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6.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omments4.xml" ContentType="application/vnd.openxmlformats-officedocument.spreadsheetml.comments+xml"/>
  <Override PartName="/xl/drawings/drawing12.xml" ContentType="application/vnd.openxmlformats-officedocument.drawing+xml"/>
  <Override PartName="/xl/comments5.xml" ContentType="application/vnd.openxmlformats-officedocument.spreadsheetml.comments+xml"/>
  <Override PartName="/xl/drawings/drawing13.xml" ContentType="application/vnd.openxmlformats-officedocument.drawing+xml"/>
  <Override PartName="/xl/comments6.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2.xml" ContentType="application/vnd.openxmlformats-officedocument.spreadsheetml.comments+xml"/>
  <Override PartName="/xl/drawings/drawing22.xml" ContentType="application/vnd.openxmlformats-officedocument.drawing+xml"/>
  <Override PartName="/xl/comments13.xml" ContentType="application/vnd.openxmlformats-officedocument.spreadsheetml.comments+xml"/>
  <Override PartName="/xl/drawings/drawing23.xml" ContentType="application/vnd.openxmlformats-officedocument.drawing+xml"/>
  <Override PartName="/xl/comments14.xml" ContentType="application/vnd.openxmlformats-officedocument.spreadsheetml.comments+xml"/>
  <Override PartName="/xl/drawings/drawing24.xml" ContentType="application/vnd.openxmlformats-officedocument.drawing+xml"/>
  <Override PartName="/xl/comments15.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6.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7.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8.xml" ContentType="application/vnd.openxmlformats-officedocument.spreadsheetml.comments+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comments20.xml" ContentType="application/vnd.openxmlformats-officedocument.spreadsheetml.comments+xml"/>
  <Override PartName="/xl/drawings/drawing34.xml" ContentType="application/vnd.openxmlformats-officedocument.drawing+xml"/>
  <Override PartName="/xl/comments21.xml" ContentType="application/vnd.openxmlformats-officedocument.spreadsheetml.comments+xml"/>
  <Override PartName="/xl/drawings/drawing35.xml" ContentType="application/vnd.openxmlformats-officedocument.drawing+xml"/>
  <Override PartName="/xl/comments22.xml" ContentType="application/vnd.openxmlformats-officedocument.spreadsheetml.comments+xml"/>
  <Override PartName="/xl/drawings/drawing36.xml" ContentType="application/vnd.openxmlformats-officedocument.drawing+xml"/>
  <Override PartName="/xl/comments23.xml" ContentType="application/vnd.openxmlformats-officedocument.spreadsheetml.comments+xml"/>
  <Override PartName="/xl/drawings/drawing37.xml" ContentType="application/vnd.openxmlformats-officedocument.drawing+xml"/>
  <Override PartName="/xl/comments24.xml" ContentType="application/vnd.openxmlformats-officedocument.spreadsheetml.comments+xml"/>
  <Override PartName="/xl/drawings/drawing38.xml" ContentType="application/vnd.openxmlformats-officedocument.drawing+xml"/>
  <Override PartName="/xl/comments25.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comments26.xml" ContentType="application/vnd.openxmlformats-officedocument.spreadsheetml.comments+xml"/>
  <Override PartName="/xl/drawings/drawing42.xml" ContentType="application/vnd.openxmlformats-officedocument.drawing+xml"/>
  <Override PartName="/xl/drawings/drawing43.xml" ContentType="application/vnd.openxmlformats-officedocument.drawing+xml"/>
  <Override PartName="/xl/comments27.xml" ContentType="application/vnd.openxmlformats-officedocument.spreadsheetml.comments+xml"/>
  <Override PartName="/xl/drawings/drawing44.xml" ContentType="application/vnd.openxmlformats-officedocument.drawing+xml"/>
  <Override PartName="/xl/comments28.xml" ContentType="application/vnd.openxmlformats-officedocument.spreadsheetml.comments+xml"/>
  <Override PartName="/xl/drawings/drawing45.xml" ContentType="application/vnd.openxmlformats-officedocument.drawing+xml"/>
  <Override PartName="/xl/drawings/drawing46.xml" ContentType="application/vnd.openxmlformats-officedocument.drawing+xml"/>
  <Override PartName="/xl/comments29.xml" ContentType="application/vnd.openxmlformats-officedocument.spreadsheetml.comments+xml"/>
  <Override PartName="/xl/drawings/drawing47.xml" ContentType="application/vnd.openxmlformats-officedocument.drawing+xml"/>
  <Override PartName="/xl/comments30.xml" ContentType="application/vnd.openxmlformats-officedocument.spreadsheetml.comments+xml"/>
  <Override PartName="/xl/drawings/drawing48.xml" ContentType="application/vnd.openxmlformats-officedocument.drawing+xml"/>
  <Override PartName="/xl/comments31.xml" ContentType="application/vnd.openxmlformats-officedocument.spreadsheetml.comments+xml"/>
  <Override PartName="/xl/drawings/drawing49.xml" ContentType="application/vnd.openxmlformats-officedocument.drawing+xml"/>
  <Override PartName="/xl/comments32.xml" ContentType="application/vnd.openxmlformats-officedocument.spreadsheetml.comments+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omments33.xml" ContentType="application/vnd.openxmlformats-officedocument.spreadsheetml.comments+xml"/>
  <Override PartName="/xl/drawings/drawing53.xml" ContentType="application/vnd.openxmlformats-officedocument.drawing+xml"/>
  <Override PartName="/xl/drawings/drawing54.xml" ContentType="application/vnd.openxmlformats-officedocument.drawing+xml"/>
  <Override PartName="/xl/comments34.xml" ContentType="application/vnd.openxmlformats-officedocument.spreadsheetml.comments+xml"/>
  <Override PartName="/xl/drawings/drawing55.xml" ContentType="application/vnd.openxmlformats-officedocument.drawing+xml"/>
  <Override PartName="/xl/comments35.xml" ContentType="application/vnd.openxmlformats-officedocument.spreadsheetml.comments+xml"/>
  <Override PartName="/xl/drawings/drawing56.xml" ContentType="application/vnd.openxmlformats-officedocument.drawing+xml"/>
  <Override PartName="/xl/comments36.xml" ContentType="application/vnd.openxmlformats-officedocument.spreadsheetml.comments+xml"/>
  <Override PartName="/xl/drawings/drawing57.xml" ContentType="application/vnd.openxmlformats-officedocument.drawing+xml"/>
  <Override PartName="/xl/comments37.xml" ContentType="application/vnd.openxmlformats-officedocument.spreadsheetml.comments+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omments38.xml" ContentType="application/vnd.openxmlformats-officedocument.spreadsheetml.comments+xml"/>
  <Override PartName="/xl/drawings/drawing62.xml" ContentType="application/vnd.openxmlformats-officedocument.drawing+xml"/>
  <Override PartName="/xl/comments39.xml" ContentType="application/vnd.openxmlformats-officedocument.spreadsheetml.comments+xml"/>
  <Override PartName="/xl/drawings/drawing63.xml" ContentType="application/vnd.openxmlformats-officedocument.drawing+xml"/>
  <Override PartName="/xl/comments40.xml" ContentType="application/vnd.openxmlformats-officedocument.spreadsheetml.comments+xml"/>
  <Override PartName="/xl/drawings/drawing64.xml" ContentType="application/vnd.openxmlformats-officedocument.drawing+xml"/>
  <Override PartName="/xl/comments41.xml" ContentType="application/vnd.openxmlformats-officedocument.spreadsheetml.comments+xml"/>
  <Override PartName="/xl/drawings/drawing65.xml" ContentType="application/vnd.openxmlformats-officedocument.drawing+xml"/>
  <Override PartName="/xl/comments42.xml" ContentType="application/vnd.openxmlformats-officedocument.spreadsheetml.comments+xml"/>
  <Override PartName="/xl/drawings/drawing6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aveExternalLinkValues="0" codeName="ThisWorkbook"/>
  <mc:AlternateContent xmlns:mc="http://schemas.openxmlformats.org/markup-compatibility/2006">
    <mc:Choice Requires="x15">
      <x15ac:absPath xmlns:x15ac="http://schemas.microsoft.com/office/spreadsheetml/2010/11/ac" url="C:\Users\flore\Downloads\"/>
    </mc:Choice>
  </mc:AlternateContent>
  <xr:revisionPtr revIDLastSave="0" documentId="13_ncr:1_{751576BA-42FE-4EB4-B07B-C6E77B63DE76}" xr6:coauthVersionLast="47" xr6:coauthVersionMax="47" xr10:uidLastSave="{00000000-0000-0000-0000-000000000000}"/>
  <bookViews>
    <workbookView xWindow="28680" yWindow="-120" windowWidth="29040" windowHeight="15840" tabRatio="917" activeTab="1" xr2:uid="{00000000-000D-0000-FFFF-FFFF00000000}"/>
  </bookViews>
  <sheets>
    <sheet name="intro" sheetId="86" r:id="rId1"/>
    <sheet name="summary" sheetId="28" r:id="rId2"/>
    <sheet name="summary_chart" sheetId="204" r:id="rId3"/>
    <sheet name="summary_chart_data" sheetId="203" state="hidden" r:id="rId4"/>
    <sheet name="biocap" sheetId="32" r:id="rId5"/>
    <sheet name="ef_carbon" sheetId="27" r:id="rId6"/>
    <sheet name="ef_crop" sheetId="30" r:id="rId7"/>
    <sheet name="ef_grazing" sheetId="110" r:id="rId8"/>
    <sheet name="ef_fish" sheetId="53" r:id="rId9"/>
    <sheet name="ef_forest_products" sheetId="26" r:id="rId10"/>
    <sheet name="ef_built" sheetId="46" r:id="rId11"/>
    <sheet name="fossil_efp" sheetId="10" r:id="rId12"/>
    <sheet name="other_co2_efp" sheetId="108" r:id="rId13"/>
    <sheet name="carbon_efi_efe" sheetId="56" r:id="rId14"/>
    <sheet name="Int_transport" sheetId="16" r:id="rId15"/>
    <sheet name="electricity_trade" sheetId="181" r:id="rId16"/>
    <sheet name="carbon_intensity_n" sheetId="182" r:id="rId17"/>
    <sheet name="cnst_carbon" sheetId="13" r:id="rId18"/>
    <sheet name="crop_efp" sheetId="1" r:id="rId19"/>
    <sheet name="crop_efi_efe" sheetId="75" r:id="rId20"/>
    <sheet name="crop_intensity" sheetId="107" r:id="rId21"/>
    <sheet name="constant_crop_factor" sheetId="189" r:id="rId22"/>
    <sheet name="grazing_efp" sheetId="158" r:id="rId23"/>
    <sheet name="feed_demand_n" sheetId="102" r:id="rId24"/>
    <sheet name="market_feed_supply_n" sheetId="101" r:id="rId25"/>
    <sheet name="grass_supply_n" sheetId="64" r:id="rId26"/>
    <sheet name="residue_supply_n" sheetId="100" r:id="rId27"/>
    <sheet name="prodstat_livestock_n" sheetId="80" r:id="rId28"/>
    <sheet name="resourcestat_livestock_n" sheetId="103" r:id="rId29"/>
    <sheet name="cnst_grazing" sheetId="67" r:id="rId30"/>
    <sheet name="livestock_efi_efe" sheetId="71" r:id="rId31"/>
    <sheet name="livestock_intensity" sheetId="140" r:id="rId32"/>
    <sheet name="livestock_feed_ef_n" sheetId="157" r:id="rId33"/>
    <sheet name="feed_intensity_w" sheetId="69" r:id="rId34"/>
    <sheet name="feed_mix_w" sheetId="106" r:id="rId35"/>
    <sheet name="crop_feed_cnst" sheetId="183" r:id="rId36"/>
    <sheet name="constant_ag_extr" sheetId="187" r:id="rId37"/>
    <sheet name="const_grazing_npp" sheetId="194" r:id="rId38"/>
    <sheet name="constant_feed_region" sheetId="193" r:id="rId39"/>
    <sheet name="constant_livestock_residue" sheetId="192" r:id="rId40"/>
    <sheet name="constant_livestock_demand" sheetId="191" r:id="rId41"/>
    <sheet name="fish_efp" sheetId="144" r:id="rId42"/>
    <sheet name="fish_efi_efe" sheetId="146" r:id="rId43"/>
    <sheet name="fish_commodity_yield_n" sheetId="149" r:id="rId44"/>
    <sheet name="fish_group_yield_n" sheetId="175" r:id="rId45"/>
    <sheet name="fish_group_yield_w" sheetId="174" r:id="rId46"/>
    <sheet name="aquaculture_yields" sheetId="173" r:id="rId47"/>
    <sheet name="fish_feed_group_yield_n" sheetId="167" r:id="rId48"/>
    <sheet name="fish_feed_group_yield_w" sheetId="169" r:id="rId49"/>
    <sheet name="fishmeal_fishes" sheetId="170" r:id="rId50"/>
    <sheet name="aquaculture_production_n" sheetId="171" r:id="rId51"/>
    <sheet name="aquaculture_production_w" sheetId="172" r:id="rId52"/>
    <sheet name="cnst_fish" sheetId="148" r:id="rId53"/>
    <sheet name="constant_aquafeed_factors" sheetId="198" r:id="rId54"/>
    <sheet name="constant_fish_extr" sheetId="185" r:id="rId55"/>
    <sheet name="constant_fish_trophic" sheetId="184" r:id="rId56"/>
    <sheet name="forest_efp" sheetId="124" r:id="rId57"/>
    <sheet name="forest_efi_efe" sheetId="125" r:id="rId58"/>
    <sheet name="constant_forest_extr" sheetId="190" r:id="rId59"/>
    <sheet name="constant_forest_increment" sheetId="186" r:id="rId60"/>
    <sheet name="infrastructure_efp" sheetId="45" r:id="rId61"/>
    <sheet name="eqf" sheetId="8" r:id="rId62"/>
    <sheet name="yf" sheetId="31" r:id="rId63"/>
    <sheet name="iyf" sheetId="200" r:id="rId64"/>
    <sheet name="bioproductive_area" sheetId="97" r:id="rId65"/>
    <sheet name="const_npp_EEZ_shelf_area" sheetId="202" r:id="rId66"/>
    <sheet name="popstat" sheetId="84" r:id="rId67"/>
    <sheet name="world_data" sheetId="197" state="hidden" r:id="rId68"/>
  </sheets>
  <definedNames>
    <definedName name="_xlnm._FilterDatabase" localSheetId="54" hidden="1">constant_fish_extr!$A$5:$C$5</definedName>
    <definedName name="_xlnm._FilterDatabase" localSheetId="55" hidden="1">constant_fish_trophic!$A$6:$D$6</definedName>
    <definedName name="_xlnm._FilterDatabase" localSheetId="19" hidden="1">crop_efi_efe!#REF!</definedName>
    <definedName name="_xlnm._FilterDatabase" localSheetId="43" hidden="1">fish_commodity_yield_n!$A$6:$J$6</definedName>
    <definedName name="_xlnm._FilterDatabase" localSheetId="42" hidden="1">fish_efi_efe!$A$6:$N$6</definedName>
    <definedName name="_xlnm._FilterDatabase" localSheetId="41" hidden="1">fish_efp!$A$6:$AE$2327</definedName>
    <definedName name="_xlnm._FilterDatabase" localSheetId="30" hidden="1">livestock_efi_efe!$Q$1:$Q$4</definedName>
    <definedName name="_xlnm._FilterDatabase" localSheetId="31" hidden="1">livestock_intensity!$A$5:$E$6</definedName>
    <definedName name="_xlnm._FilterDatabase" localSheetId="26" hidden="1">residue_supply_n!$B$5:$B$74</definedName>
    <definedName name="_xlnm._FilterDatabase" localSheetId="67" hidden="1">world_data!#REF!</definedName>
    <definedName name="_Key1" hidden="1">#REF!</definedName>
    <definedName name="_Order1" hidden="1">255</definedName>
    <definedName name="_Sort" hidden="1">#REF!</definedName>
    <definedName name="constant_ag_extr">constant_ag_extr!$B$7:$O$594</definedName>
    <definedName name="constant_aquafeed_factors">constant_aquafeed_factors!$C$7:$F$489</definedName>
    <definedName name="constant_area_shelf">const_npp_EEZ_shelf_area!$A$8:$G$295</definedName>
    <definedName name="constant_crop_factor">constant_crop_factor!$B$6:$D$323</definedName>
    <definedName name="constant_feed_region">constant_feed_region!$B$6:$C$252</definedName>
    <definedName name="constant_fish_extr">constant_fish_extr!$B$6:$C$307</definedName>
    <definedName name="constant_fish_trophic">constant_fish_trophic!$B$7:$D$2340</definedName>
    <definedName name="constant_forest_extr">constant_forest_extr!$B$7:$F$63</definedName>
    <definedName name="constant_forest_increment">constant_forest_increment!$B$7:$C$8</definedName>
    <definedName name="constant_grazing_npp">const_grazing_npp!$A$6:$D$248</definedName>
    <definedName name="constant_livestock_demand">constant_livestock_demand!$B$5:$K$18</definedName>
    <definedName name="constant_livestock_residue">constant_livestock_residue!$B$5:$L$55</definedName>
    <definedName name="COUNTRY">intro!$C$9</definedName>
    <definedName name="country_code">intro!$C$10</definedName>
    <definedName name="crop_efp">crop_efp!$B$7:$M$183</definedName>
    <definedName name="crop_trade">crop_efi_efe!$B$7:$M$426</definedName>
    <definedName name="ef_grazing">ef_grazing!$A$3:$E$4</definedName>
    <definedName name="eqf">eqf!$A$7:$B$13</definedName>
    <definedName name="feed_intensity_w">feed_intensity_w!$A$7:$K$26</definedName>
    <definedName name="feed_mix_n">feed_mix_w!$B$7:$AC$28</definedName>
    <definedName name="fish_commodity_yield">fish_commodity_yield_n!$B$7:$J$322</definedName>
    <definedName name="fish_efi_efe">fish_commodity_yield_n!$C$3</definedName>
    <definedName name="fish_efp">fish_efp!$C$7:$T$2327</definedName>
    <definedName name="forest_extr_headings">constant_forest_extr!$B$5:$F$5</definedName>
    <definedName name="fossil_efp">fossil_efp!$A$8:$F$57</definedName>
    <definedName name="iyf">iyf!$A$7:$B$12</definedName>
    <definedName name="livestock_demand_headings">constant_livestock_demand!$B$5:$K$5</definedName>
    <definedName name="livestock_intensity_w">livestock_efi_efe!$B$7:$AS$172</definedName>
    <definedName name="population_n">popstat!$E$7</definedName>
    <definedName name="prodstat_livestock_n">prodstat_livestock_n!$B$7:$D$47</definedName>
    <definedName name="regional_tfr">constant_livestock_demand!$B$26:$K$50</definedName>
    <definedName name="resourcestat_livestock">resourcestat_livestock_n!$B$7:$D$22</definedName>
    <definedName name="tbl_aquaculture_n">aquaculture_production_n!$A$5:$D$611</definedName>
    <definedName name="tbl_aquaculture_w">aquaculture_production_w!$A$5:$D$598</definedName>
    <definedName name="tbl_area_corine">bioproductive_area!$A$7:$D$11</definedName>
    <definedName name="tbl_area_fao">bioproductive_area!$A$13:$E$18</definedName>
    <definedName name="tbl_area_glc">bioproductive_area!$A$22:$E$22</definedName>
    <definedName name="tbl_area_sage">bioproductive_area!#REF!</definedName>
    <definedName name="tbl_capture">fish_efp!$C$7:$M$2327</definedName>
    <definedName name="tbl_cdiac_CO2">fossil_efp!$A$62:$B$62</definedName>
    <definedName name="tbl_comtrade_n">carbon_efi_efe!$A$7:$D$631</definedName>
    <definedName name="tbl_eqf">eqf!$A$5:$B$10</definedName>
    <definedName name="tbl_figis_commodity">fish_efi_efe!$B$7:$D$308</definedName>
    <definedName name="tbl_forest_prod_n">forest_efp!$A$7:$D$58</definedName>
    <definedName name="tbl_forest_trade_n">forest_efi_efe!$A$7:$E$58</definedName>
    <definedName name="tbl_iea_CO2">fossil_efp!$A$8:$B$45</definedName>
    <definedName name="tbl_iea_ipcc_co2">fossil_efp!$A$46:$B$57</definedName>
    <definedName name="tbl_iyf">iyf!$A$5:$B$11</definedName>
    <definedName name="tbl_liveweight">cnst_grazing!$A$10:$H$25</definedName>
    <definedName name="tbl_liveweight_n">cnst_grazing!$A$28:$D$41</definedName>
    <definedName name="tbl_market_feed">market_feed_supply_n!$B$5:$G$102</definedName>
    <definedName name="tbl_nai_n">constant_forest_increment!$A$7:$C$7</definedName>
    <definedName name="tbl_nai_w">constant_forest_increment!$A$8:$C$8</definedName>
    <definedName name="tbl_popstat_n">popstat!$A$7:$E$7</definedName>
    <definedName name="tbl_popstat_w">popstat!$A$8:$E$8</definedName>
    <definedName name="tbl_prodstat_crop_n">crop_efp!$A$7:$P$183</definedName>
    <definedName name="tbl_prodstat_crop_w">crop_efp!$A$7:$Q$183</definedName>
    <definedName name="tbl_prodstat_livestock_n">prodstat_livestock_n!$A$5:$D$47</definedName>
    <definedName name="tbl_resourcestat_livestock">resourcestat_livestock_n!$A$5:$D$22</definedName>
    <definedName name="tbl_TFR">feed_mix_w!$A$7:$I$28</definedName>
    <definedName name="tbl_TFR_n">livestock_feed_ef_n!$A$13:$D$34</definedName>
    <definedName name="tbl_tradestat_crop_n">crop_efi_efe!$A$7:$E$426</definedName>
    <definedName name="tbl_tradestat_crop_w">crop_efi_efe!$A$7:$M$426</definedName>
    <definedName name="tbl_tradestat_livestock_i">livestock_efi_efe!$A$7:$E$172</definedName>
    <definedName name="val_bunker_emissions">Int_transport!$A$6:$C$6</definedName>
    <definedName name="val_crop_unharvested_n">crop_intensity!$A$7:$D$7</definedName>
    <definedName name="val_elect_heat_intensity_n">cnst_carbon!$A$9:$C$9</definedName>
    <definedName name="val_elect_heat_intensity_w">cnst_carbon!$A$10:$C$10</definedName>
    <definedName name="val_electricity_exports">electricity_trade!$A$8:$B$8</definedName>
    <definedName name="val_electricity_imports">electricity_trade!$A$7:$B$7</definedName>
    <definedName name="val_electricity_prod">electricity_trade!$A$9:$B$9</definedName>
    <definedName name="val_GAEZ_built_area">bioproductive_area!$C$20:$E$20</definedName>
    <definedName name="val_iea_other_CO2">other_co2_efp!$A$6:$C$7</definedName>
    <definedName name="val_ocean_co2_uptk">cnst_carbon!$A$8:$C$8</definedName>
    <definedName name="val_tpes_intensity_w">cnst_carbon!$A$11:$C$11</definedName>
    <definedName name="val_tpes_n">cnst_carbon!$A$12:$C$12</definedName>
    <definedName name="world_results">world_data!$B$2:$E$59</definedName>
    <definedName name="YEAR">intro!$C$11</definedName>
    <definedName name="yf">yf!$A$5:$D$12</definedName>
  </definedNames>
  <calcPr calcId="191029" calcMode="manual" calcCompleted="0" calcOnSave="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8" l="1"/>
  <c r="C13" i="86"/>
  <c r="A3" i="203"/>
  <c r="F10" i="203" l="1"/>
  <c r="E10" i="203"/>
  <c r="A7" i="203"/>
  <c r="A8" i="203"/>
  <c r="A9" i="203"/>
  <c r="A10" i="203"/>
  <c r="A11" i="203"/>
  <c r="A6" i="203"/>
  <c r="B7" i="86"/>
  <c r="D26" i="97" l="1"/>
  <c r="E26" i="97"/>
  <c r="E24" i="97"/>
  <c r="D24" i="97"/>
  <c r="C11" i="31"/>
  <c r="B11" i="31"/>
  <c r="B9" i="31"/>
  <c r="C9" i="31"/>
  <c r="B8" i="31"/>
  <c r="C8" i="31"/>
  <c r="H24" i="69"/>
  <c r="C56" i="100"/>
  <c r="H137" i="149" l="1"/>
  <c r="H144" i="149"/>
  <c r="I144" i="149"/>
  <c r="K124" i="146" s="1"/>
  <c r="J144" i="149"/>
  <c r="L124" i="146" s="1"/>
  <c r="H265" i="149"/>
  <c r="H101" i="149"/>
  <c r="I101" i="149"/>
  <c r="K89" i="146" s="1"/>
  <c r="J101" i="149"/>
  <c r="L89" i="146" s="1"/>
  <c r="H20" i="149"/>
  <c r="H145" i="149"/>
  <c r="I145" i="149"/>
  <c r="K125" i="146" s="1"/>
  <c r="J145" i="149"/>
  <c r="L125" i="146" s="1"/>
  <c r="H266" i="149"/>
  <c r="H102" i="149"/>
  <c r="I102" i="149"/>
  <c r="K90" i="146" s="1"/>
  <c r="J102" i="149"/>
  <c r="L90" i="146" s="1"/>
  <c r="H78" i="149"/>
  <c r="H227" i="149"/>
  <c r="H80" i="149"/>
  <c r="H229" i="149"/>
  <c r="H85" i="149"/>
  <c r="H79" i="149"/>
  <c r="H228" i="149"/>
  <c r="H88" i="149"/>
  <c r="H86" i="149"/>
  <c r="H87" i="149"/>
  <c r="H232" i="149"/>
  <c r="H148" i="149"/>
  <c r="H69" i="149"/>
  <c r="H168" i="149"/>
  <c r="H63" i="149"/>
  <c r="H147" i="149"/>
  <c r="H68" i="149"/>
  <c r="H167" i="149"/>
  <c r="H268" i="149"/>
  <c r="H72" i="149"/>
  <c r="F214" i="149"/>
  <c r="E188" i="146" s="1"/>
  <c r="G214" i="149"/>
  <c r="F188" i="146" s="1"/>
  <c r="H214" i="149"/>
  <c r="I214" i="149"/>
  <c r="K188" i="146" s="1"/>
  <c r="J214" i="149"/>
  <c r="L188" i="146" s="1"/>
  <c r="H245" i="149"/>
  <c r="H160" i="149"/>
  <c r="H75" i="149"/>
  <c r="H74" i="149"/>
  <c r="H171" i="149"/>
  <c r="H48" i="149"/>
  <c r="H280" i="149"/>
  <c r="H9" i="149"/>
  <c r="H279" i="149"/>
  <c r="H8" i="149"/>
  <c r="H281" i="149"/>
  <c r="H200" i="149"/>
  <c r="H259" i="149"/>
  <c r="H260" i="149"/>
  <c r="H267" i="149"/>
  <c r="P562" i="144"/>
  <c r="Q562" i="144"/>
  <c r="R562" i="144"/>
  <c r="P1766" i="144"/>
  <c r="Q1766" i="144"/>
  <c r="R1766" i="144"/>
  <c r="P1778" i="144"/>
  <c r="Q1778" i="144"/>
  <c r="R1778" i="144"/>
  <c r="P98" i="144"/>
  <c r="Q98" i="144"/>
  <c r="R98" i="144"/>
  <c r="P1503" i="144"/>
  <c r="Q1503" i="144"/>
  <c r="R1503" i="144"/>
  <c r="P1053" i="144"/>
  <c r="Q1053" i="144"/>
  <c r="R1053" i="144"/>
  <c r="P609" i="144"/>
  <c r="Q609" i="144"/>
  <c r="R609" i="144"/>
  <c r="P633" i="144"/>
  <c r="Q633" i="144"/>
  <c r="R633" i="144"/>
  <c r="P1554" i="144"/>
  <c r="Q1554" i="144"/>
  <c r="R1554" i="144"/>
  <c r="P1322" i="144"/>
  <c r="Q1322" i="144"/>
  <c r="R1322" i="144"/>
  <c r="P68" i="144"/>
  <c r="Q68" i="144"/>
  <c r="R68" i="144"/>
  <c r="P195" i="144"/>
  <c r="Q195" i="144"/>
  <c r="R195" i="144"/>
  <c r="P272" i="144"/>
  <c r="Q272" i="144"/>
  <c r="R272" i="144"/>
  <c r="P377" i="144"/>
  <c r="Q377" i="144"/>
  <c r="R377" i="144"/>
  <c r="P679" i="144"/>
  <c r="Q679" i="144"/>
  <c r="R679" i="144"/>
  <c r="P1305" i="144"/>
  <c r="Q1305" i="144"/>
  <c r="R1305" i="144"/>
  <c r="P1662" i="144"/>
  <c r="Q1662" i="144"/>
  <c r="R1662" i="144"/>
  <c r="P1725" i="144"/>
  <c r="Q1725" i="144"/>
  <c r="R1725" i="144"/>
  <c r="P1985" i="144"/>
  <c r="Q1985" i="144"/>
  <c r="R1985" i="144"/>
  <c r="P1987" i="144"/>
  <c r="Q1987" i="144"/>
  <c r="R1987" i="144"/>
  <c r="P1990" i="144"/>
  <c r="Q1990" i="144"/>
  <c r="R1990" i="144"/>
  <c r="P1994" i="144"/>
  <c r="Q1994" i="144"/>
  <c r="R1994" i="144"/>
  <c r="P2000" i="144"/>
  <c r="Q2000" i="144"/>
  <c r="R2000" i="144"/>
  <c r="P2006" i="144"/>
  <c r="Q2006" i="144"/>
  <c r="R2006" i="144"/>
  <c r="P2010" i="144"/>
  <c r="Q2010" i="144"/>
  <c r="R2010" i="144"/>
  <c r="P2011" i="144"/>
  <c r="Q2011" i="144"/>
  <c r="R2011" i="144"/>
  <c r="P2090" i="144"/>
  <c r="Q2090" i="144"/>
  <c r="R2090" i="144"/>
  <c r="P2007" i="144"/>
  <c r="Q2007" i="144"/>
  <c r="R2007" i="144"/>
  <c r="P2005" i="144"/>
  <c r="Q2005" i="144"/>
  <c r="R2005" i="144"/>
  <c r="P2001" i="144"/>
  <c r="Q2001" i="144"/>
  <c r="R2001" i="144"/>
  <c r="P1986" i="144"/>
  <c r="Q1986" i="144"/>
  <c r="R1986" i="144"/>
  <c r="P1995" i="144"/>
  <c r="Q1995" i="144"/>
  <c r="R1995" i="144"/>
  <c r="P212" i="144"/>
  <c r="Q212" i="144"/>
  <c r="R212" i="144"/>
  <c r="P1272" i="144"/>
  <c r="Q1272" i="144"/>
  <c r="R1272" i="144"/>
  <c r="P1288" i="144"/>
  <c r="Q1288" i="144"/>
  <c r="R1288" i="144"/>
  <c r="P1584" i="144"/>
  <c r="Q1584" i="144"/>
  <c r="R1584" i="144"/>
  <c r="P871" i="144"/>
  <c r="Q871" i="144"/>
  <c r="R871" i="144"/>
  <c r="P939" i="144"/>
  <c r="Q939" i="144"/>
  <c r="R939" i="144"/>
  <c r="P178" i="144"/>
  <c r="Q178" i="144"/>
  <c r="R178" i="144"/>
  <c r="P351" i="144"/>
  <c r="Q351" i="144"/>
  <c r="R351" i="144"/>
  <c r="P365" i="144"/>
  <c r="Q365" i="144"/>
  <c r="R365" i="144"/>
  <c r="P460" i="144"/>
  <c r="Q460" i="144"/>
  <c r="R460" i="144"/>
  <c r="P461" i="144"/>
  <c r="Q461" i="144"/>
  <c r="R461" i="144"/>
  <c r="P551" i="144"/>
  <c r="Q551" i="144"/>
  <c r="R551" i="144"/>
  <c r="P582" i="144"/>
  <c r="Q582" i="144"/>
  <c r="R582" i="144"/>
  <c r="P585" i="144"/>
  <c r="Q585" i="144"/>
  <c r="R585" i="144"/>
  <c r="P600" i="144"/>
  <c r="Q600" i="144"/>
  <c r="R600" i="144"/>
  <c r="P630" i="144"/>
  <c r="Q630" i="144"/>
  <c r="R630" i="144"/>
  <c r="P781" i="144"/>
  <c r="Q781" i="144"/>
  <c r="R781" i="144"/>
  <c r="P948" i="144"/>
  <c r="Q948" i="144"/>
  <c r="R948" i="144"/>
  <c r="P1007" i="144"/>
  <c r="Q1007" i="144"/>
  <c r="R1007" i="144"/>
  <c r="P1126" i="144"/>
  <c r="Q1126" i="144"/>
  <c r="R1126" i="144"/>
  <c r="P1197" i="144"/>
  <c r="Q1197" i="144"/>
  <c r="R1197" i="144"/>
  <c r="P1247" i="144"/>
  <c r="Q1247" i="144"/>
  <c r="R1247" i="144"/>
  <c r="P1383" i="144"/>
  <c r="Q1383" i="144"/>
  <c r="R1383" i="144"/>
  <c r="P1384" i="144"/>
  <c r="Q1384" i="144"/>
  <c r="R1384" i="144"/>
  <c r="P1399" i="144"/>
  <c r="Q1399" i="144"/>
  <c r="R1399" i="144"/>
  <c r="P1440" i="144"/>
  <c r="Q1440" i="144"/>
  <c r="R1440" i="144"/>
  <c r="P1530" i="144"/>
  <c r="Q1530" i="144"/>
  <c r="R1530" i="144"/>
  <c r="P1624" i="144"/>
  <c r="Q1624" i="144"/>
  <c r="R1624" i="144"/>
  <c r="P1672" i="144"/>
  <c r="Q1672" i="144"/>
  <c r="R1672" i="144"/>
  <c r="P1736" i="144"/>
  <c r="Q1736" i="144"/>
  <c r="R1736" i="144"/>
  <c r="P1838" i="144"/>
  <c r="Q1838" i="144"/>
  <c r="R1838" i="144"/>
  <c r="P1911" i="144"/>
  <c r="Q1911" i="144"/>
  <c r="R1911" i="144"/>
  <c r="P2016" i="144"/>
  <c r="Q2016" i="144"/>
  <c r="R2016" i="144"/>
  <c r="P2037" i="144"/>
  <c r="Q2037" i="144"/>
  <c r="R2037" i="144"/>
  <c r="P2134" i="144"/>
  <c r="Q2134" i="144"/>
  <c r="R2134" i="144"/>
  <c r="P2214" i="144"/>
  <c r="Q2214" i="144"/>
  <c r="R2214" i="144"/>
  <c r="P2287" i="144"/>
  <c r="Q2287" i="144"/>
  <c r="R2287" i="144"/>
  <c r="P2308" i="144"/>
  <c r="Q2308" i="144"/>
  <c r="R2308" i="144"/>
  <c r="P2228" i="144"/>
  <c r="Q2228" i="144"/>
  <c r="R2228" i="144"/>
  <c r="P557" i="144"/>
  <c r="Q557" i="144"/>
  <c r="R557" i="144"/>
  <c r="P2244" i="144"/>
  <c r="Q2244" i="144"/>
  <c r="R2244" i="144"/>
  <c r="P2165" i="144"/>
  <c r="Q2165" i="144"/>
  <c r="R2165" i="144"/>
  <c r="P644" i="144"/>
  <c r="Q644" i="144"/>
  <c r="R644" i="144"/>
  <c r="P813" i="144"/>
  <c r="Q813" i="144"/>
  <c r="R813" i="144"/>
  <c r="P696" i="144"/>
  <c r="Q696" i="144"/>
  <c r="R696" i="144"/>
  <c r="P174" i="144"/>
  <c r="Q174" i="144"/>
  <c r="R174" i="144"/>
  <c r="P431" i="144"/>
  <c r="Q431" i="144"/>
  <c r="R431" i="144"/>
  <c r="P2141" i="144"/>
  <c r="Q2141" i="144"/>
  <c r="R2141" i="144"/>
  <c r="P1765" i="144"/>
  <c r="Q1765" i="144"/>
  <c r="R1765" i="144"/>
  <c r="P893" i="144"/>
  <c r="Q893" i="144"/>
  <c r="R893" i="144"/>
  <c r="P1249" i="144"/>
  <c r="Q1249" i="144"/>
  <c r="R1249" i="144"/>
  <c r="P1404" i="144"/>
  <c r="Q1404" i="144"/>
  <c r="R1404" i="144"/>
  <c r="P2150" i="144"/>
  <c r="Q2150" i="144"/>
  <c r="R2150" i="144"/>
  <c r="P446" i="144"/>
  <c r="Q446" i="144"/>
  <c r="R446" i="144"/>
  <c r="P1734" i="144"/>
  <c r="Q1734" i="144"/>
  <c r="P1668" i="144"/>
  <c r="Q1668" i="144"/>
  <c r="R1668" i="144"/>
  <c r="P2026" i="144"/>
  <c r="Q2026" i="144"/>
  <c r="R2026" i="144"/>
  <c r="P886" i="144"/>
  <c r="Q886" i="144"/>
  <c r="R886" i="144"/>
  <c r="P817" i="144"/>
  <c r="Q817" i="144"/>
  <c r="R817" i="144"/>
  <c r="P1587" i="144"/>
  <c r="Q1587" i="144"/>
  <c r="R1587" i="144"/>
  <c r="P1171" i="144"/>
  <c r="Q1171" i="144"/>
  <c r="R1171" i="144"/>
  <c r="P2135" i="144"/>
  <c r="Q2135" i="144"/>
  <c r="R2135" i="144"/>
  <c r="P622" i="144"/>
  <c r="Q622" i="144"/>
  <c r="R622" i="144"/>
  <c r="P874" i="144"/>
  <c r="Q874" i="144"/>
  <c r="R874" i="144"/>
  <c r="P2027" i="144"/>
  <c r="Q2027" i="144"/>
  <c r="R2027" i="144"/>
  <c r="P596" i="144"/>
  <c r="Q596" i="144"/>
  <c r="R596" i="144"/>
  <c r="P1922" i="144"/>
  <c r="Q1922" i="144"/>
  <c r="R1922" i="144"/>
  <c r="R1034" i="144" l="1"/>
  <c r="P60" i="144" l="1"/>
  <c r="Q60" i="144"/>
  <c r="R60" i="144"/>
  <c r="P71" i="144"/>
  <c r="Q71" i="144"/>
  <c r="R71" i="144"/>
  <c r="P97" i="144"/>
  <c r="Q97" i="144"/>
  <c r="R97" i="144"/>
  <c r="P143" i="144"/>
  <c r="Q143" i="144"/>
  <c r="R143" i="144"/>
  <c r="P191" i="144"/>
  <c r="Q191" i="144"/>
  <c r="R191" i="144"/>
  <c r="P287" i="144"/>
  <c r="Q287" i="144"/>
  <c r="R287" i="144"/>
  <c r="P296" i="144"/>
  <c r="Q296" i="144"/>
  <c r="R296" i="144"/>
  <c r="P346" i="144"/>
  <c r="Q346" i="144"/>
  <c r="R346" i="144"/>
  <c r="P348" i="144"/>
  <c r="Q348" i="144"/>
  <c r="R348" i="144"/>
  <c r="P364" i="144"/>
  <c r="Q364" i="144"/>
  <c r="R364" i="144"/>
  <c r="P449" i="144"/>
  <c r="Q449" i="144"/>
  <c r="R449" i="144"/>
  <c r="P463" i="144"/>
  <c r="Q463" i="144"/>
  <c r="R463" i="144"/>
  <c r="P498" i="144"/>
  <c r="Q498" i="144"/>
  <c r="R498" i="144"/>
  <c r="P646" i="144"/>
  <c r="Q646" i="144"/>
  <c r="R646" i="144"/>
  <c r="P656" i="144"/>
  <c r="Q656" i="144"/>
  <c r="R656" i="144"/>
  <c r="P838" i="144"/>
  <c r="Q838" i="144"/>
  <c r="R838" i="144"/>
  <c r="P842" i="144"/>
  <c r="Q842" i="144"/>
  <c r="R842" i="144"/>
  <c r="P864" i="144"/>
  <c r="Q864" i="144"/>
  <c r="R864" i="144"/>
  <c r="P866" i="144"/>
  <c r="Q866" i="144"/>
  <c r="R866" i="144"/>
  <c r="P925" i="144"/>
  <c r="Q925" i="144"/>
  <c r="R925" i="144"/>
  <c r="P1130" i="144"/>
  <c r="Q1130" i="144"/>
  <c r="R1130" i="144"/>
  <c r="P1140" i="144"/>
  <c r="Q1140" i="144"/>
  <c r="R1140" i="144"/>
  <c r="P1174" i="144"/>
  <c r="Q1174" i="144"/>
  <c r="R1174" i="144"/>
  <c r="P1316" i="144"/>
  <c r="Q1316" i="144"/>
  <c r="R1316" i="144"/>
  <c r="P1332" i="144"/>
  <c r="Q1332" i="144"/>
  <c r="R1332" i="144"/>
  <c r="P1385" i="144"/>
  <c r="Q1385" i="144"/>
  <c r="R1385" i="144"/>
  <c r="P1418" i="144"/>
  <c r="Q1418" i="144"/>
  <c r="R1418" i="144"/>
  <c r="P1620" i="144"/>
  <c r="Q1620" i="144"/>
  <c r="R1620" i="144"/>
  <c r="P1701" i="144"/>
  <c r="Q1701" i="144"/>
  <c r="R1701" i="144"/>
  <c r="P1703" i="144"/>
  <c r="Q1703" i="144"/>
  <c r="R1703" i="144"/>
  <c r="P1718" i="144"/>
  <c r="Q1718" i="144"/>
  <c r="R1718" i="144"/>
  <c r="P1755" i="144"/>
  <c r="Q1755" i="144"/>
  <c r="R1755" i="144"/>
  <c r="P1771" i="144"/>
  <c r="Q1771" i="144"/>
  <c r="R1771" i="144"/>
  <c r="P1814" i="144"/>
  <c r="Q1814" i="144"/>
  <c r="R1814" i="144"/>
  <c r="P1840" i="144"/>
  <c r="Q1840" i="144"/>
  <c r="R1840" i="144"/>
  <c r="P1841" i="144"/>
  <c r="Q1841" i="144"/>
  <c r="R1841" i="144"/>
  <c r="P1959" i="144"/>
  <c r="Q1959" i="144"/>
  <c r="R1959" i="144"/>
  <c r="P1960" i="144"/>
  <c r="Q1960" i="144"/>
  <c r="R1960" i="144"/>
  <c r="P1973" i="144"/>
  <c r="Q1973" i="144"/>
  <c r="R1973" i="144"/>
  <c r="P1983" i="144"/>
  <c r="Q1983" i="144"/>
  <c r="R1983" i="144"/>
  <c r="P2138" i="144"/>
  <c r="Q2138" i="144"/>
  <c r="R2138" i="144"/>
  <c r="P2155" i="144"/>
  <c r="Q2155" i="144"/>
  <c r="R2155" i="144"/>
  <c r="P2227" i="144"/>
  <c r="Q2227" i="144"/>
  <c r="R2227" i="144"/>
  <c r="P2274" i="144"/>
  <c r="Q2274" i="144"/>
  <c r="R2274" i="144"/>
  <c r="P2321" i="144"/>
  <c r="Q2321" i="144"/>
  <c r="R2321" i="144"/>
  <c r="P34" i="144"/>
  <c r="Q34" i="144"/>
  <c r="R34" i="144"/>
  <c r="G32" i="125"/>
  <c r="H32" i="125"/>
  <c r="E18" i="140"/>
  <c r="E17" i="140"/>
  <c r="E16" i="140"/>
  <c r="C6" i="13"/>
  <c r="B7" i="31"/>
  <c r="H33" i="125"/>
  <c r="G33" i="125"/>
  <c r="R1526" i="144"/>
  <c r="R1527" i="144"/>
  <c r="R1528" i="144"/>
  <c r="R1529" i="144"/>
  <c r="R1531" i="144"/>
  <c r="R1532" i="144"/>
  <c r="R1533" i="144"/>
  <c r="R1534" i="144"/>
  <c r="R1535" i="144"/>
  <c r="R1536" i="144"/>
  <c r="R1537" i="144"/>
  <c r="R1538" i="144"/>
  <c r="R1539" i="144"/>
  <c r="R1540" i="144"/>
  <c r="R1541" i="144"/>
  <c r="R1542" i="144"/>
  <c r="R1543" i="144"/>
  <c r="R1544" i="144"/>
  <c r="R1545" i="144"/>
  <c r="R1546" i="144"/>
  <c r="R1547" i="144"/>
  <c r="R1548" i="144"/>
  <c r="R1549" i="144"/>
  <c r="R1550" i="144"/>
  <c r="R1551" i="144"/>
  <c r="R1552" i="144"/>
  <c r="R1553" i="144"/>
  <c r="R1555" i="144"/>
  <c r="R1556" i="144"/>
  <c r="R1557" i="144"/>
  <c r="R1558" i="144"/>
  <c r="R1559" i="144"/>
  <c r="R1560" i="144"/>
  <c r="R1561" i="144"/>
  <c r="R1562" i="144"/>
  <c r="R1563" i="144"/>
  <c r="R1564" i="144"/>
  <c r="R1565" i="144"/>
  <c r="R1566" i="144"/>
  <c r="R1567" i="144"/>
  <c r="R1568" i="144"/>
  <c r="R1569" i="144"/>
  <c r="R1570" i="144"/>
  <c r="R1571" i="144"/>
  <c r="R1572" i="144"/>
  <c r="R1573" i="144"/>
  <c r="R1574" i="144"/>
  <c r="R1575" i="144"/>
  <c r="R1576" i="144"/>
  <c r="R1577" i="144"/>
  <c r="R1578" i="144"/>
  <c r="R1579" i="144"/>
  <c r="R1580" i="144"/>
  <c r="R1581" i="144"/>
  <c r="R1582" i="144"/>
  <c r="R1583" i="144"/>
  <c r="R1585" i="144"/>
  <c r="R1586" i="144"/>
  <c r="R1588" i="144"/>
  <c r="R1589" i="144"/>
  <c r="R1590" i="144"/>
  <c r="R1591" i="144"/>
  <c r="R1592" i="144"/>
  <c r="R1593" i="144"/>
  <c r="R1594" i="144"/>
  <c r="R1595" i="144"/>
  <c r="R1596" i="144"/>
  <c r="R1597" i="144"/>
  <c r="R1598" i="144"/>
  <c r="R1599" i="144"/>
  <c r="R1600" i="144"/>
  <c r="R1601" i="144"/>
  <c r="R1602" i="144"/>
  <c r="R1603" i="144"/>
  <c r="R1604" i="144"/>
  <c r="R1605" i="144"/>
  <c r="R1606" i="144"/>
  <c r="R1607" i="144"/>
  <c r="R1608" i="144"/>
  <c r="R1609" i="144"/>
  <c r="R1610" i="144"/>
  <c r="R1611" i="144"/>
  <c r="R1612" i="144"/>
  <c r="R1613" i="144"/>
  <c r="R1614" i="144"/>
  <c r="R1615" i="144"/>
  <c r="R1616" i="144"/>
  <c r="R1617" i="144"/>
  <c r="R1618" i="144"/>
  <c r="R1619" i="144"/>
  <c r="R1621" i="144"/>
  <c r="R1622" i="144"/>
  <c r="R1623" i="144"/>
  <c r="R1625" i="144"/>
  <c r="R1626" i="144"/>
  <c r="R1627" i="144"/>
  <c r="R1628" i="144"/>
  <c r="R1629" i="144"/>
  <c r="R1630" i="144"/>
  <c r="R1631" i="144"/>
  <c r="R1632" i="144"/>
  <c r="R1633" i="144"/>
  <c r="R1634" i="144"/>
  <c r="R1635" i="144"/>
  <c r="R1636" i="144"/>
  <c r="R1637" i="144"/>
  <c r="R1638" i="144"/>
  <c r="R1639" i="144"/>
  <c r="R1640" i="144"/>
  <c r="R1641" i="144"/>
  <c r="R1642" i="144"/>
  <c r="R1643" i="144"/>
  <c r="R1644" i="144"/>
  <c r="R1645" i="144"/>
  <c r="R1646" i="144"/>
  <c r="R1647" i="144"/>
  <c r="R1648" i="144"/>
  <c r="R1649" i="144"/>
  <c r="R1650" i="144"/>
  <c r="R1651" i="144"/>
  <c r="R1652" i="144"/>
  <c r="R1653" i="144"/>
  <c r="R1654" i="144"/>
  <c r="R1655" i="144"/>
  <c r="R1656" i="144"/>
  <c r="R1657" i="144"/>
  <c r="R1658" i="144"/>
  <c r="R1659" i="144"/>
  <c r="R1660" i="144"/>
  <c r="R1661" i="144"/>
  <c r="R1663" i="144"/>
  <c r="R1664" i="144"/>
  <c r="R1665" i="144"/>
  <c r="R1666" i="144"/>
  <c r="R1667" i="144"/>
  <c r="R1669" i="144"/>
  <c r="R1670" i="144"/>
  <c r="R1671" i="144"/>
  <c r="R1673" i="144"/>
  <c r="R1674" i="144"/>
  <c r="R1675" i="144"/>
  <c r="R1676" i="144"/>
  <c r="R1677" i="144"/>
  <c r="R1678" i="144"/>
  <c r="R1679" i="144"/>
  <c r="R1680" i="144"/>
  <c r="R1681" i="144"/>
  <c r="R1682" i="144"/>
  <c r="R1683" i="144"/>
  <c r="R1684" i="144"/>
  <c r="R1685" i="144"/>
  <c r="R1686" i="144"/>
  <c r="R1687" i="144"/>
  <c r="R1688" i="144"/>
  <c r="R1689" i="144"/>
  <c r="R1690" i="144"/>
  <c r="R1691" i="144"/>
  <c r="R1692" i="144"/>
  <c r="R1693" i="144"/>
  <c r="R1694" i="144"/>
  <c r="R1695" i="144"/>
  <c r="R1696" i="144"/>
  <c r="R1697" i="144"/>
  <c r="R1698" i="144"/>
  <c r="R1699" i="144"/>
  <c r="R1700" i="144"/>
  <c r="R1702" i="144"/>
  <c r="R1704" i="144"/>
  <c r="R1705" i="144"/>
  <c r="R1706" i="144"/>
  <c r="R1707" i="144"/>
  <c r="R1708" i="144"/>
  <c r="R1709" i="144"/>
  <c r="R1710" i="144"/>
  <c r="R1711" i="144"/>
  <c r="R1712" i="144"/>
  <c r="R1713" i="144"/>
  <c r="R1714" i="144"/>
  <c r="R1715" i="144"/>
  <c r="R1716" i="144"/>
  <c r="R1717" i="144"/>
  <c r="R1719" i="144"/>
  <c r="R1720" i="144"/>
  <c r="R1721" i="144"/>
  <c r="R1722" i="144"/>
  <c r="R1723" i="144"/>
  <c r="R1724" i="144"/>
  <c r="R1726" i="144"/>
  <c r="R1727" i="144"/>
  <c r="R1728" i="144"/>
  <c r="R1729" i="144"/>
  <c r="R1730" i="144"/>
  <c r="R1731" i="144"/>
  <c r="R1732" i="144"/>
  <c r="R1733" i="144"/>
  <c r="R1735" i="144"/>
  <c r="R1737" i="144"/>
  <c r="R1738" i="144"/>
  <c r="R1739" i="144"/>
  <c r="R1740" i="144"/>
  <c r="R1741" i="144"/>
  <c r="R1742" i="144"/>
  <c r="R1743" i="144"/>
  <c r="R1744" i="144"/>
  <c r="R1745" i="144"/>
  <c r="R1746" i="144"/>
  <c r="R1747" i="144"/>
  <c r="R1748" i="144"/>
  <c r="R1749" i="144"/>
  <c r="R1750" i="144"/>
  <c r="R1751" i="144"/>
  <c r="R1752" i="144"/>
  <c r="R1753" i="144"/>
  <c r="R1754" i="144"/>
  <c r="R1756" i="144"/>
  <c r="R1757" i="144"/>
  <c r="R1758" i="144"/>
  <c r="R1759" i="144"/>
  <c r="R1760" i="144"/>
  <c r="R1761" i="144"/>
  <c r="R1762" i="144"/>
  <c r="R1763" i="144"/>
  <c r="R1764" i="144"/>
  <c r="R1767" i="144"/>
  <c r="R1768" i="144"/>
  <c r="R1769" i="144"/>
  <c r="R1770" i="144"/>
  <c r="R1772" i="144"/>
  <c r="R1773" i="144"/>
  <c r="R1774" i="144"/>
  <c r="R1775" i="144"/>
  <c r="R1776" i="144"/>
  <c r="R1777" i="144"/>
  <c r="R1779" i="144"/>
  <c r="R1780" i="144"/>
  <c r="R1781" i="144"/>
  <c r="R1782" i="144"/>
  <c r="R1783" i="144"/>
  <c r="R1784" i="144"/>
  <c r="R1785" i="144"/>
  <c r="R1786" i="144"/>
  <c r="R1787" i="144"/>
  <c r="R1788" i="144"/>
  <c r="R1789" i="144"/>
  <c r="R1790" i="144"/>
  <c r="R1791" i="144"/>
  <c r="R1792" i="144"/>
  <c r="R1793" i="144"/>
  <c r="R1794" i="144"/>
  <c r="R1795" i="144"/>
  <c r="R1796" i="144"/>
  <c r="R1797" i="144"/>
  <c r="R1798" i="144"/>
  <c r="R1799" i="144"/>
  <c r="R1800" i="144"/>
  <c r="R1801" i="144"/>
  <c r="R1802" i="144"/>
  <c r="R1803" i="144"/>
  <c r="R1804" i="144"/>
  <c r="R1805" i="144"/>
  <c r="R1806" i="144"/>
  <c r="R1807" i="144"/>
  <c r="R1808" i="144"/>
  <c r="R1809" i="144"/>
  <c r="R1810" i="144"/>
  <c r="R1811" i="144"/>
  <c r="R1812" i="144"/>
  <c r="R1813" i="144"/>
  <c r="R1815" i="144"/>
  <c r="R1816" i="144"/>
  <c r="R1817" i="144"/>
  <c r="R1818" i="144"/>
  <c r="R1819" i="144"/>
  <c r="R1820" i="144"/>
  <c r="R1821" i="144"/>
  <c r="R1822" i="144"/>
  <c r="R1823" i="144"/>
  <c r="R1824" i="144"/>
  <c r="R1825" i="144"/>
  <c r="R1826" i="144"/>
  <c r="R1827" i="144"/>
  <c r="R1828" i="144"/>
  <c r="R1829" i="144"/>
  <c r="R1830" i="144"/>
  <c r="R1831" i="144"/>
  <c r="R1832" i="144"/>
  <c r="R1833" i="144"/>
  <c r="R1834" i="144"/>
  <c r="R1835" i="144"/>
  <c r="R1836" i="144"/>
  <c r="R1837" i="144"/>
  <c r="R1839" i="144"/>
  <c r="R1842" i="144"/>
  <c r="R1843" i="144"/>
  <c r="R1844" i="144"/>
  <c r="R1845" i="144"/>
  <c r="R1846" i="144"/>
  <c r="R1847" i="144"/>
  <c r="R1848" i="144"/>
  <c r="R1849" i="144"/>
  <c r="R1850" i="144"/>
  <c r="R1851" i="144"/>
  <c r="R1852" i="144"/>
  <c r="R1853" i="144"/>
  <c r="R1854" i="144"/>
  <c r="R1855" i="144"/>
  <c r="R1856" i="144"/>
  <c r="R1857" i="144"/>
  <c r="R1858" i="144"/>
  <c r="R1859" i="144"/>
  <c r="R1860" i="144"/>
  <c r="R1861" i="144"/>
  <c r="R1862" i="144"/>
  <c r="R1863" i="144"/>
  <c r="R1864" i="144"/>
  <c r="R1865" i="144"/>
  <c r="R1866" i="144"/>
  <c r="R1867" i="144"/>
  <c r="R1868" i="144"/>
  <c r="R1869" i="144"/>
  <c r="R1870" i="144"/>
  <c r="R1871" i="144"/>
  <c r="R1872" i="144"/>
  <c r="R1873" i="144"/>
  <c r="R1874" i="144"/>
  <c r="R1875" i="144"/>
  <c r="R1876" i="144"/>
  <c r="R1877" i="144"/>
  <c r="R1878" i="144"/>
  <c r="R1879" i="144"/>
  <c r="R1880" i="144"/>
  <c r="R1881" i="144"/>
  <c r="R1882" i="144"/>
  <c r="R1883" i="144"/>
  <c r="R1884" i="144"/>
  <c r="R1885" i="144"/>
  <c r="R1886" i="144"/>
  <c r="R1887" i="144"/>
  <c r="R1888" i="144"/>
  <c r="R1889" i="144"/>
  <c r="R1890" i="144"/>
  <c r="R1891" i="144"/>
  <c r="R1892" i="144"/>
  <c r="R1893" i="144"/>
  <c r="R1894" i="144"/>
  <c r="R1895" i="144"/>
  <c r="R1896" i="144"/>
  <c r="R1897" i="144"/>
  <c r="R1898" i="144"/>
  <c r="R1899" i="144"/>
  <c r="R1900" i="144"/>
  <c r="R1901" i="144"/>
  <c r="R1902" i="144"/>
  <c r="R1903" i="144"/>
  <c r="R1904" i="144"/>
  <c r="R1905" i="144"/>
  <c r="R1906" i="144"/>
  <c r="R1907" i="144"/>
  <c r="R1908" i="144"/>
  <c r="R1909" i="144"/>
  <c r="R1910" i="144"/>
  <c r="R1912" i="144"/>
  <c r="R1913" i="144"/>
  <c r="R1914" i="144"/>
  <c r="R1915" i="144"/>
  <c r="R1916" i="144"/>
  <c r="R1917" i="144"/>
  <c r="R1918" i="144"/>
  <c r="R1919" i="144"/>
  <c r="R1920" i="144"/>
  <c r="R1921" i="144"/>
  <c r="R1923" i="144"/>
  <c r="R1924" i="144"/>
  <c r="R1925" i="144"/>
  <c r="R1926" i="144"/>
  <c r="R1927" i="144"/>
  <c r="R1928" i="144"/>
  <c r="R1929" i="144"/>
  <c r="R1930" i="144"/>
  <c r="R1931" i="144"/>
  <c r="R1932" i="144"/>
  <c r="R1933" i="144"/>
  <c r="R1934" i="144"/>
  <c r="R1935" i="144"/>
  <c r="R1936" i="144"/>
  <c r="R1937" i="144"/>
  <c r="R1938" i="144"/>
  <c r="R1939" i="144"/>
  <c r="R1940" i="144"/>
  <c r="R1941" i="144"/>
  <c r="R1942" i="144"/>
  <c r="R1943" i="144"/>
  <c r="R1944" i="144"/>
  <c r="R1945" i="144"/>
  <c r="R1946" i="144"/>
  <c r="R1947" i="144"/>
  <c r="R1948" i="144"/>
  <c r="R1949" i="144"/>
  <c r="R1950" i="144"/>
  <c r="R1951" i="144"/>
  <c r="R1952" i="144"/>
  <c r="R1953" i="144"/>
  <c r="R1954" i="144"/>
  <c r="R1955" i="144"/>
  <c r="R1956" i="144"/>
  <c r="R1957" i="144"/>
  <c r="R1958" i="144"/>
  <c r="R1961" i="144"/>
  <c r="R1962" i="144"/>
  <c r="R1963" i="144"/>
  <c r="R1964" i="144"/>
  <c r="R1965" i="144"/>
  <c r="R1966" i="144"/>
  <c r="R1967" i="144"/>
  <c r="R1968" i="144"/>
  <c r="R1969" i="144"/>
  <c r="R1970" i="144"/>
  <c r="R1971" i="144"/>
  <c r="R1972" i="144"/>
  <c r="R1974" i="144"/>
  <c r="R1975" i="144"/>
  <c r="R1976" i="144"/>
  <c r="R1977" i="144"/>
  <c r="R1978" i="144"/>
  <c r="R1979" i="144"/>
  <c r="R1980" i="144"/>
  <c r="R1981" i="144"/>
  <c r="R1982" i="144"/>
  <c r="R1984" i="144"/>
  <c r="R1988" i="144"/>
  <c r="R1989" i="144"/>
  <c r="R1991" i="144"/>
  <c r="R1992" i="144"/>
  <c r="R1993" i="144"/>
  <c r="R1996" i="144"/>
  <c r="R1997" i="144"/>
  <c r="R1998" i="144"/>
  <c r="R1999" i="144"/>
  <c r="R2002" i="144"/>
  <c r="R2003" i="144"/>
  <c r="R2004" i="144"/>
  <c r="R2008" i="144"/>
  <c r="R2009" i="144"/>
  <c r="R2012" i="144"/>
  <c r="R2013" i="144"/>
  <c r="R2014" i="144"/>
  <c r="R2015" i="144"/>
  <c r="R2017" i="144"/>
  <c r="R2018" i="144"/>
  <c r="R2019" i="144"/>
  <c r="R2020" i="144"/>
  <c r="R2021" i="144"/>
  <c r="R2022" i="144"/>
  <c r="R2023" i="144"/>
  <c r="R2024" i="144"/>
  <c r="R2025" i="144"/>
  <c r="R2028" i="144"/>
  <c r="R2029" i="144"/>
  <c r="R2030" i="144"/>
  <c r="R2031" i="144"/>
  <c r="R2032" i="144"/>
  <c r="R2033" i="144"/>
  <c r="R2034" i="144"/>
  <c r="R2035" i="144"/>
  <c r="R2036" i="144"/>
  <c r="R2038" i="144"/>
  <c r="R2039" i="144"/>
  <c r="R2040" i="144"/>
  <c r="R2041" i="144"/>
  <c r="R2042" i="144"/>
  <c r="R2043" i="144"/>
  <c r="R2044" i="144"/>
  <c r="R2045" i="144"/>
  <c r="R2046" i="144"/>
  <c r="R2047" i="144"/>
  <c r="R2048" i="144"/>
  <c r="R2049" i="144"/>
  <c r="R2050" i="144"/>
  <c r="R2051" i="144"/>
  <c r="R2052" i="144"/>
  <c r="R2053" i="144"/>
  <c r="R2054" i="144"/>
  <c r="R2055" i="144"/>
  <c r="R2056" i="144"/>
  <c r="R2057" i="144"/>
  <c r="R2058" i="144"/>
  <c r="R2059" i="144"/>
  <c r="R2060" i="144"/>
  <c r="R2061" i="144"/>
  <c r="R2062" i="144"/>
  <c r="R2063" i="144"/>
  <c r="R2064" i="144"/>
  <c r="R2065" i="144"/>
  <c r="R2066" i="144"/>
  <c r="R2067" i="144"/>
  <c r="R2068" i="144"/>
  <c r="R2069" i="144"/>
  <c r="R2070" i="144"/>
  <c r="R2071" i="144"/>
  <c r="R2072" i="144"/>
  <c r="R2073" i="144"/>
  <c r="R2074" i="144"/>
  <c r="R2075" i="144"/>
  <c r="R2076" i="144"/>
  <c r="R2077" i="144"/>
  <c r="R2078" i="144"/>
  <c r="R2079" i="144"/>
  <c r="R2080" i="144"/>
  <c r="R2081" i="144"/>
  <c r="R2082" i="144"/>
  <c r="R2083" i="144"/>
  <c r="R2084" i="144"/>
  <c r="R2085" i="144"/>
  <c r="R2086" i="144"/>
  <c r="R2087" i="144"/>
  <c r="R2088" i="144"/>
  <c r="R2089" i="144"/>
  <c r="R2091" i="144"/>
  <c r="R2092" i="144"/>
  <c r="R2093" i="144"/>
  <c r="R2094" i="144"/>
  <c r="R2095" i="144"/>
  <c r="R2096" i="144"/>
  <c r="R2097" i="144"/>
  <c r="R2098" i="144"/>
  <c r="R2099" i="144"/>
  <c r="R2100" i="144"/>
  <c r="R2101" i="144"/>
  <c r="R2102" i="144"/>
  <c r="R2103" i="144"/>
  <c r="R2104" i="144"/>
  <c r="R2105" i="144"/>
  <c r="R2106" i="144"/>
  <c r="R2107" i="144"/>
  <c r="R2108" i="144"/>
  <c r="R2109" i="144"/>
  <c r="R2110" i="144"/>
  <c r="R2111" i="144"/>
  <c r="R2112" i="144"/>
  <c r="R2113" i="144"/>
  <c r="R2114" i="144"/>
  <c r="R2115" i="144"/>
  <c r="R2116" i="144"/>
  <c r="R2117" i="144"/>
  <c r="R2118" i="144"/>
  <c r="R2119" i="144"/>
  <c r="R2120" i="144"/>
  <c r="R2121" i="144"/>
  <c r="R2122" i="144"/>
  <c r="R2123" i="144"/>
  <c r="R2124" i="144"/>
  <c r="R2125" i="144"/>
  <c r="R2126" i="144"/>
  <c r="R2127" i="144"/>
  <c r="R2128" i="144"/>
  <c r="R2129" i="144"/>
  <c r="R2130" i="144"/>
  <c r="R2131" i="144"/>
  <c r="R2132" i="144"/>
  <c r="R2133" i="144"/>
  <c r="R2136" i="144"/>
  <c r="R2137" i="144"/>
  <c r="R2139" i="144"/>
  <c r="R2140" i="144"/>
  <c r="R2142" i="144"/>
  <c r="R2143" i="144"/>
  <c r="R2144" i="144"/>
  <c r="R2145" i="144"/>
  <c r="R2146" i="144"/>
  <c r="R2147" i="144"/>
  <c r="R2148" i="144"/>
  <c r="R2149" i="144"/>
  <c r="R2151" i="144"/>
  <c r="R2152" i="144"/>
  <c r="R2153" i="144"/>
  <c r="R2154" i="144"/>
  <c r="R2156" i="144"/>
  <c r="R2157" i="144"/>
  <c r="R2158" i="144"/>
  <c r="R2159" i="144"/>
  <c r="R2160" i="144"/>
  <c r="R2161" i="144"/>
  <c r="R2162" i="144"/>
  <c r="R2163" i="144"/>
  <c r="R2164" i="144"/>
  <c r="R2166" i="144"/>
  <c r="R2167" i="144"/>
  <c r="R2168" i="144"/>
  <c r="R2169" i="144"/>
  <c r="R2170" i="144"/>
  <c r="R2171" i="144"/>
  <c r="R2172" i="144"/>
  <c r="R2173" i="144"/>
  <c r="R2174" i="144"/>
  <c r="R2175" i="144"/>
  <c r="R2176" i="144"/>
  <c r="R2177" i="144"/>
  <c r="R2178" i="144"/>
  <c r="R2179" i="144"/>
  <c r="R2180" i="144"/>
  <c r="R2181" i="144"/>
  <c r="R2182" i="144"/>
  <c r="R2183" i="144"/>
  <c r="R2184" i="144"/>
  <c r="R2185" i="144"/>
  <c r="R2186" i="144"/>
  <c r="R2187" i="144"/>
  <c r="R2188" i="144"/>
  <c r="R2189" i="144"/>
  <c r="R2190" i="144"/>
  <c r="R2191" i="144"/>
  <c r="R2192" i="144"/>
  <c r="R2193" i="144"/>
  <c r="R2194" i="144"/>
  <c r="R2195" i="144"/>
  <c r="R2196" i="144"/>
  <c r="R2197" i="144"/>
  <c r="R2198" i="144"/>
  <c r="R2199" i="144"/>
  <c r="R2200" i="144"/>
  <c r="R2201" i="144"/>
  <c r="R2202" i="144"/>
  <c r="R2203" i="144"/>
  <c r="R2204" i="144"/>
  <c r="R2205" i="144"/>
  <c r="R2206" i="144"/>
  <c r="R2207" i="144"/>
  <c r="R2208" i="144"/>
  <c r="R2209" i="144"/>
  <c r="R2210" i="144"/>
  <c r="R2211" i="144"/>
  <c r="R2212" i="144"/>
  <c r="R2213" i="144"/>
  <c r="R2215" i="144"/>
  <c r="R2216" i="144"/>
  <c r="R2217" i="144"/>
  <c r="R2218" i="144"/>
  <c r="R2219" i="144"/>
  <c r="R2220" i="144"/>
  <c r="R2221" i="144"/>
  <c r="R2222" i="144"/>
  <c r="R2223" i="144"/>
  <c r="R2224" i="144"/>
  <c r="R2225" i="144"/>
  <c r="R2226" i="144"/>
  <c r="R2229" i="144"/>
  <c r="R2230" i="144"/>
  <c r="R2231" i="144"/>
  <c r="R2232" i="144"/>
  <c r="R2233" i="144"/>
  <c r="R2234" i="144"/>
  <c r="R2235" i="144"/>
  <c r="R2236" i="144"/>
  <c r="R2237" i="144"/>
  <c r="R2238" i="144"/>
  <c r="R2239" i="144"/>
  <c r="R2240" i="144"/>
  <c r="R2241" i="144"/>
  <c r="R2242" i="144"/>
  <c r="R2243" i="144"/>
  <c r="R2245" i="144"/>
  <c r="R2246" i="144"/>
  <c r="R2247" i="144"/>
  <c r="R2248" i="144"/>
  <c r="R2249" i="144"/>
  <c r="R2250" i="144"/>
  <c r="R2251" i="144"/>
  <c r="R2252" i="144"/>
  <c r="R2253" i="144"/>
  <c r="R2254" i="144"/>
  <c r="R2255" i="144"/>
  <c r="R2256" i="144"/>
  <c r="R2257" i="144"/>
  <c r="R2258" i="144"/>
  <c r="R2259" i="144"/>
  <c r="R2260" i="144"/>
  <c r="R2261" i="144"/>
  <c r="R2262" i="144"/>
  <c r="R2263" i="144"/>
  <c r="R2264" i="144"/>
  <c r="R2265" i="144"/>
  <c r="R2266" i="144"/>
  <c r="R2267" i="144"/>
  <c r="R2268" i="144"/>
  <c r="R2269" i="144"/>
  <c r="R2270" i="144"/>
  <c r="R2271" i="144"/>
  <c r="R2272" i="144"/>
  <c r="R2273" i="144"/>
  <c r="R2275" i="144"/>
  <c r="R2276" i="144"/>
  <c r="R2277" i="144"/>
  <c r="R2278" i="144"/>
  <c r="R2279" i="144"/>
  <c r="R2280" i="144"/>
  <c r="R2281" i="144"/>
  <c r="R2282" i="144"/>
  <c r="R2283" i="144"/>
  <c r="R2284" i="144"/>
  <c r="R2285" i="144"/>
  <c r="R2286" i="144"/>
  <c r="R2288" i="144"/>
  <c r="R2289" i="144"/>
  <c r="R2290" i="144"/>
  <c r="R2291" i="144"/>
  <c r="R2292" i="144"/>
  <c r="R2293" i="144"/>
  <c r="R2294" i="144"/>
  <c r="R2295" i="144"/>
  <c r="R2296" i="144"/>
  <c r="R2297" i="144"/>
  <c r="R2298" i="144"/>
  <c r="R2299" i="144"/>
  <c r="R2300" i="144"/>
  <c r="R2301" i="144"/>
  <c r="R2302" i="144"/>
  <c r="R2303" i="144"/>
  <c r="R2304" i="144"/>
  <c r="R2305" i="144"/>
  <c r="R2306" i="144"/>
  <c r="R2307" i="144"/>
  <c r="R2309" i="144"/>
  <c r="R2310" i="144"/>
  <c r="R2311" i="144"/>
  <c r="R2312" i="144"/>
  <c r="R2313" i="144"/>
  <c r="R2314" i="144"/>
  <c r="R2315" i="144"/>
  <c r="R2316" i="144"/>
  <c r="R2317" i="144"/>
  <c r="R2318" i="144"/>
  <c r="R2319" i="144"/>
  <c r="R2320" i="144"/>
  <c r="R2322" i="144"/>
  <c r="R2323" i="144"/>
  <c r="R2324" i="144"/>
  <c r="R2325" i="144"/>
  <c r="R2326" i="144"/>
  <c r="R2327" i="144"/>
  <c r="R1523" i="144"/>
  <c r="R1524" i="144"/>
  <c r="R1525" i="144"/>
  <c r="R8" i="144"/>
  <c r="R9" i="144"/>
  <c r="R10" i="144"/>
  <c r="R11" i="144"/>
  <c r="R12" i="144"/>
  <c r="R13" i="144"/>
  <c r="R14" i="144"/>
  <c r="R15" i="144"/>
  <c r="R16" i="144"/>
  <c r="R17" i="144"/>
  <c r="R18" i="144"/>
  <c r="R19" i="144"/>
  <c r="R20" i="144"/>
  <c r="R21" i="144"/>
  <c r="R22" i="144"/>
  <c r="R23" i="144"/>
  <c r="R24" i="144"/>
  <c r="R25" i="144"/>
  <c r="R26" i="144"/>
  <c r="R27" i="144"/>
  <c r="R28" i="144"/>
  <c r="R29" i="144"/>
  <c r="R30" i="144"/>
  <c r="R31" i="144"/>
  <c r="R32" i="144"/>
  <c r="R33" i="144"/>
  <c r="R35" i="144"/>
  <c r="R36" i="144"/>
  <c r="R37" i="144"/>
  <c r="R38" i="144"/>
  <c r="R39" i="144"/>
  <c r="R40" i="144"/>
  <c r="R41" i="144"/>
  <c r="R42" i="144"/>
  <c r="R43" i="144"/>
  <c r="R44" i="144"/>
  <c r="R45" i="144"/>
  <c r="R46" i="144"/>
  <c r="R47" i="144"/>
  <c r="R48" i="144"/>
  <c r="R49" i="144"/>
  <c r="R50" i="144"/>
  <c r="R51" i="144"/>
  <c r="R52" i="144"/>
  <c r="R53" i="144"/>
  <c r="R54" i="144"/>
  <c r="R55" i="144"/>
  <c r="R56" i="144"/>
  <c r="R57" i="144"/>
  <c r="R58" i="144"/>
  <c r="R59" i="144"/>
  <c r="R61" i="144"/>
  <c r="R62" i="144"/>
  <c r="R63" i="144"/>
  <c r="R64" i="144"/>
  <c r="R65" i="144"/>
  <c r="R66" i="144"/>
  <c r="R67" i="144"/>
  <c r="R69" i="144"/>
  <c r="R70" i="144"/>
  <c r="R72" i="144"/>
  <c r="R73" i="144"/>
  <c r="R74" i="144"/>
  <c r="R75" i="144"/>
  <c r="R76" i="144"/>
  <c r="R77" i="144"/>
  <c r="R78" i="144"/>
  <c r="R79" i="144"/>
  <c r="R80" i="144"/>
  <c r="R81" i="144"/>
  <c r="R82" i="144"/>
  <c r="R83" i="144"/>
  <c r="R84" i="144"/>
  <c r="R85" i="144"/>
  <c r="R86" i="144"/>
  <c r="R87" i="144"/>
  <c r="R88" i="144"/>
  <c r="R89" i="144"/>
  <c r="R90" i="144"/>
  <c r="R91" i="144"/>
  <c r="R92" i="144"/>
  <c r="R93" i="144"/>
  <c r="R94" i="144"/>
  <c r="R95" i="144"/>
  <c r="R96" i="144"/>
  <c r="R99" i="144"/>
  <c r="R100" i="144"/>
  <c r="R101" i="144"/>
  <c r="R102" i="144"/>
  <c r="R103" i="144"/>
  <c r="R104" i="144"/>
  <c r="R105" i="144"/>
  <c r="R106" i="144"/>
  <c r="R107" i="144"/>
  <c r="R108" i="144"/>
  <c r="R109" i="144"/>
  <c r="R110" i="144"/>
  <c r="R111" i="144"/>
  <c r="R112" i="144"/>
  <c r="R113" i="144"/>
  <c r="R114" i="144"/>
  <c r="R115" i="144"/>
  <c r="R116" i="144"/>
  <c r="R117" i="144"/>
  <c r="R118" i="144"/>
  <c r="R119" i="144"/>
  <c r="R120" i="144"/>
  <c r="R121" i="144"/>
  <c r="R122" i="144"/>
  <c r="R123" i="144"/>
  <c r="R124" i="144"/>
  <c r="R125" i="144"/>
  <c r="R126" i="144"/>
  <c r="R127" i="144"/>
  <c r="R128" i="144"/>
  <c r="R129" i="144"/>
  <c r="R130" i="144"/>
  <c r="R131" i="144"/>
  <c r="R132" i="144"/>
  <c r="R133" i="144"/>
  <c r="R134" i="144"/>
  <c r="R135" i="144"/>
  <c r="R136" i="144"/>
  <c r="R137" i="144"/>
  <c r="R138" i="144"/>
  <c r="R139" i="144"/>
  <c r="R140" i="144"/>
  <c r="R141" i="144"/>
  <c r="R142" i="144"/>
  <c r="R144" i="144"/>
  <c r="R145" i="144"/>
  <c r="R146" i="144"/>
  <c r="R147" i="144"/>
  <c r="R148" i="144"/>
  <c r="R149" i="144"/>
  <c r="R150" i="144"/>
  <c r="R151" i="144"/>
  <c r="R152" i="144"/>
  <c r="R153" i="144"/>
  <c r="R154" i="144"/>
  <c r="R155" i="144"/>
  <c r="R156" i="144"/>
  <c r="R157" i="144"/>
  <c r="R158" i="144"/>
  <c r="R159" i="144"/>
  <c r="R160" i="144"/>
  <c r="R161" i="144"/>
  <c r="R162" i="144"/>
  <c r="R163" i="144"/>
  <c r="R164" i="144"/>
  <c r="R165" i="144"/>
  <c r="R166" i="144"/>
  <c r="R167" i="144"/>
  <c r="R168" i="144"/>
  <c r="R169" i="144"/>
  <c r="R170" i="144"/>
  <c r="R171" i="144"/>
  <c r="R172" i="144"/>
  <c r="R173" i="144"/>
  <c r="R175" i="144"/>
  <c r="R176" i="144"/>
  <c r="R177" i="144"/>
  <c r="R179" i="144"/>
  <c r="R180" i="144"/>
  <c r="R181" i="144"/>
  <c r="R182" i="144"/>
  <c r="R183" i="144"/>
  <c r="R184" i="144"/>
  <c r="R185" i="144"/>
  <c r="R186" i="144"/>
  <c r="R187" i="144"/>
  <c r="R188" i="144"/>
  <c r="R189" i="144"/>
  <c r="R190" i="144"/>
  <c r="R192" i="144"/>
  <c r="R193" i="144"/>
  <c r="R194" i="144"/>
  <c r="R196" i="144"/>
  <c r="R197" i="144"/>
  <c r="R198" i="144"/>
  <c r="R199" i="144"/>
  <c r="R200" i="144"/>
  <c r="R201" i="144"/>
  <c r="R202" i="144"/>
  <c r="R203" i="144"/>
  <c r="R204" i="144"/>
  <c r="R205" i="144"/>
  <c r="R206" i="144"/>
  <c r="R207" i="144"/>
  <c r="R208" i="144"/>
  <c r="R209" i="144"/>
  <c r="R210" i="144"/>
  <c r="R211" i="144"/>
  <c r="R213" i="144"/>
  <c r="R214" i="144"/>
  <c r="R215" i="144"/>
  <c r="R216" i="144"/>
  <c r="R217" i="144"/>
  <c r="R218" i="144"/>
  <c r="R219" i="144"/>
  <c r="R220" i="144"/>
  <c r="R221" i="144"/>
  <c r="R222" i="144"/>
  <c r="R223" i="144"/>
  <c r="R224" i="144"/>
  <c r="R225" i="144"/>
  <c r="R226" i="144"/>
  <c r="R227" i="144"/>
  <c r="R228" i="144"/>
  <c r="R229" i="144"/>
  <c r="R230" i="144"/>
  <c r="R231" i="144"/>
  <c r="R232" i="144"/>
  <c r="R233" i="144"/>
  <c r="R234" i="144"/>
  <c r="R235" i="144"/>
  <c r="R236" i="144"/>
  <c r="R237" i="144"/>
  <c r="R238" i="144"/>
  <c r="R239" i="144"/>
  <c r="R240" i="144"/>
  <c r="R241" i="144"/>
  <c r="R242" i="144"/>
  <c r="R243" i="144"/>
  <c r="R244" i="144"/>
  <c r="R245" i="144"/>
  <c r="R246" i="144"/>
  <c r="R247" i="144"/>
  <c r="R248" i="144"/>
  <c r="R249" i="144"/>
  <c r="R250" i="144"/>
  <c r="R251" i="144"/>
  <c r="R252" i="144"/>
  <c r="R253" i="144"/>
  <c r="R254" i="144"/>
  <c r="R255" i="144"/>
  <c r="R256" i="144"/>
  <c r="R257" i="144"/>
  <c r="R258" i="144"/>
  <c r="R259" i="144"/>
  <c r="R260" i="144"/>
  <c r="R261" i="144"/>
  <c r="R262" i="144"/>
  <c r="R263" i="144"/>
  <c r="R264" i="144"/>
  <c r="R265" i="144"/>
  <c r="R266" i="144"/>
  <c r="R267" i="144"/>
  <c r="R268" i="144"/>
  <c r="R269" i="144"/>
  <c r="R270" i="144"/>
  <c r="R271" i="144"/>
  <c r="R273" i="144"/>
  <c r="R274" i="144"/>
  <c r="R275" i="144"/>
  <c r="R276" i="144"/>
  <c r="R277" i="144"/>
  <c r="R278" i="144"/>
  <c r="R279" i="144"/>
  <c r="R280" i="144"/>
  <c r="R281" i="144"/>
  <c r="R282" i="144"/>
  <c r="R283" i="144"/>
  <c r="R284" i="144"/>
  <c r="R285" i="144"/>
  <c r="R286" i="144"/>
  <c r="R288" i="144"/>
  <c r="R289" i="144"/>
  <c r="R290" i="144"/>
  <c r="R291" i="144"/>
  <c r="R292" i="144"/>
  <c r="R293" i="144"/>
  <c r="R294" i="144"/>
  <c r="R295" i="144"/>
  <c r="R297" i="144"/>
  <c r="R298" i="144"/>
  <c r="R299" i="144"/>
  <c r="R300" i="144"/>
  <c r="R301" i="144"/>
  <c r="R302" i="144"/>
  <c r="R303" i="144"/>
  <c r="R304" i="144"/>
  <c r="R305" i="144"/>
  <c r="R306" i="144"/>
  <c r="R307" i="144"/>
  <c r="R308" i="144"/>
  <c r="R309" i="144"/>
  <c r="R310" i="144"/>
  <c r="R311" i="144"/>
  <c r="R312" i="144"/>
  <c r="R313" i="144"/>
  <c r="R314" i="144"/>
  <c r="R315" i="144"/>
  <c r="R316" i="144"/>
  <c r="R317" i="144"/>
  <c r="R318" i="144"/>
  <c r="R319" i="144"/>
  <c r="R320" i="144"/>
  <c r="R321" i="144"/>
  <c r="R322" i="144"/>
  <c r="R323" i="144"/>
  <c r="R324" i="144"/>
  <c r="R325" i="144"/>
  <c r="R326" i="144"/>
  <c r="R327" i="144"/>
  <c r="R328" i="144"/>
  <c r="R329" i="144"/>
  <c r="R330" i="144"/>
  <c r="R331" i="144"/>
  <c r="R332" i="144"/>
  <c r="R333" i="144"/>
  <c r="R334" i="144"/>
  <c r="R335" i="144"/>
  <c r="R336" i="144"/>
  <c r="R337" i="144"/>
  <c r="R338" i="144"/>
  <c r="R339" i="144"/>
  <c r="R340" i="144"/>
  <c r="R341" i="144"/>
  <c r="R342" i="144"/>
  <c r="R343" i="144"/>
  <c r="R344" i="144"/>
  <c r="R345" i="144"/>
  <c r="R347" i="144"/>
  <c r="R349" i="144"/>
  <c r="R350" i="144"/>
  <c r="R352" i="144"/>
  <c r="R353" i="144"/>
  <c r="R354" i="144"/>
  <c r="R355" i="144"/>
  <c r="R356" i="144"/>
  <c r="R357" i="144"/>
  <c r="R358" i="144"/>
  <c r="R359" i="144"/>
  <c r="R360" i="144"/>
  <c r="R361" i="144"/>
  <c r="R362" i="144"/>
  <c r="R363" i="144"/>
  <c r="R366" i="144"/>
  <c r="R367" i="144"/>
  <c r="R368" i="144"/>
  <c r="R369" i="144"/>
  <c r="R370" i="144"/>
  <c r="R371" i="144"/>
  <c r="R372" i="144"/>
  <c r="R373" i="144"/>
  <c r="R374" i="144"/>
  <c r="R375" i="144"/>
  <c r="R376" i="144"/>
  <c r="R378" i="144"/>
  <c r="R379" i="144"/>
  <c r="R380" i="144"/>
  <c r="R381" i="144"/>
  <c r="R382" i="144"/>
  <c r="R383" i="144"/>
  <c r="R384" i="144"/>
  <c r="R385" i="144"/>
  <c r="R386" i="144"/>
  <c r="R387" i="144"/>
  <c r="R388" i="144"/>
  <c r="R389" i="144"/>
  <c r="R390" i="144"/>
  <c r="R391" i="144"/>
  <c r="R392" i="144"/>
  <c r="R393" i="144"/>
  <c r="R394" i="144"/>
  <c r="R395" i="144"/>
  <c r="R396" i="144"/>
  <c r="R397" i="144"/>
  <c r="R398" i="144"/>
  <c r="R399" i="144"/>
  <c r="R400" i="144"/>
  <c r="R401" i="144"/>
  <c r="R402" i="144"/>
  <c r="R403" i="144"/>
  <c r="R404" i="144"/>
  <c r="R405" i="144"/>
  <c r="R406" i="144"/>
  <c r="R407" i="144"/>
  <c r="R408" i="144"/>
  <c r="R409" i="144"/>
  <c r="R410" i="144"/>
  <c r="R411" i="144"/>
  <c r="R412" i="144"/>
  <c r="R413" i="144"/>
  <c r="R414" i="144"/>
  <c r="R415" i="144"/>
  <c r="R416" i="144"/>
  <c r="R417" i="144"/>
  <c r="R418" i="144"/>
  <c r="R419" i="144"/>
  <c r="R420" i="144"/>
  <c r="R421" i="144"/>
  <c r="R422" i="144"/>
  <c r="R423" i="144"/>
  <c r="R424" i="144"/>
  <c r="R425" i="144"/>
  <c r="R426" i="144"/>
  <c r="R427" i="144"/>
  <c r="R428" i="144"/>
  <c r="R429" i="144"/>
  <c r="R430" i="144"/>
  <c r="R432" i="144"/>
  <c r="R433" i="144"/>
  <c r="R434" i="144"/>
  <c r="R435" i="144"/>
  <c r="R436" i="144"/>
  <c r="R437" i="144"/>
  <c r="R438" i="144"/>
  <c r="R439" i="144"/>
  <c r="R440" i="144"/>
  <c r="R441" i="144"/>
  <c r="R442" i="144"/>
  <c r="R443" i="144"/>
  <c r="R444" i="144"/>
  <c r="R445" i="144"/>
  <c r="R447" i="144"/>
  <c r="R448" i="144"/>
  <c r="R450" i="144"/>
  <c r="R451" i="144"/>
  <c r="R452" i="144"/>
  <c r="R453" i="144"/>
  <c r="R454" i="144"/>
  <c r="R455" i="144"/>
  <c r="R456" i="144"/>
  <c r="R457" i="144"/>
  <c r="R458" i="144"/>
  <c r="R459" i="144"/>
  <c r="R462" i="144"/>
  <c r="R464" i="144"/>
  <c r="R465" i="144"/>
  <c r="R466" i="144"/>
  <c r="R467" i="144"/>
  <c r="R468" i="144"/>
  <c r="R469" i="144"/>
  <c r="R470" i="144"/>
  <c r="R471" i="144"/>
  <c r="R472" i="144"/>
  <c r="R473" i="144"/>
  <c r="R474" i="144"/>
  <c r="R475" i="144"/>
  <c r="R476" i="144"/>
  <c r="R477" i="144"/>
  <c r="R478" i="144"/>
  <c r="R479" i="144"/>
  <c r="R480" i="144"/>
  <c r="R481" i="144"/>
  <c r="R482" i="144"/>
  <c r="R483" i="144"/>
  <c r="R484" i="144"/>
  <c r="R485" i="144"/>
  <c r="R486" i="144"/>
  <c r="R487" i="144"/>
  <c r="R488" i="144"/>
  <c r="R489" i="144"/>
  <c r="R490" i="144"/>
  <c r="R491" i="144"/>
  <c r="R492" i="144"/>
  <c r="R493" i="144"/>
  <c r="R494" i="144"/>
  <c r="R495" i="144"/>
  <c r="R496" i="144"/>
  <c r="R497" i="144"/>
  <c r="R499" i="144"/>
  <c r="R500" i="144"/>
  <c r="R501" i="144"/>
  <c r="R502" i="144"/>
  <c r="R503" i="144"/>
  <c r="R504" i="144"/>
  <c r="R505" i="144"/>
  <c r="R506" i="144"/>
  <c r="R507" i="144"/>
  <c r="R508" i="144"/>
  <c r="R509" i="144"/>
  <c r="R510" i="144"/>
  <c r="R511" i="144"/>
  <c r="R512" i="144"/>
  <c r="R513" i="144"/>
  <c r="R514" i="144"/>
  <c r="R515" i="144"/>
  <c r="R516" i="144"/>
  <c r="R517" i="144"/>
  <c r="R518" i="144"/>
  <c r="R519" i="144"/>
  <c r="R520" i="144"/>
  <c r="R521" i="144"/>
  <c r="R522" i="144"/>
  <c r="R523" i="144"/>
  <c r="R524" i="144"/>
  <c r="R525" i="144"/>
  <c r="R526" i="144"/>
  <c r="R527" i="144"/>
  <c r="R528" i="144"/>
  <c r="R529" i="144"/>
  <c r="R530" i="144"/>
  <c r="R531" i="144"/>
  <c r="R532" i="144"/>
  <c r="R533" i="144"/>
  <c r="R534" i="144"/>
  <c r="R535" i="144"/>
  <c r="R536" i="144"/>
  <c r="R537" i="144"/>
  <c r="R538" i="144"/>
  <c r="R539" i="144"/>
  <c r="R540" i="144"/>
  <c r="R541" i="144"/>
  <c r="R542" i="144"/>
  <c r="R543" i="144"/>
  <c r="R544" i="144"/>
  <c r="R545" i="144"/>
  <c r="R546" i="144"/>
  <c r="R547" i="144"/>
  <c r="R548" i="144"/>
  <c r="R549" i="144"/>
  <c r="R550" i="144"/>
  <c r="R552" i="144"/>
  <c r="R553" i="144"/>
  <c r="R554" i="144"/>
  <c r="R555" i="144"/>
  <c r="R556" i="144"/>
  <c r="R558" i="144"/>
  <c r="R559" i="144"/>
  <c r="R560" i="144"/>
  <c r="R561" i="144"/>
  <c r="R563" i="144"/>
  <c r="R564" i="144"/>
  <c r="R565" i="144"/>
  <c r="R566" i="144"/>
  <c r="R567" i="144"/>
  <c r="R568" i="144"/>
  <c r="R569" i="144"/>
  <c r="R570" i="144"/>
  <c r="R571" i="144"/>
  <c r="R572" i="144"/>
  <c r="R573" i="144"/>
  <c r="R574" i="144"/>
  <c r="R575" i="144"/>
  <c r="R576" i="144"/>
  <c r="R577" i="144"/>
  <c r="R578" i="144"/>
  <c r="R579" i="144"/>
  <c r="R580" i="144"/>
  <c r="R581" i="144"/>
  <c r="R583" i="144"/>
  <c r="R584" i="144"/>
  <c r="R586" i="144"/>
  <c r="R587" i="144"/>
  <c r="R588" i="144"/>
  <c r="R589" i="144"/>
  <c r="R590" i="144"/>
  <c r="R591" i="144"/>
  <c r="R592" i="144"/>
  <c r="R593" i="144"/>
  <c r="R594" i="144"/>
  <c r="R595" i="144"/>
  <c r="R597" i="144"/>
  <c r="R598" i="144"/>
  <c r="R599" i="144"/>
  <c r="R601" i="144"/>
  <c r="R602" i="144"/>
  <c r="R603" i="144"/>
  <c r="R604" i="144"/>
  <c r="R605" i="144"/>
  <c r="R606" i="144"/>
  <c r="R607" i="144"/>
  <c r="R608" i="144"/>
  <c r="R610" i="144"/>
  <c r="R611" i="144"/>
  <c r="R612" i="144"/>
  <c r="R613" i="144"/>
  <c r="R614" i="144"/>
  <c r="R615" i="144"/>
  <c r="R616" i="144"/>
  <c r="R617" i="144"/>
  <c r="R618" i="144"/>
  <c r="R619" i="144"/>
  <c r="R620" i="144"/>
  <c r="R621" i="144"/>
  <c r="R623" i="144"/>
  <c r="R624" i="144"/>
  <c r="R625" i="144"/>
  <c r="R626" i="144"/>
  <c r="R627" i="144"/>
  <c r="R628" i="144"/>
  <c r="R629" i="144"/>
  <c r="R631" i="144"/>
  <c r="R632" i="144"/>
  <c r="R634" i="144"/>
  <c r="R635" i="144"/>
  <c r="R636" i="144"/>
  <c r="R637" i="144"/>
  <c r="R638" i="144"/>
  <c r="R639" i="144"/>
  <c r="R640" i="144"/>
  <c r="R641" i="144"/>
  <c r="R642" i="144"/>
  <c r="R643" i="144"/>
  <c r="R645" i="144"/>
  <c r="R647" i="144"/>
  <c r="R648" i="144"/>
  <c r="R649" i="144"/>
  <c r="R650" i="144"/>
  <c r="R651" i="144"/>
  <c r="R652" i="144"/>
  <c r="R653" i="144"/>
  <c r="R654" i="144"/>
  <c r="R655" i="144"/>
  <c r="R657" i="144"/>
  <c r="R658" i="144"/>
  <c r="R659" i="144"/>
  <c r="R660" i="144"/>
  <c r="R661" i="144"/>
  <c r="R662" i="144"/>
  <c r="R663" i="144"/>
  <c r="R664" i="144"/>
  <c r="R665" i="144"/>
  <c r="R666" i="144"/>
  <c r="R667" i="144"/>
  <c r="R668" i="144"/>
  <c r="R669" i="144"/>
  <c r="R670" i="144"/>
  <c r="R671" i="144"/>
  <c r="R672" i="144"/>
  <c r="R673" i="144"/>
  <c r="R674" i="144"/>
  <c r="R675" i="144"/>
  <c r="R676" i="144"/>
  <c r="R677" i="144"/>
  <c r="R678" i="144"/>
  <c r="R680" i="144"/>
  <c r="R681" i="144"/>
  <c r="R682" i="144"/>
  <c r="R683" i="144"/>
  <c r="R684" i="144"/>
  <c r="R685" i="144"/>
  <c r="R686" i="144"/>
  <c r="R687" i="144"/>
  <c r="R688" i="144"/>
  <c r="R689" i="144"/>
  <c r="R690" i="144"/>
  <c r="R691" i="144"/>
  <c r="R692" i="144"/>
  <c r="R693" i="144"/>
  <c r="R694" i="144"/>
  <c r="R695" i="144"/>
  <c r="R697" i="144"/>
  <c r="R698" i="144"/>
  <c r="R699" i="144"/>
  <c r="R700" i="144"/>
  <c r="R701" i="144"/>
  <c r="R702" i="144"/>
  <c r="R703" i="144"/>
  <c r="R704" i="144"/>
  <c r="R705" i="144"/>
  <c r="R706" i="144"/>
  <c r="R707" i="144"/>
  <c r="R708" i="144"/>
  <c r="R709" i="144"/>
  <c r="R710" i="144"/>
  <c r="R711" i="144"/>
  <c r="R712" i="144"/>
  <c r="R713" i="144"/>
  <c r="R714" i="144"/>
  <c r="R715" i="144"/>
  <c r="R716" i="144"/>
  <c r="R717" i="144"/>
  <c r="R718" i="144"/>
  <c r="R719" i="144"/>
  <c r="R720" i="144"/>
  <c r="R721" i="144"/>
  <c r="R722" i="144"/>
  <c r="R723" i="144"/>
  <c r="R724" i="144"/>
  <c r="R725" i="144"/>
  <c r="R726" i="144"/>
  <c r="R727" i="144"/>
  <c r="R728" i="144"/>
  <c r="R729" i="144"/>
  <c r="R730" i="144"/>
  <c r="R731" i="144"/>
  <c r="R732" i="144"/>
  <c r="R733" i="144"/>
  <c r="R734" i="144"/>
  <c r="R735" i="144"/>
  <c r="R736" i="144"/>
  <c r="R737" i="144"/>
  <c r="R738" i="144"/>
  <c r="R739" i="144"/>
  <c r="R740" i="144"/>
  <c r="R741" i="144"/>
  <c r="R742" i="144"/>
  <c r="R743" i="144"/>
  <c r="R744" i="144"/>
  <c r="R745" i="144"/>
  <c r="R746" i="144"/>
  <c r="R747" i="144"/>
  <c r="R748" i="144"/>
  <c r="R749" i="144"/>
  <c r="R750" i="144"/>
  <c r="R751" i="144"/>
  <c r="R752" i="144"/>
  <c r="R753" i="144"/>
  <c r="R754" i="144"/>
  <c r="R755" i="144"/>
  <c r="R756" i="144"/>
  <c r="R757" i="144"/>
  <c r="R758" i="144"/>
  <c r="R759" i="144"/>
  <c r="R760" i="144"/>
  <c r="R761" i="144"/>
  <c r="R762" i="144"/>
  <c r="R763" i="144"/>
  <c r="R764" i="144"/>
  <c r="R765" i="144"/>
  <c r="R766" i="144"/>
  <c r="R767" i="144"/>
  <c r="R768" i="144"/>
  <c r="R769" i="144"/>
  <c r="R770" i="144"/>
  <c r="R771" i="144"/>
  <c r="R772" i="144"/>
  <c r="R773" i="144"/>
  <c r="R774" i="144"/>
  <c r="R775" i="144"/>
  <c r="R776" i="144"/>
  <c r="R777" i="144"/>
  <c r="R778" i="144"/>
  <c r="R779" i="144"/>
  <c r="R780" i="144"/>
  <c r="R782" i="144"/>
  <c r="R783" i="144"/>
  <c r="R784" i="144"/>
  <c r="R785" i="144"/>
  <c r="R786" i="144"/>
  <c r="R787" i="144"/>
  <c r="R788" i="144"/>
  <c r="R789" i="144"/>
  <c r="R790" i="144"/>
  <c r="R791" i="144"/>
  <c r="R792" i="144"/>
  <c r="R793" i="144"/>
  <c r="R794" i="144"/>
  <c r="R795" i="144"/>
  <c r="R796" i="144"/>
  <c r="R797" i="144"/>
  <c r="R798" i="144"/>
  <c r="R799" i="144"/>
  <c r="R800" i="144"/>
  <c r="R801" i="144"/>
  <c r="R802" i="144"/>
  <c r="R803" i="144"/>
  <c r="R804" i="144"/>
  <c r="R805" i="144"/>
  <c r="R806" i="144"/>
  <c r="R807" i="144"/>
  <c r="R808" i="144"/>
  <c r="R809" i="144"/>
  <c r="R810" i="144"/>
  <c r="R811" i="144"/>
  <c r="R812" i="144"/>
  <c r="R814" i="144"/>
  <c r="R815" i="144"/>
  <c r="R816" i="144"/>
  <c r="R818" i="144"/>
  <c r="R819" i="144"/>
  <c r="R820" i="144"/>
  <c r="R821" i="144"/>
  <c r="R822" i="144"/>
  <c r="R823" i="144"/>
  <c r="R824" i="144"/>
  <c r="R825" i="144"/>
  <c r="R826" i="144"/>
  <c r="R827" i="144"/>
  <c r="R828" i="144"/>
  <c r="R829" i="144"/>
  <c r="R830" i="144"/>
  <c r="R831" i="144"/>
  <c r="R832" i="144"/>
  <c r="R833" i="144"/>
  <c r="R834" i="144"/>
  <c r="R835" i="144"/>
  <c r="R836" i="144"/>
  <c r="R837" i="144"/>
  <c r="R839" i="144"/>
  <c r="R840" i="144"/>
  <c r="R841" i="144"/>
  <c r="R843" i="144"/>
  <c r="R844" i="144"/>
  <c r="R845" i="144"/>
  <c r="R846" i="144"/>
  <c r="R847" i="144"/>
  <c r="R848" i="144"/>
  <c r="R849" i="144"/>
  <c r="R850" i="144"/>
  <c r="R851" i="144"/>
  <c r="R852" i="144"/>
  <c r="R853" i="144"/>
  <c r="R854" i="144"/>
  <c r="R855" i="144"/>
  <c r="R856" i="144"/>
  <c r="R857" i="144"/>
  <c r="R858" i="144"/>
  <c r="R859" i="144"/>
  <c r="R860" i="144"/>
  <c r="R861" i="144"/>
  <c r="R862" i="144"/>
  <c r="R863" i="144"/>
  <c r="R865" i="144"/>
  <c r="R867" i="144"/>
  <c r="R868" i="144"/>
  <c r="R869" i="144"/>
  <c r="R870" i="144"/>
  <c r="R872" i="144"/>
  <c r="R873" i="144"/>
  <c r="R875" i="144"/>
  <c r="R876" i="144"/>
  <c r="R877" i="144"/>
  <c r="R878" i="144"/>
  <c r="R879" i="144"/>
  <c r="R880" i="144"/>
  <c r="R881" i="144"/>
  <c r="R882" i="144"/>
  <c r="R883" i="144"/>
  <c r="R884" i="144"/>
  <c r="R885" i="144"/>
  <c r="R887" i="144"/>
  <c r="R888" i="144"/>
  <c r="R889" i="144"/>
  <c r="R890" i="144"/>
  <c r="R891" i="144"/>
  <c r="R892" i="144"/>
  <c r="R894" i="144"/>
  <c r="R895" i="144"/>
  <c r="R896" i="144"/>
  <c r="R897" i="144"/>
  <c r="R898" i="144"/>
  <c r="R899" i="144"/>
  <c r="R900" i="144"/>
  <c r="R901" i="144"/>
  <c r="R902" i="144"/>
  <c r="R903" i="144"/>
  <c r="R904" i="144"/>
  <c r="R905" i="144"/>
  <c r="R906" i="144"/>
  <c r="R907" i="144"/>
  <c r="R908" i="144"/>
  <c r="R909" i="144"/>
  <c r="R910" i="144"/>
  <c r="R911" i="144"/>
  <c r="R912" i="144"/>
  <c r="R913" i="144"/>
  <c r="R914" i="144"/>
  <c r="R915" i="144"/>
  <c r="R916" i="144"/>
  <c r="R917" i="144"/>
  <c r="R918" i="144"/>
  <c r="R919" i="144"/>
  <c r="R920" i="144"/>
  <c r="R921" i="144"/>
  <c r="R922" i="144"/>
  <c r="R923" i="144"/>
  <c r="R924" i="144"/>
  <c r="R926" i="144"/>
  <c r="R927" i="144"/>
  <c r="R928" i="144"/>
  <c r="R929" i="144"/>
  <c r="R930" i="144"/>
  <c r="R931" i="144"/>
  <c r="R932" i="144"/>
  <c r="R933" i="144"/>
  <c r="R934" i="144"/>
  <c r="R935" i="144"/>
  <c r="R936" i="144"/>
  <c r="R937" i="144"/>
  <c r="R938" i="144"/>
  <c r="R940" i="144"/>
  <c r="R941" i="144"/>
  <c r="R942" i="144"/>
  <c r="R943" i="144"/>
  <c r="R944" i="144"/>
  <c r="R945" i="144"/>
  <c r="R946" i="144"/>
  <c r="R947" i="144"/>
  <c r="R949" i="144"/>
  <c r="R950" i="144"/>
  <c r="R951" i="144"/>
  <c r="R952" i="144"/>
  <c r="R953" i="144"/>
  <c r="R954" i="144"/>
  <c r="R955" i="144"/>
  <c r="R956" i="144"/>
  <c r="R957" i="144"/>
  <c r="R958" i="144"/>
  <c r="R959" i="144"/>
  <c r="R960" i="144"/>
  <c r="R961" i="144"/>
  <c r="R962" i="144"/>
  <c r="R963" i="144"/>
  <c r="R964" i="144"/>
  <c r="R965" i="144"/>
  <c r="R966" i="144"/>
  <c r="R967" i="144"/>
  <c r="R968" i="144"/>
  <c r="R969" i="144"/>
  <c r="R970" i="144"/>
  <c r="R971" i="144"/>
  <c r="R972" i="144"/>
  <c r="R973" i="144"/>
  <c r="R974" i="144"/>
  <c r="R975" i="144"/>
  <c r="R976" i="144"/>
  <c r="R977" i="144"/>
  <c r="R978" i="144"/>
  <c r="R979" i="144"/>
  <c r="R980" i="144"/>
  <c r="R981" i="144"/>
  <c r="R982" i="144"/>
  <c r="R983" i="144"/>
  <c r="R984" i="144"/>
  <c r="R985" i="144"/>
  <c r="R986" i="144"/>
  <c r="R987" i="144"/>
  <c r="R988" i="144"/>
  <c r="R989" i="144"/>
  <c r="R990" i="144"/>
  <c r="R991" i="144"/>
  <c r="R992" i="144"/>
  <c r="R993" i="144"/>
  <c r="R994" i="144"/>
  <c r="R995" i="144"/>
  <c r="R996" i="144"/>
  <c r="R997" i="144"/>
  <c r="R998" i="144"/>
  <c r="R999" i="144"/>
  <c r="R1000" i="144"/>
  <c r="R1001" i="144"/>
  <c r="R1002" i="144"/>
  <c r="R1003" i="144"/>
  <c r="R1004" i="144"/>
  <c r="R1005" i="144"/>
  <c r="R1006" i="144"/>
  <c r="R1008" i="144"/>
  <c r="R1009" i="144"/>
  <c r="R1010" i="144"/>
  <c r="R1011" i="144"/>
  <c r="R1012" i="144"/>
  <c r="R1013" i="144"/>
  <c r="R1014" i="144"/>
  <c r="R1015" i="144"/>
  <c r="R1016" i="144"/>
  <c r="R1017" i="144"/>
  <c r="R1018" i="144"/>
  <c r="R1019" i="144"/>
  <c r="R1020" i="144"/>
  <c r="R1021" i="144"/>
  <c r="R1022" i="144"/>
  <c r="R1023" i="144"/>
  <c r="R1024" i="144"/>
  <c r="R1025" i="144"/>
  <c r="R1026" i="144"/>
  <c r="R1027" i="144"/>
  <c r="R1028" i="144"/>
  <c r="R1029" i="144"/>
  <c r="R1030" i="144"/>
  <c r="R1031" i="144"/>
  <c r="R1032" i="144"/>
  <c r="R1033" i="144"/>
  <c r="R1035" i="144"/>
  <c r="R1036" i="144"/>
  <c r="R1037" i="144"/>
  <c r="R1038" i="144"/>
  <c r="R1039" i="144"/>
  <c r="R1040" i="144"/>
  <c r="R1041" i="144"/>
  <c r="R1042" i="144"/>
  <c r="R1043" i="144"/>
  <c r="R1044" i="144"/>
  <c r="R1045" i="144"/>
  <c r="R1046" i="144"/>
  <c r="R1047" i="144"/>
  <c r="R1048" i="144"/>
  <c r="R1049" i="144"/>
  <c r="R1050" i="144"/>
  <c r="R1051" i="144"/>
  <c r="R1052" i="144"/>
  <c r="R1054" i="144"/>
  <c r="R1055" i="144"/>
  <c r="R1056" i="144"/>
  <c r="R1057" i="144"/>
  <c r="R1058" i="144"/>
  <c r="R1059" i="144"/>
  <c r="R1060" i="144"/>
  <c r="R1061" i="144"/>
  <c r="R1062" i="144"/>
  <c r="R1063" i="144"/>
  <c r="R1064" i="144"/>
  <c r="R1065" i="144"/>
  <c r="R1066" i="144"/>
  <c r="R1067" i="144"/>
  <c r="R1068" i="144"/>
  <c r="R1069" i="144"/>
  <c r="R1070" i="144"/>
  <c r="R1071" i="144"/>
  <c r="R1072" i="144"/>
  <c r="R1073" i="144"/>
  <c r="R1074" i="144"/>
  <c r="R1075" i="144"/>
  <c r="R1076" i="144"/>
  <c r="R1077" i="144"/>
  <c r="R1078" i="144"/>
  <c r="R1079" i="144"/>
  <c r="R1080" i="144"/>
  <c r="R1081" i="144"/>
  <c r="R1082" i="144"/>
  <c r="R1083" i="144"/>
  <c r="R1084" i="144"/>
  <c r="R1085" i="144"/>
  <c r="R1086" i="144"/>
  <c r="R1087" i="144"/>
  <c r="R1088" i="144"/>
  <c r="R1089" i="144"/>
  <c r="R1090" i="144"/>
  <c r="R1091" i="144"/>
  <c r="R1092" i="144"/>
  <c r="R1093" i="144"/>
  <c r="R1094" i="144"/>
  <c r="R1095" i="144"/>
  <c r="R1096" i="144"/>
  <c r="R1097" i="144"/>
  <c r="R1098" i="144"/>
  <c r="R1099" i="144"/>
  <c r="R1100" i="144"/>
  <c r="R1101" i="144"/>
  <c r="R1102" i="144"/>
  <c r="R1103" i="144"/>
  <c r="R1104" i="144"/>
  <c r="R1105" i="144"/>
  <c r="R1106" i="144"/>
  <c r="R1107" i="144"/>
  <c r="R1108" i="144"/>
  <c r="R1109" i="144"/>
  <c r="R1110" i="144"/>
  <c r="R1111" i="144"/>
  <c r="R1112" i="144"/>
  <c r="R1113" i="144"/>
  <c r="R1114" i="144"/>
  <c r="R1115" i="144"/>
  <c r="R1116" i="144"/>
  <c r="R1117" i="144"/>
  <c r="R1118" i="144"/>
  <c r="R1119" i="144"/>
  <c r="R1120" i="144"/>
  <c r="R1121" i="144"/>
  <c r="R1122" i="144"/>
  <c r="R1123" i="144"/>
  <c r="R1124" i="144"/>
  <c r="R1125" i="144"/>
  <c r="R1127" i="144"/>
  <c r="R1128" i="144"/>
  <c r="R1129" i="144"/>
  <c r="R1131" i="144"/>
  <c r="R1132" i="144"/>
  <c r="R1133" i="144"/>
  <c r="R1134" i="144"/>
  <c r="R1135" i="144"/>
  <c r="R1136" i="144"/>
  <c r="R1137" i="144"/>
  <c r="R1138" i="144"/>
  <c r="R1139" i="144"/>
  <c r="R1141" i="144"/>
  <c r="R1142" i="144"/>
  <c r="R1143" i="144"/>
  <c r="R1144" i="144"/>
  <c r="R1145" i="144"/>
  <c r="R1146" i="144"/>
  <c r="R1147" i="144"/>
  <c r="R1148" i="144"/>
  <c r="R1149" i="144"/>
  <c r="R1150" i="144"/>
  <c r="R1151" i="144"/>
  <c r="R1152" i="144"/>
  <c r="R1153" i="144"/>
  <c r="R1154" i="144"/>
  <c r="R1155" i="144"/>
  <c r="R1156" i="144"/>
  <c r="R1157" i="144"/>
  <c r="R1158" i="144"/>
  <c r="R1159" i="144"/>
  <c r="R1160" i="144"/>
  <c r="R1161" i="144"/>
  <c r="R1162" i="144"/>
  <c r="R1163" i="144"/>
  <c r="R1164" i="144"/>
  <c r="R1165" i="144"/>
  <c r="R1166" i="144"/>
  <c r="R1167" i="144"/>
  <c r="R1168" i="144"/>
  <c r="R1169" i="144"/>
  <c r="R1170" i="144"/>
  <c r="R1172" i="144"/>
  <c r="R1173" i="144"/>
  <c r="R1175" i="144"/>
  <c r="R1176" i="144"/>
  <c r="R1177" i="144"/>
  <c r="R1178" i="144"/>
  <c r="R1179" i="144"/>
  <c r="R1180" i="144"/>
  <c r="R1181" i="144"/>
  <c r="R1182" i="144"/>
  <c r="R1183" i="144"/>
  <c r="R1184" i="144"/>
  <c r="R1185" i="144"/>
  <c r="R1186" i="144"/>
  <c r="R1187" i="144"/>
  <c r="R1188" i="144"/>
  <c r="R1189" i="144"/>
  <c r="R1190" i="144"/>
  <c r="R1191" i="144"/>
  <c r="R1192" i="144"/>
  <c r="R1193" i="144"/>
  <c r="R1194" i="144"/>
  <c r="R1195" i="144"/>
  <c r="R1196" i="144"/>
  <c r="R1198" i="144"/>
  <c r="R1199" i="144"/>
  <c r="R1200" i="144"/>
  <c r="R1201" i="144"/>
  <c r="R1202" i="144"/>
  <c r="R1203" i="144"/>
  <c r="R1204" i="144"/>
  <c r="R1205" i="144"/>
  <c r="R1206" i="144"/>
  <c r="R1207" i="144"/>
  <c r="R1208" i="144"/>
  <c r="R1209" i="144"/>
  <c r="R1210" i="144"/>
  <c r="R1211" i="144"/>
  <c r="R1212" i="144"/>
  <c r="R1213" i="144"/>
  <c r="R1214" i="144"/>
  <c r="R1215" i="144"/>
  <c r="R1216" i="144"/>
  <c r="R1217" i="144"/>
  <c r="R1218" i="144"/>
  <c r="R1219" i="144"/>
  <c r="R1220" i="144"/>
  <c r="R1221" i="144"/>
  <c r="R1222" i="144"/>
  <c r="R1223" i="144"/>
  <c r="R1224" i="144"/>
  <c r="R1225" i="144"/>
  <c r="R1226" i="144"/>
  <c r="R1227" i="144"/>
  <c r="R1228" i="144"/>
  <c r="R1229" i="144"/>
  <c r="R1230" i="144"/>
  <c r="R1231" i="144"/>
  <c r="R1232" i="144"/>
  <c r="R1233" i="144"/>
  <c r="R1234" i="144"/>
  <c r="R1235" i="144"/>
  <c r="R1236" i="144"/>
  <c r="R1237" i="144"/>
  <c r="R1238" i="144"/>
  <c r="R1239" i="144"/>
  <c r="R1240" i="144"/>
  <c r="R1241" i="144"/>
  <c r="R1242" i="144"/>
  <c r="R1243" i="144"/>
  <c r="R1244" i="144"/>
  <c r="R1245" i="144"/>
  <c r="R1246" i="144"/>
  <c r="R1248" i="144"/>
  <c r="R1250" i="144"/>
  <c r="R1251" i="144"/>
  <c r="R1252" i="144"/>
  <c r="R1253" i="144"/>
  <c r="R1254" i="144"/>
  <c r="R1255" i="144"/>
  <c r="R1256" i="144"/>
  <c r="R1257" i="144"/>
  <c r="R1258" i="144"/>
  <c r="R1259" i="144"/>
  <c r="R1260" i="144"/>
  <c r="R1261" i="144"/>
  <c r="R1262" i="144"/>
  <c r="R1263" i="144"/>
  <c r="R1264" i="144"/>
  <c r="R1265" i="144"/>
  <c r="R1266" i="144"/>
  <c r="R1267" i="144"/>
  <c r="R1268" i="144"/>
  <c r="R1269" i="144"/>
  <c r="R1270" i="144"/>
  <c r="R1271" i="144"/>
  <c r="R1273" i="144"/>
  <c r="R1274" i="144"/>
  <c r="R1275" i="144"/>
  <c r="R1276" i="144"/>
  <c r="R1277" i="144"/>
  <c r="R1278" i="144"/>
  <c r="R1279" i="144"/>
  <c r="R1280" i="144"/>
  <c r="R1281" i="144"/>
  <c r="R1282" i="144"/>
  <c r="R1283" i="144"/>
  <c r="R1284" i="144"/>
  <c r="R1285" i="144"/>
  <c r="R1286" i="144"/>
  <c r="R1287" i="144"/>
  <c r="R1289" i="144"/>
  <c r="R1290" i="144"/>
  <c r="R1291" i="144"/>
  <c r="R1292" i="144"/>
  <c r="R1293" i="144"/>
  <c r="R1294" i="144"/>
  <c r="R1295" i="144"/>
  <c r="R1296" i="144"/>
  <c r="R1297" i="144"/>
  <c r="R1298" i="144"/>
  <c r="R1299" i="144"/>
  <c r="R1300" i="144"/>
  <c r="R1301" i="144"/>
  <c r="R1302" i="144"/>
  <c r="R1303" i="144"/>
  <c r="R1304" i="144"/>
  <c r="R1306" i="144"/>
  <c r="R1307" i="144"/>
  <c r="R1308" i="144"/>
  <c r="R1309" i="144"/>
  <c r="R1310" i="144"/>
  <c r="R1311" i="144"/>
  <c r="R1312" i="144"/>
  <c r="R1313" i="144"/>
  <c r="R1314" i="144"/>
  <c r="R1315" i="144"/>
  <c r="R1317" i="144"/>
  <c r="R1318" i="144"/>
  <c r="R1319" i="144"/>
  <c r="R1320" i="144"/>
  <c r="R1321" i="144"/>
  <c r="R1323" i="144"/>
  <c r="R1324" i="144"/>
  <c r="R1325" i="144"/>
  <c r="R1326" i="144"/>
  <c r="R1327" i="144"/>
  <c r="R1328" i="144"/>
  <c r="R1329" i="144"/>
  <c r="R1330" i="144"/>
  <c r="R1331" i="144"/>
  <c r="R1333" i="144"/>
  <c r="R1334" i="144"/>
  <c r="R1335" i="144"/>
  <c r="R1336" i="144"/>
  <c r="R1337" i="144"/>
  <c r="R1338" i="144"/>
  <c r="R1339" i="144"/>
  <c r="R1340" i="144"/>
  <c r="R1341" i="144"/>
  <c r="R1342" i="144"/>
  <c r="R1343" i="144"/>
  <c r="R1344" i="144"/>
  <c r="R1345" i="144"/>
  <c r="R1346" i="144"/>
  <c r="R1347" i="144"/>
  <c r="R1348" i="144"/>
  <c r="R1349" i="144"/>
  <c r="R1350" i="144"/>
  <c r="R1351" i="144"/>
  <c r="R1352" i="144"/>
  <c r="R1353" i="144"/>
  <c r="R1354" i="144"/>
  <c r="R1355" i="144"/>
  <c r="R1356" i="144"/>
  <c r="R1357" i="144"/>
  <c r="R1358" i="144"/>
  <c r="R1359" i="144"/>
  <c r="R1360" i="144"/>
  <c r="R1361" i="144"/>
  <c r="R1362" i="144"/>
  <c r="R1363" i="144"/>
  <c r="R1364" i="144"/>
  <c r="R1365" i="144"/>
  <c r="R1366" i="144"/>
  <c r="R1367" i="144"/>
  <c r="R1368" i="144"/>
  <c r="R1369" i="144"/>
  <c r="R1370" i="144"/>
  <c r="R1371" i="144"/>
  <c r="R1372" i="144"/>
  <c r="R1373" i="144"/>
  <c r="R1374" i="144"/>
  <c r="R1375" i="144"/>
  <c r="R1376" i="144"/>
  <c r="R1377" i="144"/>
  <c r="R1378" i="144"/>
  <c r="R1379" i="144"/>
  <c r="R1380" i="144"/>
  <c r="R1381" i="144"/>
  <c r="R1382" i="144"/>
  <c r="R1386" i="144"/>
  <c r="R1387" i="144"/>
  <c r="R1388" i="144"/>
  <c r="R1389" i="144"/>
  <c r="R1390" i="144"/>
  <c r="R1391" i="144"/>
  <c r="R1392" i="144"/>
  <c r="R1393" i="144"/>
  <c r="R1394" i="144"/>
  <c r="R1395" i="144"/>
  <c r="R1396" i="144"/>
  <c r="R1397" i="144"/>
  <c r="R1398" i="144"/>
  <c r="R1400" i="144"/>
  <c r="R1401" i="144"/>
  <c r="R1402" i="144"/>
  <c r="R1403" i="144"/>
  <c r="R1405" i="144"/>
  <c r="R1406" i="144"/>
  <c r="R1407" i="144"/>
  <c r="R1408" i="144"/>
  <c r="R1409" i="144"/>
  <c r="R1410" i="144"/>
  <c r="R1411" i="144"/>
  <c r="R1412" i="144"/>
  <c r="R1413" i="144"/>
  <c r="R1414" i="144"/>
  <c r="R1415" i="144"/>
  <c r="R1416" i="144"/>
  <c r="R1417" i="144"/>
  <c r="R1419" i="144"/>
  <c r="R1420" i="144"/>
  <c r="R1421" i="144"/>
  <c r="R1422" i="144"/>
  <c r="R1423" i="144"/>
  <c r="R1424" i="144"/>
  <c r="R1425" i="144"/>
  <c r="R1426" i="144"/>
  <c r="R1427" i="144"/>
  <c r="R1428" i="144"/>
  <c r="R1429" i="144"/>
  <c r="R1430" i="144"/>
  <c r="R1431" i="144"/>
  <c r="R1432" i="144"/>
  <c r="R1433" i="144"/>
  <c r="R1434" i="144"/>
  <c r="R1435" i="144"/>
  <c r="R1436" i="144"/>
  <c r="R1437" i="144"/>
  <c r="R1438" i="144"/>
  <c r="R1439" i="144"/>
  <c r="R1441" i="144"/>
  <c r="R1442" i="144"/>
  <c r="R1443" i="144"/>
  <c r="R1444" i="144"/>
  <c r="R1445" i="144"/>
  <c r="R1446" i="144"/>
  <c r="R1447" i="144"/>
  <c r="R1448" i="144"/>
  <c r="R1449" i="144"/>
  <c r="R1450" i="144"/>
  <c r="R1451" i="144"/>
  <c r="R1452" i="144"/>
  <c r="R1453" i="144"/>
  <c r="R1454" i="144"/>
  <c r="R1455" i="144"/>
  <c r="R1456" i="144"/>
  <c r="R1457" i="144"/>
  <c r="R1458" i="144"/>
  <c r="R1459" i="144"/>
  <c r="R1460" i="144"/>
  <c r="R1461" i="144"/>
  <c r="R1462" i="144"/>
  <c r="R1463" i="144"/>
  <c r="R1464" i="144"/>
  <c r="R1465" i="144"/>
  <c r="R1466" i="144"/>
  <c r="R1467" i="144"/>
  <c r="R1468" i="144"/>
  <c r="R1469" i="144"/>
  <c r="R1470" i="144"/>
  <c r="R1471" i="144"/>
  <c r="R1472" i="144"/>
  <c r="R1473" i="144"/>
  <c r="R1474" i="144"/>
  <c r="R1475" i="144"/>
  <c r="R1476" i="144"/>
  <c r="R1477" i="144"/>
  <c r="R1478" i="144"/>
  <c r="R1479" i="144"/>
  <c r="R1480" i="144"/>
  <c r="R1481" i="144"/>
  <c r="R1482" i="144"/>
  <c r="R1483" i="144"/>
  <c r="R1484" i="144"/>
  <c r="R1485" i="144"/>
  <c r="R1486" i="144"/>
  <c r="R1487" i="144"/>
  <c r="R1488" i="144"/>
  <c r="R1489" i="144"/>
  <c r="R1490" i="144"/>
  <c r="R1491" i="144"/>
  <c r="R1492" i="144"/>
  <c r="R1493" i="144"/>
  <c r="R1494" i="144"/>
  <c r="R1495" i="144"/>
  <c r="R1496" i="144"/>
  <c r="R1497" i="144"/>
  <c r="R1498" i="144"/>
  <c r="R1499" i="144"/>
  <c r="R1500" i="144"/>
  <c r="R1501" i="144"/>
  <c r="R1502" i="144"/>
  <c r="R1504" i="144"/>
  <c r="R1505" i="144"/>
  <c r="R1506" i="144"/>
  <c r="R1507" i="144"/>
  <c r="R1508" i="144"/>
  <c r="R1509" i="144"/>
  <c r="R1510" i="144"/>
  <c r="R1511" i="144"/>
  <c r="R1512" i="144"/>
  <c r="R1513" i="144"/>
  <c r="R1514" i="144"/>
  <c r="R1515" i="144"/>
  <c r="R1516" i="144"/>
  <c r="R1517" i="144"/>
  <c r="R1518" i="144"/>
  <c r="R1519" i="144"/>
  <c r="R1520" i="144"/>
  <c r="R1521" i="144"/>
  <c r="R1522" i="144"/>
  <c r="R7" i="144"/>
  <c r="P2076" i="144"/>
  <c r="P2077" i="144"/>
  <c r="P2078" i="144"/>
  <c r="Q2076" i="144"/>
  <c r="Q2077" i="144"/>
  <c r="Q2078" i="144"/>
  <c r="P2079" i="144"/>
  <c r="Q2079" i="144"/>
  <c r="P2080" i="144"/>
  <c r="Q2080" i="144"/>
  <c r="P2081" i="144"/>
  <c r="Q2081" i="144"/>
  <c r="P2082" i="144"/>
  <c r="Q2082" i="144"/>
  <c r="P2083" i="144"/>
  <c r="Q2083" i="144"/>
  <c r="P2084" i="144"/>
  <c r="Q2084" i="144"/>
  <c r="P2085" i="144"/>
  <c r="Q2085" i="144"/>
  <c r="P2086" i="144"/>
  <c r="Q2086" i="144"/>
  <c r="P2087" i="144"/>
  <c r="Q2087" i="144"/>
  <c r="P2088" i="144"/>
  <c r="Q2088" i="144"/>
  <c r="P2089" i="144"/>
  <c r="Q2089" i="144"/>
  <c r="P2091" i="144"/>
  <c r="Q2091" i="144"/>
  <c r="P2092" i="144"/>
  <c r="Q2092" i="144"/>
  <c r="P2093" i="144"/>
  <c r="Q2093" i="144"/>
  <c r="P2094" i="144"/>
  <c r="Q2094" i="144"/>
  <c r="P2095" i="144"/>
  <c r="Q2095" i="144"/>
  <c r="P2096" i="144"/>
  <c r="Q2096" i="144"/>
  <c r="P2097" i="144"/>
  <c r="Q2097" i="144"/>
  <c r="P2098" i="144"/>
  <c r="Q2098" i="144"/>
  <c r="P2099" i="144"/>
  <c r="Q2099" i="144"/>
  <c r="P2100" i="144"/>
  <c r="Q2100" i="144"/>
  <c r="P2101" i="144"/>
  <c r="Q2101" i="144"/>
  <c r="P2102" i="144"/>
  <c r="Q2102" i="144"/>
  <c r="P2103" i="144"/>
  <c r="Q2103" i="144"/>
  <c r="P2104" i="144"/>
  <c r="Q2104" i="144"/>
  <c r="P2105" i="144"/>
  <c r="Q2105" i="144"/>
  <c r="P2106" i="144"/>
  <c r="Q2106" i="144"/>
  <c r="P2107" i="144"/>
  <c r="Q2107" i="144"/>
  <c r="P2108" i="144"/>
  <c r="Q2108" i="144"/>
  <c r="P2109" i="144"/>
  <c r="Q2109" i="144"/>
  <c r="P2110" i="144"/>
  <c r="Q2110" i="144"/>
  <c r="P2111" i="144"/>
  <c r="Q2111" i="144"/>
  <c r="P2112" i="144"/>
  <c r="Q2112" i="144"/>
  <c r="P2113" i="144"/>
  <c r="Q2113" i="144"/>
  <c r="P2114" i="144"/>
  <c r="Q2114" i="144"/>
  <c r="P2115" i="144"/>
  <c r="Q2115" i="144"/>
  <c r="P2116" i="144"/>
  <c r="Q2116" i="144"/>
  <c r="P2117" i="144"/>
  <c r="Q2117" i="144"/>
  <c r="P2118" i="144"/>
  <c r="Q2118" i="144"/>
  <c r="P2119" i="144"/>
  <c r="Q2119" i="144"/>
  <c r="P2120" i="144"/>
  <c r="Q2120" i="144"/>
  <c r="P2121" i="144"/>
  <c r="Q2121" i="144"/>
  <c r="P2122" i="144"/>
  <c r="Q2122" i="144"/>
  <c r="P2123" i="144"/>
  <c r="Q2123" i="144"/>
  <c r="P2124" i="144"/>
  <c r="Q2124" i="144"/>
  <c r="P2125" i="144"/>
  <c r="Q2125" i="144"/>
  <c r="P2126" i="144"/>
  <c r="Q2126" i="144"/>
  <c r="P2127" i="144"/>
  <c r="Q2127" i="144"/>
  <c r="P2128" i="144"/>
  <c r="Q2128" i="144"/>
  <c r="P2129" i="144"/>
  <c r="Q2129" i="144"/>
  <c r="P2130" i="144"/>
  <c r="Q2130" i="144"/>
  <c r="P2131" i="144"/>
  <c r="Q2131" i="144"/>
  <c r="P2132" i="144"/>
  <c r="Q2132" i="144"/>
  <c r="P2133" i="144"/>
  <c r="Q2133" i="144"/>
  <c r="P2136" i="144"/>
  <c r="Q2136" i="144"/>
  <c r="P2137" i="144"/>
  <c r="Q2137" i="144"/>
  <c r="P2139" i="144"/>
  <c r="Q2139" i="144"/>
  <c r="P2140" i="144"/>
  <c r="Q2140" i="144"/>
  <c r="P2142" i="144"/>
  <c r="Q2142" i="144"/>
  <c r="P2143" i="144"/>
  <c r="Q2143" i="144"/>
  <c r="P2144" i="144"/>
  <c r="Q2144" i="144"/>
  <c r="P2145" i="144"/>
  <c r="Q2145" i="144"/>
  <c r="P2146" i="144"/>
  <c r="Q2146" i="144"/>
  <c r="P2147" i="144"/>
  <c r="Q2147" i="144"/>
  <c r="P2148" i="144"/>
  <c r="Q2148" i="144"/>
  <c r="P2149" i="144"/>
  <c r="Q2149" i="144"/>
  <c r="P2151" i="144"/>
  <c r="Q2151" i="144"/>
  <c r="P2152" i="144"/>
  <c r="Q2152" i="144"/>
  <c r="P2153" i="144"/>
  <c r="Q2153" i="144"/>
  <c r="P2154" i="144"/>
  <c r="Q2154" i="144"/>
  <c r="P2156" i="144"/>
  <c r="Q2156" i="144"/>
  <c r="P2157" i="144"/>
  <c r="Q2157" i="144"/>
  <c r="P2158" i="144"/>
  <c r="Q2158" i="144"/>
  <c r="P2159" i="144"/>
  <c r="Q2159" i="144"/>
  <c r="P2160" i="144"/>
  <c r="Q2160" i="144"/>
  <c r="P2161" i="144"/>
  <c r="Q2161" i="144"/>
  <c r="P2162" i="144"/>
  <c r="Q2162" i="144"/>
  <c r="P2163" i="144"/>
  <c r="Q2163" i="144"/>
  <c r="P2164" i="144"/>
  <c r="Q2164" i="144"/>
  <c r="P2166" i="144"/>
  <c r="Q2166" i="144"/>
  <c r="P2167" i="144"/>
  <c r="Q2167" i="144"/>
  <c r="P2168" i="144"/>
  <c r="Q2168" i="144"/>
  <c r="P2169" i="144"/>
  <c r="Q2169" i="144"/>
  <c r="P2170" i="144"/>
  <c r="Q2170" i="144"/>
  <c r="P2171" i="144"/>
  <c r="Q2171" i="144"/>
  <c r="P2172" i="144"/>
  <c r="Q2172" i="144"/>
  <c r="P2173" i="144"/>
  <c r="Q2173" i="144"/>
  <c r="P2174" i="144"/>
  <c r="Q2174" i="144"/>
  <c r="P2175" i="144"/>
  <c r="Q2175" i="144"/>
  <c r="P2176" i="144"/>
  <c r="Q2176" i="144"/>
  <c r="P2177" i="144"/>
  <c r="Q2177" i="144"/>
  <c r="P2178" i="144"/>
  <c r="Q2178" i="144"/>
  <c r="P2179" i="144"/>
  <c r="Q2179" i="144"/>
  <c r="P2180" i="144"/>
  <c r="Q2180" i="144"/>
  <c r="P2181" i="144"/>
  <c r="Q2181" i="144"/>
  <c r="P2182" i="144"/>
  <c r="Q2182" i="144"/>
  <c r="P2183" i="144"/>
  <c r="Q2183" i="144"/>
  <c r="P2184" i="144"/>
  <c r="Q2184" i="144"/>
  <c r="P2185" i="144"/>
  <c r="Q2185" i="144"/>
  <c r="P2186" i="144"/>
  <c r="Q2186" i="144"/>
  <c r="P2187" i="144"/>
  <c r="Q2187" i="144"/>
  <c r="P2188" i="144"/>
  <c r="Q2188" i="144"/>
  <c r="P2189" i="144"/>
  <c r="Q2189" i="144"/>
  <c r="P2190" i="144"/>
  <c r="Q2190" i="144"/>
  <c r="P2191" i="144"/>
  <c r="Q2191" i="144"/>
  <c r="P2192" i="144"/>
  <c r="Q2192" i="144"/>
  <c r="P2193" i="144"/>
  <c r="Q2193" i="144"/>
  <c r="P2194" i="144"/>
  <c r="Q2194" i="144"/>
  <c r="P2195" i="144"/>
  <c r="Q2195" i="144"/>
  <c r="P2196" i="144"/>
  <c r="Q2196" i="144"/>
  <c r="P2197" i="144"/>
  <c r="Q2197" i="144"/>
  <c r="P2198" i="144"/>
  <c r="Q2198" i="144"/>
  <c r="P2199" i="144"/>
  <c r="Q2199" i="144"/>
  <c r="P2200" i="144"/>
  <c r="Q2200" i="144"/>
  <c r="P2201" i="144"/>
  <c r="Q2201" i="144"/>
  <c r="P2202" i="144"/>
  <c r="Q2202" i="144"/>
  <c r="P2203" i="144"/>
  <c r="Q2203" i="144"/>
  <c r="P2204" i="144"/>
  <c r="Q2204" i="144"/>
  <c r="P2205" i="144"/>
  <c r="Q2205" i="144"/>
  <c r="P2206" i="144"/>
  <c r="Q2206" i="144"/>
  <c r="P2207" i="144"/>
  <c r="Q2207" i="144"/>
  <c r="P2208" i="144"/>
  <c r="Q2208" i="144"/>
  <c r="P2209" i="144"/>
  <c r="Q2209" i="144"/>
  <c r="P2210" i="144"/>
  <c r="Q2210" i="144"/>
  <c r="P2211" i="144"/>
  <c r="Q2211" i="144"/>
  <c r="P2212" i="144"/>
  <c r="Q2212" i="144"/>
  <c r="P2213" i="144"/>
  <c r="Q2213" i="144"/>
  <c r="P2215" i="144"/>
  <c r="Q2215" i="144"/>
  <c r="P2216" i="144"/>
  <c r="Q2216" i="144"/>
  <c r="P2217" i="144"/>
  <c r="Q2217" i="144"/>
  <c r="P2218" i="144"/>
  <c r="Q2218" i="144"/>
  <c r="P2219" i="144"/>
  <c r="Q2219" i="144"/>
  <c r="P2220" i="144"/>
  <c r="Q2220" i="144"/>
  <c r="P2221" i="144"/>
  <c r="Q2221" i="144"/>
  <c r="P2222" i="144"/>
  <c r="Q2222" i="144"/>
  <c r="P2223" i="144"/>
  <c r="Q2223" i="144"/>
  <c r="P2224" i="144"/>
  <c r="Q2224" i="144"/>
  <c r="P2225" i="144"/>
  <c r="Q2225" i="144"/>
  <c r="P2226" i="144"/>
  <c r="Q2226" i="144"/>
  <c r="P2229" i="144"/>
  <c r="Q2229" i="144"/>
  <c r="P2230" i="144"/>
  <c r="Q2230" i="144"/>
  <c r="P2231" i="144"/>
  <c r="Q2231" i="144"/>
  <c r="P2232" i="144"/>
  <c r="Q2232" i="144"/>
  <c r="P2233" i="144"/>
  <c r="Q2233" i="144"/>
  <c r="P2234" i="144"/>
  <c r="Q2234" i="144"/>
  <c r="P2235" i="144"/>
  <c r="Q2235" i="144"/>
  <c r="P2236" i="144"/>
  <c r="Q2236" i="144"/>
  <c r="P2237" i="144"/>
  <c r="Q2237" i="144"/>
  <c r="P2238" i="144"/>
  <c r="Q2238" i="144"/>
  <c r="P2239" i="144"/>
  <c r="Q2239" i="144"/>
  <c r="P2240" i="144"/>
  <c r="Q2240" i="144"/>
  <c r="P2241" i="144"/>
  <c r="Q2241" i="144"/>
  <c r="P2242" i="144"/>
  <c r="Q2242" i="144"/>
  <c r="P2243" i="144"/>
  <c r="Q2243" i="144"/>
  <c r="P2245" i="144"/>
  <c r="Q2245" i="144"/>
  <c r="P2246" i="144"/>
  <c r="Q2246" i="144"/>
  <c r="P2247" i="144"/>
  <c r="Q2247" i="144"/>
  <c r="P2248" i="144"/>
  <c r="Q2248" i="144"/>
  <c r="P2249" i="144"/>
  <c r="Q2249" i="144"/>
  <c r="P2250" i="144"/>
  <c r="Q2250" i="144"/>
  <c r="P2251" i="144"/>
  <c r="Q2251" i="144"/>
  <c r="P2252" i="144"/>
  <c r="Q2252" i="144"/>
  <c r="P2253" i="144"/>
  <c r="Q2253" i="144"/>
  <c r="P2254" i="144"/>
  <c r="Q2254" i="144"/>
  <c r="P2255" i="144"/>
  <c r="Q2255" i="144"/>
  <c r="P2256" i="144"/>
  <c r="Q2256" i="144"/>
  <c r="P2257" i="144"/>
  <c r="Q2257" i="144"/>
  <c r="P2258" i="144"/>
  <c r="Q2258" i="144"/>
  <c r="P2259" i="144"/>
  <c r="Q2259" i="144"/>
  <c r="P2260" i="144"/>
  <c r="Q2260" i="144"/>
  <c r="P2261" i="144"/>
  <c r="Q2261" i="144"/>
  <c r="P2262" i="144"/>
  <c r="Q2262" i="144"/>
  <c r="P2263" i="144"/>
  <c r="Q2263" i="144"/>
  <c r="P2264" i="144"/>
  <c r="Q2264" i="144"/>
  <c r="P2265" i="144"/>
  <c r="Q2265" i="144"/>
  <c r="P2266" i="144"/>
  <c r="Q2266" i="144"/>
  <c r="P2267" i="144"/>
  <c r="Q2267" i="144"/>
  <c r="P2268" i="144"/>
  <c r="Q2268" i="144"/>
  <c r="P2269" i="144"/>
  <c r="Q2269" i="144"/>
  <c r="P2270" i="144"/>
  <c r="Q2270" i="144"/>
  <c r="P2271" i="144"/>
  <c r="Q2271" i="144"/>
  <c r="P2272" i="144"/>
  <c r="Q2272" i="144"/>
  <c r="P2273" i="144"/>
  <c r="Q2273" i="144"/>
  <c r="P2275" i="144"/>
  <c r="Q2275" i="144"/>
  <c r="P2276" i="144"/>
  <c r="Q2276" i="144"/>
  <c r="P2277" i="144"/>
  <c r="Q2277" i="144"/>
  <c r="P2278" i="144"/>
  <c r="Q2278" i="144"/>
  <c r="P2279" i="144"/>
  <c r="Q2279" i="144"/>
  <c r="P2280" i="144"/>
  <c r="Q2280" i="144"/>
  <c r="P2281" i="144"/>
  <c r="Q2281" i="144"/>
  <c r="P2282" i="144"/>
  <c r="Q2282" i="144"/>
  <c r="P2283" i="144"/>
  <c r="Q2283" i="144"/>
  <c r="P2284" i="144"/>
  <c r="Q2284" i="144"/>
  <c r="P2285" i="144"/>
  <c r="Q2285" i="144"/>
  <c r="P2286" i="144"/>
  <c r="Q2286" i="144"/>
  <c r="P2288" i="144"/>
  <c r="Q2288" i="144"/>
  <c r="P2289" i="144"/>
  <c r="Q2289" i="144"/>
  <c r="P2290" i="144"/>
  <c r="Q2290" i="144"/>
  <c r="P2291" i="144"/>
  <c r="Q2291" i="144"/>
  <c r="P2292" i="144"/>
  <c r="Q2292" i="144"/>
  <c r="P2293" i="144"/>
  <c r="Q2293" i="144"/>
  <c r="P2294" i="144"/>
  <c r="Q2294" i="144"/>
  <c r="P2295" i="144"/>
  <c r="Q2295" i="144"/>
  <c r="P2296" i="144"/>
  <c r="Q2296" i="144"/>
  <c r="P2297" i="144"/>
  <c r="Q2297" i="144"/>
  <c r="P2298" i="144"/>
  <c r="Q2298" i="144"/>
  <c r="P2299" i="144"/>
  <c r="Q2299" i="144"/>
  <c r="P2300" i="144"/>
  <c r="Q2300" i="144"/>
  <c r="P2301" i="144"/>
  <c r="Q2301" i="144"/>
  <c r="P2302" i="144"/>
  <c r="Q2302" i="144"/>
  <c r="P2303" i="144"/>
  <c r="Q2303" i="144"/>
  <c r="P2304" i="144"/>
  <c r="Q2304" i="144"/>
  <c r="P2305" i="144"/>
  <c r="Q2305" i="144"/>
  <c r="P2306" i="144"/>
  <c r="Q2306" i="144"/>
  <c r="P2307" i="144"/>
  <c r="Q2307" i="144"/>
  <c r="P2309" i="144"/>
  <c r="Q2309" i="144"/>
  <c r="P2310" i="144"/>
  <c r="B41" i="175" s="1"/>
  <c r="Q2310" i="144"/>
  <c r="B41" i="174" s="1"/>
  <c r="P2311" i="144"/>
  <c r="Q2311" i="144"/>
  <c r="P2312" i="144"/>
  <c r="Q2312" i="144"/>
  <c r="P2313" i="144"/>
  <c r="Q2313" i="144"/>
  <c r="P2314" i="144"/>
  <c r="Q2314" i="144"/>
  <c r="P2315" i="144"/>
  <c r="Q2315" i="144"/>
  <c r="P2316" i="144"/>
  <c r="Q2316" i="144"/>
  <c r="P2317" i="144"/>
  <c r="Q2317" i="144"/>
  <c r="P2318" i="144"/>
  <c r="Q2318" i="144"/>
  <c r="P2319" i="144"/>
  <c r="Q2319" i="144"/>
  <c r="P2320" i="144"/>
  <c r="Q2320" i="144"/>
  <c r="P2322" i="144"/>
  <c r="Q2322" i="144"/>
  <c r="P2323" i="144"/>
  <c r="Q2323" i="144"/>
  <c r="P2324" i="144"/>
  <c r="Q2324" i="144"/>
  <c r="P2325" i="144"/>
  <c r="Q2325" i="144"/>
  <c r="P2326" i="144"/>
  <c r="Q2326" i="144"/>
  <c r="P2327" i="144"/>
  <c r="Q2327" i="144"/>
  <c r="H7" i="146"/>
  <c r="H18" i="146" s="1"/>
  <c r="E14" i="149"/>
  <c r="E31" i="149"/>
  <c r="H31" i="149" s="1"/>
  <c r="E24" i="149"/>
  <c r="H24" i="149" s="1"/>
  <c r="E10" i="149"/>
  <c r="H10" i="149" s="1"/>
  <c r="B24" i="169"/>
  <c r="E126" i="149"/>
  <c r="H126" i="149" s="1"/>
  <c r="E61" i="149"/>
  <c r="H61" i="149" s="1"/>
  <c r="E26" i="149"/>
  <c r="H26" i="149" s="1"/>
  <c r="E99" i="149"/>
  <c r="E59" i="149"/>
  <c r="H59" i="149" s="1"/>
  <c r="E33" i="149"/>
  <c r="E146" i="149"/>
  <c r="H146" i="149" s="1"/>
  <c r="E70" i="149"/>
  <c r="E23" i="149"/>
  <c r="H23" i="149" s="1"/>
  <c r="E142" i="149"/>
  <c r="E83" i="149"/>
  <c r="H83" i="149" s="1"/>
  <c r="E22" i="149"/>
  <c r="E95" i="149"/>
  <c r="I95" i="149" s="1"/>
  <c r="E56" i="149"/>
  <c r="H56" i="149" s="1"/>
  <c r="E30" i="149"/>
  <c r="H30" i="149" s="1"/>
  <c r="E134" i="149"/>
  <c r="E116" i="149"/>
  <c r="H116" i="149" s="1"/>
  <c r="E94" i="149"/>
  <c r="E81" i="149"/>
  <c r="H81" i="149" s="1"/>
  <c r="E65" i="149"/>
  <c r="E55" i="149"/>
  <c r="H55" i="149" s="1"/>
  <c r="E45" i="149"/>
  <c r="H45" i="149" s="1"/>
  <c r="E37" i="149"/>
  <c r="H37" i="149" s="1"/>
  <c r="E29" i="149"/>
  <c r="E19" i="149"/>
  <c r="E11" i="149"/>
  <c r="E155" i="149"/>
  <c r="H155" i="149" s="1"/>
  <c r="E91" i="149"/>
  <c r="E52" i="149"/>
  <c r="H52" i="149" s="1"/>
  <c r="E34" i="149"/>
  <c r="E16" i="149"/>
  <c r="H16" i="149" s="1"/>
  <c r="E154" i="149"/>
  <c r="E90" i="149"/>
  <c r="H90" i="149" s="1"/>
  <c r="E50" i="149"/>
  <c r="H50" i="149" s="1"/>
  <c r="E15" i="149"/>
  <c r="H15" i="149" s="1"/>
  <c r="E124" i="149"/>
  <c r="E89" i="149"/>
  <c r="H89" i="149" s="1"/>
  <c r="E49" i="149"/>
  <c r="E32" i="149"/>
  <c r="H32" i="149" s="1"/>
  <c r="E96" i="149"/>
  <c r="E57" i="149"/>
  <c r="H57" i="149" s="1"/>
  <c r="E39" i="149"/>
  <c r="E13" i="149"/>
  <c r="H13" i="149" s="1"/>
  <c r="E117" i="149"/>
  <c r="E66" i="149"/>
  <c r="E46" i="149"/>
  <c r="E12" i="149"/>
  <c r="B24" i="167"/>
  <c r="E7" i="149"/>
  <c r="H7" i="149" s="1"/>
  <c r="E133" i="149"/>
  <c r="E110" i="149"/>
  <c r="E93" i="149"/>
  <c r="E77" i="149"/>
  <c r="H77" i="149" s="1"/>
  <c r="E64" i="149"/>
  <c r="E54" i="149"/>
  <c r="H54" i="149" s="1"/>
  <c r="E36" i="149"/>
  <c r="E28" i="149"/>
  <c r="H28" i="149" s="1"/>
  <c r="E18" i="149"/>
  <c r="E108" i="149"/>
  <c r="E73" i="149"/>
  <c r="E125" i="149"/>
  <c r="E71" i="149"/>
  <c r="E41" i="149"/>
  <c r="H41" i="149" s="1"/>
  <c r="E97" i="149"/>
  <c r="E58" i="149"/>
  <c r="H58" i="149" s="1"/>
  <c r="E40" i="149"/>
  <c r="E118" i="149"/>
  <c r="H118" i="149" s="1"/>
  <c r="E67" i="149"/>
  <c r="E47" i="149"/>
  <c r="H47" i="149" s="1"/>
  <c r="E162" i="149"/>
  <c r="H162" i="149" s="1"/>
  <c r="E170" i="149"/>
  <c r="H170" i="149"/>
  <c r="E181" i="149"/>
  <c r="H181" i="149" s="1"/>
  <c r="E188" i="149"/>
  <c r="H188" i="149"/>
  <c r="E195" i="149"/>
  <c r="H195" i="149" s="1"/>
  <c r="E209" i="149"/>
  <c r="H209" i="149"/>
  <c r="E216" i="149"/>
  <c r="H216" i="149" s="1"/>
  <c r="E222" i="149"/>
  <c r="H222" i="149"/>
  <c r="E226" i="149"/>
  <c r="H226" i="149" s="1"/>
  <c r="E250" i="149"/>
  <c r="E257" i="149"/>
  <c r="H257" i="149" s="1"/>
  <c r="E269" i="149"/>
  <c r="H269" i="149" s="1"/>
  <c r="E276" i="149"/>
  <c r="H276" i="149" s="1"/>
  <c r="E287" i="149"/>
  <c r="H287" i="149" s="1"/>
  <c r="E294" i="149"/>
  <c r="H294" i="149" s="1"/>
  <c r="E301" i="149"/>
  <c r="H301" i="149" s="1"/>
  <c r="E306" i="149"/>
  <c r="H306" i="149" s="1"/>
  <c r="E312" i="149"/>
  <c r="H312" i="149" s="1"/>
  <c r="E318" i="149"/>
  <c r="H318" i="149" s="1"/>
  <c r="E163" i="149"/>
  <c r="H163" i="149" s="1"/>
  <c r="E176" i="149"/>
  <c r="E182" i="149"/>
  <c r="H182" i="149"/>
  <c r="E196" i="149"/>
  <c r="H196" i="149" s="1"/>
  <c r="E203" i="149"/>
  <c r="H203" i="149"/>
  <c r="E210" i="149"/>
  <c r="H210" i="149" s="1"/>
  <c r="E217" i="149"/>
  <c r="H217" i="149"/>
  <c r="E230" i="149"/>
  <c r="H230" i="149" s="1"/>
  <c r="E238" i="149"/>
  <c r="H238" i="149"/>
  <c r="E244" i="149"/>
  <c r="H244" i="149" s="1"/>
  <c r="E251" i="149"/>
  <c r="E258" i="149"/>
  <c r="H258" i="149" s="1"/>
  <c r="E270" i="149"/>
  <c r="H270" i="149" s="1"/>
  <c r="E277" i="149"/>
  <c r="H277" i="149" s="1"/>
  <c r="E288" i="149"/>
  <c r="H288" i="149" s="1"/>
  <c r="E302" i="149"/>
  <c r="H302" i="149" s="1"/>
  <c r="E313" i="149"/>
  <c r="H313" i="149" s="1"/>
  <c r="E319" i="149"/>
  <c r="H319" i="149" s="1"/>
  <c r="E298" i="149"/>
  <c r="H298" i="149" s="1"/>
  <c r="E316" i="149"/>
  <c r="H316" i="149" s="1"/>
  <c r="E175" i="149"/>
  <c r="G175" i="149" s="1"/>
  <c r="F153" i="146" s="1"/>
  <c r="E215" i="149"/>
  <c r="H215" i="149" s="1"/>
  <c r="E236" i="149"/>
  <c r="H236" i="149"/>
  <c r="E248" i="149"/>
  <c r="H248" i="149" s="1"/>
  <c r="E255" i="149"/>
  <c r="H255" i="149" s="1"/>
  <c r="E264" i="149"/>
  <c r="H264" i="149" s="1"/>
  <c r="E274" i="149"/>
  <c r="H274" i="149" s="1"/>
  <c r="E285" i="149"/>
  <c r="H285" i="149" s="1"/>
  <c r="E293" i="149"/>
  <c r="H293" i="149" s="1"/>
  <c r="E305" i="149"/>
  <c r="H305" i="149" s="1"/>
  <c r="E317" i="149"/>
  <c r="H317" i="149" s="1"/>
  <c r="E202" i="149"/>
  <c r="H202" i="149" s="1"/>
  <c r="E164" i="149"/>
  <c r="H164" i="149" s="1"/>
  <c r="E172" i="149"/>
  <c r="H172" i="149" s="1"/>
  <c r="E183" i="149"/>
  <c r="H183" i="149" s="1"/>
  <c r="E189" i="149"/>
  <c r="H189" i="149" s="1"/>
  <c r="E204" i="149"/>
  <c r="H204" i="149" s="1"/>
  <c r="E211" i="149"/>
  <c r="H211" i="149" s="1"/>
  <c r="E218" i="149"/>
  <c r="H218" i="149" s="1"/>
  <c r="E223" i="149"/>
  <c r="H223" i="149" s="1"/>
  <c r="E231" i="149"/>
  <c r="H231" i="149" s="1"/>
  <c r="E239" i="149"/>
  <c r="H239" i="149" s="1"/>
  <c r="E246" i="149"/>
  <c r="H246" i="149" s="1"/>
  <c r="E252" i="149"/>
  <c r="I252" i="149" s="1"/>
  <c r="K220" i="146" s="1"/>
  <c r="E271" i="149"/>
  <c r="H271" i="149" s="1"/>
  <c r="E278" i="149"/>
  <c r="H278" i="149" s="1"/>
  <c r="E289" i="149"/>
  <c r="H289" i="149" s="1"/>
  <c r="E295" i="149"/>
  <c r="H295" i="149" s="1"/>
  <c r="E307" i="149"/>
  <c r="H307" i="149" s="1"/>
  <c r="E314" i="149"/>
  <c r="H314" i="149" s="1"/>
  <c r="E173" i="149"/>
  <c r="H173" i="149" s="1"/>
  <c r="E178" i="149"/>
  <c r="I178" i="149" s="1"/>
  <c r="K155" i="146" s="1"/>
  <c r="E185" i="149"/>
  <c r="H185" i="149" s="1"/>
  <c r="E191" i="149"/>
  <c r="H191" i="149" s="1"/>
  <c r="E198" i="149"/>
  <c r="H198" i="149" s="1"/>
  <c r="E206" i="149"/>
  <c r="H206" i="149" s="1"/>
  <c r="E241" i="149"/>
  <c r="H241" i="149" s="1"/>
  <c r="E253" i="149"/>
  <c r="H253" i="149" s="1"/>
  <c r="E273" i="149"/>
  <c r="H273" i="149" s="1"/>
  <c r="E291" i="149"/>
  <c r="H291" i="149" s="1"/>
  <c r="E192" i="149"/>
  <c r="H192" i="149" s="1"/>
  <c r="E199" i="149"/>
  <c r="H199" i="149" s="1"/>
  <c r="E254" i="149"/>
  <c r="H254" i="149" s="1"/>
  <c r="E263" i="149"/>
  <c r="H263" i="149" s="1"/>
  <c r="E221" i="149"/>
  <c r="H221" i="149" s="1"/>
  <c r="E310" i="149"/>
  <c r="H310" i="149" s="1"/>
  <c r="E180" i="149"/>
  <c r="H180" i="149" s="1"/>
  <c r="E194" i="149"/>
  <c r="H194" i="149" s="1"/>
  <c r="E275" i="149"/>
  <c r="H275" i="149" s="1"/>
  <c r="E286" i="149"/>
  <c r="H286" i="149" s="1"/>
  <c r="E300" i="149"/>
  <c r="H300" i="149" s="1"/>
  <c r="E311" i="149"/>
  <c r="H311" i="149" s="1"/>
  <c r="E165" i="149"/>
  <c r="H165" i="149" s="1"/>
  <c r="E177" i="149"/>
  <c r="E184" i="149"/>
  <c r="H184" i="149" s="1"/>
  <c r="E190" i="149"/>
  <c r="H190" i="149" s="1"/>
  <c r="E197" i="149"/>
  <c r="H197" i="149" s="1"/>
  <c r="E205" i="149"/>
  <c r="H205" i="149" s="1"/>
  <c r="E212" i="149"/>
  <c r="H212" i="149" s="1"/>
  <c r="E219" i="149"/>
  <c r="H219" i="149" s="1"/>
  <c r="E224" i="149"/>
  <c r="E233" i="149"/>
  <c r="H233" i="149" s="1"/>
  <c r="E240" i="149"/>
  <c r="H240" i="149" s="1"/>
  <c r="E261" i="149"/>
  <c r="H261" i="149" s="1"/>
  <c r="E272" i="149"/>
  <c r="H272" i="149" s="1"/>
  <c r="E282" i="149"/>
  <c r="H282" i="149" s="1"/>
  <c r="E290" i="149"/>
  <c r="H290" i="149" s="1"/>
  <c r="E296" i="149"/>
  <c r="H296" i="149" s="1"/>
  <c r="E303" i="149"/>
  <c r="H303" i="149" s="1"/>
  <c r="E308" i="149"/>
  <c r="H308" i="149" s="1"/>
  <c r="E320" i="149"/>
  <c r="H320" i="149" s="1"/>
  <c r="E234" i="149"/>
  <c r="H234" i="149" s="1"/>
  <c r="E247" i="149"/>
  <c r="H247" i="149" s="1"/>
  <c r="E262" i="149"/>
  <c r="H262" i="149" s="1"/>
  <c r="E283" i="149"/>
  <c r="H283" i="149" s="1"/>
  <c r="E297" i="149"/>
  <c r="H297" i="149" s="1"/>
  <c r="E309" i="149"/>
  <c r="H309" i="149" s="1"/>
  <c r="E315" i="149"/>
  <c r="H315" i="149" s="1"/>
  <c r="E321" i="149"/>
  <c r="H321" i="149" s="1"/>
  <c r="E166" i="149"/>
  <c r="H166" i="149" s="1"/>
  <c r="E174" i="149"/>
  <c r="H174" i="149" s="1"/>
  <c r="E179" i="149"/>
  <c r="H179" i="149" s="1"/>
  <c r="E213" i="149"/>
  <c r="H213" i="149" s="1"/>
  <c r="E220" i="149"/>
  <c r="H220" i="149" s="1"/>
  <c r="E225" i="149"/>
  <c r="J225" i="149" s="1"/>
  <c r="L198" i="146" s="1"/>
  <c r="E235" i="149"/>
  <c r="H235" i="149" s="1"/>
  <c r="E242" i="149"/>
  <c r="H242" i="149" s="1"/>
  <c r="E284" i="149"/>
  <c r="H284" i="149" s="1"/>
  <c r="E292" i="149"/>
  <c r="H292" i="149" s="1"/>
  <c r="E304" i="149"/>
  <c r="H304" i="149" s="1"/>
  <c r="E186" i="149"/>
  <c r="H186" i="149" s="1"/>
  <c r="E193" i="149"/>
  <c r="H193" i="149" s="1"/>
  <c r="E201" i="149"/>
  <c r="H201" i="149" s="1"/>
  <c r="E207" i="149"/>
  <c r="H207" i="149" s="1"/>
  <c r="E299" i="149"/>
  <c r="H299" i="149" s="1"/>
  <c r="E169" i="149"/>
  <c r="H169" i="149" s="1"/>
  <c r="E187" i="149"/>
  <c r="H187" i="149" s="1"/>
  <c r="E208" i="149"/>
  <c r="H208" i="149" s="1"/>
  <c r="E237" i="149"/>
  <c r="H237" i="149" s="1"/>
  <c r="E243" i="149"/>
  <c r="H243" i="149" s="1"/>
  <c r="E249" i="149"/>
  <c r="H249" i="149" s="1"/>
  <c r="E256" i="149"/>
  <c r="H256" i="149" s="1"/>
  <c r="E25" i="149"/>
  <c r="H25" i="149" s="1"/>
  <c r="E105" i="149"/>
  <c r="J105" i="149" s="1"/>
  <c r="L92" i="146" s="1"/>
  <c r="E143" i="149"/>
  <c r="H143" i="149" s="1"/>
  <c r="E98" i="149"/>
  <c r="J98" i="149" s="1"/>
  <c r="L86" i="146" s="1"/>
  <c r="E51" i="149"/>
  <c r="H51" i="149" s="1"/>
  <c r="E84" i="149"/>
  <c r="H84" i="149" s="1"/>
  <c r="E60" i="149"/>
  <c r="H60" i="149" s="1"/>
  <c r="E141" i="149"/>
  <c r="E82" i="149"/>
  <c r="H82" i="149" s="1"/>
  <c r="E38" i="149"/>
  <c r="H38" i="149" s="1"/>
  <c r="E21" i="149"/>
  <c r="H21" i="149" s="1"/>
  <c r="E156" i="149"/>
  <c r="J156" i="149" s="1"/>
  <c r="L134" i="146" s="1"/>
  <c r="E132" i="149"/>
  <c r="H132" i="149" s="1"/>
  <c r="E109" i="149"/>
  <c r="G109" i="149" s="1"/>
  <c r="F97" i="146" s="1"/>
  <c r="E92" i="149"/>
  <c r="H92" i="149" s="1"/>
  <c r="E76" i="149"/>
  <c r="E62" i="149"/>
  <c r="H62" i="149" s="1"/>
  <c r="E53" i="149"/>
  <c r="H53" i="149" s="1"/>
  <c r="E35" i="149"/>
  <c r="H35" i="149" s="1"/>
  <c r="E27" i="149"/>
  <c r="H27" i="149" s="1"/>
  <c r="E17" i="149"/>
  <c r="H17" i="149" s="1"/>
  <c r="B21" i="169"/>
  <c r="E140" i="149"/>
  <c r="H140" i="149" s="1"/>
  <c r="E161" i="149"/>
  <c r="E152" i="149"/>
  <c r="E139" i="149"/>
  <c r="H139" i="149" s="1"/>
  <c r="E130" i="149"/>
  <c r="H130" i="149" s="1"/>
  <c r="E122" i="149"/>
  <c r="E114" i="149"/>
  <c r="H114" i="149" s="1"/>
  <c r="E106" i="149"/>
  <c r="H106" i="149" s="1"/>
  <c r="E153" i="149"/>
  <c r="H153" i="149" s="1"/>
  <c r="E115" i="149"/>
  <c r="H115" i="149" s="1"/>
  <c r="E322" i="149"/>
  <c r="H322" i="149" s="1"/>
  <c r="E159" i="149"/>
  <c r="H159" i="149" s="1"/>
  <c r="E151" i="149"/>
  <c r="H151" i="149" s="1"/>
  <c r="E138" i="149"/>
  <c r="H138" i="149" s="1"/>
  <c r="E129" i="149"/>
  <c r="H129" i="149" s="1"/>
  <c r="E121" i="149"/>
  <c r="H121" i="149" s="1"/>
  <c r="E113" i="149"/>
  <c r="H113" i="149" s="1"/>
  <c r="E104" i="149"/>
  <c r="H104" i="149" s="1"/>
  <c r="E123" i="149"/>
  <c r="H123" i="149" s="1"/>
  <c r="E158" i="149"/>
  <c r="H158" i="149" s="1"/>
  <c r="E150" i="149"/>
  <c r="E136" i="149"/>
  <c r="H136" i="149" s="1"/>
  <c r="E128" i="149"/>
  <c r="H128" i="149" s="1"/>
  <c r="E120" i="149"/>
  <c r="H120" i="149" s="1"/>
  <c r="E112" i="149"/>
  <c r="H112" i="149" s="1"/>
  <c r="E103" i="149"/>
  <c r="J103" i="149" s="1"/>
  <c r="L91" i="146" s="1"/>
  <c r="B21" i="167"/>
  <c r="E131" i="149"/>
  <c r="H131" i="149" s="1"/>
  <c r="E107" i="149"/>
  <c r="I107" i="149" s="1"/>
  <c r="K95" i="146" s="1"/>
  <c r="E157" i="149"/>
  <c r="H157" i="149" s="1"/>
  <c r="E149" i="149"/>
  <c r="H149" i="149" s="1"/>
  <c r="E135" i="149"/>
  <c r="H135" i="149" s="1"/>
  <c r="E127" i="149"/>
  <c r="H127" i="149" s="1"/>
  <c r="E119" i="149"/>
  <c r="H119" i="149" s="1"/>
  <c r="E111" i="149"/>
  <c r="I111" i="149" s="1"/>
  <c r="E100" i="149"/>
  <c r="F251" i="149"/>
  <c r="E219" i="146" s="1"/>
  <c r="H251" i="149"/>
  <c r="I251" i="149"/>
  <c r="K219" i="146" s="1"/>
  <c r="J251" i="149"/>
  <c r="L219" i="146" s="1"/>
  <c r="G251" i="149"/>
  <c r="F219" i="146" s="1"/>
  <c r="J175" i="149"/>
  <c r="L153" i="146" s="1"/>
  <c r="H252" i="149"/>
  <c r="J250" i="149"/>
  <c r="L218" i="146" s="1"/>
  <c r="F250" i="149"/>
  <c r="E218" i="146" s="1"/>
  <c r="I250" i="149"/>
  <c r="K218" i="146" s="1"/>
  <c r="H250" i="149"/>
  <c r="G250" i="149"/>
  <c r="F218" i="146" s="1"/>
  <c r="H11" i="149"/>
  <c r="H14" i="149"/>
  <c r="H19" i="149"/>
  <c r="H29" i="149"/>
  <c r="H33" i="149"/>
  <c r="H34" i="149"/>
  <c r="H36" i="149"/>
  <c r="H39" i="149"/>
  <c r="H40" i="149"/>
  <c r="H46" i="149"/>
  <c r="H64" i="149"/>
  <c r="H65" i="149"/>
  <c r="H73" i="149"/>
  <c r="H93" i="149"/>
  <c r="H94" i="149"/>
  <c r="H96" i="149"/>
  <c r="H117" i="149"/>
  <c r="H122" i="149"/>
  <c r="H141" i="149"/>
  <c r="H154" i="149"/>
  <c r="J96" i="149"/>
  <c r="L85" i="146" s="1"/>
  <c r="I96" i="149"/>
  <c r="K85" i="146" s="1"/>
  <c r="Q2075" i="144"/>
  <c r="P2075" i="144"/>
  <c r="Q2074" i="144"/>
  <c r="P2074" i="144"/>
  <c r="Q2073" i="144"/>
  <c r="P2073" i="144"/>
  <c r="Q2072" i="144"/>
  <c r="P2072" i="144"/>
  <c r="Q2071" i="144"/>
  <c r="P2071" i="144"/>
  <c r="Q2070" i="144"/>
  <c r="P2070" i="144"/>
  <c r="Q2069" i="144"/>
  <c r="P2069" i="144"/>
  <c r="Q2068" i="144"/>
  <c r="P2068" i="144"/>
  <c r="Q2067" i="144"/>
  <c r="P2067" i="144"/>
  <c r="Q2066" i="144"/>
  <c r="P2066" i="144"/>
  <c r="Q2065" i="144"/>
  <c r="P2065" i="144"/>
  <c r="Q2064" i="144"/>
  <c r="P2064" i="144"/>
  <c r="Q2063" i="144"/>
  <c r="P2063" i="144"/>
  <c r="Q2062" i="144"/>
  <c r="P2062" i="144"/>
  <c r="Q2061" i="144"/>
  <c r="P2061" i="144"/>
  <c r="Q2060" i="144"/>
  <c r="P2060" i="144"/>
  <c r="Q2059" i="144"/>
  <c r="P2059" i="144"/>
  <c r="Q2058" i="144"/>
  <c r="P2058" i="144"/>
  <c r="Q2057" i="144"/>
  <c r="P2057" i="144"/>
  <c r="Q2056" i="144"/>
  <c r="P2056" i="144"/>
  <c r="Q2055" i="144"/>
  <c r="P2055" i="144"/>
  <c r="Q2054" i="144"/>
  <c r="P2054" i="144"/>
  <c r="Q2053" i="144"/>
  <c r="P2053" i="144"/>
  <c r="Q2052" i="144"/>
  <c r="P2052" i="144"/>
  <c r="Q2051" i="144"/>
  <c r="P2051" i="144"/>
  <c r="Q2050" i="144"/>
  <c r="P2050" i="144"/>
  <c r="Q2049" i="144"/>
  <c r="P2049" i="144"/>
  <c r="Q2048" i="144"/>
  <c r="P2048" i="144"/>
  <c r="Q2047" i="144"/>
  <c r="P2047" i="144"/>
  <c r="Q2046" i="144"/>
  <c r="P2046" i="144"/>
  <c r="Q2045" i="144"/>
  <c r="P2045" i="144"/>
  <c r="Q2044" i="144"/>
  <c r="P2044" i="144"/>
  <c r="Q2043" i="144"/>
  <c r="P2043" i="144"/>
  <c r="Q2042" i="144"/>
  <c r="P2042" i="144"/>
  <c r="Q2041" i="144"/>
  <c r="P2041" i="144"/>
  <c r="Q2040" i="144"/>
  <c r="P2040" i="144"/>
  <c r="Q2039" i="144"/>
  <c r="P2039" i="144"/>
  <c r="Q2038" i="144"/>
  <c r="P2038" i="144"/>
  <c r="Q2036" i="144"/>
  <c r="P2036" i="144"/>
  <c r="Q2035" i="144"/>
  <c r="P2035" i="144"/>
  <c r="Q2034" i="144"/>
  <c r="P2034" i="144"/>
  <c r="Q2033" i="144"/>
  <c r="P2033" i="144"/>
  <c r="Q2032" i="144"/>
  <c r="P2032" i="144"/>
  <c r="Q2031" i="144"/>
  <c r="P2031" i="144"/>
  <c r="Q2030" i="144"/>
  <c r="P2030" i="144"/>
  <c r="Q2029" i="144"/>
  <c r="P2029" i="144"/>
  <c r="Q2028" i="144"/>
  <c r="P2028" i="144"/>
  <c r="Q2025" i="144"/>
  <c r="P2025" i="144"/>
  <c r="Q2024" i="144"/>
  <c r="P2024" i="144"/>
  <c r="Q2023" i="144"/>
  <c r="P2023" i="144"/>
  <c r="Q2022" i="144"/>
  <c r="P2022" i="144"/>
  <c r="Q2021" i="144"/>
  <c r="P2021" i="144"/>
  <c r="Q2020" i="144"/>
  <c r="P2020" i="144"/>
  <c r="Q2019" i="144"/>
  <c r="P2019" i="144"/>
  <c r="Q2018" i="144"/>
  <c r="P2018" i="144"/>
  <c r="Q2017" i="144"/>
  <c r="P2017" i="144"/>
  <c r="Q2015" i="144"/>
  <c r="P2015" i="144"/>
  <c r="Q2014" i="144"/>
  <c r="P2014" i="144"/>
  <c r="Q2013" i="144"/>
  <c r="P2013" i="144"/>
  <c r="Q2012" i="144"/>
  <c r="P2012" i="144"/>
  <c r="Q2009" i="144"/>
  <c r="P2009" i="144"/>
  <c r="Q2008" i="144"/>
  <c r="P2008" i="144"/>
  <c r="Q2004" i="144"/>
  <c r="P2004" i="144"/>
  <c r="Q2003" i="144"/>
  <c r="P2003" i="144"/>
  <c r="Q2002" i="144"/>
  <c r="P2002" i="144"/>
  <c r="Q1999" i="144"/>
  <c r="P1999" i="144"/>
  <c r="Q1998" i="144"/>
  <c r="P1998" i="144"/>
  <c r="Q1997" i="144"/>
  <c r="P1997" i="144"/>
  <c r="Q1996" i="144"/>
  <c r="P1996" i="144"/>
  <c r="Q1993" i="144"/>
  <c r="P1993" i="144"/>
  <c r="Q1992" i="144"/>
  <c r="P1992" i="144"/>
  <c r="Q1991" i="144"/>
  <c r="P1991" i="144"/>
  <c r="Q1989" i="144"/>
  <c r="P1989" i="144"/>
  <c r="D13" i="10"/>
  <c r="D14" i="10"/>
  <c r="D15" i="10"/>
  <c r="D16" i="10"/>
  <c r="D17"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B7" i="186"/>
  <c r="E58" i="124" s="1"/>
  <c r="B6" i="27"/>
  <c r="Y8" i="71"/>
  <c r="G8" i="71" s="1"/>
  <c r="Y9" i="71"/>
  <c r="G9" i="71" s="1"/>
  <c r="Y10" i="71"/>
  <c r="G10" i="71" s="1"/>
  <c r="Y11" i="71"/>
  <c r="G11" i="71" s="1"/>
  <c r="Y12" i="71"/>
  <c r="G12" i="71" s="1"/>
  <c r="Y13" i="71"/>
  <c r="G13" i="71" s="1"/>
  <c r="Y14" i="71"/>
  <c r="G14" i="71" s="1"/>
  <c r="Y15" i="71"/>
  <c r="G15" i="71" s="1"/>
  <c r="Y16" i="71"/>
  <c r="G16" i="71" s="1"/>
  <c r="Y17" i="71"/>
  <c r="G17" i="71" s="1"/>
  <c r="Y18" i="71"/>
  <c r="G18" i="71" s="1"/>
  <c r="Y19" i="71"/>
  <c r="G19" i="71" s="1"/>
  <c r="Y20" i="71"/>
  <c r="G20" i="71" s="1"/>
  <c r="Y21" i="71"/>
  <c r="G21" i="71" s="1"/>
  <c r="Y22" i="71"/>
  <c r="G22" i="71" s="1"/>
  <c r="Y23" i="71"/>
  <c r="G23" i="71" s="1"/>
  <c r="Y24" i="71"/>
  <c r="G24" i="71" s="1"/>
  <c r="Y25" i="71"/>
  <c r="G25" i="71" s="1"/>
  <c r="Y26" i="71"/>
  <c r="G26" i="71" s="1"/>
  <c r="Y27" i="71"/>
  <c r="G27" i="71" s="1"/>
  <c r="Y28" i="71"/>
  <c r="G28" i="71" s="1"/>
  <c r="Y29" i="71"/>
  <c r="G29" i="71" s="1"/>
  <c r="Y30" i="71"/>
  <c r="G30" i="71" s="1"/>
  <c r="Y31" i="71"/>
  <c r="G31" i="71" s="1"/>
  <c r="Y32" i="71"/>
  <c r="G32" i="71" s="1"/>
  <c r="Y33" i="71"/>
  <c r="G33" i="71" s="1"/>
  <c r="Y34" i="71"/>
  <c r="G34" i="71" s="1"/>
  <c r="Y35" i="71"/>
  <c r="G35" i="71" s="1"/>
  <c r="Y36" i="71"/>
  <c r="G36" i="71" s="1"/>
  <c r="Y37" i="71"/>
  <c r="G37" i="71" s="1"/>
  <c r="Y38" i="71"/>
  <c r="G38" i="71" s="1"/>
  <c r="Y39" i="71"/>
  <c r="G39" i="71" s="1"/>
  <c r="Y40" i="71"/>
  <c r="G40" i="71" s="1"/>
  <c r="Y41" i="71"/>
  <c r="G41" i="71" s="1"/>
  <c r="Y42" i="71"/>
  <c r="G42" i="71" s="1"/>
  <c r="Y43" i="71"/>
  <c r="G43" i="71" s="1"/>
  <c r="Y44" i="71"/>
  <c r="G44" i="71" s="1"/>
  <c r="Y45" i="71"/>
  <c r="G45" i="71" s="1"/>
  <c r="Y46" i="71"/>
  <c r="G46" i="71" s="1"/>
  <c r="Y47" i="71"/>
  <c r="G47" i="71" s="1"/>
  <c r="Y48" i="71"/>
  <c r="G48" i="71" s="1"/>
  <c r="Y49" i="71"/>
  <c r="G49" i="71" s="1"/>
  <c r="Y50" i="71"/>
  <c r="G50" i="71" s="1"/>
  <c r="Y51" i="71"/>
  <c r="G51" i="71" s="1"/>
  <c r="Y52" i="71"/>
  <c r="G52" i="71" s="1"/>
  <c r="Y53" i="71"/>
  <c r="G53" i="71" s="1"/>
  <c r="Y54" i="71"/>
  <c r="G54" i="71" s="1"/>
  <c r="Y55" i="71"/>
  <c r="G55" i="71" s="1"/>
  <c r="Y56" i="71"/>
  <c r="G56" i="71" s="1"/>
  <c r="M56" i="71" s="1"/>
  <c r="Y57" i="71"/>
  <c r="G57" i="71" s="1"/>
  <c r="Y58" i="71"/>
  <c r="G58" i="71" s="1"/>
  <c r="Y59" i="71"/>
  <c r="G59" i="71" s="1"/>
  <c r="Y60" i="71"/>
  <c r="G60" i="71" s="1"/>
  <c r="Y61" i="71"/>
  <c r="G61" i="71" s="1"/>
  <c r="Y62" i="71"/>
  <c r="G62" i="71" s="1"/>
  <c r="Y63" i="71"/>
  <c r="G63" i="71" s="1"/>
  <c r="Y64" i="71"/>
  <c r="G64" i="71" s="1"/>
  <c r="Y65" i="71"/>
  <c r="G65" i="71" s="1"/>
  <c r="Y66" i="71"/>
  <c r="G66" i="71" s="1"/>
  <c r="Y67" i="71"/>
  <c r="G67" i="71" s="1"/>
  <c r="Y68" i="71"/>
  <c r="G68" i="71" s="1"/>
  <c r="Y69" i="71"/>
  <c r="G69" i="71" s="1"/>
  <c r="Y70" i="71"/>
  <c r="G70" i="71" s="1"/>
  <c r="Y71" i="71"/>
  <c r="G71" i="71" s="1"/>
  <c r="Y72" i="71"/>
  <c r="G72" i="71" s="1"/>
  <c r="Y73" i="71"/>
  <c r="G73" i="71" s="1"/>
  <c r="Y74" i="71"/>
  <c r="G74" i="71" s="1"/>
  <c r="Y75" i="71"/>
  <c r="G75" i="71" s="1"/>
  <c r="Y76" i="71"/>
  <c r="G76" i="71" s="1"/>
  <c r="Y77" i="71"/>
  <c r="G77" i="71" s="1"/>
  <c r="Y78" i="71"/>
  <c r="G78" i="71" s="1"/>
  <c r="Y79" i="71"/>
  <c r="G79" i="71" s="1"/>
  <c r="Y80" i="71"/>
  <c r="G80" i="71" s="1"/>
  <c r="Y81" i="71"/>
  <c r="G81" i="71" s="1"/>
  <c r="J81" i="71" s="1"/>
  <c r="Y82" i="71"/>
  <c r="G82" i="71" s="1"/>
  <c r="Y83" i="71"/>
  <c r="G83" i="71" s="1"/>
  <c r="Y84" i="71"/>
  <c r="G84" i="71" s="1"/>
  <c r="Y85" i="71"/>
  <c r="G85" i="71" s="1"/>
  <c r="Y86" i="71"/>
  <c r="G86" i="71" s="1"/>
  <c r="Y87" i="71"/>
  <c r="G87" i="71" s="1"/>
  <c r="Y88" i="71"/>
  <c r="G88" i="71" s="1"/>
  <c r="Y89" i="71"/>
  <c r="G89" i="71" s="1"/>
  <c r="Y90" i="71"/>
  <c r="G90" i="71" s="1"/>
  <c r="Y91" i="71"/>
  <c r="G91" i="71" s="1"/>
  <c r="Y92" i="71"/>
  <c r="G92" i="71" s="1"/>
  <c r="Y93" i="71"/>
  <c r="G93" i="71" s="1"/>
  <c r="Y94" i="71"/>
  <c r="G94" i="71" s="1"/>
  <c r="Y95" i="71"/>
  <c r="G95" i="71" s="1"/>
  <c r="Y96" i="71"/>
  <c r="G96" i="71" s="1"/>
  <c r="Y97" i="71"/>
  <c r="G97" i="71" s="1"/>
  <c r="Y98" i="71"/>
  <c r="G98" i="71" s="1"/>
  <c r="Y99" i="71"/>
  <c r="G99" i="71" s="1"/>
  <c r="Y100" i="71"/>
  <c r="G100" i="71" s="1"/>
  <c r="Y101" i="71"/>
  <c r="G101" i="71" s="1"/>
  <c r="Y102" i="71"/>
  <c r="G102" i="71" s="1"/>
  <c r="Y103" i="71"/>
  <c r="G103" i="71" s="1"/>
  <c r="Y104" i="71"/>
  <c r="G104" i="71" s="1"/>
  <c r="Y105" i="71"/>
  <c r="G105" i="71" s="1"/>
  <c r="Y106" i="71"/>
  <c r="G106" i="71" s="1"/>
  <c r="Y107" i="71"/>
  <c r="G107" i="71" s="1"/>
  <c r="Y108" i="71"/>
  <c r="G108" i="71" s="1"/>
  <c r="Y109" i="71"/>
  <c r="G109" i="71" s="1"/>
  <c r="Y110" i="71"/>
  <c r="G110" i="71" s="1"/>
  <c r="Y111" i="71"/>
  <c r="G111" i="71" s="1"/>
  <c r="Y112" i="71"/>
  <c r="G112" i="71" s="1"/>
  <c r="Y113" i="71"/>
  <c r="G113" i="71" s="1"/>
  <c r="Y114" i="71"/>
  <c r="G114" i="71" s="1"/>
  <c r="Y115" i="71"/>
  <c r="G115" i="71" s="1"/>
  <c r="Y116" i="71"/>
  <c r="G116" i="71" s="1"/>
  <c r="Y117" i="71"/>
  <c r="G117" i="71" s="1"/>
  <c r="Y118" i="71"/>
  <c r="G118" i="71" s="1"/>
  <c r="Y119" i="71"/>
  <c r="G119" i="71" s="1"/>
  <c r="Y120" i="71"/>
  <c r="G120" i="71" s="1"/>
  <c r="Y121" i="71"/>
  <c r="G121" i="71" s="1"/>
  <c r="M121" i="71" s="1"/>
  <c r="Y122" i="71"/>
  <c r="G122" i="71" s="1"/>
  <c r="Y123" i="71"/>
  <c r="G123" i="71" s="1"/>
  <c r="Y124" i="71"/>
  <c r="G124" i="71" s="1"/>
  <c r="Y125" i="71"/>
  <c r="G125" i="71" s="1"/>
  <c r="Y126" i="71"/>
  <c r="G126" i="71" s="1"/>
  <c r="Y127" i="71"/>
  <c r="G127" i="71" s="1"/>
  <c r="Y128" i="71"/>
  <c r="G128" i="71" s="1"/>
  <c r="Y129" i="71"/>
  <c r="G129" i="71" s="1"/>
  <c r="Y130" i="71"/>
  <c r="G130" i="71" s="1"/>
  <c r="Y131" i="71"/>
  <c r="G131" i="71" s="1"/>
  <c r="Y132" i="71"/>
  <c r="G132" i="71" s="1"/>
  <c r="Y133" i="71"/>
  <c r="G133" i="71" s="1"/>
  <c r="Y134" i="71"/>
  <c r="G134" i="71" s="1"/>
  <c r="Y135" i="71"/>
  <c r="G135" i="71" s="1"/>
  <c r="Y136" i="71"/>
  <c r="G136" i="71" s="1"/>
  <c r="Y137" i="71"/>
  <c r="G137" i="71" s="1"/>
  <c r="Y138" i="71"/>
  <c r="G138" i="71" s="1"/>
  <c r="Y139" i="71"/>
  <c r="G139" i="71" s="1"/>
  <c r="Y140" i="71"/>
  <c r="G140" i="71" s="1"/>
  <c r="M140" i="71" s="1"/>
  <c r="Y141" i="71"/>
  <c r="G141" i="71" s="1"/>
  <c r="Y142" i="71"/>
  <c r="G142" i="71" s="1"/>
  <c r="Y143" i="71"/>
  <c r="G143" i="71" s="1"/>
  <c r="Y144" i="71"/>
  <c r="G144" i="71" s="1"/>
  <c r="P144" i="71" s="1"/>
  <c r="Y145" i="71"/>
  <c r="G145" i="71" s="1"/>
  <c r="Y146" i="71"/>
  <c r="G146" i="71" s="1"/>
  <c r="Y147" i="71"/>
  <c r="G147" i="71" s="1"/>
  <c r="P147" i="71" s="1"/>
  <c r="Y148" i="71"/>
  <c r="G148" i="71" s="1"/>
  <c r="J148" i="71" s="1"/>
  <c r="Y149" i="71"/>
  <c r="G149" i="71" s="1"/>
  <c r="Y150" i="71"/>
  <c r="G150" i="71" s="1"/>
  <c r="Y151" i="71"/>
  <c r="G151" i="71" s="1"/>
  <c r="J151" i="71" s="1"/>
  <c r="Y152" i="71"/>
  <c r="G152" i="71" s="1"/>
  <c r="J152" i="71" s="1"/>
  <c r="Y153" i="71"/>
  <c r="G153" i="71" s="1"/>
  <c r="P153" i="71" s="1"/>
  <c r="Y154" i="71"/>
  <c r="G154" i="71" s="1"/>
  <c r="Y155" i="71"/>
  <c r="G155" i="71" s="1"/>
  <c r="P155" i="71" s="1"/>
  <c r="Y156" i="71"/>
  <c r="G156" i="71" s="1"/>
  <c r="Y157" i="71"/>
  <c r="G157" i="71" s="1"/>
  <c r="Y158" i="71"/>
  <c r="G158" i="71" s="1"/>
  <c r="P158" i="71" s="1"/>
  <c r="Y159" i="71"/>
  <c r="G159" i="71" s="1"/>
  <c r="P159" i="71" s="1"/>
  <c r="Y160" i="71"/>
  <c r="G160" i="71" s="1"/>
  <c r="M160" i="71" s="1"/>
  <c r="Y161" i="71"/>
  <c r="G161" i="71" s="1"/>
  <c r="Y162" i="71"/>
  <c r="G162" i="71" s="1"/>
  <c r="P162" i="71" s="1"/>
  <c r="Y163" i="71"/>
  <c r="G163" i="71" s="1"/>
  <c r="M163" i="71" s="1"/>
  <c r="Y164" i="71"/>
  <c r="G164" i="71" s="1"/>
  <c r="Y165" i="71"/>
  <c r="G165" i="71" s="1"/>
  <c r="M165" i="71" s="1"/>
  <c r="Y166" i="71"/>
  <c r="G166" i="71" s="1"/>
  <c r="P166" i="71" s="1"/>
  <c r="Y167" i="71"/>
  <c r="G167" i="71" s="1"/>
  <c r="P167" i="71" s="1"/>
  <c r="Y168" i="71"/>
  <c r="G168" i="71" s="1"/>
  <c r="M168" i="71" s="1"/>
  <c r="Y169" i="71"/>
  <c r="G169" i="71" s="1"/>
  <c r="Y170" i="71"/>
  <c r="G170" i="71" s="1"/>
  <c r="M170" i="71" s="1"/>
  <c r="Y171" i="71"/>
  <c r="G171" i="71" s="1"/>
  <c r="P171" i="71" s="1"/>
  <c r="Y172" i="71"/>
  <c r="G172" i="71" s="1"/>
  <c r="P172" i="71" s="1"/>
  <c r="X8" i="71"/>
  <c r="F8" i="71" s="1"/>
  <c r="X9" i="71"/>
  <c r="F9" i="71" s="1"/>
  <c r="X10" i="71"/>
  <c r="F10" i="71" s="1"/>
  <c r="X11" i="71"/>
  <c r="F11" i="71" s="1"/>
  <c r="X12" i="71"/>
  <c r="F12" i="71" s="1"/>
  <c r="X13" i="71"/>
  <c r="F13" i="71" s="1"/>
  <c r="X14" i="71"/>
  <c r="F14" i="71" s="1"/>
  <c r="X15" i="71"/>
  <c r="F15" i="71" s="1"/>
  <c r="X16" i="71"/>
  <c r="F16" i="71" s="1"/>
  <c r="X17" i="71"/>
  <c r="F17" i="71" s="1"/>
  <c r="X18" i="71"/>
  <c r="F18" i="71" s="1"/>
  <c r="X19" i="71"/>
  <c r="F19" i="71" s="1"/>
  <c r="X20" i="71"/>
  <c r="F20" i="71" s="1"/>
  <c r="X21" i="71"/>
  <c r="F21" i="71" s="1"/>
  <c r="X22" i="71"/>
  <c r="F22" i="71" s="1"/>
  <c r="X23" i="71"/>
  <c r="F23" i="71" s="1"/>
  <c r="X24" i="71"/>
  <c r="F24" i="71" s="1"/>
  <c r="X25" i="71"/>
  <c r="F25" i="71" s="1"/>
  <c r="X26" i="71"/>
  <c r="F26" i="71" s="1"/>
  <c r="X27" i="71"/>
  <c r="F27" i="71" s="1"/>
  <c r="X28" i="71"/>
  <c r="F28" i="71" s="1"/>
  <c r="X29" i="71"/>
  <c r="F29" i="71" s="1"/>
  <c r="X30" i="71"/>
  <c r="F30" i="71" s="1"/>
  <c r="X31" i="71"/>
  <c r="F31" i="71" s="1"/>
  <c r="X32" i="71"/>
  <c r="F32" i="71" s="1"/>
  <c r="X33" i="71"/>
  <c r="F33" i="71" s="1"/>
  <c r="X34" i="71"/>
  <c r="F34" i="71" s="1"/>
  <c r="X35" i="71"/>
  <c r="F35" i="71" s="1"/>
  <c r="X36" i="71"/>
  <c r="F36" i="71" s="1"/>
  <c r="X37" i="71"/>
  <c r="F37" i="71" s="1"/>
  <c r="X38" i="71"/>
  <c r="F38" i="71" s="1"/>
  <c r="X39" i="71"/>
  <c r="F39" i="71" s="1"/>
  <c r="X40" i="71"/>
  <c r="F40" i="71" s="1"/>
  <c r="X41" i="71"/>
  <c r="F41" i="71" s="1"/>
  <c r="X42" i="71"/>
  <c r="F42" i="71" s="1"/>
  <c r="X43" i="71"/>
  <c r="F43" i="71" s="1"/>
  <c r="X44" i="71"/>
  <c r="F44" i="71" s="1"/>
  <c r="X45" i="71"/>
  <c r="F45" i="71" s="1"/>
  <c r="X46" i="71"/>
  <c r="F46" i="71" s="1"/>
  <c r="X47" i="71"/>
  <c r="F47" i="71" s="1"/>
  <c r="X48" i="71"/>
  <c r="F48" i="71" s="1"/>
  <c r="X49" i="71"/>
  <c r="F49" i="71" s="1"/>
  <c r="X50" i="71"/>
  <c r="F50" i="71" s="1"/>
  <c r="X51" i="71"/>
  <c r="F51" i="71" s="1"/>
  <c r="X52" i="71"/>
  <c r="F52" i="71" s="1"/>
  <c r="X53" i="71"/>
  <c r="F53" i="71" s="1"/>
  <c r="X54" i="71"/>
  <c r="F54" i="71" s="1"/>
  <c r="X55" i="71"/>
  <c r="F55" i="71" s="1"/>
  <c r="X56" i="71"/>
  <c r="F56" i="71" s="1"/>
  <c r="X57" i="71"/>
  <c r="F57" i="71" s="1"/>
  <c r="X58" i="71"/>
  <c r="F58" i="71" s="1"/>
  <c r="X59" i="71"/>
  <c r="F59" i="71" s="1"/>
  <c r="O20" i="140" s="1"/>
  <c r="X60" i="71"/>
  <c r="F60" i="71" s="1"/>
  <c r="X61" i="71"/>
  <c r="F61" i="71" s="1"/>
  <c r="X62" i="71"/>
  <c r="F62" i="71" s="1"/>
  <c r="X63" i="71"/>
  <c r="F63" i="71" s="1"/>
  <c r="G26" i="140" s="1"/>
  <c r="X64" i="71"/>
  <c r="F64" i="71" s="1"/>
  <c r="X65" i="71"/>
  <c r="F65" i="71" s="1"/>
  <c r="X66" i="71"/>
  <c r="F66" i="71" s="1"/>
  <c r="O25" i="140" s="1"/>
  <c r="X67" i="71"/>
  <c r="F67" i="71" s="1"/>
  <c r="X68" i="71"/>
  <c r="F68" i="71" s="1"/>
  <c r="X69" i="71"/>
  <c r="F69" i="71" s="1"/>
  <c r="X70" i="71"/>
  <c r="F70" i="71" s="1"/>
  <c r="X71" i="71"/>
  <c r="F71" i="71" s="1"/>
  <c r="X72" i="71"/>
  <c r="F72" i="71" s="1"/>
  <c r="X73" i="71"/>
  <c r="F73" i="71" s="1"/>
  <c r="X74" i="71"/>
  <c r="F74" i="71" s="1"/>
  <c r="X75" i="71"/>
  <c r="F75" i="71" s="1"/>
  <c r="X76" i="71"/>
  <c r="F76" i="71" s="1"/>
  <c r="X77" i="71"/>
  <c r="F77" i="71" s="1"/>
  <c r="X78" i="71"/>
  <c r="F78" i="71" s="1"/>
  <c r="X79" i="71"/>
  <c r="F79" i="71" s="1"/>
  <c r="X80" i="71"/>
  <c r="F80" i="71" s="1"/>
  <c r="X81" i="71"/>
  <c r="F81" i="71" s="1"/>
  <c r="X82" i="71"/>
  <c r="F82" i="71" s="1"/>
  <c r="X83" i="71"/>
  <c r="F83" i="71" s="1"/>
  <c r="X84" i="71"/>
  <c r="F84" i="71" s="1"/>
  <c r="X85" i="71"/>
  <c r="F85" i="71" s="1"/>
  <c r="X86" i="71"/>
  <c r="F86" i="71" s="1"/>
  <c r="X87" i="71"/>
  <c r="F87" i="71" s="1"/>
  <c r="X88" i="71"/>
  <c r="F88" i="71" s="1"/>
  <c r="X89" i="71"/>
  <c r="F89" i="71" s="1"/>
  <c r="O19" i="140" s="1"/>
  <c r="X90" i="71"/>
  <c r="F90" i="71" s="1"/>
  <c r="X91" i="71"/>
  <c r="F91" i="71" s="1"/>
  <c r="X92" i="71"/>
  <c r="F92" i="71" s="1"/>
  <c r="X93" i="71"/>
  <c r="F93" i="71" s="1"/>
  <c r="X94" i="71"/>
  <c r="F94" i="71" s="1"/>
  <c r="X95" i="71"/>
  <c r="F95" i="71" s="1"/>
  <c r="X96" i="71"/>
  <c r="F96" i="71" s="1"/>
  <c r="X97" i="71"/>
  <c r="F97" i="71" s="1"/>
  <c r="X98" i="71"/>
  <c r="F98" i="71" s="1"/>
  <c r="X99" i="71"/>
  <c r="F99" i="71" s="1"/>
  <c r="X100" i="71"/>
  <c r="F100" i="71" s="1"/>
  <c r="X101" i="71"/>
  <c r="F101" i="71" s="1"/>
  <c r="X102" i="71"/>
  <c r="F102" i="71" s="1"/>
  <c r="K11" i="140" s="1"/>
  <c r="X103" i="71"/>
  <c r="F103" i="71" s="1"/>
  <c r="X104" i="71"/>
  <c r="F104" i="71" s="1"/>
  <c r="X105" i="71"/>
  <c r="F105" i="71" s="1"/>
  <c r="X106" i="71"/>
  <c r="F106" i="71" s="1"/>
  <c r="X107" i="71"/>
  <c r="F107" i="71" s="1"/>
  <c r="G28" i="140" s="1"/>
  <c r="X108" i="71"/>
  <c r="F108" i="71" s="1"/>
  <c r="X109" i="71"/>
  <c r="F109" i="71" s="1"/>
  <c r="X110" i="71"/>
  <c r="F110" i="71" s="1"/>
  <c r="X111" i="71"/>
  <c r="F111" i="71" s="1"/>
  <c r="X112" i="71"/>
  <c r="F112" i="71" s="1"/>
  <c r="O12" i="140" s="1"/>
  <c r="X113" i="71"/>
  <c r="F113" i="71" s="1"/>
  <c r="X114" i="71"/>
  <c r="F114" i="71" s="1"/>
  <c r="G13" i="140" s="1"/>
  <c r="X115" i="71"/>
  <c r="F115" i="71" s="1"/>
  <c r="X116" i="71"/>
  <c r="F116" i="71" s="1"/>
  <c r="X117" i="71"/>
  <c r="F117" i="71" s="1"/>
  <c r="X118" i="71"/>
  <c r="F118" i="71" s="1"/>
  <c r="G21" i="140" s="1"/>
  <c r="X119" i="71"/>
  <c r="F119" i="71" s="1"/>
  <c r="X120" i="71"/>
  <c r="F120" i="71" s="1"/>
  <c r="X121" i="71"/>
  <c r="F121" i="71" s="1"/>
  <c r="X122" i="71"/>
  <c r="F122" i="71" s="1"/>
  <c r="K29" i="140" s="1"/>
  <c r="X123" i="71"/>
  <c r="F123" i="71" s="1"/>
  <c r="G15" i="140" s="1"/>
  <c r="X124" i="71"/>
  <c r="F124" i="71" s="1"/>
  <c r="X125" i="71"/>
  <c r="F125" i="71" s="1"/>
  <c r="X126" i="71"/>
  <c r="F126" i="71" s="1"/>
  <c r="X127" i="71"/>
  <c r="F127" i="71" s="1"/>
  <c r="X128" i="71"/>
  <c r="F128" i="71" s="1"/>
  <c r="X129" i="71"/>
  <c r="F129" i="71" s="1"/>
  <c r="X130" i="71"/>
  <c r="F130" i="71" s="1"/>
  <c r="O7" i="140" s="1"/>
  <c r="X131" i="71"/>
  <c r="F131" i="71" s="1"/>
  <c r="X132" i="71"/>
  <c r="F132" i="71" s="1"/>
  <c r="X133" i="71"/>
  <c r="F133" i="71" s="1"/>
  <c r="X134" i="71"/>
  <c r="F134" i="71" s="1"/>
  <c r="X135" i="71"/>
  <c r="F135" i="71" s="1"/>
  <c r="X136" i="71"/>
  <c r="F136" i="71" s="1"/>
  <c r="X137" i="71"/>
  <c r="F137" i="71" s="1"/>
  <c r="X138" i="71"/>
  <c r="F138" i="71" s="1"/>
  <c r="X139" i="71"/>
  <c r="F139" i="71" s="1"/>
  <c r="X140" i="71"/>
  <c r="F140" i="71" s="1"/>
  <c r="X141" i="71"/>
  <c r="F141" i="71" s="1"/>
  <c r="X142" i="71"/>
  <c r="F142" i="71" s="1"/>
  <c r="G17" i="140" s="1"/>
  <c r="X143" i="71"/>
  <c r="F143" i="71" s="1"/>
  <c r="X144" i="71"/>
  <c r="F144" i="71" s="1"/>
  <c r="X145" i="71"/>
  <c r="F145" i="71" s="1"/>
  <c r="X146" i="71"/>
  <c r="F146" i="71" s="1"/>
  <c r="X147" i="71"/>
  <c r="F147" i="71" s="1"/>
  <c r="X148" i="71"/>
  <c r="F148" i="71" s="1"/>
  <c r="X149" i="71"/>
  <c r="F149" i="71" s="1"/>
  <c r="X150" i="71"/>
  <c r="F150" i="71" s="1"/>
  <c r="X151" i="71"/>
  <c r="F151" i="71" s="1"/>
  <c r="X152" i="71"/>
  <c r="F152" i="71" s="1"/>
  <c r="X153" i="71"/>
  <c r="F153" i="71" s="1"/>
  <c r="X154" i="71"/>
  <c r="F154" i="71" s="1"/>
  <c r="X155" i="71"/>
  <c r="F155" i="71" s="1"/>
  <c r="X156" i="71"/>
  <c r="F156" i="71" s="1"/>
  <c r="X157" i="71"/>
  <c r="F157" i="71" s="1"/>
  <c r="X158" i="71"/>
  <c r="F158" i="71" s="1"/>
  <c r="X159" i="71"/>
  <c r="F159" i="71" s="1"/>
  <c r="X160" i="71"/>
  <c r="F160" i="71" s="1"/>
  <c r="X161" i="71"/>
  <c r="F161" i="71" s="1"/>
  <c r="X162" i="71"/>
  <c r="F162" i="71" s="1"/>
  <c r="X163" i="71"/>
  <c r="F163" i="71" s="1"/>
  <c r="X164" i="71"/>
  <c r="F164" i="71" s="1"/>
  <c r="X165" i="71"/>
  <c r="F165" i="71" s="1"/>
  <c r="X166" i="71"/>
  <c r="F166" i="71" s="1"/>
  <c r="X167" i="71"/>
  <c r="F167" i="71" s="1"/>
  <c r="X168" i="71"/>
  <c r="F168" i="71" s="1"/>
  <c r="X169" i="71"/>
  <c r="F169" i="71" s="1"/>
  <c r="X170" i="71"/>
  <c r="F170" i="71" s="1"/>
  <c r="X171" i="71"/>
  <c r="F171" i="71" s="1"/>
  <c r="X172" i="71"/>
  <c r="F172" i="71" s="1"/>
  <c r="Y7" i="71"/>
  <c r="G7" i="71" s="1"/>
  <c r="X7" i="71"/>
  <c r="F7" i="71" s="1"/>
  <c r="B4" i="32"/>
  <c r="B7" i="203" s="1"/>
  <c r="B7" i="45"/>
  <c r="B8" i="32" s="1"/>
  <c r="B10" i="203" s="1"/>
  <c r="H9" i="125"/>
  <c r="G8" i="125"/>
  <c r="D53" i="100"/>
  <c r="D52" i="100"/>
  <c r="D51" i="100"/>
  <c r="D50" i="100"/>
  <c r="D49" i="100"/>
  <c r="D48" i="100"/>
  <c r="D47" i="100"/>
  <c r="D46" i="100"/>
  <c r="D45" i="100"/>
  <c r="D44" i="100"/>
  <c r="D43" i="100"/>
  <c r="D42" i="100"/>
  <c r="D40" i="100"/>
  <c r="D39" i="100"/>
  <c r="D38" i="100"/>
  <c r="D37" i="100"/>
  <c r="D36" i="100"/>
  <c r="D35" i="100"/>
  <c r="D34" i="100"/>
  <c r="D33" i="100"/>
  <c r="D32" i="100"/>
  <c r="D31" i="100"/>
  <c r="D30" i="100"/>
  <c r="D29" i="100"/>
  <c r="D28" i="100"/>
  <c r="D27" i="100"/>
  <c r="D26" i="100"/>
  <c r="D25" i="100"/>
  <c r="D24" i="100"/>
  <c r="D22" i="100"/>
  <c r="D21" i="100"/>
  <c r="D20" i="100"/>
  <c r="D19" i="100"/>
  <c r="D18" i="100"/>
  <c r="D17" i="100"/>
  <c r="D16" i="100"/>
  <c r="D15" i="100"/>
  <c r="D14" i="100"/>
  <c r="D13" i="100"/>
  <c r="D12" i="100"/>
  <c r="D10" i="100"/>
  <c r="D9" i="100"/>
  <c r="D8" i="100"/>
  <c r="D7" i="100"/>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35" i="64"/>
  <c r="D7" i="64"/>
  <c r="D7" i="107"/>
  <c r="C7" i="107"/>
  <c r="G7" i="1"/>
  <c r="G154" i="1" s="1"/>
  <c r="D9" i="10"/>
  <c r="D8" i="10"/>
  <c r="D10" i="10"/>
  <c r="L190" i="1"/>
  <c r="J190" i="1"/>
  <c r="L185" i="1"/>
  <c r="K185" i="1"/>
  <c r="J185" i="1"/>
  <c r="D185" i="1"/>
  <c r="F183" i="1"/>
  <c r="N183" i="1"/>
  <c r="P183" i="1" s="1"/>
  <c r="F182" i="1"/>
  <c r="N182" i="1"/>
  <c r="F181" i="1"/>
  <c r="N181" i="1"/>
  <c r="F180" i="1"/>
  <c r="N180" i="1"/>
  <c r="F179" i="1"/>
  <c r="N179" i="1"/>
  <c r="O179" i="1" s="1"/>
  <c r="F178" i="1"/>
  <c r="N178" i="1"/>
  <c r="F177" i="1"/>
  <c r="N177" i="1"/>
  <c r="O177" i="1" s="1"/>
  <c r="F176" i="1"/>
  <c r="N176" i="1"/>
  <c r="O176" i="1" s="1"/>
  <c r="F175" i="1"/>
  <c r="N175" i="1"/>
  <c r="F174" i="1"/>
  <c r="N174" i="1"/>
  <c r="F173" i="1"/>
  <c r="N173" i="1"/>
  <c r="F172" i="1"/>
  <c r="N172" i="1"/>
  <c r="F171" i="1"/>
  <c r="N171" i="1"/>
  <c r="F170" i="1"/>
  <c r="N170" i="1"/>
  <c r="O170" i="1" s="1"/>
  <c r="F169" i="1"/>
  <c r="N169" i="1"/>
  <c r="F168" i="1"/>
  <c r="N168" i="1"/>
  <c r="F167" i="1"/>
  <c r="N167" i="1"/>
  <c r="O167" i="1" s="1"/>
  <c r="F166" i="1"/>
  <c r="N166" i="1"/>
  <c r="F165" i="1"/>
  <c r="N165" i="1"/>
  <c r="O165" i="1" s="1"/>
  <c r="F164" i="1"/>
  <c r="N164" i="1"/>
  <c r="O164" i="1" s="1"/>
  <c r="F163" i="1"/>
  <c r="N163" i="1"/>
  <c r="O163" i="1" s="1"/>
  <c r="F162" i="1"/>
  <c r="N162" i="1"/>
  <c r="P162" i="1" s="1"/>
  <c r="F161" i="1"/>
  <c r="N161" i="1"/>
  <c r="O161" i="1" s="1"/>
  <c r="F160" i="1"/>
  <c r="N160" i="1"/>
  <c r="O160" i="1" s="1"/>
  <c r="F159" i="1"/>
  <c r="N159" i="1"/>
  <c r="O159" i="1" s="1"/>
  <c r="F158" i="1"/>
  <c r="N158" i="1"/>
  <c r="P158" i="1" s="1"/>
  <c r="F157" i="1"/>
  <c r="N157" i="1"/>
  <c r="O157" i="1" s="1"/>
  <c r="F156" i="1"/>
  <c r="N156" i="1"/>
  <c r="F155" i="1"/>
  <c r="N155" i="1"/>
  <c r="P155" i="1" s="1"/>
  <c r="F154" i="1"/>
  <c r="N154" i="1"/>
  <c r="P154" i="1" s="1"/>
  <c r="F153" i="1"/>
  <c r="N153" i="1"/>
  <c r="F152" i="1"/>
  <c r="N152" i="1"/>
  <c r="P152" i="1" s="1"/>
  <c r="F151" i="1"/>
  <c r="N151" i="1"/>
  <c r="P151" i="1" s="1"/>
  <c r="F150" i="1"/>
  <c r="N150" i="1"/>
  <c r="O150" i="1" s="1"/>
  <c r="F149" i="1"/>
  <c r="N149" i="1"/>
  <c r="F148" i="1"/>
  <c r="N148" i="1"/>
  <c r="P148" i="1" s="1"/>
  <c r="O148" i="1"/>
  <c r="F147" i="1"/>
  <c r="N147" i="1"/>
  <c r="O147" i="1" s="1"/>
  <c r="F146" i="1"/>
  <c r="N146" i="1"/>
  <c r="P146" i="1" s="1"/>
  <c r="E146" i="1" s="1"/>
  <c r="F181" i="75" s="1"/>
  <c r="F145" i="1"/>
  <c r="N145" i="1"/>
  <c r="F144" i="1"/>
  <c r="N144" i="1"/>
  <c r="F143" i="1"/>
  <c r="N143" i="1"/>
  <c r="F142" i="1"/>
  <c r="N142" i="1"/>
  <c r="F141" i="1"/>
  <c r="N141" i="1"/>
  <c r="F140" i="1"/>
  <c r="N140" i="1"/>
  <c r="F139" i="1"/>
  <c r="N139" i="1"/>
  <c r="P139" i="1" s="1"/>
  <c r="F138" i="1"/>
  <c r="N138" i="1"/>
  <c r="F137" i="1"/>
  <c r="N137" i="1"/>
  <c r="F136" i="1"/>
  <c r="N136" i="1"/>
  <c r="P136" i="1" s="1"/>
  <c r="F135" i="1"/>
  <c r="N135" i="1"/>
  <c r="F134" i="1"/>
  <c r="N134" i="1"/>
  <c r="F133" i="1"/>
  <c r="N133" i="1"/>
  <c r="O133" i="1" s="1"/>
  <c r="F132" i="1"/>
  <c r="N132" i="1"/>
  <c r="P132" i="1" s="1"/>
  <c r="F131" i="1"/>
  <c r="N131" i="1"/>
  <c r="O131" i="1"/>
  <c r="F130" i="1"/>
  <c r="N130" i="1"/>
  <c r="F129" i="1"/>
  <c r="N129" i="1"/>
  <c r="F128" i="1"/>
  <c r="N128" i="1"/>
  <c r="F127" i="1"/>
  <c r="N127" i="1"/>
  <c r="F126" i="1"/>
  <c r="N126" i="1"/>
  <c r="F125" i="1"/>
  <c r="N125" i="1"/>
  <c r="O125" i="1" s="1"/>
  <c r="F124" i="1"/>
  <c r="N124" i="1"/>
  <c r="F123" i="1"/>
  <c r="N123" i="1"/>
  <c r="F122" i="1"/>
  <c r="N122" i="1"/>
  <c r="F121" i="1"/>
  <c r="N121" i="1"/>
  <c r="F120" i="1"/>
  <c r="N120" i="1"/>
  <c r="P120" i="1" s="1"/>
  <c r="F119" i="1"/>
  <c r="N119" i="1"/>
  <c r="P119" i="1" s="1"/>
  <c r="F118" i="1"/>
  <c r="N118" i="1"/>
  <c r="F117" i="1"/>
  <c r="N117" i="1"/>
  <c r="P117" i="1" s="1"/>
  <c r="F116" i="1"/>
  <c r="N116" i="1"/>
  <c r="F115" i="1"/>
  <c r="N115" i="1"/>
  <c r="F114" i="1"/>
  <c r="N114" i="1"/>
  <c r="P114" i="1" s="1"/>
  <c r="O114" i="1"/>
  <c r="F113" i="1"/>
  <c r="N113" i="1"/>
  <c r="P113" i="1" s="1"/>
  <c r="F112" i="1"/>
  <c r="N112" i="1"/>
  <c r="F111" i="1"/>
  <c r="N111" i="1"/>
  <c r="O111" i="1" s="1"/>
  <c r="F110" i="1"/>
  <c r="N110" i="1"/>
  <c r="F109" i="1"/>
  <c r="N109" i="1"/>
  <c r="F108" i="1"/>
  <c r="N108" i="1"/>
  <c r="O108" i="1" s="1"/>
  <c r="F107" i="1"/>
  <c r="N107" i="1"/>
  <c r="F106" i="1"/>
  <c r="N106" i="1"/>
  <c r="O106" i="1" s="1"/>
  <c r="F105" i="1"/>
  <c r="N105" i="1"/>
  <c r="F104" i="1"/>
  <c r="N104" i="1"/>
  <c r="O104" i="1" s="1"/>
  <c r="F103" i="1"/>
  <c r="N103" i="1"/>
  <c r="F102" i="1"/>
  <c r="N102" i="1"/>
  <c r="F101" i="1"/>
  <c r="N101" i="1"/>
  <c r="F100" i="1"/>
  <c r="N100" i="1"/>
  <c r="P100" i="1" s="1"/>
  <c r="F99" i="1"/>
  <c r="N99" i="1"/>
  <c r="F98" i="1"/>
  <c r="N98" i="1"/>
  <c r="O98" i="1" s="1"/>
  <c r="F97" i="1"/>
  <c r="N97" i="1"/>
  <c r="O97" i="1" s="1"/>
  <c r="F96" i="1"/>
  <c r="N96" i="1"/>
  <c r="F95" i="1"/>
  <c r="N95" i="1"/>
  <c r="P95" i="1" s="1"/>
  <c r="E95" i="1" s="1"/>
  <c r="F236" i="75" s="1"/>
  <c r="F94" i="1"/>
  <c r="N94" i="1"/>
  <c r="F93" i="1"/>
  <c r="N93" i="1"/>
  <c r="F92" i="1"/>
  <c r="N92" i="1"/>
  <c r="F91" i="1"/>
  <c r="N91" i="1"/>
  <c r="O91" i="1" s="1"/>
  <c r="F90" i="1"/>
  <c r="N90" i="1"/>
  <c r="F89" i="1"/>
  <c r="N89" i="1"/>
  <c r="O89" i="1" s="1"/>
  <c r="F88" i="1"/>
  <c r="N88" i="1"/>
  <c r="P88" i="1" s="1"/>
  <c r="F87" i="1"/>
  <c r="N87" i="1"/>
  <c r="F86" i="1"/>
  <c r="N86" i="1"/>
  <c r="O86" i="1" s="1"/>
  <c r="F85" i="1"/>
  <c r="N85" i="1"/>
  <c r="O85" i="1" s="1"/>
  <c r="F84" i="1"/>
  <c r="N84" i="1"/>
  <c r="F83" i="1"/>
  <c r="N83" i="1"/>
  <c r="F82" i="1"/>
  <c r="N82" i="1"/>
  <c r="O82" i="1" s="1"/>
  <c r="F81" i="1"/>
  <c r="N81" i="1"/>
  <c r="O81" i="1" s="1"/>
  <c r="F80" i="1"/>
  <c r="N80" i="1"/>
  <c r="F79" i="1"/>
  <c r="N79" i="1"/>
  <c r="P79" i="1" s="1"/>
  <c r="E79" i="1" s="1"/>
  <c r="F365" i="75" s="1"/>
  <c r="F78" i="1"/>
  <c r="N78" i="1"/>
  <c r="P78" i="1" s="1"/>
  <c r="F77" i="1"/>
  <c r="N77" i="1"/>
  <c r="P77" i="1" s="1"/>
  <c r="F76" i="1"/>
  <c r="N76" i="1"/>
  <c r="F75" i="1"/>
  <c r="N75" i="1"/>
  <c r="P75" i="1" s="1"/>
  <c r="E75" i="1" s="1"/>
  <c r="F74" i="1"/>
  <c r="N74" i="1"/>
  <c r="F73" i="1"/>
  <c r="N73" i="1"/>
  <c r="F72" i="1"/>
  <c r="N72" i="1"/>
  <c r="P72" i="1" s="1"/>
  <c r="F71" i="1"/>
  <c r="N71" i="1"/>
  <c r="O71" i="1" s="1"/>
  <c r="F70" i="1"/>
  <c r="N70" i="1"/>
  <c r="O70" i="1" s="1"/>
  <c r="F69" i="1"/>
  <c r="N69" i="1"/>
  <c r="P69" i="1" s="1"/>
  <c r="F68" i="1"/>
  <c r="N68" i="1"/>
  <c r="P68" i="1" s="1"/>
  <c r="F67" i="1"/>
  <c r="N67" i="1"/>
  <c r="P67" i="1" s="1"/>
  <c r="E67" i="1" s="1"/>
  <c r="F66" i="1"/>
  <c r="N66" i="1"/>
  <c r="F65" i="1"/>
  <c r="N65" i="1"/>
  <c r="F64" i="1"/>
  <c r="N64" i="1"/>
  <c r="F63" i="1"/>
  <c r="N63" i="1"/>
  <c r="O63" i="1" s="1"/>
  <c r="F62" i="1"/>
  <c r="N62" i="1"/>
  <c r="F61" i="1"/>
  <c r="N61" i="1"/>
  <c r="F60" i="1"/>
  <c r="N60" i="1"/>
  <c r="O60" i="1"/>
  <c r="F59" i="1"/>
  <c r="N59" i="1"/>
  <c r="F58" i="1"/>
  <c r="N58" i="1"/>
  <c r="O58" i="1" s="1"/>
  <c r="F57" i="1"/>
  <c r="N57" i="1"/>
  <c r="F56" i="1"/>
  <c r="N56" i="1"/>
  <c r="F55" i="1"/>
  <c r="N55" i="1"/>
  <c r="F54" i="1"/>
  <c r="N54" i="1"/>
  <c r="O54" i="1" s="1"/>
  <c r="F53" i="1"/>
  <c r="N53" i="1"/>
  <c r="F52" i="1"/>
  <c r="N52" i="1"/>
  <c r="F51" i="1"/>
  <c r="N51" i="1"/>
  <c r="P51" i="1" s="1"/>
  <c r="F50" i="1"/>
  <c r="N50" i="1"/>
  <c r="P50" i="1"/>
  <c r="F49" i="1"/>
  <c r="N49" i="1"/>
  <c r="F48" i="1"/>
  <c r="N48" i="1"/>
  <c r="F47" i="1"/>
  <c r="N47" i="1"/>
  <c r="F46" i="1"/>
  <c r="N46" i="1"/>
  <c r="F45" i="1"/>
  <c r="N45" i="1"/>
  <c r="F44" i="1"/>
  <c r="N44" i="1"/>
  <c r="F43" i="1"/>
  <c r="N43" i="1"/>
  <c r="F42" i="1"/>
  <c r="N42" i="1"/>
  <c r="F41" i="1"/>
  <c r="N41" i="1"/>
  <c r="P41" i="1" s="1"/>
  <c r="F40" i="1"/>
  <c r="N40" i="1"/>
  <c r="F39" i="1"/>
  <c r="N39" i="1"/>
  <c r="F38" i="1"/>
  <c r="N38" i="1"/>
  <c r="F37" i="1"/>
  <c r="N37" i="1"/>
  <c r="F36" i="1"/>
  <c r="N36" i="1"/>
  <c r="F35" i="1"/>
  <c r="N35" i="1"/>
  <c r="F34" i="1"/>
  <c r="N34" i="1"/>
  <c r="F33" i="1"/>
  <c r="N33" i="1"/>
  <c r="F32" i="1"/>
  <c r="N32" i="1"/>
  <c r="O32" i="1" s="1"/>
  <c r="F31" i="1"/>
  <c r="N31" i="1"/>
  <c r="O31" i="1" s="1"/>
  <c r="F30" i="1"/>
  <c r="N30" i="1"/>
  <c r="F29" i="1"/>
  <c r="N29" i="1"/>
  <c r="F28" i="1"/>
  <c r="N28" i="1"/>
  <c r="F27" i="1"/>
  <c r="N27" i="1"/>
  <c r="P27" i="1"/>
  <c r="F26" i="1"/>
  <c r="N26" i="1"/>
  <c r="F25" i="1"/>
  <c r="N25" i="1"/>
  <c r="O25" i="1" s="1"/>
  <c r="F24" i="1"/>
  <c r="N24" i="1"/>
  <c r="P24" i="1" s="1"/>
  <c r="F23" i="1"/>
  <c r="N23" i="1"/>
  <c r="F22" i="1"/>
  <c r="N22" i="1"/>
  <c r="O22" i="1" s="1"/>
  <c r="F21" i="1"/>
  <c r="N21" i="1"/>
  <c r="F20" i="1"/>
  <c r="N20" i="1"/>
  <c r="F19" i="1"/>
  <c r="N19" i="1"/>
  <c r="O19" i="1" s="1"/>
  <c r="F18" i="1"/>
  <c r="N18" i="1"/>
  <c r="P18" i="1" s="1"/>
  <c r="F17" i="1"/>
  <c r="N17" i="1"/>
  <c r="F16" i="1"/>
  <c r="N16" i="1"/>
  <c r="F15" i="1"/>
  <c r="N15" i="1"/>
  <c r="F14" i="1"/>
  <c r="N14" i="1"/>
  <c r="O14" i="1" s="1"/>
  <c r="F13" i="1"/>
  <c r="N13" i="1"/>
  <c r="O13" i="1" s="1"/>
  <c r="P13" i="1"/>
  <c r="E13" i="1" s="1"/>
  <c r="F12" i="1"/>
  <c r="N12" i="1"/>
  <c r="F11" i="1"/>
  <c r="N11" i="1"/>
  <c r="F10" i="1"/>
  <c r="N10" i="1"/>
  <c r="F9" i="1"/>
  <c r="N9" i="1"/>
  <c r="P9" i="1" s="1"/>
  <c r="E9" i="1" s="1"/>
  <c r="F8" i="1"/>
  <c r="N8" i="1"/>
  <c r="F7" i="1"/>
  <c r="N7" i="1"/>
  <c r="O78" i="1"/>
  <c r="O72" i="1"/>
  <c r="O75" i="1"/>
  <c r="O154" i="1"/>
  <c r="G11" i="100"/>
  <c r="G23" i="100"/>
  <c r="G41" i="100"/>
  <c r="H18" i="149"/>
  <c r="H22" i="149"/>
  <c r="H49" i="149"/>
  <c r="H66" i="149"/>
  <c r="F13" i="175" s="1"/>
  <c r="H67" i="149"/>
  <c r="H70" i="149"/>
  <c r="H71" i="149"/>
  <c r="H76" i="149"/>
  <c r="H91" i="149"/>
  <c r="H107" i="149"/>
  <c r="H124" i="149"/>
  <c r="H125" i="149"/>
  <c r="H133" i="149"/>
  <c r="H134" i="149"/>
  <c r="H142" i="149"/>
  <c r="H150" i="149"/>
  <c r="H152" i="149"/>
  <c r="H161" i="149"/>
  <c r="I8" i="106"/>
  <c r="N8" i="106" s="1"/>
  <c r="I9" i="106"/>
  <c r="I10" i="106"/>
  <c r="I11" i="106"/>
  <c r="I12" i="106"/>
  <c r="AB12" i="106" s="1"/>
  <c r="I13" i="106"/>
  <c r="S13" i="106"/>
  <c r="I14" i="106"/>
  <c r="P14" i="106" s="1"/>
  <c r="I15" i="106"/>
  <c r="I16" i="106"/>
  <c r="I17" i="106"/>
  <c r="J17" i="106" s="1"/>
  <c r="I18" i="106"/>
  <c r="I19" i="106"/>
  <c r="I20" i="106"/>
  <c r="AC20" i="106" s="1"/>
  <c r="I21" i="106"/>
  <c r="O21" i="106" s="1"/>
  <c r="I22" i="106"/>
  <c r="P22" i="106" s="1"/>
  <c r="I23" i="106"/>
  <c r="I24" i="106"/>
  <c r="O24" i="106"/>
  <c r="I25" i="106"/>
  <c r="L25" i="106"/>
  <c r="I26" i="106"/>
  <c r="I27" i="106"/>
  <c r="I28" i="106"/>
  <c r="I7" i="106"/>
  <c r="AB37" i="106"/>
  <c r="AE37" i="106"/>
  <c r="E325" i="202"/>
  <c r="F325" i="202"/>
  <c r="G326" i="202"/>
  <c r="G325" i="202"/>
  <c r="D294" i="202"/>
  <c r="D292" i="202"/>
  <c r="C292" i="202"/>
  <c r="I8" i="64"/>
  <c r="I9" i="64"/>
  <c r="I10" i="64"/>
  <c r="I11" i="64"/>
  <c r="I12" i="64"/>
  <c r="I13" i="64"/>
  <c r="I14" i="64"/>
  <c r="I15" i="64"/>
  <c r="I16" i="64"/>
  <c r="I17" i="64"/>
  <c r="I18" i="64"/>
  <c r="I19" i="64"/>
  <c r="I20" i="64"/>
  <c r="I21" i="64"/>
  <c r="I22" i="64"/>
  <c r="I23" i="64"/>
  <c r="I24" i="64"/>
  <c r="I25" i="64"/>
  <c r="I26" i="64"/>
  <c r="I27" i="64"/>
  <c r="I28" i="64"/>
  <c r="I29" i="64"/>
  <c r="I30" i="64"/>
  <c r="I31" i="64"/>
  <c r="I32" i="64"/>
  <c r="I33" i="64"/>
  <c r="I34" i="64"/>
  <c r="I35" i="64"/>
  <c r="I7" i="64"/>
  <c r="O198" i="187"/>
  <c r="Q198" i="75"/>
  <c r="G103" i="101"/>
  <c r="H85" i="101"/>
  <c r="H86" i="101"/>
  <c r="H87" i="101"/>
  <c r="H88" i="101"/>
  <c r="H89" i="101"/>
  <c r="H90" i="101"/>
  <c r="H91" i="101"/>
  <c r="H92" i="101"/>
  <c r="H93" i="101"/>
  <c r="H94" i="101"/>
  <c r="H95" i="101"/>
  <c r="H96" i="101"/>
  <c r="H97" i="101"/>
  <c r="H98" i="101"/>
  <c r="H99" i="101"/>
  <c r="H100" i="101"/>
  <c r="H101" i="101"/>
  <c r="H102" i="101"/>
  <c r="H7" i="101"/>
  <c r="H8" i="101"/>
  <c r="H9" i="101"/>
  <c r="H10" i="101"/>
  <c r="H11" i="101"/>
  <c r="H12" i="101"/>
  <c r="H13" i="101"/>
  <c r="H14" i="101"/>
  <c r="H15" i="101"/>
  <c r="H16" i="101"/>
  <c r="H17" i="101"/>
  <c r="H18" i="101"/>
  <c r="H19" i="101"/>
  <c r="H20" i="101"/>
  <c r="H21" i="101"/>
  <c r="H22" i="101"/>
  <c r="H23" i="101"/>
  <c r="H24" i="101"/>
  <c r="H25" i="101"/>
  <c r="H26" i="101"/>
  <c r="H27" i="101"/>
  <c r="H28" i="101"/>
  <c r="H29" i="101"/>
  <c r="H30" i="101"/>
  <c r="H31" i="101"/>
  <c r="H32" i="101"/>
  <c r="H33" i="101"/>
  <c r="H34" i="101"/>
  <c r="H35" i="101"/>
  <c r="H36" i="101"/>
  <c r="H37" i="101"/>
  <c r="H38" i="101"/>
  <c r="H39" i="101"/>
  <c r="H40" i="101"/>
  <c r="H41" i="101"/>
  <c r="H42" i="101"/>
  <c r="H43" i="101"/>
  <c r="H44" i="101"/>
  <c r="H45" i="101"/>
  <c r="H46" i="101"/>
  <c r="H47" i="101"/>
  <c r="H48" i="101"/>
  <c r="H49" i="101"/>
  <c r="H50" i="101"/>
  <c r="H51" i="101"/>
  <c r="H52" i="101"/>
  <c r="H53" i="101"/>
  <c r="H54" i="101"/>
  <c r="H55" i="101"/>
  <c r="H56" i="101"/>
  <c r="H57" i="101"/>
  <c r="H58" i="101"/>
  <c r="H59" i="101"/>
  <c r="H60" i="101"/>
  <c r="H61" i="101"/>
  <c r="H62" i="101"/>
  <c r="H63" i="101"/>
  <c r="H64" i="101"/>
  <c r="H65" i="101"/>
  <c r="H66" i="101"/>
  <c r="H67" i="101"/>
  <c r="H68" i="101"/>
  <c r="H69" i="101"/>
  <c r="H70" i="101"/>
  <c r="H71" i="101"/>
  <c r="H72" i="101"/>
  <c r="H73" i="101"/>
  <c r="H74" i="101"/>
  <c r="H75" i="101"/>
  <c r="H76" i="101"/>
  <c r="H77" i="101"/>
  <c r="H79" i="101"/>
  <c r="H80" i="101"/>
  <c r="H81" i="101"/>
  <c r="H82" i="101"/>
  <c r="H83" i="101"/>
  <c r="H84" i="101"/>
  <c r="P426" i="75"/>
  <c r="P425" i="75"/>
  <c r="O425" i="75" s="1"/>
  <c r="P424" i="75"/>
  <c r="P423" i="75"/>
  <c r="P422" i="75"/>
  <c r="P421" i="75"/>
  <c r="O421" i="75" s="1"/>
  <c r="P420" i="75"/>
  <c r="O420" i="75" s="1"/>
  <c r="P419" i="75"/>
  <c r="O419" i="75"/>
  <c r="P418" i="75"/>
  <c r="P417" i="75"/>
  <c r="O417" i="75" s="1"/>
  <c r="P416" i="75"/>
  <c r="P415" i="75"/>
  <c r="P414" i="75"/>
  <c r="P413" i="75"/>
  <c r="O413" i="75"/>
  <c r="P412" i="75"/>
  <c r="P411" i="75"/>
  <c r="P410" i="75"/>
  <c r="P409" i="75"/>
  <c r="O409" i="75" s="1"/>
  <c r="P408" i="75"/>
  <c r="O408" i="75" s="1"/>
  <c r="P407" i="75"/>
  <c r="O407" i="75" s="1"/>
  <c r="P406" i="75"/>
  <c r="P405" i="75"/>
  <c r="P404" i="75"/>
  <c r="O404" i="75" s="1"/>
  <c r="P403" i="75"/>
  <c r="P402" i="75"/>
  <c r="O402" i="75"/>
  <c r="P401" i="75"/>
  <c r="O401" i="75" s="1"/>
  <c r="P400" i="75"/>
  <c r="P399" i="75"/>
  <c r="O399" i="75" s="1"/>
  <c r="P398" i="75"/>
  <c r="P397" i="75"/>
  <c r="O397" i="75" s="1"/>
  <c r="P396" i="75"/>
  <c r="O396" i="75"/>
  <c r="P395" i="75"/>
  <c r="P394" i="75"/>
  <c r="O394" i="75" s="1"/>
  <c r="P393" i="75"/>
  <c r="O393" i="75" s="1"/>
  <c r="P392" i="75"/>
  <c r="O392" i="75" s="1"/>
  <c r="P391" i="75"/>
  <c r="O391" i="75" s="1"/>
  <c r="P390" i="75"/>
  <c r="O390" i="75" s="1"/>
  <c r="P389" i="75"/>
  <c r="P388" i="75"/>
  <c r="P387" i="75"/>
  <c r="O387" i="75" s="1"/>
  <c r="P386" i="75"/>
  <c r="O386" i="75" s="1"/>
  <c r="P385" i="75"/>
  <c r="O385" i="75" s="1"/>
  <c r="P384" i="75"/>
  <c r="O384" i="75" s="1"/>
  <c r="P383" i="75"/>
  <c r="O383" i="75" s="1"/>
  <c r="P382" i="75"/>
  <c r="P381" i="75"/>
  <c r="O381" i="75"/>
  <c r="P380" i="75"/>
  <c r="O380" i="75" s="1"/>
  <c r="P379" i="75"/>
  <c r="P378" i="75"/>
  <c r="O378" i="75" s="1"/>
  <c r="P377" i="75"/>
  <c r="P376" i="75"/>
  <c r="O376" i="75" s="1"/>
  <c r="P375" i="75"/>
  <c r="P374" i="75"/>
  <c r="P373" i="75"/>
  <c r="O373" i="75" s="1"/>
  <c r="P372" i="75"/>
  <c r="O372" i="75"/>
  <c r="P371" i="75"/>
  <c r="O371" i="75" s="1"/>
  <c r="P370" i="75"/>
  <c r="O370" i="75"/>
  <c r="P369" i="75"/>
  <c r="O369" i="75" s="1"/>
  <c r="P368" i="75"/>
  <c r="O368" i="75"/>
  <c r="P367" i="75"/>
  <c r="O367" i="75" s="1"/>
  <c r="P366" i="75"/>
  <c r="O366" i="75" s="1"/>
  <c r="P365" i="75"/>
  <c r="P364" i="75"/>
  <c r="O364" i="75" s="1"/>
  <c r="P363" i="75"/>
  <c r="P362" i="75"/>
  <c r="O362" i="75" s="1"/>
  <c r="P361" i="75"/>
  <c r="O361" i="75"/>
  <c r="P360" i="75"/>
  <c r="O360" i="75" s="1"/>
  <c r="P359" i="75"/>
  <c r="O359" i="75"/>
  <c r="P358" i="75"/>
  <c r="P357" i="75"/>
  <c r="O357" i="75" s="1"/>
  <c r="P356" i="75"/>
  <c r="O356" i="75" s="1"/>
  <c r="P355" i="75"/>
  <c r="P354" i="75"/>
  <c r="O354" i="75" s="1"/>
  <c r="P353" i="75"/>
  <c r="O353" i="75" s="1"/>
  <c r="P352" i="75"/>
  <c r="O352" i="75" s="1"/>
  <c r="P351" i="75"/>
  <c r="O351" i="75"/>
  <c r="P350" i="75"/>
  <c r="P349" i="75"/>
  <c r="O349" i="75" s="1"/>
  <c r="P348" i="75"/>
  <c r="O348" i="75" s="1"/>
  <c r="P347" i="75"/>
  <c r="O347" i="75" s="1"/>
  <c r="P346" i="75"/>
  <c r="P345" i="75"/>
  <c r="O345" i="75"/>
  <c r="P344" i="75"/>
  <c r="P343" i="75"/>
  <c r="O343" i="75" s="1"/>
  <c r="P342" i="75"/>
  <c r="P341" i="75"/>
  <c r="P340" i="75"/>
  <c r="O340" i="75" s="1"/>
  <c r="P339" i="75"/>
  <c r="O339" i="75" s="1"/>
  <c r="P338" i="75"/>
  <c r="O338" i="75" s="1"/>
  <c r="P337" i="75"/>
  <c r="O337" i="75" s="1"/>
  <c r="P336" i="75"/>
  <c r="O336" i="75" s="1"/>
  <c r="P335" i="75"/>
  <c r="O335" i="75" s="1"/>
  <c r="P334" i="75"/>
  <c r="P333" i="75"/>
  <c r="P332" i="75"/>
  <c r="O332" i="75" s="1"/>
  <c r="P331" i="75"/>
  <c r="O331" i="75" s="1"/>
  <c r="P330" i="75"/>
  <c r="O330" i="75" s="1"/>
  <c r="P329" i="75"/>
  <c r="P328" i="75"/>
  <c r="O328" i="75" s="1"/>
  <c r="P327" i="75"/>
  <c r="O327" i="75"/>
  <c r="P326" i="75"/>
  <c r="P325" i="75"/>
  <c r="O325" i="75" s="1"/>
  <c r="P324" i="75"/>
  <c r="O324" i="75" s="1"/>
  <c r="P323" i="75"/>
  <c r="O323" i="75" s="1"/>
  <c r="P322" i="75"/>
  <c r="O322" i="75" s="1"/>
  <c r="P321" i="75"/>
  <c r="O321" i="75" s="1"/>
  <c r="P320" i="75"/>
  <c r="O320" i="75" s="1"/>
  <c r="P319" i="75"/>
  <c r="P318" i="75"/>
  <c r="P317" i="75"/>
  <c r="P316" i="75"/>
  <c r="O316" i="75"/>
  <c r="P315" i="75"/>
  <c r="O315" i="75" s="1"/>
  <c r="P314" i="75"/>
  <c r="O314" i="75"/>
  <c r="P313" i="75"/>
  <c r="O313" i="75" s="1"/>
  <c r="P312" i="75"/>
  <c r="O312" i="75"/>
  <c r="P311" i="75"/>
  <c r="O311" i="75" s="1"/>
  <c r="P310" i="75"/>
  <c r="P309" i="75"/>
  <c r="P308" i="75"/>
  <c r="O308" i="75" s="1"/>
  <c r="P307" i="75"/>
  <c r="P306" i="75"/>
  <c r="O306" i="75" s="1"/>
  <c r="P305" i="75"/>
  <c r="P304" i="75"/>
  <c r="O304" i="75" s="1"/>
  <c r="P303" i="75"/>
  <c r="O303" i="75"/>
  <c r="P302" i="75"/>
  <c r="O302" i="75" s="1"/>
  <c r="P301" i="75"/>
  <c r="P300" i="75"/>
  <c r="O300" i="75" s="1"/>
  <c r="P299" i="75"/>
  <c r="O299" i="75" s="1"/>
  <c r="P298" i="75"/>
  <c r="O298" i="75" s="1"/>
  <c r="P297" i="75"/>
  <c r="O297" i="75" s="1"/>
  <c r="P296" i="75"/>
  <c r="O296" i="75" s="1"/>
  <c r="P295" i="75"/>
  <c r="P294" i="75"/>
  <c r="P293" i="75"/>
  <c r="O293" i="75" s="1"/>
  <c r="P292" i="75"/>
  <c r="O292" i="75" s="1"/>
  <c r="P291" i="75"/>
  <c r="O291" i="75" s="1"/>
  <c r="P290" i="75"/>
  <c r="O290" i="75" s="1"/>
  <c r="P289" i="75"/>
  <c r="O289" i="75" s="1"/>
  <c r="P288" i="75"/>
  <c r="O288" i="75" s="1"/>
  <c r="P287" i="75"/>
  <c r="O287" i="75" s="1"/>
  <c r="P286" i="75"/>
  <c r="P285" i="75"/>
  <c r="O285" i="75" s="1"/>
  <c r="P284" i="75"/>
  <c r="P283" i="75"/>
  <c r="P282" i="75"/>
  <c r="O282" i="75" s="1"/>
  <c r="P281" i="75"/>
  <c r="O281" i="75" s="1"/>
  <c r="P280" i="75"/>
  <c r="O280" i="75" s="1"/>
  <c r="P279" i="75"/>
  <c r="O279" i="75" s="1"/>
  <c r="P278" i="75"/>
  <c r="P277" i="75"/>
  <c r="O277" i="75" s="1"/>
  <c r="P276" i="75"/>
  <c r="O276" i="75" s="1"/>
  <c r="P275" i="75"/>
  <c r="O275" i="75" s="1"/>
  <c r="P274" i="75"/>
  <c r="O274" i="75" s="1"/>
  <c r="P273" i="75"/>
  <c r="O273" i="75" s="1"/>
  <c r="P272" i="75"/>
  <c r="O272" i="75" s="1"/>
  <c r="P271" i="75"/>
  <c r="O271" i="75" s="1"/>
  <c r="P270" i="75"/>
  <c r="P269" i="75"/>
  <c r="O269" i="75" s="1"/>
  <c r="P268" i="75"/>
  <c r="O268" i="75"/>
  <c r="P267" i="75"/>
  <c r="O267" i="75" s="1"/>
  <c r="P266" i="75"/>
  <c r="O266" i="75"/>
  <c r="P265" i="75"/>
  <c r="O265" i="75" s="1"/>
  <c r="P264" i="75"/>
  <c r="O264" i="75"/>
  <c r="P263" i="75"/>
  <c r="P262" i="75"/>
  <c r="P261" i="75"/>
  <c r="O261" i="75"/>
  <c r="P260" i="75"/>
  <c r="O260" i="75" s="1"/>
  <c r="P259" i="75"/>
  <c r="O259" i="75"/>
  <c r="P258" i="75"/>
  <c r="O258" i="75" s="1"/>
  <c r="P257" i="75"/>
  <c r="O257" i="75"/>
  <c r="P256" i="75"/>
  <c r="O256" i="75" s="1"/>
  <c r="P255" i="75"/>
  <c r="P254" i="75"/>
  <c r="P253" i="75"/>
  <c r="O253" i="75" s="1"/>
  <c r="P252" i="75"/>
  <c r="O252" i="75"/>
  <c r="P251" i="75"/>
  <c r="O251" i="75" s="1"/>
  <c r="P250" i="75"/>
  <c r="O250" i="75"/>
  <c r="P249" i="75"/>
  <c r="O249" i="75" s="1"/>
  <c r="P248" i="75"/>
  <c r="O248" i="75"/>
  <c r="P247" i="75"/>
  <c r="P246" i="75"/>
  <c r="O246" i="75" s="1"/>
  <c r="P245" i="75"/>
  <c r="O245" i="75" s="1"/>
  <c r="P244" i="75"/>
  <c r="P243" i="75"/>
  <c r="O243" i="75" s="1"/>
  <c r="P242" i="75"/>
  <c r="O242" i="75"/>
  <c r="P241" i="75"/>
  <c r="O241" i="75" s="1"/>
  <c r="P240" i="75"/>
  <c r="O240" i="75" s="1"/>
  <c r="P239" i="75"/>
  <c r="O239" i="75" s="1"/>
  <c r="P238" i="75"/>
  <c r="O238" i="75" s="1"/>
  <c r="P237" i="75"/>
  <c r="O237" i="75" s="1"/>
  <c r="P236" i="75"/>
  <c r="O236" i="75" s="1"/>
  <c r="P235" i="75"/>
  <c r="O235" i="75" s="1"/>
  <c r="P234" i="75"/>
  <c r="O234" i="75" s="1"/>
  <c r="P233" i="75"/>
  <c r="O233" i="75" s="1"/>
  <c r="P232" i="75"/>
  <c r="O232" i="75" s="1"/>
  <c r="P231" i="75"/>
  <c r="O231" i="75" s="1"/>
  <c r="P230" i="75"/>
  <c r="P229" i="75"/>
  <c r="O229" i="75" s="1"/>
  <c r="P228" i="75"/>
  <c r="O228" i="75"/>
  <c r="P227" i="75"/>
  <c r="O227" i="75" s="1"/>
  <c r="P226" i="75"/>
  <c r="P225" i="75"/>
  <c r="P224" i="75"/>
  <c r="O224" i="75" s="1"/>
  <c r="P223" i="75"/>
  <c r="O223" i="75" s="1"/>
  <c r="P222" i="75"/>
  <c r="O222" i="75" s="1"/>
  <c r="P221" i="75"/>
  <c r="O221" i="75" s="1"/>
  <c r="P220" i="75"/>
  <c r="O220" i="75" s="1"/>
  <c r="P219" i="75"/>
  <c r="O219" i="75" s="1"/>
  <c r="P218" i="75"/>
  <c r="O218" i="75" s="1"/>
  <c r="P217" i="75"/>
  <c r="O217" i="75" s="1"/>
  <c r="P216" i="75"/>
  <c r="O216" i="75" s="1"/>
  <c r="P215" i="75"/>
  <c r="O215" i="75" s="1"/>
  <c r="P214" i="75"/>
  <c r="P213" i="75"/>
  <c r="O213" i="75"/>
  <c r="P212" i="75"/>
  <c r="O212" i="75" s="1"/>
  <c r="P211" i="75"/>
  <c r="O211" i="75"/>
  <c r="P210" i="75"/>
  <c r="O210" i="75" s="1"/>
  <c r="P209" i="75"/>
  <c r="O209" i="75" s="1"/>
  <c r="P208" i="75"/>
  <c r="O208" i="75" s="1"/>
  <c r="P207" i="75"/>
  <c r="O207" i="75" s="1"/>
  <c r="P206" i="75"/>
  <c r="P205" i="75"/>
  <c r="O205" i="75" s="1"/>
  <c r="P204" i="75"/>
  <c r="O204" i="75" s="1"/>
  <c r="P203" i="75"/>
  <c r="O203" i="75" s="1"/>
  <c r="P202" i="75"/>
  <c r="O202" i="75" s="1"/>
  <c r="P201" i="75"/>
  <c r="P200" i="75"/>
  <c r="O200" i="75" s="1"/>
  <c r="P199" i="75"/>
  <c r="O199" i="75" s="1"/>
  <c r="P198" i="75"/>
  <c r="P197" i="75"/>
  <c r="P196" i="75"/>
  <c r="O196" i="75" s="1"/>
  <c r="P195" i="75"/>
  <c r="P194" i="75"/>
  <c r="O194" i="75" s="1"/>
  <c r="P193" i="75"/>
  <c r="O193" i="75" s="1"/>
  <c r="P192" i="75"/>
  <c r="O192" i="75" s="1"/>
  <c r="P191" i="75"/>
  <c r="P190" i="75"/>
  <c r="O190" i="75"/>
  <c r="P189" i="75"/>
  <c r="P188" i="75"/>
  <c r="O188" i="75" s="1"/>
  <c r="P187" i="75"/>
  <c r="O187" i="75" s="1"/>
  <c r="P186" i="75"/>
  <c r="O186" i="75" s="1"/>
  <c r="P185" i="75"/>
  <c r="O185" i="75" s="1"/>
  <c r="P184" i="75"/>
  <c r="O184" i="75" s="1"/>
  <c r="P183" i="75"/>
  <c r="P182" i="75"/>
  <c r="P181" i="75"/>
  <c r="O181" i="75" s="1"/>
  <c r="P180" i="75"/>
  <c r="P179" i="75"/>
  <c r="O179" i="75"/>
  <c r="P178" i="75"/>
  <c r="O178" i="75" s="1"/>
  <c r="P177" i="75"/>
  <c r="O177" i="75"/>
  <c r="P176" i="75"/>
  <c r="O176" i="75" s="1"/>
  <c r="P175" i="75"/>
  <c r="O175" i="75" s="1"/>
  <c r="P174" i="75"/>
  <c r="P173" i="75"/>
  <c r="O173" i="75" s="1"/>
  <c r="P172" i="75"/>
  <c r="P171" i="75"/>
  <c r="O171" i="75"/>
  <c r="P170" i="75"/>
  <c r="P169" i="75"/>
  <c r="O169" i="75" s="1"/>
  <c r="P168" i="75"/>
  <c r="O168" i="75" s="1"/>
  <c r="P167" i="75"/>
  <c r="O167" i="75" s="1"/>
  <c r="P166" i="75"/>
  <c r="P165" i="75"/>
  <c r="O165" i="75" s="1"/>
  <c r="P164" i="75"/>
  <c r="O164" i="75" s="1"/>
  <c r="P163" i="75"/>
  <c r="O163" i="75" s="1"/>
  <c r="P162" i="75"/>
  <c r="O162" i="75" s="1"/>
  <c r="P161" i="75"/>
  <c r="O161" i="75"/>
  <c r="P160" i="75"/>
  <c r="O160" i="75" s="1"/>
  <c r="P159" i="75"/>
  <c r="O159" i="75"/>
  <c r="P158" i="75"/>
  <c r="P157" i="75"/>
  <c r="O157" i="75" s="1"/>
  <c r="P156" i="75"/>
  <c r="O156" i="75" s="1"/>
  <c r="P155" i="75"/>
  <c r="O155" i="75" s="1"/>
  <c r="P154" i="75"/>
  <c r="O154" i="75" s="1"/>
  <c r="P153" i="75"/>
  <c r="O153" i="75" s="1"/>
  <c r="P152" i="75"/>
  <c r="O152" i="75" s="1"/>
  <c r="P151" i="75"/>
  <c r="O151" i="75" s="1"/>
  <c r="P150" i="75"/>
  <c r="P149" i="75"/>
  <c r="P148" i="75"/>
  <c r="O148" i="75" s="1"/>
  <c r="P147" i="75"/>
  <c r="O147" i="75" s="1"/>
  <c r="P146" i="75"/>
  <c r="O146" i="75" s="1"/>
  <c r="P145" i="75"/>
  <c r="O145" i="75" s="1"/>
  <c r="P144" i="75"/>
  <c r="O144" i="75" s="1"/>
  <c r="P143" i="75"/>
  <c r="O143" i="75" s="1"/>
  <c r="P142" i="75"/>
  <c r="P141" i="75"/>
  <c r="O141" i="75" s="1"/>
  <c r="P140" i="75"/>
  <c r="O140" i="75"/>
  <c r="P139" i="75"/>
  <c r="O139" i="75" s="1"/>
  <c r="P138" i="75"/>
  <c r="O138" i="75"/>
  <c r="P137" i="75"/>
  <c r="O137" i="75" s="1"/>
  <c r="P136" i="75"/>
  <c r="O136" i="75"/>
  <c r="P135" i="75"/>
  <c r="P134" i="75"/>
  <c r="P133" i="75"/>
  <c r="P132" i="75"/>
  <c r="O132" i="75" s="1"/>
  <c r="P131" i="75"/>
  <c r="P130" i="75"/>
  <c r="O130" i="75"/>
  <c r="P129" i="75"/>
  <c r="O129" i="75" s="1"/>
  <c r="P128" i="75"/>
  <c r="O128" i="75" s="1"/>
  <c r="P127" i="75"/>
  <c r="O127" i="75" s="1"/>
  <c r="P126" i="75"/>
  <c r="P125" i="75"/>
  <c r="O125" i="75" s="1"/>
  <c r="P124" i="75"/>
  <c r="O124" i="75" s="1"/>
  <c r="P123" i="75"/>
  <c r="O123" i="75" s="1"/>
  <c r="P122" i="75"/>
  <c r="O122" i="75" s="1"/>
  <c r="P121" i="75"/>
  <c r="O121" i="75" s="1"/>
  <c r="P120" i="75"/>
  <c r="O120" i="75" s="1"/>
  <c r="P119" i="75"/>
  <c r="O119" i="75" s="1"/>
  <c r="P118" i="75"/>
  <c r="P117" i="75"/>
  <c r="O117" i="75" s="1"/>
  <c r="P116" i="75"/>
  <c r="O116" i="75"/>
  <c r="P115" i="75"/>
  <c r="P107" i="75"/>
  <c r="O107" i="75" s="1"/>
  <c r="P108" i="75"/>
  <c r="O108" i="75" s="1"/>
  <c r="P109" i="75"/>
  <c r="O109" i="75" s="1"/>
  <c r="P110" i="75"/>
  <c r="P111" i="75"/>
  <c r="P112" i="75"/>
  <c r="O112" i="75" s="1"/>
  <c r="P113" i="75"/>
  <c r="O113" i="75" s="1"/>
  <c r="P114" i="75"/>
  <c r="O114" i="75" s="1"/>
  <c r="P98" i="75"/>
  <c r="O98" i="75" s="1"/>
  <c r="P99" i="75"/>
  <c r="O99" i="75"/>
  <c r="P100" i="75"/>
  <c r="O100" i="75" s="1"/>
  <c r="P101" i="75"/>
  <c r="O101" i="75" s="1"/>
  <c r="P102" i="75"/>
  <c r="P103" i="75"/>
  <c r="O103" i="75" s="1"/>
  <c r="P104" i="75"/>
  <c r="O104" i="75" s="1"/>
  <c r="P105" i="75"/>
  <c r="O105" i="75" s="1"/>
  <c r="P106" i="75"/>
  <c r="O106" i="75" s="1"/>
  <c r="P90" i="75"/>
  <c r="O90" i="75" s="1"/>
  <c r="P91" i="75"/>
  <c r="O91" i="75" s="1"/>
  <c r="P92" i="75"/>
  <c r="O92" i="75" s="1"/>
  <c r="P93" i="75"/>
  <c r="P94" i="75"/>
  <c r="O94" i="75" s="1"/>
  <c r="P95" i="75"/>
  <c r="O95" i="75"/>
  <c r="P96" i="75"/>
  <c r="O96" i="75" s="1"/>
  <c r="P97" i="75"/>
  <c r="O97" i="75"/>
  <c r="P77" i="75"/>
  <c r="P78" i="75"/>
  <c r="P79" i="75"/>
  <c r="O79" i="75"/>
  <c r="P80" i="75"/>
  <c r="O80" i="75" s="1"/>
  <c r="P81" i="75"/>
  <c r="O81" i="75"/>
  <c r="P82" i="75"/>
  <c r="O82" i="75" s="1"/>
  <c r="P83" i="75"/>
  <c r="P84" i="75"/>
  <c r="O84" i="75" s="1"/>
  <c r="P85" i="75"/>
  <c r="O85" i="75" s="1"/>
  <c r="P86" i="75"/>
  <c r="O86" i="75" s="1"/>
  <c r="P87" i="75"/>
  <c r="P88" i="75"/>
  <c r="O88" i="75" s="1"/>
  <c r="P89" i="75"/>
  <c r="O89" i="75" s="1"/>
  <c r="P72" i="75"/>
  <c r="P73" i="75"/>
  <c r="O73" i="75" s="1"/>
  <c r="P74" i="75"/>
  <c r="O74" i="75" s="1"/>
  <c r="P75" i="75"/>
  <c r="O75" i="75" s="1"/>
  <c r="P76" i="75"/>
  <c r="O76" i="75" s="1"/>
  <c r="P66" i="75"/>
  <c r="P67" i="75"/>
  <c r="O67" i="75" s="1"/>
  <c r="P68" i="75"/>
  <c r="O68" i="75" s="1"/>
  <c r="P69" i="75"/>
  <c r="P70" i="75"/>
  <c r="O70" i="75" s="1"/>
  <c r="P71" i="75"/>
  <c r="O71" i="75" s="1"/>
  <c r="P61" i="75"/>
  <c r="O61" i="75" s="1"/>
  <c r="P62" i="75"/>
  <c r="O62" i="75" s="1"/>
  <c r="P63" i="75"/>
  <c r="O63" i="75" s="1"/>
  <c r="P64" i="75"/>
  <c r="P65" i="75"/>
  <c r="P53" i="75"/>
  <c r="O53" i="75" s="1"/>
  <c r="P54" i="75"/>
  <c r="O54" i="75" s="1"/>
  <c r="P55" i="75"/>
  <c r="O55" i="75" s="1"/>
  <c r="P56" i="75"/>
  <c r="O56" i="75" s="1"/>
  <c r="P57" i="75"/>
  <c r="O57" i="75" s="1"/>
  <c r="P58" i="75"/>
  <c r="O58" i="75" s="1"/>
  <c r="P59" i="75"/>
  <c r="O59" i="75" s="1"/>
  <c r="P60" i="75"/>
  <c r="P44" i="75"/>
  <c r="O44" i="75"/>
  <c r="P45" i="75"/>
  <c r="O45" i="75" s="1"/>
  <c r="P46" i="75"/>
  <c r="O46" i="75"/>
  <c r="P47" i="75"/>
  <c r="O47" i="75" s="1"/>
  <c r="P48" i="75"/>
  <c r="O48" i="75" s="1"/>
  <c r="P49" i="75"/>
  <c r="O49" i="75" s="1"/>
  <c r="P50" i="75"/>
  <c r="P51" i="75"/>
  <c r="O51" i="75" s="1"/>
  <c r="P52" i="75"/>
  <c r="O52" i="75" s="1"/>
  <c r="P36" i="75"/>
  <c r="O36" i="75" s="1"/>
  <c r="P37" i="75"/>
  <c r="O37" i="75" s="1"/>
  <c r="P38" i="75"/>
  <c r="O38" i="75"/>
  <c r="P39" i="75"/>
  <c r="O39" i="75" s="1"/>
  <c r="P40" i="75"/>
  <c r="O40" i="75"/>
  <c r="P41" i="75"/>
  <c r="P42" i="75"/>
  <c r="P43" i="75"/>
  <c r="P27" i="75"/>
  <c r="O27" i="75" s="1"/>
  <c r="P28" i="75"/>
  <c r="O28" i="75" s="1"/>
  <c r="P29" i="75"/>
  <c r="O29" i="75" s="1"/>
  <c r="P30" i="75"/>
  <c r="O30" i="75" s="1"/>
  <c r="P31" i="75"/>
  <c r="O31" i="75" s="1"/>
  <c r="P32" i="75"/>
  <c r="P33" i="75"/>
  <c r="O33" i="75" s="1"/>
  <c r="P34" i="75"/>
  <c r="O34" i="75" s="1"/>
  <c r="P35" i="75"/>
  <c r="O35" i="75" s="1"/>
  <c r="P16" i="75"/>
  <c r="O16" i="75" s="1"/>
  <c r="P17" i="75"/>
  <c r="P18" i="75"/>
  <c r="O18" i="75" s="1"/>
  <c r="P19" i="75"/>
  <c r="O19" i="75" s="1"/>
  <c r="P20" i="75"/>
  <c r="P21" i="75"/>
  <c r="O21" i="75" s="1"/>
  <c r="P22" i="75"/>
  <c r="O22" i="75" s="1"/>
  <c r="P23" i="75"/>
  <c r="O23" i="75" s="1"/>
  <c r="P24" i="75"/>
  <c r="O24" i="75" s="1"/>
  <c r="P25" i="75"/>
  <c r="O25" i="75" s="1"/>
  <c r="P26" i="75"/>
  <c r="O26" i="75" s="1"/>
  <c r="P8" i="75"/>
  <c r="O8" i="75" s="1"/>
  <c r="P9" i="75"/>
  <c r="P10" i="75"/>
  <c r="O10" i="75" s="1"/>
  <c r="P11" i="75"/>
  <c r="O11" i="75" s="1"/>
  <c r="P12" i="75"/>
  <c r="O12" i="75" s="1"/>
  <c r="P13" i="75"/>
  <c r="O13" i="75" s="1"/>
  <c r="P14" i="75"/>
  <c r="O14" i="75" s="1"/>
  <c r="P15" i="75"/>
  <c r="P7" i="75"/>
  <c r="O7" i="75" s="1"/>
  <c r="W172" i="71"/>
  <c r="W171" i="71"/>
  <c r="V171" i="71" s="1"/>
  <c r="W170" i="71"/>
  <c r="V170" i="71"/>
  <c r="W169" i="71"/>
  <c r="W168" i="71"/>
  <c r="W167" i="71"/>
  <c r="W166" i="71"/>
  <c r="W165" i="71"/>
  <c r="V165" i="71" s="1"/>
  <c r="W164" i="71"/>
  <c r="V164" i="71"/>
  <c r="W163" i="71"/>
  <c r="W162" i="71"/>
  <c r="W161" i="71"/>
  <c r="W160" i="71"/>
  <c r="V160" i="71" s="1"/>
  <c r="W159" i="71"/>
  <c r="W158" i="71"/>
  <c r="W157" i="71"/>
  <c r="V157" i="71" s="1"/>
  <c r="W156" i="71"/>
  <c r="W155" i="71"/>
  <c r="W154" i="71"/>
  <c r="V154" i="71" s="1"/>
  <c r="W153" i="71"/>
  <c r="V153" i="71" s="1"/>
  <c r="W152" i="71"/>
  <c r="V152" i="71" s="1"/>
  <c r="W151" i="71"/>
  <c r="V151" i="71" s="1"/>
  <c r="W150" i="71"/>
  <c r="W149" i="71"/>
  <c r="W148" i="71"/>
  <c r="V148" i="71" s="1"/>
  <c r="W147" i="71"/>
  <c r="W146" i="71"/>
  <c r="V146" i="71" s="1"/>
  <c r="W145" i="71"/>
  <c r="W144" i="71"/>
  <c r="W143" i="71"/>
  <c r="V143" i="71" s="1"/>
  <c r="W142" i="71"/>
  <c r="V142" i="71"/>
  <c r="W141" i="71"/>
  <c r="V141" i="71" s="1"/>
  <c r="W140" i="71"/>
  <c r="W139" i="71"/>
  <c r="V139" i="71" s="1"/>
  <c r="W138" i="71"/>
  <c r="V138" i="71" s="1"/>
  <c r="W137" i="71"/>
  <c r="V137" i="71" s="1"/>
  <c r="W136" i="71"/>
  <c r="V136" i="71" s="1"/>
  <c r="W135" i="71"/>
  <c r="V135" i="71" s="1"/>
  <c r="W134" i="71"/>
  <c r="V134" i="71" s="1"/>
  <c r="W133" i="71"/>
  <c r="V133" i="71" s="1"/>
  <c r="W132" i="71"/>
  <c r="W131" i="71"/>
  <c r="V131" i="71" s="1"/>
  <c r="W130" i="71"/>
  <c r="V130" i="71" s="1"/>
  <c r="W129" i="71"/>
  <c r="V129" i="71" s="1"/>
  <c r="W128" i="71"/>
  <c r="V128" i="71" s="1"/>
  <c r="W127" i="71"/>
  <c r="V127" i="71" s="1"/>
  <c r="W126" i="71"/>
  <c r="V126" i="71" s="1"/>
  <c r="W125" i="71"/>
  <c r="V125" i="71" s="1"/>
  <c r="W124" i="71"/>
  <c r="V124" i="71" s="1"/>
  <c r="W123" i="71"/>
  <c r="V123" i="71" s="1"/>
  <c r="W122" i="71"/>
  <c r="V122" i="71" s="1"/>
  <c r="W121" i="71"/>
  <c r="W120" i="71"/>
  <c r="V120" i="71" s="1"/>
  <c r="W119" i="71"/>
  <c r="V119" i="71" s="1"/>
  <c r="W118" i="71"/>
  <c r="W117" i="71"/>
  <c r="V117" i="71" s="1"/>
  <c r="W116" i="71"/>
  <c r="V116" i="71" s="1"/>
  <c r="W115" i="71"/>
  <c r="V115" i="71" s="1"/>
  <c r="W114" i="71"/>
  <c r="V114" i="71"/>
  <c r="W113" i="71"/>
  <c r="V113" i="71" s="1"/>
  <c r="W112" i="71"/>
  <c r="V112" i="71"/>
  <c r="W111" i="71"/>
  <c r="V111" i="71" s="1"/>
  <c r="W110" i="71"/>
  <c r="V110" i="71" s="1"/>
  <c r="W109" i="71"/>
  <c r="W108" i="71"/>
  <c r="W107" i="71"/>
  <c r="V107" i="71" s="1"/>
  <c r="W106" i="71"/>
  <c r="V106" i="71" s="1"/>
  <c r="W105" i="71"/>
  <c r="V105" i="71" s="1"/>
  <c r="W104" i="71"/>
  <c r="V104" i="71" s="1"/>
  <c r="W103" i="71"/>
  <c r="V103" i="71" s="1"/>
  <c r="W102" i="71"/>
  <c r="W101" i="71"/>
  <c r="V101" i="71" s="1"/>
  <c r="W100" i="71"/>
  <c r="V100" i="71" s="1"/>
  <c r="W99" i="71"/>
  <c r="W98" i="71"/>
  <c r="V98" i="71" s="1"/>
  <c r="W97" i="71"/>
  <c r="V97" i="71"/>
  <c r="W96" i="71"/>
  <c r="V96" i="71" s="1"/>
  <c r="W95" i="71"/>
  <c r="V95" i="71" s="1"/>
  <c r="W94" i="71"/>
  <c r="V94" i="71" s="1"/>
  <c r="W93" i="71"/>
  <c r="V93" i="71" s="1"/>
  <c r="W92" i="71"/>
  <c r="V92" i="71" s="1"/>
  <c r="W91" i="71"/>
  <c r="V91" i="71"/>
  <c r="W90" i="71"/>
  <c r="V90" i="71" s="1"/>
  <c r="W89" i="71"/>
  <c r="W88" i="71"/>
  <c r="V88" i="71" s="1"/>
  <c r="W87" i="71"/>
  <c r="V87" i="71" s="1"/>
  <c r="W86" i="71"/>
  <c r="V86" i="71" s="1"/>
  <c r="W85" i="71"/>
  <c r="V85" i="71" s="1"/>
  <c r="W84" i="71"/>
  <c r="V84" i="71" s="1"/>
  <c r="W83" i="71"/>
  <c r="W82" i="71"/>
  <c r="V82" i="71" s="1"/>
  <c r="W81" i="71"/>
  <c r="V81" i="71"/>
  <c r="W80" i="71"/>
  <c r="V80" i="71" s="1"/>
  <c r="W79" i="71"/>
  <c r="V79" i="71"/>
  <c r="W78" i="71"/>
  <c r="V78" i="71" s="1"/>
  <c r="W77" i="71"/>
  <c r="V77" i="71"/>
  <c r="W76" i="71"/>
  <c r="V76" i="71" s="1"/>
  <c r="W75" i="71"/>
  <c r="W74" i="71"/>
  <c r="V74" i="71" s="1"/>
  <c r="W73" i="71"/>
  <c r="V73" i="71" s="1"/>
  <c r="W72" i="71"/>
  <c r="V72" i="71" s="1"/>
  <c r="W71" i="71"/>
  <c r="V71" i="71" s="1"/>
  <c r="W70" i="71"/>
  <c r="V70" i="71" s="1"/>
  <c r="W69" i="71"/>
  <c r="V69" i="71" s="1"/>
  <c r="W68" i="71"/>
  <c r="V68" i="71" s="1"/>
  <c r="W67" i="71"/>
  <c r="V67" i="71" s="1"/>
  <c r="W66" i="71"/>
  <c r="V66" i="71" s="1"/>
  <c r="W65" i="71"/>
  <c r="V65" i="71" s="1"/>
  <c r="W64" i="71"/>
  <c r="V64" i="71" s="1"/>
  <c r="W63" i="71"/>
  <c r="V63" i="71" s="1"/>
  <c r="W62" i="71"/>
  <c r="V62" i="71" s="1"/>
  <c r="W61" i="71"/>
  <c r="V61" i="71" s="1"/>
  <c r="W60" i="71"/>
  <c r="V60" i="71" s="1"/>
  <c r="W59" i="71"/>
  <c r="V59" i="71" s="1"/>
  <c r="W58" i="71"/>
  <c r="V58" i="71" s="1"/>
  <c r="W57" i="71"/>
  <c r="V57" i="71" s="1"/>
  <c r="W56" i="71"/>
  <c r="W55" i="71"/>
  <c r="V55" i="71"/>
  <c r="W54" i="71"/>
  <c r="V54" i="71" s="1"/>
  <c r="W53" i="71"/>
  <c r="V53" i="71"/>
  <c r="W52" i="71"/>
  <c r="V52" i="71" s="1"/>
  <c r="W51" i="71"/>
  <c r="V51" i="71"/>
  <c r="W50" i="71"/>
  <c r="W49" i="71"/>
  <c r="V49" i="71" s="1"/>
  <c r="W48" i="71"/>
  <c r="V48" i="71" s="1"/>
  <c r="W47" i="71"/>
  <c r="V47" i="71" s="1"/>
  <c r="W46" i="71"/>
  <c r="V46" i="71" s="1"/>
  <c r="W45" i="71"/>
  <c r="V45" i="71" s="1"/>
  <c r="W44" i="71"/>
  <c r="V44" i="71" s="1"/>
  <c r="W43" i="71"/>
  <c r="V43" i="71" s="1"/>
  <c r="W42" i="71"/>
  <c r="W41" i="71"/>
  <c r="V41" i="71" s="1"/>
  <c r="W40" i="71"/>
  <c r="V40" i="71" s="1"/>
  <c r="W39" i="71"/>
  <c r="V39" i="71" s="1"/>
  <c r="W38" i="71"/>
  <c r="V38" i="71" s="1"/>
  <c r="W37" i="71"/>
  <c r="V37" i="71" s="1"/>
  <c r="W36" i="71"/>
  <c r="V36" i="71" s="1"/>
  <c r="W35" i="71"/>
  <c r="V35" i="71" s="1"/>
  <c r="W34" i="71"/>
  <c r="V34" i="71" s="1"/>
  <c r="W33" i="71"/>
  <c r="V33" i="71"/>
  <c r="W32" i="71"/>
  <c r="V32" i="71" s="1"/>
  <c r="W31" i="71"/>
  <c r="V31" i="71" s="1"/>
  <c r="W30" i="71"/>
  <c r="V30" i="71" s="1"/>
  <c r="W29" i="71"/>
  <c r="V29" i="71" s="1"/>
  <c r="W28" i="71"/>
  <c r="V28" i="71" s="1"/>
  <c r="W27" i="71"/>
  <c r="V27" i="71"/>
  <c r="W26" i="71"/>
  <c r="V26" i="71" s="1"/>
  <c r="W25" i="71"/>
  <c r="V25" i="71" s="1"/>
  <c r="W24" i="71"/>
  <c r="V24" i="71" s="1"/>
  <c r="W23" i="71"/>
  <c r="V23" i="71" s="1"/>
  <c r="W22" i="71"/>
  <c r="V22" i="71" s="1"/>
  <c r="W21" i="71"/>
  <c r="V21" i="71" s="1"/>
  <c r="W20" i="71"/>
  <c r="V20" i="71" s="1"/>
  <c r="W19" i="71"/>
  <c r="V19" i="71" s="1"/>
  <c r="W18" i="71"/>
  <c r="V18" i="71" s="1"/>
  <c r="W17" i="71"/>
  <c r="V17" i="71"/>
  <c r="W16" i="71"/>
  <c r="V16" i="71" s="1"/>
  <c r="W15" i="71"/>
  <c r="V15" i="71" s="1"/>
  <c r="W14" i="71"/>
  <c r="V14" i="71" s="1"/>
  <c r="W13" i="71"/>
  <c r="V13" i="71" s="1"/>
  <c r="W12" i="71"/>
  <c r="W11" i="71"/>
  <c r="V11" i="71" s="1"/>
  <c r="W10" i="71"/>
  <c r="V10" i="71" s="1"/>
  <c r="W9" i="71"/>
  <c r="W8" i="71"/>
  <c r="W7" i="71"/>
  <c r="V7" i="71" s="1"/>
  <c r="Z50" i="71"/>
  <c r="Z82" i="71"/>
  <c r="Z83" i="71"/>
  <c r="Z149" i="71"/>
  <c r="Z153" i="71"/>
  <c r="Z160" i="71"/>
  <c r="Q15" i="75"/>
  <c r="Q42" i="75"/>
  <c r="Q53" i="75"/>
  <c r="Q66" i="75"/>
  <c r="Q247" i="75"/>
  <c r="Q329" i="75"/>
  <c r="Q344" i="75"/>
  <c r="O458" i="187"/>
  <c r="Z44" i="71" s="1"/>
  <c r="O459" i="187"/>
  <c r="Z45" i="71"/>
  <c r="O466" i="187"/>
  <c r="Z54" i="71" s="1"/>
  <c r="O468" i="187"/>
  <c r="Z56" i="71" s="1"/>
  <c r="O471" i="187"/>
  <c r="O475" i="187"/>
  <c r="O478" i="187"/>
  <c r="Z66" i="71" s="1"/>
  <c r="O486" i="187"/>
  <c r="O488" i="187"/>
  <c r="Z75" i="71" s="1"/>
  <c r="O490" i="187"/>
  <c r="Z77" i="71" s="1"/>
  <c r="O493" i="187"/>
  <c r="Z80" i="71" s="1"/>
  <c r="O500" i="187"/>
  <c r="Z89" i="71" s="1"/>
  <c r="O514" i="187"/>
  <c r="Z102" i="71" s="1"/>
  <c r="O519" i="187"/>
  <c r="Z107" i="71" s="1"/>
  <c r="O520" i="187"/>
  <c r="Z108" i="71" s="1"/>
  <c r="O521" i="187"/>
  <c r="Z109" i="71" s="1"/>
  <c r="O524" i="187"/>
  <c r="Z112" i="71" s="1"/>
  <c r="O526" i="187"/>
  <c r="Z114" i="71" s="1"/>
  <c r="O530" i="187"/>
  <c r="Z118" i="71" s="1"/>
  <c r="O532" i="187"/>
  <c r="Z120" i="71" s="1"/>
  <c r="O533" i="187"/>
  <c r="Z121" i="71" s="1"/>
  <c r="O534" i="187"/>
  <c r="Z122" i="71" s="1"/>
  <c r="O535" i="187"/>
  <c r="Z123" i="71" s="1"/>
  <c r="O542" i="187"/>
  <c r="Z130" i="71" s="1"/>
  <c r="O544" i="187"/>
  <c r="Z132" i="71" s="1"/>
  <c r="O545" i="187"/>
  <c r="Z133" i="71" s="1"/>
  <c r="O550" i="187"/>
  <c r="Z138" i="71" s="1"/>
  <c r="O553" i="187"/>
  <c r="Z141" i="71" s="1"/>
  <c r="O554" i="187"/>
  <c r="Z142" i="71" s="1"/>
  <c r="O555" i="187"/>
  <c r="Z143" i="71" s="1"/>
  <c r="O556" i="187"/>
  <c r="Z144" i="71" s="1"/>
  <c r="O557" i="187"/>
  <c r="Z145" i="71" s="1"/>
  <c r="O558" i="187"/>
  <c r="Z146" i="71" s="1"/>
  <c r="O559" i="187"/>
  <c r="Z147" i="71" s="1"/>
  <c r="O560" i="187"/>
  <c r="Z148" i="71" s="1"/>
  <c r="O561" i="187"/>
  <c r="Z150" i="71" s="1"/>
  <c r="O562" i="187"/>
  <c r="Z151" i="71" s="1"/>
  <c r="O563" i="187"/>
  <c r="Z152" i="71" s="1"/>
  <c r="O564" i="187"/>
  <c r="Z154" i="71" s="1"/>
  <c r="O565" i="187"/>
  <c r="Z155" i="71" s="1"/>
  <c r="O566" i="187"/>
  <c r="Z156" i="71" s="1"/>
  <c r="O567" i="187"/>
  <c r="Z157" i="71" s="1"/>
  <c r="AS157" i="71" s="1"/>
  <c r="O568" i="187"/>
  <c r="Z158" i="71" s="1"/>
  <c r="O569" i="187"/>
  <c r="Z159" i="71" s="1"/>
  <c r="O570" i="187"/>
  <c r="Z161" i="71" s="1"/>
  <c r="O571" i="187"/>
  <c r="Z162" i="71" s="1"/>
  <c r="O572" i="187"/>
  <c r="Z163" i="71" s="1"/>
  <c r="O573" i="187"/>
  <c r="Z164" i="71"/>
  <c r="O574" i="187"/>
  <c r="Z165" i="71" s="1"/>
  <c r="O575" i="187"/>
  <c r="Z166" i="71" s="1"/>
  <c r="O576" i="187"/>
  <c r="Z167" i="71" s="1"/>
  <c r="O577" i="187"/>
  <c r="Q418" i="75" s="1"/>
  <c r="F418" i="75" s="1"/>
  <c r="O578" i="187"/>
  <c r="Z168" i="71" s="1"/>
  <c r="O579" i="187"/>
  <c r="Q419" i="75"/>
  <c r="O580" i="187"/>
  <c r="Q420" i="75" s="1"/>
  <c r="O581" i="187"/>
  <c r="Q421" i="75"/>
  <c r="O582" i="187"/>
  <c r="Z169" i="71" s="1"/>
  <c r="O583" i="187"/>
  <c r="Q422" i="75" s="1"/>
  <c r="O584" i="187"/>
  <c r="Q423" i="75" s="1"/>
  <c r="O585" i="187"/>
  <c r="Q424" i="75"/>
  <c r="O586" i="187"/>
  <c r="Z170" i="71" s="1"/>
  <c r="O587" i="187"/>
  <c r="Z171" i="71"/>
  <c r="O588" i="187"/>
  <c r="Q425" i="75" s="1"/>
  <c r="O589" i="187"/>
  <c r="Z172" i="71" s="1"/>
  <c r="O590" i="187"/>
  <c r="Q426" i="75" s="1"/>
  <c r="O15" i="187"/>
  <c r="Q16" i="75" s="1"/>
  <c r="O27" i="187"/>
  <c r="O35" i="187"/>
  <c r="Q36" i="75" s="1"/>
  <c r="O42" i="187"/>
  <c r="O45" i="187"/>
  <c r="O48" i="187"/>
  <c r="Q50" i="75" s="1"/>
  <c r="O51" i="187"/>
  <c r="O55" i="187"/>
  <c r="Q58" i="75" s="1"/>
  <c r="O58" i="187"/>
  <c r="Q61" i="75" s="1"/>
  <c r="O59" i="187"/>
  <c r="O62" i="187"/>
  <c r="Q65" i="75" s="1"/>
  <c r="O63" i="187"/>
  <c r="Q67" i="75" s="1"/>
  <c r="O64" i="187"/>
  <c r="Q68" i="75" s="1"/>
  <c r="O67" i="187"/>
  <c r="Q71" i="75" s="1"/>
  <c r="O68" i="187"/>
  <c r="Q72" i="75" s="1"/>
  <c r="F72" i="75" s="1"/>
  <c r="O73" i="187"/>
  <c r="Q77" i="75" s="1"/>
  <c r="O74" i="187"/>
  <c r="Q78" i="75" s="1"/>
  <c r="O75" i="187"/>
  <c r="O80" i="187"/>
  <c r="Q84" i="75" s="1"/>
  <c r="O81" i="187"/>
  <c r="Q85" i="75"/>
  <c r="O86" i="187"/>
  <c r="Q90" i="75" s="1"/>
  <c r="O87" i="187"/>
  <c r="Q91" i="75"/>
  <c r="O88" i="187"/>
  <c r="Q92" i="75" s="1"/>
  <c r="O89" i="187"/>
  <c r="Q93" i="75"/>
  <c r="O92" i="187"/>
  <c r="Q96" i="75" s="1"/>
  <c r="O93" i="187"/>
  <c r="Q97" i="75" s="1"/>
  <c r="O94" i="187"/>
  <c r="Q98" i="75" s="1"/>
  <c r="O95" i="187"/>
  <c r="Q99" i="75"/>
  <c r="O108" i="187"/>
  <c r="Q111" i="75" s="1"/>
  <c r="O109" i="187"/>
  <c r="Q112" i="75"/>
  <c r="O110" i="187"/>
  <c r="Q113" i="75" s="1"/>
  <c r="O111" i="187"/>
  <c r="Q114" i="75"/>
  <c r="O112" i="187"/>
  <c r="Q115" i="75" s="1"/>
  <c r="O113" i="187"/>
  <c r="Q116" i="75" s="1"/>
  <c r="O114" i="187"/>
  <c r="Q117" i="75" s="1"/>
  <c r="O115" i="187"/>
  <c r="Q118" i="75"/>
  <c r="O116" i="187"/>
  <c r="Q119" i="75" s="1"/>
  <c r="O117" i="187"/>
  <c r="Q120" i="75"/>
  <c r="O118" i="187"/>
  <c r="Q121" i="75" s="1"/>
  <c r="O121" i="187"/>
  <c r="Q124" i="75"/>
  <c r="O122" i="187"/>
  <c r="Q125" i="75" s="1"/>
  <c r="O123" i="187"/>
  <c r="Q126" i="75" s="1"/>
  <c r="O124" i="187"/>
  <c r="Q127" i="75" s="1"/>
  <c r="O125" i="187"/>
  <c r="Q128" i="75"/>
  <c r="O126" i="187"/>
  <c r="Q129" i="75" s="1"/>
  <c r="O127" i="187"/>
  <c r="Q130" i="75"/>
  <c r="O128" i="187"/>
  <c r="Q131" i="75" s="1"/>
  <c r="O129" i="187"/>
  <c r="Q132" i="75"/>
  <c r="O135" i="187"/>
  <c r="Q138" i="75" s="1"/>
  <c r="O136" i="187"/>
  <c r="Q139" i="75" s="1"/>
  <c r="F139" i="75" s="1"/>
  <c r="O137" i="187"/>
  <c r="O143" i="187"/>
  <c r="Q146" i="75" s="1"/>
  <c r="O149" i="187"/>
  <c r="Q152" i="75" s="1"/>
  <c r="O154" i="187"/>
  <c r="Q157" i="75" s="1"/>
  <c r="O159" i="187"/>
  <c r="Q162" i="75" s="1"/>
  <c r="O162" i="187"/>
  <c r="Q165" i="75" s="1"/>
  <c r="O164" i="187"/>
  <c r="Q167" i="75" s="1"/>
  <c r="O166" i="187"/>
  <c r="G20" i="69" s="1"/>
  <c r="O169" i="187"/>
  <c r="O174" i="187"/>
  <c r="Q177" i="75" s="1"/>
  <c r="O176" i="187"/>
  <c r="O178" i="187"/>
  <c r="Q180" i="75" s="1"/>
  <c r="O181" i="187"/>
  <c r="O184" i="187"/>
  <c r="Q186" i="75" s="1"/>
  <c r="O188" i="187"/>
  <c r="Q190" i="75" s="1"/>
  <c r="O190" i="187"/>
  <c r="Q192" i="75" s="1"/>
  <c r="O191" i="187"/>
  <c r="O193" i="187"/>
  <c r="O202" i="187"/>
  <c r="Q202" i="75" s="1"/>
  <c r="O205" i="187"/>
  <c r="Q205" i="75" s="1"/>
  <c r="O207" i="187"/>
  <c r="Q207" i="75" s="1"/>
  <c r="O211" i="187"/>
  <c r="Q211" i="75" s="1"/>
  <c r="O212" i="187"/>
  <c r="Q212" i="75" s="1"/>
  <c r="O213" i="187"/>
  <c r="Q213" i="75" s="1"/>
  <c r="O214" i="187"/>
  <c r="Q214" i="75" s="1"/>
  <c r="O215" i="187"/>
  <c r="Q215" i="75" s="1"/>
  <c r="O216" i="187"/>
  <c r="Q216" i="75" s="1"/>
  <c r="O221" i="187"/>
  <c r="Q221" i="75" s="1"/>
  <c r="O222" i="187"/>
  <c r="Q222" i="75" s="1"/>
  <c r="O223" i="187"/>
  <c r="Q223" i="75" s="1"/>
  <c r="O224" i="187"/>
  <c r="Q224" i="75" s="1"/>
  <c r="O225" i="187"/>
  <c r="Q225" i="75" s="1"/>
  <c r="O226" i="187"/>
  <c r="Q226" i="75" s="1"/>
  <c r="O227" i="187"/>
  <c r="Q227" i="75" s="1"/>
  <c r="O228" i="187"/>
  <c r="Q228" i="75" s="1"/>
  <c r="O229" i="187"/>
  <c r="Q229" i="75" s="1"/>
  <c r="O230" i="187"/>
  <c r="Q230" i="75" s="1"/>
  <c r="O231" i="187"/>
  <c r="O232" i="187"/>
  <c r="Q232" i="75"/>
  <c r="O233" i="187"/>
  <c r="Q233" i="75" s="1"/>
  <c r="O234" i="187"/>
  <c r="Q234" i="75" s="1"/>
  <c r="O235" i="187"/>
  <c r="Q235" i="75" s="1"/>
  <c r="O236" i="187"/>
  <c r="Q236" i="75" s="1"/>
  <c r="O239" i="187"/>
  <c r="Q239" i="75" s="1"/>
  <c r="O242" i="187"/>
  <c r="Q242" i="75" s="1"/>
  <c r="O244" i="187"/>
  <c r="Q244" i="75" s="1"/>
  <c r="O245" i="187"/>
  <c r="Q245" i="75"/>
  <c r="O255" i="187"/>
  <c r="Q256" i="75" s="1"/>
  <c r="O256" i="187"/>
  <c r="Q257" i="75"/>
  <c r="O257" i="187"/>
  <c r="Q258" i="75" s="1"/>
  <c r="O260" i="187"/>
  <c r="Q261" i="75" s="1"/>
  <c r="O262" i="187"/>
  <c r="Q263" i="75" s="1"/>
  <c r="O265" i="187"/>
  <c r="Q266" i="75" s="1"/>
  <c r="O268" i="187"/>
  <c r="Q269" i="75" s="1"/>
  <c r="O271" i="187"/>
  <c r="Q272" i="75"/>
  <c r="O275" i="187"/>
  <c r="Q276" i="75" s="1"/>
  <c r="O276" i="187"/>
  <c r="Q277" i="75"/>
  <c r="O277" i="187"/>
  <c r="Q278" i="75" s="1"/>
  <c r="O279" i="187"/>
  <c r="Q280" i="75"/>
  <c r="O280" i="187"/>
  <c r="Q281" i="75" s="1"/>
  <c r="O281" i="187"/>
  <c r="Q282" i="75" s="1"/>
  <c r="O282" i="187"/>
  <c r="Q283" i="75" s="1"/>
  <c r="O286" i="187"/>
  <c r="Q287" i="75"/>
  <c r="O287" i="187"/>
  <c r="O288" i="187"/>
  <c r="Q288" i="75" s="1"/>
  <c r="O289" i="187"/>
  <c r="Q289" i="75" s="1"/>
  <c r="O290" i="187"/>
  <c r="Q290" i="75" s="1"/>
  <c r="O291" i="187"/>
  <c r="Q291" i="75" s="1"/>
  <c r="O292" i="187"/>
  <c r="Q292" i="75" s="1"/>
  <c r="O293" i="187"/>
  <c r="Q293" i="75" s="1"/>
  <c r="O294" i="187"/>
  <c r="Q294" i="75" s="1"/>
  <c r="O295" i="187"/>
  <c r="Q295" i="75" s="1"/>
  <c r="O302" i="187"/>
  <c r="Q302" i="75" s="1"/>
  <c r="O303" i="187"/>
  <c r="Q303" i="75" s="1"/>
  <c r="O304" i="187"/>
  <c r="Q304" i="75" s="1"/>
  <c r="O306" i="187"/>
  <c r="Q306" i="75" s="1"/>
  <c r="O307" i="187"/>
  <c r="Q307" i="75" s="1"/>
  <c r="O308" i="187"/>
  <c r="Q308" i="75" s="1"/>
  <c r="O311" i="187"/>
  <c r="Q311" i="75" s="1"/>
  <c r="O315" i="187"/>
  <c r="Q315" i="75" s="1"/>
  <c r="O316" i="187"/>
  <c r="Q316" i="75" s="1"/>
  <c r="O317" i="187"/>
  <c r="Q317" i="75" s="1"/>
  <c r="O318" i="187"/>
  <c r="Q318" i="75" s="1"/>
  <c r="O319" i="187"/>
  <c r="Q319" i="75" s="1"/>
  <c r="O321" i="187"/>
  <c r="Q321" i="75" s="1"/>
  <c r="O330" i="187"/>
  <c r="Q331" i="75" s="1"/>
  <c r="F331" i="75" s="1"/>
  <c r="O331" i="187"/>
  <c r="Q332" i="75" s="1"/>
  <c r="O332" i="187"/>
  <c r="Q333" i="75"/>
  <c r="O333" i="187"/>
  <c r="Q334" i="75" s="1"/>
  <c r="O334" i="187"/>
  <c r="Q335" i="75" s="1"/>
  <c r="O335" i="187"/>
  <c r="O336" i="187"/>
  <c r="O337" i="187"/>
  <c r="Q336" i="75" s="1"/>
  <c r="O338" i="187"/>
  <c r="Q337" i="75" s="1"/>
  <c r="O339" i="187"/>
  <c r="Q338" i="75"/>
  <c r="O340" i="187"/>
  <c r="O341" i="187"/>
  <c r="Q339" i="75" s="1"/>
  <c r="O342" i="187"/>
  <c r="O343" i="187"/>
  <c r="Q340" i="75" s="1"/>
  <c r="O344" i="187"/>
  <c r="Q341" i="75" s="1"/>
  <c r="O345" i="187"/>
  <c r="Q342" i="75"/>
  <c r="O346" i="187"/>
  <c r="O347" i="187"/>
  <c r="Q343" i="75" s="1"/>
  <c r="O348" i="187"/>
  <c r="Q345" i="75" s="1"/>
  <c r="O349" i="187"/>
  <c r="Q346" i="75" s="1"/>
  <c r="O350" i="187"/>
  <c r="Q347" i="75" s="1"/>
  <c r="O351" i="187"/>
  <c r="Q348" i="75" s="1"/>
  <c r="O352" i="187"/>
  <c r="Q349" i="75" s="1"/>
  <c r="O353" i="187"/>
  <c r="Q350" i="75" s="1"/>
  <c r="O358" i="187"/>
  <c r="Q355" i="75" s="1"/>
  <c r="O364" i="187"/>
  <c r="Q361" i="75" s="1"/>
  <c r="O365" i="187"/>
  <c r="Q362" i="75" s="1"/>
  <c r="O366" i="187"/>
  <c r="Q363" i="75" s="1"/>
  <c r="O367" i="187"/>
  <c r="Q364" i="75" s="1"/>
  <c r="O368" i="187"/>
  <c r="Q365" i="75" s="1"/>
  <c r="O369" i="187"/>
  <c r="Q366" i="75" s="1"/>
  <c r="O370" i="187"/>
  <c r="Q367" i="75" s="1"/>
  <c r="O371" i="187"/>
  <c r="Q368" i="75" s="1"/>
  <c r="O372" i="187"/>
  <c r="Q369" i="75" s="1"/>
  <c r="O373" i="187"/>
  <c r="Q370" i="75" s="1"/>
  <c r="O374" i="187"/>
  <c r="Q371" i="75" s="1"/>
  <c r="O375" i="187"/>
  <c r="Q372" i="75" s="1"/>
  <c r="O376" i="187"/>
  <c r="Q373" i="75" s="1"/>
  <c r="O377" i="187"/>
  <c r="Q374" i="75" s="1"/>
  <c r="O378" i="187"/>
  <c r="Q375" i="75" s="1"/>
  <c r="F375" i="75" s="1"/>
  <c r="O379" i="187"/>
  <c r="Q376" i="75" s="1"/>
  <c r="O380" i="187"/>
  <c r="Q377" i="75" s="1"/>
  <c r="O381" i="187"/>
  <c r="Q378" i="75" s="1"/>
  <c r="O382" i="187"/>
  <c r="Q379" i="75" s="1"/>
  <c r="O388" i="187"/>
  <c r="O390" i="187"/>
  <c r="Q387" i="75"/>
  <c r="O392" i="187"/>
  <c r="Q389" i="75" s="1"/>
  <c r="O393" i="187"/>
  <c r="Q390" i="75"/>
  <c r="O394" i="187"/>
  <c r="Q391" i="75" s="1"/>
  <c r="O395" i="187"/>
  <c r="Q392" i="75" s="1"/>
  <c r="O396" i="187"/>
  <c r="Q393" i="75" s="1"/>
  <c r="O397" i="187"/>
  <c r="Q394" i="75"/>
  <c r="O398" i="187"/>
  <c r="Q395" i="75" s="1"/>
  <c r="O399" i="187"/>
  <c r="Q396" i="75"/>
  <c r="O400" i="187"/>
  <c r="Q397" i="75" s="1"/>
  <c r="O401" i="187"/>
  <c r="Q398" i="75"/>
  <c r="O402" i="187"/>
  <c r="Q399" i="75" s="1"/>
  <c r="O403" i="187"/>
  <c r="Q400" i="75" s="1"/>
  <c r="F400" i="75" s="1"/>
  <c r="O404" i="187"/>
  <c r="Q401" i="75" s="1"/>
  <c r="O405" i="187"/>
  <c r="Q402" i="75"/>
  <c r="O406" i="187"/>
  <c r="Q403" i="75" s="1"/>
  <c r="O407" i="187"/>
  <c r="Q404" i="75"/>
  <c r="F404" i="75" s="1"/>
  <c r="O408" i="187"/>
  <c r="Q405" i="75" s="1"/>
  <c r="O409" i="187"/>
  <c r="Q406" i="75"/>
  <c r="O410" i="187"/>
  <c r="O411" i="187"/>
  <c r="Q407" i="75" s="1"/>
  <c r="F407" i="75" s="1"/>
  <c r="O413" i="187"/>
  <c r="Q409" i="75"/>
  <c r="O414" i="187"/>
  <c r="Q410" i="75" s="1"/>
  <c r="O415" i="187"/>
  <c r="Q411" i="75" s="1"/>
  <c r="O416" i="187"/>
  <c r="Q412" i="75" s="1"/>
  <c r="O417" i="187"/>
  <c r="Q413" i="75"/>
  <c r="O418" i="187"/>
  <c r="Q414" i="75" s="1"/>
  <c r="O419" i="187"/>
  <c r="Q415" i="75"/>
  <c r="F415" i="75" s="1"/>
  <c r="O420" i="187"/>
  <c r="Q416" i="75" s="1"/>
  <c r="O422" i="187"/>
  <c r="Z9" i="71" s="1"/>
  <c r="O435" i="187"/>
  <c r="Z21" i="71" s="1"/>
  <c r="O7" i="187"/>
  <c r="N8" i="187"/>
  <c r="N9" i="187"/>
  <c r="N10" i="187"/>
  <c r="N11" i="187"/>
  <c r="N12" i="187"/>
  <c r="N13" i="187"/>
  <c r="N14" i="187"/>
  <c r="N15" i="187"/>
  <c r="N16" i="187"/>
  <c r="N17" i="187"/>
  <c r="N18" i="187"/>
  <c r="N19" i="187"/>
  <c r="N20" i="187"/>
  <c r="N21" i="187"/>
  <c r="N22" i="187"/>
  <c r="N23" i="187"/>
  <c r="N24" i="187"/>
  <c r="N25" i="187"/>
  <c r="N26" i="187"/>
  <c r="N27" i="187"/>
  <c r="N28" i="187"/>
  <c r="N29" i="187"/>
  <c r="N30" i="187"/>
  <c r="N31" i="187"/>
  <c r="N32" i="187"/>
  <c r="N33" i="187"/>
  <c r="N34" i="187"/>
  <c r="N35" i="187"/>
  <c r="N36" i="187"/>
  <c r="N37" i="187"/>
  <c r="N38" i="187"/>
  <c r="N39" i="187"/>
  <c r="N40" i="187"/>
  <c r="N41" i="187"/>
  <c r="N42" i="187"/>
  <c r="N43" i="187"/>
  <c r="N44" i="187"/>
  <c r="N45" i="187"/>
  <c r="N46" i="187"/>
  <c r="N47" i="187"/>
  <c r="N48" i="187"/>
  <c r="N49" i="187"/>
  <c r="N50" i="187"/>
  <c r="N51" i="187"/>
  <c r="N52" i="187"/>
  <c r="N53" i="187"/>
  <c r="N54" i="187"/>
  <c r="N55" i="187"/>
  <c r="N56" i="187"/>
  <c r="N57" i="187"/>
  <c r="N58" i="187"/>
  <c r="N59" i="187"/>
  <c r="N60" i="187"/>
  <c r="N61" i="187"/>
  <c r="N62" i="187"/>
  <c r="N63" i="187"/>
  <c r="N64" i="187"/>
  <c r="N65" i="187"/>
  <c r="N66" i="187"/>
  <c r="N67" i="187"/>
  <c r="N68" i="187"/>
  <c r="N69" i="187"/>
  <c r="N70" i="187"/>
  <c r="N71" i="187"/>
  <c r="N72" i="187"/>
  <c r="N73" i="187"/>
  <c r="N74" i="187"/>
  <c r="N75" i="187"/>
  <c r="N76" i="187"/>
  <c r="N77" i="187"/>
  <c r="N78" i="187"/>
  <c r="N79" i="187"/>
  <c r="N80" i="187"/>
  <c r="N81" i="187"/>
  <c r="N82" i="187"/>
  <c r="N83" i="187"/>
  <c r="N84" i="187"/>
  <c r="N85" i="187"/>
  <c r="N86" i="187"/>
  <c r="N87" i="187"/>
  <c r="N88" i="187"/>
  <c r="N89" i="187"/>
  <c r="N90" i="187"/>
  <c r="N91" i="187"/>
  <c r="N92" i="187"/>
  <c r="N93" i="187"/>
  <c r="N94" i="187"/>
  <c r="N95" i="187"/>
  <c r="N96" i="187"/>
  <c r="N97" i="187"/>
  <c r="N98" i="187"/>
  <c r="N99" i="187"/>
  <c r="N100" i="187"/>
  <c r="N101" i="187"/>
  <c r="N102" i="187"/>
  <c r="N103" i="187"/>
  <c r="N104" i="187"/>
  <c r="N105" i="187"/>
  <c r="N106" i="187"/>
  <c r="N107" i="187"/>
  <c r="N108" i="187"/>
  <c r="N109" i="187"/>
  <c r="N110" i="187"/>
  <c r="N111" i="187"/>
  <c r="N112" i="187"/>
  <c r="N113" i="187"/>
  <c r="N114" i="187"/>
  <c r="N115" i="187"/>
  <c r="N116" i="187"/>
  <c r="N117" i="187"/>
  <c r="N118" i="187"/>
  <c r="N119" i="187"/>
  <c r="N120" i="187"/>
  <c r="N121" i="187"/>
  <c r="N122" i="187"/>
  <c r="N123" i="187"/>
  <c r="N124" i="187"/>
  <c r="N125" i="187"/>
  <c r="N126" i="187"/>
  <c r="N127" i="187"/>
  <c r="N128" i="187"/>
  <c r="N129" i="187"/>
  <c r="N130" i="187"/>
  <c r="N131" i="187"/>
  <c r="N132" i="187"/>
  <c r="N133" i="187"/>
  <c r="N134" i="187"/>
  <c r="N135" i="187"/>
  <c r="N136" i="187"/>
  <c r="N137" i="187"/>
  <c r="N138" i="187"/>
  <c r="N139" i="187"/>
  <c r="N140" i="187"/>
  <c r="N141" i="187"/>
  <c r="N142" i="187"/>
  <c r="N143" i="187"/>
  <c r="N144" i="187"/>
  <c r="N145" i="187"/>
  <c r="N146" i="187"/>
  <c r="N147" i="187"/>
  <c r="N148" i="187"/>
  <c r="N149" i="187"/>
  <c r="N150" i="187"/>
  <c r="N151" i="187"/>
  <c r="N152" i="187"/>
  <c r="N153" i="187"/>
  <c r="N154" i="187"/>
  <c r="N155" i="187"/>
  <c r="N156" i="187"/>
  <c r="N157" i="187"/>
  <c r="N158" i="187"/>
  <c r="N159" i="187"/>
  <c r="N160" i="187"/>
  <c r="N161" i="187"/>
  <c r="N162" i="187"/>
  <c r="N163" i="187"/>
  <c r="N164" i="187"/>
  <c r="N165" i="187"/>
  <c r="N166" i="187"/>
  <c r="N167" i="187"/>
  <c r="N168" i="187"/>
  <c r="N169" i="187"/>
  <c r="N170" i="187"/>
  <c r="N171" i="187"/>
  <c r="N172" i="187"/>
  <c r="N173" i="187"/>
  <c r="N174" i="187"/>
  <c r="N175" i="187"/>
  <c r="N176" i="187"/>
  <c r="N177" i="187"/>
  <c r="N178" i="187"/>
  <c r="N179" i="187"/>
  <c r="N180" i="187"/>
  <c r="N181" i="187"/>
  <c r="N182" i="187"/>
  <c r="N183" i="187"/>
  <c r="N184" i="187"/>
  <c r="N185" i="187"/>
  <c r="N186" i="187"/>
  <c r="N187" i="187"/>
  <c r="N188" i="187"/>
  <c r="N189" i="187"/>
  <c r="N190" i="187"/>
  <c r="N191" i="187"/>
  <c r="N192" i="187"/>
  <c r="N193" i="187"/>
  <c r="N194" i="187"/>
  <c r="N195" i="187"/>
  <c r="N196" i="187"/>
  <c r="N197" i="187"/>
  <c r="N198" i="187"/>
  <c r="N199" i="187"/>
  <c r="N200" i="187"/>
  <c r="N201" i="187"/>
  <c r="N202" i="187"/>
  <c r="N203" i="187"/>
  <c r="N204" i="187"/>
  <c r="N205" i="187"/>
  <c r="N206" i="187"/>
  <c r="N207" i="187"/>
  <c r="N208" i="187"/>
  <c r="N209" i="187"/>
  <c r="N210" i="187"/>
  <c r="N211" i="187"/>
  <c r="N212" i="187"/>
  <c r="N213" i="187"/>
  <c r="N214" i="187"/>
  <c r="N215" i="187"/>
  <c r="N216" i="187"/>
  <c r="N217" i="187"/>
  <c r="N218" i="187"/>
  <c r="N219" i="187"/>
  <c r="N220" i="187"/>
  <c r="N221" i="187"/>
  <c r="N222" i="187"/>
  <c r="N223" i="187"/>
  <c r="N224" i="187"/>
  <c r="N225" i="187"/>
  <c r="N226" i="187"/>
  <c r="N227" i="187"/>
  <c r="N228" i="187"/>
  <c r="N229" i="187"/>
  <c r="N230" i="187"/>
  <c r="N231" i="187"/>
  <c r="N232" i="187"/>
  <c r="N233" i="187"/>
  <c r="N234" i="187"/>
  <c r="N235" i="187"/>
  <c r="N236" i="187"/>
  <c r="N237" i="187"/>
  <c r="N238" i="187"/>
  <c r="N239" i="187"/>
  <c r="N240" i="187"/>
  <c r="N241" i="187"/>
  <c r="N242" i="187"/>
  <c r="N243" i="187"/>
  <c r="N244" i="187"/>
  <c r="N245" i="187"/>
  <c r="N246" i="187"/>
  <c r="N247" i="187"/>
  <c r="N248" i="187"/>
  <c r="N249" i="187"/>
  <c r="N250" i="187"/>
  <c r="N251" i="187"/>
  <c r="N252" i="187"/>
  <c r="N253" i="187"/>
  <c r="N254" i="187"/>
  <c r="N255" i="187"/>
  <c r="N256" i="187"/>
  <c r="N257" i="187"/>
  <c r="N258" i="187"/>
  <c r="N259" i="187"/>
  <c r="N260" i="187"/>
  <c r="N261" i="187"/>
  <c r="N262" i="187"/>
  <c r="N263" i="187"/>
  <c r="N264" i="187"/>
  <c r="N265" i="187"/>
  <c r="N266" i="187"/>
  <c r="N267" i="187"/>
  <c r="N268" i="187"/>
  <c r="N269" i="187"/>
  <c r="N270" i="187"/>
  <c r="N271" i="187"/>
  <c r="N272" i="187"/>
  <c r="N273" i="187"/>
  <c r="N274" i="187"/>
  <c r="N275" i="187"/>
  <c r="N276" i="187"/>
  <c r="N277" i="187"/>
  <c r="N278" i="187"/>
  <c r="N279" i="187"/>
  <c r="N280" i="187"/>
  <c r="N281" i="187"/>
  <c r="N282" i="187"/>
  <c r="N283" i="187"/>
  <c r="N284" i="187"/>
  <c r="N285" i="187"/>
  <c r="N286" i="187"/>
  <c r="N287" i="187"/>
  <c r="N288" i="187"/>
  <c r="N289" i="187"/>
  <c r="N290" i="187"/>
  <c r="N291" i="187"/>
  <c r="N292" i="187"/>
  <c r="N293" i="187"/>
  <c r="N294" i="187"/>
  <c r="N295" i="187"/>
  <c r="N296" i="187"/>
  <c r="N297" i="187"/>
  <c r="N298" i="187"/>
  <c r="N299" i="187"/>
  <c r="N300" i="187"/>
  <c r="N301" i="187"/>
  <c r="N302" i="187"/>
  <c r="N303" i="187"/>
  <c r="N304" i="187"/>
  <c r="N305" i="187"/>
  <c r="N306" i="187"/>
  <c r="N307" i="187"/>
  <c r="N308" i="187"/>
  <c r="N309" i="187"/>
  <c r="N310" i="187"/>
  <c r="N311" i="187"/>
  <c r="N312" i="187"/>
  <c r="N313" i="187"/>
  <c r="N314" i="187"/>
  <c r="N315" i="187"/>
  <c r="N316" i="187"/>
  <c r="N317" i="187"/>
  <c r="N318" i="187"/>
  <c r="N319" i="187"/>
  <c r="N320" i="187"/>
  <c r="N321" i="187"/>
  <c r="N322" i="187"/>
  <c r="N323" i="187"/>
  <c r="N324" i="187"/>
  <c r="N325" i="187"/>
  <c r="N326" i="187"/>
  <c r="N327" i="187"/>
  <c r="N328" i="187"/>
  <c r="N329" i="187"/>
  <c r="N330" i="187"/>
  <c r="N331" i="187"/>
  <c r="N332" i="187"/>
  <c r="N333" i="187"/>
  <c r="N334" i="187"/>
  <c r="N335" i="187"/>
  <c r="N336" i="187"/>
  <c r="N337" i="187"/>
  <c r="N338" i="187"/>
  <c r="N339" i="187"/>
  <c r="N340" i="187"/>
  <c r="N341" i="187"/>
  <c r="N342" i="187"/>
  <c r="N343" i="187"/>
  <c r="N344" i="187"/>
  <c r="N345" i="187"/>
  <c r="N346" i="187"/>
  <c r="N347" i="187"/>
  <c r="N348" i="187"/>
  <c r="N349" i="187"/>
  <c r="N350" i="187"/>
  <c r="N351" i="187"/>
  <c r="N352" i="187"/>
  <c r="N353" i="187"/>
  <c r="N354" i="187"/>
  <c r="N355" i="187"/>
  <c r="N356" i="187"/>
  <c r="N357" i="187"/>
  <c r="N358" i="187"/>
  <c r="N359" i="187"/>
  <c r="N360" i="187"/>
  <c r="N361" i="187"/>
  <c r="N362" i="187"/>
  <c r="N363" i="187"/>
  <c r="N364" i="187"/>
  <c r="N365" i="187"/>
  <c r="N366" i="187"/>
  <c r="N367" i="187"/>
  <c r="N368" i="187"/>
  <c r="N369" i="187"/>
  <c r="N370" i="187"/>
  <c r="N371" i="187"/>
  <c r="N372" i="187"/>
  <c r="N373" i="187"/>
  <c r="N374" i="187"/>
  <c r="N375" i="187"/>
  <c r="N376" i="187"/>
  <c r="N377" i="187"/>
  <c r="N378" i="187"/>
  <c r="N379" i="187"/>
  <c r="N380" i="187"/>
  <c r="N381" i="187"/>
  <c r="N382" i="187"/>
  <c r="N383" i="187"/>
  <c r="N384" i="187"/>
  <c r="N385" i="187"/>
  <c r="N386" i="187"/>
  <c r="N387" i="187"/>
  <c r="N388" i="187"/>
  <c r="N389" i="187"/>
  <c r="N390" i="187"/>
  <c r="N391" i="187"/>
  <c r="N392" i="187"/>
  <c r="N393" i="187"/>
  <c r="N394" i="187"/>
  <c r="N395" i="187"/>
  <c r="N396" i="187"/>
  <c r="N397" i="187"/>
  <c r="N398" i="187"/>
  <c r="N399" i="187"/>
  <c r="N400" i="187"/>
  <c r="N401" i="187"/>
  <c r="N402" i="187"/>
  <c r="N403" i="187"/>
  <c r="N404" i="187"/>
  <c r="N405" i="187"/>
  <c r="N406" i="187"/>
  <c r="N407" i="187"/>
  <c r="N408" i="187"/>
  <c r="N409" i="187"/>
  <c r="N410" i="187"/>
  <c r="N411" i="187"/>
  <c r="N412" i="187"/>
  <c r="N413" i="187"/>
  <c r="N414" i="187"/>
  <c r="N415" i="187"/>
  <c r="N416" i="187"/>
  <c r="N417" i="187"/>
  <c r="N418" i="187"/>
  <c r="N419" i="187"/>
  <c r="N420" i="187"/>
  <c r="N421" i="187"/>
  <c r="N422" i="187"/>
  <c r="N423" i="187"/>
  <c r="N424" i="187"/>
  <c r="N425" i="187"/>
  <c r="N426" i="187"/>
  <c r="N427" i="187"/>
  <c r="N428" i="187"/>
  <c r="N429" i="187"/>
  <c r="N430" i="187"/>
  <c r="N431" i="187"/>
  <c r="N432" i="187"/>
  <c r="N433" i="187"/>
  <c r="N434" i="187"/>
  <c r="N435" i="187"/>
  <c r="N436" i="187"/>
  <c r="N437" i="187"/>
  <c r="N438" i="187"/>
  <c r="N439" i="187"/>
  <c r="N440" i="187"/>
  <c r="N441" i="187"/>
  <c r="N442" i="187"/>
  <c r="N443" i="187"/>
  <c r="N444" i="187"/>
  <c r="N445" i="187"/>
  <c r="N446" i="187"/>
  <c r="N447" i="187"/>
  <c r="N448" i="187"/>
  <c r="N449" i="187"/>
  <c r="N450" i="187"/>
  <c r="N451" i="187"/>
  <c r="N452" i="187"/>
  <c r="N453" i="187"/>
  <c r="N454" i="187"/>
  <c r="N455" i="187"/>
  <c r="N456" i="187"/>
  <c r="N457" i="187"/>
  <c r="N458" i="187"/>
  <c r="N459" i="187"/>
  <c r="N460" i="187"/>
  <c r="N461" i="187"/>
  <c r="N462" i="187"/>
  <c r="N463" i="187"/>
  <c r="N464" i="187"/>
  <c r="N465" i="187"/>
  <c r="N466" i="187"/>
  <c r="N467" i="187"/>
  <c r="N468" i="187"/>
  <c r="N469" i="187"/>
  <c r="N470" i="187"/>
  <c r="N471" i="187"/>
  <c r="N472" i="187"/>
  <c r="N473" i="187"/>
  <c r="N474" i="187"/>
  <c r="N475" i="187"/>
  <c r="N476" i="187"/>
  <c r="N477" i="187"/>
  <c r="N478" i="187"/>
  <c r="N479" i="187"/>
  <c r="N480" i="187"/>
  <c r="N481" i="187"/>
  <c r="N482" i="187"/>
  <c r="N483" i="187"/>
  <c r="N484" i="187"/>
  <c r="N485" i="187"/>
  <c r="N486" i="187"/>
  <c r="N487" i="187"/>
  <c r="N488" i="187"/>
  <c r="N489" i="187"/>
  <c r="N490" i="187"/>
  <c r="N491" i="187"/>
  <c r="N492" i="187"/>
  <c r="N493" i="187"/>
  <c r="N494" i="187"/>
  <c r="N495" i="187"/>
  <c r="N496" i="187"/>
  <c r="N497" i="187"/>
  <c r="N498" i="187"/>
  <c r="N499" i="187"/>
  <c r="N500" i="187"/>
  <c r="N501" i="187"/>
  <c r="N502" i="187"/>
  <c r="N503" i="187"/>
  <c r="N504" i="187"/>
  <c r="N505" i="187"/>
  <c r="N506" i="187"/>
  <c r="N507" i="187"/>
  <c r="N508" i="187"/>
  <c r="N509" i="187"/>
  <c r="N510" i="187"/>
  <c r="N511" i="187"/>
  <c r="N512" i="187"/>
  <c r="N513" i="187"/>
  <c r="N514" i="187"/>
  <c r="N515" i="187"/>
  <c r="N516" i="187"/>
  <c r="N517" i="187"/>
  <c r="N518" i="187"/>
  <c r="N519" i="187"/>
  <c r="N520" i="187"/>
  <c r="N521" i="187"/>
  <c r="N522" i="187"/>
  <c r="N523" i="187"/>
  <c r="N524" i="187"/>
  <c r="N525" i="187"/>
  <c r="N526" i="187"/>
  <c r="N527" i="187"/>
  <c r="N528" i="187"/>
  <c r="N529" i="187"/>
  <c r="N530" i="187"/>
  <c r="N531" i="187"/>
  <c r="N532" i="187"/>
  <c r="N533" i="187"/>
  <c r="N534" i="187"/>
  <c r="N535" i="187"/>
  <c r="N536" i="187"/>
  <c r="N537" i="187"/>
  <c r="N538" i="187"/>
  <c r="N539" i="187"/>
  <c r="N540" i="187"/>
  <c r="N541" i="187"/>
  <c r="N542" i="187"/>
  <c r="N543" i="187"/>
  <c r="N544" i="187"/>
  <c r="N545" i="187"/>
  <c r="N546" i="187"/>
  <c r="N547" i="187"/>
  <c r="N548" i="187"/>
  <c r="N549" i="187"/>
  <c r="N550" i="187"/>
  <c r="N551" i="187"/>
  <c r="N552" i="187"/>
  <c r="N553" i="187"/>
  <c r="N554" i="187"/>
  <c r="N555" i="187"/>
  <c r="N556" i="187"/>
  <c r="N557" i="187"/>
  <c r="N558" i="187"/>
  <c r="N559" i="187"/>
  <c r="N560" i="187"/>
  <c r="N561" i="187"/>
  <c r="N562" i="187"/>
  <c r="N563" i="187"/>
  <c r="N564" i="187"/>
  <c r="N565" i="187"/>
  <c r="N566" i="187"/>
  <c r="N567" i="187"/>
  <c r="N568" i="187"/>
  <c r="N569" i="187"/>
  <c r="N570" i="187"/>
  <c r="N571" i="187"/>
  <c r="N572" i="187"/>
  <c r="N573" i="187"/>
  <c r="N574" i="187"/>
  <c r="N575" i="187"/>
  <c r="N576" i="187"/>
  <c r="N577" i="187"/>
  <c r="N578" i="187"/>
  <c r="N579" i="187"/>
  <c r="N580" i="187"/>
  <c r="N581" i="187"/>
  <c r="N582" i="187"/>
  <c r="N583" i="187"/>
  <c r="N584" i="187"/>
  <c r="N585" i="187"/>
  <c r="N586" i="187"/>
  <c r="N587" i="187"/>
  <c r="N588" i="187"/>
  <c r="N589" i="187"/>
  <c r="N590" i="187"/>
  <c r="N7" i="187"/>
  <c r="I590" i="187"/>
  <c r="H590" i="187"/>
  <c r="I589" i="187"/>
  <c r="H589" i="187"/>
  <c r="I588" i="187"/>
  <c r="H588" i="187"/>
  <c r="I587" i="187"/>
  <c r="H587" i="187"/>
  <c r="I586" i="187"/>
  <c r="H586" i="187"/>
  <c r="I585" i="187"/>
  <c r="H585" i="187"/>
  <c r="I584" i="187"/>
  <c r="H584" i="187"/>
  <c r="I583" i="187"/>
  <c r="H583" i="187"/>
  <c r="I582" i="187"/>
  <c r="H582" i="187"/>
  <c r="I581" i="187"/>
  <c r="H581" i="187"/>
  <c r="I580" i="187"/>
  <c r="H580" i="187"/>
  <c r="I579" i="187"/>
  <c r="H579" i="187"/>
  <c r="I578" i="187"/>
  <c r="H578" i="187"/>
  <c r="I577" i="187"/>
  <c r="H577" i="187"/>
  <c r="I576" i="187"/>
  <c r="H576" i="187"/>
  <c r="I575" i="187"/>
  <c r="H575" i="187"/>
  <c r="I574" i="187"/>
  <c r="H574" i="187"/>
  <c r="I573" i="187"/>
  <c r="H573" i="187"/>
  <c r="I572" i="187"/>
  <c r="H572" i="187"/>
  <c r="I571" i="187"/>
  <c r="H571" i="187"/>
  <c r="I570" i="187"/>
  <c r="H570" i="187"/>
  <c r="I569" i="187"/>
  <c r="H569" i="187"/>
  <c r="I568" i="187"/>
  <c r="H568" i="187"/>
  <c r="I567" i="187"/>
  <c r="H567" i="187"/>
  <c r="I566" i="187"/>
  <c r="H566" i="187"/>
  <c r="I565" i="187"/>
  <c r="H565" i="187"/>
  <c r="I564" i="187"/>
  <c r="H564" i="187"/>
  <c r="I563" i="187"/>
  <c r="H563" i="187"/>
  <c r="I562" i="187"/>
  <c r="H562" i="187"/>
  <c r="I561" i="187"/>
  <c r="H561" i="187"/>
  <c r="I560" i="187"/>
  <c r="H560" i="187"/>
  <c r="I559" i="187"/>
  <c r="H559" i="187"/>
  <c r="I558" i="187"/>
  <c r="H558" i="187"/>
  <c r="I557" i="187"/>
  <c r="H557" i="187"/>
  <c r="I556" i="187"/>
  <c r="H556" i="187"/>
  <c r="I554" i="187"/>
  <c r="H554" i="187"/>
  <c r="I553" i="187"/>
  <c r="H553" i="187"/>
  <c r="I552" i="187"/>
  <c r="H552" i="187"/>
  <c r="I551" i="187"/>
  <c r="H551" i="187"/>
  <c r="I550" i="187"/>
  <c r="H550" i="187"/>
  <c r="I549" i="187"/>
  <c r="H549" i="187"/>
  <c r="I548" i="187"/>
  <c r="H548" i="187"/>
  <c r="I547" i="187"/>
  <c r="H547" i="187"/>
  <c r="I546" i="187"/>
  <c r="H546" i="187"/>
  <c r="I545" i="187"/>
  <c r="H545" i="187"/>
  <c r="I544" i="187"/>
  <c r="H544" i="187"/>
  <c r="I543" i="187"/>
  <c r="H543" i="187"/>
  <c r="I542" i="187"/>
  <c r="H542" i="187"/>
  <c r="I541" i="187"/>
  <c r="H541" i="187"/>
  <c r="I540" i="187"/>
  <c r="H540" i="187"/>
  <c r="I539" i="187"/>
  <c r="H539" i="187"/>
  <c r="I538" i="187"/>
  <c r="H538" i="187"/>
  <c r="I537" i="187"/>
  <c r="H537" i="187"/>
  <c r="I536" i="187"/>
  <c r="H536" i="187"/>
  <c r="I535" i="187"/>
  <c r="H535" i="187"/>
  <c r="I534" i="187"/>
  <c r="H534" i="187"/>
  <c r="I533" i="187"/>
  <c r="H533" i="187"/>
  <c r="I532" i="187"/>
  <c r="H532" i="187"/>
  <c r="I531" i="187"/>
  <c r="H531" i="187"/>
  <c r="I530" i="187"/>
  <c r="H530" i="187"/>
  <c r="I529" i="187"/>
  <c r="H529" i="187"/>
  <c r="I528" i="187"/>
  <c r="H528" i="187"/>
  <c r="I527" i="187"/>
  <c r="H527" i="187"/>
  <c r="I526" i="187"/>
  <c r="H526" i="187"/>
  <c r="I525" i="187"/>
  <c r="H525" i="187"/>
  <c r="I524" i="187"/>
  <c r="H524" i="187"/>
  <c r="I523" i="187"/>
  <c r="H523" i="187"/>
  <c r="I522" i="187"/>
  <c r="H522" i="187"/>
  <c r="I521" i="187"/>
  <c r="H521" i="187"/>
  <c r="I520" i="187"/>
  <c r="H520" i="187"/>
  <c r="I519" i="187"/>
  <c r="H519" i="187"/>
  <c r="I518" i="187"/>
  <c r="H518" i="187"/>
  <c r="I517" i="187"/>
  <c r="H517" i="187"/>
  <c r="I516" i="187"/>
  <c r="H516" i="187"/>
  <c r="I515" i="187"/>
  <c r="H515" i="187"/>
  <c r="I514" i="187"/>
  <c r="H514" i="187"/>
  <c r="I513" i="187"/>
  <c r="H513" i="187"/>
  <c r="I512" i="187"/>
  <c r="H512" i="187"/>
  <c r="I511" i="187"/>
  <c r="H511" i="187"/>
  <c r="I510" i="187"/>
  <c r="H510" i="187"/>
  <c r="I509" i="187"/>
  <c r="H509" i="187"/>
  <c r="I508" i="187"/>
  <c r="H508" i="187"/>
  <c r="I507" i="187"/>
  <c r="H507" i="187"/>
  <c r="I506" i="187"/>
  <c r="H506" i="187"/>
  <c r="I505" i="187"/>
  <c r="H505" i="187"/>
  <c r="I504" i="187"/>
  <c r="H504" i="187"/>
  <c r="I503" i="187"/>
  <c r="H503" i="187"/>
  <c r="I502" i="187"/>
  <c r="H502" i="187"/>
  <c r="I501" i="187"/>
  <c r="H501" i="187"/>
  <c r="I500" i="187"/>
  <c r="H500" i="187"/>
  <c r="I499" i="187"/>
  <c r="H499" i="187"/>
  <c r="I498" i="187"/>
  <c r="H498" i="187"/>
  <c r="I497" i="187"/>
  <c r="H497" i="187"/>
  <c r="I496" i="187"/>
  <c r="H496" i="187"/>
  <c r="I495" i="187"/>
  <c r="H495" i="187"/>
  <c r="I494" i="187"/>
  <c r="H494" i="187"/>
  <c r="I493" i="187"/>
  <c r="H493" i="187"/>
  <c r="I492" i="187"/>
  <c r="H492" i="187"/>
  <c r="I491" i="187"/>
  <c r="H491" i="187"/>
  <c r="I490" i="187"/>
  <c r="H490" i="187"/>
  <c r="I489" i="187"/>
  <c r="H489" i="187"/>
  <c r="I488" i="187"/>
  <c r="H488" i="187"/>
  <c r="I487" i="187"/>
  <c r="H487" i="187"/>
  <c r="I486" i="187"/>
  <c r="H486" i="187"/>
  <c r="I485" i="187"/>
  <c r="H485" i="187"/>
  <c r="I484" i="187"/>
  <c r="H484" i="187"/>
  <c r="I483" i="187"/>
  <c r="H483" i="187"/>
  <c r="I482" i="187"/>
  <c r="H482" i="187"/>
  <c r="I481" i="187"/>
  <c r="H481" i="187"/>
  <c r="I480" i="187"/>
  <c r="H480" i="187"/>
  <c r="I479" i="187"/>
  <c r="H479" i="187"/>
  <c r="I478" i="187"/>
  <c r="H478" i="187"/>
  <c r="I477" i="187"/>
  <c r="H477" i="187"/>
  <c r="I476" i="187"/>
  <c r="H476" i="187"/>
  <c r="I475" i="187"/>
  <c r="H475" i="187"/>
  <c r="I474" i="187"/>
  <c r="H474" i="187"/>
  <c r="I473" i="187"/>
  <c r="H473" i="187"/>
  <c r="I472" i="187"/>
  <c r="H472" i="187"/>
  <c r="I471" i="187"/>
  <c r="H471" i="187"/>
  <c r="I470" i="187"/>
  <c r="H470" i="187"/>
  <c r="I469" i="187"/>
  <c r="H469" i="187"/>
  <c r="I468" i="187"/>
  <c r="H468" i="187"/>
  <c r="I467" i="187"/>
  <c r="H467" i="187"/>
  <c r="I466" i="187"/>
  <c r="H466" i="187"/>
  <c r="I465" i="187"/>
  <c r="H465" i="187"/>
  <c r="I464" i="187"/>
  <c r="H464" i="187"/>
  <c r="I463" i="187"/>
  <c r="H463" i="187"/>
  <c r="I462" i="187"/>
  <c r="H462" i="187"/>
  <c r="I461" i="187"/>
  <c r="H461" i="187"/>
  <c r="I460" i="187"/>
  <c r="H460" i="187"/>
  <c r="I459" i="187"/>
  <c r="H459" i="187"/>
  <c r="I458" i="187"/>
  <c r="H458" i="187"/>
  <c r="I457" i="187"/>
  <c r="H457" i="187"/>
  <c r="I456" i="187"/>
  <c r="H456" i="187"/>
  <c r="I455" i="187"/>
  <c r="H455" i="187"/>
  <c r="I454" i="187"/>
  <c r="H454" i="187"/>
  <c r="I453" i="187"/>
  <c r="H453" i="187"/>
  <c r="I452" i="187"/>
  <c r="H452" i="187"/>
  <c r="I451" i="187"/>
  <c r="H451" i="187"/>
  <c r="I450" i="187"/>
  <c r="H450" i="187"/>
  <c r="I449" i="187"/>
  <c r="H449" i="187"/>
  <c r="I448" i="187"/>
  <c r="H448" i="187"/>
  <c r="I447" i="187"/>
  <c r="H447" i="187"/>
  <c r="I446" i="187"/>
  <c r="H446" i="187"/>
  <c r="I445" i="187"/>
  <c r="H445" i="187"/>
  <c r="I444" i="187"/>
  <c r="H444" i="187"/>
  <c r="I443" i="187"/>
  <c r="H443" i="187"/>
  <c r="I442" i="187"/>
  <c r="H442" i="187"/>
  <c r="I441" i="187"/>
  <c r="H441" i="187"/>
  <c r="I440" i="187"/>
  <c r="H440" i="187"/>
  <c r="I439" i="187"/>
  <c r="H439" i="187"/>
  <c r="I438" i="187"/>
  <c r="H438" i="187"/>
  <c r="I437" i="187"/>
  <c r="H437" i="187"/>
  <c r="I436" i="187"/>
  <c r="H436" i="187"/>
  <c r="I435" i="187"/>
  <c r="H435" i="187"/>
  <c r="I434" i="187"/>
  <c r="H434" i="187"/>
  <c r="I433" i="187"/>
  <c r="H433" i="187"/>
  <c r="I432" i="187"/>
  <c r="H432" i="187"/>
  <c r="I431" i="187"/>
  <c r="H431" i="187"/>
  <c r="I430" i="187"/>
  <c r="H430" i="187"/>
  <c r="I429" i="187"/>
  <c r="H429" i="187"/>
  <c r="I428" i="187"/>
  <c r="H428" i="187"/>
  <c r="I427" i="187"/>
  <c r="H427" i="187"/>
  <c r="I426" i="187"/>
  <c r="H426" i="187"/>
  <c r="I425" i="187"/>
  <c r="H425" i="187"/>
  <c r="I424" i="187"/>
  <c r="H424" i="187"/>
  <c r="I423" i="187"/>
  <c r="H423" i="187"/>
  <c r="I422" i="187"/>
  <c r="H422" i="187"/>
  <c r="I421" i="187"/>
  <c r="H421" i="187"/>
  <c r="I420" i="187"/>
  <c r="H420" i="187"/>
  <c r="I419" i="187"/>
  <c r="H419" i="187"/>
  <c r="I418" i="187"/>
  <c r="H418" i="187"/>
  <c r="I417" i="187"/>
  <c r="H417" i="187"/>
  <c r="I416" i="187"/>
  <c r="H416" i="187"/>
  <c r="I415" i="187"/>
  <c r="H415" i="187"/>
  <c r="I414" i="187"/>
  <c r="H414" i="187"/>
  <c r="I413" i="187"/>
  <c r="H413" i="187"/>
  <c r="I412" i="187"/>
  <c r="H412" i="187"/>
  <c r="I411" i="187"/>
  <c r="H411" i="187"/>
  <c r="I410" i="187"/>
  <c r="H410" i="187"/>
  <c r="I409" i="187"/>
  <c r="H409" i="187"/>
  <c r="I408" i="187"/>
  <c r="H408" i="187"/>
  <c r="I407" i="187"/>
  <c r="H407" i="187"/>
  <c r="I406" i="187"/>
  <c r="H406" i="187"/>
  <c r="I405" i="187"/>
  <c r="H405" i="187"/>
  <c r="I404" i="187"/>
  <c r="H404" i="187"/>
  <c r="I403" i="187"/>
  <c r="H403" i="187"/>
  <c r="I402" i="187"/>
  <c r="H402" i="187"/>
  <c r="I401" i="187"/>
  <c r="H401" i="187"/>
  <c r="I400" i="187"/>
  <c r="H400" i="187"/>
  <c r="I399" i="187"/>
  <c r="H399" i="187"/>
  <c r="I398" i="187"/>
  <c r="H398" i="187"/>
  <c r="I397" i="187"/>
  <c r="H397" i="187"/>
  <c r="I396" i="187"/>
  <c r="H396" i="187"/>
  <c r="I395" i="187"/>
  <c r="H395" i="187"/>
  <c r="I394" i="187"/>
  <c r="H394" i="187"/>
  <c r="I393" i="187"/>
  <c r="H393" i="187"/>
  <c r="I392" i="187"/>
  <c r="H392" i="187"/>
  <c r="I391" i="187"/>
  <c r="H391" i="187"/>
  <c r="I390" i="187"/>
  <c r="H390" i="187"/>
  <c r="I389" i="187"/>
  <c r="H389" i="187"/>
  <c r="I388" i="187"/>
  <c r="H388" i="187"/>
  <c r="I387" i="187"/>
  <c r="H387" i="187"/>
  <c r="I386" i="187"/>
  <c r="H386" i="187"/>
  <c r="I385" i="187"/>
  <c r="H385" i="187"/>
  <c r="I384" i="187"/>
  <c r="H384" i="187"/>
  <c r="I383" i="187"/>
  <c r="H383" i="187"/>
  <c r="I382" i="187"/>
  <c r="H382" i="187"/>
  <c r="I381" i="187"/>
  <c r="H381" i="187"/>
  <c r="I380" i="187"/>
  <c r="H380" i="187"/>
  <c r="I379" i="187"/>
  <c r="H379" i="187"/>
  <c r="I378" i="187"/>
  <c r="H378" i="187"/>
  <c r="I377" i="187"/>
  <c r="H377" i="187"/>
  <c r="I376" i="187"/>
  <c r="H376" i="187"/>
  <c r="I375" i="187"/>
  <c r="H375" i="187"/>
  <c r="I374" i="187"/>
  <c r="H374" i="187"/>
  <c r="I373" i="187"/>
  <c r="H373" i="187"/>
  <c r="I372" i="187"/>
  <c r="H372" i="187"/>
  <c r="I371" i="187"/>
  <c r="H371" i="187"/>
  <c r="I370" i="187"/>
  <c r="H370" i="187"/>
  <c r="I369" i="187"/>
  <c r="H369" i="187"/>
  <c r="I368" i="187"/>
  <c r="H368" i="187"/>
  <c r="I367" i="187"/>
  <c r="H367" i="187"/>
  <c r="I366" i="187"/>
  <c r="H366" i="187"/>
  <c r="I365" i="187"/>
  <c r="H365" i="187"/>
  <c r="I364" i="187"/>
  <c r="H364" i="187"/>
  <c r="I363" i="187"/>
  <c r="H363" i="187"/>
  <c r="I362" i="187"/>
  <c r="H362" i="187"/>
  <c r="I361" i="187"/>
  <c r="H361" i="187"/>
  <c r="I360" i="187"/>
  <c r="H360" i="187"/>
  <c r="I359" i="187"/>
  <c r="H359" i="187"/>
  <c r="I358" i="187"/>
  <c r="H358" i="187"/>
  <c r="I357" i="187"/>
  <c r="H357" i="187"/>
  <c r="I356" i="187"/>
  <c r="H356" i="187"/>
  <c r="I355" i="187"/>
  <c r="H355" i="187"/>
  <c r="I354" i="187"/>
  <c r="H354" i="187"/>
  <c r="I353" i="187"/>
  <c r="H353" i="187"/>
  <c r="I352" i="187"/>
  <c r="H352" i="187"/>
  <c r="I351" i="187"/>
  <c r="H351" i="187"/>
  <c r="I350" i="187"/>
  <c r="H350" i="187"/>
  <c r="I349" i="187"/>
  <c r="H349" i="187"/>
  <c r="I348" i="187"/>
  <c r="H348" i="187"/>
  <c r="I347" i="187"/>
  <c r="H347" i="187"/>
  <c r="I346" i="187"/>
  <c r="H346" i="187"/>
  <c r="I345" i="187"/>
  <c r="H345" i="187"/>
  <c r="I344" i="187"/>
  <c r="H344" i="187"/>
  <c r="I343" i="187"/>
  <c r="H343" i="187"/>
  <c r="I342" i="187"/>
  <c r="H342" i="187"/>
  <c r="I341" i="187"/>
  <c r="H341" i="187"/>
  <c r="I340" i="187"/>
  <c r="H340" i="187"/>
  <c r="I339" i="187"/>
  <c r="H339" i="187"/>
  <c r="I338" i="187"/>
  <c r="H338" i="187"/>
  <c r="I337" i="187"/>
  <c r="H337" i="187"/>
  <c r="I336" i="187"/>
  <c r="H336" i="187"/>
  <c r="I335" i="187"/>
  <c r="H335" i="187"/>
  <c r="I334" i="187"/>
  <c r="H334" i="187"/>
  <c r="I333" i="187"/>
  <c r="H333" i="187"/>
  <c r="I332" i="187"/>
  <c r="H332" i="187"/>
  <c r="I331" i="187"/>
  <c r="H331" i="187"/>
  <c r="I330" i="187"/>
  <c r="H330" i="187"/>
  <c r="I329" i="187"/>
  <c r="H329" i="187"/>
  <c r="I328" i="187"/>
  <c r="H328" i="187"/>
  <c r="I327" i="187"/>
  <c r="H327" i="187"/>
  <c r="I326" i="187"/>
  <c r="H326" i="187"/>
  <c r="I325" i="187"/>
  <c r="H325" i="187"/>
  <c r="I324" i="187"/>
  <c r="H324" i="187"/>
  <c r="I323" i="187"/>
  <c r="H323" i="187"/>
  <c r="I322" i="187"/>
  <c r="H322" i="187"/>
  <c r="I321" i="187"/>
  <c r="H321" i="187"/>
  <c r="I320" i="187"/>
  <c r="H320" i="187"/>
  <c r="I319" i="187"/>
  <c r="H319" i="187"/>
  <c r="I318" i="187"/>
  <c r="H318" i="187"/>
  <c r="I317" i="187"/>
  <c r="H317" i="187"/>
  <c r="I316" i="187"/>
  <c r="H316" i="187"/>
  <c r="I315" i="187"/>
  <c r="H315" i="187"/>
  <c r="I314" i="187"/>
  <c r="H314" i="187"/>
  <c r="I313" i="187"/>
  <c r="H313" i="187"/>
  <c r="I312" i="187"/>
  <c r="H312" i="187"/>
  <c r="I311" i="187"/>
  <c r="H311" i="187"/>
  <c r="I310" i="187"/>
  <c r="H310" i="187"/>
  <c r="I309" i="187"/>
  <c r="H309" i="187"/>
  <c r="I308" i="187"/>
  <c r="H308" i="187"/>
  <c r="I307" i="187"/>
  <c r="H307" i="187"/>
  <c r="I306" i="187"/>
  <c r="H306" i="187"/>
  <c r="I305" i="187"/>
  <c r="H305" i="187"/>
  <c r="I304" i="187"/>
  <c r="H304" i="187"/>
  <c r="I303" i="187"/>
  <c r="H303" i="187"/>
  <c r="I302" i="187"/>
  <c r="H302" i="187"/>
  <c r="I301" i="187"/>
  <c r="H301" i="187"/>
  <c r="I300" i="187"/>
  <c r="H300" i="187"/>
  <c r="I299" i="187"/>
  <c r="H299" i="187"/>
  <c r="I298" i="187"/>
  <c r="H298" i="187"/>
  <c r="I297" i="187"/>
  <c r="H297" i="187"/>
  <c r="I296" i="187"/>
  <c r="H296" i="187"/>
  <c r="I295" i="187"/>
  <c r="H295" i="187"/>
  <c r="I294" i="187"/>
  <c r="H294" i="187"/>
  <c r="I293" i="187"/>
  <c r="H293" i="187"/>
  <c r="I292" i="187"/>
  <c r="H292" i="187"/>
  <c r="I291" i="187"/>
  <c r="H291" i="187"/>
  <c r="I290" i="187"/>
  <c r="H290" i="187"/>
  <c r="I289" i="187"/>
  <c r="H289" i="187"/>
  <c r="I288" i="187"/>
  <c r="H288" i="187"/>
  <c r="I287" i="187"/>
  <c r="H287" i="187"/>
  <c r="I286" i="187"/>
  <c r="H286" i="187"/>
  <c r="I285" i="187"/>
  <c r="H285" i="187"/>
  <c r="I284" i="187"/>
  <c r="H284" i="187"/>
  <c r="I283" i="187"/>
  <c r="H283" i="187"/>
  <c r="I282" i="187"/>
  <c r="H282" i="187"/>
  <c r="I281" i="187"/>
  <c r="H281" i="187"/>
  <c r="I280" i="187"/>
  <c r="H280" i="187"/>
  <c r="I279" i="187"/>
  <c r="H279" i="187"/>
  <c r="I278" i="187"/>
  <c r="H278" i="187"/>
  <c r="I277" i="187"/>
  <c r="H277" i="187"/>
  <c r="I276" i="187"/>
  <c r="H276" i="187"/>
  <c r="I275" i="187"/>
  <c r="H275" i="187"/>
  <c r="I274" i="187"/>
  <c r="H274" i="187"/>
  <c r="I273" i="187"/>
  <c r="H273" i="187"/>
  <c r="I272" i="187"/>
  <c r="H272" i="187"/>
  <c r="I271" i="187"/>
  <c r="H271" i="187"/>
  <c r="I270" i="187"/>
  <c r="H270" i="187"/>
  <c r="I269" i="187"/>
  <c r="H269" i="187"/>
  <c r="I268" i="187"/>
  <c r="H268" i="187"/>
  <c r="I267" i="187"/>
  <c r="H267" i="187"/>
  <c r="I266" i="187"/>
  <c r="H266" i="187"/>
  <c r="I265" i="187"/>
  <c r="H265" i="187"/>
  <c r="I264" i="187"/>
  <c r="H264" i="187"/>
  <c r="I263" i="187"/>
  <c r="H263" i="187"/>
  <c r="I262" i="187"/>
  <c r="H262" i="187"/>
  <c r="I261" i="187"/>
  <c r="H261" i="187"/>
  <c r="I260" i="187"/>
  <c r="H260" i="187"/>
  <c r="I259" i="187"/>
  <c r="H259" i="187"/>
  <c r="I258" i="187"/>
  <c r="H258" i="187"/>
  <c r="I257" i="187"/>
  <c r="H257" i="187"/>
  <c r="I256" i="187"/>
  <c r="H256" i="187"/>
  <c r="I255" i="187"/>
  <c r="H255" i="187"/>
  <c r="I254" i="187"/>
  <c r="H254" i="187"/>
  <c r="I253" i="187"/>
  <c r="H253" i="187"/>
  <c r="I252" i="187"/>
  <c r="H252" i="187"/>
  <c r="I251" i="187"/>
  <c r="H251" i="187"/>
  <c r="I250" i="187"/>
  <c r="H250" i="187"/>
  <c r="I249" i="187"/>
  <c r="H249" i="187"/>
  <c r="I248" i="187"/>
  <c r="H248" i="187"/>
  <c r="I247" i="187"/>
  <c r="H247" i="187"/>
  <c r="I246" i="187"/>
  <c r="H246" i="187"/>
  <c r="I245" i="187"/>
  <c r="H245" i="187"/>
  <c r="I244" i="187"/>
  <c r="H244" i="187"/>
  <c r="I243" i="187"/>
  <c r="H243" i="187"/>
  <c r="I242" i="187"/>
  <c r="H242" i="187"/>
  <c r="I241" i="187"/>
  <c r="H241" i="187"/>
  <c r="I240" i="187"/>
  <c r="H240" i="187"/>
  <c r="I239" i="187"/>
  <c r="H239" i="187"/>
  <c r="I238" i="187"/>
  <c r="H238" i="187"/>
  <c r="I237" i="187"/>
  <c r="H237" i="187"/>
  <c r="I236" i="187"/>
  <c r="H236" i="187"/>
  <c r="I235" i="187"/>
  <c r="H235" i="187"/>
  <c r="I234" i="187"/>
  <c r="H234" i="187"/>
  <c r="I233" i="187"/>
  <c r="H233" i="187"/>
  <c r="I232" i="187"/>
  <c r="H232" i="187"/>
  <c r="I231" i="187"/>
  <c r="H231" i="187"/>
  <c r="I230" i="187"/>
  <c r="H230" i="187"/>
  <c r="I229" i="187"/>
  <c r="H229" i="187"/>
  <c r="I228" i="187"/>
  <c r="H228" i="187"/>
  <c r="I227" i="187"/>
  <c r="H227" i="187"/>
  <c r="I226" i="187"/>
  <c r="H226" i="187"/>
  <c r="I225" i="187"/>
  <c r="H225" i="187"/>
  <c r="I224" i="187"/>
  <c r="H224" i="187"/>
  <c r="I223" i="187"/>
  <c r="H223" i="187"/>
  <c r="I222" i="187"/>
  <c r="H222" i="187"/>
  <c r="I221" i="187"/>
  <c r="H221" i="187"/>
  <c r="I220" i="187"/>
  <c r="H220" i="187"/>
  <c r="I219" i="187"/>
  <c r="H219" i="187"/>
  <c r="I218" i="187"/>
  <c r="H218" i="187"/>
  <c r="I217" i="187"/>
  <c r="H217" i="187"/>
  <c r="I216" i="187"/>
  <c r="H216" i="187"/>
  <c r="I215" i="187"/>
  <c r="H215" i="187"/>
  <c r="I214" i="187"/>
  <c r="H214" i="187"/>
  <c r="I213" i="187"/>
  <c r="H213" i="187"/>
  <c r="I212" i="187"/>
  <c r="H212" i="187"/>
  <c r="I211" i="187"/>
  <c r="H211" i="187"/>
  <c r="I210" i="187"/>
  <c r="H210" i="187"/>
  <c r="I209" i="187"/>
  <c r="H209" i="187"/>
  <c r="I208" i="187"/>
  <c r="H208" i="187"/>
  <c r="I207" i="187"/>
  <c r="H207" i="187"/>
  <c r="I206" i="187"/>
  <c r="H206" i="187"/>
  <c r="I205" i="187"/>
  <c r="H205" i="187"/>
  <c r="I204" i="187"/>
  <c r="H204" i="187"/>
  <c r="I203" i="187"/>
  <c r="H203" i="187"/>
  <c r="I202" i="187"/>
  <c r="H202" i="187"/>
  <c r="I201" i="187"/>
  <c r="H201" i="187"/>
  <c r="I200" i="187"/>
  <c r="H200" i="187"/>
  <c r="I199" i="187"/>
  <c r="H199" i="187"/>
  <c r="I198" i="187"/>
  <c r="H198" i="187"/>
  <c r="I197" i="187"/>
  <c r="H197" i="187"/>
  <c r="I196" i="187"/>
  <c r="H196" i="187"/>
  <c r="I195" i="187"/>
  <c r="H195" i="187"/>
  <c r="I194" i="187"/>
  <c r="H194" i="187"/>
  <c r="I193" i="187"/>
  <c r="H193" i="187"/>
  <c r="I192" i="187"/>
  <c r="H192" i="187"/>
  <c r="I191" i="187"/>
  <c r="H191" i="187"/>
  <c r="I190" i="187"/>
  <c r="H190" i="187"/>
  <c r="I189" i="187"/>
  <c r="H189" i="187"/>
  <c r="I188" i="187"/>
  <c r="H188" i="187"/>
  <c r="I187" i="187"/>
  <c r="H187" i="187"/>
  <c r="I186" i="187"/>
  <c r="H186" i="187"/>
  <c r="I185" i="187"/>
  <c r="H185" i="187"/>
  <c r="I184" i="187"/>
  <c r="H184" i="187"/>
  <c r="I183" i="187"/>
  <c r="H183" i="187"/>
  <c r="I182" i="187"/>
  <c r="H182" i="187"/>
  <c r="I181" i="187"/>
  <c r="H181" i="187"/>
  <c r="I180" i="187"/>
  <c r="H180" i="187"/>
  <c r="I179" i="187"/>
  <c r="H179" i="187"/>
  <c r="I178" i="187"/>
  <c r="H178" i="187"/>
  <c r="I177" i="187"/>
  <c r="H177" i="187"/>
  <c r="I176" i="187"/>
  <c r="H176" i="187"/>
  <c r="I175" i="187"/>
  <c r="H175" i="187"/>
  <c r="I174" i="187"/>
  <c r="H174" i="187"/>
  <c r="I173" i="187"/>
  <c r="H173" i="187"/>
  <c r="I172" i="187"/>
  <c r="H172" i="187"/>
  <c r="I171" i="187"/>
  <c r="H171" i="187"/>
  <c r="I170" i="187"/>
  <c r="H170" i="187"/>
  <c r="I169" i="187"/>
  <c r="H169" i="187"/>
  <c r="I168" i="187"/>
  <c r="H168" i="187"/>
  <c r="I167" i="187"/>
  <c r="H167" i="187"/>
  <c r="I166" i="187"/>
  <c r="H166" i="187"/>
  <c r="I165" i="187"/>
  <c r="H165" i="187"/>
  <c r="I164" i="187"/>
  <c r="H164" i="187"/>
  <c r="I163" i="187"/>
  <c r="H163" i="187"/>
  <c r="I162" i="187"/>
  <c r="H162" i="187"/>
  <c r="I161" i="187"/>
  <c r="H161" i="187"/>
  <c r="I160" i="187"/>
  <c r="H160" i="187"/>
  <c r="I159" i="187"/>
  <c r="H159" i="187"/>
  <c r="I158" i="187"/>
  <c r="H158" i="187"/>
  <c r="I157" i="187"/>
  <c r="H157" i="187"/>
  <c r="I156" i="187"/>
  <c r="H156" i="187"/>
  <c r="I155" i="187"/>
  <c r="H155" i="187"/>
  <c r="I154" i="187"/>
  <c r="H154" i="187"/>
  <c r="I153" i="187"/>
  <c r="H153" i="187"/>
  <c r="I152" i="187"/>
  <c r="H152" i="187"/>
  <c r="I151" i="187"/>
  <c r="H151" i="187"/>
  <c r="I150" i="187"/>
  <c r="H150" i="187"/>
  <c r="I149" i="187"/>
  <c r="H149" i="187"/>
  <c r="I148" i="187"/>
  <c r="H148" i="187"/>
  <c r="I147" i="187"/>
  <c r="H147" i="187"/>
  <c r="I146" i="187"/>
  <c r="H146" i="187"/>
  <c r="I145" i="187"/>
  <c r="H145" i="187"/>
  <c r="I144" i="187"/>
  <c r="H144" i="187"/>
  <c r="I143" i="187"/>
  <c r="H143" i="187"/>
  <c r="I142" i="187"/>
  <c r="H142" i="187"/>
  <c r="I141" i="187"/>
  <c r="H141" i="187"/>
  <c r="I140" i="187"/>
  <c r="H140" i="187"/>
  <c r="I139" i="187"/>
  <c r="H139" i="187"/>
  <c r="I138" i="187"/>
  <c r="H138" i="187"/>
  <c r="I137" i="187"/>
  <c r="H137" i="187"/>
  <c r="I136" i="187"/>
  <c r="H136" i="187"/>
  <c r="I135" i="187"/>
  <c r="H135" i="187"/>
  <c r="I134" i="187"/>
  <c r="H134" i="187"/>
  <c r="I133" i="187"/>
  <c r="H133" i="187"/>
  <c r="I132" i="187"/>
  <c r="H132" i="187"/>
  <c r="I131" i="187"/>
  <c r="H131" i="187"/>
  <c r="I130" i="187"/>
  <c r="H130" i="187"/>
  <c r="I129" i="187"/>
  <c r="H129" i="187"/>
  <c r="I128" i="187"/>
  <c r="H128" i="187"/>
  <c r="I127" i="187"/>
  <c r="H127" i="187"/>
  <c r="I126" i="187"/>
  <c r="H126" i="187"/>
  <c r="I125" i="187"/>
  <c r="H125" i="187"/>
  <c r="I124" i="187"/>
  <c r="H124" i="187"/>
  <c r="I123" i="187"/>
  <c r="H123" i="187"/>
  <c r="I122" i="187"/>
  <c r="H122" i="187"/>
  <c r="I121" i="187"/>
  <c r="H121" i="187"/>
  <c r="I120" i="187"/>
  <c r="H120" i="187"/>
  <c r="I119" i="187"/>
  <c r="H119" i="187"/>
  <c r="I118" i="187"/>
  <c r="H118" i="187"/>
  <c r="I117" i="187"/>
  <c r="H117" i="187"/>
  <c r="I116" i="187"/>
  <c r="H116" i="187"/>
  <c r="I115" i="187"/>
  <c r="H115" i="187"/>
  <c r="I114" i="187"/>
  <c r="H114" i="187"/>
  <c r="I113" i="187"/>
  <c r="H113" i="187"/>
  <c r="I112" i="187"/>
  <c r="H112" i="187"/>
  <c r="I111" i="187"/>
  <c r="H111" i="187"/>
  <c r="I110" i="187"/>
  <c r="H110" i="187"/>
  <c r="I109" i="187"/>
  <c r="H109" i="187"/>
  <c r="I108" i="187"/>
  <c r="H108" i="187"/>
  <c r="I107" i="187"/>
  <c r="H107" i="187"/>
  <c r="I106" i="187"/>
  <c r="H106" i="187"/>
  <c r="I105" i="187"/>
  <c r="H105" i="187"/>
  <c r="I104" i="187"/>
  <c r="H104" i="187"/>
  <c r="I103" i="187"/>
  <c r="H103" i="187"/>
  <c r="I102" i="187"/>
  <c r="H102" i="187"/>
  <c r="I101" i="187"/>
  <c r="H101" i="187"/>
  <c r="I100" i="187"/>
  <c r="H100" i="187"/>
  <c r="I99" i="187"/>
  <c r="H99" i="187"/>
  <c r="I98" i="187"/>
  <c r="H98" i="187"/>
  <c r="I97" i="187"/>
  <c r="H97" i="187"/>
  <c r="I96" i="187"/>
  <c r="H96" i="187"/>
  <c r="I95" i="187"/>
  <c r="H95" i="187"/>
  <c r="I94" i="187"/>
  <c r="H94" i="187"/>
  <c r="I93" i="187"/>
  <c r="H93" i="187"/>
  <c r="I92" i="187"/>
  <c r="H92" i="187"/>
  <c r="I91" i="187"/>
  <c r="H91" i="187"/>
  <c r="I90" i="187"/>
  <c r="H90" i="187"/>
  <c r="I89" i="187"/>
  <c r="H89" i="187"/>
  <c r="I88" i="187"/>
  <c r="H88" i="187"/>
  <c r="I87" i="187"/>
  <c r="H87" i="187"/>
  <c r="I86" i="187"/>
  <c r="H86" i="187"/>
  <c r="I85" i="187"/>
  <c r="H85" i="187"/>
  <c r="I84" i="187"/>
  <c r="H84" i="187"/>
  <c r="I83" i="187"/>
  <c r="H83" i="187"/>
  <c r="I82" i="187"/>
  <c r="H82" i="187"/>
  <c r="I81" i="187"/>
  <c r="H81" i="187"/>
  <c r="I80" i="187"/>
  <c r="H80" i="187"/>
  <c r="I79" i="187"/>
  <c r="H79" i="187"/>
  <c r="I78" i="187"/>
  <c r="H78" i="187"/>
  <c r="I77" i="187"/>
  <c r="H77" i="187"/>
  <c r="I76" i="187"/>
  <c r="H76" i="187"/>
  <c r="I75" i="187"/>
  <c r="H75" i="187"/>
  <c r="I74" i="187"/>
  <c r="H74" i="187"/>
  <c r="I73" i="187"/>
  <c r="H73" i="187"/>
  <c r="I72" i="187"/>
  <c r="H72" i="187"/>
  <c r="I71" i="187"/>
  <c r="H71" i="187"/>
  <c r="I70" i="187"/>
  <c r="H70" i="187"/>
  <c r="I69" i="187"/>
  <c r="H69" i="187"/>
  <c r="I68" i="187"/>
  <c r="H68" i="187"/>
  <c r="I67" i="187"/>
  <c r="H67" i="187"/>
  <c r="I66" i="187"/>
  <c r="H66" i="187"/>
  <c r="I65" i="187"/>
  <c r="H65" i="187"/>
  <c r="I64" i="187"/>
  <c r="H64" i="187"/>
  <c r="I63" i="187"/>
  <c r="H63" i="187"/>
  <c r="I62" i="187"/>
  <c r="H62" i="187"/>
  <c r="I61" i="187"/>
  <c r="H61" i="187"/>
  <c r="I60" i="187"/>
  <c r="H60" i="187"/>
  <c r="I59" i="187"/>
  <c r="H59" i="187"/>
  <c r="I58" i="187"/>
  <c r="H58" i="187"/>
  <c r="I57" i="187"/>
  <c r="H57" i="187"/>
  <c r="I56" i="187"/>
  <c r="H56" i="187"/>
  <c r="I55" i="187"/>
  <c r="H55" i="187"/>
  <c r="I54" i="187"/>
  <c r="H54" i="187"/>
  <c r="I53" i="187"/>
  <c r="H53" i="187"/>
  <c r="I52" i="187"/>
  <c r="H52" i="187"/>
  <c r="I51" i="187"/>
  <c r="H51" i="187"/>
  <c r="I50" i="187"/>
  <c r="H50" i="187"/>
  <c r="I49" i="187"/>
  <c r="H49" i="187"/>
  <c r="I48" i="187"/>
  <c r="H48" i="187"/>
  <c r="I47" i="187"/>
  <c r="H47" i="187"/>
  <c r="I46" i="187"/>
  <c r="H46" i="187"/>
  <c r="I45" i="187"/>
  <c r="H45" i="187"/>
  <c r="I44" i="187"/>
  <c r="H44" i="187"/>
  <c r="I43" i="187"/>
  <c r="H43" i="187"/>
  <c r="I42" i="187"/>
  <c r="H42" i="187"/>
  <c r="I41" i="187"/>
  <c r="H41" i="187"/>
  <c r="I40" i="187"/>
  <c r="H40" i="187"/>
  <c r="I39" i="187"/>
  <c r="H39" i="187"/>
  <c r="I38" i="187"/>
  <c r="H38" i="187"/>
  <c r="I37" i="187"/>
  <c r="H37" i="187"/>
  <c r="I36" i="187"/>
  <c r="H36" i="187"/>
  <c r="I35" i="187"/>
  <c r="H35" i="187"/>
  <c r="I34" i="187"/>
  <c r="H34" i="187"/>
  <c r="I33" i="187"/>
  <c r="H33" i="187"/>
  <c r="I32" i="187"/>
  <c r="H32" i="187"/>
  <c r="I31" i="187"/>
  <c r="H31" i="187"/>
  <c r="I30" i="187"/>
  <c r="H30" i="187"/>
  <c r="I29" i="187"/>
  <c r="H29" i="187"/>
  <c r="I28" i="187"/>
  <c r="H28" i="187"/>
  <c r="I27" i="187"/>
  <c r="H27" i="187"/>
  <c r="I26" i="187"/>
  <c r="H26" i="187"/>
  <c r="I25" i="187"/>
  <c r="H25" i="187"/>
  <c r="I24" i="187"/>
  <c r="H24" i="187"/>
  <c r="I23" i="187"/>
  <c r="H23" i="187"/>
  <c r="I22" i="187"/>
  <c r="H22" i="187"/>
  <c r="I21" i="187"/>
  <c r="H21" i="187"/>
  <c r="I20" i="187"/>
  <c r="H20" i="187"/>
  <c r="I19" i="187"/>
  <c r="H19" i="187"/>
  <c r="I18" i="187"/>
  <c r="H18" i="187"/>
  <c r="I17" i="187"/>
  <c r="H17" i="187"/>
  <c r="I16" i="187"/>
  <c r="H16" i="187"/>
  <c r="I15" i="187"/>
  <c r="H15" i="187"/>
  <c r="I14" i="187"/>
  <c r="H14" i="187"/>
  <c r="I13" i="187"/>
  <c r="H13" i="187"/>
  <c r="I12" i="187"/>
  <c r="H12" i="187"/>
  <c r="I11" i="187"/>
  <c r="H11" i="187"/>
  <c r="I10" i="187"/>
  <c r="H10" i="187"/>
  <c r="I9" i="187"/>
  <c r="H9" i="187"/>
  <c r="I8" i="187"/>
  <c r="H8" i="187"/>
  <c r="I7" i="187"/>
  <c r="H7" i="187"/>
  <c r="I22" i="75"/>
  <c r="I18" i="75"/>
  <c r="G90" i="75"/>
  <c r="H90" i="75"/>
  <c r="G92" i="75"/>
  <c r="H92" i="75"/>
  <c r="G299" i="75"/>
  <c r="H299" i="75"/>
  <c r="G7" i="75"/>
  <c r="H7" i="75"/>
  <c r="G426" i="75"/>
  <c r="H426" i="75"/>
  <c r="G331" i="75"/>
  <c r="H331" i="75"/>
  <c r="G302" i="75"/>
  <c r="H302" i="75"/>
  <c r="G128" i="75"/>
  <c r="H128" i="75"/>
  <c r="G136" i="75"/>
  <c r="H136" i="75"/>
  <c r="G73" i="75"/>
  <c r="H73" i="75"/>
  <c r="G411" i="75"/>
  <c r="H411" i="75"/>
  <c r="G119" i="75"/>
  <c r="H119" i="75"/>
  <c r="G300" i="75"/>
  <c r="H300" i="75"/>
  <c r="G246" i="75"/>
  <c r="H246" i="75"/>
  <c r="G349" i="75"/>
  <c r="H349" i="75"/>
  <c r="G251" i="75"/>
  <c r="H251" i="75"/>
  <c r="G250" i="75"/>
  <c r="H250" i="75"/>
  <c r="G245" i="75"/>
  <c r="H245" i="75"/>
  <c r="G249" i="75"/>
  <c r="H249" i="75"/>
  <c r="G247" i="75"/>
  <c r="H247" i="75"/>
  <c r="G193" i="75"/>
  <c r="H193" i="75"/>
  <c r="G252" i="75"/>
  <c r="H252" i="75"/>
  <c r="G243" i="75"/>
  <c r="H243" i="75"/>
  <c r="G254" i="75"/>
  <c r="H254" i="75"/>
  <c r="G253" i="75"/>
  <c r="H253" i="75"/>
  <c r="G346" i="75"/>
  <c r="H346" i="75"/>
  <c r="G368" i="75"/>
  <c r="H368" i="75"/>
  <c r="G341" i="75"/>
  <c r="H341" i="75"/>
  <c r="G177" i="75"/>
  <c r="H177" i="75"/>
  <c r="G65" i="75"/>
  <c r="H65" i="75"/>
  <c r="G217" i="75"/>
  <c r="H217" i="75"/>
  <c r="G216" i="75"/>
  <c r="H216" i="75"/>
  <c r="G220" i="75"/>
  <c r="H220" i="75"/>
  <c r="G397" i="75"/>
  <c r="H397" i="75"/>
  <c r="G400" i="75"/>
  <c r="H400" i="75"/>
  <c r="G364" i="75"/>
  <c r="H364" i="75"/>
  <c r="G361" i="75"/>
  <c r="H361" i="75"/>
  <c r="G91" i="75"/>
  <c r="H91" i="75"/>
  <c r="G83" i="75"/>
  <c r="H83" i="75"/>
  <c r="G87" i="75"/>
  <c r="H87" i="75"/>
  <c r="G261" i="75"/>
  <c r="H261" i="75"/>
  <c r="G262" i="75"/>
  <c r="H262" i="75"/>
  <c r="G84" i="75"/>
  <c r="H84" i="75"/>
  <c r="G238" i="75"/>
  <c r="H238" i="75"/>
  <c r="G237" i="75"/>
  <c r="H237" i="75"/>
  <c r="G343" i="75"/>
  <c r="H343" i="75"/>
  <c r="G169" i="75"/>
  <c r="H169" i="75"/>
  <c r="G170" i="75"/>
  <c r="H170" i="75"/>
  <c r="G171" i="75"/>
  <c r="H171" i="75"/>
  <c r="G105" i="75"/>
  <c r="H105" i="75"/>
  <c r="G102" i="75"/>
  <c r="H102" i="75"/>
  <c r="G100" i="75"/>
  <c r="H100" i="75"/>
  <c r="G101" i="75"/>
  <c r="H101" i="75"/>
  <c r="G99" i="75"/>
  <c r="H99" i="75"/>
  <c r="G106" i="75"/>
  <c r="H106" i="75"/>
  <c r="G96" i="75"/>
  <c r="H96" i="75"/>
  <c r="G97" i="75"/>
  <c r="H97" i="75"/>
  <c r="G233" i="75"/>
  <c r="H233" i="75"/>
  <c r="G288" i="75"/>
  <c r="H288" i="75"/>
  <c r="G334" i="75"/>
  <c r="H334" i="75"/>
  <c r="G287" i="75"/>
  <c r="H287" i="75"/>
  <c r="G215" i="75"/>
  <c r="H215" i="75"/>
  <c r="G374" i="75"/>
  <c r="H374" i="75"/>
  <c r="G140" i="75"/>
  <c r="H140" i="75"/>
  <c r="G141" i="75"/>
  <c r="H141" i="75"/>
  <c r="G143" i="75"/>
  <c r="H143" i="75"/>
  <c r="G144" i="75"/>
  <c r="H144" i="75"/>
  <c r="G145" i="75"/>
  <c r="H145" i="75"/>
  <c r="G280" i="75"/>
  <c r="H280" i="75"/>
  <c r="G54" i="75"/>
  <c r="H54" i="75"/>
  <c r="G392" i="75"/>
  <c r="H392" i="75"/>
  <c r="G183" i="75"/>
  <c r="H183" i="75"/>
  <c r="G184" i="75"/>
  <c r="H184" i="75"/>
  <c r="G198" i="75"/>
  <c r="H198" i="75"/>
  <c r="G180" i="75"/>
  <c r="H180" i="75"/>
  <c r="G181" i="75"/>
  <c r="H181" i="75"/>
  <c r="G44" i="75"/>
  <c r="H44" i="75"/>
  <c r="G402" i="75"/>
  <c r="H402" i="75"/>
  <c r="G93" i="75"/>
  <c r="H93" i="75"/>
  <c r="G95" i="75"/>
  <c r="H95" i="75"/>
  <c r="G19" i="75"/>
  <c r="H19" i="75"/>
  <c r="G16" i="75"/>
  <c r="H16" i="75"/>
  <c r="G20" i="75"/>
  <c r="H20" i="75"/>
  <c r="G17" i="75"/>
  <c r="H17" i="75"/>
  <c r="G25" i="75"/>
  <c r="H25" i="75"/>
  <c r="G26" i="75"/>
  <c r="H26" i="75"/>
  <c r="G21" i="75"/>
  <c r="H21" i="75"/>
  <c r="G23" i="75"/>
  <c r="H23" i="75"/>
  <c r="G289" i="75"/>
  <c r="H289" i="75"/>
  <c r="G173" i="75"/>
  <c r="H173" i="75"/>
  <c r="G172" i="75"/>
  <c r="H172" i="75"/>
  <c r="G391" i="75"/>
  <c r="H391" i="75"/>
  <c r="G296" i="75"/>
  <c r="H296" i="75"/>
  <c r="G61" i="75"/>
  <c r="H61" i="75"/>
  <c r="G277" i="75"/>
  <c r="H277" i="75"/>
  <c r="G378" i="75"/>
  <c r="H378" i="75"/>
  <c r="G379" i="75"/>
  <c r="H379" i="75"/>
  <c r="G222" i="75"/>
  <c r="H222" i="75"/>
  <c r="G340" i="75"/>
  <c r="H340" i="75"/>
  <c r="G121" i="75"/>
  <c r="H121" i="75"/>
  <c r="G328" i="75"/>
  <c r="H328" i="75"/>
  <c r="G139" i="75"/>
  <c r="H139" i="75"/>
  <c r="G150" i="75"/>
  <c r="H150" i="75"/>
  <c r="G80" i="75"/>
  <c r="H80" i="75"/>
  <c r="G79" i="75"/>
  <c r="H79" i="75"/>
  <c r="G82" i="75"/>
  <c r="H82" i="75"/>
  <c r="G29" i="75"/>
  <c r="H29" i="75"/>
  <c r="G190" i="75"/>
  <c r="H190" i="75"/>
  <c r="G191" i="75"/>
  <c r="H191" i="75"/>
  <c r="G43" i="75"/>
  <c r="H43" i="75"/>
  <c r="G284" i="75"/>
  <c r="H284" i="75"/>
  <c r="G283" i="75"/>
  <c r="H283" i="75"/>
  <c r="G285" i="75"/>
  <c r="H285" i="75"/>
  <c r="G286" i="75"/>
  <c r="H286" i="75"/>
  <c r="G257" i="75"/>
  <c r="H257" i="75"/>
  <c r="G129" i="75"/>
  <c r="H129" i="75"/>
  <c r="G309" i="75"/>
  <c r="H309" i="75"/>
  <c r="G308" i="75"/>
  <c r="H308" i="75"/>
  <c r="G312" i="75"/>
  <c r="H312" i="75"/>
  <c r="G116" i="75"/>
  <c r="H116" i="75"/>
  <c r="G315" i="75"/>
  <c r="H315" i="75"/>
  <c r="G376" i="75"/>
  <c r="H376" i="75"/>
  <c r="G366" i="75"/>
  <c r="H366" i="75"/>
  <c r="G231" i="75"/>
  <c r="H231" i="75"/>
  <c r="G113" i="75"/>
  <c r="H113" i="75"/>
  <c r="G276" i="75"/>
  <c r="H276" i="75"/>
  <c r="G151" i="75"/>
  <c r="H151" i="75"/>
  <c r="G282" i="75"/>
  <c r="H282" i="75"/>
  <c r="G14" i="75"/>
  <c r="H14" i="75"/>
  <c r="G219" i="75"/>
  <c r="H219" i="75"/>
  <c r="G318" i="75"/>
  <c r="H318" i="75"/>
  <c r="G159" i="75"/>
  <c r="H159" i="75"/>
  <c r="G158" i="75"/>
  <c r="H158" i="75"/>
  <c r="G160" i="75"/>
  <c r="H160" i="75"/>
  <c r="G303" i="75"/>
  <c r="H303" i="75"/>
  <c r="G104" i="75"/>
  <c r="H104" i="75"/>
  <c r="G410" i="75"/>
  <c r="H410" i="75"/>
  <c r="G390" i="75"/>
  <c r="H390" i="75"/>
  <c r="G258" i="75"/>
  <c r="H258" i="75"/>
  <c r="G259" i="75"/>
  <c r="H259" i="75"/>
  <c r="G260" i="75"/>
  <c r="H260" i="75"/>
  <c r="G227" i="75"/>
  <c r="H227" i="75"/>
  <c r="G226" i="75"/>
  <c r="H226" i="75"/>
  <c r="G164" i="75"/>
  <c r="H164" i="75"/>
  <c r="G162" i="75"/>
  <c r="H162" i="75"/>
  <c r="G175" i="75"/>
  <c r="H175" i="75"/>
  <c r="G163" i="75"/>
  <c r="H163" i="75"/>
  <c r="G235" i="75"/>
  <c r="H235" i="75"/>
  <c r="G207" i="75"/>
  <c r="H207" i="75"/>
  <c r="G157" i="75"/>
  <c r="H157" i="75"/>
  <c r="G208" i="75"/>
  <c r="H208" i="75"/>
  <c r="G178" i="75"/>
  <c r="H178" i="75"/>
  <c r="G176" i="75"/>
  <c r="H176" i="75"/>
  <c r="G196" i="75"/>
  <c r="H196" i="75"/>
  <c r="G179" i="75"/>
  <c r="H179" i="75"/>
  <c r="G168" i="75"/>
  <c r="H168" i="75"/>
  <c r="G424" i="75"/>
  <c r="H424" i="75"/>
  <c r="G377" i="75"/>
  <c r="H377" i="75"/>
  <c r="G375" i="75"/>
  <c r="H375" i="75"/>
  <c r="G423" i="75"/>
  <c r="H423" i="75"/>
  <c r="G48" i="75"/>
  <c r="H48" i="75"/>
  <c r="G47" i="75"/>
  <c r="H47" i="75"/>
  <c r="G138" i="75"/>
  <c r="H138" i="75"/>
  <c r="G371" i="75"/>
  <c r="H371" i="75"/>
  <c r="G401" i="75"/>
  <c r="H401" i="75"/>
  <c r="G186" i="75"/>
  <c r="H186" i="75"/>
  <c r="G187" i="75"/>
  <c r="H187" i="75"/>
  <c r="G298" i="75"/>
  <c r="H298" i="75"/>
  <c r="G239" i="75"/>
  <c r="H239" i="75"/>
  <c r="G103" i="75"/>
  <c r="H103" i="75"/>
  <c r="G77" i="75"/>
  <c r="H77" i="75"/>
  <c r="G68" i="75"/>
  <c r="H68" i="75"/>
  <c r="G50" i="75"/>
  <c r="H50" i="75"/>
  <c r="G18" i="75"/>
  <c r="H18" i="75"/>
  <c r="G192" i="75"/>
  <c r="H192" i="75"/>
  <c r="G362" i="75"/>
  <c r="H362" i="75"/>
  <c r="G421" i="75"/>
  <c r="H421" i="75"/>
  <c r="G301" i="75"/>
  <c r="H301" i="75"/>
  <c r="G98" i="75"/>
  <c r="H98" i="75"/>
  <c r="G394" i="75"/>
  <c r="H394" i="75"/>
  <c r="G306" i="75"/>
  <c r="H306" i="75"/>
  <c r="G314" i="75"/>
  <c r="H314" i="75"/>
  <c r="G313" i="75"/>
  <c r="H313" i="75"/>
  <c r="G34" i="75"/>
  <c r="H34" i="75"/>
  <c r="G33" i="75"/>
  <c r="H33" i="75"/>
  <c r="G236" i="75"/>
  <c r="H236" i="75"/>
  <c r="G40" i="75"/>
  <c r="H40" i="75"/>
  <c r="G335" i="75"/>
  <c r="H335" i="75"/>
  <c r="G36" i="75"/>
  <c r="H36" i="75"/>
  <c r="G10" i="75"/>
  <c r="H10" i="75"/>
  <c r="G120" i="75"/>
  <c r="H120" i="75"/>
  <c r="G420" i="75"/>
  <c r="H420" i="75"/>
  <c r="G203" i="75"/>
  <c r="H203" i="75"/>
  <c r="G202" i="75"/>
  <c r="H202" i="75"/>
  <c r="G214" i="75"/>
  <c r="H214" i="75"/>
  <c r="G117" i="75"/>
  <c r="H117" i="75"/>
  <c r="G263" i="75"/>
  <c r="H263" i="75"/>
  <c r="G264" i="75"/>
  <c r="H264" i="75"/>
  <c r="G265" i="75"/>
  <c r="H265" i="75"/>
  <c r="G232" i="75"/>
  <c r="H232" i="75"/>
  <c r="G339" i="75"/>
  <c r="H339" i="75"/>
  <c r="G229" i="75"/>
  <c r="H229" i="75"/>
  <c r="G344" i="75"/>
  <c r="H344" i="75"/>
  <c r="G130" i="75"/>
  <c r="H130" i="75"/>
  <c r="G317" i="75"/>
  <c r="H317" i="75"/>
  <c r="G165" i="75"/>
  <c r="H165" i="75"/>
  <c r="G195" i="75"/>
  <c r="H195" i="75"/>
  <c r="G194" i="75"/>
  <c r="H194" i="75"/>
  <c r="G388" i="75"/>
  <c r="H388" i="75"/>
  <c r="G389" i="75"/>
  <c r="H389" i="75"/>
  <c r="G248" i="75"/>
  <c r="H248" i="75"/>
  <c r="G218" i="75"/>
  <c r="H218" i="75"/>
  <c r="G310" i="75"/>
  <c r="H310" i="75"/>
  <c r="G267" i="75"/>
  <c r="H267" i="75"/>
  <c r="G110" i="75"/>
  <c r="H110" i="75"/>
  <c r="G72" i="75"/>
  <c r="H72" i="75"/>
  <c r="G365" i="75"/>
  <c r="H365" i="75"/>
  <c r="G255" i="75"/>
  <c r="H255" i="75"/>
  <c r="G327" i="75"/>
  <c r="H327" i="75"/>
  <c r="G205" i="75"/>
  <c r="H205" i="75"/>
  <c r="G387" i="75"/>
  <c r="H387" i="75"/>
  <c r="G131" i="75"/>
  <c r="H131" i="75"/>
  <c r="G137" i="75"/>
  <c r="H137" i="75"/>
  <c r="G414" i="75"/>
  <c r="H414" i="75"/>
  <c r="G416" i="75"/>
  <c r="H416" i="75"/>
  <c r="G415" i="75"/>
  <c r="H415" i="75"/>
  <c r="G403" i="75"/>
  <c r="H403" i="75"/>
  <c r="G146" i="75"/>
  <c r="H146" i="75"/>
  <c r="G147" i="75"/>
  <c r="H147" i="75"/>
  <c r="G148" i="75"/>
  <c r="H148" i="75"/>
  <c r="G336" i="75"/>
  <c r="H336" i="75"/>
  <c r="G295" i="75"/>
  <c r="H295" i="75"/>
  <c r="G268" i="75"/>
  <c r="H268" i="75"/>
  <c r="G266" i="75"/>
  <c r="H266" i="75"/>
  <c r="G297" i="75"/>
  <c r="H297" i="75"/>
  <c r="G290" i="75"/>
  <c r="H290" i="75"/>
  <c r="G408" i="75"/>
  <c r="H408" i="75"/>
  <c r="G109" i="75"/>
  <c r="H109" i="75"/>
  <c r="G373" i="75"/>
  <c r="H373" i="75"/>
  <c r="G11" i="75"/>
  <c r="H11" i="75"/>
  <c r="G37" i="75"/>
  <c r="H37" i="75"/>
  <c r="G228" i="75"/>
  <c r="H228" i="75"/>
  <c r="G326" i="75"/>
  <c r="H326" i="75"/>
  <c r="G319" i="75"/>
  <c r="H319" i="75"/>
  <c r="G320" i="75"/>
  <c r="H320" i="75"/>
  <c r="G324" i="75"/>
  <c r="H324" i="75"/>
  <c r="G323" i="75"/>
  <c r="H323" i="75"/>
  <c r="G321" i="75"/>
  <c r="H321" i="75"/>
  <c r="G322" i="75"/>
  <c r="H322" i="75"/>
  <c r="G81" i="75"/>
  <c r="H81" i="75"/>
  <c r="G345" i="75"/>
  <c r="H345" i="75"/>
  <c r="G347" i="75"/>
  <c r="H347" i="75"/>
  <c r="G422" i="75"/>
  <c r="H422" i="75"/>
  <c r="G78" i="75"/>
  <c r="H78" i="75"/>
  <c r="G419" i="75"/>
  <c r="H419" i="75"/>
  <c r="G62" i="75"/>
  <c r="H62" i="75"/>
  <c r="G8" i="75"/>
  <c r="H8" i="75"/>
  <c r="G55" i="75"/>
  <c r="H55" i="75"/>
  <c r="G45" i="75"/>
  <c r="H45" i="75"/>
  <c r="G94" i="75"/>
  <c r="H94" i="75"/>
  <c r="G122" i="75"/>
  <c r="H122" i="75"/>
  <c r="G210" i="75"/>
  <c r="H210" i="75"/>
  <c r="G189" i="75"/>
  <c r="H189" i="75"/>
  <c r="G69" i="75"/>
  <c r="H69" i="75"/>
  <c r="G51" i="75"/>
  <c r="H51" i="75"/>
  <c r="G38" i="75"/>
  <c r="H38" i="75"/>
  <c r="G325" i="75"/>
  <c r="H325" i="75"/>
  <c r="G63" i="75"/>
  <c r="H63" i="75"/>
  <c r="G74" i="75"/>
  <c r="H74" i="75"/>
  <c r="G86" i="75"/>
  <c r="H86" i="75"/>
  <c r="G59" i="75"/>
  <c r="H59" i="75"/>
  <c r="G386" i="75"/>
  <c r="H386" i="75"/>
  <c r="G384" i="75"/>
  <c r="H384" i="75"/>
  <c r="G385" i="75"/>
  <c r="H385" i="75"/>
  <c r="G305" i="75"/>
  <c r="H305" i="75"/>
  <c r="G304" i="75"/>
  <c r="H304" i="75"/>
  <c r="G396" i="75"/>
  <c r="H396" i="75"/>
  <c r="G409" i="75"/>
  <c r="H409" i="75"/>
  <c r="G413" i="75"/>
  <c r="H413" i="75"/>
  <c r="G412" i="75"/>
  <c r="H412" i="75"/>
  <c r="G363" i="75"/>
  <c r="H363" i="75"/>
  <c r="G224" i="75"/>
  <c r="H224" i="75"/>
  <c r="G279" i="75"/>
  <c r="H279" i="75"/>
  <c r="G240" i="75"/>
  <c r="H240" i="75"/>
  <c r="G348" i="75"/>
  <c r="H348" i="75"/>
  <c r="G418" i="75"/>
  <c r="H418" i="75"/>
  <c r="G311" i="75"/>
  <c r="H311" i="75"/>
  <c r="G291" i="75"/>
  <c r="H291" i="75"/>
  <c r="G223" i="75"/>
  <c r="H223" i="75"/>
  <c r="G425" i="75"/>
  <c r="H425" i="75"/>
  <c r="G293" i="75"/>
  <c r="H293" i="75"/>
  <c r="G115" i="75"/>
  <c r="H115" i="75"/>
  <c r="G200" i="75"/>
  <c r="H200" i="75"/>
  <c r="G199" i="75"/>
  <c r="H199" i="75"/>
  <c r="G382" i="75"/>
  <c r="H382" i="75"/>
  <c r="G383" i="75"/>
  <c r="H383" i="75"/>
  <c r="G380" i="75"/>
  <c r="H380" i="75"/>
  <c r="G381" i="75"/>
  <c r="H381" i="75"/>
  <c r="G154" i="75"/>
  <c r="H154" i="75"/>
  <c r="G404" i="75"/>
  <c r="H404" i="75"/>
  <c r="G395" i="75"/>
  <c r="H395" i="75"/>
  <c r="G350" i="75"/>
  <c r="H350" i="75"/>
  <c r="G352" i="75"/>
  <c r="H352" i="75"/>
  <c r="G351" i="75"/>
  <c r="H351" i="75"/>
  <c r="G354" i="75"/>
  <c r="H354" i="75"/>
  <c r="G353" i="75"/>
  <c r="H353" i="75"/>
  <c r="G153" i="75"/>
  <c r="H153" i="75"/>
  <c r="G152" i="75"/>
  <c r="H152" i="75"/>
  <c r="G155" i="75"/>
  <c r="H155" i="75"/>
  <c r="G359" i="75"/>
  <c r="H359" i="75"/>
  <c r="G357" i="75"/>
  <c r="H357" i="75"/>
  <c r="G356" i="75"/>
  <c r="H356" i="75"/>
  <c r="G358" i="75"/>
  <c r="H358" i="75"/>
  <c r="G355" i="75"/>
  <c r="H355" i="75"/>
  <c r="G405" i="75"/>
  <c r="H405" i="75"/>
  <c r="G406" i="75"/>
  <c r="H406" i="75"/>
  <c r="G407" i="75"/>
  <c r="H407" i="75"/>
  <c r="G370" i="75"/>
  <c r="H370" i="75"/>
  <c r="G337" i="75"/>
  <c r="H337" i="75"/>
  <c r="G270" i="75"/>
  <c r="H270" i="75"/>
  <c r="G271" i="75"/>
  <c r="H271" i="75"/>
  <c r="G269" i="75"/>
  <c r="H269" i="75"/>
  <c r="G369" i="75"/>
  <c r="H369" i="75"/>
  <c r="G399" i="75"/>
  <c r="H399" i="75"/>
  <c r="G398" i="75"/>
  <c r="H398" i="75"/>
  <c r="G273" i="75"/>
  <c r="H273" i="75"/>
  <c r="G360" i="75"/>
  <c r="H360" i="75"/>
  <c r="G225" i="75"/>
  <c r="H225" i="75"/>
  <c r="G367" i="75"/>
  <c r="H367" i="75"/>
  <c r="G242" i="75"/>
  <c r="H242" i="75"/>
  <c r="G114" i="75"/>
  <c r="H114" i="75"/>
  <c r="G126" i="75"/>
  <c r="H126" i="75"/>
  <c r="G281" i="75"/>
  <c r="H281" i="75"/>
  <c r="G71" i="75"/>
  <c r="H71" i="75"/>
  <c r="G76" i="75"/>
  <c r="H76" i="75"/>
  <c r="G221" i="75"/>
  <c r="H221" i="75"/>
  <c r="G167" i="75"/>
  <c r="H167" i="75"/>
  <c r="G89" i="75"/>
  <c r="H89" i="75"/>
  <c r="G88" i="75"/>
  <c r="H88" i="75"/>
  <c r="G85" i="75"/>
  <c r="H85" i="75"/>
  <c r="G316" i="75"/>
  <c r="H316" i="75"/>
  <c r="G125" i="75"/>
  <c r="H125" i="75"/>
  <c r="G134" i="75"/>
  <c r="H134" i="75"/>
  <c r="G234" i="75"/>
  <c r="H234" i="75"/>
  <c r="G244" i="75"/>
  <c r="H244" i="75"/>
  <c r="G241" i="75"/>
  <c r="H241" i="75"/>
  <c r="G330" i="75"/>
  <c r="H330" i="75"/>
  <c r="G67" i="75"/>
  <c r="H67" i="75"/>
  <c r="G182" i="75"/>
  <c r="H182" i="75"/>
  <c r="G24" i="75"/>
  <c r="H24" i="75"/>
  <c r="G142" i="75"/>
  <c r="H142" i="75"/>
  <c r="G185" i="75"/>
  <c r="H185" i="75"/>
  <c r="G174" i="75"/>
  <c r="H174" i="75"/>
  <c r="G161" i="75"/>
  <c r="H161" i="75"/>
  <c r="G209" i="75"/>
  <c r="H209" i="75"/>
  <c r="G188" i="75"/>
  <c r="H188" i="75"/>
  <c r="G41" i="75"/>
  <c r="H41" i="75"/>
  <c r="G204" i="75"/>
  <c r="H204" i="75"/>
  <c r="G197" i="75"/>
  <c r="H197" i="75"/>
  <c r="G206" i="75"/>
  <c r="H206" i="75"/>
  <c r="G149" i="75"/>
  <c r="H149" i="75"/>
  <c r="G201" i="75"/>
  <c r="H201" i="75"/>
  <c r="G156" i="75"/>
  <c r="H156" i="75"/>
  <c r="G211" i="75"/>
  <c r="H211" i="75"/>
  <c r="G166" i="75"/>
  <c r="H166" i="75"/>
  <c r="G13" i="75"/>
  <c r="H13" i="75"/>
  <c r="G58" i="75"/>
  <c r="H58" i="75"/>
  <c r="G112" i="75"/>
  <c r="H112" i="75"/>
  <c r="G27" i="75"/>
  <c r="H27" i="75"/>
  <c r="G12" i="75"/>
  <c r="H12" i="75"/>
  <c r="G124" i="75"/>
  <c r="H124" i="75"/>
  <c r="G133" i="75"/>
  <c r="H133" i="75"/>
  <c r="G9" i="75"/>
  <c r="H9" i="75"/>
  <c r="G66" i="75"/>
  <c r="H66" i="75"/>
  <c r="G56" i="75"/>
  <c r="H56" i="75"/>
  <c r="G46" i="75"/>
  <c r="H46" i="75"/>
  <c r="G22" i="75"/>
  <c r="H22" i="75"/>
  <c r="G123" i="75"/>
  <c r="H123" i="75"/>
  <c r="G49" i="75"/>
  <c r="H49" i="75"/>
  <c r="G70" i="75"/>
  <c r="H70" i="75"/>
  <c r="G52" i="75"/>
  <c r="H52" i="75"/>
  <c r="G39" i="75"/>
  <c r="H39" i="75"/>
  <c r="G64" i="75"/>
  <c r="H64" i="75"/>
  <c r="G75" i="75"/>
  <c r="H75" i="75"/>
  <c r="G31" i="75"/>
  <c r="H31" i="75"/>
  <c r="G60" i="75"/>
  <c r="H60" i="75"/>
  <c r="G292" i="75"/>
  <c r="H292" i="75"/>
  <c r="G15" i="75"/>
  <c r="H15" i="75"/>
  <c r="G332" i="75"/>
  <c r="H332" i="75"/>
  <c r="G333" i="75"/>
  <c r="H333" i="75"/>
  <c r="G294" i="75"/>
  <c r="H294" i="75"/>
  <c r="G342" i="75"/>
  <c r="H342" i="75"/>
  <c r="G329" i="75"/>
  <c r="H329" i="75"/>
  <c r="G107" i="75"/>
  <c r="H107" i="75"/>
  <c r="G57" i="75"/>
  <c r="H57" i="75"/>
  <c r="G53" i="75"/>
  <c r="H53" i="75"/>
  <c r="G42" i="75"/>
  <c r="H42" i="75"/>
  <c r="G35" i="75"/>
  <c r="H35" i="75"/>
  <c r="G230" i="75"/>
  <c r="H230" i="75"/>
  <c r="G111" i="75"/>
  <c r="H111" i="75"/>
  <c r="G30" i="75"/>
  <c r="H30" i="75"/>
  <c r="G32" i="75"/>
  <c r="H32" i="75"/>
  <c r="G28" i="75"/>
  <c r="H28" i="75"/>
  <c r="G256" i="75"/>
  <c r="H256" i="75"/>
  <c r="G118" i="75"/>
  <c r="H118" i="75"/>
  <c r="G108" i="75"/>
  <c r="H108" i="75"/>
  <c r="G307" i="75"/>
  <c r="H307" i="75"/>
  <c r="G213" i="75"/>
  <c r="H213" i="75"/>
  <c r="G212" i="75"/>
  <c r="H212" i="75"/>
  <c r="G132" i="75"/>
  <c r="H132" i="75"/>
  <c r="G278" i="75"/>
  <c r="H278" i="75"/>
  <c r="G272" i="75"/>
  <c r="H272" i="75"/>
  <c r="G274" i="75"/>
  <c r="H274" i="75"/>
  <c r="G275" i="75"/>
  <c r="H275" i="75"/>
  <c r="G372" i="75"/>
  <c r="H372" i="75"/>
  <c r="G127" i="75"/>
  <c r="H127" i="75"/>
  <c r="G135" i="75"/>
  <c r="H135" i="75"/>
  <c r="G417" i="75"/>
  <c r="H417" i="75"/>
  <c r="G338" i="75"/>
  <c r="H338" i="75"/>
  <c r="O65" i="75"/>
  <c r="O66" i="75"/>
  <c r="O87" i="75"/>
  <c r="O83" i="75"/>
  <c r="O110" i="75"/>
  <c r="O115" i="75"/>
  <c r="O131" i="75"/>
  <c r="O135" i="75"/>
  <c r="O149" i="75"/>
  <c r="O183" i="75"/>
  <c r="O189" i="75"/>
  <c r="O191" i="75"/>
  <c r="O195" i="75"/>
  <c r="O197" i="75"/>
  <c r="O247" i="75"/>
  <c r="O255" i="75"/>
  <c r="O263" i="75"/>
  <c r="O283" i="75"/>
  <c r="O295" i="75"/>
  <c r="O301" i="75"/>
  <c r="O307" i="75"/>
  <c r="O319" i="75"/>
  <c r="O341" i="75"/>
  <c r="O355" i="75"/>
  <c r="O363" i="75"/>
  <c r="O375" i="75"/>
  <c r="O379" i="75"/>
  <c r="O389" i="75"/>
  <c r="O405" i="75"/>
  <c r="O415" i="75"/>
  <c r="O423" i="75"/>
  <c r="O43" i="75"/>
  <c r="O69" i="75"/>
  <c r="O72" i="75"/>
  <c r="O172" i="75"/>
  <c r="O180" i="75"/>
  <c r="O244" i="75"/>
  <c r="O284" i="75"/>
  <c r="O388" i="75"/>
  <c r="O412" i="75"/>
  <c r="H78" i="101"/>
  <c r="Z8" i="71"/>
  <c r="G9" i="69"/>
  <c r="Q385" i="75"/>
  <c r="AS153" i="71"/>
  <c r="J8" i="64"/>
  <c r="J9" i="64"/>
  <c r="J10" i="64"/>
  <c r="J11" i="64"/>
  <c r="J12" i="64"/>
  <c r="J13" i="64"/>
  <c r="J14" i="64"/>
  <c r="J15" i="64"/>
  <c r="J16" i="64"/>
  <c r="J17" i="64"/>
  <c r="J18" i="64"/>
  <c r="J19" i="64"/>
  <c r="J20" i="64"/>
  <c r="J21" i="64"/>
  <c r="J22" i="64"/>
  <c r="J23" i="64"/>
  <c r="J24" i="64"/>
  <c r="J25" i="64"/>
  <c r="J26" i="64"/>
  <c r="J27" i="64"/>
  <c r="J28" i="64"/>
  <c r="J29" i="64"/>
  <c r="J30" i="64"/>
  <c r="J31" i="64"/>
  <c r="J32" i="64"/>
  <c r="J33" i="64"/>
  <c r="J34" i="64"/>
  <c r="E7" i="64"/>
  <c r="F7" i="64"/>
  <c r="E8" i="64"/>
  <c r="F8" i="64"/>
  <c r="E9" i="64"/>
  <c r="F9" i="64"/>
  <c r="E10" i="64"/>
  <c r="F10" i="64"/>
  <c r="E11" i="64"/>
  <c r="F11" i="64"/>
  <c r="E12" i="64"/>
  <c r="F12" i="64"/>
  <c r="E13" i="64"/>
  <c r="F13" i="64"/>
  <c r="E14" i="64"/>
  <c r="F14" i="64"/>
  <c r="E15" i="64"/>
  <c r="F15" i="64"/>
  <c r="E16" i="64"/>
  <c r="F16" i="64"/>
  <c r="E17" i="64"/>
  <c r="F17" i="64"/>
  <c r="E18" i="64"/>
  <c r="F18" i="64"/>
  <c r="E19" i="64"/>
  <c r="F19" i="64"/>
  <c r="E20" i="64"/>
  <c r="F20" i="64"/>
  <c r="E21" i="64"/>
  <c r="F21" i="64"/>
  <c r="E22" i="64"/>
  <c r="F22" i="64"/>
  <c r="E23" i="64"/>
  <c r="F23" i="64"/>
  <c r="E24" i="64"/>
  <c r="F24" i="64"/>
  <c r="E25" i="64"/>
  <c r="F25" i="64"/>
  <c r="E26" i="64"/>
  <c r="F26" i="64"/>
  <c r="E27" i="64"/>
  <c r="F27" i="64"/>
  <c r="E28" i="64"/>
  <c r="F28" i="64"/>
  <c r="E29" i="64"/>
  <c r="F29" i="64"/>
  <c r="E30" i="64"/>
  <c r="F30" i="64"/>
  <c r="E31" i="64"/>
  <c r="F31" i="64"/>
  <c r="E32" i="64"/>
  <c r="F32" i="64"/>
  <c r="E33" i="64"/>
  <c r="F33" i="64"/>
  <c r="E34" i="64"/>
  <c r="F34" i="64"/>
  <c r="E35" i="64"/>
  <c r="F35" i="64"/>
  <c r="D632" i="56"/>
  <c r="C632" i="56"/>
  <c r="H51" i="125"/>
  <c r="G51" i="125"/>
  <c r="H58" i="124"/>
  <c r="H53" i="124"/>
  <c r="H52" i="124"/>
  <c r="H31" i="125"/>
  <c r="G31" i="125"/>
  <c r="H8" i="125"/>
  <c r="G9" i="125"/>
  <c r="H10" i="125"/>
  <c r="G10" i="125"/>
  <c r="H11" i="125"/>
  <c r="G11" i="125"/>
  <c r="H12" i="125"/>
  <c r="G12" i="125"/>
  <c r="H13" i="125"/>
  <c r="G13" i="125"/>
  <c r="H14" i="125"/>
  <c r="G14" i="125"/>
  <c r="H15" i="125"/>
  <c r="G15" i="125"/>
  <c r="H16" i="125"/>
  <c r="G16" i="125"/>
  <c r="H17" i="125"/>
  <c r="G17" i="125"/>
  <c r="H18" i="125"/>
  <c r="G18" i="125"/>
  <c r="H19" i="125"/>
  <c r="G19" i="125"/>
  <c r="H20" i="125"/>
  <c r="G20" i="125"/>
  <c r="H21" i="125"/>
  <c r="G21" i="125"/>
  <c r="H22" i="125"/>
  <c r="G22" i="125"/>
  <c r="H23" i="125"/>
  <c r="G23" i="125"/>
  <c r="H24" i="125"/>
  <c r="G24" i="125"/>
  <c r="H25" i="125"/>
  <c r="G25" i="125"/>
  <c r="H26" i="125"/>
  <c r="G26" i="125"/>
  <c r="H27" i="125"/>
  <c r="G27" i="125"/>
  <c r="H28" i="125"/>
  <c r="G28" i="125"/>
  <c r="H29" i="125"/>
  <c r="G29" i="125"/>
  <c r="H30" i="125"/>
  <c r="G30" i="125"/>
  <c r="H34" i="125"/>
  <c r="G34" i="125"/>
  <c r="H35" i="125"/>
  <c r="G35" i="125"/>
  <c r="H36" i="125"/>
  <c r="G36" i="125"/>
  <c r="H37" i="125"/>
  <c r="G37" i="125"/>
  <c r="H38" i="125"/>
  <c r="G38" i="125"/>
  <c r="H39" i="125"/>
  <c r="G39" i="125"/>
  <c r="H40" i="125"/>
  <c r="G40" i="125"/>
  <c r="H41" i="125"/>
  <c r="G41" i="125"/>
  <c r="H42" i="125"/>
  <c r="G42" i="125"/>
  <c r="H43" i="125"/>
  <c r="G43" i="125"/>
  <c r="H44" i="125"/>
  <c r="G44" i="125"/>
  <c r="H45" i="125"/>
  <c r="G45" i="125"/>
  <c r="H46" i="125"/>
  <c r="G46" i="125"/>
  <c r="H47" i="125"/>
  <c r="G47" i="125"/>
  <c r="H48" i="125"/>
  <c r="G48" i="125"/>
  <c r="H49" i="125"/>
  <c r="G49" i="125"/>
  <c r="H50" i="125"/>
  <c r="G50" i="125"/>
  <c r="H52" i="125"/>
  <c r="G52" i="125"/>
  <c r="H53" i="125"/>
  <c r="G53" i="125"/>
  <c r="H54" i="125"/>
  <c r="G54" i="125"/>
  <c r="H55" i="125"/>
  <c r="G55" i="125"/>
  <c r="H56" i="125"/>
  <c r="G56" i="125"/>
  <c r="H57" i="125"/>
  <c r="G57" i="125"/>
  <c r="H58" i="125"/>
  <c r="G58" i="125"/>
  <c r="H7" i="125"/>
  <c r="F7" i="124"/>
  <c r="F21" i="124" s="1"/>
  <c r="G7" i="124"/>
  <c r="G47" i="124" s="1"/>
  <c r="P9" i="144"/>
  <c r="P10" i="144"/>
  <c r="P11" i="144"/>
  <c r="P12" i="144"/>
  <c r="P13" i="144"/>
  <c r="P14" i="144"/>
  <c r="P15" i="144"/>
  <c r="P16" i="144"/>
  <c r="P17" i="144"/>
  <c r="P18" i="144"/>
  <c r="P19" i="144"/>
  <c r="P20" i="144"/>
  <c r="P21" i="144"/>
  <c r="P22" i="144"/>
  <c r="P23" i="144"/>
  <c r="P24" i="144"/>
  <c r="P25" i="144"/>
  <c r="P26" i="144"/>
  <c r="P27" i="144"/>
  <c r="P28" i="144"/>
  <c r="P29" i="144"/>
  <c r="P30" i="144"/>
  <c r="P31" i="144"/>
  <c r="P32" i="144"/>
  <c r="P33" i="144"/>
  <c r="P35" i="144"/>
  <c r="P36" i="144"/>
  <c r="P37" i="144"/>
  <c r="P38" i="144"/>
  <c r="P39" i="144"/>
  <c r="P40" i="144"/>
  <c r="P41" i="144"/>
  <c r="P42" i="144"/>
  <c r="P43" i="144"/>
  <c r="P44" i="144"/>
  <c r="P45" i="144"/>
  <c r="P46" i="144"/>
  <c r="P47" i="144"/>
  <c r="P48" i="144"/>
  <c r="P49" i="144"/>
  <c r="P50" i="144"/>
  <c r="P51" i="144"/>
  <c r="P52" i="144"/>
  <c r="P53" i="144"/>
  <c r="P54" i="144"/>
  <c r="P55" i="144"/>
  <c r="P56" i="144"/>
  <c r="P57" i="144"/>
  <c r="P58" i="144"/>
  <c r="P59" i="144"/>
  <c r="P61" i="144"/>
  <c r="P62" i="144"/>
  <c r="P63" i="144"/>
  <c r="P64" i="144"/>
  <c r="P65" i="144"/>
  <c r="P66" i="144"/>
  <c r="P67" i="144"/>
  <c r="P69" i="144"/>
  <c r="P70" i="144"/>
  <c r="P72" i="144"/>
  <c r="P73" i="144"/>
  <c r="P74" i="144"/>
  <c r="P75" i="144"/>
  <c r="P76" i="144"/>
  <c r="P77" i="144"/>
  <c r="P78" i="144"/>
  <c r="P79" i="144"/>
  <c r="P80" i="144"/>
  <c r="P81" i="144"/>
  <c r="P82" i="144"/>
  <c r="P83" i="144"/>
  <c r="P84" i="144"/>
  <c r="P85" i="144"/>
  <c r="P86" i="144"/>
  <c r="P87" i="144"/>
  <c r="P88" i="144"/>
  <c r="P89" i="144"/>
  <c r="P90" i="144"/>
  <c r="P91" i="144"/>
  <c r="P92" i="144"/>
  <c r="P93" i="144"/>
  <c r="P94" i="144"/>
  <c r="P95" i="144"/>
  <c r="P96" i="144"/>
  <c r="P99" i="144"/>
  <c r="P100" i="144"/>
  <c r="P101" i="144"/>
  <c r="P102" i="144"/>
  <c r="P103" i="144"/>
  <c r="P104" i="144"/>
  <c r="P105" i="144"/>
  <c r="P106" i="144"/>
  <c r="P107" i="144"/>
  <c r="P108" i="144"/>
  <c r="P109" i="144"/>
  <c r="P110" i="144"/>
  <c r="P111" i="144"/>
  <c r="P112" i="144"/>
  <c r="P113" i="144"/>
  <c r="P114" i="144"/>
  <c r="P115" i="144"/>
  <c r="P116" i="144"/>
  <c r="P117" i="144"/>
  <c r="P118" i="144"/>
  <c r="P119" i="144"/>
  <c r="P120" i="144"/>
  <c r="P121" i="144"/>
  <c r="P122" i="144"/>
  <c r="P123" i="144"/>
  <c r="P124" i="144"/>
  <c r="P125" i="144"/>
  <c r="P126" i="144"/>
  <c r="P127" i="144"/>
  <c r="P128" i="144"/>
  <c r="P129" i="144"/>
  <c r="P130" i="144"/>
  <c r="P131" i="144"/>
  <c r="P132" i="144"/>
  <c r="P133" i="144"/>
  <c r="P134" i="144"/>
  <c r="P135" i="144"/>
  <c r="P136" i="144"/>
  <c r="P137" i="144"/>
  <c r="P138" i="144"/>
  <c r="P139" i="144"/>
  <c r="P140" i="144"/>
  <c r="P141" i="144"/>
  <c r="P142" i="144"/>
  <c r="P144" i="144"/>
  <c r="P145" i="144"/>
  <c r="P146" i="144"/>
  <c r="P147" i="144"/>
  <c r="P148" i="144"/>
  <c r="P149" i="144"/>
  <c r="P150" i="144"/>
  <c r="P151" i="144"/>
  <c r="P152" i="144"/>
  <c r="P153" i="144"/>
  <c r="P154" i="144"/>
  <c r="P155" i="144"/>
  <c r="P156" i="144"/>
  <c r="P157" i="144"/>
  <c r="P158" i="144"/>
  <c r="P159" i="144"/>
  <c r="P160" i="144"/>
  <c r="P161" i="144"/>
  <c r="P162" i="144"/>
  <c r="P163" i="144"/>
  <c r="P164" i="144"/>
  <c r="P165" i="144"/>
  <c r="P166" i="144"/>
  <c r="P167" i="144"/>
  <c r="P168" i="144"/>
  <c r="P169" i="144"/>
  <c r="P170" i="144"/>
  <c r="P171" i="144"/>
  <c r="P172" i="144"/>
  <c r="P173" i="144"/>
  <c r="P175" i="144"/>
  <c r="P176" i="144"/>
  <c r="P177" i="144"/>
  <c r="P179" i="144"/>
  <c r="P180" i="144"/>
  <c r="P181" i="144"/>
  <c r="P182" i="144"/>
  <c r="P183" i="144"/>
  <c r="P184" i="144"/>
  <c r="P185" i="144"/>
  <c r="P186" i="144"/>
  <c r="P187" i="144"/>
  <c r="P188" i="144"/>
  <c r="P189" i="144"/>
  <c r="P190" i="144"/>
  <c r="P192" i="144"/>
  <c r="P193" i="144"/>
  <c r="P194" i="144"/>
  <c r="P196" i="144"/>
  <c r="P197" i="144"/>
  <c r="P198" i="144"/>
  <c r="P199" i="144"/>
  <c r="P200" i="144"/>
  <c r="P201" i="144"/>
  <c r="P202" i="144"/>
  <c r="P203" i="144"/>
  <c r="P204" i="144"/>
  <c r="P205" i="144"/>
  <c r="P206" i="144"/>
  <c r="P207" i="144"/>
  <c r="P208" i="144"/>
  <c r="P209" i="144"/>
  <c r="P210" i="144"/>
  <c r="P211" i="144"/>
  <c r="P213" i="144"/>
  <c r="P214" i="144"/>
  <c r="P215" i="144"/>
  <c r="P216" i="144"/>
  <c r="P217" i="144"/>
  <c r="P218" i="144"/>
  <c r="P219" i="144"/>
  <c r="P220" i="144"/>
  <c r="P221" i="144"/>
  <c r="P222" i="144"/>
  <c r="P223" i="144"/>
  <c r="P224" i="144"/>
  <c r="P225" i="144"/>
  <c r="P226" i="144"/>
  <c r="P227" i="144"/>
  <c r="P228" i="144"/>
  <c r="P229" i="144"/>
  <c r="P230" i="144"/>
  <c r="P231" i="144"/>
  <c r="P232" i="144"/>
  <c r="P233" i="144"/>
  <c r="P234" i="144"/>
  <c r="P235" i="144"/>
  <c r="P236" i="144"/>
  <c r="P237" i="144"/>
  <c r="P238" i="144"/>
  <c r="P239" i="144"/>
  <c r="P240" i="144"/>
  <c r="P241" i="144"/>
  <c r="P242" i="144"/>
  <c r="P243" i="144"/>
  <c r="P244" i="144"/>
  <c r="P245" i="144"/>
  <c r="P246" i="144"/>
  <c r="P247" i="144"/>
  <c r="P248" i="144"/>
  <c r="P249" i="144"/>
  <c r="P250" i="144"/>
  <c r="P251" i="144"/>
  <c r="P252" i="144"/>
  <c r="G7" i="170" s="1"/>
  <c r="P253" i="144"/>
  <c r="P254" i="144"/>
  <c r="P255" i="144"/>
  <c r="P256" i="144"/>
  <c r="P257" i="144"/>
  <c r="P258" i="144"/>
  <c r="P259" i="144"/>
  <c r="P260" i="144"/>
  <c r="P261" i="144"/>
  <c r="P262" i="144"/>
  <c r="P263" i="144"/>
  <c r="P264" i="144"/>
  <c r="P265" i="144"/>
  <c r="P266" i="144"/>
  <c r="P267" i="144"/>
  <c r="P268" i="144"/>
  <c r="P269" i="144"/>
  <c r="P270" i="144"/>
  <c r="P271" i="144"/>
  <c r="P273" i="144"/>
  <c r="P274" i="144"/>
  <c r="P275" i="144"/>
  <c r="P276" i="144"/>
  <c r="P277" i="144"/>
  <c r="P278" i="144"/>
  <c r="P279" i="144"/>
  <c r="P280" i="144"/>
  <c r="P281" i="144"/>
  <c r="P282" i="144"/>
  <c r="P283" i="144"/>
  <c r="P284" i="144"/>
  <c r="P285" i="144"/>
  <c r="P286" i="144"/>
  <c r="P288" i="144"/>
  <c r="P289" i="144"/>
  <c r="P290" i="144"/>
  <c r="P291" i="144"/>
  <c r="P292" i="144"/>
  <c r="P293" i="144"/>
  <c r="P294" i="144"/>
  <c r="P295" i="144"/>
  <c r="P297" i="144"/>
  <c r="P298" i="144"/>
  <c r="P299" i="144"/>
  <c r="P300" i="144"/>
  <c r="P301" i="144"/>
  <c r="P302" i="144"/>
  <c r="P303" i="144"/>
  <c r="P304" i="144"/>
  <c r="P305" i="144"/>
  <c r="P306" i="144"/>
  <c r="P307" i="144"/>
  <c r="P308" i="144"/>
  <c r="P309" i="144"/>
  <c r="P310" i="144"/>
  <c r="P311" i="144"/>
  <c r="P312" i="144"/>
  <c r="P313" i="144"/>
  <c r="P314" i="144"/>
  <c r="P315" i="144"/>
  <c r="P316" i="144"/>
  <c r="P317" i="144"/>
  <c r="P318" i="144"/>
  <c r="P319" i="144"/>
  <c r="P320" i="144"/>
  <c r="P321" i="144"/>
  <c r="P322" i="144"/>
  <c r="P323" i="144"/>
  <c r="P324" i="144"/>
  <c r="P325" i="144"/>
  <c r="P326" i="144"/>
  <c r="P327" i="144"/>
  <c r="P328" i="144"/>
  <c r="P329" i="144"/>
  <c r="P330" i="144"/>
  <c r="P331" i="144"/>
  <c r="P332" i="144"/>
  <c r="P333" i="144"/>
  <c r="P334" i="144"/>
  <c r="P335" i="144"/>
  <c r="P336" i="144"/>
  <c r="P337" i="144"/>
  <c r="P338" i="144"/>
  <c r="P339" i="144"/>
  <c r="P340" i="144"/>
  <c r="P341" i="144"/>
  <c r="P342" i="144"/>
  <c r="P343" i="144"/>
  <c r="P344" i="144"/>
  <c r="P345" i="144"/>
  <c r="P347" i="144"/>
  <c r="P349" i="144"/>
  <c r="P350" i="144"/>
  <c r="P352" i="144"/>
  <c r="P353" i="144"/>
  <c r="P354" i="144"/>
  <c r="P355" i="144"/>
  <c r="P356" i="144"/>
  <c r="P357" i="144"/>
  <c r="P358" i="144"/>
  <c r="P359" i="144"/>
  <c r="P360" i="144"/>
  <c r="P361" i="144"/>
  <c r="P362" i="144"/>
  <c r="P363" i="144"/>
  <c r="P366" i="144"/>
  <c r="P367" i="144"/>
  <c r="P368" i="144"/>
  <c r="P369" i="144"/>
  <c r="P370" i="144"/>
  <c r="P371" i="144"/>
  <c r="P372" i="144"/>
  <c r="P373" i="144"/>
  <c r="P374" i="144"/>
  <c r="P375" i="144"/>
  <c r="P376" i="144"/>
  <c r="P378" i="144"/>
  <c r="P379" i="144"/>
  <c r="P380" i="144"/>
  <c r="P381" i="144"/>
  <c r="P382" i="144"/>
  <c r="P383" i="144"/>
  <c r="P384" i="144"/>
  <c r="P385" i="144"/>
  <c r="P386" i="144"/>
  <c r="P387" i="144"/>
  <c r="P388" i="144"/>
  <c r="P389" i="144"/>
  <c r="P390" i="144"/>
  <c r="P391" i="144"/>
  <c r="P392" i="144"/>
  <c r="P393" i="144"/>
  <c r="P394" i="144"/>
  <c r="P395" i="144"/>
  <c r="P396" i="144"/>
  <c r="P397" i="144"/>
  <c r="P398" i="144"/>
  <c r="P399" i="144"/>
  <c r="P400" i="144"/>
  <c r="P401" i="144"/>
  <c r="P402" i="144"/>
  <c r="P403" i="144"/>
  <c r="P404" i="144"/>
  <c r="P405" i="144"/>
  <c r="P406" i="144"/>
  <c r="P407" i="144"/>
  <c r="P408" i="144"/>
  <c r="P409" i="144"/>
  <c r="P410" i="144"/>
  <c r="P411" i="144"/>
  <c r="P412" i="144"/>
  <c r="P413" i="144"/>
  <c r="P414" i="144"/>
  <c r="P415" i="144"/>
  <c r="P416" i="144"/>
  <c r="P417" i="144"/>
  <c r="P418" i="144"/>
  <c r="P419" i="144"/>
  <c r="P420" i="144"/>
  <c r="P421" i="144"/>
  <c r="P422" i="144"/>
  <c r="P423" i="144"/>
  <c r="P424" i="144"/>
  <c r="P425" i="144"/>
  <c r="P426" i="144"/>
  <c r="P427" i="144"/>
  <c r="P428" i="144"/>
  <c r="P429" i="144"/>
  <c r="P430" i="144"/>
  <c r="P432" i="144"/>
  <c r="P433" i="144"/>
  <c r="P434" i="144"/>
  <c r="P435" i="144"/>
  <c r="P436" i="144"/>
  <c r="P437" i="144"/>
  <c r="P438" i="144"/>
  <c r="P439" i="144"/>
  <c r="P440" i="144"/>
  <c r="P441" i="144"/>
  <c r="P442" i="144"/>
  <c r="P443" i="144"/>
  <c r="P444" i="144"/>
  <c r="P445" i="144"/>
  <c r="P447" i="144"/>
  <c r="P448" i="144"/>
  <c r="P450" i="144"/>
  <c r="P451" i="144"/>
  <c r="P452" i="144"/>
  <c r="P453" i="144"/>
  <c r="P454" i="144"/>
  <c r="P455" i="144"/>
  <c r="P456" i="144"/>
  <c r="P457" i="144"/>
  <c r="P458" i="144"/>
  <c r="P459" i="144"/>
  <c r="P462" i="144"/>
  <c r="P464" i="144"/>
  <c r="P465" i="144"/>
  <c r="P466" i="144"/>
  <c r="P467" i="144"/>
  <c r="P468" i="144"/>
  <c r="P469" i="144"/>
  <c r="P470" i="144"/>
  <c r="P471" i="144"/>
  <c r="P472" i="144"/>
  <c r="P473" i="144"/>
  <c r="P474" i="144"/>
  <c r="P475" i="144"/>
  <c r="P476" i="144"/>
  <c r="P477" i="144"/>
  <c r="P478" i="144"/>
  <c r="P479" i="144"/>
  <c r="P480" i="144"/>
  <c r="P481" i="144"/>
  <c r="P482" i="144"/>
  <c r="P483" i="144"/>
  <c r="P484" i="144"/>
  <c r="P485" i="144"/>
  <c r="P486" i="144"/>
  <c r="P487" i="144"/>
  <c r="P488" i="144"/>
  <c r="P489" i="144"/>
  <c r="P490" i="144"/>
  <c r="P491" i="144"/>
  <c r="P492" i="144"/>
  <c r="P493" i="144"/>
  <c r="P494" i="144"/>
  <c r="P495" i="144"/>
  <c r="P496" i="144"/>
  <c r="P497" i="144"/>
  <c r="P499" i="144"/>
  <c r="P500" i="144"/>
  <c r="P501" i="144"/>
  <c r="P502" i="144"/>
  <c r="P503" i="144"/>
  <c r="P504" i="144"/>
  <c r="P505" i="144"/>
  <c r="P506" i="144"/>
  <c r="P507" i="144"/>
  <c r="P508" i="144"/>
  <c r="P509" i="144"/>
  <c r="P510" i="144"/>
  <c r="P511" i="144"/>
  <c r="P512" i="144"/>
  <c r="P513" i="144"/>
  <c r="P514" i="144"/>
  <c r="P515" i="144"/>
  <c r="P516" i="144"/>
  <c r="P517" i="144"/>
  <c r="P518" i="144"/>
  <c r="P519" i="144"/>
  <c r="P520" i="144"/>
  <c r="P521" i="144"/>
  <c r="P522" i="144"/>
  <c r="P523" i="144"/>
  <c r="P524" i="144"/>
  <c r="P525" i="144"/>
  <c r="P526" i="144"/>
  <c r="P527" i="144"/>
  <c r="P528" i="144"/>
  <c r="P529" i="144"/>
  <c r="P530" i="144"/>
  <c r="P531" i="144"/>
  <c r="P532" i="144"/>
  <c r="P533" i="144"/>
  <c r="P534" i="144"/>
  <c r="P535" i="144"/>
  <c r="P536" i="144"/>
  <c r="P537" i="144"/>
  <c r="P538" i="144"/>
  <c r="P539" i="144"/>
  <c r="P540" i="144"/>
  <c r="P541" i="144"/>
  <c r="P542" i="144"/>
  <c r="P543" i="144"/>
  <c r="P544" i="144"/>
  <c r="P545" i="144"/>
  <c r="P546" i="144"/>
  <c r="P547" i="144"/>
  <c r="P548" i="144"/>
  <c r="P549" i="144"/>
  <c r="P550" i="144"/>
  <c r="P552" i="144"/>
  <c r="P553" i="144"/>
  <c r="P554" i="144"/>
  <c r="P555" i="144"/>
  <c r="P556" i="144"/>
  <c r="P558" i="144"/>
  <c r="P559" i="144"/>
  <c r="P560" i="144"/>
  <c r="P561" i="144"/>
  <c r="P563" i="144"/>
  <c r="P564" i="144"/>
  <c r="P565" i="144"/>
  <c r="P566" i="144"/>
  <c r="P567" i="144"/>
  <c r="P568" i="144"/>
  <c r="P569" i="144"/>
  <c r="P570" i="144"/>
  <c r="P571" i="144"/>
  <c r="P572" i="144"/>
  <c r="P573" i="144"/>
  <c r="P574" i="144"/>
  <c r="P575" i="144"/>
  <c r="P576" i="144"/>
  <c r="P577" i="144"/>
  <c r="P578" i="144"/>
  <c r="P579" i="144"/>
  <c r="P580" i="144"/>
  <c r="P581" i="144"/>
  <c r="P583" i="144"/>
  <c r="P584" i="144"/>
  <c r="P586" i="144"/>
  <c r="P587" i="144"/>
  <c r="P588" i="144"/>
  <c r="P589" i="144"/>
  <c r="P590" i="144"/>
  <c r="P591" i="144"/>
  <c r="P592" i="144"/>
  <c r="P593" i="144"/>
  <c r="P594" i="144"/>
  <c r="P595" i="144"/>
  <c r="P597" i="144"/>
  <c r="P598" i="144"/>
  <c r="P599" i="144"/>
  <c r="P601" i="144"/>
  <c r="P602" i="144"/>
  <c r="P603" i="144"/>
  <c r="P604" i="144"/>
  <c r="P605" i="144"/>
  <c r="P606" i="144"/>
  <c r="P607" i="144"/>
  <c r="P608" i="144"/>
  <c r="P610" i="144"/>
  <c r="P611" i="144"/>
  <c r="P612" i="144"/>
  <c r="P613" i="144"/>
  <c r="P614" i="144"/>
  <c r="P615" i="144"/>
  <c r="P616" i="144"/>
  <c r="P617" i="144"/>
  <c r="P618" i="144"/>
  <c r="P619" i="144"/>
  <c r="P620" i="144"/>
  <c r="P621" i="144"/>
  <c r="P623" i="144"/>
  <c r="P624" i="144"/>
  <c r="P625" i="144"/>
  <c r="P626" i="144"/>
  <c r="P627" i="144"/>
  <c r="P628" i="144"/>
  <c r="P629" i="144"/>
  <c r="P631" i="144"/>
  <c r="P632" i="144"/>
  <c r="P634" i="144"/>
  <c r="P635" i="144"/>
  <c r="P636" i="144"/>
  <c r="P637" i="144"/>
  <c r="P638" i="144"/>
  <c r="P639" i="144"/>
  <c r="P640" i="144"/>
  <c r="P641" i="144"/>
  <c r="P642" i="144"/>
  <c r="P643" i="144"/>
  <c r="P645" i="144"/>
  <c r="P647" i="144"/>
  <c r="P648" i="144"/>
  <c r="P649" i="144"/>
  <c r="P650" i="144"/>
  <c r="P651" i="144"/>
  <c r="P652" i="144"/>
  <c r="P653" i="144"/>
  <c r="P654" i="144"/>
  <c r="P655" i="144"/>
  <c r="P657" i="144"/>
  <c r="P658" i="144"/>
  <c r="G25" i="170" s="1"/>
  <c r="P659" i="144"/>
  <c r="P660" i="144"/>
  <c r="P661" i="144"/>
  <c r="P662" i="144"/>
  <c r="P663" i="144"/>
  <c r="P664" i="144"/>
  <c r="P665" i="144"/>
  <c r="P666" i="144"/>
  <c r="P667" i="144"/>
  <c r="P668" i="144"/>
  <c r="P669" i="144"/>
  <c r="P670" i="144"/>
  <c r="P671" i="144"/>
  <c r="P672" i="144"/>
  <c r="P673" i="144"/>
  <c r="P674" i="144"/>
  <c r="P675" i="144"/>
  <c r="P676" i="144"/>
  <c r="P677" i="144"/>
  <c r="P678" i="144"/>
  <c r="P680" i="144"/>
  <c r="P681" i="144"/>
  <c r="P682" i="144"/>
  <c r="P683" i="144"/>
  <c r="P684" i="144"/>
  <c r="P685" i="144"/>
  <c r="P686" i="144"/>
  <c r="P687" i="144"/>
  <c r="P688" i="144"/>
  <c r="P689" i="144"/>
  <c r="P690" i="144"/>
  <c r="P691" i="144"/>
  <c r="P692" i="144"/>
  <c r="P693" i="144"/>
  <c r="P694" i="144"/>
  <c r="P695" i="144"/>
  <c r="P697" i="144"/>
  <c r="P698" i="144"/>
  <c r="P699" i="144"/>
  <c r="P700" i="144"/>
  <c r="P701" i="144"/>
  <c r="P702" i="144"/>
  <c r="P703" i="144"/>
  <c r="P704" i="144"/>
  <c r="P705" i="144"/>
  <c r="P706" i="144"/>
  <c r="P707" i="144"/>
  <c r="P708" i="144"/>
  <c r="P709" i="144"/>
  <c r="P710" i="144"/>
  <c r="P711" i="144"/>
  <c r="P712" i="144"/>
  <c r="P713" i="144"/>
  <c r="P714" i="144"/>
  <c r="P715" i="144"/>
  <c r="P716" i="144"/>
  <c r="P717" i="144"/>
  <c r="P718" i="144"/>
  <c r="P719" i="144"/>
  <c r="P720" i="144"/>
  <c r="P721" i="144"/>
  <c r="P722" i="144"/>
  <c r="P723" i="144"/>
  <c r="P724" i="144"/>
  <c r="P725" i="144"/>
  <c r="P726" i="144"/>
  <c r="P727" i="144"/>
  <c r="P728" i="144"/>
  <c r="P729" i="144"/>
  <c r="P730" i="144"/>
  <c r="P731" i="144"/>
  <c r="P732" i="144"/>
  <c r="P733" i="144"/>
  <c r="P734" i="144"/>
  <c r="P735" i="144"/>
  <c r="P736" i="144"/>
  <c r="P737" i="144"/>
  <c r="P738" i="144"/>
  <c r="P739" i="144"/>
  <c r="P740" i="144"/>
  <c r="P741" i="144"/>
  <c r="P742" i="144"/>
  <c r="P743" i="144"/>
  <c r="P744" i="144"/>
  <c r="G12" i="170" s="1"/>
  <c r="P745" i="144"/>
  <c r="P746" i="144"/>
  <c r="P747" i="144"/>
  <c r="P748" i="144"/>
  <c r="P749" i="144"/>
  <c r="P750" i="144"/>
  <c r="P751" i="144"/>
  <c r="P752" i="144"/>
  <c r="P753" i="144"/>
  <c r="P754" i="144"/>
  <c r="P755" i="144"/>
  <c r="P756" i="144"/>
  <c r="P757" i="144"/>
  <c r="P758" i="144"/>
  <c r="P759" i="144"/>
  <c r="P760" i="144"/>
  <c r="P761" i="144"/>
  <c r="P762" i="144"/>
  <c r="P763" i="144"/>
  <c r="P764" i="144"/>
  <c r="P765" i="144"/>
  <c r="P766" i="144"/>
  <c r="P767" i="144"/>
  <c r="P768" i="144"/>
  <c r="P769" i="144"/>
  <c r="P770" i="144"/>
  <c r="P771" i="144"/>
  <c r="P772" i="144"/>
  <c r="P773" i="144"/>
  <c r="P774" i="144"/>
  <c r="P775" i="144"/>
  <c r="P776" i="144"/>
  <c r="P777" i="144"/>
  <c r="P778" i="144"/>
  <c r="P779" i="144"/>
  <c r="P780" i="144"/>
  <c r="P782" i="144"/>
  <c r="P783" i="144"/>
  <c r="P784" i="144"/>
  <c r="P785" i="144"/>
  <c r="P786" i="144"/>
  <c r="P787" i="144"/>
  <c r="P788" i="144"/>
  <c r="P789" i="144"/>
  <c r="P790" i="144"/>
  <c r="P791" i="144"/>
  <c r="P792" i="144"/>
  <c r="P793" i="144"/>
  <c r="P794" i="144"/>
  <c r="P795" i="144"/>
  <c r="P796" i="144"/>
  <c r="P797" i="144"/>
  <c r="P798" i="144"/>
  <c r="P799" i="144"/>
  <c r="P800" i="144"/>
  <c r="P801" i="144"/>
  <c r="P802" i="144"/>
  <c r="P803" i="144"/>
  <c r="P804" i="144"/>
  <c r="P805" i="144"/>
  <c r="P806" i="144"/>
  <c r="P807" i="144"/>
  <c r="P808" i="144"/>
  <c r="P809" i="144"/>
  <c r="P810" i="144"/>
  <c r="P811" i="144"/>
  <c r="P812" i="144"/>
  <c r="P814" i="144"/>
  <c r="P815" i="144"/>
  <c r="P816" i="144"/>
  <c r="P818" i="144"/>
  <c r="P819" i="144"/>
  <c r="P820" i="144"/>
  <c r="P821" i="144"/>
  <c r="P822" i="144"/>
  <c r="P823" i="144"/>
  <c r="P824" i="144"/>
  <c r="P825" i="144"/>
  <c r="P826" i="144"/>
  <c r="P827" i="144"/>
  <c r="P828" i="144"/>
  <c r="P829" i="144"/>
  <c r="P830" i="144"/>
  <c r="P831" i="144"/>
  <c r="P832" i="144"/>
  <c r="P833" i="144"/>
  <c r="P834" i="144"/>
  <c r="P835" i="144"/>
  <c r="P836" i="144"/>
  <c r="P837" i="144"/>
  <c r="P839" i="144"/>
  <c r="P840" i="144"/>
  <c r="P841" i="144"/>
  <c r="P843" i="144"/>
  <c r="P844" i="144"/>
  <c r="P845" i="144"/>
  <c r="P846" i="144"/>
  <c r="P847" i="144"/>
  <c r="P848" i="144"/>
  <c r="P849" i="144"/>
  <c r="P850" i="144"/>
  <c r="P851" i="144"/>
  <c r="P852" i="144"/>
  <c r="P853" i="144"/>
  <c r="P854" i="144"/>
  <c r="P855" i="144"/>
  <c r="P856" i="144"/>
  <c r="P857" i="144"/>
  <c r="P858" i="144"/>
  <c r="P859" i="144"/>
  <c r="P860" i="144"/>
  <c r="P861" i="144"/>
  <c r="G23" i="170" s="1"/>
  <c r="P862" i="144"/>
  <c r="P863" i="144"/>
  <c r="P865" i="144"/>
  <c r="P867" i="144"/>
  <c r="P868" i="144"/>
  <c r="P869" i="144"/>
  <c r="P870" i="144"/>
  <c r="P872" i="144"/>
  <c r="P873" i="144"/>
  <c r="P875" i="144"/>
  <c r="P876" i="144"/>
  <c r="P877" i="144"/>
  <c r="P878" i="144"/>
  <c r="P879" i="144"/>
  <c r="P880" i="144"/>
  <c r="P881" i="144"/>
  <c r="P882" i="144"/>
  <c r="P883" i="144"/>
  <c r="P884" i="144"/>
  <c r="P885" i="144"/>
  <c r="P887" i="144"/>
  <c r="P888" i="144"/>
  <c r="P889" i="144"/>
  <c r="P890" i="144"/>
  <c r="P891" i="144"/>
  <c r="P892" i="144"/>
  <c r="P894" i="144"/>
  <c r="P895" i="144"/>
  <c r="P896" i="144"/>
  <c r="P897" i="144"/>
  <c r="P898" i="144"/>
  <c r="P899" i="144"/>
  <c r="P900" i="144"/>
  <c r="P901" i="144"/>
  <c r="P902" i="144"/>
  <c r="P903" i="144"/>
  <c r="P904" i="144"/>
  <c r="P905" i="144"/>
  <c r="P906" i="144"/>
  <c r="P907" i="144"/>
  <c r="P908" i="144"/>
  <c r="P909" i="144"/>
  <c r="P910" i="144"/>
  <c r="P911" i="144"/>
  <c r="P912" i="144"/>
  <c r="P913" i="144"/>
  <c r="P914" i="144"/>
  <c r="P915" i="144"/>
  <c r="P916" i="144"/>
  <c r="P917" i="144"/>
  <c r="P918" i="144"/>
  <c r="P919" i="144"/>
  <c r="P920" i="144"/>
  <c r="P921" i="144"/>
  <c r="P922" i="144"/>
  <c r="P923" i="144"/>
  <c r="P924" i="144"/>
  <c r="P926" i="144"/>
  <c r="P927" i="144"/>
  <c r="P928" i="144"/>
  <c r="P929" i="144"/>
  <c r="P930" i="144"/>
  <c r="P931" i="144"/>
  <c r="P932" i="144"/>
  <c r="P933" i="144"/>
  <c r="P934" i="144"/>
  <c r="P935" i="144"/>
  <c r="P936" i="144"/>
  <c r="P937" i="144"/>
  <c r="P938" i="144"/>
  <c r="P940" i="144"/>
  <c r="P941" i="144"/>
  <c r="P942" i="144"/>
  <c r="P943" i="144"/>
  <c r="P944" i="144"/>
  <c r="P945" i="144"/>
  <c r="P946" i="144"/>
  <c r="P947" i="144"/>
  <c r="P949" i="144"/>
  <c r="P950" i="144"/>
  <c r="P951" i="144"/>
  <c r="P952" i="144"/>
  <c r="P953" i="144"/>
  <c r="P954" i="144"/>
  <c r="P955" i="144"/>
  <c r="P956" i="144"/>
  <c r="P957" i="144"/>
  <c r="P958" i="144"/>
  <c r="P959" i="144"/>
  <c r="P960" i="144"/>
  <c r="P961" i="144"/>
  <c r="P962" i="144"/>
  <c r="P963" i="144"/>
  <c r="P964" i="144"/>
  <c r="P965" i="144"/>
  <c r="P966" i="144"/>
  <c r="P967" i="144"/>
  <c r="P968" i="144"/>
  <c r="P969" i="144"/>
  <c r="P970" i="144"/>
  <c r="P971" i="144"/>
  <c r="P972" i="144"/>
  <c r="P973" i="144"/>
  <c r="P974" i="144"/>
  <c r="P975" i="144"/>
  <c r="P976" i="144"/>
  <c r="P977" i="144"/>
  <c r="P978" i="144"/>
  <c r="P979" i="144"/>
  <c r="P980" i="144"/>
  <c r="P981" i="144"/>
  <c r="P982" i="144"/>
  <c r="P983" i="144"/>
  <c r="P984" i="144"/>
  <c r="P985" i="144"/>
  <c r="P986" i="144"/>
  <c r="P987" i="144"/>
  <c r="P988" i="144"/>
  <c r="P989" i="144"/>
  <c r="P990" i="144"/>
  <c r="P991" i="144"/>
  <c r="P992" i="144"/>
  <c r="P993" i="144"/>
  <c r="P994" i="144"/>
  <c r="P995" i="144"/>
  <c r="P996" i="144"/>
  <c r="P997" i="144"/>
  <c r="P998" i="144"/>
  <c r="P999" i="144"/>
  <c r="P1000" i="144"/>
  <c r="P1001" i="144"/>
  <c r="P1002" i="144"/>
  <c r="P1003" i="144"/>
  <c r="P1004" i="144"/>
  <c r="P1005" i="144"/>
  <c r="P1006" i="144"/>
  <c r="P1008" i="144"/>
  <c r="P1009" i="144"/>
  <c r="P1010" i="144"/>
  <c r="P1011" i="144"/>
  <c r="P1012" i="144"/>
  <c r="P1013" i="144"/>
  <c r="P1014" i="144"/>
  <c r="P1015" i="144"/>
  <c r="P1016" i="144"/>
  <c r="P1017" i="144"/>
  <c r="P1018" i="144"/>
  <c r="P1019" i="144"/>
  <c r="P1020" i="144"/>
  <c r="P1021" i="144"/>
  <c r="P1022" i="144"/>
  <c r="P1023" i="144"/>
  <c r="P1024" i="144"/>
  <c r="P1025" i="144"/>
  <c r="P1026" i="144"/>
  <c r="P1027" i="144"/>
  <c r="P1028" i="144"/>
  <c r="P1029" i="144"/>
  <c r="P1030" i="144"/>
  <c r="P1031" i="144"/>
  <c r="P1032" i="144"/>
  <c r="P1033" i="144"/>
  <c r="P1034" i="144"/>
  <c r="P1035" i="144"/>
  <c r="P1036" i="144"/>
  <c r="P1037" i="144"/>
  <c r="P1038" i="144"/>
  <c r="P1039" i="144"/>
  <c r="P1040" i="144"/>
  <c r="P1041" i="144"/>
  <c r="P1042" i="144"/>
  <c r="P1043" i="144"/>
  <c r="P1044" i="144"/>
  <c r="P1045" i="144"/>
  <c r="P1046" i="144"/>
  <c r="P1047" i="144"/>
  <c r="P1048" i="144"/>
  <c r="P1049" i="144"/>
  <c r="P1050" i="144"/>
  <c r="P1051" i="144"/>
  <c r="P1052" i="144"/>
  <c r="P1054" i="144"/>
  <c r="P1055" i="144"/>
  <c r="P1056" i="144"/>
  <c r="P1057" i="144"/>
  <c r="P1058" i="144"/>
  <c r="P1059" i="144"/>
  <c r="P1060" i="144"/>
  <c r="P1061" i="144"/>
  <c r="P1062" i="144"/>
  <c r="P1063" i="144"/>
  <c r="P1064" i="144"/>
  <c r="P1065" i="144"/>
  <c r="P1066" i="144"/>
  <c r="P1067" i="144"/>
  <c r="P1068" i="144"/>
  <c r="P1069" i="144"/>
  <c r="P1070" i="144"/>
  <c r="P1071" i="144"/>
  <c r="P1072" i="144"/>
  <c r="P1073" i="144"/>
  <c r="P1074" i="144"/>
  <c r="P1075" i="144"/>
  <c r="P1076" i="144"/>
  <c r="P1077" i="144"/>
  <c r="P1078" i="144"/>
  <c r="P1079" i="144"/>
  <c r="P1080" i="144"/>
  <c r="P1081" i="144"/>
  <c r="P1082" i="144"/>
  <c r="P1083" i="144"/>
  <c r="P1084" i="144"/>
  <c r="P1085" i="144"/>
  <c r="P1086" i="144"/>
  <c r="P1087" i="144"/>
  <c r="P1088" i="144"/>
  <c r="P1089" i="144"/>
  <c r="P1090" i="144"/>
  <c r="P1091" i="144"/>
  <c r="P1092" i="144"/>
  <c r="P1093" i="144"/>
  <c r="P1094" i="144"/>
  <c r="P1095" i="144"/>
  <c r="P1096" i="144"/>
  <c r="P1097" i="144"/>
  <c r="P1098" i="144"/>
  <c r="P1099" i="144"/>
  <c r="P1100" i="144"/>
  <c r="P1101" i="144"/>
  <c r="P1102" i="144"/>
  <c r="P1103" i="144"/>
  <c r="P1104" i="144"/>
  <c r="P1105" i="144"/>
  <c r="P1106" i="144"/>
  <c r="P1107" i="144"/>
  <c r="P1108" i="144"/>
  <c r="P1109" i="144"/>
  <c r="P1110" i="144"/>
  <c r="P1111" i="144"/>
  <c r="P1112" i="144"/>
  <c r="P1113" i="144"/>
  <c r="P1114" i="144"/>
  <c r="P1115" i="144"/>
  <c r="P1116" i="144"/>
  <c r="P1117" i="144"/>
  <c r="P1118" i="144"/>
  <c r="P1119" i="144"/>
  <c r="P1120" i="144"/>
  <c r="P1121" i="144"/>
  <c r="P1122" i="144"/>
  <c r="P1123" i="144"/>
  <c r="P1124" i="144"/>
  <c r="P1125" i="144"/>
  <c r="P1127" i="144"/>
  <c r="P1128" i="144"/>
  <c r="P1129" i="144"/>
  <c r="P1131" i="144"/>
  <c r="P1132" i="144"/>
  <c r="P1133" i="144"/>
  <c r="P1134" i="144"/>
  <c r="P1135" i="144"/>
  <c r="P1136" i="144"/>
  <c r="P1137" i="144"/>
  <c r="P1138" i="144"/>
  <c r="P1139" i="144"/>
  <c r="P1141" i="144"/>
  <c r="P1142" i="144"/>
  <c r="P1143" i="144"/>
  <c r="P1144" i="144"/>
  <c r="P1145" i="144"/>
  <c r="P1146" i="144"/>
  <c r="P1147" i="144"/>
  <c r="P1148" i="144"/>
  <c r="P1149" i="144"/>
  <c r="P1150" i="144"/>
  <c r="P1151" i="144"/>
  <c r="P1152" i="144"/>
  <c r="P1153" i="144"/>
  <c r="P1154" i="144"/>
  <c r="P1155" i="144"/>
  <c r="P1156" i="144"/>
  <c r="P1157" i="144"/>
  <c r="P1158" i="144"/>
  <c r="P1159" i="144"/>
  <c r="P1160" i="144"/>
  <c r="P1161" i="144"/>
  <c r="P1162" i="144"/>
  <c r="P1163" i="144"/>
  <c r="P1164" i="144"/>
  <c r="P1165" i="144"/>
  <c r="P1166" i="144"/>
  <c r="P1167" i="144"/>
  <c r="P1168" i="144"/>
  <c r="P1169" i="144"/>
  <c r="P1170" i="144"/>
  <c r="P1172" i="144"/>
  <c r="P1173" i="144"/>
  <c r="P1175" i="144"/>
  <c r="P1176" i="144"/>
  <c r="P1177" i="144"/>
  <c r="P1178" i="144"/>
  <c r="P1179" i="144"/>
  <c r="P1180" i="144"/>
  <c r="P1181" i="144"/>
  <c r="P1182" i="144"/>
  <c r="P1183" i="144"/>
  <c r="P1184" i="144"/>
  <c r="P1185" i="144"/>
  <c r="P1186" i="144"/>
  <c r="P1187" i="144"/>
  <c r="P1188" i="144"/>
  <c r="P1189" i="144"/>
  <c r="P1190" i="144"/>
  <c r="B19" i="175" s="1"/>
  <c r="P1191" i="144"/>
  <c r="P1192" i="144"/>
  <c r="P1193" i="144"/>
  <c r="P1194" i="144"/>
  <c r="P1195" i="144"/>
  <c r="P1196" i="144"/>
  <c r="P1198" i="144"/>
  <c r="P1199" i="144"/>
  <c r="P1200" i="144"/>
  <c r="P1201" i="144"/>
  <c r="P1202" i="144"/>
  <c r="P1203" i="144"/>
  <c r="P1204" i="144"/>
  <c r="P1205" i="144"/>
  <c r="P1206" i="144"/>
  <c r="P1207" i="144"/>
  <c r="P1208" i="144"/>
  <c r="P1209" i="144"/>
  <c r="P1210" i="144"/>
  <c r="P1211" i="144"/>
  <c r="P1212" i="144"/>
  <c r="P1213" i="144"/>
  <c r="P1214" i="144"/>
  <c r="P1215" i="144"/>
  <c r="P1216" i="144"/>
  <c r="P1217" i="144"/>
  <c r="P1218" i="144"/>
  <c r="P1219" i="144"/>
  <c r="P1220" i="144"/>
  <c r="P1221" i="144"/>
  <c r="P1222" i="144"/>
  <c r="P1223" i="144"/>
  <c r="P1224" i="144"/>
  <c r="P1225" i="144"/>
  <c r="P1226" i="144"/>
  <c r="P1227" i="144"/>
  <c r="P1228" i="144"/>
  <c r="P1229" i="144"/>
  <c r="P1230" i="144"/>
  <c r="P1231" i="144"/>
  <c r="P1232" i="144"/>
  <c r="P1233" i="144"/>
  <c r="P1234" i="144"/>
  <c r="P1235" i="144"/>
  <c r="P1236" i="144"/>
  <c r="P1237" i="144"/>
  <c r="P1238" i="144"/>
  <c r="P1239" i="144"/>
  <c r="P1240" i="144"/>
  <c r="P1241" i="144"/>
  <c r="P1242" i="144"/>
  <c r="P1243" i="144"/>
  <c r="P1244" i="144"/>
  <c r="P1245" i="144"/>
  <c r="P1246" i="144"/>
  <c r="P1248" i="144"/>
  <c r="P1250" i="144"/>
  <c r="P1251" i="144"/>
  <c r="P1252" i="144"/>
  <c r="P1253" i="144"/>
  <c r="P1254" i="144"/>
  <c r="P1255" i="144"/>
  <c r="P1256" i="144"/>
  <c r="P1257" i="144"/>
  <c r="P1258" i="144"/>
  <c r="P1259" i="144"/>
  <c r="P1260" i="144"/>
  <c r="P1261" i="144"/>
  <c r="P1262" i="144"/>
  <c r="P1263" i="144"/>
  <c r="P1264" i="144"/>
  <c r="P1265" i="144"/>
  <c r="P1266" i="144"/>
  <c r="P1267" i="144"/>
  <c r="P1268" i="144"/>
  <c r="P1269" i="144"/>
  <c r="P1270" i="144"/>
  <c r="P1271" i="144"/>
  <c r="P1273" i="144"/>
  <c r="P1274" i="144"/>
  <c r="P1275" i="144"/>
  <c r="P1276" i="144"/>
  <c r="P1277" i="144"/>
  <c r="P1278" i="144"/>
  <c r="P1279" i="144"/>
  <c r="P1280" i="144"/>
  <c r="P1281" i="144"/>
  <c r="P1282" i="144"/>
  <c r="P1283" i="144"/>
  <c r="P1284" i="144"/>
  <c r="P1285" i="144"/>
  <c r="P1286" i="144"/>
  <c r="P1287" i="144"/>
  <c r="P1289" i="144"/>
  <c r="P1290" i="144"/>
  <c r="P1291" i="144"/>
  <c r="P1292" i="144"/>
  <c r="P1293" i="144"/>
  <c r="P1294" i="144"/>
  <c r="P1295" i="144"/>
  <c r="P1296" i="144"/>
  <c r="P1297" i="144"/>
  <c r="P1298" i="144"/>
  <c r="P1299" i="144"/>
  <c r="P1300" i="144"/>
  <c r="P1301" i="144"/>
  <c r="P1302" i="144"/>
  <c r="P1303" i="144"/>
  <c r="P1304" i="144"/>
  <c r="P1306" i="144"/>
  <c r="P1307" i="144"/>
  <c r="P1308" i="144"/>
  <c r="P1309" i="144"/>
  <c r="P1310" i="144"/>
  <c r="P1311" i="144"/>
  <c r="P1312" i="144"/>
  <c r="P1313" i="144"/>
  <c r="P1314" i="144"/>
  <c r="P1315" i="144"/>
  <c r="P1317" i="144"/>
  <c r="P1318" i="144"/>
  <c r="P1319" i="144"/>
  <c r="P1320" i="144"/>
  <c r="P1321" i="144"/>
  <c r="P1323" i="144"/>
  <c r="P1324" i="144"/>
  <c r="P1325" i="144"/>
  <c r="P1326" i="144"/>
  <c r="P1327" i="144"/>
  <c r="P1328" i="144"/>
  <c r="P1329" i="144"/>
  <c r="P1330" i="144"/>
  <c r="P1331" i="144"/>
  <c r="P1333" i="144"/>
  <c r="P1334" i="144"/>
  <c r="P1335" i="144"/>
  <c r="P1336" i="144"/>
  <c r="P1337" i="144"/>
  <c r="P1338" i="144"/>
  <c r="P1339" i="144"/>
  <c r="P1340" i="144"/>
  <c r="P1341" i="144"/>
  <c r="P1342" i="144"/>
  <c r="P1343" i="144"/>
  <c r="P1344" i="144"/>
  <c r="P1345" i="144"/>
  <c r="P1346" i="144"/>
  <c r="P1347" i="144"/>
  <c r="P1348" i="144"/>
  <c r="P1349" i="144"/>
  <c r="P1350" i="144"/>
  <c r="P1351" i="144"/>
  <c r="P1352" i="144"/>
  <c r="P1353" i="144"/>
  <c r="P1354" i="144"/>
  <c r="P1355" i="144"/>
  <c r="P1356" i="144"/>
  <c r="P1357" i="144"/>
  <c r="P1358" i="144"/>
  <c r="P1359" i="144"/>
  <c r="P1360" i="144"/>
  <c r="P1361" i="144"/>
  <c r="P1362" i="144"/>
  <c r="P1363" i="144"/>
  <c r="P1364" i="144"/>
  <c r="P1365" i="144"/>
  <c r="P1366" i="144"/>
  <c r="P1367" i="144"/>
  <c r="P1368" i="144"/>
  <c r="P1369" i="144"/>
  <c r="P1370" i="144"/>
  <c r="P1371" i="144"/>
  <c r="P1372" i="144"/>
  <c r="P1373" i="144"/>
  <c r="P1374" i="144"/>
  <c r="P1375" i="144"/>
  <c r="P1376" i="144"/>
  <c r="P1377" i="144"/>
  <c r="P1378" i="144"/>
  <c r="P1379" i="144"/>
  <c r="P1380" i="144"/>
  <c r="P1381" i="144"/>
  <c r="P1382" i="144"/>
  <c r="P1386" i="144"/>
  <c r="P1387" i="144"/>
  <c r="P1388" i="144"/>
  <c r="P1389" i="144"/>
  <c r="P1390" i="144"/>
  <c r="P1391" i="144"/>
  <c r="P1392" i="144"/>
  <c r="P1393" i="144"/>
  <c r="P1394" i="144"/>
  <c r="P1395" i="144"/>
  <c r="P1396" i="144"/>
  <c r="P1397" i="144"/>
  <c r="P1398" i="144"/>
  <c r="P1400" i="144"/>
  <c r="P1401" i="144"/>
  <c r="P1402" i="144"/>
  <c r="P1403" i="144"/>
  <c r="P1405" i="144"/>
  <c r="P1406" i="144"/>
  <c r="P1407" i="144"/>
  <c r="P1408" i="144"/>
  <c r="P1409" i="144"/>
  <c r="P1410" i="144"/>
  <c r="P1411" i="144"/>
  <c r="P1412" i="144"/>
  <c r="P1413" i="144"/>
  <c r="P1414" i="144"/>
  <c r="P1415" i="144"/>
  <c r="P1416" i="144"/>
  <c r="P1417" i="144"/>
  <c r="P1419" i="144"/>
  <c r="P1420" i="144"/>
  <c r="P1421" i="144"/>
  <c r="P1422" i="144"/>
  <c r="P1423" i="144"/>
  <c r="P1424" i="144"/>
  <c r="P1425" i="144"/>
  <c r="P1426" i="144"/>
  <c r="P1427" i="144"/>
  <c r="P1428" i="144"/>
  <c r="P1429" i="144"/>
  <c r="P1430" i="144"/>
  <c r="P1431" i="144"/>
  <c r="P1432" i="144"/>
  <c r="P1433" i="144"/>
  <c r="P1434" i="144"/>
  <c r="P1435" i="144"/>
  <c r="P1436" i="144"/>
  <c r="P1437" i="144"/>
  <c r="P1438" i="144"/>
  <c r="P1439" i="144"/>
  <c r="P1441" i="144"/>
  <c r="P1442" i="144"/>
  <c r="P1443" i="144"/>
  <c r="P1444" i="144"/>
  <c r="P1445" i="144"/>
  <c r="P1446" i="144"/>
  <c r="P1447" i="144"/>
  <c r="P1448" i="144"/>
  <c r="P1449" i="144"/>
  <c r="P1450" i="144"/>
  <c r="P1451" i="144"/>
  <c r="P1452" i="144"/>
  <c r="P1453" i="144"/>
  <c r="P1454" i="144"/>
  <c r="P1455" i="144"/>
  <c r="P1456" i="144"/>
  <c r="P1457" i="144"/>
  <c r="P1458" i="144"/>
  <c r="P1459" i="144"/>
  <c r="P1460" i="144"/>
  <c r="P1461" i="144"/>
  <c r="P1462" i="144"/>
  <c r="P1463" i="144"/>
  <c r="P1464" i="144"/>
  <c r="P1465" i="144"/>
  <c r="P1466" i="144"/>
  <c r="P1467" i="144"/>
  <c r="P1468" i="144"/>
  <c r="P1469" i="144"/>
  <c r="P1470" i="144"/>
  <c r="P1471" i="144"/>
  <c r="P1472" i="144"/>
  <c r="P1473" i="144"/>
  <c r="P1474" i="144"/>
  <c r="P1475" i="144"/>
  <c r="P1476" i="144"/>
  <c r="P1477" i="144"/>
  <c r="P1478" i="144"/>
  <c r="P1479" i="144"/>
  <c r="P1480" i="144"/>
  <c r="P1481" i="144"/>
  <c r="P1482" i="144"/>
  <c r="P1483" i="144"/>
  <c r="P1484" i="144"/>
  <c r="P1485" i="144"/>
  <c r="P1486" i="144"/>
  <c r="P1487" i="144"/>
  <c r="P1488" i="144"/>
  <c r="P1489" i="144"/>
  <c r="P1490" i="144"/>
  <c r="P1491" i="144"/>
  <c r="P1492" i="144"/>
  <c r="P1493" i="144"/>
  <c r="P1494" i="144"/>
  <c r="P1495" i="144"/>
  <c r="P1496" i="144"/>
  <c r="P1497" i="144"/>
  <c r="P1498" i="144"/>
  <c r="P1499" i="144"/>
  <c r="P1500" i="144"/>
  <c r="P1501" i="144"/>
  <c r="P1502" i="144"/>
  <c r="P1504" i="144"/>
  <c r="P1505" i="144"/>
  <c r="P1506" i="144"/>
  <c r="P1507" i="144"/>
  <c r="P1508" i="144"/>
  <c r="P1509" i="144"/>
  <c r="P1510" i="144"/>
  <c r="P1511" i="144"/>
  <c r="P1512" i="144"/>
  <c r="P1513" i="144"/>
  <c r="P1514" i="144"/>
  <c r="P1515" i="144"/>
  <c r="P1516" i="144"/>
  <c r="P1517" i="144"/>
  <c r="P1518" i="144"/>
  <c r="P1519" i="144"/>
  <c r="P1520" i="144"/>
  <c r="P1521" i="144"/>
  <c r="P1522" i="144"/>
  <c r="P1523" i="144"/>
  <c r="P1524" i="144"/>
  <c r="P1525" i="144"/>
  <c r="P1526" i="144"/>
  <c r="P1527" i="144"/>
  <c r="P1528" i="144"/>
  <c r="P1529" i="144"/>
  <c r="P1531" i="144"/>
  <c r="P1532" i="144"/>
  <c r="P1533" i="144"/>
  <c r="P1534" i="144"/>
  <c r="P1535" i="144"/>
  <c r="P1536" i="144"/>
  <c r="P1537" i="144"/>
  <c r="P1538" i="144"/>
  <c r="P1539" i="144"/>
  <c r="P1540" i="144"/>
  <c r="P1541" i="144"/>
  <c r="P1542" i="144"/>
  <c r="P1543" i="144"/>
  <c r="P1544" i="144"/>
  <c r="P1545" i="144"/>
  <c r="P1546" i="144"/>
  <c r="P1547" i="144"/>
  <c r="P1548" i="144"/>
  <c r="P1549" i="144"/>
  <c r="P1550" i="144"/>
  <c r="P1551" i="144"/>
  <c r="P1552" i="144"/>
  <c r="P1553" i="144"/>
  <c r="P1555" i="144"/>
  <c r="P1556" i="144"/>
  <c r="P1557" i="144"/>
  <c r="P1558" i="144"/>
  <c r="P1559" i="144"/>
  <c r="P1560" i="144"/>
  <c r="P1561" i="144"/>
  <c r="P1562" i="144"/>
  <c r="P1563" i="144"/>
  <c r="P1564" i="144"/>
  <c r="P1565" i="144"/>
  <c r="P1566" i="144"/>
  <c r="P1567" i="144"/>
  <c r="P1568" i="144"/>
  <c r="P1569" i="144"/>
  <c r="P1570" i="144"/>
  <c r="P1571" i="144"/>
  <c r="P1572" i="144"/>
  <c r="P1573" i="144"/>
  <c r="P1574" i="144"/>
  <c r="P1575" i="144"/>
  <c r="P1576" i="144"/>
  <c r="P1577" i="144"/>
  <c r="P1578" i="144"/>
  <c r="P1579" i="144"/>
  <c r="P1580" i="144"/>
  <c r="P1581" i="144"/>
  <c r="P1582" i="144"/>
  <c r="P1583" i="144"/>
  <c r="P1585" i="144"/>
  <c r="P1586" i="144"/>
  <c r="P1588" i="144"/>
  <c r="P1589" i="144"/>
  <c r="P1590" i="144"/>
  <c r="P1591" i="144"/>
  <c r="P1592" i="144"/>
  <c r="P1593" i="144"/>
  <c r="P1594" i="144"/>
  <c r="P1595" i="144"/>
  <c r="P1596" i="144"/>
  <c r="P1597" i="144"/>
  <c r="P1598" i="144"/>
  <c r="P1599" i="144"/>
  <c r="P1600" i="144"/>
  <c r="P1601" i="144"/>
  <c r="P1602" i="144"/>
  <c r="P1603" i="144"/>
  <c r="P1604" i="144"/>
  <c r="P1605" i="144"/>
  <c r="P1606" i="144"/>
  <c r="P1607" i="144"/>
  <c r="P1608" i="144"/>
  <c r="P1609" i="144"/>
  <c r="P1610" i="144"/>
  <c r="P1611" i="144"/>
  <c r="P1612" i="144"/>
  <c r="P1613" i="144"/>
  <c r="P1614" i="144"/>
  <c r="P1615" i="144"/>
  <c r="P1616" i="144"/>
  <c r="P1617" i="144"/>
  <c r="P1618" i="144"/>
  <c r="P1619" i="144"/>
  <c r="P1621" i="144"/>
  <c r="P1622" i="144"/>
  <c r="P1623" i="144"/>
  <c r="P1625" i="144"/>
  <c r="P1626" i="144"/>
  <c r="P1627" i="144"/>
  <c r="P1628" i="144"/>
  <c r="P1629" i="144"/>
  <c r="P1630" i="144"/>
  <c r="P1631" i="144"/>
  <c r="P1632" i="144"/>
  <c r="P1633" i="144"/>
  <c r="P1634" i="144"/>
  <c r="P1635" i="144"/>
  <c r="P1636" i="144"/>
  <c r="P1637" i="144"/>
  <c r="P1638" i="144"/>
  <c r="P1639" i="144"/>
  <c r="P1640" i="144"/>
  <c r="P1641" i="144"/>
  <c r="P1642" i="144"/>
  <c r="P1643" i="144"/>
  <c r="P1644" i="144"/>
  <c r="P1645" i="144"/>
  <c r="P1646" i="144"/>
  <c r="P1647" i="144"/>
  <c r="P1648" i="144"/>
  <c r="P1649" i="144"/>
  <c r="P1650" i="144"/>
  <c r="P1651" i="144"/>
  <c r="P1652" i="144"/>
  <c r="P1653" i="144"/>
  <c r="P1654" i="144"/>
  <c r="P1655" i="144"/>
  <c r="P1656" i="144"/>
  <c r="P1657" i="144"/>
  <c r="P1658" i="144"/>
  <c r="P1659" i="144"/>
  <c r="P1660" i="144"/>
  <c r="P1661" i="144"/>
  <c r="P1663" i="144"/>
  <c r="P1664" i="144"/>
  <c r="P1665" i="144"/>
  <c r="P1666" i="144"/>
  <c r="P1667" i="144"/>
  <c r="B11" i="175" s="1"/>
  <c r="P1669" i="144"/>
  <c r="P1670" i="144"/>
  <c r="P1671" i="144"/>
  <c r="P1673" i="144"/>
  <c r="P1674" i="144"/>
  <c r="P1675" i="144"/>
  <c r="P1676" i="144"/>
  <c r="P1677" i="144"/>
  <c r="P1678" i="144"/>
  <c r="P1679" i="144"/>
  <c r="P1680" i="144"/>
  <c r="P1681" i="144"/>
  <c r="P1682" i="144"/>
  <c r="P1683" i="144"/>
  <c r="P1684" i="144"/>
  <c r="P1685" i="144"/>
  <c r="P1686" i="144"/>
  <c r="P1687" i="144"/>
  <c r="P1688" i="144"/>
  <c r="P1689" i="144"/>
  <c r="P1690" i="144"/>
  <c r="P1691" i="144"/>
  <c r="P1692" i="144"/>
  <c r="P1693" i="144"/>
  <c r="P1694" i="144"/>
  <c r="P1695" i="144"/>
  <c r="P1696" i="144"/>
  <c r="P1697" i="144"/>
  <c r="P1698" i="144"/>
  <c r="P1699" i="144"/>
  <c r="P1700" i="144"/>
  <c r="P1702" i="144"/>
  <c r="P1704" i="144"/>
  <c r="P1705" i="144"/>
  <c r="P1706" i="144"/>
  <c r="P1707" i="144"/>
  <c r="P1708" i="144"/>
  <c r="P1709" i="144"/>
  <c r="P1710" i="144"/>
  <c r="P1711" i="144"/>
  <c r="P1712" i="144"/>
  <c r="P1713" i="144"/>
  <c r="P1714" i="144"/>
  <c r="P1715" i="144"/>
  <c r="P1716" i="144"/>
  <c r="P1717" i="144"/>
  <c r="P1719" i="144"/>
  <c r="P1720" i="144"/>
  <c r="P1721" i="144"/>
  <c r="P1722" i="144"/>
  <c r="P1723" i="144"/>
  <c r="P1724" i="144"/>
  <c r="P1726" i="144"/>
  <c r="P1727" i="144"/>
  <c r="P1728" i="144"/>
  <c r="P1729" i="144"/>
  <c r="P1730" i="144"/>
  <c r="P1731" i="144"/>
  <c r="P1732" i="144"/>
  <c r="P1733" i="144"/>
  <c r="P1735" i="144"/>
  <c r="P1737" i="144"/>
  <c r="P1738" i="144"/>
  <c r="P1739" i="144"/>
  <c r="P1740" i="144"/>
  <c r="P1741" i="144"/>
  <c r="P1742" i="144"/>
  <c r="P1743" i="144"/>
  <c r="P1744" i="144"/>
  <c r="P1745" i="144"/>
  <c r="P1746" i="144"/>
  <c r="P1747" i="144"/>
  <c r="P1748" i="144"/>
  <c r="P1749" i="144"/>
  <c r="P1750" i="144"/>
  <c r="P1751" i="144"/>
  <c r="P1752" i="144"/>
  <c r="P1753" i="144"/>
  <c r="P1754" i="144"/>
  <c r="P1756" i="144"/>
  <c r="P1757" i="144"/>
  <c r="P1758" i="144"/>
  <c r="P1759" i="144"/>
  <c r="P1760" i="144"/>
  <c r="P1761" i="144"/>
  <c r="P1762" i="144"/>
  <c r="P1763" i="144"/>
  <c r="P1764" i="144"/>
  <c r="P1767" i="144"/>
  <c r="P1768" i="144"/>
  <c r="P1769" i="144"/>
  <c r="P1770" i="144"/>
  <c r="P1772" i="144"/>
  <c r="P1773" i="144"/>
  <c r="P1774" i="144"/>
  <c r="P1775" i="144"/>
  <c r="P1776" i="144"/>
  <c r="P1777" i="144"/>
  <c r="P1779" i="144"/>
  <c r="P1780" i="144"/>
  <c r="P1781" i="144"/>
  <c r="P1782" i="144"/>
  <c r="P1783" i="144"/>
  <c r="P1784" i="144"/>
  <c r="P1785" i="144"/>
  <c r="P1786" i="144"/>
  <c r="P1787" i="144"/>
  <c r="P1788" i="144"/>
  <c r="P1789" i="144"/>
  <c r="P1790" i="144"/>
  <c r="P1791" i="144"/>
  <c r="P1792" i="144"/>
  <c r="P1793" i="144"/>
  <c r="P1794" i="144"/>
  <c r="P1795" i="144"/>
  <c r="P1796" i="144"/>
  <c r="P1797" i="144"/>
  <c r="P1798" i="144"/>
  <c r="P1799" i="144"/>
  <c r="P1800" i="144"/>
  <c r="P1801" i="144"/>
  <c r="P1802" i="144"/>
  <c r="P1803" i="144"/>
  <c r="P1804" i="144"/>
  <c r="P1805" i="144"/>
  <c r="P1806" i="144"/>
  <c r="P1807" i="144"/>
  <c r="P1808" i="144"/>
  <c r="P1809" i="144"/>
  <c r="P1810" i="144"/>
  <c r="P1811" i="144"/>
  <c r="P1812" i="144"/>
  <c r="P1813" i="144"/>
  <c r="P1815" i="144"/>
  <c r="P1816" i="144"/>
  <c r="P1817" i="144"/>
  <c r="P1818" i="144"/>
  <c r="P1819" i="144"/>
  <c r="P1820" i="144"/>
  <c r="P1821" i="144"/>
  <c r="P1822" i="144"/>
  <c r="P1823" i="144"/>
  <c r="P1824" i="144"/>
  <c r="P1825" i="144"/>
  <c r="P1826" i="144"/>
  <c r="P1827" i="144"/>
  <c r="P1828" i="144"/>
  <c r="P1829" i="144"/>
  <c r="P1830" i="144"/>
  <c r="P1831" i="144"/>
  <c r="P1832" i="144"/>
  <c r="P1833" i="144"/>
  <c r="P1834" i="144"/>
  <c r="P1835" i="144"/>
  <c r="P1836" i="144"/>
  <c r="P1837" i="144"/>
  <c r="P1839" i="144"/>
  <c r="P1842" i="144"/>
  <c r="P1843" i="144"/>
  <c r="P1844" i="144"/>
  <c r="P1845" i="144"/>
  <c r="P1846" i="144"/>
  <c r="P1847" i="144"/>
  <c r="P1848" i="144"/>
  <c r="P1849" i="144"/>
  <c r="P1850" i="144"/>
  <c r="P1851" i="144"/>
  <c r="P1852" i="144"/>
  <c r="P1853" i="144"/>
  <c r="P1854" i="144"/>
  <c r="P1855" i="144"/>
  <c r="P1856" i="144"/>
  <c r="P1857" i="144"/>
  <c r="P1858" i="144"/>
  <c r="P1859" i="144"/>
  <c r="P1860" i="144"/>
  <c r="P1861" i="144"/>
  <c r="P1862" i="144"/>
  <c r="P1863" i="144"/>
  <c r="P1864" i="144"/>
  <c r="P1865" i="144"/>
  <c r="P1866" i="144"/>
  <c r="P1867" i="144"/>
  <c r="P1868" i="144"/>
  <c r="P1869" i="144"/>
  <c r="P1870" i="144"/>
  <c r="P1871" i="144"/>
  <c r="P1872" i="144"/>
  <c r="P1873" i="144"/>
  <c r="P1874" i="144"/>
  <c r="P1875" i="144"/>
  <c r="P1876" i="144"/>
  <c r="P1877" i="144"/>
  <c r="P1878" i="144"/>
  <c r="P1879" i="144"/>
  <c r="P1880" i="144"/>
  <c r="P1881" i="144"/>
  <c r="P1882" i="144"/>
  <c r="P1883" i="144"/>
  <c r="P1884" i="144"/>
  <c r="G17" i="170" s="1"/>
  <c r="P1885" i="144"/>
  <c r="P1886" i="144"/>
  <c r="G15" i="170" s="1"/>
  <c r="P1887" i="144"/>
  <c r="P1888" i="144"/>
  <c r="G14" i="170" s="1"/>
  <c r="P1889" i="144"/>
  <c r="P1890" i="144"/>
  <c r="G21" i="170" s="1"/>
  <c r="P1891" i="144"/>
  <c r="P1892" i="144"/>
  <c r="G20" i="170" s="1"/>
  <c r="P1893" i="144"/>
  <c r="P1894" i="144"/>
  <c r="P1895" i="144"/>
  <c r="P1896" i="144"/>
  <c r="G30" i="170" s="1"/>
  <c r="P1897" i="144"/>
  <c r="P1898" i="144"/>
  <c r="P1899" i="144"/>
  <c r="P1900" i="144"/>
  <c r="P1901" i="144"/>
  <c r="P1902" i="144"/>
  <c r="P1903" i="144"/>
  <c r="P1904" i="144"/>
  <c r="P1905" i="144"/>
  <c r="P1906" i="144"/>
  <c r="P1907" i="144"/>
  <c r="P1908" i="144"/>
  <c r="P1909" i="144"/>
  <c r="P1910" i="144"/>
  <c r="P1912" i="144"/>
  <c r="P1913" i="144"/>
  <c r="P1914" i="144"/>
  <c r="P1915" i="144"/>
  <c r="P1916" i="144"/>
  <c r="P1917" i="144"/>
  <c r="P1918" i="144"/>
  <c r="P1919" i="144"/>
  <c r="P1920" i="144"/>
  <c r="P1921" i="144"/>
  <c r="P1923" i="144"/>
  <c r="P1924" i="144"/>
  <c r="P1925" i="144"/>
  <c r="P1926" i="144"/>
  <c r="P1927" i="144"/>
  <c r="P1928" i="144"/>
  <c r="P1929" i="144"/>
  <c r="P1930" i="144"/>
  <c r="P1931" i="144"/>
  <c r="P1932" i="144"/>
  <c r="P1933" i="144"/>
  <c r="P1934" i="144"/>
  <c r="P1935" i="144"/>
  <c r="P1936" i="144"/>
  <c r="P1937" i="144"/>
  <c r="P1938" i="144"/>
  <c r="P1939" i="144"/>
  <c r="P1940" i="144"/>
  <c r="P1941" i="144"/>
  <c r="P1942" i="144"/>
  <c r="P1943" i="144"/>
  <c r="P1944" i="144"/>
  <c r="P1945" i="144"/>
  <c r="P1946" i="144"/>
  <c r="P1947" i="144"/>
  <c r="P1948" i="144"/>
  <c r="P1949" i="144"/>
  <c r="P1950" i="144"/>
  <c r="P1951" i="144"/>
  <c r="P1952" i="144"/>
  <c r="P1953" i="144"/>
  <c r="P1954" i="144"/>
  <c r="P1955" i="144"/>
  <c r="P1956" i="144"/>
  <c r="P1957" i="144"/>
  <c r="P1958" i="144"/>
  <c r="P1961" i="144"/>
  <c r="P1962" i="144"/>
  <c r="P1963" i="144"/>
  <c r="P1964" i="144"/>
  <c r="P1965" i="144"/>
  <c r="P1966" i="144"/>
  <c r="P1967" i="144"/>
  <c r="P1968" i="144"/>
  <c r="P1969" i="144"/>
  <c r="P1970" i="144"/>
  <c r="P1971" i="144"/>
  <c r="P1972" i="144"/>
  <c r="P1974" i="144"/>
  <c r="P1975" i="144"/>
  <c r="P1976" i="144"/>
  <c r="P1977" i="144"/>
  <c r="P1978" i="144"/>
  <c r="P1979" i="144"/>
  <c r="P1980" i="144"/>
  <c r="P1981" i="144"/>
  <c r="P1982" i="144"/>
  <c r="P1984" i="144"/>
  <c r="P1988" i="144"/>
  <c r="P8" i="144"/>
  <c r="P7" i="144"/>
  <c r="Q9" i="144"/>
  <c r="Q10" i="144"/>
  <c r="Q11" i="144"/>
  <c r="Q12" i="144"/>
  <c r="Q13" i="144"/>
  <c r="Q14" i="144"/>
  <c r="Q15" i="144"/>
  <c r="Q16" i="144"/>
  <c r="Q17" i="144"/>
  <c r="Q18" i="144"/>
  <c r="Q19" i="144"/>
  <c r="Q20" i="144"/>
  <c r="Q21" i="144"/>
  <c r="Q22" i="144"/>
  <c r="Q23" i="144"/>
  <c r="Q24" i="144"/>
  <c r="Q25" i="144"/>
  <c r="Q26" i="144"/>
  <c r="Q27" i="144"/>
  <c r="Q28" i="144"/>
  <c r="Q29" i="144"/>
  <c r="Q30" i="144"/>
  <c r="Q31" i="144"/>
  <c r="Q32" i="144"/>
  <c r="Q33" i="144"/>
  <c r="Q35" i="144"/>
  <c r="Q36" i="144"/>
  <c r="Q37" i="144"/>
  <c r="Q38" i="144"/>
  <c r="Q39" i="144"/>
  <c r="Q40" i="144"/>
  <c r="Q41" i="144"/>
  <c r="Q42" i="144"/>
  <c r="Q43" i="144"/>
  <c r="Q44" i="144"/>
  <c r="Q45" i="144"/>
  <c r="Q46" i="144"/>
  <c r="Q47" i="144"/>
  <c r="Q48" i="144"/>
  <c r="Q49" i="144"/>
  <c r="Q50" i="144"/>
  <c r="Q51" i="144"/>
  <c r="Q52" i="144"/>
  <c r="Q53" i="144"/>
  <c r="Q54" i="144"/>
  <c r="Q55" i="144"/>
  <c r="Q56" i="144"/>
  <c r="Q57" i="144"/>
  <c r="Q58" i="144"/>
  <c r="Q59" i="144"/>
  <c r="Q61" i="144"/>
  <c r="Q62" i="144"/>
  <c r="Q63" i="144"/>
  <c r="Q64" i="144"/>
  <c r="Q65" i="144"/>
  <c r="Q66" i="144"/>
  <c r="Q67" i="144"/>
  <c r="Q69" i="144"/>
  <c r="F27" i="170" s="1"/>
  <c r="Q70" i="144"/>
  <c r="Q72" i="144"/>
  <c r="Q73" i="144"/>
  <c r="Q74" i="144"/>
  <c r="Q75" i="144"/>
  <c r="Q76" i="144"/>
  <c r="Q77" i="144"/>
  <c r="Q78" i="144"/>
  <c r="Q79" i="144"/>
  <c r="Q80" i="144"/>
  <c r="Q81" i="144"/>
  <c r="Q82" i="144"/>
  <c r="Q83" i="144"/>
  <c r="Q84" i="144"/>
  <c r="Q85" i="144"/>
  <c r="Q86" i="144"/>
  <c r="Q87" i="144"/>
  <c r="Q88" i="144"/>
  <c r="Q89" i="144"/>
  <c r="Q90" i="144"/>
  <c r="Q91" i="144"/>
  <c r="Q92" i="144"/>
  <c r="Q93" i="144"/>
  <c r="Q94" i="144"/>
  <c r="Q95" i="144"/>
  <c r="Q96" i="144"/>
  <c r="Q99" i="144"/>
  <c r="Q100" i="144"/>
  <c r="Q101" i="144"/>
  <c r="Q102" i="144"/>
  <c r="Q103" i="144"/>
  <c r="Q104" i="144"/>
  <c r="Q105" i="144"/>
  <c r="Q106" i="144"/>
  <c r="Q107" i="144"/>
  <c r="Q108" i="144"/>
  <c r="Q109" i="144"/>
  <c r="Q110" i="144"/>
  <c r="Q111" i="144"/>
  <c r="Q112" i="144"/>
  <c r="Q113" i="144"/>
  <c r="Q114" i="144"/>
  <c r="Q115" i="144"/>
  <c r="Q116" i="144"/>
  <c r="Q117" i="144"/>
  <c r="Q118" i="144"/>
  <c r="Q119" i="144"/>
  <c r="Q120" i="144"/>
  <c r="Q121" i="144"/>
  <c r="Q122" i="144"/>
  <c r="Q123" i="144"/>
  <c r="Q124" i="144"/>
  <c r="Q125" i="144"/>
  <c r="Q126" i="144"/>
  <c r="Q127" i="144"/>
  <c r="Q128" i="144"/>
  <c r="Q129" i="144"/>
  <c r="Q130" i="144"/>
  <c r="Q131" i="144"/>
  <c r="Q132" i="144"/>
  <c r="Q133" i="144"/>
  <c r="Q134" i="144"/>
  <c r="Q135" i="144"/>
  <c r="Q136" i="144"/>
  <c r="Q137" i="144"/>
  <c r="Q138" i="144"/>
  <c r="Q139" i="144"/>
  <c r="Q140" i="144"/>
  <c r="Q141" i="144"/>
  <c r="Q142" i="144"/>
  <c r="Q144" i="144"/>
  <c r="Q145" i="144"/>
  <c r="Q146" i="144"/>
  <c r="Q147" i="144"/>
  <c r="Q148" i="144"/>
  <c r="Q149" i="144"/>
  <c r="Q150" i="144"/>
  <c r="Q151" i="144"/>
  <c r="Q152" i="144"/>
  <c r="Q153" i="144"/>
  <c r="Q154" i="144"/>
  <c r="Q155" i="144"/>
  <c r="Q156" i="144"/>
  <c r="Q157" i="144"/>
  <c r="Q158" i="144"/>
  <c r="Q159" i="144"/>
  <c r="Q160" i="144"/>
  <c r="Q161" i="144"/>
  <c r="Q162" i="144"/>
  <c r="Q163" i="144"/>
  <c r="Q164" i="144"/>
  <c r="Q165" i="144"/>
  <c r="Q166" i="144"/>
  <c r="Q167" i="144"/>
  <c r="Q168" i="144"/>
  <c r="Q169" i="144"/>
  <c r="Q170" i="144"/>
  <c r="Q171" i="144"/>
  <c r="Q172" i="144"/>
  <c r="Q173" i="144"/>
  <c r="Q175" i="144"/>
  <c r="Q176" i="144"/>
  <c r="Q177" i="144"/>
  <c r="Q179" i="144"/>
  <c r="Q180" i="144"/>
  <c r="Q181" i="144"/>
  <c r="Q182" i="144"/>
  <c r="Q183" i="144"/>
  <c r="Q184" i="144"/>
  <c r="Q185" i="144"/>
  <c r="Q186" i="144"/>
  <c r="Q187" i="144"/>
  <c r="Q188" i="144"/>
  <c r="Q189" i="144"/>
  <c r="Q190" i="144"/>
  <c r="Q192" i="144"/>
  <c r="Q193" i="144"/>
  <c r="Q194" i="144"/>
  <c r="Q196" i="144"/>
  <c r="Q197" i="144"/>
  <c r="Q198" i="144"/>
  <c r="Q199" i="144"/>
  <c r="Q200" i="144"/>
  <c r="Q201" i="144"/>
  <c r="Q202" i="144"/>
  <c r="Q203" i="144"/>
  <c r="Q204" i="144"/>
  <c r="Q205" i="144"/>
  <c r="Q206" i="144"/>
  <c r="Q207" i="144"/>
  <c r="Q208" i="144"/>
  <c r="Q209" i="144"/>
  <c r="Q210" i="144"/>
  <c r="Q211" i="144"/>
  <c r="Q213" i="144"/>
  <c r="Q214" i="144"/>
  <c r="Q215" i="144"/>
  <c r="Q216" i="144"/>
  <c r="Q217" i="144"/>
  <c r="Q218" i="144"/>
  <c r="Q219" i="144"/>
  <c r="Q220" i="144"/>
  <c r="Q221" i="144"/>
  <c r="Q222" i="144"/>
  <c r="Q223" i="144"/>
  <c r="Q224" i="144"/>
  <c r="Q225" i="144"/>
  <c r="Q226" i="144"/>
  <c r="Q227" i="144"/>
  <c r="Q228" i="144"/>
  <c r="Q229" i="144"/>
  <c r="Q230" i="144"/>
  <c r="Q231" i="144"/>
  <c r="Q232" i="144"/>
  <c r="Q233" i="144"/>
  <c r="Q234" i="144"/>
  <c r="Q235" i="144"/>
  <c r="Q236" i="144"/>
  <c r="Q237" i="144"/>
  <c r="Q238" i="144"/>
  <c r="Q239" i="144"/>
  <c r="Q240" i="144"/>
  <c r="Q241" i="144"/>
  <c r="Q242" i="144"/>
  <c r="Q243" i="144"/>
  <c r="Q244" i="144"/>
  <c r="Q245" i="144"/>
  <c r="Q246" i="144"/>
  <c r="Q247" i="144"/>
  <c r="Q248" i="144"/>
  <c r="Q249" i="144"/>
  <c r="Q250" i="144"/>
  <c r="F9" i="170" s="1"/>
  <c r="Q251" i="144"/>
  <c r="F11" i="170" s="1"/>
  <c r="Q252" i="144"/>
  <c r="F7" i="170" s="1"/>
  <c r="Q253" i="144"/>
  <c r="F8" i="170" s="1"/>
  <c r="Q254" i="144"/>
  <c r="Q255" i="144"/>
  <c r="Q256" i="144"/>
  <c r="Q257" i="144"/>
  <c r="Q258" i="144"/>
  <c r="Q259" i="144"/>
  <c r="Q260" i="144"/>
  <c r="Q261" i="144"/>
  <c r="Q262" i="144"/>
  <c r="Q263" i="144"/>
  <c r="Q264" i="144"/>
  <c r="Q265" i="144"/>
  <c r="Q266" i="144"/>
  <c r="Q267" i="144"/>
  <c r="Q268" i="144"/>
  <c r="Q269" i="144"/>
  <c r="Q270" i="144"/>
  <c r="Q271" i="144"/>
  <c r="Q273" i="144"/>
  <c r="Q274" i="144"/>
  <c r="Q275" i="144"/>
  <c r="Q276" i="144"/>
  <c r="Q277" i="144"/>
  <c r="Q278" i="144"/>
  <c r="Q279" i="144"/>
  <c r="Q280" i="144"/>
  <c r="Q281" i="144"/>
  <c r="Q282" i="144"/>
  <c r="Q283" i="144"/>
  <c r="Q284" i="144"/>
  <c r="Q285" i="144"/>
  <c r="Q286" i="144"/>
  <c r="Q288" i="144"/>
  <c r="Q289" i="144"/>
  <c r="Q290" i="144"/>
  <c r="Q291" i="144"/>
  <c r="Q292" i="144"/>
  <c r="Q293" i="144"/>
  <c r="Q294" i="144"/>
  <c r="Q295" i="144"/>
  <c r="Q297" i="144"/>
  <c r="Q298" i="144"/>
  <c r="Q299" i="144"/>
  <c r="Q300" i="144"/>
  <c r="Q301" i="144"/>
  <c r="Q302" i="144"/>
  <c r="Q303" i="144"/>
  <c r="Q304" i="144"/>
  <c r="Q305" i="144"/>
  <c r="Q306" i="144"/>
  <c r="Q307" i="144"/>
  <c r="Q308" i="144"/>
  <c r="Q309" i="144"/>
  <c r="Q310" i="144"/>
  <c r="Q311" i="144"/>
  <c r="Q312" i="144"/>
  <c r="Q313" i="144"/>
  <c r="Q314" i="144"/>
  <c r="Q315" i="144"/>
  <c r="Q316" i="144"/>
  <c r="Q317" i="144"/>
  <c r="Q318" i="144"/>
  <c r="Q319" i="144"/>
  <c r="Q320" i="144"/>
  <c r="Q321" i="144"/>
  <c r="Q322" i="144"/>
  <c r="Q323" i="144"/>
  <c r="Q324" i="144"/>
  <c r="Q325" i="144"/>
  <c r="Q326" i="144"/>
  <c r="Q327" i="144"/>
  <c r="Q328" i="144"/>
  <c r="Q329" i="144"/>
  <c r="Q330" i="144"/>
  <c r="Q331" i="144"/>
  <c r="Q332" i="144"/>
  <c r="Q333" i="144"/>
  <c r="Q334" i="144"/>
  <c r="Q335" i="144"/>
  <c r="Q336" i="144"/>
  <c r="Q337" i="144"/>
  <c r="Q338" i="144"/>
  <c r="Q339" i="144"/>
  <c r="Q340" i="144"/>
  <c r="Q341" i="144"/>
  <c r="Q342" i="144"/>
  <c r="Q343" i="144"/>
  <c r="Q344" i="144"/>
  <c r="Q345" i="144"/>
  <c r="Q347" i="144"/>
  <c r="Q349" i="144"/>
  <c r="Q350" i="144"/>
  <c r="Q352" i="144"/>
  <c r="Q353" i="144"/>
  <c r="Q354" i="144"/>
  <c r="Q355" i="144"/>
  <c r="Q356" i="144"/>
  <c r="Q357" i="144"/>
  <c r="Q358" i="144"/>
  <c r="Q359" i="144"/>
  <c r="Q360" i="144"/>
  <c r="Q361" i="144"/>
  <c r="Q362" i="144"/>
  <c r="Q363" i="144"/>
  <c r="Q366" i="144"/>
  <c r="Q367" i="144"/>
  <c r="Q368" i="144"/>
  <c r="Q369" i="144"/>
  <c r="Q370" i="144"/>
  <c r="Q371" i="144"/>
  <c r="Q372" i="144"/>
  <c r="Q373" i="144"/>
  <c r="Q374" i="144"/>
  <c r="Q375" i="144"/>
  <c r="Q376" i="144"/>
  <c r="Q378" i="144"/>
  <c r="Q379" i="144"/>
  <c r="Q380" i="144"/>
  <c r="Q381" i="144"/>
  <c r="Q382" i="144"/>
  <c r="Q383" i="144"/>
  <c r="Q384" i="144"/>
  <c r="Q385" i="144"/>
  <c r="Q386" i="144"/>
  <c r="Q387" i="144"/>
  <c r="Q388" i="144"/>
  <c r="Q389" i="144"/>
  <c r="Q390" i="144"/>
  <c r="Q391" i="144"/>
  <c r="Q392" i="144"/>
  <c r="Q393" i="144"/>
  <c r="Q394" i="144"/>
  <c r="Q395" i="144"/>
  <c r="Q396" i="144"/>
  <c r="Q397" i="144"/>
  <c r="Q398" i="144"/>
  <c r="Q399" i="144"/>
  <c r="Q400" i="144"/>
  <c r="Q401" i="144"/>
  <c r="Q402" i="144"/>
  <c r="Q403" i="144"/>
  <c r="Q404" i="144"/>
  <c r="Q405" i="144"/>
  <c r="Q406" i="144"/>
  <c r="Q407" i="144"/>
  <c r="Q408" i="144"/>
  <c r="Q409" i="144"/>
  <c r="Q410" i="144"/>
  <c r="Q411" i="144"/>
  <c r="Q412" i="144"/>
  <c r="Q413" i="144"/>
  <c r="Q414" i="144"/>
  <c r="Q415" i="144"/>
  <c r="Q416" i="144"/>
  <c r="Q417" i="144"/>
  <c r="Q418" i="144"/>
  <c r="Q419" i="144"/>
  <c r="Q420" i="144"/>
  <c r="Q421" i="144"/>
  <c r="Q422" i="144"/>
  <c r="Q423" i="144"/>
  <c r="Q424" i="144"/>
  <c r="Q425" i="144"/>
  <c r="Q426" i="144"/>
  <c r="Q427" i="144"/>
  <c r="Q428" i="144"/>
  <c r="Q429" i="144"/>
  <c r="Q430" i="144"/>
  <c r="Q432" i="144"/>
  <c r="Q433" i="144"/>
  <c r="Q434" i="144"/>
  <c r="Q435" i="144"/>
  <c r="Q436" i="144"/>
  <c r="Q437" i="144"/>
  <c r="Q438" i="144"/>
  <c r="Q439" i="144"/>
  <c r="Q440" i="144"/>
  <c r="Q441" i="144"/>
  <c r="Q442" i="144"/>
  <c r="Q443" i="144"/>
  <c r="Q444" i="144"/>
  <c r="Q445" i="144"/>
  <c r="Q447" i="144"/>
  <c r="Q448" i="144"/>
  <c r="Q450" i="144"/>
  <c r="Q451" i="144"/>
  <c r="Q452" i="144"/>
  <c r="Q453" i="144"/>
  <c r="Q454" i="144"/>
  <c r="Q455" i="144"/>
  <c r="Q456" i="144"/>
  <c r="Q457" i="144"/>
  <c r="Q458" i="144"/>
  <c r="Q459" i="144"/>
  <c r="Q462" i="144"/>
  <c r="Q464" i="144"/>
  <c r="Q465" i="144"/>
  <c r="Q466" i="144"/>
  <c r="Q467" i="144"/>
  <c r="Q468" i="144"/>
  <c r="Q469" i="144"/>
  <c r="Q470" i="144"/>
  <c r="Q471" i="144"/>
  <c r="Q472" i="144"/>
  <c r="Q473" i="144"/>
  <c r="Q474" i="144"/>
  <c r="Q475" i="144"/>
  <c r="Q476" i="144"/>
  <c r="Q477" i="144"/>
  <c r="Q478" i="144"/>
  <c r="Q479" i="144"/>
  <c r="Q480" i="144"/>
  <c r="Q481" i="144"/>
  <c r="Q482" i="144"/>
  <c r="Q483" i="144"/>
  <c r="Q484" i="144"/>
  <c r="Q485" i="144"/>
  <c r="Q486" i="144"/>
  <c r="Q487" i="144"/>
  <c r="Q488" i="144"/>
  <c r="Q489" i="144"/>
  <c r="Q490" i="144"/>
  <c r="Q491" i="144"/>
  <c r="Q492" i="144"/>
  <c r="Q493" i="144"/>
  <c r="Q494" i="144"/>
  <c r="Q495" i="144"/>
  <c r="Q496" i="144"/>
  <c r="Q497" i="144"/>
  <c r="Q499" i="144"/>
  <c r="Q500" i="144"/>
  <c r="Q501" i="144"/>
  <c r="Q502" i="144"/>
  <c r="Q503" i="144"/>
  <c r="Q504" i="144"/>
  <c r="Q505" i="144"/>
  <c r="Q506" i="144"/>
  <c r="Q507" i="144"/>
  <c r="Q508" i="144"/>
  <c r="Q509" i="144"/>
  <c r="Q510" i="144"/>
  <c r="Q511" i="144"/>
  <c r="Q512" i="144"/>
  <c r="Q513" i="144"/>
  <c r="Q514" i="144"/>
  <c r="Q515" i="144"/>
  <c r="Q516" i="144"/>
  <c r="Q517" i="144"/>
  <c r="Q518" i="144"/>
  <c r="Q519" i="144"/>
  <c r="Q520" i="144"/>
  <c r="Q521" i="144"/>
  <c r="Q522" i="144"/>
  <c r="Q523" i="144"/>
  <c r="Q524" i="144"/>
  <c r="Q525" i="144"/>
  <c r="Q526" i="144"/>
  <c r="Q527" i="144"/>
  <c r="Q528" i="144"/>
  <c r="Q529" i="144"/>
  <c r="Q530" i="144"/>
  <c r="Q531" i="144"/>
  <c r="Q532" i="144"/>
  <c r="Q533" i="144"/>
  <c r="Q534" i="144"/>
  <c r="Q535" i="144"/>
  <c r="Q536" i="144"/>
  <c r="Q537" i="144"/>
  <c r="Q538" i="144"/>
  <c r="Q539" i="144"/>
  <c r="Q540" i="144"/>
  <c r="Q541" i="144"/>
  <c r="Q542" i="144"/>
  <c r="Q543" i="144"/>
  <c r="Q544" i="144"/>
  <c r="Q545" i="144"/>
  <c r="Q546" i="144"/>
  <c r="Q547" i="144"/>
  <c r="Q548" i="144"/>
  <c r="Q549" i="144"/>
  <c r="Q550" i="144"/>
  <c r="Q552" i="144"/>
  <c r="Q553" i="144"/>
  <c r="Q554" i="144"/>
  <c r="Q555" i="144"/>
  <c r="Q556" i="144"/>
  <c r="Q558" i="144"/>
  <c r="Q559" i="144"/>
  <c r="Q560" i="144"/>
  <c r="Q561" i="144"/>
  <c r="Q563" i="144"/>
  <c r="Q564" i="144"/>
  <c r="Q565" i="144"/>
  <c r="Q566" i="144"/>
  <c r="Q567" i="144"/>
  <c r="Q568" i="144"/>
  <c r="Q569" i="144"/>
  <c r="Q570" i="144"/>
  <c r="Q571" i="144"/>
  <c r="Q572" i="144"/>
  <c r="Q573" i="144"/>
  <c r="Q574" i="144"/>
  <c r="Q575" i="144"/>
  <c r="Q576" i="144"/>
  <c r="Q577" i="144"/>
  <c r="Q578" i="144"/>
  <c r="Q579" i="144"/>
  <c r="Q580" i="144"/>
  <c r="Q581" i="144"/>
  <c r="Q583" i="144"/>
  <c r="Q584" i="144"/>
  <c r="Q586" i="144"/>
  <c r="Q587" i="144"/>
  <c r="Q588" i="144"/>
  <c r="Q589" i="144"/>
  <c r="Q590" i="144"/>
  <c r="Q591" i="144"/>
  <c r="Q592" i="144"/>
  <c r="Q593" i="144"/>
  <c r="Q594" i="144"/>
  <c r="Q595" i="144"/>
  <c r="Q597" i="144"/>
  <c r="Q598" i="144"/>
  <c r="Q599" i="144"/>
  <c r="Q601" i="144"/>
  <c r="Q602" i="144"/>
  <c r="Q603" i="144"/>
  <c r="Q604" i="144"/>
  <c r="Q605" i="144"/>
  <c r="Q606" i="144"/>
  <c r="Q607" i="144"/>
  <c r="Q608" i="144"/>
  <c r="Q610" i="144"/>
  <c r="Q611" i="144"/>
  <c r="Q612" i="144"/>
  <c r="Q613" i="144"/>
  <c r="Q614" i="144"/>
  <c r="Q615" i="144"/>
  <c r="Q616" i="144"/>
  <c r="Q617" i="144"/>
  <c r="Q618" i="144"/>
  <c r="Q619" i="144"/>
  <c r="Q620" i="144"/>
  <c r="Q621" i="144"/>
  <c r="Q623" i="144"/>
  <c r="Q624" i="144"/>
  <c r="Q625" i="144"/>
  <c r="Q626" i="144"/>
  <c r="Q627" i="144"/>
  <c r="Q628" i="144"/>
  <c r="Q629" i="144"/>
  <c r="Q631" i="144"/>
  <c r="Q632" i="144"/>
  <c r="Q634" i="144"/>
  <c r="Q635" i="144"/>
  <c r="Q636" i="144"/>
  <c r="Q637" i="144"/>
  <c r="Q638" i="144"/>
  <c r="Q639" i="144"/>
  <c r="Q640" i="144"/>
  <c r="Q641" i="144"/>
  <c r="Q642" i="144"/>
  <c r="Q643" i="144"/>
  <c r="Q645" i="144"/>
  <c r="Q647" i="144"/>
  <c r="Q648" i="144"/>
  <c r="Q649" i="144"/>
  <c r="Q650" i="144"/>
  <c r="Q651" i="144"/>
  <c r="Q652" i="144"/>
  <c r="Q653" i="144"/>
  <c r="Q654" i="144"/>
  <c r="Q655" i="144"/>
  <c r="Q657" i="144"/>
  <c r="Q658" i="144"/>
  <c r="F25" i="170" s="1"/>
  <c r="Q659" i="144"/>
  <c r="F24" i="170" s="1"/>
  <c r="Q660" i="144"/>
  <c r="Q661" i="144"/>
  <c r="Q662" i="144"/>
  <c r="Q663" i="144"/>
  <c r="Q664" i="144"/>
  <c r="Q665" i="144"/>
  <c r="Q666" i="144"/>
  <c r="Q667" i="144"/>
  <c r="Q668" i="144"/>
  <c r="Q669" i="144"/>
  <c r="Q670" i="144"/>
  <c r="Q671" i="144"/>
  <c r="Q672" i="144"/>
  <c r="Q673" i="144"/>
  <c r="Q674" i="144"/>
  <c r="Q675" i="144"/>
  <c r="Q676" i="144"/>
  <c r="Q677" i="144"/>
  <c r="Q678" i="144"/>
  <c r="Q680" i="144"/>
  <c r="Q681" i="144"/>
  <c r="Q682" i="144"/>
  <c r="Q683" i="144"/>
  <c r="Q684" i="144"/>
  <c r="Q685" i="144"/>
  <c r="Q686" i="144"/>
  <c r="Q687" i="144"/>
  <c r="Q688" i="144"/>
  <c r="Q689" i="144"/>
  <c r="Q690" i="144"/>
  <c r="Q691" i="144"/>
  <c r="Q692" i="144"/>
  <c r="Q693" i="144"/>
  <c r="Q694" i="144"/>
  <c r="Q695" i="144"/>
  <c r="Q697" i="144"/>
  <c r="Q698" i="144"/>
  <c r="Q699" i="144"/>
  <c r="Q700" i="144"/>
  <c r="Q701" i="144"/>
  <c r="Q702" i="144"/>
  <c r="Q703" i="144"/>
  <c r="Q704" i="144"/>
  <c r="Q705" i="144"/>
  <c r="Q706" i="144"/>
  <c r="Q707" i="144"/>
  <c r="Q708" i="144"/>
  <c r="Q709" i="144"/>
  <c r="Q710" i="144"/>
  <c r="Q711" i="144"/>
  <c r="Q712" i="144"/>
  <c r="Q713" i="144"/>
  <c r="Q714" i="144"/>
  <c r="Q715" i="144"/>
  <c r="Q716" i="144"/>
  <c r="Q717" i="144"/>
  <c r="Q718" i="144"/>
  <c r="Q719" i="144"/>
  <c r="Q720" i="144"/>
  <c r="Q721" i="144"/>
  <c r="Q722" i="144"/>
  <c r="Q723" i="144"/>
  <c r="Q724" i="144"/>
  <c r="Q725" i="144"/>
  <c r="Q726" i="144"/>
  <c r="Q727" i="144"/>
  <c r="Q728" i="144"/>
  <c r="Q729" i="144"/>
  <c r="Q730" i="144"/>
  <c r="Q731" i="144"/>
  <c r="Q732" i="144"/>
  <c r="Q733" i="144"/>
  <c r="Q734" i="144"/>
  <c r="Q735" i="144"/>
  <c r="Q736" i="144"/>
  <c r="Q737" i="144"/>
  <c r="Q738" i="144"/>
  <c r="Q739" i="144"/>
  <c r="Q740" i="144"/>
  <c r="Q741" i="144"/>
  <c r="Q742" i="144"/>
  <c r="Q743" i="144"/>
  <c r="Q744" i="144"/>
  <c r="F12" i="170" s="1"/>
  <c r="Q745" i="144"/>
  <c r="Q746" i="144"/>
  <c r="Q747" i="144"/>
  <c r="Q748" i="144"/>
  <c r="Q749" i="144"/>
  <c r="Q750" i="144"/>
  <c r="Q751" i="144"/>
  <c r="Q752" i="144"/>
  <c r="Q753" i="144"/>
  <c r="Q754" i="144"/>
  <c r="Q755" i="144"/>
  <c r="Q756" i="144"/>
  <c r="Q757" i="144"/>
  <c r="Q758" i="144"/>
  <c r="Q759" i="144"/>
  <c r="Q760" i="144"/>
  <c r="Q761" i="144"/>
  <c r="Q762" i="144"/>
  <c r="Q763" i="144"/>
  <c r="Q764" i="144"/>
  <c r="Q765" i="144"/>
  <c r="Q766" i="144"/>
  <c r="Q767" i="144"/>
  <c r="Q768" i="144"/>
  <c r="Q769" i="144"/>
  <c r="Q770" i="144"/>
  <c r="Q771" i="144"/>
  <c r="Q772" i="144"/>
  <c r="Q773" i="144"/>
  <c r="Q774" i="144"/>
  <c r="Q775" i="144"/>
  <c r="Q776" i="144"/>
  <c r="Q777" i="144"/>
  <c r="Q778" i="144"/>
  <c r="Q779" i="144"/>
  <c r="Q780" i="144"/>
  <c r="Q782" i="144"/>
  <c r="Q783" i="144"/>
  <c r="Q784" i="144"/>
  <c r="Q785" i="144"/>
  <c r="Q786" i="144"/>
  <c r="Q787" i="144"/>
  <c r="Q788" i="144"/>
  <c r="Q789" i="144"/>
  <c r="Q790" i="144"/>
  <c r="Q791" i="144"/>
  <c r="Q792" i="144"/>
  <c r="Q793" i="144"/>
  <c r="Q794" i="144"/>
  <c r="Q795" i="144"/>
  <c r="Q796" i="144"/>
  <c r="Q797" i="144"/>
  <c r="Q798" i="144"/>
  <c r="Q799" i="144"/>
  <c r="Q800" i="144"/>
  <c r="Q801" i="144"/>
  <c r="Q802" i="144"/>
  <c r="Q803" i="144"/>
  <c r="Q804" i="144"/>
  <c r="Q805" i="144"/>
  <c r="Q806" i="144"/>
  <c r="Q807" i="144"/>
  <c r="Q808" i="144"/>
  <c r="Q809" i="144"/>
  <c r="Q810" i="144"/>
  <c r="Q811" i="144"/>
  <c r="Q812" i="144"/>
  <c r="Q814" i="144"/>
  <c r="Q815" i="144"/>
  <c r="Q816" i="144"/>
  <c r="Q818" i="144"/>
  <c r="Q819" i="144"/>
  <c r="Q820" i="144"/>
  <c r="Q821" i="144"/>
  <c r="Q822" i="144"/>
  <c r="Q823" i="144"/>
  <c r="Q824" i="144"/>
  <c r="Q825" i="144"/>
  <c r="Q826" i="144"/>
  <c r="Q827" i="144"/>
  <c r="Q828" i="144"/>
  <c r="Q829" i="144"/>
  <c r="Q830" i="144"/>
  <c r="Q831" i="144"/>
  <c r="Q832" i="144"/>
  <c r="Q833" i="144"/>
  <c r="Q834" i="144"/>
  <c r="Q835" i="144"/>
  <c r="Q836" i="144"/>
  <c r="Q837" i="144"/>
  <c r="Q839" i="144"/>
  <c r="Q840" i="144"/>
  <c r="Q841" i="144"/>
  <c r="Q843" i="144"/>
  <c r="Q844" i="144"/>
  <c r="Q845" i="144"/>
  <c r="Q846" i="144"/>
  <c r="Q847" i="144"/>
  <c r="Q848" i="144"/>
  <c r="Q849" i="144"/>
  <c r="Q850" i="144"/>
  <c r="Q851" i="144"/>
  <c r="Q852" i="144"/>
  <c r="Q853" i="144"/>
  <c r="Q854" i="144"/>
  <c r="Q855" i="144"/>
  <c r="Q856" i="144"/>
  <c r="Q857" i="144"/>
  <c r="Q858" i="144"/>
  <c r="Q859" i="144"/>
  <c r="Q860" i="144"/>
  <c r="Q861" i="144"/>
  <c r="F23" i="170" s="1"/>
  <c r="Q862" i="144"/>
  <c r="Q863" i="144"/>
  <c r="Q865" i="144"/>
  <c r="Q867" i="144"/>
  <c r="Q868" i="144"/>
  <c r="Q869" i="144"/>
  <c r="Q870" i="144"/>
  <c r="Q872" i="144"/>
  <c r="Q873" i="144"/>
  <c r="Q875" i="144"/>
  <c r="Q876" i="144"/>
  <c r="Q877" i="144"/>
  <c r="Q878" i="144"/>
  <c r="Q879" i="144"/>
  <c r="Q880" i="144"/>
  <c r="Q881" i="144"/>
  <c r="Q882" i="144"/>
  <c r="Q883" i="144"/>
  <c r="Q884" i="144"/>
  <c r="Q885" i="144"/>
  <c r="Q887" i="144"/>
  <c r="Q888" i="144"/>
  <c r="Q889" i="144"/>
  <c r="Q890" i="144"/>
  <c r="Q891" i="144"/>
  <c r="Q892" i="144"/>
  <c r="Q894" i="144"/>
  <c r="Q895" i="144"/>
  <c r="Q896" i="144"/>
  <c r="Q897" i="144"/>
  <c r="Q898" i="144"/>
  <c r="Q899" i="144"/>
  <c r="Q900" i="144"/>
  <c r="Q901" i="144"/>
  <c r="Q902" i="144"/>
  <c r="Q903" i="144"/>
  <c r="Q904" i="144"/>
  <c r="Q905" i="144"/>
  <c r="Q906" i="144"/>
  <c r="Q907" i="144"/>
  <c r="Q908" i="144"/>
  <c r="Q909" i="144"/>
  <c r="Q910" i="144"/>
  <c r="Q911" i="144"/>
  <c r="Q912" i="144"/>
  <c r="Q913" i="144"/>
  <c r="Q914" i="144"/>
  <c r="Q915" i="144"/>
  <c r="Q916" i="144"/>
  <c r="Q917" i="144"/>
  <c r="Q918" i="144"/>
  <c r="Q919" i="144"/>
  <c r="Q920" i="144"/>
  <c r="Q921" i="144"/>
  <c r="Q922" i="144"/>
  <c r="Q923" i="144"/>
  <c r="Q924" i="144"/>
  <c r="Q926" i="144"/>
  <c r="Q927" i="144"/>
  <c r="Q928" i="144"/>
  <c r="Q929" i="144"/>
  <c r="Q930" i="144"/>
  <c r="Q931" i="144"/>
  <c r="Q932" i="144"/>
  <c r="Q933" i="144"/>
  <c r="Q934" i="144"/>
  <c r="Q935" i="144"/>
  <c r="Q936" i="144"/>
  <c r="Q937" i="144"/>
  <c r="Q938" i="144"/>
  <c r="Q940" i="144"/>
  <c r="Q941" i="144"/>
  <c r="Q942" i="144"/>
  <c r="Q943" i="144"/>
  <c r="Q944" i="144"/>
  <c r="Q945" i="144"/>
  <c r="Q946" i="144"/>
  <c r="Q947" i="144"/>
  <c r="Q949" i="144"/>
  <c r="Q950" i="144"/>
  <c r="Q951" i="144"/>
  <c r="Q952" i="144"/>
  <c r="Q953" i="144"/>
  <c r="Q954" i="144"/>
  <c r="Q955" i="144"/>
  <c r="Q956" i="144"/>
  <c r="Q957" i="144"/>
  <c r="Q958" i="144"/>
  <c r="Q959" i="144"/>
  <c r="Q960" i="144"/>
  <c r="Q961" i="144"/>
  <c r="Q962" i="144"/>
  <c r="Q963" i="144"/>
  <c r="Q964" i="144"/>
  <c r="Q965" i="144"/>
  <c r="Q966" i="144"/>
  <c r="Q967" i="144"/>
  <c r="Q968" i="144"/>
  <c r="Q969" i="144"/>
  <c r="Q970" i="144"/>
  <c r="Q971" i="144"/>
  <c r="Q972" i="144"/>
  <c r="Q973" i="144"/>
  <c r="Q974" i="144"/>
  <c r="Q975" i="144"/>
  <c r="Q976" i="144"/>
  <c r="Q977" i="144"/>
  <c r="Q978" i="144"/>
  <c r="Q979" i="144"/>
  <c r="Q980" i="144"/>
  <c r="Q981" i="144"/>
  <c r="Q982" i="144"/>
  <c r="Q983" i="144"/>
  <c r="Q984" i="144"/>
  <c r="Q985" i="144"/>
  <c r="Q986" i="144"/>
  <c r="Q987" i="144"/>
  <c r="Q988" i="144"/>
  <c r="Q989" i="144"/>
  <c r="Q990" i="144"/>
  <c r="Q991" i="144"/>
  <c r="Q992" i="144"/>
  <c r="Q993" i="144"/>
  <c r="Q994" i="144"/>
  <c r="Q995" i="144"/>
  <c r="Q996" i="144"/>
  <c r="Q997" i="144"/>
  <c r="Q998" i="144"/>
  <c r="Q999" i="144"/>
  <c r="Q1000" i="144"/>
  <c r="Q1001" i="144"/>
  <c r="Q1002" i="144"/>
  <c r="Q1003" i="144"/>
  <c r="Q1004" i="144"/>
  <c r="Q1005" i="144"/>
  <c r="Q1006" i="144"/>
  <c r="Q1008" i="144"/>
  <c r="Q1009" i="144"/>
  <c r="Q1010" i="144"/>
  <c r="Q1011" i="144"/>
  <c r="Q1012" i="144"/>
  <c r="Q1013" i="144"/>
  <c r="Q1014" i="144"/>
  <c r="Q1015" i="144"/>
  <c r="Q1016" i="144"/>
  <c r="Q1017" i="144"/>
  <c r="Q1018" i="144"/>
  <c r="Q1019" i="144"/>
  <c r="Q1020" i="144"/>
  <c r="Q1021" i="144"/>
  <c r="Q1022" i="144"/>
  <c r="Q1023" i="144"/>
  <c r="Q1024" i="144"/>
  <c r="Q1025" i="144"/>
  <c r="Q1026" i="144"/>
  <c r="Q1027" i="144"/>
  <c r="Q1028" i="144"/>
  <c r="Q1029" i="144"/>
  <c r="Q1030" i="144"/>
  <c r="Q1031" i="144"/>
  <c r="Q1032" i="144"/>
  <c r="Q1033" i="144"/>
  <c r="Q1034" i="144"/>
  <c r="Q1035" i="144"/>
  <c r="Q1036" i="144"/>
  <c r="Q1037" i="144"/>
  <c r="Q1038" i="144"/>
  <c r="Q1039" i="144"/>
  <c r="Q1040" i="144"/>
  <c r="Q1041" i="144"/>
  <c r="Q1042" i="144"/>
  <c r="Q1043" i="144"/>
  <c r="Q1044" i="144"/>
  <c r="Q1045" i="144"/>
  <c r="Q1046" i="144"/>
  <c r="Q1047" i="144"/>
  <c r="Q1048" i="144"/>
  <c r="Q1049" i="144"/>
  <c r="Q1050" i="144"/>
  <c r="Q1051" i="144"/>
  <c r="Q1052" i="144"/>
  <c r="Q1054" i="144"/>
  <c r="Q1055" i="144"/>
  <c r="Q1056" i="144"/>
  <c r="Q1057" i="144"/>
  <c r="Q1058" i="144"/>
  <c r="Q1059" i="144"/>
  <c r="Q1060" i="144"/>
  <c r="Q1061" i="144"/>
  <c r="Q1062" i="144"/>
  <c r="Q1063" i="144"/>
  <c r="Q1064" i="144"/>
  <c r="Q1065" i="144"/>
  <c r="Q1066" i="144"/>
  <c r="Q1067" i="144"/>
  <c r="Q1068" i="144"/>
  <c r="Q1069" i="144"/>
  <c r="Q1070" i="144"/>
  <c r="Q1071" i="144"/>
  <c r="Q1072" i="144"/>
  <c r="Q1073" i="144"/>
  <c r="Q1074" i="144"/>
  <c r="Q1075" i="144"/>
  <c r="Q1076" i="144"/>
  <c r="Q1077" i="144"/>
  <c r="Q1078" i="144"/>
  <c r="Q1079" i="144"/>
  <c r="Q1080" i="144"/>
  <c r="Q1081" i="144"/>
  <c r="Q1082" i="144"/>
  <c r="Q1083" i="144"/>
  <c r="Q1084" i="144"/>
  <c r="Q1085" i="144"/>
  <c r="Q1086" i="144"/>
  <c r="Q1087" i="144"/>
  <c r="Q1088" i="144"/>
  <c r="Q1089" i="144"/>
  <c r="Q1090" i="144"/>
  <c r="Q1091" i="144"/>
  <c r="Q1092" i="144"/>
  <c r="Q1093" i="144"/>
  <c r="Q1094" i="144"/>
  <c r="Q1095" i="144"/>
  <c r="Q1096" i="144"/>
  <c r="Q1097" i="144"/>
  <c r="Q1098" i="144"/>
  <c r="Q1099" i="144"/>
  <c r="Q1100" i="144"/>
  <c r="Q1101" i="144"/>
  <c r="Q1102" i="144"/>
  <c r="Q1103" i="144"/>
  <c r="Q1104" i="144"/>
  <c r="Q1105" i="144"/>
  <c r="Q1106" i="144"/>
  <c r="Q1107" i="144"/>
  <c r="Q1108" i="144"/>
  <c r="Q1109" i="144"/>
  <c r="Q1110" i="144"/>
  <c r="Q1111" i="144"/>
  <c r="Q1112" i="144"/>
  <c r="Q1113" i="144"/>
  <c r="Q1114" i="144"/>
  <c r="Q1115" i="144"/>
  <c r="Q1116" i="144"/>
  <c r="Q1117" i="144"/>
  <c r="Q1118" i="144"/>
  <c r="Q1119" i="144"/>
  <c r="Q1120" i="144"/>
  <c r="Q1121" i="144"/>
  <c r="Q1122" i="144"/>
  <c r="Q1123" i="144"/>
  <c r="Q1124" i="144"/>
  <c r="Q1125" i="144"/>
  <c r="Q1127" i="144"/>
  <c r="Q1128" i="144"/>
  <c r="Q1129" i="144"/>
  <c r="Q1131" i="144"/>
  <c r="Q1132" i="144"/>
  <c r="Q1133" i="144"/>
  <c r="Q1134" i="144"/>
  <c r="Q1135" i="144"/>
  <c r="Q1136" i="144"/>
  <c r="Q1137" i="144"/>
  <c r="Q1138" i="144"/>
  <c r="Q1139" i="144"/>
  <c r="Q1141" i="144"/>
  <c r="Q1142" i="144"/>
  <c r="Q1143" i="144"/>
  <c r="Q1144" i="144"/>
  <c r="Q1145" i="144"/>
  <c r="Q1146" i="144"/>
  <c r="Q1147" i="144"/>
  <c r="Q1148" i="144"/>
  <c r="Q1149" i="144"/>
  <c r="Q1150" i="144"/>
  <c r="Q1151" i="144"/>
  <c r="Q1152" i="144"/>
  <c r="Q1153" i="144"/>
  <c r="Q1154" i="144"/>
  <c r="Q1155" i="144"/>
  <c r="Q1156" i="144"/>
  <c r="Q1157" i="144"/>
  <c r="Q1158" i="144"/>
  <c r="Q1159" i="144"/>
  <c r="Q1160" i="144"/>
  <c r="Q1161" i="144"/>
  <c r="Q1162" i="144"/>
  <c r="Q1163" i="144"/>
  <c r="Q1164" i="144"/>
  <c r="Q1165" i="144"/>
  <c r="Q1166" i="144"/>
  <c r="Q1167" i="144"/>
  <c r="Q1168" i="144"/>
  <c r="Q1169" i="144"/>
  <c r="Q1170" i="144"/>
  <c r="Q1172" i="144"/>
  <c r="Q1173" i="144"/>
  <c r="Q1175" i="144"/>
  <c r="Q1176" i="144"/>
  <c r="F10" i="170" s="1"/>
  <c r="Q1177" i="144"/>
  <c r="Q1178" i="144"/>
  <c r="Q1179" i="144"/>
  <c r="Q1180" i="144"/>
  <c r="Q1181" i="144"/>
  <c r="Q1182" i="144"/>
  <c r="Q1183" i="144"/>
  <c r="Q1184" i="144"/>
  <c r="Q1185" i="144"/>
  <c r="Q1186" i="144"/>
  <c r="Q1187" i="144"/>
  <c r="Q1188" i="144"/>
  <c r="Q1189" i="144"/>
  <c r="Q1190" i="144"/>
  <c r="B19" i="174" s="1"/>
  <c r="Q1191" i="144"/>
  <c r="Q1192" i="144"/>
  <c r="Q1193" i="144"/>
  <c r="Q1194" i="144"/>
  <c r="Q1195" i="144"/>
  <c r="Q1196" i="144"/>
  <c r="Q1198" i="144"/>
  <c r="Q1199" i="144"/>
  <c r="Q1200" i="144"/>
  <c r="Q1201" i="144"/>
  <c r="Q1202" i="144"/>
  <c r="Q1203" i="144"/>
  <c r="Q1204" i="144"/>
  <c r="Q1205" i="144"/>
  <c r="Q1206" i="144"/>
  <c r="Q1207" i="144"/>
  <c r="Q1208" i="144"/>
  <c r="Q1209" i="144"/>
  <c r="Q1210" i="144"/>
  <c r="Q1211" i="144"/>
  <c r="Q1212" i="144"/>
  <c r="Q1213" i="144"/>
  <c r="Q1214" i="144"/>
  <c r="Q1215" i="144"/>
  <c r="Q1216" i="144"/>
  <c r="Q1217" i="144"/>
  <c r="Q1218" i="144"/>
  <c r="Q1219" i="144"/>
  <c r="Q1220" i="144"/>
  <c r="Q1221" i="144"/>
  <c r="Q1222" i="144"/>
  <c r="Q1223" i="144"/>
  <c r="Q1224" i="144"/>
  <c r="Q1225" i="144"/>
  <c r="Q1226" i="144"/>
  <c r="Q1227" i="144"/>
  <c r="Q1228" i="144"/>
  <c r="Q1229" i="144"/>
  <c r="Q1230" i="144"/>
  <c r="Q1231" i="144"/>
  <c r="Q1232" i="144"/>
  <c r="Q1233" i="144"/>
  <c r="Q1234" i="144"/>
  <c r="Q1235" i="144"/>
  <c r="Q1236" i="144"/>
  <c r="Q1237" i="144"/>
  <c r="Q1238" i="144"/>
  <c r="Q1239" i="144"/>
  <c r="Q1240" i="144"/>
  <c r="Q1241" i="144"/>
  <c r="Q1242" i="144"/>
  <c r="Q1243" i="144"/>
  <c r="Q1244" i="144"/>
  <c r="Q1245" i="144"/>
  <c r="Q1246" i="144"/>
  <c r="Q1248" i="144"/>
  <c r="Q1250" i="144"/>
  <c r="Q1251" i="144"/>
  <c r="Q1252" i="144"/>
  <c r="Q1253" i="144"/>
  <c r="Q1254" i="144"/>
  <c r="Q1255" i="144"/>
  <c r="Q1256" i="144"/>
  <c r="Q1257" i="144"/>
  <c r="Q1258" i="144"/>
  <c r="Q1259" i="144"/>
  <c r="Q1260" i="144"/>
  <c r="Q1261" i="144"/>
  <c r="Q1262" i="144"/>
  <c r="Q1263" i="144"/>
  <c r="Q1264" i="144"/>
  <c r="Q1265" i="144"/>
  <c r="Q1266" i="144"/>
  <c r="Q1267" i="144"/>
  <c r="Q1268" i="144"/>
  <c r="Q1269" i="144"/>
  <c r="Q1270" i="144"/>
  <c r="Q1271" i="144"/>
  <c r="Q1273" i="144"/>
  <c r="Q1274" i="144"/>
  <c r="Q1275" i="144"/>
  <c r="Q1276" i="144"/>
  <c r="Q1277" i="144"/>
  <c r="Q1278" i="144"/>
  <c r="Q1279" i="144"/>
  <c r="Q1280" i="144"/>
  <c r="Q1281" i="144"/>
  <c r="Q1282" i="144"/>
  <c r="Q1283" i="144"/>
  <c r="Q1284" i="144"/>
  <c r="Q1285" i="144"/>
  <c r="Q1286" i="144"/>
  <c r="Q1287" i="144"/>
  <c r="Q1289" i="144"/>
  <c r="Q1290" i="144"/>
  <c r="Q1291" i="144"/>
  <c r="Q1292" i="144"/>
  <c r="Q1293" i="144"/>
  <c r="Q1294" i="144"/>
  <c r="Q1295" i="144"/>
  <c r="Q1296" i="144"/>
  <c r="Q1297" i="144"/>
  <c r="Q1298" i="144"/>
  <c r="Q1299" i="144"/>
  <c r="Q1300" i="144"/>
  <c r="Q1301" i="144"/>
  <c r="Q1302" i="144"/>
  <c r="Q1303" i="144"/>
  <c r="Q1304" i="144"/>
  <c r="Q1306" i="144"/>
  <c r="Q1307" i="144"/>
  <c r="Q1308" i="144"/>
  <c r="Q1309" i="144"/>
  <c r="Q1310" i="144"/>
  <c r="Q1311" i="144"/>
  <c r="Q1312" i="144"/>
  <c r="Q1313" i="144"/>
  <c r="Q1314" i="144"/>
  <c r="Q1315" i="144"/>
  <c r="Q1317" i="144"/>
  <c r="Q1318" i="144"/>
  <c r="Q1319" i="144"/>
  <c r="Q1320" i="144"/>
  <c r="Q1321" i="144"/>
  <c r="Q1323" i="144"/>
  <c r="Q1324" i="144"/>
  <c r="Q1325" i="144"/>
  <c r="Q1326" i="144"/>
  <c r="Q1327" i="144"/>
  <c r="Q1328" i="144"/>
  <c r="Q1329" i="144"/>
  <c r="Q1330" i="144"/>
  <c r="Q1331" i="144"/>
  <c r="Q1333" i="144"/>
  <c r="Q1334" i="144"/>
  <c r="Q1335" i="144"/>
  <c r="Q1336" i="144"/>
  <c r="Q1337" i="144"/>
  <c r="Q1338" i="144"/>
  <c r="Q1339" i="144"/>
  <c r="Q1340" i="144"/>
  <c r="Q1341" i="144"/>
  <c r="Q1342" i="144"/>
  <c r="Q1343" i="144"/>
  <c r="Q1344" i="144"/>
  <c r="Q1345" i="144"/>
  <c r="Q1346" i="144"/>
  <c r="Q1347" i="144"/>
  <c r="Q1348" i="144"/>
  <c r="Q1349" i="144"/>
  <c r="Q1350" i="144"/>
  <c r="Q1351" i="144"/>
  <c r="Q1352" i="144"/>
  <c r="Q1353" i="144"/>
  <c r="Q1354" i="144"/>
  <c r="Q1355" i="144"/>
  <c r="Q1356" i="144"/>
  <c r="Q1357" i="144"/>
  <c r="Q1358" i="144"/>
  <c r="Q1359" i="144"/>
  <c r="Q1360" i="144"/>
  <c r="Q1361" i="144"/>
  <c r="Q1362" i="144"/>
  <c r="Q1363" i="144"/>
  <c r="Q1364" i="144"/>
  <c r="Q1365" i="144"/>
  <c r="Q1366" i="144"/>
  <c r="Q1367" i="144"/>
  <c r="Q1368" i="144"/>
  <c r="Q1369" i="144"/>
  <c r="Q1370" i="144"/>
  <c r="Q1371" i="144"/>
  <c r="Q1372" i="144"/>
  <c r="Q1373" i="144"/>
  <c r="Q1374" i="144"/>
  <c r="Q1375" i="144"/>
  <c r="Q1376" i="144"/>
  <c r="Q1377" i="144"/>
  <c r="Q1378" i="144"/>
  <c r="Q1379" i="144"/>
  <c r="Q1380" i="144"/>
  <c r="Q1381" i="144"/>
  <c r="Q1382" i="144"/>
  <c r="Q1386" i="144"/>
  <c r="Q1387" i="144"/>
  <c r="Q1388" i="144"/>
  <c r="Q1389" i="144"/>
  <c r="Q1390" i="144"/>
  <c r="Q1391" i="144"/>
  <c r="Q1392" i="144"/>
  <c r="Q1393" i="144"/>
  <c r="Q1394" i="144"/>
  <c r="Q1395" i="144"/>
  <c r="Q1396" i="144"/>
  <c r="Q1397" i="144"/>
  <c r="Q1398" i="144"/>
  <c r="Q1400" i="144"/>
  <c r="Q1401" i="144"/>
  <c r="Q1402" i="144"/>
  <c r="Q1403" i="144"/>
  <c r="Q1405" i="144"/>
  <c r="Q1406" i="144"/>
  <c r="Q1407" i="144"/>
  <c r="Q1408" i="144"/>
  <c r="Q1409" i="144"/>
  <c r="Q1410" i="144"/>
  <c r="Q1411" i="144"/>
  <c r="Q1412" i="144"/>
  <c r="Q1413" i="144"/>
  <c r="Q1414" i="144"/>
  <c r="Q1415" i="144"/>
  <c r="Q1416" i="144"/>
  <c r="Q1417" i="144"/>
  <c r="Q1419" i="144"/>
  <c r="Q1420" i="144"/>
  <c r="Q1421" i="144"/>
  <c r="Q1422" i="144"/>
  <c r="Q1423" i="144"/>
  <c r="Q1424" i="144"/>
  <c r="Q1425" i="144"/>
  <c r="Q1426" i="144"/>
  <c r="Q1427" i="144"/>
  <c r="Q1428" i="144"/>
  <c r="Q1429" i="144"/>
  <c r="Q1430" i="144"/>
  <c r="Q1431" i="144"/>
  <c r="Q1432" i="144"/>
  <c r="Q1433" i="144"/>
  <c r="Q1434" i="144"/>
  <c r="Q1435" i="144"/>
  <c r="Q1436" i="144"/>
  <c r="Q1437" i="144"/>
  <c r="Q1438" i="144"/>
  <c r="Q1439" i="144"/>
  <c r="Q1441" i="144"/>
  <c r="Q1442" i="144"/>
  <c r="Q1443" i="144"/>
  <c r="Q1444" i="144"/>
  <c r="Q1445" i="144"/>
  <c r="Q1446" i="144"/>
  <c r="Q1447" i="144"/>
  <c r="Q1448" i="144"/>
  <c r="Q1449" i="144"/>
  <c r="Q1450" i="144"/>
  <c r="Q1451" i="144"/>
  <c r="Q1452" i="144"/>
  <c r="Q1453" i="144"/>
  <c r="Q1454" i="144"/>
  <c r="Q1455" i="144"/>
  <c r="Q1456" i="144"/>
  <c r="Q1457" i="144"/>
  <c r="Q1458" i="144"/>
  <c r="Q1459" i="144"/>
  <c r="Q1460" i="144"/>
  <c r="Q1461" i="144"/>
  <c r="Q1462" i="144"/>
  <c r="Q1463" i="144"/>
  <c r="Q1464" i="144"/>
  <c r="Q1465" i="144"/>
  <c r="Q1466" i="144"/>
  <c r="Q1467" i="144"/>
  <c r="Q1468" i="144"/>
  <c r="Q1469" i="144"/>
  <c r="Q1470" i="144"/>
  <c r="Q1471" i="144"/>
  <c r="Q1472" i="144"/>
  <c r="Q1473" i="144"/>
  <c r="Q1474" i="144"/>
  <c r="Q1475" i="144"/>
  <c r="Q1476" i="144"/>
  <c r="Q1477" i="144"/>
  <c r="Q1478" i="144"/>
  <c r="Q1479" i="144"/>
  <c r="Q1480" i="144"/>
  <c r="Q1481" i="144"/>
  <c r="Q1482" i="144"/>
  <c r="Q1483" i="144"/>
  <c r="Q1484" i="144"/>
  <c r="Q1485" i="144"/>
  <c r="Q1486" i="144"/>
  <c r="Q1487" i="144"/>
  <c r="Q1488" i="144"/>
  <c r="Q1489" i="144"/>
  <c r="Q1490" i="144"/>
  <c r="Q1491" i="144"/>
  <c r="Q1492" i="144"/>
  <c r="Q1493" i="144"/>
  <c r="Q1494" i="144"/>
  <c r="Q1495" i="144"/>
  <c r="Q1496" i="144"/>
  <c r="Q1497" i="144"/>
  <c r="Q1498" i="144"/>
  <c r="Q1499" i="144"/>
  <c r="Q1500" i="144"/>
  <c r="Q1501" i="144"/>
  <c r="Q1502" i="144"/>
  <c r="Q1504" i="144"/>
  <c r="Q1505" i="144"/>
  <c r="Q1506" i="144"/>
  <c r="Q1507" i="144"/>
  <c r="Q1508" i="144"/>
  <c r="Q1509" i="144"/>
  <c r="Q1510" i="144"/>
  <c r="Q1511" i="144"/>
  <c r="Q1512" i="144"/>
  <c r="Q1513" i="144"/>
  <c r="Q1514" i="144"/>
  <c r="Q1515" i="144"/>
  <c r="Q1516" i="144"/>
  <c r="Q1517" i="144"/>
  <c r="Q1518" i="144"/>
  <c r="Q1519" i="144"/>
  <c r="Q1520" i="144"/>
  <c r="Q1521" i="144"/>
  <c r="Q1522" i="144"/>
  <c r="Q1523" i="144"/>
  <c r="Q1524" i="144"/>
  <c r="Q1525" i="144"/>
  <c r="Q1526" i="144"/>
  <c r="Q1527" i="144"/>
  <c r="Q1528" i="144"/>
  <c r="Q1529" i="144"/>
  <c r="Q1531" i="144"/>
  <c r="Q1532" i="144"/>
  <c r="Q1533" i="144"/>
  <c r="Q1534" i="144"/>
  <c r="Q1535" i="144"/>
  <c r="Q1536" i="144"/>
  <c r="Q1537" i="144"/>
  <c r="Q1538" i="144"/>
  <c r="Q1539" i="144"/>
  <c r="Q1540" i="144"/>
  <c r="Q1541" i="144"/>
  <c r="Q1542" i="144"/>
  <c r="Q1543" i="144"/>
  <c r="Q1544" i="144"/>
  <c r="Q1545" i="144"/>
  <c r="Q1546" i="144"/>
  <c r="Q1547" i="144"/>
  <c r="Q1548" i="144"/>
  <c r="Q1549" i="144"/>
  <c r="Q1550" i="144"/>
  <c r="Q1551" i="144"/>
  <c r="Q1552" i="144"/>
  <c r="Q1553" i="144"/>
  <c r="Q1555" i="144"/>
  <c r="Q1556" i="144"/>
  <c r="Q1557" i="144"/>
  <c r="Q1558" i="144"/>
  <c r="Q1559" i="144"/>
  <c r="Q1560" i="144"/>
  <c r="Q1561" i="144"/>
  <c r="Q1562" i="144"/>
  <c r="Q1563" i="144"/>
  <c r="Q1564" i="144"/>
  <c r="Q1565" i="144"/>
  <c r="Q1566" i="144"/>
  <c r="Q1567" i="144"/>
  <c r="Q1568" i="144"/>
  <c r="Q1569" i="144"/>
  <c r="Q1570" i="144"/>
  <c r="Q1571" i="144"/>
  <c r="Q1572" i="144"/>
  <c r="Q1573" i="144"/>
  <c r="Q1574" i="144"/>
  <c r="Q1575" i="144"/>
  <c r="Q1576" i="144"/>
  <c r="Q1577" i="144"/>
  <c r="Q1578" i="144"/>
  <c r="Q1579" i="144"/>
  <c r="Q1580" i="144"/>
  <c r="Q1581" i="144"/>
  <c r="Q1582" i="144"/>
  <c r="Q1583" i="144"/>
  <c r="Q1585" i="144"/>
  <c r="Q1586" i="144"/>
  <c r="Q1588" i="144"/>
  <c r="Q1589" i="144"/>
  <c r="Q1590" i="144"/>
  <c r="Q1591" i="144"/>
  <c r="Q1592" i="144"/>
  <c r="Q1593" i="144"/>
  <c r="Q1594" i="144"/>
  <c r="Q1595" i="144"/>
  <c r="Q1596" i="144"/>
  <c r="Q1597" i="144"/>
  <c r="Q1598" i="144"/>
  <c r="Q1599" i="144"/>
  <c r="Q1600" i="144"/>
  <c r="Q1601" i="144"/>
  <c r="Q1602" i="144"/>
  <c r="Q1603" i="144"/>
  <c r="Q1604" i="144"/>
  <c r="Q1605" i="144"/>
  <c r="Q1606" i="144"/>
  <c r="Q1607" i="144"/>
  <c r="Q1608" i="144"/>
  <c r="Q1609" i="144"/>
  <c r="Q1610" i="144"/>
  <c r="Q1611" i="144"/>
  <c r="Q1612" i="144"/>
  <c r="Q1613" i="144"/>
  <c r="Q1614" i="144"/>
  <c r="Q1615" i="144"/>
  <c r="Q1616" i="144"/>
  <c r="Q1617" i="144"/>
  <c r="Q1618" i="144"/>
  <c r="Q1619" i="144"/>
  <c r="Q1621" i="144"/>
  <c r="Q1622" i="144"/>
  <c r="Q1623" i="144"/>
  <c r="Q1625" i="144"/>
  <c r="Q1626" i="144"/>
  <c r="Q1627" i="144"/>
  <c r="Q1628" i="144"/>
  <c r="Q1629" i="144"/>
  <c r="Q1630" i="144"/>
  <c r="Q1631" i="144"/>
  <c r="Q1632" i="144"/>
  <c r="Q1633" i="144"/>
  <c r="Q1634" i="144"/>
  <c r="Q1635" i="144"/>
  <c r="Q1636" i="144"/>
  <c r="Q1637" i="144"/>
  <c r="Q1638" i="144"/>
  <c r="Q1639" i="144"/>
  <c r="Q1640" i="144"/>
  <c r="Q1641" i="144"/>
  <c r="Q1642" i="144"/>
  <c r="Q1643" i="144"/>
  <c r="Q1644" i="144"/>
  <c r="Q1645" i="144"/>
  <c r="Q1646" i="144"/>
  <c r="Q1647" i="144"/>
  <c r="Q1648" i="144"/>
  <c r="Q1649" i="144"/>
  <c r="Q1650" i="144"/>
  <c r="Q1651" i="144"/>
  <c r="Q1652" i="144"/>
  <c r="Q1653" i="144"/>
  <c r="Q1654" i="144"/>
  <c r="Q1655" i="144"/>
  <c r="Q1656" i="144"/>
  <c r="Q1657" i="144"/>
  <c r="Q1658" i="144"/>
  <c r="Q1659" i="144"/>
  <c r="Q1660" i="144"/>
  <c r="Q1661" i="144"/>
  <c r="Q1663" i="144"/>
  <c r="Q1664" i="144"/>
  <c r="Q1665" i="144"/>
  <c r="Q1666" i="144"/>
  <c r="Q1667" i="144"/>
  <c r="B11" i="174" s="1"/>
  <c r="Q1669" i="144"/>
  <c r="Q1670" i="144"/>
  <c r="Q1671" i="144"/>
  <c r="Q1673" i="144"/>
  <c r="Q1674" i="144"/>
  <c r="Q1675" i="144"/>
  <c r="Q1676" i="144"/>
  <c r="Q1677" i="144"/>
  <c r="Q1678" i="144"/>
  <c r="Q1679" i="144"/>
  <c r="Q1680" i="144"/>
  <c r="Q1681" i="144"/>
  <c r="Q1682" i="144"/>
  <c r="Q1683" i="144"/>
  <c r="Q1684" i="144"/>
  <c r="Q1685" i="144"/>
  <c r="Q1686" i="144"/>
  <c r="Q1687" i="144"/>
  <c r="Q1688" i="144"/>
  <c r="Q1689" i="144"/>
  <c r="Q1690" i="144"/>
  <c r="Q1691" i="144"/>
  <c r="Q1692" i="144"/>
  <c r="Q1693" i="144"/>
  <c r="Q1694" i="144"/>
  <c r="Q1695" i="144"/>
  <c r="Q1696" i="144"/>
  <c r="Q1697" i="144"/>
  <c r="Q1698" i="144"/>
  <c r="Q1699" i="144"/>
  <c r="Q1700" i="144"/>
  <c r="Q1702" i="144"/>
  <c r="Q1704" i="144"/>
  <c r="Q1705" i="144"/>
  <c r="Q1706" i="144"/>
  <c r="Q1707" i="144"/>
  <c r="Q1708" i="144"/>
  <c r="Q1709" i="144"/>
  <c r="Q1710" i="144"/>
  <c r="Q1711" i="144"/>
  <c r="Q1712" i="144"/>
  <c r="Q1713" i="144"/>
  <c r="Q1714" i="144"/>
  <c r="Q1715" i="144"/>
  <c r="Q1716" i="144"/>
  <c r="Q1717" i="144"/>
  <c r="Q1719" i="144"/>
  <c r="Q1720" i="144"/>
  <c r="Q1721" i="144"/>
  <c r="Q1722" i="144"/>
  <c r="Q1723" i="144"/>
  <c r="Q1724" i="144"/>
  <c r="Q1726" i="144"/>
  <c r="Q1727" i="144"/>
  <c r="Q1728" i="144"/>
  <c r="Q1729" i="144"/>
  <c r="Q1730" i="144"/>
  <c r="Q1731" i="144"/>
  <c r="Q1732" i="144"/>
  <c r="Q1733" i="144"/>
  <c r="Q1735" i="144"/>
  <c r="Q1737" i="144"/>
  <c r="Q1738" i="144"/>
  <c r="Q1739" i="144"/>
  <c r="Q1740" i="144"/>
  <c r="Q1741" i="144"/>
  <c r="Q1742" i="144"/>
  <c r="Q1743" i="144"/>
  <c r="Q1744" i="144"/>
  <c r="Q1745" i="144"/>
  <c r="Q1746" i="144"/>
  <c r="Q1747" i="144"/>
  <c r="Q1748" i="144"/>
  <c r="Q1749" i="144"/>
  <c r="Q1750" i="144"/>
  <c r="Q1751" i="144"/>
  <c r="Q1752" i="144"/>
  <c r="Q1753" i="144"/>
  <c r="Q1754" i="144"/>
  <c r="Q1756" i="144"/>
  <c r="Q1757" i="144"/>
  <c r="Q1758" i="144"/>
  <c r="Q1759" i="144"/>
  <c r="Q1760" i="144"/>
  <c r="Q1761" i="144"/>
  <c r="Q1762" i="144"/>
  <c r="Q1763" i="144"/>
  <c r="Q1764" i="144"/>
  <c r="Q1767" i="144"/>
  <c r="Q1768" i="144"/>
  <c r="Q1769" i="144"/>
  <c r="Q1770" i="144"/>
  <c r="Q1772" i="144"/>
  <c r="Q1773" i="144"/>
  <c r="Q1774" i="144"/>
  <c r="Q1775" i="144"/>
  <c r="Q1776" i="144"/>
  <c r="Q1777" i="144"/>
  <c r="Q1779" i="144"/>
  <c r="Q1780" i="144"/>
  <c r="Q1781" i="144"/>
  <c r="Q1782" i="144"/>
  <c r="Q1783" i="144"/>
  <c r="Q1784" i="144"/>
  <c r="Q1785" i="144"/>
  <c r="Q1786" i="144"/>
  <c r="Q1787" i="144"/>
  <c r="Q1788" i="144"/>
  <c r="Q1789" i="144"/>
  <c r="Q1790" i="144"/>
  <c r="Q1791" i="144"/>
  <c r="Q1792" i="144"/>
  <c r="Q1793" i="144"/>
  <c r="Q1794" i="144"/>
  <c r="Q1795" i="144"/>
  <c r="Q1796" i="144"/>
  <c r="Q1797" i="144"/>
  <c r="Q1798" i="144"/>
  <c r="Q1799" i="144"/>
  <c r="Q1800" i="144"/>
  <c r="Q1801" i="144"/>
  <c r="Q1802" i="144"/>
  <c r="Q1803" i="144"/>
  <c r="Q1804" i="144"/>
  <c r="Q1805" i="144"/>
  <c r="Q1806" i="144"/>
  <c r="Q1807" i="144"/>
  <c r="Q1808" i="144"/>
  <c r="Q1809" i="144"/>
  <c r="Q1810" i="144"/>
  <c r="Q1811" i="144"/>
  <c r="Q1812" i="144"/>
  <c r="Q1813" i="144"/>
  <c r="Q1815" i="144"/>
  <c r="Q1816" i="144"/>
  <c r="Q1817" i="144"/>
  <c r="Q1818" i="144"/>
  <c r="Q1819" i="144"/>
  <c r="Q1820" i="144"/>
  <c r="Q1821" i="144"/>
  <c r="Q1822" i="144"/>
  <c r="Q1823" i="144"/>
  <c r="Q1824" i="144"/>
  <c r="Q1825" i="144"/>
  <c r="Q1826" i="144"/>
  <c r="Q1827" i="144"/>
  <c r="Q1828" i="144"/>
  <c r="Q1829" i="144"/>
  <c r="Q1830" i="144"/>
  <c r="Q1831" i="144"/>
  <c r="Q1832" i="144"/>
  <c r="Q1833" i="144"/>
  <c r="Q1834" i="144"/>
  <c r="Q1835" i="144"/>
  <c r="Q1836" i="144"/>
  <c r="Q1837" i="144"/>
  <c r="Q1839" i="144"/>
  <c r="Q1842" i="144"/>
  <c r="Q1843" i="144"/>
  <c r="Q1844" i="144"/>
  <c r="Q1845" i="144"/>
  <c r="Q1846" i="144"/>
  <c r="Q1847" i="144"/>
  <c r="Q1848" i="144"/>
  <c r="Q1849" i="144"/>
  <c r="Q1850" i="144"/>
  <c r="Q1851" i="144"/>
  <c r="Q1852" i="144"/>
  <c r="Q1853" i="144"/>
  <c r="Q1854" i="144"/>
  <c r="Q1855" i="144"/>
  <c r="Q1856" i="144"/>
  <c r="Q1857" i="144"/>
  <c r="Q1858" i="144"/>
  <c r="Q1859" i="144"/>
  <c r="Q1860" i="144"/>
  <c r="Q1861" i="144"/>
  <c r="Q1862" i="144"/>
  <c r="Q1863" i="144"/>
  <c r="Q1864" i="144"/>
  <c r="Q1865" i="144"/>
  <c r="Q1866" i="144"/>
  <c r="Q1867" i="144"/>
  <c r="Q1868" i="144"/>
  <c r="Q1869" i="144"/>
  <c r="Q1870" i="144"/>
  <c r="Q1871" i="144"/>
  <c r="Q1872" i="144"/>
  <c r="Q1873" i="144"/>
  <c r="Q1874" i="144"/>
  <c r="Q1875" i="144"/>
  <c r="Q1876" i="144"/>
  <c r="Q1877" i="144"/>
  <c r="Q1878" i="144"/>
  <c r="Q1879" i="144"/>
  <c r="Q1880" i="144"/>
  <c r="Q1881" i="144"/>
  <c r="Q1882" i="144"/>
  <c r="Q1883" i="144"/>
  <c r="Q1884" i="144"/>
  <c r="F17" i="170" s="1"/>
  <c r="Q1885" i="144"/>
  <c r="F26" i="170" s="1"/>
  <c r="Q1886" i="144"/>
  <c r="F15" i="170" s="1"/>
  <c r="Q1887" i="144"/>
  <c r="F18" i="170" s="1"/>
  <c r="Q1888" i="144"/>
  <c r="F14" i="170" s="1"/>
  <c r="Q1889" i="144"/>
  <c r="F19" i="170" s="1"/>
  <c r="Q1890" i="144"/>
  <c r="F21" i="170" s="1"/>
  <c r="Q1891" i="144"/>
  <c r="F22" i="170" s="1"/>
  <c r="Q1892" i="144"/>
  <c r="F20" i="170" s="1"/>
  <c r="Q1893" i="144"/>
  <c r="F16" i="170" s="1"/>
  <c r="Q1894" i="144"/>
  <c r="F28" i="170" s="1"/>
  <c r="Q1895" i="144"/>
  <c r="F13" i="170" s="1"/>
  <c r="Q1896" i="144"/>
  <c r="F30" i="170" s="1"/>
  <c r="Q1897" i="144"/>
  <c r="F29" i="170" s="1"/>
  <c r="Q1898" i="144"/>
  <c r="Q1899" i="144"/>
  <c r="Q1900" i="144"/>
  <c r="Q1901" i="144"/>
  <c r="Q1902" i="144"/>
  <c r="Q1903" i="144"/>
  <c r="Q1904" i="144"/>
  <c r="Q1905" i="144"/>
  <c r="Q1906" i="144"/>
  <c r="Q1907" i="144"/>
  <c r="Q1908" i="144"/>
  <c r="Q1909" i="144"/>
  <c r="Q1910" i="144"/>
  <c r="Q1912" i="144"/>
  <c r="Q1913" i="144"/>
  <c r="Q1914" i="144"/>
  <c r="Q1915" i="144"/>
  <c r="Q1916" i="144"/>
  <c r="Q1917" i="144"/>
  <c r="Q1918" i="144"/>
  <c r="Q1919" i="144"/>
  <c r="Q1920" i="144"/>
  <c r="Q1921" i="144"/>
  <c r="Q1923" i="144"/>
  <c r="Q1924" i="144"/>
  <c r="Q1925" i="144"/>
  <c r="Q1926" i="144"/>
  <c r="Q1927" i="144"/>
  <c r="Q1928" i="144"/>
  <c r="Q1929" i="144"/>
  <c r="Q1930" i="144"/>
  <c r="Q1931" i="144"/>
  <c r="Q1932" i="144"/>
  <c r="Q1933" i="144"/>
  <c r="Q1934" i="144"/>
  <c r="Q1935" i="144"/>
  <c r="Q1936" i="144"/>
  <c r="Q1937" i="144"/>
  <c r="Q1938" i="144"/>
  <c r="Q1939" i="144"/>
  <c r="Q1940" i="144"/>
  <c r="Q1941" i="144"/>
  <c r="Q1942" i="144"/>
  <c r="Q1943" i="144"/>
  <c r="Q1944" i="144"/>
  <c r="Q1945" i="144"/>
  <c r="Q1946" i="144"/>
  <c r="Q1947" i="144"/>
  <c r="Q1948" i="144"/>
  <c r="Q1949" i="144"/>
  <c r="Q1950" i="144"/>
  <c r="Q1951" i="144"/>
  <c r="Q1952" i="144"/>
  <c r="Q1953" i="144"/>
  <c r="Q1954" i="144"/>
  <c r="Q1955" i="144"/>
  <c r="Q1956" i="144"/>
  <c r="Q1957" i="144"/>
  <c r="Q1958" i="144"/>
  <c r="Q1961" i="144"/>
  <c r="Q1962" i="144"/>
  <c r="Q1963" i="144"/>
  <c r="Q1964" i="144"/>
  <c r="Q1965" i="144"/>
  <c r="Q1966" i="144"/>
  <c r="Q1967" i="144"/>
  <c r="Q1968" i="144"/>
  <c r="Q1969" i="144"/>
  <c r="Q1970" i="144"/>
  <c r="Q1971" i="144"/>
  <c r="Q1972" i="144"/>
  <c r="Q1974" i="144"/>
  <c r="Q1975" i="144"/>
  <c r="Q1976" i="144"/>
  <c r="Q1977" i="144"/>
  <c r="Q1978" i="144"/>
  <c r="Q1979" i="144"/>
  <c r="Q1980" i="144"/>
  <c r="Q1981" i="144"/>
  <c r="Q1982" i="144"/>
  <c r="Q1984" i="144"/>
  <c r="Q1988" i="144"/>
  <c r="Q8" i="144"/>
  <c r="Q7" i="144"/>
  <c r="I27" i="170"/>
  <c r="I9" i="170"/>
  <c r="I11" i="170"/>
  <c r="I25" i="170"/>
  <c r="I24" i="170"/>
  <c r="I12" i="170"/>
  <c r="I23" i="170"/>
  <c r="I10" i="170"/>
  <c r="I17" i="170"/>
  <c r="I26" i="170"/>
  <c r="I15" i="170"/>
  <c r="I14" i="170"/>
  <c r="I19" i="170"/>
  <c r="I22" i="170"/>
  <c r="I20" i="170"/>
  <c r="I16" i="170"/>
  <c r="I28" i="170"/>
  <c r="I29" i="170"/>
  <c r="B7" i="84"/>
  <c r="D8" i="182"/>
  <c r="G68" i="202"/>
  <c r="J7" i="64"/>
  <c r="J35" i="64"/>
  <c r="C7" i="148"/>
  <c r="C8" i="10"/>
  <c r="G8" i="56"/>
  <c r="G9" i="56"/>
  <c r="G10" i="56"/>
  <c r="G11" i="56"/>
  <c r="G12" i="56"/>
  <c r="G13" i="56"/>
  <c r="G14" i="56"/>
  <c r="G15" i="56"/>
  <c r="G16" i="56"/>
  <c r="G17" i="56"/>
  <c r="G18" i="56"/>
  <c r="G19" i="56"/>
  <c r="G20" i="56"/>
  <c r="G21" i="56"/>
  <c r="G22" i="56"/>
  <c r="G23" i="56"/>
  <c r="G24" i="56"/>
  <c r="G25" i="56"/>
  <c r="G26" i="56"/>
  <c r="G27" i="56"/>
  <c r="G28" i="56"/>
  <c r="G29" i="56"/>
  <c r="G30" i="56"/>
  <c r="G31" i="56"/>
  <c r="G32" i="56"/>
  <c r="G33" i="56"/>
  <c r="G34" i="56"/>
  <c r="G35" i="56"/>
  <c r="G36" i="56"/>
  <c r="G37" i="56"/>
  <c r="G38" i="56"/>
  <c r="G39" i="56"/>
  <c r="G40" i="56"/>
  <c r="G41" i="56"/>
  <c r="G42" i="56"/>
  <c r="G43" i="56"/>
  <c r="G44" i="56"/>
  <c r="G45" i="56"/>
  <c r="G46" i="56"/>
  <c r="G47" i="56"/>
  <c r="G48" i="56"/>
  <c r="G49" i="56"/>
  <c r="G50" i="56"/>
  <c r="G51" i="56"/>
  <c r="G52" i="56"/>
  <c r="G53" i="56"/>
  <c r="G54" i="56"/>
  <c r="G55" i="56"/>
  <c r="G56" i="56"/>
  <c r="G57" i="56"/>
  <c r="G58" i="56"/>
  <c r="G59" i="56"/>
  <c r="G60" i="56"/>
  <c r="G61" i="56"/>
  <c r="G62" i="56"/>
  <c r="G63" i="56"/>
  <c r="G64" i="56"/>
  <c r="G65" i="56"/>
  <c r="G66" i="56"/>
  <c r="G67" i="56"/>
  <c r="G68" i="56"/>
  <c r="G69" i="56"/>
  <c r="G70" i="56"/>
  <c r="G71" i="56"/>
  <c r="G72" i="56"/>
  <c r="G73" i="56"/>
  <c r="G74" i="56"/>
  <c r="G75" i="56"/>
  <c r="G76" i="56"/>
  <c r="G77" i="56"/>
  <c r="G78" i="56"/>
  <c r="G79" i="56"/>
  <c r="G80" i="56"/>
  <c r="G81" i="56"/>
  <c r="G82" i="56"/>
  <c r="G83" i="56"/>
  <c r="G84" i="56"/>
  <c r="G85" i="56"/>
  <c r="G86" i="56"/>
  <c r="G87" i="56"/>
  <c r="G88" i="56"/>
  <c r="G89" i="56"/>
  <c r="G90" i="56"/>
  <c r="G91" i="56"/>
  <c r="G92" i="56"/>
  <c r="G93" i="56"/>
  <c r="G94" i="56"/>
  <c r="G95" i="56"/>
  <c r="G96" i="56"/>
  <c r="G97" i="56"/>
  <c r="G98" i="56"/>
  <c r="G99" i="56"/>
  <c r="G100" i="56"/>
  <c r="G101" i="56"/>
  <c r="G102" i="56"/>
  <c r="G103" i="56"/>
  <c r="G104" i="56"/>
  <c r="G105" i="56"/>
  <c r="G106" i="56"/>
  <c r="G107" i="56"/>
  <c r="G108" i="56"/>
  <c r="G109" i="56"/>
  <c r="G110" i="56"/>
  <c r="G111" i="56"/>
  <c r="G112" i="56"/>
  <c r="G113" i="56"/>
  <c r="G114" i="56"/>
  <c r="G115" i="56"/>
  <c r="G116" i="56"/>
  <c r="G117" i="56"/>
  <c r="G118" i="56"/>
  <c r="G119" i="56"/>
  <c r="G120" i="56"/>
  <c r="G121" i="56"/>
  <c r="G122" i="56"/>
  <c r="G123" i="56"/>
  <c r="G124" i="56"/>
  <c r="G125" i="56"/>
  <c r="G126" i="56"/>
  <c r="G127" i="56"/>
  <c r="G128" i="56"/>
  <c r="G129" i="56"/>
  <c r="G130" i="56"/>
  <c r="G131" i="56"/>
  <c r="G132" i="56"/>
  <c r="G133" i="56"/>
  <c r="G134" i="56"/>
  <c r="G135" i="56"/>
  <c r="G136" i="56"/>
  <c r="G137" i="56"/>
  <c r="G138" i="56"/>
  <c r="G139" i="56"/>
  <c r="G140" i="56"/>
  <c r="G141" i="56"/>
  <c r="G142" i="56"/>
  <c r="G143" i="56"/>
  <c r="G144" i="56"/>
  <c r="G145" i="56"/>
  <c r="G146" i="56"/>
  <c r="G147" i="56"/>
  <c r="G148" i="56"/>
  <c r="G149" i="56"/>
  <c r="G150" i="56"/>
  <c r="G151" i="56"/>
  <c r="G152" i="56"/>
  <c r="G153" i="56"/>
  <c r="G154" i="56"/>
  <c r="G155" i="56"/>
  <c r="G156" i="56"/>
  <c r="G157" i="56"/>
  <c r="G158" i="56"/>
  <c r="G159" i="56"/>
  <c r="G160" i="56"/>
  <c r="G161" i="56"/>
  <c r="G162" i="56"/>
  <c r="G163" i="56"/>
  <c r="G164" i="56"/>
  <c r="G165" i="56"/>
  <c r="G166" i="56"/>
  <c r="G167" i="56"/>
  <c r="G168" i="56"/>
  <c r="G169" i="56"/>
  <c r="G170" i="56"/>
  <c r="G171" i="56"/>
  <c r="G172" i="56"/>
  <c r="G173" i="56"/>
  <c r="G174" i="56"/>
  <c r="G175" i="56"/>
  <c r="G176" i="56"/>
  <c r="G177" i="56"/>
  <c r="G178" i="56"/>
  <c r="G179" i="56"/>
  <c r="G180" i="56"/>
  <c r="G181" i="56"/>
  <c r="G182" i="56"/>
  <c r="G183" i="56"/>
  <c r="G184" i="56"/>
  <c r="G185" i="56"/>
  <c r="G186" i="56"/>
  <c r="G187" i="56"/>
  <c r="G188" i="56"/>
  <c r="G189" i="56"/>
  <c r="G190" i="56"/>
  <c r="G191" i="56"/>
  <c r="G192" i="56"/>
  <c r="G193" i="56"/>
  <c r="G194" i="56"/>
  <c r="G195" i="56"/>
  <c r="G196" i="56"/>
  <c r="G197" i="56"/>
  <c r="G198" i="56"/>
  <c r="G199" i="56"/>
  <c r="G200" i="56"/>
  <c r="G201" i="56"/>
  <c r="G202" i="56"/>
  <c r="G203" i="56"/>
  <c r="G204" i="56"/>
  <c r="G205" i="56"/>
  <c r="G206" i="56"/>
  <c r="G207" i="56"/>
  <c r="G208" i="56"/>
  <c r="G209" i="56"/>
  <c r="G210" i="56"/>
  <c r="G211" i="56"/>
  <c r="G212" i="56"/>
  <c r="G213" i="56"/>
  <c r="G214" i="56"/>
  <c r="G215" i="56"/>
  <c r="G216" i="56"/>
  <c r="G217" i="56"/>
  <c r="G218" i="56"/>
  <c r="G219" i="56"/>
  <c r="G220" i="56"/>
  <c r="G221" i="56"/>
  <c r="G222" i="56"/>
  <c r="G223" i="56"/>
  <c r="G224" i="56"/>
  <c r="G225" i="56"/>
  <c r="G226" i="56"/>
  <c r="G227" i="56"/>
  <c r="G228" i="56"/>
  <c r="G229" i="56"/>
  <c r="G230" i="56"/>
  <c r="G231" i="56"/>
  <c r="G232" i="56"/>
  <c r="G233" i="56"/>
  <c r="G234" i="56"/>
  <c r="G235" i="56"/>
  <c r="G236" i="56"/>
  <c r="G237" i="56"/>
  <c r="G238" i="56"/>
  <c r="G239" i="56"/>
  <c r="G240" i="56"/>
  <c r="G241" i="56"/>
  <c r="G242" i="56"/>
  <c r="G243" i="56"/>
  <c r="G244" i="56"/>
  <c r="G245" i="56"/>
  <c r="G246" i="56"/>
  <c r="G247" i="56"/>
  <c r="G248" i="56"/>
  <c r="G249" i="56"/>
  <c r="G250" i="56"/>
  <c r="G251" i="56"/>
  <c r="G252" i="56"/>
  <c r="G253" i="56"/>
  <c r="G254" i="56"/>
  <c r="G255" i="56"/>
  <c r="G256" i="56"/>
  <c r="G257" i="56"/>
  <c r="G258" i="56"/>
  <c r="G259" i="56"/>
  <c r="G260" i="56"/>
  <c r="G261" i="56"/>
  <c r="G262" i="56"/>
  <c r="G263" i="56"/>
  <c r="G264" i="56"/>
  <c r="G265" i="56"/>
  <c r="G266" i="56"/>
  <c r="G267" i="56"/>
  <c r="G268" i="56"/>
  <c r="G269" i="56"/>
  <c r="G270" i="56"/>
  <c r="G271" i="56"/>
  <c r="G272" i="56"/>
  <c r="G273" i="56"/>
  <c r="G274" i="56"/>
  <c r="G275" i="56"/>
  <c r="G276" i="56"/>
  <c r="G277" i="56"/>
  <c r="G278" i="56"/>
  <c r="G279" i="56"/>
  <c r="G280" i="56"/>
  <c r="G281" i="56"/>
  <c r="G282" i="56"/>
  <c r="G283" i="56"/>
  <c r="G284" i="56"/>
  <c r="G285" i="56"/>
  <c r="G286" i="56"/>
  <c r="G287" i="56"/>
  <c r="G288" i="56"/>
  <c r="G289" i="56"/>
  <c r="G290" i="56"/>
  <c r="G291" i="56"/>
  <c r="G292" i="56"/>
  <c r="G293" i="56"/>
  <c r="G294" i="56"/>
  <c r="G295" i="56"/>
  <c r="G296" i="56"/>
  <c r="G297" i="56"/>
  <c r="G298" i="56"/>
  <c r="G299" i="56"/>
  <c r="G300" i="56"/>
  <c r="G301" i="56"/>
  <c r="G302" i="56"/>
  <c r="G303" i="56"/>
  <c r="G304" i="56"/>
  <c r="G305" i="56"/>
  <c r="G306" i="56"/>
  <c r="G307" i="56"/>
  <c r="G308" i="56"/>
  <c r="G309" i="56"/>
  <c r="G310" i="56"/>
  <c r="G311" i="56"/>
  <c r="G312" i="56"/>
  <c r="G313" i="56"/>
  <c r="G314" i="56"/>
  <c r="G315" i="56"/>
  <c r="G316" i="56"/>
  <c r="G317" i="56"/>
  <c r="G318" i="56"/>
  <c r="G319" i="56"/>
  <c r="G320" i="56"/>
  <c r="G321" i="56"/>
  <c r="G322" i="56"/>
  <c r="G323" i="56"/>
  <c r="G324" i="56"/>
  <c r="G325" i="56"/>
  <c r="G326" i="56"/>
  <c r="G327" i="56"/>
  <c r="G328" i="56"/>
  <c r="G329" i="56"/>
  <c r="G330" i="56"/>
  <c r="G331" i="56"/>
  <c r="G332" i="56"/>
  <c r="G333" i="56"/>
  <c r="G334" i="56"/>
  <c r="G335" i="56"/>
  <c r="G336" i="56"/>
  <c r="G337" i="56"/>
  <c r="G338" i="56"/>
  <c r="G339" i="56"/>
  <c r="G340" i="56"/>
  <c r="G341" i="56"/>
  <c r="G342" i="56"/>
  <c r="G343" i="56"/>
  <c r="G344" i="56"/>
  <c r="G345" i="56"/>
  <c r="G346" i="56"/>
  <c r="G347" i="56"/>
  <c r="G348" i="56"/>
  <c r="G349" i="56"/>
  <c r="G350" i="56"/>
  <c r="G351" i="56"/>
  <c r="G352" i="56"/>
  <c r="G353" i="56"/>
  <c r="G354" i="56"/>
  <c r="G355" i="56"/>
  <c r="G356" i="56"/>
  <c r="G357" i="56"/>
  <c r="G358" i="56"/>
  <c r="G359" i="56"/>
  <c r="G360" i="56"/>
  <c r="G361" i="56"/>
  <c r="G362" i="56"/>
  <c r="G363" i="56"/>
  <c r="G364" i="56"/>
  <c r="G365" i="56"/>
  <c r="G366" i="56"/>
  <c r="G367" i="56"/>
  <c r="G368" i="56"/>
  <c r="G369" i="56"/>
  <c r="G370" i="56"/>
  <c r="G371" i="56"/>
  <c r="G372" i="56"/>
  <c r="G373" i="56"/>
  <c r="G374" i="56"/>
  <c r="G375" i="56"/>
  <c r="G376" i="56"/>
  <c r="G377" i="56"/>
  <c r="G378" i="56"/>
  <c r="G379" i="56"/>
  <c r="G380" i="56"/>
  <c r="G381" i="56"/>
  <c r="G382" i="56"/>
  <c r="G383" i="56"/>
  <c r="G384" i="56"/>
  <c r="G385" i="56"/>
  <c r="G386" i="56"/>
  <c r="G387" i="56"/>
  <c r="G388" i="56"/>
  <c r="G389" i="56"/>
  <c r="G390" i="56"/>
  <c r="G391" i="56"/>
  <c r="G392" i="56"/>
  <c r="G393" i="56"/>
  <c r="G394" i="56"/>
  <c r="G395" i="56"/>
  <c r="G396" i="56"/>
  <c r="G397" i="56"/>
  <c r="G398" i="56"/>
  <c r="G399" i="56"/>
  <c r="G400" i="56"/>
  <c r="G401" i="56"/>
  <c r="G402" i="56"/>
  <c r="G403" i="56"/>
  <c r="G404" i="56"/>
  <c r="G405" i="56"/>
  <c r="G406" i="56"/>
  <c r="G407" i="56"/>
  <c r="G408" i="56"/>
  <c r="G409" i="56"/>
  <c r="G410" i="56"/>
  <c r="G411" i="56"/>
  <c r="G412" i="56"/>
  <c r="G413" i="56"/>
  <c r="G414" i="56"/>
  <c r="G415" i="56"/>
  <c r="G416" i="56"/>
  <c r="G417" i="56"/>
  <c r="G418" i="56"/>
  <c r="G419" i="56"/>
  <c r="G420" i="56"/>
  <c r="G421" i="56"/>
  <c r="G422" i="56"/>
  <c r="G423" i="56"/>
  <c r="G424" i="56"/>
  <c r="G425" i="56"/>
  <c r="G426" i="56"/>
  <c r="G427" i="56"/>
  <c r="G428" i="56"/>
  <c r="G429" i="56"/>
  <c r="G430" i="56"/>
  <c r="G431" i="56"/>
  <c r="G432" i="56"/>
  <c r="G433" i="56"/>
  <c r="G434" i="56"/>
  <c r="G435" i="56"/>
  <c r="G436" i="56"/>
  <c r="G437" i="56"/>
  <c r="G438" i="56"/>
  <c r="G439" i="56"/>
  <c r="G440" i="56"/>
  <c r="G441" i="56"/>
  <c r="G442" i="56"/>
  <c r="G443" i="56"/>
  <c r="G444" i="56"/>
  <c r="G445" i="56"/>
  <c r="G446" i="56"/>
  <c r="G447" i="56"/>
  <c r="G448" i="56"/>
  <c r="G449" i="56"/>
  <c r="G450" i="56"/>
  <c r="G451" i="56"/>
  <c r="G452" i="56"/>
  <c r="G453" i="56"/>
  <c r="G454" i="56"/>
  <c r="G455" i="56"/>
  <c r="G456" i="56"/>
  <c r="G457" i="56"/>
  <c r="G458" i="56"/>
  <c r="G459" i="56"/>
  <c r="G460" i="56"/>
  <c r="G461" i="56"/>
  <c r="G462" i="56"/>
  <c r="G463" i="56"/>
  <c r="G464" i="56"/>
  <c r="G465" i="56"/>
  <c r="G466" i="56"/>
  <c r="G467" i="56"/>
  <c r="G468" i="56"/>
  <c r="G469" i="56"/>
  <c r="G470" i="56"/>
  <c r="G471" i="56"/>
  <c r="G472" i="56"/>
  <c r="G473" i="56"/>
  <c r="G474" i="56"/>
  <c r="G475" i="56"/>
  <c r="G476" i="56"/>
  <c r="G477" i="56"/>
  <c r="G478" i="56"/>
  <c r="G479" i="56"/>
  <c r="G480" i="56"/>
  <c r="G481" i="56"/>
  <c r="G482" i="56"/>
  <c r="G483" i="56"/>
  <c r="G484" i="56"/>
  <c r="G485" i="56"/>
  <c r="G486" i="56"/>
  <c r="G487" i="56"/>
  <c r="G488" i="56"/>
  <c r="G489" i="56"/>
  <c r="G490" i="56"/>
  <c r="G491" i="56"/>
  <c r="G492" i="56"/>
  <c r="G493" i="56"/>
  <c r="G494" i="56"/>
  <c r="G495" i="56"/>
  <c r="G496" i="56"/>
  <c r="G497" i="56"/>
  <c r="G498" i="56"/>
  <c r="G499" i="56"/>
  <c r="G500" i="56"/>
  <c r="G501" i="56"/>
  <c r="G502" i="56"/>
  <c r="G503" i="56"/>
  <c r="G504" i="56"/>
  <c r="G505" i="56"/>
  <c r="G506" i="56"/>
  <c r="G507" i="56"/>
  <c r="G508" i="56"/>
  <c r="G509" i="56"/>
  <c r="G510" i="56"/>
  <c r="G511" i="56"/>
  <c r="G512" i="56"/>
  <c r="G513" i="56"/>
  <c r="G514" i="56"/>
  <c r="G515" i="56"/>
  <c r="G516" i="56"/>
  <c r="G517" i="56"/>
  <c r="G518" i="56"/>
  <c r="G519" i="56"/>
  <c r="G520" i="56"/>
  <c r="G521" i="56"/>
  <c r="G522" i="56"/>
  <c r="G523" i="56"/>
  <c r="G524" i="56"/>
  <c r="G525" i="56"/>
  <c r="G526" i="56"/>
  <c r="G527" i="56"/>
  <c r="G528" i="56"/>
  <c r="G529" i="56"/>
  <c r="G530" i="56"/>
  <c r="G531" i="56"/>
  <c r="G532" i="56"/>
  <c r="G533" i="56"/>
  <c r="G534" i="56"/>
  <c r="G535" i="56"/>
  <c r="G536" i="56"/>
  <c r="G537" i="56"/>
  <c r="G538" i="56"/>
  <c r="G539" i="56"/>
  <c r="G540" i="56"/>
  <c r="G541" i="56"/>
  <c r="G542" i="56"/>
  <c r="G543" i="56"/>
  <c r="G544" i="56"/>
  <c r="G545" i="56"/>
  <c r="G546" i="56"/>
  <c r="G547" i="56"/>
  <c r="G548" i="56"/>
  <c r="G549" i="56"/>
  <c r="G550" i="56"/>
  <c r="G551" i="56"/>
  <c r="G552" i="56"/>
  <c r="G553" i="56"/>
  <c r="G554" i="56"/>
  <c r="G555" i="56"/>
  <c r="G556" i="56"/>
  <c r="G557" i="56"/>
  <c r="G558" i="56"/>
  <c r="G559" i="56"/>
  <c r="G560" i="56"/>
  <c r="G561" i="56"/>
  <c r="G562" i="56"/>
  <c r="G563" i="56"/>
  <c r="G564" i="56"/>
  <c r="G565" i="56"/>
  <c r="G566" i="56"/>
  <c r="G567" i="56"/>
  <c r="G568" i="56"/>
  <c r="G569" i="56"/>
  <c r="G570" i="56"/>
  <c r="G571" i="56"/>
  <c r="G572" i="56"/>
  <c r="G573" i="56"/>
  <c r="G574" i="56"/>
  <c r="G575" i="56"/>
  <c r="G576" i="56"/>
  <c r="G577" i="56"/>
  <c r="G578" i="56"/>
  <c r="G579" i="56"/>
  <c r="G580" i="56"/>
  <c r="G581" i="56"/>
  <c r="G582" i="56"/>
  <c r="G583" i="56"/>
  <c r="G584" i="56"/>
  <c r="G585" i="56"/>
  <c r="G586" i="56"/>
  <c r="G587" i="56"/>
  <c r="G588" i="56"/>
  <c r="G589" i="56"/>
  <c r="G590" i="56"/>
  <c r="G591" i="56"/>
  <c r="G592" i="56"/>
  <c r="G593" i="56"/>
  <c r="G594" i="56"/>
  <c r="G595" i="56"/>
  <c r="G596" i="56"/>
  <c r="G597" i="56"/>
  <c r="G598" i="56"/>
  <c r="G599" i="56"/>
  <c r="G600" i="56"/>
  <c r="G601" i="56"/>
  <c r="G602" i="56"/>
  <c r="G603" i="56"/>
  <c r="G604" i="56"/>
  <c r="G605" i="56"/>
  <c r="G606" i="56"/>
  <c r="G607" i="56"/>
  <c r="G608" i="56"/>
  <c r="G609" i="56"/>
  <c r="G610" i="56"/>
  <c r="G611" i="56"/>
  <c r="G612" i="56"/>
  <c r="G613" i="56"/>
  <c r="G614" i="56"/>
  <c r="G615" i="56"/>
  <c r="G616" i="56"/>
  <c r="G617" i="56"/>
  <c r="G618" i="56"/>
  <c r="G619" i="56"/>
  <c r="G620" i="56"/>
  <c r="G621" i="56"/>
  <c r="G622" i="56"/>
  <c r="G623" i="56"/>
  <c r="G624" i="56"/>
  <c r="G625" i="56"/>
  <c r="G626" i="56"/>
  <c r="G627" i="56"/>
  <c r="G628" i="56"/>
  <c r="G629" i="56"/>
  <c r="G630" i="56"/>
  <c r="G631" i="56"/>
  <c r="G7" i="56"/>
  <c r="F7" i="56"/>
  <c r="H7" i="56" s="1"/>
  <c r="F8" i="56"/>
  <c r="F9" i="56"/>
  <c r="H9" i="56" s="1"/>
  <c r="F10" i="56"/>
  <c r="H10" i="56"/>
  <c r="F11" i="56"/>
  <c r="H11" i="56" s="1"/>
  <c r="F12" i="56"/>
  <c r="H12" i="56" s="1"/>
  <c r="F13" i="56"/>
  <c r="H13" i="56" s="1"/>
  <c r="F14" i="56"/>
  <c r="H14" i="56" s="1"/>
  <c r="F15" i="56"/>
  <c r="H15" i="56" s="1"/>
  <c r="F16" i="56"/>
  <c r="H16" i="56" s="1"/>
  <c r="F17" i="56"/>
  <c r="H17" i="56" s="1"/>
  <c r="F18" i="56"/>
  <c r="H18" i="56" s="1"/>
  <c r="F19" i="56"/>
  <c r="H19" i="56" s="1"/>
  <c r="F20" i="56"/>
  <c r="H20" i="56" s="1"/>
  <c r="F21" i="56"/>
  <c r="H21" i="56" s="1"/>
  <c r="F22" i="56"/>
  <c r="H22" i="56" s="1"/>
  <c r="F23" i="56"/>
  <c r="H23" i="56" s="1"/>
  <c r="F24" i="56"/>
  <c r="H24" i="56" s="1"/>
  <c r="F25" i="56"/>
  <c r="H25" i="56" s="1"/>
  <c r="F26" i="56"/>
  <c r="H26" i="56" s="1"/>
  <c r="F27" i="56"/>
  <c r="H27" i="56" s="1"/>
  <c r="F28" i="56"/>
  <c r="H28" i="56" s="1"/>
  <c r="F29" i="56"/>
  <c r="H29" i="56" s="1"/>
  <c r="F30" i="56"/>
  <c r="H30" i="56" s="1"/>
  <c r="F31" i="56"/>
  <c r="H31" i="56" s="1"/>
  <c r="F32" i="56"/>
  <c r="H32" i="56" s="1"/>
  <c r="F33" i="56"/>
  <c r="H33" i="56" s="1"/>
  <c r="F34" i="56"/>
  <c r="H34" i="56" s="1"/>
  <c r="F35" i="56"/>
  <c r="H35" i="56" s="1"/>
  <c r="F36" i="56"/>
  <c r="H36" i="56" s="1"/>
  <c r="F37" i="56"/>
  <c r="H37" i="56" s="1"/>
  <c r="F38" i="56"/>
  <c r="H38" i="56" s="1"/>
  <c r="F39" i="56"/>
  <c r="H39" i="56" s="1"/>
  <c r="F40" i="56"/>
  <c r="H40" i="56" s="1"/>
  <c r="F41" i="56"/>
  <c r="H41" i="56" s="1"/>
  <c r="F42" i="56"/>
  <c r="H42" i="56" s="1"/>
  <c r="F43" i="56"/>
  <c r="H43" i="56" s="1"/>
  <c r="F44" i="56"/>
  <c r="H44" i="56" s="1"/>
  <c r="F45" i="56"/>
  <c r="H45" i="56" s="1"/>
  <c r="F46" i="56"/>
  <c r="H46" i="56" s="1"/>
  <c r="F47" i="56"/>
  <c r="H47" i="56" s="1"/>
  <c r="F48" i="56"/>
  <c r="H48" i="56" s="1"/>
  <c r="F49" i="56"/>
  <c r="H49" i="56" s="1"/>
  <c r="F50" i="56"/>
  <c r="H50" i="56" s="1"/>
  <c r="F51" i="56"/>
  <c r="H51" i="56" s="1"/>
  <c r="F52" i="56"/>
  <c r="H52" i="56" s="1"/>
  <c r="F53" i="56"/>
  <c r="H53" i="56" s="1"/>
  <c r="F54" i="56"/>
  <c r="H54" i="56" s="1"/>
  <c r="F55" i="56"/>
  <c r="H55" i="56" s="1"/>
  <c r="F56" i="56"/>
  <c r="H56" i="56" s="1"/>
  <c r="F57" i="56"/>
  <c r="H57" i="56" s="1"/>
  <c r="F58" i="56"/>
  <c r="H58" i="56" s="1"/>
  <c r="F59" i="56"/>
  <c r="H59" i="56" s="1"/>
  <c r="F60" i="56"/>
  <c r="H60" i="56" s="1"/>
  <c r="F61" i="56"/>
  <c r="H61" i="56" s="1"/>
  <c r="F62" i="56"/>
  <c r="H62" i="56" s="1"/>
  <c r="F63" i="56"/>
  <c r="H63" i="56" s="1"/>
  <c r="F64" i="56"/>
  <c r="H64" i="56" s="1"/>
  <c r="F65" i="56"/>
  <c r="H65" i="56" s="1"/>
  <c r="F66" i="56"/>
  <c r="H66" i="56" s="1"/>
  <c r="F67" i="56"/>
  <c r="H67" i="56" s="1"/>
  <c r="F68" i="56"/>
  <c r="H68" i="56" s="1"/>
  <c r="F69" i="56"/>
  <c r="H69" i="56" s="1"/>
  <c r="F70" i="56"/>
  <c r="H70" i="56" s="1"/>
  <c r="F71" i="56"/>
  <c r="H71" i="56" s="1"/>
  <c r="F72" i="56"/>
  <c r="H72" i="56" s="1"/>
  <c r="F73" i="56"/>
  <c r="H73" i="56" s="1"/>
  <c r="F74" i="56"/>
  <c r="H74" i="56" s="1"/>
  <c r="F75" i="56"/>
  <c r="H75" i="56" s="1"/>
  <c r="F76" i="56"/>
  <c r="H76" i="56" s="1"/>
  <c r="F77" i="56"/>
  <c r="H77" i="56" s="1"/>
  <c r="F78" i="56"/>
  <c r="H78" i="56" s="1"/>
  <c r="F79" i="56"/>
  <c r="H79" i="56" s="1"/>
  <c r="F80" i="56"/>
  <c r="H80" i="56" s="1"/>
  <c r="F81" i="56"/>
  <c r="H81" i="56" s="1"/>
  <c r="F82" i="56"/>
  <c r="H82" i="56" s="1"/>
  <c r="F83" i="56"/>
  <c r="H83" i="56" s="1"/>
  <c r="F84" i="56"/>
  <c r="H84" i="56" s="1"/>
  <c r="F85" i="56"/>
  <c r="H85" i="56" s="1"/>
  <c r="F86" i="56"/>
  <c r="H86" i="56" s="1"/>
  <c r="F87" i="56"/>
  <c r="H87" i="56" s="1"/>
  <c r="F88" i="56"/>
  <c r="H88" i="56" s="1"/>
  <c r="F89" i="56"/>
  <c r="H89" i="56" s="1"/>
  <c r="F90" i="56"/>
  <c r="H90" i="56" s="1"/>
  <c r="F91" i="56"/>
  <c r="H91" i="56" s="1"/>
  <c r="F92" i="56"/>
  <c r="H92" i="56" s="1"/>
  <c r="F93" i="56"/>
  <c r="H93" i="56" s="1"/>
  <c r="F94" i="56"/>
  <c r="H94" i="56" s="1"/>
  <c r="F95" i="56"/>
  <c r="H95" i="56" s="1"/>
  <c r="F96" i="56"/>
  <c r="H96" i="56" s="1"/>
  <c r="F97" i="56"/>
  <c r="H97" i="56" s="1"/>
  <c r="F98" i="56"/>
  <c r="H98" i="56" s="1"/>
  <c r="F99" i="56"/>
  <c r="H99" i="56" s="1"/>
  <c r="F100" i="56"/>
  <c r="H100" i="56" s="1"/>
  <c r="F101" i="56"/>
  <c r="H101" i="56" s="1"/>
  <c r="F102" i="56"/>
  <c r="H102" i="56" s="1"/>
  <c r="F103" i="56"/>
  <c r="H103" i="56" s="1"/>
  <c r="F104" i="56"/>
  <c r="H104" i="56" s="1"/>
  <c r="F105" i="56"/>
  <c r="H105" i="56" s="1"/>
  <c r="F106" i="56"/>
  <c r="H106" i="56" s="1"/>
  <c r="F107" i="56"/>
  <c r="H107" i="56" s="1"/>
  <c r="F108" i="56"/>
  <c r="H108" i="56" s="1"/>
  <c r="F109" i="56"/>
  <c r="H109" i="56" s="1"/>
  <c r="F110" i="56"/>
  <c r="H110" i="56" s="1"/>
  <c r="F111" i="56"/>
  <c r="H111" i="56" s="1"/>
  <c r="F112" i="56"/>
  <c r="H112" i="56" s="1"/>
  <c r="F113" i="56"/>
  <c r="H113" i="56" s="1"/>
  <c r="F114" i="56"/>
  <c r="H114" i="56" s="1"/>
  <c r="F115" i="56"/>
  <c r="H115" i="56" s="1"/>
  <c r="F116" i="56"/>
  <c r="H116" i="56" s="1"/>
  <c r="F117" i="56"/>
  <c r="H117" i="56" s="1"/>
  <c r="F118" i="56"/>
  <c r="H118" i="56" s="1"/>
  <c r="F119" i="56"/>
  <c r="H119" i="56" s="1"/>
  <c r="F120" i="56"/>
  <c r="H120" i="56" s="1"/>
  <c r="F121" i="56"/>
  <c r="H121" i="56" s="1"/>
  <c r="F122" i="56"/>
  <c r="H122" i="56" s="1"/>
  <c r="F123" i="56"/>
  <c r="H123" i="56" s="1"/>
  <c r="F124" i="56"/>
  <c r="H124" i="56" s="1"/>
  <c r="F125" i="56"/>
  <c r="H125" i="56" s="1"/>
  <c r="F126" i="56"/>
  <c r="H126" i="56" s="1"/>
  <c r="F127" i="56"/>
  <c r="H127" i="56" s="1"/>
  <c r="F128" i="56"/>
  <c r="H128" i="56" s="1"/>
  <c r="F129" i="56"/>
  <c r="H129" i="56" s="1"/>
  <c r="F130" i="56"/>
  <c r="H130" i="56" s="1"/>
  <c r="F131" i="56"/>
  <c r="H131" i="56" s="1"/>
  <c r="F132" i="56"/>
  <c r="H132" i="56" s="1"/>
  <c r="F133" i="56"/>
  <c r="H133" i="56" s="1"/>
  <c r="F134" i="56"/>
  <c r="H134" i="56" s="1"/>
  <c r="F135" i="56"/>
  <c r="H135" i="56" s="1"/>
  <c r="F136" i="56"/>
  <c r="H136" i="56" s="1"/>
  <c r="F137" i="56"/>
  <c r="H137" i="56" s="1"/>
  <c r="F138" i="56"/>
  <c r="H138" i="56" s="1"/>
  <c r="F139" i="56"/>
  <c r="H139" i="56" s="1"/>
  <c r="F140" i="56"/>
  <c r="H140" i="56" s="1"/>
  <c r="F141" i="56"/>
  <c r="H141" i="56" s="1"/>
  <c r="F142" i="56"/>
  <c r="H142" i="56" s="1"/>
  <c r="F143" i="56"/>
  <c r="H143" i="56" s="1"/>
  <c r="F144" i="56"/>
  <c r="H144" i="56" s="1"/>
  <c r="F145" i="56"/>
  <c r="H145" i="56" s="1"/>
  <c r="F146" i="56"/>
  <c r="H146" i="56" s="1"/>
  <c r="F147" i="56"/>
  <c r="H147" i="56" s="1"/>
  <c r="F148" i="56"/>
  <c r="H148" i="56" s="1"/>
  <c r="F149" i="56"/>
  <c r="H149" i="56" s="1"/>
  <c r="F150" i="56"/>
  <c r="H150" i="56" s="1"/>
  <c r="F151" i="56"/>
  <c r="H151" i="56" s="1"/>
  <c r="F152" i="56"/>
  <c r="H152" i="56" s="1"/>
  <c r="F153" i="56"/>
  <c r="H153" i="56" s="1"/>
  <c r="F154" i="56"/>
  <c r="H154" i="56" s="1"/>
  <c r="F155" i="56"/>
  <c r="H155" i="56" s="1"/>
  <c r="F156" i="56"/>
  <c r="H156" i="56" s="1"/>
  <c r="F157" i="56"/>
  <c r="H157" i="56" s="1"/>
  <c r="F158" i="56"/>
  <c r="H158" i="56" s="1"/>
  <c r="F159" i="56"/>
  <c r="H159" i="56" s="1"/>
  <c r="F160" i="56"/>
  <c r="H160" i="56" s="1"/>
  <c r="F161" i="56"/>
  <c r="H161" i="56" s="1"/>
  <c r="F162" i="56"/>
  <c r="H162" i="56" s="1"/>
  <c r="F163" i="56"/>
  <c r="H163" i="56" s="1"/>
  <c r="F164" i="56"/>
  <c r="H164" i="56" s="1"/>
  <c r="F165" i="56"/>
  <c r="H165" i="56" s="1"/>
  <c r="F166" i="56"/>
  <c r="H166" i="56" s="1"/>
  <c r="F167" i="56"/>
  <c r="H167" i="56" s="1"/>
  <c r="F168" i="56"/>
  <c r="H168" i="56" s="1"/>
  <c r="F169" i="56"/>
  <c r="H169" i="56" s="1"/>
  <c r="F170" i="56"/>
  <c r="H170" i="56" s="1"/>
  <c r="F171" i="56"/>
  <c r="H171" i="56" s="1"/>
  <c r="F172" i="56"/>
  <c r="H172" i="56" s="1"/>
  <c r="F173" i="56"/>
  <c r="H173" i="56" s="1"/>
  <c r="F174" i="56"/>
  <c r="H174" i="56" s="1"/>
  <c r="F175" i="56"/>
  <c r="H175" i="56" s="1"/>
  <c r="F176" i="56"/>
  <c r="H176" i="56" s="1"/>
  <c r="F177" i="56"/>
  <c r="H177" i="56" s="1"/>
  <c r="F178" i="56"/>
  <c r="H178" i="56" s="1"/>
  <c r="F179" i="56"/>
  <c r="H179" i="56" s="1"/>
  <c r="F180" i="56"/>
  <c r="H180" i="56" s="1"/>
  <c r="F181" i="56"/>
  <c r="H181" i="56" s="1"/>
  <c r="F182" i="56"/>
  <c r="H182" i="56" s="1"/>
  <c r="F183" i="56"/>
  <c r="H183" i="56" s="1"/>
  <c r="F184" i="56"/>
  <c r="H184" i="56" s="1"/>
  <c r="F185" i="56"/>
  <c r="H185" i="56" s="1"/>
  <c r="F186" i="56"/>
  <c r="H186" i="56" s="1"/>
  <c r="F187" i="56"/>
  <c r="H187" i="56" s="1"/>
  <c r="F188" i="56"/>
  <c r="H188" i="56" s="1"/>
  <c r="F189" i="56"/>
  <c r="H189" i="56" s="1"/>
  <c r="F190" i="56"/>
  <c r="H190" i="56" s="1"/>
  <c r="F191" i="56"/>
  <c r="H191" i="56" s="1"/>
  <c r="F192" i="56"/>
  <c r="H192" i="56" s="1"/>
  <c r="F193" i="56"/>
  <c r="H193" i="56" s="1"/>
  <c r="F194" i="56"/>
  <c r="H194" i="56" s="1"/>
  <c r="F195" i="56"/>
  <c r="H195" i="56" s="1"/>
  <c r="F196" i="56"/>
  <c r="H196" i="56" s="1"/>
  <c r="F197" i="56"/>
  <c r="H197" i="56" s="1"/>
  <c r="F198" i="56"/>
  <c r="H198" i="56" s="1"/>
  <c r="F199" i="56"/>
  <c r="H199" i="56" s="1"/>
  <c r="F200" i="56"/>
  <c r="H200" i="56" s="1"/>
  <c r="F201" i="56"/>
  <c r="H201" i="56" s="1"/>
  <c r="F202" i="56"/>
  <c r="H202" i="56" s="1"/>
  <c r="F203" i="56"/>
  <c r="H203" i="56" s="1"/>
  <c r="F204" i="56"/>
  <c r="H204" i="56" s="1"/>
  <c r="F205" i="56"/>
  <c r="H205" i="56" s="1"/>
  <c r="F206" i="56"/>
  <c r="H206" i="56" s="1"/>
  <c r="F207" i="56"/>
  <c r="H207" i="56" s="1"/>
  <c r="F208" i="56"/>
  <c r="H208" i="56" s="1"/>
  <c r="F209" i="56"/>
  <c r="H209" i="56" s="1"/>
  <c r="F210" i="56"/>
  <c r="H210" i="56" s="1"/>
  <c r="F211" i="56"/>
  <c r="H211" i="56" s="1"/>
  <c r="F212" i="56"/>
  <c r="H212" i="56" s="1"/>
  <c r="F213" i="56"/>
  <c r="H213" i="56" s="1"/>
  <c r="F214" i="56"/>
  <c r="H214" i="56" s="1"/>
  <c r="F215" i="56"/>
  <c r="H215" i="56" s="1"/>
  <c r="F216" i="56"/>
  <c r="H216" i="56" s="1"/>
  <c r="F217" i="56"/>
  <c r="H217" i="56" s="1"/>
  <c r="F218" i="56"/>
  <c r="H218" i="56" s="1"/>
  <c r="F219" i="56"/>
  <c r="H219" i="56" s="1"/>
  <c r="F220" i="56"/>
  <c r="H220" i="56" s="1"/>
  <c r="F221" i="56"/>
  <c r="H221" i="56" s="1"/>
  <c r="F222" i="56"/>
  <c r="H222" i="56" s="1"/>
  <c r="F223" i="56"/>
  <c r="H223" i="56" s="1"/>
  <c r="F224" i="56"/>
  <c r="H224" i="56" s="1"/>
  <c r="F225" i="56"/>
  <c r="H225" i="56" s="1"/>
  <c r="F226" i="56"/>
  <c r="H226" i="56" s="1"/>
  <c r="F227" i="56"/>
  <c r="H227" i="56" s="1"/>
  <c r="F228" i="56"/>
  <c r="H228" i="56" s="1"/>
  <c r="F229" i="56"/>
  <c r="H229" i="56" s="1"/>
  <c r="F230" i="56"/>
  <c r="H230" i="56" s="1"/>
  <c r="F231" i="56"/>
  <c r="H231" i="56" s="1"/>
  <c r="F232" i="56"/>
  <c r="H232" i="56" s="1"/>
  <c r="F233" i="56"/>
  <c r="H233" i="56" s="1"/>
  <c r="F234" i="56"/>
  <c r="H234" i="56" s="1"/>
  <c r="F235" i="56"/>
  <c r="H235" i="56" s="1"/>
  <c r="F236" i="56"/>
  <c r="H236" i="56" s="1"/>
  <c r="F237" i="56"/>
  <c r="H237" i="56" s="1"/>
  <c r="F238" i="56"/>
  <c r="H238" i="56" s="1"/>
  <c r="F239" i="56"/>
  <c r="H239" i="56" s="1"/>
  <c r="F240" i="56"/>
  <c r="H240" i="56" s="1"/>
  <c r="F241" i="56"/>
  <c r="H241" i="56" s="1"/>
  <c r="F242" i="56"/>
  <c r="H242" i="56" s="1"/>
  <c r="F243" i="56"/>
  <c r="H243" i="56" s="1"/>
  <c r="F244" i="56"/>
  <c r="H244" i="56" s="1"/>
  <c r="F245" i="56"/>
  <c r="H245" i="56" s="1"/>
  <c r="F246" i="56"/>
  <c r="H246" i="56" s="1"/>
  <c r="F247" i="56"/>
  <c r="H247" i="56" s="1"/>
  <c r="F248" i="56"/>
  <c r="H248" i="56" s="1"/>
  <c r="F249" i="56"/>
  <c r="H249" i="56" s="1"/>
  <c r="F250" i="56"/>
  <c r="H250" i="56" s="1"/>
  <c r="F251" i="56"/>
  <c r="H251" i="56" s="1"/>
  <c r="F252" i="56"/>
  <c r="H252" i="56" s="1"/>
  <c r="F253" i="56"/>
  <c r="H253" i="56" s="1"/>
  <c r="F254" i="56"/>
  <c r="H254" i="56" s="1"/>
  <c r="F255" i="56"/>
  <c r="H255" i="56" s="1"/>
  <c r="F256" i="56"/>
  <c r="H256" i="56" s="1"/>
  <c r="F257" i="56"/>
  <c r="H257" i="56" s="1"/>
  <c r="F258" i="56"/>
  <c r="H258" i="56" s="1"/>
  <c r="F259" i="56"/>
  <c r="H259" i="56" s="1"/>
  <c r="F260" i="56"/>
  <c r="H260" i="56" s="1"/>
  <c r="F261" i="56"/>
  <c r="H261" i="56" s="1"/>
  <c r="F262" i="56"/>
  <c r="H262" i="56" s="1"/>
  <c r="F263" i="56"/>
  <c r="H263" i="56" s="1"/>
  <c r="F264" i="56"/>
  <c r="H264" i="56" s="1"/>
  <c r="F265" i="56"/>
  <c r="H265" i="56" s="1"/>
  <c r="F266" i="56"/>
  <c r="H266" i="56" s="1"/>
  <c r="F267" i="56"/>
  <c r="H267" i="56" s="1"/>
  <c r="F268" i="56"/>
  <c r="H268" i="56" s="1"/>
  <c r="F269" i="56"/>
  <c r="H269" i="56" s="1"/>
  <c r="F270" i="56"/>
  <c r="H270" i="56" s="1"/>
  <c r="F271" i="56"/>
  <c r="H271" i="56" s="1"/>
  <c r="F272" i="56"/>
  <c r="H272" i="56" s="1"/>
  <c r="F273" i="56"/>
  <c r="H273" i="56" s="1"/>
  <c r="F274" i="56"/>
  <c r="H274" i="56" s="1"/>
  <c r="F275" i="56"/>
  <c r="H275" i="56" s="1"/>
  <c r="F276" i="56"/>
  <c r="H276" i="56" s="1"/>
  <c r="F277" i="56"/>
  <c r="H277" i="56" s="1"/>
  <c r="F278" i="56"/>
  <c r="H278" i="56" s="1"/>
  <c r="F279" i="56"/>
  <c r="H279" i="56" s="1"/>
  <c r="F280" i="56"/>
  <c r="H280" i="56" s="1"/>
  <c r="F281" i="56"/>
  <c r="H281" i="56" s="1"/>
  <c r="F282" i="56"/>
  <c r="H282" i="56" s="1"/>
  <c r="F283" i="56"/>
  <c r="H283" i="56" s="1"/>
  <c r="F284" i="56"/>
  <c r="H284" i="56" s="1"/>
  <c r="F285" i="56"/>
  <c r="H285" i="56" s="1"/>
  <c r="F286" i="56"/>
  <c r="H286" i="56" s="1"/>
  <c r="F287" i="56"/>
  <c r="H287" i="56" s="1"/>
  <c r="F288" i="56"/>
  <c r="H288" i="56" s="1"/>
  <c r="F289" i="56"/>
  <c r="H289" i="56" s="1"/>
  <c r="F290" i="56"/>
  <c r="H290" i="56" s="1"/>
  <c r="F291" i="56"/>
  <c r="H291" i="56" s="1"/>
  <c r="F292" i="56"/>
  <c r="H292" i="56" s="1"/>
  <c r="F293" i="56"/>
  <c r="H293" i="56" s="1"/>
  <c r="F294" i="56"/>
  <c r="H294" i="56" s="1"/>
  <c r="F295" i="56"/>
  <c r="H295" i="56" s="1"/>
  <c r="F296" i="56"/>
  <c r="H296" i="56" s="1"/>
  <c r="F297" i="56"/>
  <c r="H297" i="56" s="1"/>
  <c r="F298" i="56"/>
  <c r="H298" i="56" s="1"/>
  <c r="F299" i="56"/>
  <c r="H299" i="56" s="1"/>
  <c r="F300" i="56"/>
  <c r="H300" i="56" s="1"/>
  <c r="F301" i="56"/>
  <c r="H301" i="56" s="1"/>
  <c r="F302" i="56"/>
  <c r="H302" i="56" s="1"/>
  <c r="F303" i="56"/>
  <c r="H303" i="56" s="1"/>
  <c r="F304" i="56"/>
  <c r="H304" i="56" s="1"/>
  <c r="F305" i="56"/>
  <c r="H305" i="56" s="1"/>
  <c r="F306" i="56"/>
  <c r="H306" i="56" s="1"/>
  <c r="F307" i="56"/>
  <c r="H307" i="56" s="1"/>
  <c r="F308" i="56"/>
  <c r="H308" i="56" s="1"/>
  <c r="F309" i="56"/>
  <c r="H309" i="56" s="1"/>
  <c r="F310" i="56"/>
  <c r="H310" i="56" s="1"/>
  <c r="F311" i="56"/>
  <c r="H311" i="56" s="1"/>
  <c r="F312" i="56"/>
  <c r="H312" i="56" s="1"/>
  <c r="F313" i="56"/>
  <c r="H313" i="56" s="1"/>
  <c r="F314" i="56"/>
  <c r="H314" i="56" s="1"/>
  <c r="F315" i="56"/>
  <c r="H315" i="56" s="1"/>
  <c r="F316" i="56"/>
  <c r="H316" i="56" s="1"/>
  <c r="F317" i="56"/>
  <c r="H317" i="56" s="1"/>
  <c r="F318" i="56"/>
  <c r="H318" i="56" s="1"/>
  <c r="F319" i="56"/>
  <c r="H319" i="56" s="1"/>
  <c r="F320" i="56"/>
  <c r="H320" i="56" s="1"/>
  <c r="F321" i="56"/>
  <c r="H321" i="56" s="1"/>
  <c r="F322" i="56"/>
  <c r="H322" i="56" s="1"/>
  <c r="F323" i="56"/>
  <c r="H323" i="56" s="1"/>
  <c r="F324" i="56"/>
  <c r="H324" i="56" s="1"/>
  <c r="F325" i="56"/>
  <c r="H325" i="56" s="1"/>
  <c r="F326" i="56"/>
  <c r="H326" i="56" s="1"/>
  <c r="F327" i="56"/>
  <c r="H327" i="56" s="1"/>
  <c r="F328" i="56"/>
  <c r="H328" i="56" s="1"/>
  <c r="F329" i="56"/>
  <c r="H329" i="56" s="1"/>
  <c r="F330" i="56"/>
  <c r="H330" i="56" s="1"/>
  <c r="F331" i="56"/>
  <c r="H331" i="56" s="1"/>
  <c r="F332" i="56"/>
  <c r="H332" i="56" s="1"/>
  <c r="F333" i="56"/>
  <c r="H333" i="56" s="1"/>
  <c r="F334" i="56"/>
  <c r="H334" i="56" s="1"/>
  <c r="F335" i="56"/>
  <c r="H335" i="56" s="1"/>
  <c r="F336" i="56"/>
  <c r="H336" i="56" s="1"/>
  <c r="F337" i="56"/>
  <c r="H337" i="56" s="1"/>
  <c r="F338" i="56"/>
  <c r="H338" i="56" s="1"/>
  <c r="F339" i="56"/>
  <c r="H339" i="56" s="1"/>
  <c r="F340" i="56"/>
  <c r="H340" i="56" s="1"/>
  <c r="F341" i="56"/>
  <c r="H341" i="56" s="1"/>
  <c r="F342" i="56"/>
  <c r="H342" i="56" s="1"/>
  <c r="F343" i="56"/>
  <c r="H343" i="56" s="1"/>
  <c r="F344" i="56"/>
  <c r="H344" i="56" s="1"/>
  <c r="F345" i="56"/>
  <c r="H345" i="56" s="1"/>
  <c r="F346" i="56"/>
  <c r="H346" i="56" s="1"/>
  <c r="F347" i="56"/>
  <c r="H347" i="56" s="1"/>
  <c r="F348" i="56"/>
  <c r="H348" i="56" s="1"/>
  <c r="F349" i="56"/>
  <c r="H349" i="56" s="1"/>
  <c r="F350" i="56"/>
  <c r="H350" i="56" s="1"/>
  <c r="F351" i="56"/>
  <c r="H351" i="56" s="1"/>
  <c r="F352" i="56"/>
  <c r="H352" i="56" s="1"/>
  <c r="F353" i="56"/>
  <c r="H353" i="56" s="1"/>
  <c r="F354" i="56"/>
  <c r="H354" i="56" s="1"/>
  <c r="F355" i="56"/>
  <c r="H355" i="56" s="1"/>
  <c r="F356" i="56"/>
  <c r="H356" i="56" s="1"/>
  <c r="F357" i="56"/>
  <c r="H357" i="56" s="1"/>
  <c r="F358" i="56"/>
  <c r="H358" i="56" s="1"/>
  <c r="F359" i="56"/>
  <c r="H359" i="56" s="1"/>
  <c r="F360" i="56"/>
  <c r="H360" i="56" s="1"/>
  <c r="F361" i="56"/>
  <c r="H361" i="56" s="1"/>
  <c r="F362" i="56"/>
  <c r="H362" i="56" s="1"/>
  <c r="F363" i="56"/>
  <c r="H363" i="56" s="1"/>
  <c r="F364" i="56"/>
  <c r="H364" i="56" s="1"/>
  <c r="F365" i="56"/>
  <c r="H365" i="56" s="1"/>
  <c r="F366" i="56"/>
  <c r="H366" i="56" s="1"/>
  <c r="F367" i="56"/>
  <c r="H367" i="56" s="1"/>
  <c r="F368" i="56"/>
  <c r="H368" i="56" s="1"/>
  <c r="F369" i="56"/>
  <c r="H369" i="56" s="1"/>
  <c r="F370" i="56"/>
  <c r="H370" i="56" s="1"/>
  <c r="F371" i="56"/>
  <c r="H371" i="56" s="1"/>
  <c r="F372" i="56"/>
  <c r="H372" i="56" s="1"/>
  <c r="F373" i="56"/>
  <c r="H373" i="56" s="1"/>
  <c r="F374" i="56"/>
  <c r="H374" i="56" s="1"/>
  <c r="F375" i="56"/>
  <c r="H375" i="56" s="1"/>
  <c r="F376" i="56"/>
  <c r="H376" i="56" s="1"/>
  <c r="F377" i="56"/>
  <c r="H377" i="56" s="1"/>
  <c r="F378" i="56"/>
  <c r="H378" i="56" s="1"/>
  <c r="F379" i="56"/>
  <c r="H379" i="56" s="1"/>
  <c r="F380" i="56"/>
  <c r="H380" i="56" s="1"/>
  <c r="F381" i="56"/>
  <c r="H381" i="56" s="1"/>
  <c r="F382" i="56"/>
  <c r="H382" i="56" s="1"/>
  <c r="F383" i="56"/>
  <c r="H383" i="56" s="1"/>
  <c r="F384" i="56"/>
  <c r="H384" i="56" s="1"/>
  <c r="F385" i="56"/>
  <c r="H385" i="56" s="1"/>
  <c r="F386" i="56"/>
  <c r="H386" i="56" s="1"/>
  <c r="F387" i="56"/>
  <c r="H387" i="56" s="1"/>
  <c r="F388" i="56"/>
  <c r="H388" i="56" s="1"/>
  <c r="F389" i="56"/>
  <c r="H389" i="56" s="1"/>
  <c r="F390" i="56"/>
  <c r="H390" i="56" s="1"/>
  <c r="F391" i="56"/>
  <c r="H391" i="56" s="1"/>
  <c r="F392" i="56"/>
  <c r="H392" i="56" s="1"/>
  <c r="F393" i="56"/>
  <c r="H393" i="56" s="1"/>
  <c r="F394" i="56"/>
  <c r="H394" i="56" s="1"/>
  <c r="F395" i="56"/>
  <c r="H395" i="56" s="1"/>
  <c r="F396" i="56"/>
  <c r="H396" i="56" s="1"/>
  <c r="F397" i="56"/>
  <c r="H397" i="56" s="1"/>
  <c r="F398" i="56"/>
  <c r="H398" i="56" s="1"/>
  <c r="F399" i="56"/>
  <c r="H399" i="56" s="1"/>
  <c r="F400" i="56"/>
  <c r="H400" i="56" s="1"/>
  <c r="F401" i="56"/>
  <c r="H401" i="56" s="1"/>
  <c r="F402" i="56"/>
  <c r="H402" i="56" s="1"/>
  <c r="F403" i="56"/>
  <c r="H403" i="56" s="1"/>
  <c r="F404" i="56"/>
  <c r="H404" i="56" s="1"/>
  <c r="F405" i="56"/>
  <c r="H405" i="56" s="1"/>
  <c r="F406" i="56"/>
  <c r="H406" i="56" s="1"/>
  <c r="F407" i="56"/>
  <c r="H407" i="56" s="1"/>
  <c r="F408" i="56"/>
  <c r="H408" i="56" s="1"/>
  <c r="F409" i="56"/>
  <c r="H409" i="56" s="1"/>
  <c r="F410" i="56"/>
  <c r="H410" i="56" s="1"/>
  <c r="F411" i="56"/>
  <c r="H411" i="56" s="1"/>
  <c r="F412" i="56"/>
  <c r="H412" i="56" s="1"/>
  <c r="F413" i="56"/>
  <c r="H413" i="56" s="1"/>
  <c r="F414" i="56"/>
  <c r="H414" i="56" s="1"/>
  <c r="F415" i="56"/>
  <c r="H415" i="56" s="1"/>
  <c r="F416" i="56"/>
  <c r="H416" i="56" s="1"/>
  <c r="F417" i="56"/>
  <c r="H417" i="56" s="1"/>
  <c r="F418" i="56"/>
  <c r="H418" i="56" s="1"/>
  <c r="F419" i="56"/>
  <c r="H419" i="56" s="1"/>
  <c r="F420" i="56"/>
  <c r="H420" i="56" s="1"/>
  <c r="F421" i="56"/>
  <c r="H421" i="56" s="1"/>
  <c r="F422" i="56"/>
  <c r="H422" i="56" s="1"/>
  <c r="F423" i="56"/>
  <c r="H423" i="56" s="1"/>
  <c r="F424" i="56"/>
  <c r="H424" i="56" s="1"/>
  <c r="F425" i="56"/>
  <c r="H425" i="56" s="1"/>
  <c r="F426" i="56"/>
  <c r="H426" i="56" s="1"/>
  <c r="F427" i="56"/>
  <c r="H427" i="56" s="1"/>
  <c r="F428" i="56"/>
  <c r="H428" i="56" s="1"/>
  <c r="F429" i="56"/>
  <c r="H429" i="56" s="1"/>
  <c r="F430" i="56"/>
  <c r="H430" i="56" s="1"/>
  <c r="F431" i="56"/>
  <c r="H431" i="56" s="1"/>
  <c r="F432" i="56"/>
  <c r="H432" i="56" s="1"/>
  <c r="F433" i="56"/>
  <c r="H433" i="56" s="1"/>
  <c r="F434" i="56"/>
  <c r="H434" i="56" s="1"/>
  <c r="F435" i="56"/>
  <c r="H435" i="56" s="1"/>
  <c r="F436" i="56"/>
  <c r="H436" i="56" s="1"/>
  <c r="F437" i="56"/>
  <c r="H437" i="56" s="1"/>
  <c r="F438" i="56"/>
  <c r="H438" i="56" s="1"/>
  <c r="F439" i="56"/>
  <c r="H439" i="56" s="1"/>
  <c r="F440" i="56"/>
  <c r="H440" i="56" s="1"/>
  <c r="F441" i="56"/>
  <c r="H441" i="56" s="1"/>
  <c r="F442" i="56"/>
  <c r="H442" i="56" s="1"/>
  <c r="F443" i="56"/>
  <c r="H443" i="56" s="1"/>
  <c r="F444" i="56"/>
  <c r="H444" i="56" s="1"/>
  <c r="F445" i="56"/>
  <c r="H445" i="56" s="1"/>
  <c r="F446" i="56"/>
  <c r="H446" i="56" s="1"/>
  <c r="F447" i="56"/>
  <c r="H447" i="56" s="1"/>
  <c r="F448" i="56"/>
  <c r="H448" i="56" s="1"/>
  <c r="F449" i="56"/>
  <c r="H449" i="56" s="1"/>
  <c r="F450" i="56"/>
  <c r="H450" i="56" s="1"/>
  <c r="F451" i="56"/>
  <c r="H451" i="56" s="1"/>
  <c r="F452" i="56"/>
  <c r="H452" i="56" s="1"/>
  <c r="F453" i="56"/>
  <c r="H453" i="56" s="1"/>
  <c r="F454" i="56"/>
  <c r="H454" i="56" s="1"/>
  <c r="F455" i="56"/>
  <c r="H455" i="56" s="1"/>
  <c r="F456" i="56"/>
  <c r="H456" i="56" s="1"/>
  <c r="F457" i="56"/>
  <c r="H457" i="56" s="1"/>
  <c r="F458" i="56"/>
  <c r="H458" i="56" s="1"/>
  <c r="F459" i="56"/>
  <c r="H459" i="56" s="1"/>
  <c r="F460" i="56"/>
  <c r="H460" i="56" s="1"/>
  <c r="F461" i="56"/>
  <c r="H461" i="56" s="1"/>
  <c r="F462" i="56"/>
  <c r="H462" i="56" s="1"/>
  <c r="F463" i="56"/>
  <c r="H463" i="56" s="1"/>
  <c r="F464" i="56"/>
  <c r="H464" i="56" s="1"/>
  <c r="F465" i="56"/>
  <c r="H465" i="56" s="1"/>
  <c r="F466" i="56"/>
  <c r="H466" i="56" s="1"/>
  <c r="F467" i="56"/>
  <c r="H467" i="56" s="1"/>
  <c r="F468" i="56"/>
  <c r="H468" i="56" s="1"/>
  <c r="F469" i="56"/>
  <c r="H469" i="56" s="1"/>
  <c r="F470" i="56"/>
  <c r="H470" i="56" s="1"/>
  <c r="F471" i="56"/>
  <c r="H471" i="56" s="1"/>
  <c r="F472" i="56"/>
  <c r="H472" i="56" s="1"/>
  <c r="F473" i="56"/>
  <c r="H473" i="56" s="1"/>
  <c r="F474" i="56"/>
  <c r="H474" i="56" s="1"/>
  <c r="F475" i="56"/>
  <c r="H475" i="56" s="1"/>
  <c r="F476" i="56"/>
  <c r="H476" i="56" s="1"/>
  <c r="F477" i="56"/>
  <c r="H477" i="56" s="1"/>
  <c r="F478" i="56"/>
  <c r="H478" i="56" s="1"/>
  <c r="F479" i="56"/>
  <c r="H479" i="56" s="1"/>
  <c r="F480" i="56"/>
  <c r="H480" i="56" s="1"/>
  <c r="F481" i="56"/>
  <c r="H481" i="56" s="1"/>
  <c r="F482" i="56"/>
  <c r="H482" i="56" s="1"/>
  <c r="F483" i="56"/>
  <c r="H483" i="56" s="1"/>
  <c r="F484" i="56"/>
  <c r="H484" i="56" s="1"/>
  <c r="F485" i="56"/>
  <c r="H485" i="56" s="1"/>
  <c r="F486" i="56"/>
  <c r="H486" i="56" s="1"/>
  <c r="F487" i="56"/>
  <c r="H487" i="56" s="1"/>
  <c r="F488" i="56"/>
  <c r="H488" i="56" s="1"/>
  <c r="F489" i="56"/>
  <c r="H489" i="56" s="1"/>
  <c r="F490" i="56"/>
  <c r="H490" i="56" s="1"/>
  <c r="F491" i="56"/>
  <c r="H491" i="56" s="1"/>
  <c r="F492" i="56"/>
  <c r="H492" i="56" s="1"/>
  <c r="F493" i="56"/>
  <c r="H493" i="56" s="1"/>
  <c r="F494" i="56"/>
  <c r="H494" i="56" s="1"/>
  <c r="F495" i="56"/>
  <c r="H495" i="56" s="1"/>
  <c r="F496" i="56"/>
  <c r="H496" i="56" s="1"/>
  <c r="F497" i="56"/>
  <c r="H497" i="56" s="1"/>
  <c r="F498" i="56"/>
  <c r="H498" i="56" s="1"/>
  <c r="F499" i="56"/>
  <c r="H499" i="56" s="1"/>
  <c r="F500" i="56"/>
  <c r="H500" i="56" s="1"/>
  <c r="F501" i="56"/>
  <c r="H501" i="56" s="1"/>
  <c r="F502" i="56"/>
  <c r="H502" i="56" s="1"/>
  <c r="F503" i="56"/>
  <c r="H503" i="56" s="1"/>
  <c r="F504" i="56"/>
  <c r="H504" i="56" s="1"/>
  <c r="F505" i="56"/>
  <c r="H505" i="56" s="1"/>
  <c r="F506" i="56"/>
  <c r="H506" i="56" s="1"/>
  <c r="F507" i="56"/>
  <c r="H507" i="56" s="1"/>
  <c r="F508" i="56"/>
  <c r="H508" i="56" s="1"/>
  <c r="F509" i="56"/>
  <c r="H509" i="56" s="1"/>
  <c r="F510" i="56"/>
  <c r="H510" i="56" s="1"/>
  <c r="F511" i="56"/>
  <c r="H511" i="56" s="1"/>
  <c r="F512" i="56"/>
  <c r="H512" i="56" s="1"/>
  <c r="F513" i="56"/>
  <c r="H513" i="56" s="1"/>
  <c r="F514" i="56"/>
  <c r="H514" i="56" s="1"/>
  <c r="F515" i="56"/>
  <c r="H515" i="56" s="1"/>
  <c r="F516" i="56"/>
  <c r="H516" i="56" s="1"/>
  <c r="F517" i="56"/>
  <c r="H517" i="56" s="1"/>
  <c r="F518" i="56"/>
  <c r="H518" i="56" s="1"/>
  <c r="F519" i="56"/>
  <c r="H519" i="56" s="1"/>
  <c r="F520" i="56"/>
  <c r="H520" i="56" s="1"/>
  <c r="F521" i="56"/>
  <c r="H521" i="56" s="1"/>
  <c r="F522" i="56"/>
  <c r="H522" i="56" s="1"/>
  <c r="F523" i="56"/>
  <c r="H523" i="56" s="1"/>
  <c r="F524" i="56"/>
  <c r="H524" i="56" s="1"/>
  <c r="F525" i="56"/>
  <c r="H525" i="56" s="1"/>
  <c r="F526" i="56"/>
  <c r="H526" i="56" s="1"/>
  <c r="F527" i="56"/>
  <c r="H527" i="56" s="1"/>
  <c r="F528" i="56"/>
  <c r="H528" i="56" s="1"/>
  <c r="F529" i="56"/>
  <c r="H529" i="56" s="1"/>
  <c r="F530" i="56"/>
  <c r="H530" i="56" s="1"/>
  <c r="F531" i="56"/>
  <c r="H531" i="56" s="1"/>
  <c r="F532" i="56"/>
  <c r="H532" i="56" s="1"/>
  <c r="F533" i="56"/>
  <c r="H533" i="56" s="1"/>
  <c r="F534" i="56"/>
  <c r="H534" i="56" s="1"/>
  <c r="F535" i="56"/>
  <c r="H535" i="56" s="1"/>
  <c r="F536" i="56"/>
  <c r="H536" i="56" s="1"/>
  <c r="F537" i="56"/>
  <c r="H537" i="56" s="1"/>
  <c r="F538" i="56"/>
  <c r="H538" i="56" s="1"/>
  <c r="F539" i="56"/>
  <c r="H539" i="56" s="1"/>
  <c r="F540" i="56"/>
  <c r="H540" i="56" s="1"/>
  <c r="F541" i="56"/>
  <c r="H541" i="56" s="1"/>
  <c r="F542" i="56"/>
  <c r="H542" i="56" s="1"/>
  <c r="F543" i="56"/>
  <c r="H543" i="56" s="1"/>
  <c r="F544" i="56"/>
  <c r="H544" i="56" s="1"/>
  <c r="F545" i="56"/>
  <c r="H545" i="56" s="1"/>
  <c r="F546" i="56"/>
  <c r="H546" i="56" s="1"/>
  <c r="F547" i="56"/>
  <c r="H547" i="56" s="1"/>
  <c r="F548" i="56"/>
  <c r="H548" i="56" s="1"/>
  <c r="F549" i="56"/>
  <c r="H549" i="56" s="1"/>
  <c r="F550" i="56"/>
  <c r="H550" i="56" s="1"/>
  <c r="F551" i="56"/>
  <c r="H551" i="56" s="1"/>
  <c r="F552" i="56"/>
  <c r="H552" i="56" s="1"/>
  <c r="F553" i="56"/>
  <c r="H553" i="56" s="1"/>
  <c r="F554" i="56"/>
  <c r="H554" i="56" s="1"/>
  <c r="F555" i="56"/>
  <c r="H555" i="56" s="1"/>
  <c r="F556" i="56"/>
  <c r="H556" i="56" s="1"/>
  <c r="F557" i="56"/>
  <c r="H557" i="56" s="1"/>
  <c r="F558" i="56"/>
  <c r="H558" i="56" s="1"/>
  <c r="F559" i="56"/>
  <c r="H559" i="56" s="1"/>
  <c r="F560" i="56"/>
  <c r="H560" i="56" s="1"/>
  <c r="F561" i="56"/>
  <c r="H561" i="56" s="1"/>
  <c r="F562" i="56"/>
  <c r="H562" i="56" s="1"/>
  <c r="F563" i="56"/>
  <c r="H563" i="56" s="1"/>
  <c r="F564" i="56"/>
  <c r="H564" i="56" s="1"/>
  <c r="F565" i="56"/>
  <c r="H565" i="56" s="1"/>
  <c r="F566" i="56"/>
  <c r="H566" i="56" s="1"/>
  <c r="F567" i="56"/>
  <c r="H567" i="56" s="1"/>
  <c r="F568" i="56"/>
  <c r="H568" i="56" s="1"/>
  <c r="F569" i="56"/>
  <c r="H569" i="56" s="1"/>
  <c r="F570" i="56"/>
  <c r="H570" i="56" s="1"/>
  <c r="F571" i="56"/>
  <c r="H571" i="56" s="1"/>
  <c r="F572" i="56"/>
  <c r="H572" i="56" s="1"/>
  <c r="F573" i="56"/>
  <c r="H573" i="56" s="1"/>
  <c r="F574" i="56"/>
  <c r="H574" i="56" s="1"/>
  <c r="F575" i="56"/>
  <c r="H575" i="56" s="1"/>
  <c r="F576" i="56"/>
  <c r="H576" i="56" s="1"/>
  <c r="F577" i="56"/>
  <c r="H577" i="56" s="1"/>
  <c r="F578" i="56"/>
  <c r="H578" i="56" s="1"/>
  <c r="F579" i="56"/>
  <c r="H579" i="56" s="1"/>
  <c r="F580" i="56"/>
  <c r="H580" i="56" s="1"/>
  <c r="F581" i="56"/>
  <c r="H581" i="56" s="1"/>
  <c r="F582" i="56"/>
  <c r="H582" i="56" s="1"/>
  <c r="F583" i="56"/>
  <c r="H583" i="56" s="1"/>
  <c r="F584" i="56"/>
  <c r="H584" i="56" s="1"/>
  <c r="F585" i="56"/>
  <c r="H585" i="56" s="1"/>
  <c r="F586" i="56"/>
  <c r="H586" i="56" s="1"/>
  <c r="F587" i="56"/>
  <c r="H587" i="56" s="1"/>
  <c r="F588" i="56"/>
  <c r="H588" i="56" s="1"/>
  <c r="F589" i="56"/>
  <c r="H589" i="56" s="1"/>
  <c r="F590" i="56"/>
  <c r="H590" i="56" s="1"/>
  <c r="F591" i="56"/>
  <c r="H591" i="56" s="1"/>
  <c r="F592" i="56"/>
  <c r="H592" i="56" s="1"/>
  <c r="F593" i="56"/>
  <c r="H593" i="56" s="1"/>
  <c r="F594" i="56"/>
  <c r="H594" i="56" s="1"/>
  <c r="F595" i="56"/>
  <c r="H595" i="56" s="1"/>
  <c r="F596" i="56"/>
  <c r="H596" i="56" s="1"/>
  <c r="F597" i="56"/>
  <c r="H597" i="56" s="1"/>
  <c r="F598" i="56"/>
  <c r="H598" i="56" s="1"/>
  <c r="F599" i="56"/>
  <c r="H599" i="56" s="1"/>
  <c r="F600" i="56"/>
  <c r="H600" i="56" s="1"/>
  <c r="F601" i="56"/>
  <c r="H601" i="56" s="1"/>
  <c r="F602" i="56"/>
  <c r="H602" i="56" s="1"/>
  <c r="F603" i="56"/>
  <c r="H603" i="56" s="1"/>
  <c r="F604" i="56"/>
  <c r="H604" i="56" s="1"/>
  <c r="F605" i="56"/>
  <c r="H605" i="56" s="1"/>
  <c r="F606" i="56"/>
  <c r="H606" i="56" s="1"/>
  <c r="F607" i="56"/>
  <c r="H607" i="56" s="1"/>
  <c r="F608" i="56"/>
  <c r="H608" i="56" s="1"/>
  <c r="F609" i="56"/>
  <c r="H609" i="56" s="1"/>
  <c r="F610" i="56"/>
  <c r="H610" i="56" s="1"/>
  <c r="F611" i="56"/>
  <c r="H611" i="56" s="1"/>
  <c r="F612" i="56"/>
  <c r="H612" i="56" s="1"/>
  <c r="F613" i="56"/>
  <c r="H613" i="56" s="1"/>
  <c r="F614" i="56"/>
  <c r="H614" i="56" s="1"/>
  <c r="F615" i="56"/>
  <c r="H615" i="56" s="1"/>
  <c r="F616" i="56"/>
  <c r="H616" i="56" s="1"/>
  <c r="F617" i="56"/>
  <c r="H617" i="56" s="1"/>
  <c r="F618" i="56"/>
  <c r="H618" i="56" s="1"/>
  <c r="F619" i="56"/>
  <c r="H619" i="56" s="1"/>
  <c r="F620" i="56"/>
  <c r="H620" i="56" s="1"/>
  <c r="F621" i="56"/>
  <c r="H621" i="56" s="1"/>
  <c r="F622" i="56"/>
  <c r="H622" i="56" s="1"/>
  <c r="F623" i="56"/>
  <c r="H623" i="56" s="1"/>
  <c r="F624" i="56"/>
  <c r="H624" i="56" s="1"/>
  <c r="F625" i="56"/>
  <c r="H625" i="56" s="1"/>
  <c r="F626" i="56"/>
  <c r="H626" i="56" s="1"/>
  <c r="F627" i="56"/>
  <c r="H627" i="56" s="1"/>
  <c r="F628" i="56"/>
  <c r="H628" i="56" s="1"/>
  <c r="F629" i="56"/>
  <c r="H629" i="56" s="1"/>
  <c r="F630" i="56"/>
  <c r="H630" i="56" s="1"/>
  <c r="F631" i="56"/>
  <c r="H631" i="56" s="1"/>
  <c r="E267" i="202"/>
  <c r="E223" i="202"/>
  <c r="E226" i="202"/>
  <c r="E249" i="202"/>
  <c r="F147" i="202"/>
  <c r="G54" i="202"/>
  <c r="F50" i="202"/>
  <c r="F17" i="202"/>
  <c r="G170" i="202"/>
  <c r="F171" i="202"/>
  <c r="E171" i="202"/>
  <c r="E173" i="202"/>
  <c r="F173" i="202"/>
  <c r="G127" i="202"/>
  <c r="G75" i="202"/>
  <c r="G322" i="202"/>
  <c r="F322" i="202"/>
  <c r="E322" i="202"/>
  <c r="D322" i="202"/>
  <c r="C322" i="202"/>
  <c r="G321" i="202"/>
  <c r="F321" i="202"/>
  <c r="E321" i="202"/>
  <c r="D321" i="202"/>
  <c r="C321" i="202"/>
  <c r="G318" i="202"/>
  <c r="E318" i="202"/>
  <c r="D318" i="202"/>
  <c r="C318" i="202"/>
  <c r="G316" i="202"/>
  <c r="E316" i="202"/>
  <c r="D316" i="202"/>
  <c r="C316" i="202"/>
  <c r="G314" i="202"/>
  <c r="E314" i="202"/>
  <c r="D314" i="202"/>
  <c r="C314" i="202"/>
  <c r="G313" i="202"/>
  <c r="E313" i="202"/>
  <c r="D313" i="202"/>
  <c r="C313" i="202"/>
  <c r="G310" i="202"/>
  <c r="E310" i="202"/>
  <c r="D310" i="202"/>
  <c r="C310" i="202"/>
  <c r="G309" i="202"/>
  <c r="E309" i="202"/>
  <c r="D309" i="202"/>
  <c r="C309" i="202"/>
  <c r="D308" i="202"/>
  <c r="G307" i="202"/>
  <c r="E307" i="202"/>
  <c r="D307" i="202"/>
  <c r="C307" i="202"/>
  <c r="G306" i="202"/>
  <c r="E306" i="202"/>
  <c r="D306" i="202"/>
  <c r="C306" i="202"/>
  <c r="G305" i="202"/>
  <c r="E305" i="202"/>
  <c r="D305" i="202"/>
  <c r="C305" i="202"/>
  <c r="G304" i="202"/>
  <c r="E304" i="202"/>
  <c r="D304" i="202"/>
  <c r="C304" i="202"/>
  <c r="G303" i="202"/>
  <c r="E303" i="202"/>
  <c r="D303" i="202"/>
  <c r="C303" i="202"/>
  <c r="G302" i="202"/>
  <c r="E302" i="202"/>
  <c r="D302" i="202"/>
  <c r="C302" i="202"/>
  <c r="G301" i="202"/>
  <c r="E301" i="202"/>
  <c r="D301" i="202"/>
  <c r="C301" i="202"/>
  <c r="G300" i="202"/>
  <c r="E300" i="202"/>
  <c r="D300" i="202"/>
  <c r="C300" i="202"/>
  <c r="G299" i="202"/>
  <c r="E299" i="202"/>
  <c r="D299" i="202"/>
  <c r="C299" i="202"/>
  <c r="G267" i="202"/>
  <c r="G249" i="202"/>
  <c r="G243" i="202"/>
  <c r="G226" i="202"/>
  <c r="G223" i="202"/>
  <c r="G212" i="202"/>
  <c r="E212" i="202"/>
  <c r="G171" i="202"/>
  <c r="G173" i="202"/>
  <c r="G181" i="202"/>
  <c r="G196" i="202"/>
  <c r="G201" i="202"/>
  <c r="G308" i="202"/>
  <c r="G147" i="202"/>
  <c r="G118" i="202"/>
  <c r="G112" i="202"/>
  <c r="G38" i="202"/>
  <c r="G17" i="202"/>
  <c r="B5" i="32"/>
  <c r="G50" i="202"/>
  <c r="E50" i="202"/>
  <c r="F85" i="202"/>
  <c r="E85" i="202"/>
  <c r="G85" i="202"/>
  <c r="E127" i="202"/>
  <c r="E17" i="202"/>
  <c r="F267" i="202"/>
  <c r="F249" i="202"/>
  <c r="E243" i="202"/>
  <c r="E147" i="202"/>
  <c r="E181" i="202"/>
  <c r="F243" i="202"/>
  <c r="F226" i="202"/>
  <c r="F223" i="202"/>
  <c r="F212" i="202"/>
  <c r="F201" i="202"/>
  <c r="E201" i="202"/>
  <c r="E308" i="202" s="1"/>
  <c r="C201" i="202"/>
  <c r="C308" i="202" s="1"/>
  <c r="F196" i="202"/>
  <c r="E196" i="202"/>
  <c r="F181" i="202"/>
  <c r="D171" i="202"/>
  <c r="C171" i="202"/>
  <c r="F127" i="202"/>
  <c r="C120" i="202"/>
  <c r="F118" i="202"/>
  <c r="E118" i="202"/>
  <c r="F112" i="202"/>
  <c r="E112" i="202"/>
  <c r="F75" i="202"/>
  <c r="E75" i="202"/>
  <c r="F38" i="202"/>
  <c r="E38" i="202"/>
  <c r="H47" i="175"/>
  <c r="H46" i="175"/>
  <c r="H44" i="175"/>
  <c r="H43" i="175"/>
  <c r="H42" i="175"/>
  <c r="H41" i="175"/>
  <c r="H40" i="175"/>
  <c r="H39" i="175"/>
  <c r="H38" i="175"/>
  <c r="H37" i="175"/>
  <c r="H36" i="175"/>
  <c r="H35" i="175"/>
  <c r="H34" i="175"/>
  <c r="H33" i="175"/>
  <c r="H32" i="175"/>
  <c r="H31" i="175"/>
  <c r="H30" i="175"/>
  <c r="H29" i="175"/>
  <c r="H28" i="175"/>
  <c r="H27" i="175"/>
  <c r="H26" i="175"/>
  <c r="H25" i="175"/>
  <c r="H24" i="175"/>
  <c r="H23" i="175"/>
  <c r="H22" i="175"/>
  <c r="H21" i="175"/>
  <c r="H20" i="175"/>
  <c r="H19" i="175"/>
  <c r="H18" i="175"/>
  <c r="H17" i="175"/>
  <c r="H16" i="175"/>
  <c r="H15" i="175"/>
  <c r="H14" i="175"/>
  <c r="H13" i="175"/>
  <c r="H12" i="175"/>
  <c r="H11" i="175"/>
  <c r="H10" i="175"/>
  <c r="H9" i="175"/>
  <c r="H8" i="175"/>
  <c r="H7" i="175"/>
  <c r="F28" i="174"/>
  <c r="F47" i="174"/>
  <c r="F46" i="174"/>
  <c r="F44" i="174"/>
  <c r="F43" i="174"/>
  <c r="F42" i="174"/>
  <c r="F41" i="174"/>
  <c r="F40" i="174"/>
  <c r="F39" i="174"/>
  <c r="F38" i="174"/>
  <c r="F37" i="174"/>
  <c r="F36" i="174"/>
  <c r="F35" i="174"/>
  <c r="F34" i="174"/>
  <c r="F33" i="174"/>
  <c r="F32" i="174"/>
  <c r="F31" i="174"/>
  <c r="F30" i="174"/>
  <c r="F29" i="174"/>
  <c r="F27" i="174"/>
  <c r="F26" i="174"/>
  <c r="F25" i="174"/>
  <c r="F24" i="174"/>
  <c r="F23" i="174"/>
  <c r="F22" i="174"/>
  <c r="F21" i="174"/>
  <c r="F20" i="174"/>
  <c r="F19" i="174"/>
  <c r="F18" i="174"/>
  <c r="F17" i="174"/>
  <c r="F16" i="174"/>
  <c r="F15" i="174"/>
  <c r="F14" i="174"/>
  <c r="F13" i="174"/>
  <c r="F12" i="174"/>
  <c r="F11" i="174"/>
  <c r="F10" i="174"/>
  <c r="F9" i="174"/>
  <c r="F8" i="174"/>
  <c r="F7" i="174"/>
  <c r="B7" i="32"/>
  <c r="B12" i="203" s="1"/>
  <c r="B3" i="32"/>
  <c r="B6" i="203" s="1"/>
  <c r="I21" i="170"/>
  <c r="I18" i="170"/>
  <c r="I13" i="170"/>
  <c r="I7" i="170"/>
  <c r="I30" i="170"/>
  <c r="I8" i="170"/>
  <c r="C295" i="202"/>
  <c r="C294" i="202"/>
  <c r="J22" i="75"/>
  <c r="J18" i="75"/>
  <c r="D295" i="202"/>
  <c r="J9" i="69"/>
  <c r="J10" i="69"/>
  <c r="J11" i="69"/>
  <c r="J12" i="69"/>
  <c r="J13" i="69"/>
  <c r="J14" i="69"/>
  <c r="J15" i="69"/>
  <c r="J16" i="69"/>
  <c r="J17" i="69"/>
  <c r="J18" i="69"/>
  <c r="J19" i="69"/>
  <c r="J20" i="69"/>
  <c r="J21" i="69"/>
  <c r="J8" i="69"/>
  <c r="J7" i="69"/>
  <c r="I9" i="69"/>
  <c r="I10" i="69"/>
  <c r="I11" i="69"/>
  <c r="I12" i="69"/>
  <c r="I13" i="69"/>
  <c r="I14" i="69"/>
  <c r="I15" i="69"/>
  <c r="I16" i="69"/>
  <c r="I17" i="69"/>
  <c r="I18" i="69"/>
  <c r="I19" i="69"/>
  <c r="I20" i="69"/>
  <c r="I21" i="69"/>
  <c r="I8" i="69"/>
  <c r="I7" i="69"/>
  <c r="G393" i="75"/>
  <c r="H393" i="75"/>
  <c r="G7" i="146"/>
  <c r="G10" i="146" s="1"/>
  <c r="G7" i="144"/>
  <c r="H7" i="144"/>
  <c r="H1667" i="144" s="1"/>
  <c r="B12" i="200"/>
  <c r="D6" i="32" s="1"/>
  <c r="B11" i="8"/>
  <c r="B12" i="8"/>
  <c r="E6" i="32" s="1"/>
  <c r="B13" i="8"/>
  <c r="C13" i="13" s="1"/>
  <c r="D7" i="45"/>
  <c r="G7" i="125"/>
  <c r="B8" i="173"/>
  <c r="C8" i="173"/>
  <c r="D8" i="173"/>
  <c r="B9" i="173"/>
  <c r="C9" i="173"/>
  <c r="D9" i="173"/>
  <c r="B10" i="173"/>
  <c r="C10" i="173"/>
  <c r="D10" i="173"/>
  <c r="B11" i="173"/>
  <c r="C11" i="173"/>
  <c r="D11" i="173"/>
  <c r="B12" i="173"/>
  <c r="C12" i="173"/>
  <c r="D12" i="173"/>
  <c r="B13" i="173"/>
  <c r="C13" i="173"/>
  <c r="D13" i="173"/>
  <c r="B14" i="173"/>
  <c r="C14" i="173"/>
  <c r="D14" i="173"/>
  <c r="B15" i="173"/>
  <c r="C15" i="173"/>
  <c r="D15" i="173"/>
  <c r="B16" i="173"/>
  <c r="C16" i="173"/>
  <c r="D16" i="173"/>
  <c r="B17" i="173"/>
  <c r="C17" i="173"/>
  <c r="D17" i="173"/>
  <c r="B18" i="173"/>
  <c r="C18" i="173"/>
  <c r="D18" i="173"/>
  <c r="B19" i="173"/>
  <c r="C19" i="173"/>
  <c r="D19" i="173"/>
  <c r="B20" i="173"/>
  <c r="C20" i="173"/>
  <c r="D20" i="173"/>
  <c r="B21" i="173"/>
  <c r="C21" i="173"/>
  <c r="D21" i="173"/>
  <c r="B22" i="173"/>
  <c r="C22" i="173"/>
  <c r="D22" i="173"/>
  <c r="B23" i="173"/>
  <c r="C23" i="173"/>
  <c r="D23" i="173"/>
  <c r="B24" i="173"/>
  <c r="C24" i="173"/>
  <c r="D24" i="173"/>
  <c r="B25" i="173"/>
  <c r="C25" i="173"/>
  <c r="D25" i="173"/>
  <c r="B26" i="173"/>
  <c r="C26" i="173"/>
  <c r="D26" i="173"/>
  <c r="B27" i="173"/>
  <c r="C27" i="173"/>
  <c r="D27" i="173"/>
  <c r="B28" i="173"/>
  <c r="C28" i="173"/>
  <c r="D28" i="173"/>
  <c r="B29" i="173"/>
  <c r="C29" i="173"/>
  <c r="D29" i="173"/>
  <c r="B30" i="173"/>
  <c r="C30" i="173"/>
  <c r="D30" i="173"/>
  <c r="B31" i="173"/>
  <c r="C31" i="173"/>
  <c r="D31" i="173"/>
  <c r="B32" i="173"/>
  <c r="C32" i="173"/>
  <c r="D32" i="173"/>
  <c r="B33" i="173"/>
  <c r="C33" i="173"/>
  <c r="D33" i="173"/>
  <c r="B34" i="173"/>
  <c r="C34" i="173"/>
  <c r="D34" i="173"/>
  <c r="B35" i="173"/>
  <c r="C35" i="173"/>
  <c r="D35" i="173"/>
  <c r="B36" i="173"/>
  <c r="C36" i="173"/>
  <c r="D36" i="173"/>
  <c r="B37" i="173"/>
  <c r="C37" i="173"/>
  <c r="D37" i="173"/>
  <c r="B38" i="173"/>
  <c r="C38" i="173"/>
  <c r="D38" i="173"/>
  <c r="B39" i="173"/>
  <c r="C39" i="173"/>
  <c r="D39" i="173"/>
  <c r="B40" i="173"/>
  <c r="C40" i="173"/>
  <c r="D40" i="173"/>
  <c r="B41" i="173"/>
  <c r="C41" i="173"/>
  <c r="D41" i="173"/>
  <c r="B42" i="173"/>
  <c r="C42" i="173"/>
  <c r="D42" i="173"/>
  <c r="B43" i="173"/>
  <c r="C43" i="173"/>
  <c r="D43" i="173"/>
  <c r="B44" i="173"/>
  <c r="C44" i="173"/>
  <c r="D44" i="173"/>
  <c r="B45" i="173"/>
  <c r="C45" i="173"/>
  <c r="D45" i="173"/>
  <c r="B46" i="173"/>
  <c r="C46" i="173"/>
  <c r="D46" i="173"/>
  <c r="G7" i="174"/>
  <c r="G40" i="174"/>
  <c r="G41" i="174"/>
  <c r="I7" i="175"/>
  <c r="I40" i="175"/>
  <c r="I41" i="175"/>
  <c r="E76" i="194"/>
  <c r="D253" i="194"/>
  <c r="E253" i="194"/>
  <c r="D254" i="194"/>
  <c r="E254" i="194"/>
  <c r="D255" i="194"/>
  <c r="E255" i="194"/>
  <c r="D256" i="194"/>
  <c r="E256" i="194"/>
  <c r="D257" i="194"/>
  <c r="E257" i="194"/>
  <c r="D258" i="194"/>
  <c r="E258" i="194"/>
  <c r="D259" i="194"/>
  <c r="E259" i="194"/>
  <c r="D260" i="194"/>
  <c r="E260" i="194"/>
  <c r="D263" i="194"/>
  <c r="E263" i="194"/>
  <c r="D264" i="194"/>
  <c r="E264" i="194"/>
  <c r="D268" i="194"/>
  <c r="E268" i="194"/>
  <c r="E266" i="194" s="1"/>
  <c r="E243" i="194" s="1"/>
  <c r="D272" i="194"/>
  <c r="E272" i="194"/>
  <c r="D275" i="194"/>
  <c r="E275" i="194"/>
  <c r="D276" i="194"/>
  <c r="E276" i="194"/>
  <c r="L7" i="106"/>
  <c r="M7" i="106"/>
  <c r="O7" i="106"/>
  <c r="Q7" i="106"/>
  <c r="X7" i="106"/>
  <c r="Y7" i="106"/>
  <c r="G7" i="106" s="1"/>
  <c r="AA7" i="106"/>
  <c r="E7" i="106" s="1"/>
  <c r="K8" i="102" s="1"/>
  <c r="AB7" i="106"/>
  <c r="J8" i="106"/>
  <c r="K8" i="106"/>
  <c r="Q8" i="106"/>
  <c r="R8" i="106"/>
  <c r="S8" i="106"/>
  <c r="T8" i="106"/>
  <c r="Z8" i="106"/>
  <c r="AA8" i="106"/>
  <c r="E8" i="106" s="1"/>
  <c r="AB8" i="106"/>
  <c r="AC8" i="106"/>
  <c r="P9" i="106"/>
  <c r="Q9" i="106"/>
  <c r="R9" i="106"/>
  <c r="Y9" i="106"/>
  <c r="G9" i="106" s="1"/>
  <c r="AA9" i="106"/>
  <c r="E9" i="106"/>
  <c r="I11" i="102" s="1"/>
  <c r="J10" i="106"/>
  <c r="K10" i="106"/>
  <c r="L10" i="106"/>
  <c r="M10" i="106"/>
  <c r="N10" i="106"/>
  <c r="O10" i="106"/>
  <c r="P10" i="106"/>
  <c r="Q10" i="106"/>
  <c r="R10" i="106"/>
  <c r="S10" i="106"/>
  <c r="T10" i="106"/>
  <c r="U10" i="106"/>
  <c r="V10" i="106"/>
  <c r="W10" i="106"/>
  <c r="X10" i="106"/>
  <c r="Y10" i="106"/>
  <c r="Z10" i="106"/>
  <c r="AA10" i="106"/>
  <c r="E10" i="106" s="1"/>
  <c r="AB10" i="106"/>
  <c r="AC10" i="106"/>
  <c r="J11" i="106"/>
  <c r="K11" i="106"/>
  <c r="L11" i="106"/>
  <c r="M11" i="106"/>
  <c r="N11" i="106"/>
  <c r="O11" i="106"/>
  <c r="P11" i="106"/>
  <c r="Q11" i="106"/>
  <c r="R11" i="106"/>
  <c r="S11" i="106"/>
  <c r="T11" i="106"/>
  <c r="U11" i="106"/>
  <c r="V11" i="106"/>
  <c r="W11" i="106"/>
  <c r="X11" i="106"/>
  <c r="Y11" i="106"/>
  <c r="G11" i="106" s="1"/>
  <c r="Z11" i="106"/>
  <c r="AA11" i="106"/>
  <c r="E11" i="106"/>
  <c r="K13" i="102" s="1"/>
  <c r="AB11" i="106"/>
  <c r="AC11" i="106"/>
  <c r="S12" i="106"/>
  <c r="O14" i="106"/>
  <c r="Q14" i="106"/>
  <c r="J15" i="106"/>
  <c r="K15" i="106"/>
  <c r="Q15" i="106"/>
  <c r="R15" i="106"/>
  <c r="S15" i="106"/>
  <c r="T15" i="106"/>
  <c r="Z15" i="106"/>
  <c r="AA15" i="106"/>
  <c r="E15" i="106" s="1"/>
  <c r="I20" i="102" s="1"/>
  <c r="J20" i="102" s="1"/>
  <c r="AB15" i="106"/>
  <c r="AC15" i="106"/>
  <c r="M16" i="106"/>
  <c r="N16" i="106"/>
  <c r="O16" i="106"/>
  <c r="P16" i="106"/>
  <c r="V16" i="106"/>
  <c r="W16" i="106"/>
  <c r="X16" i="106"/>
  <c r="Y16" i="106"/>
  <c r="G16" i="106"/>
  <c r="L17" i="106"/>
  <c r="M17" i="106"/>
  <c r="O17" i="106"/>
  <c r="U17" i="106"/>
  <c r="W17" i="106"/>
  <c r="X17" i="106"/>
  <c r="AC17" i="106"/>
  <c r="J18" i="106"/>
  <c r="K18" i="106"/>
  <c r="L18" i="106"/>
  <c r="M18" i="106"/>
  <c r="N18" i="106"/>
  <c r="O18" i="106"/>
  <c r="P18" i="106"/>
  <c r="Q18" i="106"/>
  <c r="R18" i="106"/>
  <c r="S18" i="106"/>
  <c r="T18" i="106"/>
  <c r="U18" i="106"/>
  <c r="V18" i="106"/>
  <c r="W18" i="106"/>
  <c r="X18" i="106"/>
  <c r="Y18" i="106"/>
  <c r="G18" i="106"/>
  <c r="Z18" i="106"/>
  <c r="AA18" i="106"/>
  <c r="E18" i="106" s="1"/>
  <c r="K15" i="102" s="1"/>
  <c r="AB18" i="106"/>
  <c r="AC18" i="106"/>
  <c r="J19" i="106"/>
  <c r="K19" i="106"/>
  <c r="L19" i="106"/>
  <c r="M19" i="106"/>
  <c r="N19" i="106"/>
  <c r="O19" i="106"/>
  <c r="P19" i="106"/>
  <c r="Q19" i="106"/>
  <c r="R19" i="106"/>
  <c r="S19" i="106"/>
  <c r="T19" i="106"/>
  <c r="U19" i="106"/>
  <c r="V19" i="106"/>
  <c r="W19" i="106"/>
  <c r="X19" i="106"/>
  <c r="Y19" i="106"/>
  <c r="G19" i="106"/>
  <c r="Z19" i="106"/>
  <c r="AA19" i="106"/>
  <c r="E19" i="106" s="1"/>
  <c r="AB19" i="106"/>
  <c r="AC19" i="106"/>
  <c r="T20" i="106"/>
  <c r="P21" i="106"/>
  <c r="R22" i="106"/>
  <c r="K23" i="106"/>
  <c r="L23" i="106"/>
  <c r="M23" i="106"/>
  <c r="R23" i="106"/>
  <c r="S23" i="106"/>
  <c r="T23" i="106"/>
  <c r="U23" i="106"/>
  <c r="V23" i="106"/>
  <c r="AA23" i="106"/>
  <c r="E23" i="106"/>
  <c r="AB23" i="106"/>
  <c r="AC23" i="106"/>
  <c r="J24" i="106"/>
  <c r="K24" i="106"/>
  <c r="Q24" i="106"/>
  <c r="R24" i="106"/>
  <c r="S24" i="106"/>
  <c r="U24" i="106"/>
  <c r="Z24" i="106"/>
  <c r="AB24" i="106"/>
  <c r="AC24" i="106"/>
  <c r="AS107" i="71" s="1"/>
  <c r="P25" i="106"/>
  <c r="Q25" i="106"/>
  <c r="R25" i="106"/>
  <c r="Y25" i="106"/>
  <c r="G25" i="106"/>
  <c r="Z25" i="106"/>
  <c r="AA25" i="106"/>
  <c r="E25" i="106" s="1"/>
  <c r="J26" i="106"/>
  <c r="K26" i="106"/>
  <c r="L26" i="106"/>
  <c r="M26" i="106"/>
  <c r="N26" i="106"/>
  <c r="O26" i="106"/>
  <c r="P26" i="106"/>
  <c r="Q26" i="106"/>
  <c r="R26" i="106"/>
  <c r="S26" i="106"/>
  <c r="T26" i="106"/>
  <c r="U26" i="106"/>
  <c r="V26" i="106"/>
  <c r="W26" i="106"/>
  <c r="X26" i="106"/>
  <c r="Y26" i="106"/>
  <c r="G26" i="106"/>
  <c r="Z26" i="106"/>
  <c r="AA26" i="106"/>
  <c r="E26" i="106" s="1"/>
  <c r="AB26" i="106"/>
  <c r="AC26" i="106"/>
  <c r="J27" i="106"/>
  <c r="K27" i="106"/>
  <c r="L27" i="106"/>
  <c r="M27" i="106"/>
  <c r="N27" i="106"/>
  <c r="O27" i="106"/>
  <c r="P27" i="106"/>
  <c r="Q27" i="106"/>
  <c r="R27" i="106"/>
  <c r="S27" i="106"/>
  <c r="T27" i="106"/>
  <c r="U27" i="106"/>
  <c r="V27" i="106"/>
  <c r="W27" i="106"/>
  <c r="X27" i="106"/>
  <c r="Y27" i="106"/>
  <c r="G27" i="106"/>
  <c r="Z27" i="106"/>
  <c r="AA27" i="106"/>
  <c r="E27" i="106" s="1"/>
  <c r="AB27" i="106"/>
  <c r="AC27" i="106"/>
  <c r="S28" i="106"/>
  <c r="AB35" i="106"/>
  <c r="AE35" i="106"/>
  <c r="AB36" i="106"/>
  <c r="AE36" i="106" s="1"/>
  <c r="AB38" i="106"/>
  <c r="AE38" i="106"/>
  <c r="AB39" i="106"/>
  <c r="AE39" i="106" s="1"/>
  <c r="AB40" i="106"/>
  <c r="AE40" i="106" s="1"/>
  <c r="AB41" i="106"/>
  <c r="AE41" i="106" s="1"/>
  <c r="AB42" i="106"/>
  <c r="AE42" i="106"/>
  <c r="AB43" i="106"/>
  <c r="AE43" i="106" s="1"/>
  <c r="AB44" i="106"/>
  <c r="AE44" i="106"/>
  <c r="AB45" i="106"/>
  <c r="AE45" i="106" s="1"/>
  <c r="AB46" i="106"/>
  <c r="AE46" i="106"/>
  <c r="AB47" i="106"/>
  <c r="AE47" i="106" s="1"/>
  <c r="AB48" i="106"/>
  <c r="AE48" i="106" s="1"/>
  <c r="AB49" i="106"/>
  <c r="AE49" i="106" s="1"/>
  <c r="AB50" i="106"/>
  <c r="AE50" i="106"/>
  <c r="AB51" i="106"/>
  <c r="AE51" i="106" s="1"/>
  <c r="AB52" i="106"/>
  <c r="AE52" i="106"/>
  <c r="AB53" i="106"/>
  <c r="AE53" i="106" s="1"/>
  <c r="AB54" i="106"/>
  <c r="AE54" i="106"/>
  <c r="AB55" i="106"/>
  <c r="AE55" i="106" s="1"/>
  <c r="AB56" i="106"/>
  <c r="AE56" i="106" s="1"/>
  <c r="K23" i="69"/>
  <c r="I24" i="69"/>
  <c r="J24" i="69"/>
  <c r="K25" i="69"/>
  <c r="C16" i="157"/>
  <c r="C17" i="157"/>
  <c r="C24" i="157"/>
  <c r="C25" i="157"/>
  <c r="C26" i="157"/>
  <c r="C29" i="157"/>
  <c r="C30" i="157"/>
  <c r="C31" i="157"/>
  <c r="C32" i="157"/>
  <c r="C33" i="157"/>
  <c r="D7" i="140"/>
  <c r="E7" i="140" s="1"/>
  <c r="D8" i="140"/>
  <c r="E8" i="140"/>
  <c r="D9" i="140"/>
  <c r="E9" i="140" s="1"/>
  <c r="D10" i="140"/>
  <c r="E10" i="140"/>
  <c r="D11" i="140"/>
  <c r="E11" i="140" s="1"/>
  <c r="D12" i="140"/>
  <c r="E12" i="140" s="1"/>
  <c r="D13" i="140"/>
  <c r="E13" i="140" s="1"/>
  <c r="D14" i="140"/>
  <c r="E14" i="140"/>
  <c r="D15" i="140"/>
  <c r="E15" i="140" s="1"/>
  <c r="D19" i="140"/>
  <c r="E19" i="140"/>
  <c r="D20" i="140"/>
  <c r="E20" i="140" s="1"/>
  <c r="D21" i="140"/>
  <c r="E21" i="140"/>
  <c r="E25" i="140"/>
  <c r="E26" i="140"/>
  <c r="E27" i="140"/>
  <c r="E28" i="140"/>
  <c r="E29" i="140"/>
  <c r="E28" i="100"/>
  <c r="F7" i="102"/>
  <c r="F8" i="102"/>
  <c r="F9" i="102"/>
  <c r="F10" i="102"/>
  <c r="F11" i="102"/>
  <c r="F12" i="102"/>
  <c r="F13" i="102"/>
  <c r="F14" i="102"/>
  <c r="F15" i="102"/>
  <c r="F16" i="102"/>
  <c r="F17" i="102"/>
  <c r="F18" i="102"/>
  <c r="F19" i="102"/>
  <c r="F20" i="102"/>
  <c r="F21" i="102"/>
  <c r="C7" i="182"/>
  <c r="C7" i="181"/>
  <c r="D7" i="181" s="1"/>
  <c r="C9" i="181"/>
  <c r="D9" i="181" s="1"/>
  <c r="E8" i="10"/>
  <c r="E15" i="10" s="1"/>
  <c r="D11" i="10"/>
  <c r="D12" i="10"/>
  <c r="D3" i="32"/>
  <c r="E3" i="32"/>
  <c r="D4" i="32"/>
  <c r="E4" i="32"/>
  <c r="D5" i="32"/>
  <c r="E5" i="32"/>
  <c r="B6" i="32"/>
  <c r="C6" i="32"/>
  <c r="D7" i="32"/>
  <c r="E7" i="32"/>
  <c r="D8" i="32"/>
  <c r="A2" i="28"/>
  <c r="D22" i="28"/>
  <c r="F22" i="28"/>
  <c r="J23" i="28"/>
  <c r="H26" i="28"/>
  <c r="C27" i="28"/>
  <c r="E27" i="28"/>
  <c r="D28" i="28"/>
  <c r="F28" i="28" s="1"/>
  <c r="D29" i="28"/>
  <c r="F29" i="28" s="1"/>
  <c r="F47" i="175"/>
  <c r="F43" i="175"/>
  <c r="J106" i="149"/>
  <c r="L94" i="146" s="1"/>
  <c r="S34" i="144"/>
  <c r="F34" i="144" s="1"/>
  <c r="S804" i="144"/>
  <c r="F804" i="144" s="1"/>
  <c r="S848" i="144"/>
  <c r="F848" i="144" s="1"/>
  <c r="P170" i="1"/>
  <c r="AC22" i="106"/>
  <c r="AC14" i="106"/>
  <c r="Q169" i="75"/>
  <c r="O139" i="1"/>
  <c r="P125" i="1"/>
  <c r="S547" i="144"/>
  <c r="U22" i="106"/>
  <c r="AB14" i="106"/>
  <c r="S970" i="144"/>
  <c r="F970" i="144" s="1"/>
  <c r="S911" i="144"/>
  <c r="F911" i="144" s="1"/>
  <c r="O158" i="1"/>
  <c r="P63" i="1"/>
  <c r="P98" i="1"/>
  <c r="P164" i="1"/>
  <c r="S22" i="106"/>
  <c r="S14" i="106"/>
  <c r="S65" i="144"/>
  <c r="F65" i="144" s="1"/>
  <c r="O274" i="187"/>
  <c r="Q275" i="75" s="1"/>
  <c r="R12" i="106"/>
  <c r="P66" i="1"/>
  <c r="O66" i="1"/>
  <c r="Q44" i="75"/>
  <c r="G15" i="69"/>
  <c r="L28" i="106"/>
  <c r="V28" i="106"/>
  <c r="M28" i="106"/>
  <c r="X28" i="106"/>
  <c r="C34" i="157"/>
  <c r="N28" i="106"/>
  <c r="Z28" i="106"/>
  <c r="C18" i="157"/>
  <c r="Q20" i="106"/>
  <c r="P12" i="106"/>
  <c r="P16" i="1"/>
  <c r="O16" i="1"/>
  <c r="G8" i="69"/>
  <c r="AB28" i="106"/>
  <c r="V156" i="71"/>
  <c r="N23" i="106"/>
  <c r="W23" i="106"/>
  <c r="O23" i="106"/>
  <c r="Y23" i="106"/>
  <c r="Q23" i="106"/>
  <c r="Z23" i="106"/>
  <c r="L15" i="106"/>
  <c r="U15" i="106"/>
  <c r="C21" i="157"/>
  <c r="M15" i="106"/>
  <c r="W15" i="106"/>
  <c r="O15" i="106"/>
  <c r="P15" i="106"/>
  <c r="Y15" i="106"/>
  <c r="G15" i="106" s="1"/>
  <c r="F15" i="106" s="1"/>
  <c r="X15" i="106"/>
  <c r="O120" i="1"/>
  <c r="K20" i="106"/>
  <c r="U20" i="106"/>
  <c r="L20" i="106"/>
  <c r="V20" i="106"/>
  <c r="M20" i="106"/>
  <c r="X20" i="106"/>
  <c r="N20" i="106"/>
  <c r="Z20" i="106"/>
  <c r="J12" i="106"/>
  <c r="T12" i="106"/>
  <c r="K12" i="106"/>
  <c r="U12" i="106"/>
  <c r="L12" i="106"/>
  <c r="M12" i="106"/>
  <c r="Y12" i="106"/>
  <c r="G12" i="106" s="1"/>
  <c r="W12" i="106"/>
  <c r="P93" i="1"/>
  <c r="O93" i="1"/>
  <c r="R28" i="106"/>
  <c r="S20" i="106"/>
  <c r="Q28" i="106"/>
  <c r="R20" i="106"/>
  <c r="Q12" i="106"/>
  <c r="AC28" i="106"/>
  <c r="U28" i="106"/>
  <c r="AB20" i="106"/>
  <c r="AA12" i="106"/>
  <c r="R7" i="106"/>
  <c r="S7" i="106"/>
  <c r="U7" i="106"/>
  <c r="J7" i="106"/>
  <c r="W7" i="106"/>
  <c r="J22" i="106"/>
  <c r="W22" i="106"/>
  <c r="L22" i="106"/>
  <c r="X22" i="106"/>
  <c r="M22" i="106"/>
  <c r="Y22" i="106"/>
  <c r="G22" i="106" s="1"/>
  <c r="O22" i="106"/>
  <c r="AA22" i="106"/>
  <c r="E22" i="106" s="1"/>
  <c r="U14" i="106"/>
  <c r="J14" i="106"/>
  <c r="V14" i="106"/>
  <c r="K14" i="106"/>
  <c r="W14" i="106"/>
  <c r="M14" i="106"/>
  <c r="Y14" i="106"/>
  <c r="G14" i="106" s="1"/>
  <c r="G16" i="69"/>
  <c r="Q54" i="75"/>
  <c r="K28" i="106"/>
  <c r="J20" i="106"/>
  <c r="AC12" i="106"/>
  <c r="T28" i="106"/>
  <c r="AA20" i="106"/>
  <c r="E20" i="106" s="1"/>
  <c r="I7" i="102" s="1"/>
  <c r="J7" i="102" s="1"/>
  <c r="Z12" i="106"/>
  <c r="V166" i="71"/>
  <c r="AS166" i="71"/>
  <c r="J28" i="106"/>
  <c r="F423" i="75"/>
  <c r="O67" i="1"/>
  <c r="S1109" i="144"/>
  <c r="F1109" i="144" s="1"/>
  <c r="S673" i="144"/>
  <c r="F673" i="144" s="1"/>
  <c r="S32" i="144"/>
  <c r="F32" i="144" s="1"/>
  <c r="F247" i="75"/>
  <c r="AS163" i="71"/>
  <c r="P144" i="1"/>
  <c r="O144" i="1"/>
  <c r="P174" i="1"/>
  <c r="O174" i="1"/>
  <c r="K9" i="106"/>
  <c r="S9" i="106"/>
  <c r="Z9" i="106"/>
  <c r="T17" i="106"/>
  <c r="K17" i="106"/>
  <c r="J16" i="106"/>
  <c r="R16" i="106"/>
  <c r="Z16" i="106"/>
  <c r="L16" i="106"/>
  <c r="W9" i="106"/>
  <c r="Y8" i="106"/>
  <c r="G8" i="106" s="1"/>
  <c r="J23" i="106"/>
  <c r="P23" i="106"/>
  <c r="X23" i="106"/>
  <c r="N15" i="106"/>
  <c r="V15" i="106"/>
  <c r="P25" i="1"/>
  <c r="P122" i="1"/>
  <c r="O122" i="1"/>
  <c r="P149" i="1"/>
  <c r="O149" i="1"/>
  <c r="N17" i="106"/>
  <c r="V17" i="106"/>
  <c r="AB17" i="106"/>
  <c r="C23" i="157"/>
  <c r="X25" i="106"/>
  <c r="X9" i="106"/>
  <c r="O9" i="106"/>
  <c r="C14" i="157"/>
  <c r="U25" i="106"/>
  <c r="X24" i="106"/>
  <c r="Z17" i="106"/>
  <c r="R17" i="106"/>
  <c r="AC16" i="106"/>
  <c r="T16" i="106"/>
  <c r="K16" i="106"/>
  <c r="V9" i="106"/>
  <c r="M9" i="106"/>
  <c r="X8" i="106"/>
  <c r="O325" i="187"/>
  <c r="Q325" i="75" s="1"/>
  <c r="F399" i="75"/>
  <c r="P7" i="106"/>
  <c r="Z7" i="106"/>
  <c r="C13" i="157"/>
  <c r="Q22" i="106"/>
  <c r="Z22" i="106"/>
  <c r="N14" i="106"/>
  <c r="X14" i="106"/>
  <c r="O25" i="106"/>
  <c r="W25" i="106"/>
  <c r="L24" i="106"/>
  <c r="T24" i="106"/>
  <c r="AA24" i="106"/>
  <c r="E24" i="106" s="1"/>
  <c r="O8" i="106"/>
  <c r="W8" i="106"/>
  <c r="P179" i="1"/>
  <c r="C15" i="157"/>
  <c r="V25" i="106"/>
  <c r="Y24" i="106"/>
  <c r="G24" i="106" s="1"/>
  <c r="AA17" i="106"/>
  <c r="E17" i="106"/>
  <c r="K17" i="102" s="1"/>
  <c r="U16" i="106"/>
  <c r="N9" i="106"/>
  <c r="P8" i="106"/>
  <c r="K25" i="106"/>
  <c r="N24" i="106"/>
  <c r="Q17" i="106"/>
  <c r="AB16" i="106"/>
  <c r="S16" i="106"/>
  <c r="AC9" i="106"/>
  <c r="U9" i="106"/>
  <c r="L9" i="106"/>
  <c r="V8" i="106"/>
  <c r="M8" i="106"/>
  <c r="P45" i="1"/>
  <c r="O45" i="1"/>
  <c r="P99" i="1"/>
  <c r="O99" i="1"/>
  <c r="Q28" i="75"/>
  <c r="G7" i="69"/>
  <c r="N25" i="106"/>
  <c r="O152" i="1"/>
  <c r="P129" i="1"/>
  <c r="O129" i="1"/>
  <c r="M25" i="106"/>
  <c r="P24" i="106"/>
  <c r="S17" i="106"/>
  <c r="AC25" i="106"/>
  <c r="T25" i="106"/>
  <c r="W24" i="106"/>
  <c r="C22" i="157"/>
  <c r="AB25" i="106"/>
  <c r="S25" i="106"/>
  <c r="J25" i="106"/>
  <c r="V24" i="106"/>
  <c r="M24" i="106"/>
  <c r="Y17" i="106"/>
  <c r="G17" i="106" s="1"/>
  <c r="P17" i="106"/>
  <c r="AA16" i="106"/>
  <c r="Q16" i="106"/>
  <c r="AB9" i="106"/>
  <c r="T9" i="106"/>
  <c r="J9" i="106"/>
  <c r="U8" i="106"/>
  <c r="L8" i="106"/>
  <c r="O183" i="1"/>
  <c r="O10" i="1"/>
  <c r="P10" i="1"/>
  <c r="P61" i="1"/>
  <c r="O61" i="1"/>
  <c r="F412" i="75"/>
  <c r="F66" i="75"/>
  <c r="F420" i="75"/>
  <c r="P97" i="1"/>
  <c r="P104" i="1"/>
  <c r="P131" i="1"/>
  <c r="G320" i="202"/>
  <c r="G292" i="202"/>
  <c r="O529" i="187"/>
  <c r="Z117" i="71" s="1"/>
  <c r="AS117" i="71" s="1"/>
  <c r="AS170" i="71"/>
  <c r="P32" i="1"/>
  <c r="D29" i="157"/>
  <c r="I52" i="125"/>
  <c r="S1929" i="144"/>
  <c r="F1929" i="144" s="1"/>
  <c r="S1723" i="144"/>
  <c r="F1723" i="144" s="1"/>
  <c r="S219" i="144"/>
  <c r="F219" i="144" s="1"/>
  <c r="S1051" i="144"/>
  <c r="F1051" i="144" s="1"/>
  <c r="S83" i="144"/>
  <c r="F83" i="144" s="1"/>
  <c r="S259" i="144"/>
  <c r="F259" i="144" s="1"/>
  <c r="S420" i="144"/>
  <c r="F420" i="144" s="1"/>
  <c r="S1338" i="144"/>
  <c r="F1338" i="144" s="1"/>
  <c r="S310" i="144"/>
  <c r="F310" i="144" s="1"/>
  <c r="S574" i="144"/>
  <c r="F574" i="144" s="1"/>
  <c r="S683" i="144"/>
  <c r="F683" i="144" s="1"/>
  <c r="S531" i="144"/>
  <c r="F531" i="144" s="1"/>
  <c r="S236" i="144"/>
  <c r="F236" i="144" s="1"/>
  <c r="S1895" i="144"/>
  <c r="S76" i="144"/>
  <c r="F76" i="144" s="1"/>
  <c r="S1100" i="144"/>
  <c r="F1100" i="144" s="1"/>
  <c r="S428" i="144"/>
  <c r="F428" i="144" s="1"/>
  <c r="S884" i="144"/>
  <c r="F884" i="144" s="1"/>
  <c r="S1415" i="144"/>
  <c r="F1415" i="144" s="1"/>
  <c r="S438" i="144"/>
  <c r="F438" i="144" s="1"/>
  <c r="S372" i="144"/>
  <c r="F372" i="144" s="1"/>
  <c r="S566" i="144"/>
  <c r="F566" i="144" s="1"/>
  <c r="S1545" i="144"/>
  <c r="F1545" i="144" s="1"/>
  <c r="S194" i="144"/>
  <c r="F194" i="144" s="1"/>
  <c r="S973" i="144"/>
  <c r="F973" i="144" s="1"/>
  <c r="S1879" i="144"/>
  <c r="F1879" i="144" s="1"/>
  <c r="S800" i="144"/>
  <c r="F800" i="144" s="1"/>
  <c r="S125" i="144"/>
  <c r="F125" i="144" s="1"/>
  <c r="S293" i="144"/>
  <c r="F293" i="144" s="1"/>
  <c r="S699" i="144"/>
  <c r="F699" i="144" s="1"/>
  <c r="S935" i="144"/>
  <c r="F935" i="144" s="1"/>
  <c r="S1506" i="144"/>
  <c r="F1506" i="144" s="1"/>
  <c r="S354" i="144"/>
  <c r="F354" i="144" s="1"/>
  <c r="S456" i="144"/>
  <c r="F456" i="144" s="1"/>
  <c r="S739" i="144"/>
  <c r="F739" i="144" s="1"/>
  <c r="S381" i="144"/>
  <c r="F381" i="144" s="1"/>
  <c r="S176" i="144"/>
  <c r="F176" i="144" s="1"/>
  <c r="S129" i="144"/>
  <c r="F129" i="144" s="1"/>
  <c r="S15" i="144"/>
  <c r="F15" i="144" s="1"/>
  <c r="S150" i="144"/>
  <c r="F150" i="144" s="1"/>
  <c r="S318" i="144"/>
  <c r="F318" i="144" s="1"/>
  <c r="S474" i="144"/>
  <c r="F474" i="144" s="1"/>
  <c r="S731" i="144"/>
  <c r="F731" i="144" s="1"/>
  <c r="S977" i="144"/>
  <c r="F977" i="144" s="1"/>
  <c r="S603" i="144"/>
  <c r="F603" i="144" s="1"/>
  <c r="S388" i="144"/>
  <c r="F388" i="144" s="1"/>
  <c r="S575" i="144"/>
  <c r="F575" i="144" s="1"/>
  <c r="S792" i="144"/>
  <c r="F792" i="144" s="1"/>
  <c r="S1829" i="144"/>
  <c r="F1829" i="144" s="1"/>
  <c r="S1836" i="144"/>
  <c r="F1836" i="144" s="1"/>
  <c r="S711" i="144"/>
  <c r="F711" i="144" s="1"/>
  <c r="S483" i="144"/>
  <c r="F483" i="144" s="1"/>
  <c r="S158" i="144"/>
  <c r="F158" i="144" s="1"/>
  <c r="S507" i="144"/>
  <c r="F507" i="144" s="1"/>
  <c r="S771" i="144"/>
  <c r="F771" i="144" s="1"/>
  <c r="S1026" i="144"/>
  <c r="F1026" i="144" s="1"/>
  <c r="S1808" i="144"/>
  <c r="F1808" i="144" s="1"/>
  <c r="S612" i="144"/>
  <c r="F612" i="144" s="1"/>
  <c r="S814" i="144"/>
  <c r="F814" i="144" s="1"/>
  <c r="S405" i="144"/>
  <c r="F405" i="144" s="1"/>
  <c r="S1193" i="144"/>
  <c r="F1193" i="144" s="1"/>
  <c r="S1848" i="144"/>
  <c r="F1848" i="144" s="1"/>
  <c r="S66" i="144"/>
  <c r="F66" i="144" s="1"/>
  <c r="S1553" i="144"/>
  <c r="F1553" i="144" s="1"/>
  <c r="S2326" i="144"/>
  <c r="S2317" i="144"/>
  <c r="F2317" i="144" s="1"/>
  <c r="S2309" i="144"/>
  <c r="F2309" i="144" s="1"/>
  <c r="S2300" i="144"/>
  <c r="F2300" i="144" s="1"/>
  <c r="S2292" i="144"/>
  <c r="S2283" i="144"/>
  <c r="F2283" i="144" s="1"/>
  <c r="S2275" i="144"/>
  <c r="F2275" i="144" s="1"/>
  <c r="S2266" i="144"/>
  <c r="F2266" i="144" s="1"/>
  <c r="S2258" i="144"/>
  <c r="F2258" i="144" s="1"/>
  <c r="S2250" i="144"/>
  <c r="F2250" i="144" s="1"/>
  <c r="S2241" i="144"/>
  <c r="F2241" i="144" s="1"/>
  <c r="S2233" i="144"/>
  <c r="F2233" i="144" s="1"/>
  <c r="S2223" i="144"/>
  <c r="F2223" i="144" s="1"/>
  <c r="S2215" i="144"/>
  <c r="F2215" i="144" s="1"/>
  <c r="S2206" i="144"/>
  <c r="F2206" i="144" s="1"/>
  <c r="S2198" i="144"/>
  <c r="F2198" i="144" s="1"/>
  <c r="S2190" i="144"/>
  <c r="F2190" i="144" s="1"/>
  <c r="S2182" i="144"/>
  <c r="F2182" i="144" s="1"/>
  <c r="S2174" i="144"/>
  <c r="F2174" i="144" s="1"/>
  <c r="S2166" i="144"/>
  <c r="F2166" i="144" s="1"/>
  <c r="S2157" i="144"/>
  <c r="F2157" i="144" s="1"/>
  <c r="S2147" i="144"/>
  <c r="F2147" i="144" s="1"/>
  <c r="S2137" i="144"/>
  <c r="F2137" i="144" s="1"/>
  <c r="S2127" i="144"/>
  <c r="F2127" i="144" s="1"/>
  <c r="S2119" i="144"/>
  <c r="F2119" i="144" s="1"/>
  <c r="S2111" i="144"/>
  <c r="F2111" i="144" s="1"/>
  <c r="S2103" i="144"/>
  <c r="F2103" i="144" s="1"/>
  <c r="S2095" i="144"/>
  <c r="F2095" i="144" s="1"/>
  <c r="S2086" i="144"/>
  <c r="F2086" i="144" s="1"/>
  <c r="S2078" i="144"/>
  <c r="F2078" i="144" s="1"/>
  <c r="S2077" i="144"/>
  <c r="F2077" i="144" s="1"/>
  <c r="S2271" i="144"/>
  <c r="F2271" i="144" s="1"/>
  <c r="S2220" i="144"/>
  <c r="F2220" i="144" s="1"/>
  <c r="S2179" i="144"/>
  <c r="F2179" i="144" s="1"/>
  <c r="S2153" i="144"/>
  <c r="F2153" i="144" s="1"/>
  <c r="S2124" i="144"/>
  <c r="F2124" i="144" s="1"/>
  <c r="S2100" i="144"/>
  <c r="F2100" i="144" s="1"/>
  <c r="S2083" i="144"/>
  <c r="F2083" i="144" s="1"/>
  <c r="S2325" i="144"/>
  <c r="F2325" i="144" s="1"/>
  <c r="S2289" i="144"/>
  <c r="F2289" i="144" s="1"/>
  <c r="S2230" i="144"/>
  <c r="F2230" i="144" s="1"/>
  <c r="S2195" i="144"/>
  <c r="F2195" i="144" s="1"/>
  <c r="S2162" i="144"/>
  <c r="F2162" i="144" s="1"/>
  <c r="S2132" i="144"/>
  <c r="F2132" i="144" s="1"/>
  <c r="S2108" i="144"/>
  <c r="F2108" i="144" s="1"/>
  <c r="S2323" i="144"/>
  <c r="F2323" i="144" s="1"/>
  <c r="S2314" i="144"/>
  <c r="F2314" i="144" s="1"/>
  <c r="S2305" i="144"/>
  <c r="F2305" i="144" s="1"/>
  <c r="S2297" i="144"/>
  <c r="S2280" i="144"/>
  <c r="F2280" i="144" s="1"/>
  <c r="S2263" i="144"/>
  <c r="F2263" i="144" s="1"/>
  <c r="S2255" i="144"/>
  <c r="F2255" i="144" s="1"/>
  <c r="S2247" i="144"/>
  <c r="F2247" i="144" s="1"/>
  <c r="S2238" i="144"/>
  <c r="F2238" i="144" s="1"/>
  <c r="S2211" i="144"/>
  <c r="F2211" i="144" s="1"/>
  <c r="S2203" i="144"/>
  <c r="F2203" i="144" s="1"/>
  <c r="S2187" i="144"/>
  <c r="F2187" i="144" s="1"/>
  <c r="S2171" i="144"/>
  <c r="F2171" i="144" s="1"/>
  <c r="S2144" i="144"/>
  <c r="F2144" i="144" s="1"/>
  <c r="S2116" i="144"/>
  <c r="F2116" i="144" s="1"/>
  <c r="S2092" i="144"/>
  <c r="F2092" i="144" s="1"/>
  <c r="S2296" i="144"/>
  <c r="F2296" i="144" s="1"/>
  <c r="S2262" i="144"/>
  <c r="F2262" i="144" s="1"/>
  <c r="S2229" i="144"/>
  <c r="F2229" i="144" s="1"/>
  <c r="S2194" i="144"/>
  <c r="F2194" i="144" s="1"/>
  <c r="S2161" i="144"/>
  <c r="F2161" i="144" s="1"/>
  <c r="S2123" i="144"/>
  <c r="F2123" i="144" s="1"/>
  <c r="S2096" i="144"/>
  <c r="F2096" i="144" s="1"/>
  <c r="S2104" i="144"/>
  <c r="F2104" i="144" s="1"/>
  <c r="S2327" i="144"/>
  <c r="F2327" i="144" s="1"/>
  <c r="S2293" i="144"/>
  <c r="S2259" i="144"/>
  <c r="F2259" i="144" s="1"/>
  <c r="S2224" i="144"/>
  <c r="F2224" i="144" s="1"/>
  <c r="S2191" i="144"/>
  <c r="F2191" i="144" s="1"/>
  <c r="S2158" i="144"/>
  <c r="F2158" i="144" s="1"/>
  <c r="S2120" i="144"/>
  <c r="F2120" i="144" s="1"/>
  <c r="S2091" i="144"/>
  <c r="F2091" i="144" s="1"/>
  <c r="S2284" i="144"/>
  <c r="F2284" i="144" s="1"/>
  <c r="S2216" i="144"/>
  <c r="F2216" i="144" s="1"/>
  <c r="S2148" i="144"/>
  <c r="F2148" i="144" s="1"/>
  <c r="S2087" i="144"/>
  <c r="F2087" i="144" s="1"/>
  <c r="S2313" i="144"/>
  <c r="F2313" i="144" s="1"/>
  <c r="S2246" i="144"/>
  <c r="F2246" i="144" s="1"/>
  <c r="S2178" i="144"/>
  <c r="F2178" i="144" s="1"/>
  <c r="S2107" i="144"/>
  <c r="F2107" i="144" s="1"/>
  <c r="S2310" i="144"/>
  <c r="F2310" i="144" s="1"/>
  <c r="S2242" i="144"/>
  <c r="F2242" i="144" s="1"/>
  <c r="S2175" i="144"/>
  <c r="F2175" i="144" s="1"/>
  <c r="S2304" i="144"/>
  <c r="F2304" i="144" s="1"/>
  <c r="S2237" i="144"/>
  <c r="F2237" i="144" s="1"/>
  <c r="S2170" i="144"/>
  <c r="F2170" i="144" s="1"/>
  <c r="S2099" i="144"/>
  <c r="F2099" i="144" s="1"/>
  <c r="S2267" i="144"/>
  <c r="F2267" i="144" s="1"/>
  <c r="S2199" i="144"/>
  <c r="F2199" i="144" s="1"/>
  <c r="S2128" i="144"/>
  <c r="F2128" i="144" s="1"/>
  <c r="S2322" i="144"/>
  <c r="F2322" i="144" s="1"/>
  <c r="S2288" i="144"/>
  <c r="F2288" i="144" s="1"/>
  <c r="S2254" i="144"/>
  <c r="F2254" i="144" s="1"/>
  <c r="S2219" i="144"/>
  <c r="F2219" i="144" s="1"/>
  <c r="S2186" i="144"/>
  <c r="F2186" i="144" s="1"/>
  <c r="S2152" i="144"/>
  <c r="F2152" i="144" s="1"/>
  <c r="S2115" i="144"/>
  <c r="F2115" i="144" s="1"/>
  <c r="S2318" i="144"/>
  <c r="F2318" i="144" s="1"/>
  <c r="S2251" i="144"/>
  <c r="F2251" i="144" s="1"/>
  <c r="S2183" i="144"/>
  <c r="F2183" i="144" s="1"/>
  <c r="S2112" i="144"/>
  <c r="F2112" i="144" s="1"/>
  <c r="S2279" i="144"/>
  <c r="S2210" i="144"/>
  <c r="F2210" i="144" s="1"/>
  <c r="S2143" i="144"/>
  <c r="F2143" i="144" s="1"/>
  <c r="S2082" i="144"/>
  <c r="F2082" i="144" s="1"/>
  <c r="S2276" i="144"/>
  <c r="F2276" i="144" s="1"/>
  <c r="S2207" i="144"/>
  <c r="F2207" i="144" s="1"/>
  <c r="S2139" i="144"/>
  <c r="F2139" i="144" s="1"/>
  <c r="S2270" i="144"/>
  <c r="F2270" i="144" s="1"/>
  <c r="S2202" i="144"/>
  <c r="F2202" i="144" s="1"/>
  <c r="S2131" i="144"/>
  <c r="F2131" i="144" s="1"/>
  <c r="S2079" i="144"/>
  <c r="F2079" i="144" s="1"/>
  <c r="S2301" i="144"/>
  <c r="F2301" i="144" s="1"/>
  <c r="S2234" i="144"/>
  <c r="F2234" i="144" s="1"/>
  <c r="S2167" i="144"/>
  <c r="F2167" i="144" s="1"/>
  <c r="S211" i="144"/>
  <c r="F211" i="144" s="1"/>
  <c r="S823" i="144"/>
  <c r="F823" i="144" s="1"/>
  <c r="S31" i="144"/>
  <c r="F31" i="144" s="1"/>
  <c r="S184" i="144"/>
  <c r="F184" i="144" s="1"/>
  <c r="S334" i="144"/>
  <c r="F334" i="144" s="1"/>
  <c r="S523" i="144"/>
  <c r="F523" i="144" s="1"/>
  <c r="S1034" i="144"/>
  <c r="F1034" i="144" s="1"/>
  <c r="S1964" i="144"/>
  <c r="F1964" i="144" s="1"/>
  <c r="S389" i="144"/>
  <c r="F389" i="144" s="1"/>
  <c r="S429" i="144"/>
  <c r="F429" i="144" s="1"/>
  <c r="S876" i="144"/>
  <c r="F876" i="144" s="1"/>
  <c r="S1896" i="144"/>
  <c r="S16" i="144"/>
  <c r="F16" i="144" s="1"/>
  <c r="S1751" i="144"/>
  <c r="F1751" i="144" s="1"/>
  <c r="S865" i="144"/>
  <c r="F865" i="144" s="1"/>
  <c r="S1971" i="144"/>
  <c r="F1971" i="144" s="1"/>
  <c r="S1769" i="144"/>
  <c r="F1769" i="144" s="1"/>
  <c r="S1855" i="144"/>
  <c r="F1855" i="144" s="1"/>
  <c r="S831" i="144"/>
  <c r="F831" i="144" s="1"/>
  <c r="S353" i="144"/>
  <c r="F353" i="144" s="1"/>
  <c r="S611" i="144"/>
  <c r="F611" i="144" s="1"/>
  <c r="S796" i="144"/>
  <c r="F796" i="144" s="1"/>
  <c r="S1135" i="144"/>
  <c r="F1135" i="144" s="1"/>
  <c r="S397" i="144"/>
  <c r="F397" i="144" s="1"/>
  <c r="S558" i="144"/>
  <c r="F558" i="144" s="1"/>
  <c r="S658" i="144"/>
  <c r="S437" i="144"/>
  <c r="F437" i="144" s="1"/>
  <c r="S657" i="144"/>
  <c r="F657" i="144" s="1"/>
  <c r="S1930" i="144"/>
  <c r="F1930" i="144" s="1"/>
  <c r="S1788" i="144"/>
  <c r="F1788" i="144" s="1"/>
  <c r="S1945" i="144"/>
  <c r="F1945" i="144" s="1"/>
  <c r="S1742" i="144"/>
  <c r="F1742" i="144" s="1"/>
  <c r="O423" i="187"/>
  <c r="O432" i="187" s="1"/>
  <c r="Z18" i="71" s="1"/>
  <c r="O547" i="187"/>
  <c r="Z135" i="71" s="1"/>
  <c r="O452" i="187"/>
  <c r="Z38" i="71" s="1"/>
  <c r="O356" i="187"/>
  <c r="Q353" i="75" s="1"/>
  <c r="O324" i="187"/>
  <c r="Q324" i="75" s="1"/>
  <c r="O160" i="187"/>
  <c r="Q163" i="75" s="1"/>
  <c r="O132" i="187"/>
  <c r="Q135" i="75" s="1"/>
  <c r="AS80" i="71"/>
  <c r="O474" i="187"/>
  <c r="Z62" i="71" s="1"/>
  <c r="AS62" i="71" s="1"/>
  <c r="O150" i="187"/>
  <c r="Q153" i="75" s="1"/>
  <c r="AR8" i="71"/>
  <c r="O328" i="187"/>
  <c r="Q328" i="75" s="1"/>
  <c r="O440" i="187"/>
  <c r="Z26" i="71" s="1"/>
  <c r="O552" i="187"/>
  <c r="Z140" i="71" s="1"/>
  <c r="AR166" i="71"/>
  <c r="F53" i="75"/>
  <c r="F363" i="75"/>
  <c r="F332" i="75"/>
  <c r="AQ117" i="71"/>
  <c r="O166" i="1"/>
  <c r="P166" i="1"/>
  <c r="AR21" i="71"/>
  <c r="F18" i="106"/>
  <c r="I15" i="102"/>
  <c r="J15" i="102" s="1"/>
  <c r="O194" i="187"/>
  <c r="O177" i="187"/>
  <c r="Q179" i="75" s="1"/>
  <c r="AQ152" i="71"/>
  <c r="AS152" i="71"/>
  <c r="E9" i="100"/>
  <c r="E53" i="100"/>
  <c r="AQ82" i="71"/>
  <c r="AQ144" i="71"/>
  <c r="AQ151" i="71"/>
  <c r="F289" i="202"/>
  <c r="D9" i="31" s="1"/>
  <c r="C5" i="32" s="1"/>
  <c r="O161" i="187"/>
  <c r="Q164" i="75" s="1"/>
  <c r="O57" i="187"/>
  <c r="Q60" i="75" s="1"/>
  <c r="P26" i="1"/>
  <c r="O26" i="1"/>
  <c r="AQ153" i="71"/>
  <c r="F298" i="202"/>
  <c r="F294" i="202" s="1"/>
  <c r="AR160" i="71"/>
  <c r="V9" i="71"/>
  <c r="AS9" i="71"/>
  <c r="V56" i="71"/>
  <c r="V159" i="71"/>
  <c r="AR159" i="71"/>
  <c r="AS159" i="71"/>
  <c r="AS167" i="71"/>
  <c r="F78" i="75"/>
  <c r="O78" i="75"/>
  <c r="O400" i="75"/>
  <c r="G289" i="202"/>
  <c r="F312" i="202"/>
  <c r="F295" i="202" s="1"/>
  <c r="AS120" i="71"/>
  <c r="V121" i="71"/>
  <c r="O206" i="187"/>
  <c r="Q206" i="75" s="1"/>
  <c r="O270" i="187"/>
  <c r="Q271" i="75" s="1"/>
  <c r="O70" i="187"/>
  <c r="Q74" i="75" s="1"/>
  <c r="O218" i="187"/>
  <c r="Q218" i="75" s="1"/>
  <c r="O546" i="187"/>
  <c r="Z134" i="71" s="1"/>
  <c r="O41" i="187"/>
  <c r="Q43" i="75" s="1"/>
  <c r="O38" i="187"/>
  <c r="Q39" i="75" s="1"/>
  <c r="O250" i="187"/>
  <c r="Q251" i="75" s="1"/>
  <c r="O171" i="187"/>
  <c r="G13" i="69" s="1"/>
  <c r="O187" i="187"/>
  <c r="Q189" i="75" s="1"/>
  <c r="O299" i="187"/>
  <c r="O467" i="187"/>
  <c r="Z55" i="71" s="1"/>
  <c r="AR55" i="71" s="1"/>
  <c r="O499" i="187"/>
  <c r="Z88" i="71" s="1"/>
  <c r="O501" i="187"/>
  <c r="O507" i="187" s="1"/>
  <c r="Z95" i="71" s="1"/>
  <c r="O309" i="187"/>
  <c r="Q309" i="75" s="1"/>
  <c r="O21" i="187"/>
  <c r="G14" i="69" s="1"/>
  <c r="F26" i="106"/>
  <c r="O44" i="187"/>
  <c r="Q46" i="75" s="1"/>
  <c r="O248" i="187"/>
  <c r="Q249" i="75" s="1"/>
  <c r="O424" i="187"/>
  <c r="Z11" i="71" s="1"/>
  <c r="AS11" i="71" s="1"/>
  <c r="O448" i="187"/>
  <c r="Z34" i="71" s="1"/>
  <c r="O259" i="187"/>
  <c r="Q260" i="75" s="1"/>
  <c r="AR151" i="71"/>
  <c r="AR156" i="71"/>
  <c r="P35" i="1"/>
  <c r="O35" i="1"/>
  <c r="P39" i="1"/>
  <c r="O39" i="1"/>
  <c r="P43" i="1"/>
  <c r="O43" i="1"/>
  <c r="P70" i="1"/>
  <c r="P85" i="1"/>
  <c r="P160" i="1"/>
  <c r="F27" i="106"/>
  <c r="G298" i="202"/>
  <c r="G294" i="202" s="1"/>
  <c r="E320" i="202"/>
  <c r="O537" i="187"/>
  <c r="Z125" i="71" s="1"/>
  <c r="AR125" i="71" s="1"/>
  <c r="O209" i="187"/>
  <c r="Q209" i="75" s="1"/>
  <c r="O185" i="187"/>
  <c r="Q187" i="75" s="1"/>
  <c r="AR132" i="71"/>
  <c r="O403" i="75"/>
  <c r="F403" i="75"/>
  <c r="P134" i="1"/>
  <c r="O134" i="1"/>
  <c r="P138" i="1"/>
  <c r="O138" i="1"/>
  <c r="P171" i="1"/>
  <c r="O171" i="1"/>
  <c r="G312" i="202"/>
  <c r="G295" i="202" s="1"/>
  <c r="C16" i="10"/>
  <c r="C20" i="10"/>
  <c r="C24" i="10"/>
  <c r="C28" i="10"/>
  <c r="C32" i="10"/>
  <c r="C36" i="10"/>
  <c r="C40" i="10"/>
  <c r="C44" i="10"/>
  <c r="C48" i="10"/>
  <c r="C52" i="10"/>
  <c r="C56" i="10"/>
  <c r="C13" i="10"/>
  <c r="C17" i="10"/>
  <c r="C21" i="10"/>
  <c r="C25" i="10"/>
  <c r="C29" i="10"/>
  <c r="C33" i="10"/>
  <c r="C37" i="10"/>
  <c r="C41" i="10"/>
  <c r="C45" i="10"/>
  <c r="C49" i="10"/>
  <c r="C53" i="10"/>
  <c r="C57" i="10"/>
  <c r="C14" i="10"/>
  <c r="C18" i="10"/>
  <c r="C22" i="10"/>
  <c r="C26" i="10"/>
  <c r="C30" i="10"/>
  <c r="C34" i="10"/>
  <c r="C38" i="10"/>
  <c r="C42" i="10"/>
  <c r="C46" i="10"/>
  <c r="C50" i="10"/>
  <c r="C54" i="10"/>
  <c r="C51" i="10"/>
  <c r="C15" i="10"/>
  <c r="C19" i="10"/>
  <c r="C23" i="10"/>
  <c r="C27" i="10"/>
  <c r="C31" i="10"/>
  <c r="C35" i="10"/>
  <c r="C39" i="10"/>
  <c r="C43" i="10"/>
  <c r="C47" i="10"/>
  <c r="C55" i="10"/>
  <c r="O360" i="187"/>
  <c r="Q357" i="75" s="1"/>
  <c r="P36" i="1"/>
  <c r="O36" i="1"/>
  <c r="S2020" i="144"/>
  <c r="F2020" i="144" s="1"/>
  <c r="S2050" i="144"/>
  <c r="F2050" i="144" s="1"/>
  <c r="S1996" i="144"/>
  <c r="F1996" i="144" s="1"/>
  <c r="S2034" i="144"/>
  <c r="F2034" i="144" s="1"/>
  <c r="S2054" i="144"/>
  <c r="F2054" i="144" s="1"/>
  <c r="S2046" i="144"/>
  <c r="F2046" i="144" s="1"/>
  <c r="S2047" i="144"/>
  <c r="F2047" i="144" s="1"/>
  <c r="S2058" i="144"/>
  <c r="F2058" i="144" s="1"/>
  <c r="S1999" i="144"/>
  <c r="F1999" i="144" s="1"/>
  <c r="S2043" i="144"/>
  <c r="F2043" i="144" s="1"/>
  <c r="S2062" i="144"/>
  <c r="F2062" i="144" s="1"/>
  <c r="S2024" i="144"/>
  <c r="F2024" i="144" s="1"/>
  <c r="S2055" i="144"/>
  <c r="F2055" i="144" s="1"/>
  <c r="S2066" i="144"/>
  <c r="F2066" i="144" s="1"/>
  <c r="S2051" i="144"/>
  <c r="F2051" i="144" s="1"/>
  <c r="S2070" i="144"/>
  <c r="F2070" i="144" s="1"/>
  <c r="S2063" i="144"/>
  <c r="F2063" i="144" s="1"/>
  <c r="S2074" i="144"/>
  <c r="F2074" i="144" s="1"/>
  <c r="S2009" i="144"/>
  <c r="F2009" i="144" s="1"/>
  <c r="S2059" i="144"/>
  <c r="F2059" i="144" s="1"/>
  <c r="S1993" i="144"/>
  <c r="F1993" i="144" s="1"/>
  <c r="S2071" i="144"/>
  <c r="F2071" i="144" s="1"/>
  <c r="S2030" i="144"/>
  <c r="F2030" i="144" s="1"/>
  <c r="S2021" i="144"/>
  <c r="F2021" i="144" s="1"/>
  <c r="S1989" i="144"/>
  <c r="F1989" i="144" s="1"/>
  <c r="S2067" i="144"/>
  <c r="F2067" i="144" s="1"/>
  <c r="S2029" i="144"/>
  <c r="F2029" i="144" s="1"/>
  <c r="S2042" i="144"/>
  <c r="F2042" i="144" s="1"/>
  <c r="S2039" i="144"/>
  <c r="F2039" i="144" s="1"/>
  <c r="S2014" i="144"/>
  <c r="F2014" i="144" s="1"/>
  <c r="S2002" i="144"/>
  <c r="F2002" i="144" s="1"/>
  <c r="S2075" i="144"/>
  <c r="F2075" i="144" s="1"/>
  <c r="S2038" i="144"/>
  <c r="F2038" i="144" s="1"/>
  <c r="S2023" i="144"/>
  <c r="F2023" i="144" s="1"/>
  <c r="S2033" i="144"/>
  <c r="F2033" i="144" s="1"/>
  <c r="S2015" i="144"/>
  <c r="F2015" i="144" s="1"/>
  <c r="S2019" i="144"/>
  <c r="F2019" i="144" s="1"/>
  <c r="S2008" i="144"/>
  <c r="F2008" i="144" s="1"/>
  <c r="S1780" i="144"/>
  <c r="F1780" i="144" s="1"/>
  <c r="S210" i="144"/>
  <c r="F210" i="144" s="1"/>
  <c r="S1663" i="144"/>
  <c r="F1663" i="144" s="1"/>
  <c r="S648" i="144"/>
  <c r="F648" i="144" s="1"/>
  <c r="S412" i="144"/>
  <c r="F412" i="144" s="1"/>
  <c r="S1954" i="144"/>
  <c r="F1954" i="144" s="1"/>
  <c r="S1069" i="144"/>
  <c r="F1069" i="144" s="1"/>
  <c r="S839" i="144"/>
  <c r="F839" i="144" s="1"/>
  <c r="S499" i="144"/>
  <c r="F499" i="144" s="1"/>
  <c r="S371" i="144"/>
  <c r="F371" i="144" s="1"/>
  <c r="S227" i="144"/>
  <c r="F227" i="144" s="1"/>
  <c r="S1134" i="144"/>
  <c r="F1134" i="144" s="1"/>
  <c r="S277" i="144"/>
  <c r="F277" i="144" s="1"/>
  <c r="J52" i="125"/>
  <c r="AS121" i="71"/>
  <c r="O502" i="187"/>
  <c r="Z91" i="71" s="1"/>
  <c r="O254" i="187"/>
  <c r="Q255" i="75" s="1"/>
  <c r="O18" i="1"/>
  <c r="S1688" i="144"/>
  <c r="F1688" i="144" s="1"/>
  <c r="S1680" i="144"/>
  <c r="F1680" i="144" s="1"/>
  <c r="S1645" i="144"/>
  <c r="F1645" i="144" s="1"/>
  <c r="S1637" i="144"/>
  <c r="F1637" i="144" s="1"/>
  <c r="S1629" i="144"/>
  <c r="F1629" i="144" s="1"/>
  <c r="S1603" i="144"/>
  <c r="F1603" i="144" s="1"/>
  <c r="S1586" i="144"/>
  <c r="F1586" i="144" s="1"/>
  <c r="S1561" i="144"/>
  <c r="F1561" i="144" s="1"/>
  <c r="S1536" i="144"/>
  <c r="F1536" i="144" s="1"/>
  <c r="S1527" i="144"/>
  <c r="F1527" i="144" s="1"/>
  <c r="S1502" i="144"/>
  <c r="F1502" i="144" s="1"/>
  <c r="S1486" i="144"/>
  <c r="F1486" i="144" s="1"/>
  <c r="S1421" i="144"/>
  <c r="F1421" i="144" s="1"/>
  <c r="S1403" i="144"/>
  <c r="F1403" i="144" s="1"/>
  <c r="S1394" i="144"/>
  <c r="F1394" i="144" s="1"/>
  <c r="S1386" i="144"/>
  <c r="F1386" i="144" s="1"/>
  <c r="S1375" i="144"/>
  <c r="F1375" i="144" s="1"/>
  <c r="S1510" i="144"/>
  <c r="F1510" i="144" s="1"/>
  <c r="S1469" i="144"/>
  <c r="F1469" i="144" s="1"/>
  <c r="S1461" i="144"/>
  <c r="F1461" i="144" s="1"/>
  <c r="S1436" i="144"/>
  <c r="F1436" i="144" s="1"/>
  <c r="S1428" i="144"/>
  <c r="F1428" i="144" s="1"/>
  <c r="S1420" i="144"/>
  <c r="F1420" i="144" s="1"/>
  <c r="S1281" i="144"/>
  <c r="F1281" i="144" s="1"/>
  <c r="S1273" i="144"/>
  <c r="F1273" i="144" s="1"/>
  <c r="S1198" i="144"/>
  <c r="F1198" i="144" s="1"/>
  <c r="S1129" i="144"/>
  <c r="F1129" i="144" s="1"/>
  <c r="S1120" i="144"/>
  <c r="F1120" i="144" s="1"/>
  <c r="S1112" i="144"/>
  <c r="F1112" i="144" s="1"/>
  <c r="S1072" i="144"/>
  <c r="F1072" i="144" s="1"/>
  <c r="S1064" i="144"/>
  <c r="F1064" i="144" s="1"/>
  <c r="S1039" i="144"/>
  <c r="F1039" i="144" s="1"/>
  <c r="S1031" i="144"/>
  <c r="F1031" i="144" s="1"/>
  <c r="S998" i="144"/>
  <c r="F998" i="144" s="1"/>
  <c r="S982" i="144"/>
  <c r="F982" i="144" s="1"/>
  <c r="S958" i="144"/>
  <c r="F958" i="144" s="1"/>
  <c r="S950" i="144"/>
  <c r="F950" i="144" s="1"/>
  <c r="S853" i="144"/>
  <c r="F853" i="144" s="1"/>
  <c r="S845" i="144"/>
  <c r="F845" i="144" s="1"/>
  <c r="S819" i="144"/>
  <c r="F819" i="144" s="1"/>
  <c r="S785" i="144"/>
  <c r="F785" i="144" s="1"/>
  <c r="S768" i="144"/>
  <c r="F768" i="144" s="1"/>
  <c r="S752" i="144"/>
  <c r="F752" i="144" s="1"/>
  <c r="S744" i="144"/>
  <c r="S736" i="144"/>
  <c r="F736" i="144" s="1"/>
  <c r="S712" i="144"/>
  <c r="F712" i="144" s="1"/>
  <c r="S704" i="144"/>
  <c r="F704" i="144" s="1"/>
  <c r="S678" i="144"/>
  <c r="F678" i="144" s="1"/>
  <c r="S653" i="144"/>
  <c r="F653" i="144" s="1"/>
  <c r="S635" i="144"/>
  <c r="F635" i="144" s="1"/>
  <c r="S579" i="144"/>
  <c r="F579" i="144" s="1"/>
  <c r="S571" i="144"/>
  <c r="F571" i="144" s="1"/>
  <c r="S553" i="144"/>
  <c r="F553" i="144" s="1"/>
  <c r="S536" i="144"/>
  <c r="F536" i="144" s="1"/>
  <c r="S528" i="144"/>
  <c r="F528" i="144" s="1"/>
  <c r="S504" i="144"/>
  <c r="F504" i="144" s="1"/>
  <c r="S495" i="144"/>
  <c r="F495" i="144" s="1"/>
  <c r="S462" i="144"/>
  <c r="F462" i="144" s="1"/>
  <c r="S452" i="144"/>
  <c r="F452" i="144" s="1"/>
  <c r="S434" i="144"/>
  <c r="F434" i="144" s="1"/>
  <c r="S393" i="144"/>
  <c r="F393" i="144" s="1"/>
  <c r="S376" i="144"/>
  <c r="F376" i="144" s="1"/>
  <c r="S349" i="144"/>
  <c r="F349" i="144" s="1"/>
  <c r="S339" i="144"/>
  <c r="F339" i="144" s="1"/>
  <c r="S331" i="144"/>
  <c r="F331" i="144" s="1"/>
  <c r="S290" i="144"/>
  <c r="F290" i="144" s="1"/>
  <c r="S264" i="144"/>
  <c r="F264" i="144" s="1"/>
  <c r="S256" i="144"/>
  <c r="F256" i="144" s="1"/>
  <c r="S171" i="144"/>
  <c r="F171" i="144" s="1"/>
  <c r="S163" i="144"/>
  <c r="F163" i="144" s="1"/>
  <c r="S130" i="144"/>
  <c r="F130" i="144" s="1"/>
  <c r="S88" i="144"/>
  <c r="F88" i="144" s="1"/>
  <c r="S80" i="144"/>
  <c r="F80" i="144" s="1"/>
  <c r="S7" i="144"/>
  <c r="F7" i="144" s="1"/>
  <c r="S1968" i="144"/>
  <c r="F1968" i="144" s="1"/>
  <c r="S1917" i="144"/>
  <c r="F1917" i="144" s="1"/>
  <c r="S1892" i="144"/>
  <c r="H20" i="170" s="1"/>
  <c r="S1884" i="144"/>
  <c r="H17" i="170" s="1"/>
  <c r="S1876" i="144"/>
  <c r="F1876" i="144" s="1"/>
  <c r="S1868" i="144"/>
  <c r="F1868" i="144" s="1"/>
  <c r="S1833" i="144"/>
  <c r="F1833" i="144" s="1"/>
  <c r="S1817" i="144"/>
  <c r="F1817" i="144" s="1"/>
  <c r="S1775" i="144"/>
  <c r="F1775" i="144" s="1"/>
  <c r="S1764" i="144"/>
  <c r="F1764" i="144" s="1"/>
  <c r="S1739" i="144"/>
  <c r="F1739" i="144" s="1"/>
  <c r="S1729" i="144"/>
  <c r="F1729" i="144" s="1"/>
  <c r="S1702" i="144"/>
  <c r="F1702" i="144" s="1"/>
  <c r="S1677" i="144"/>
  <c r="F1677" i="144" s="1"/>
  <c r="S1667" i="144"/>
  <c r="F1667" i="144" s="1"/>
  <c r="S1658" i="144"/>
  <c r="F1658" i="144" s="1"/>
  <c r="S1634" i="144"/>
  <c r="F1634" i="144" s="1"/>
  <c r="S1626" i="144"/>
  <c r="F1626" i="144" s="1"/>
  <c r="S1608" i="144"/>
  <c r="F1608" i="144" s="1"/>
  <c r="S1574" i="144"/>
  <c r="F1574" i="144" s="1"/>
  <c r="O113" i="1"/>
  <c r="O88" i="1"/>
  <c r="O50" i="1"/>
  <c r="S1988" i="144"/>
  <c r="F1988" i="144" s="1"/>
  <c r="S1976" i="144"/>
  <c r="F1976" i="144" s="1"/>
  <c r="S1957" i="144"/>
  <c r="F1957" i="144" s="1"/>
  <c r="S1949" i="144"/>
  <c r="F1949" i="144" s="1"/>
  <c r="S1941" i="144"/>
  <c r="F1941" i="144" s="1"/>
  <c r="S1933" i="144"/>
  <c r="F1933" i="144" s="1"/>
  <c r="S1925" i="144"/>
  <c r="F1925" i="144" s="1"/>
  <c r="S1916" i="144"/>
  <c r="F1916" i="144" s="1"/>
  <c r="S1907" i="144"/>
  <c r="F1907" i="144" s="1"/>
  <c r="S1899" i="144"/>
  <c r="F1899" i="144" s="1"/>
  <c r="S1891" i="144"/>
  <c r="S1883" i="144"/>
  <c r="F1883" i="144" s="1"/>
  <c r="S1867" i="144"/>
  <c r="F1867" i="144" s="1"/>
  <c r="S1859" i="144"/>
  <c r="F1859" i="144" s="1"/>
  <c r="S1851" i="144"/>
  <c r="F1851" i="144" s="1"/>
  <c r="S1843" i="144"/>
  <c r="F1843" i="144" s="1"/>
  <c r="S1832" i="144"/>
  <c r="F1832" i="144" s="1"/>
  <c r="S1824" i="144"/>
  <c r="F1824" i="144" s="1"/>
  <c r="S1816" i="144"/>
  <c r="F1816" i="144" s="1"/>
  <c r="S1807" i="144"/>
  <c r="F1807" i="144" s="1"/>
  <c r="S1799" i="144"/>
  <c r="F1799" i="144" s="1"/>
  <c r="S1791" i="144"/>
  <c r="F1791" i="144" s="1"/>
  <c r="S1783" i="144"/>
  <c r="F1783" i="144" s="1"/>
  <c r="S1774" i="144"/>
  <c r="F1774" i="144" s="1"/>
  <c r="S1763" i="144"/>
  <c r="F1763" i="144" s="1"/>
  <c r="S1754" i="144"/>
  <c r="F1754" i="144" s="1"/>
  <c r="S1746" i="144"/>
  <c r="F1746" i="144" s="1"/>
  <c r="S1728" i="144"/>
  <c r="F1728" i="144" s="1"/>
  <c r="S1719" i="144"/>
  <c r="F1719" i="144" s="1"/>
  <c r="S1710" i="144"/>
  <c r="F1710" i="144" s="1"/>
  <c r="S1700" i="144"/>
  <c r="F1700" i="144" s="1"/>
  <c r="S1692" i="144"/>
  <c r="F1692" i="144" s="1"/>
  <c r="S1684" i="144"/>
  <c r="F1684" i="144" s="1"/>
  <c r="S1676" i="144"/>
  <c r="F1676" i="144" s="1"/>
  <c r="S1666" i="144"/>
  <c r="F1666" i="144" s="1"/>
  <c r="S1649" i="144"/>
  <c r="F1649" i="144" s="1"/>
  <c r="S1633" i="144"/>
  <c r="F1633" i="144" s="1"/>
  <c r="S1625" i="144"/>
  <c r="F1625" i="144" s="1"/>
  <c r="S1615" i="144"/>
  <c r="F1615" i="144" s="1"/>
  <c r="S1607" i="144"/>
  <c r="F1607" i="144" s="1"/>
  <c r="S1591" i="144"/>
  <c r="F1591" i="144" s="1"/>
  <c r="S1581" i="144"/>
  <c r="F1581" i="144" s="1"/>
  <c r="S1565" i="144"/>
  <c r="F1565" i="144" s="1"/>
  <c r="S1557" i="144"/>
  <c r="F1557" i="144" s="1"/>
  <c r="S1548" i="144"/>
  <c r="F1548" i="144" s="1"/>
  <c r="S1540" i="144"/>
  <c r="F1540" i="144" s="1"/>
  <c r="S1532" i="144"/>
  <c r="F1532" i="144" s="1"/>
  <c r="S1515" i="144"/>
  <c r="F1515" i="144" s="1"/>
  <c r="S1507" i="144"/>
  <c r="F1507" i="144" s="1"/>
  <c r="S1498" i="144"/>
  <c r="F1498" i="144" s="1"/>
  <c r="S1490" i="144"/>
  <c r="F1490" i="144" s="1"/>
  <c r="S1482" i="144"/>
  <c r="F1482" i="144" s="1"/>
  <c r="S1474" i="144"/>
  <c r="F1474" i="144" s="1"/>
  <c r="S1458" i="144"/>
  <c r="F1458" i="144" s="1"/>
  <c r="S1450" i="144"/>
  <c r="F1450" i="144" s="1"/>
  <c r="S1442" i="144"/>
  <c r="F1442" i="144" s="1"/>
  <c r="S1433" i="144"/>
  <c r="F1433" i="144" s="1"/>
  <c r="S1416" i="144"/>
  <c r="F1416" i="144" s="1"/>
  <c r="S1408" i="144"/>
  <c r="F1408" i="144" s="1"/>
  <c r="S1398" i="144"/>
  <c r="F1398" i="144" s="1"/>
  <c r="S1390" i="144"/>
  <c r="F1390" i="144" s="1"/>
  <c r="O136" i="1"/>
  <c r="O41" i="1"/>
  <c r="O27" i="1"/>
  <c r="P91" i="1"/>
  <c r="P176" i="1"/>
  <c r="S1522" i="144"/>
  <c r="F1522" i="144" s="1"/>
  <c r="S1514" i="144"/>
  <c r="F1514" i="144" s="1"/>
  <c r="S1497" i="144"/>
  <c r="F1497" i="144" s="1"/>
  <c r="S1473" i="144"/>
  <c r="F1473" i="144" s="1"/>
  <c r="S1449" i="144"/>
  <c r="F1449" i="144" s="1"/>
  <c r="S1432" i="144"/>
  <c r="F1432" i="144" s="1"/>
  <c r="F413" i="75"/>
  <c r="F405" i="75"/>
  <c r="O247" i="187"/>
  <c r="Q248" i="75"/>
  <c r="O132" i="1"/>
  <c r="O69" i="1"/>
  <c r="O24" i="1"/>
  <c r="S1972" i="144"/>
  <c r="F1972" i="144" s="1"/>
  <c r="S1359" i="144"/>
  <c r="F1359" i="144" s="1"/>
  <c r="S1317" i="144"/>
  <c r="F1317" i="144" s="1"/>
  <c r="S1274" i="144"/>
  <c r="F1274" i="144" s="1"/>
  <c r="S1190" i="144"/>
  <c r="F1190" i="144" s="1"/>
  <c r="S1173" i="144"/>
  <c r="F1173" i="144" s="1"/>
  <c r="S1131" i="144"/>
  <c r="F1131" i="144" s="1"/>
  <c r="S1121" i="144"/>
  <c r="F1121" i="144" s="1"/>
  <c r="S1105" i="144"/>
  <c r="F1105" i="144" s="1"/>
  <c r="S1073" i="144"/>
  <c r="F1073" i="144" s="1"/>
  <c r="S1065" i="144"/>
  <c r="F1065" i="144" s="1"/>
  <c r="S1005" i="144"/>
  <c r="F1005" i="144" s="1"/>
  <c r="S997" i="144"/>
  <c r="F997" i="144" s="1"/>
  <c r="S949" i="144"/>
  <c r="F949" i="144" s="1"/>
  <c r="S931" i="144"/>
  <c r="F931" i="144" s="1"/>
  <c r="S898" i="144"/>
  <c r="F898" i="144" s="1"/>
  <c r="S852" i="144"/>
  <c r="F852" i="144" s="1"/>
  <c r="S743" i="144"/>
  <c r="F743" i="144" s="1"/>
  <c r="S735" i="144"/>
  <c r="F735" i="144" s="1"/>
  <c r="S727" i="144"/>
  <c r="F727" i="144" s="1"/>
  <c r="S719" i="144"/>
  <c r="F719" i="144" s="1"/>
  <c r="S703" i="144"/>
  <c r="F703" i="144" s="1"/>
  <c r="S677" i="144"/>
  <c r="F677" i="144" s="1"/>
  <c r="S624" i="144"/>
  <c r="F624" i="144" s="1"/>
  <c r="S606" i="144"/>
  <c r="F606" i="144" s="1"/>
  <c r="S535" i="144"/>
  <c r="F535" i="144" s="1"/>
  <c r="S519" i="144"/>
  <c r="F519" i="144" s="1"/>
  <c r="S511" i="144"/>
  <c r="F511" i="144" s="1"/>
  <c r="S470" i="144"/>
  <c r="F470" i="144" s="1"/>
  <c r="S459" i="144"/>
  <c r="F459" i="144" s="1"/>
  <c r="S424" i="144"/>
  <c r="F424" i="144" s="1"/>
  <c r="S408" i="144"/>
  <c r="F408" i="144" s="1"/>
  <c r="S400" i="144"/>
  <c r="F400" i="144" s="1"/>
  <c r="S367" i="144"/>
  <c r="F367" i="144" s="1"/>
  <c r="S357" i="144"/>
  <c r="F357" i="144" s="1"/>
  <c r="S322" i="144"/>
  <c r="F322" i="144" s="1"/>
  <c r="S306" i="144"/>
  <c r="F306" i="144" s="1"/>
  <c r="S239" i="144"/>
  <c r="F239" i="144" s="1"/>
  <c r="S223" i="144"/>
  <c r="F223" i="144" s="1"/>
  <c r="S188" i="144"/>
  <c r="F188" i="144" s="1"/>
  <c r="S170" i="144"/>
  <c r="F170" i="144" s="1"/>
  <c r="S52" i="144"/>
  <c r="F52" i="144" s="1"/>
  <c r="S36" i="144"/>
  <c r="F36" i="144" s="1"/>
  <c r="S11" i="144"/>
  <c r="F11" i="144" s="1"/>
  <c r="S1379" i="144"/>
  <c r="F1379" i="144" s="1"/>
  <c r="S1363" i="144"/>
  <c r="F1363" i="144" s="1"/>
  <c r="S1355" i="144"/>
  <c r="F1355" i="144" s="1"/>
  <c r="S1347" i="144"/>
  <c r="F1347" i="144" s="1"/>
  <c r="S1330" i="144"/>
  <c r="F1330" i="144" s="1"/>
  <c r="S1321" i="144"/>
  <c r="F1321" i="144" s="1"/>
  <c r="S1312" i="144"/>
  <c r="F1312" i="144" s="1"/>
  <c r="S1295" i="144"/>
  <c r="F1295" i="144" s="1"/>
  <c r="S1286" i="144"/>
  <c r="F1286" i="144" s="1"/>
  <c r="S1278" i="144"/>
  <c r="F1278" i="144" s="1"/>
  <c r="S1269" i="144"/>
  <c r="F1269" i="144" s="1"/>
  <c r="S1261" i="144"/>
  <c r="F1261" i="144" s="1"/>
  <c r="S1253" i="144"/>
  <c r="F1253" i="144" s="1"/>
  <c r="S1243" i="144"/>
  <c r="F1243" i="144" s="1"/>
  <c r="S1235" i="144"/>
  <c r="F1235" i="144" s="1"/>
  <c r="S1227" i="144"/>
  <c r="F1227" i="144" s="1"/>
  <c r="S1219" i="144"/>
  <c r="F1219" i="144" s="1"/>
  <c r="S1211" i="144"/>
  <c r="F1211" i="144" s="1"/>
  <c r="S1203" i="144"/>
  <c r="F1203" i="144" s="1"/>
  <c r="S1194" i="144"/>
  <c r="F1194" i="144" s="1"/>
  <c r="S1186" i="144"/>
  <c r="F1186" i="144" s="1"/>
  <c r="S1178" i="144"/>
  <c r="F1178" i="144" s="1"/>
  <c r="S1101" i="144"/>
  <c r="F1101" i="144" s="1"/>
  <c r="S1077" i="144"/>
  <c r="F1077" i="144" s="1"/>
  <c r="S1302" i="144"/>
  <c r="F1302" i="144" s="1"/>
  <c r="S1294" i="144"/>
  <c r="F1294" i="144" s="1"/>
  <c r="S1252" i="144"/>
  <c r="F1252" i="144" s="1"/>
  <c r="S1226" i="144"/>
  <c r="F1226" i="144" s="1"/>
  <c r="S1185" i="144"/>
  <c r="F1185" i="144" s="1"/>
  <c r="S1159" i="144"/>
  <c r="F1159" i="144" s="1"/>
  <c r="S1124" i="144"/>
  <c r="F1124" i="144" s="1"/>
  <c r="S1076" i="144"/>
  <c r="F1076" i="144" s="1"/>
  <c r="S1068" i="144"/>
  <c r="F1068" i="144" s="1"/>
  <c r="S1035" i="144"/>
  <c r="F1035" i="144" s="1"/>
  <c r="S1027" i="144"/>
  <c r="F1027" i="144" s="1"/>
  <c r="S1002" i="144"/>
  <c r="F1002" i="144" s="1"/>
  <c r="S962" i="144"/>
  <c r="F962" i="144" s="1"/>
  <c r="S928" i="144"/>
  <c r="F928" i="144" s="1"/>
  <c r="S548" i="144"/>
  <c r="F548" i="144" s="1"/>
  <c r="S508" i="144"/>
  <c r="F508" i="144" s="1"/>
  <c r="S491" i="144"/>
  <c r="F491" i="144" s="1"/>
  <c r="S413" i="144"/>
  <c r="F413" i="144" s="1"/>
  <c r="S134" i="144"/>
  <c r="F134" i="144" s="1"/>
  <c r="S8" i="144"/>
  <c r="F8" i="144" s="1"/>
  <c r="G20" i="102"/>
  <c r="D34" i="157"/>
  <c r="E34" i="157" s="1"/>
  <c r="D20" i="157"/>
  <c r="G13" i="102"/>
  <c r="D25" i="157"/>
  <c r="E25" i="157" s="1"/>
  <c r="E24" i="100"/>
  <c r="E40" i="100"/>
  <c r="E16" i="100"/>
  <c r="E32" i="100"/>
  <c r="E47" i="100"/>
  <c r="E29" i="100"/>
  <c r="E46" i="100"/>
  <c r="G7" i="102"/>
  <c r="D22" i="157"/>
  <c r="E22" i="157" s="1"/>
  <c r="D27" i="157"/>
  <c r="E12" i="100"/>
  <c r="E14" i="100"/>
  <c r="E30" i="100"/>
  <c r="E45" i="100"/>
  <c r="E27" i="100"/>
  <c r="E44" i="100"/>
  <c r="G18" i="102"/>
  <c r="D32" i="157"/>
  <c r="E32" i="157" s="1"/>
  <c r="D18" i="157"/>
  <c r="E18" i="157" s="1"/>
  <c r="G11" i="102"/>
  <c r="D23" i="157"/>
  <c r="E23" i="157" s="1"/>
  <c r="E48" i="100"/>
  <c r="E18" i="100"/>
  <c r="E34" i="100"/>
  <c r="E13" i="100"/>
  <c r="E31" i="100"/>
  <c r="G16" i="102"/>
  <c r="D30" i="157"/>
  <c r="E30" i="157" s="1"/>
  <c r="D16" i="157"/>
  <c r="E16" i="157" s="1"/>
  <c r="G9" i="102"/>
  <c r="D21" i="157"/>
  <c r="E21" i="157" s="1"/>
  <c r="E42" i="100"/>
  <c r="E15" i="100"/>
  <c r="E33" i="100"/>
  <c r="G15" i="102"/>
  <c r="G14" i="102"/>
  <c r="D28" i="157"/>
  <c r="D14" i="157"/>
  <c r="E14" i="157" s="1"/>
  <c r="D13" i="157"/>
  <c r="E13" i="157" s="1"/>
  <c r="D19" i="157"/>
  <c r="E19" i="157" s="1"/>
  <c r="E49" i="100"/>
  <c r="E50" i="100"/>
  <c r="E20" i="100"/>
  <c r="E36" i="100"/>
  <c r="E17" i="100"/>
  <c r="E35" i="100"/>
  <c r="D26" i="157"/>
  <c r="E26" i="157" s="1"/>
  <c r="G21" i="102"/>
  <c r="D33" i="157"/>
  <c r="E33" i="157" s="1"/>
  <c r="D17" i="157"/>
  <c r="E17" i="157" s="1"/>
  <c r="E8" i="100"/>
  <c r="E51" i="100"/>
  <c r="E22" i="100"/>
  <c r="E19" i="100"/>
  <c r="E37" i="100"/>
  <c r="G8" i="102"/>
  <c r="E10" i="100"/>
  <c r="G12" i="102"/>
  <c r="D24" i="157"/>
  <c r="E24" i="157" s="1"/>
  <c r="G19" i="102"/>
  <c r="D31" i="157"/>
  <c r="E31" i="157" s="1"/>
  <c r="D15" i="157"/>
  <c r="E15" i="157" s="1"/>
  <c r="E7" i="100"/>
  <c r="E52" i="100"/>
  <c r="E26" i="100"/>
  <c r="E38" i="100"/>
  <c r="E21" i="100"/>
  <c r="H156" i="149"/>
  <c r="I106" i="149"/>
  <c r="K94" i="146" s="1"/>
  <c r="F7" i="175"/>
  <c r="F28" i="175"/>
  <c r="F26" i="175"/>
  <c r="J97" i="149"/>
  <c r="H97" i="149"/>
  <c r="I142" i="149"/>
  <c r="F32" i="175"/>
  <c r="J142" i="149"/>
  <c r="J107" i="149"/>
  <c r="L95" i="146" s="1"/>
  <c r="I99" i="149"/>
  <c r="K87" i="146" s="1"/>
  <c r="H99" i="149"/>
  <c r="H25" i="146"/>
  <c r="J58" i="125"/>
  <c r="I58" i="125"/>
  <c r="J53" i="125"/>
  <c r="I53" i="125"/>
  <c r="D8" i="31"/>
  <c r="C4" i="32" s="1"/>
  <c r="I97" i="149"/>
  <c r="J99" i="149"/>
  <c r="L87" i="146" s="1"/>
  <c r="F29" i="175"/>
  <c r="F23" i="175"/>
  <c r="F42" i="175"/>
  <c r="I104" i="149"/>
  <c r="F37" i="175"/>
  <c r="F31" i="175"/>
  <c r="I103" i="149"/>
  <c r="K91" i="146" s="1"/>
  <c r="C10" i="10"/>
  <c r="C11" i="10"/>
  <c r="C12" i="10"/>
  <c r="C9" i="10"/>
  <c r="F547" i="144"/>
  <c r="K21" i="106"/>
  <c r="S21" i="106"/>
  <c r="AA21" i="106"/>
  <c r="E21" i="106" s="1"/>
  <c r="N21" i="106"/>
  <c r="W21" i="106"/>
  <c r="L21" i="106"/>
  <c r="V21" i="106"/>
  <c r="M21" i="106"/>
  <c r="X21" i="106"/>
  <c r="Q21" i="106"/>
  <c r="AC21" i="106"/>
  <c r="R21" i="106"/>
  <c r="T21" i="106"/>
  <c r="C27" i="157"/>
  <c r="U21" i="106"/>
  <c r="AB21" i="106"/>
  <c r="J21" i="106"/>
  <c r="Z21" i="106"/>
  <c r="O484" i="187"/>
  <c r="Z72" i="71" s="1"/>
  <c r="O481" i="187"/>
  <c r="Z69" i="71" s="1"/>
  <c r="Z59" i="71"/>
  <c r="V12" i="71"/>
  <c r="Y21" i="106"/>
  <c r="G21" i="106" s="1"/>
  <c r="V89" i="71"/>
  <c r="AR89" i="71"/>
  <c r="AS89" i="71"/>
  <c r="AR54" i="71"/>
  <c r="AS168" i="71"/>
  <c r="AR168" i="71"/>
  <c r="O329" i="75"/>
  <c r="F329" i="75"/>
  <c r="O377" i="75"/>
  <c r="F377" i="75"/>
  <c r="J13" i="106"/>
  <c r="R13" i="106"/>
  <c r="M13" i="106"/>
  <c r="V13" i="106"/>
  <c r="AC13" i="106"/>
  <c r="AS77" i="71" s="1"/>
  <c r="L13" i="106"/>
  <c r="W13" i="106"/>
  <c r="N13" i="106"/>
  <c r="X13" i="106"/>
  <c r="Y13" i="106"/>
  <c r="G13" i="106" s="1"/>
  <c r="K13" i="106"/>
  <c r="Z13" i="106"/>
  <c r="O13" i="106"/>
  <c r="AA13" i="106"/>
  <c r="E13" i="106" s="1"/>
  <c r="P13" i="106"/>
  <c r="C19" i="157"/>
  <c r="T13" i="106"/>
  <c r="U13" i="106"/>
  <c r="AB13" i="106"/>
  <c r="AR77" i="71" s="1"/>
  <c r="Q13" i="106"/>
  <c r="AQ83" i="71"/>
  <c r="E274" i="194"/>
  <c r="D274" i="194" s="1"/>
  <c r="V132" i="71"/>
  <c r="AS132" i="71"/>
  <c r="H11" i="106"/>
  <c r="V75" i="71"/>
  <c r="AS75" i="71"/>
  <c r="AS21" i="71"/>
  <c r="F40" i="175"/>
  <c r="Q22" i="75"/>
  <c r="V83" i="71"/>
  <c r="AS83" i="71"/>
  <c r="AR83" i="71"/>
  <c r="AS44" i="71"/>
  <c r="AQ170" i="71"/>
  <c r="AQ122" i="71"/>
  <c r="P90" i="1"/>
  <c r="O90" i="1"/>
  <c r="O76" i="187"/>
  <c r="Q80" i="75" s="1"/>
  <c r="Q79" i="75"/>
  <c r="O77" i="187"/>
  <c r="Q81" i="75" s="1"/>
  <c r="AS164" i="71"/>
  <c r="S922" i="144"/>
  <c r="F922" i="144" s="1"/>
  <c r="S1569" i="144"/>
  <c r="F1569" i="144" s="1"/>
  <c r="S1856" i="144"/>
  <c r="F1856" i="144" s="1"/>
  <c r="S986" i="144"/>
  <c r="F986" i="144" s="1"/>
  <c r="S1264" i="144"/>
  <c r="F1264" i="144" s="1"/>
  <c r="S1588" i="144"/>
  <c r="F1588" i="144" s="1"/>
  <c r="S1887" i="144"/>
  <c r="S1646" i="144"/>
  <c r="F1646" i="144" s="1"/>
  <c r="S1351" i="144"/>
  <c r="F1351" i="144" s="1"/>
  <c r="S1057" i="144"/>
  <c r="F1057" i="144" s="1"/>
  <c r="S994" i="144"/>
  <c r="F994" i="144" s="1"/>
  <c r="S944" i="144"/>
  <c r="F944" i="144" s="1"/>
  <c r="S106" i="144"/>
  <c r="F106" i="144" s="1"/>
  <c r="S276" i="144"/>
  <c r="F276" i="144" s="1"/>
  <c r="S24" i="144"/>
  <c r="F24" i="144" s="1"/>
  <c r="S113" i="144"/>
  <c r="F113" i="144" s="1"/>
  <c r="S228" i="144"/>
  <c r="F228" i="144" s="1"/>
  <c r="S252" i="144"/>
  <c r="S271" i="144"/>
  <c r="F271" i="144" s="1"/>
  <c r="S299" i="144"/>
  <c r="F299" i="144" s="1"/>
  <c r="S1804" i="144"/>
  <c r="F1804" i="144" s="1"/>
  <c r="S1707" i="144"/>
  <c r="F1707" i="144" s="1"/>
  <c r="S1393" i="144"/>
  <c r="F1393" i="144" s="1"/>
  <c r="S1290" i="144"/>
  <c r="F1290" i="144" s="1"/>
  <c r="S1223" i="144"/>
  <c r="F1223" i="144" s="1"/>
  <c r="S1147" i="144"/>
  <c r="F1147" i="144" s="1"/>
  <c r="S1040" i="144"/>
  <c r="F1040" i="144" s="1"/>
  <c r="S989" i="144"/>
  <c r="F989" i="144" s="1"/>
  <c r="S965" i="144"/>
  <c r="F965" i="144" s="1"/>
  <c r="S940" i="144"/>
  <c r="F940" i="144" s="1"/>
  <c r="S915" i="144"/>
  <c r="F915" i="144" s="1"/>
  <c r="S834" i="144"/>
  <c r="F834" i="144" s="1"/>
  <c r="S809" i="144"/>
  <c r="F809" i="144" s="1"/>
  <c r="S784" i="144"/>
  <c r="F784" i="144" s="1"/>
  <c r="S759" i="144"/>
  <c r="F759" i="144" s="1"/>
  <c r="S708" i="144"/>
  <c r="F708" i="144" s="1"/>
  <c r="S686" i="144"/>
  <c r="F686" i="144" s="1"/>
  <c r="S615" i="144"/>
  <c r="F615" i="144" s="1"/>
  <c r="S932" i="144"/>
  <c r="F932" i="144" s="1"/>
  <c r="S1238" i="144"/>
  <c r="F1238" i="144" s="1"/>
  <c r="S1913" i="144"/>
  <c r="F1913" i="144" s="1"/>
  <c r="S1621" i="144"/>
  <c r="F1621" i="144" s="1"/>
  <c r="S1837" i="144"/>
  <c r="F1837" i="144" s="1"/>
  <c r="S1335" i="144"/>
  <c r="F1335" i="144" s="1"/>
  <c r="S1043" i="144"/>
  <c r="F1043" i="144" s="1"/>
  <c r="S936" i="144"/>
  <c r="F936" i="144" s="1"/>
  <c r="S877" i="144"/>
  <c r="F877" i="144" s="1"/>
  <c r="S48" i="144"/>
  <c r="F48" i="144" s="1"/>
  <c r="S109" i="144"/>
  <c r="F109" i="144" s="1"/>
  <c r="S159" i="144"/>
  <c r="F159" i="144" s="1"/>
  <c r="S247" i="144"/>
  <c r="F247" i="144" s="1"/>
  <c r="S284" i="144"/>
  <c r="F284" i="144" s="1"/>
  <c r="S62" i="144"/>
  <c r="F62" i="144" s="1"/>
  <c r="S91" i="144"/>
  <c r="F91" i="144" s="1"/>
  <c r="S118" i="144"/>
  <c r="F118" i="144" s="1"/>
  <c r="S167" i="144"/>
  <c r="F167" i="144" s="1"/>
  <c r="S199" i="144"/>
  <c r="F199" i="144" s="1"/>
  <c r="S232" i="144"/>
  <c r="F232" i="144" s="1"/>
  <c r="S1938" i="144"/>
  <c r="F1938" i="144" s="1"/>
  <c r="S1872" i="144"/>
  <c r="F1872" i="144" s="1"/>
  <c r="S1796" i="144"/>
  <c r="F1796" i="144" s="1"/>
  <c r="S1697" i="144"/>
  <c r="F1697" i="144" s="1"/>
  <c r="S1485" i="144"/>
  <c r="F1485" i="144" s="1"/>
  <c r="S1389" i="144"/>
  <c r="F1389" i="144" s="1"/>
  <c r="S1325" i="144"/>
  <c r="F1325" i="144" s="1"/>
  <c r="S1181" i="144"/>
  <c r="F1181" i="144" s="1"/>
  <c r="S885" i="144"/>
  <c r="F885" i="144" s="1"/>
  <c r="S861" i="144"/>
  <c r="S827" i="144"/>
  <c r="F827" i="144" s="1"/>
  <c r="S779" i="144"/>
  <c r="F779" i="144" s="1"/>
  <c r="S751" i="144"/>
  <c r="F751" i="144" s="1"/>
  <c r="S661" i="144"/>
  <c r="F661" i="144" s="1"/>
  <c r="S1268" i="144"/>
  <c r="F1268" i="144" s="1"/>
  <c r="S1156" i="144"/>
  <c r="F1156" i="144" s="1"/>
  <c r="S1654" i="144"/>
  <c r="F1654" i="144" s="1"/>
  <c r="S1117" i="144"/>
  <c r="F1117" i="144" s="1"/>
  <c r="S902" i="144"/>
  <c r="F902" i="144" s="1"/>
  <c r="S70" i="144"/>
  <c r="F70" i="144" s="1"/>
  <c r="S215" i="144"/>
  <c r="F215" i="144" s="1"/>
  <c r="S255" i="144"/>
  <c r="F255" i="144" s="1"/>
  <c r="S330" i="144"/>
  <c r="F330" i="144" s="1"/>
  <c r="S45" i="144"/>
  <c r="F45" i="144" s="1"/>
  <c r="S151" i="144"/>
  <c r="F151" i="144" s="1"/>
  <c r="S181" i="144"/>
  <c r="F181" i="144" s="1"/>
  <c r="S224" i="144"/>
  <c r="F224" i="144" s="1"/>
  <c r="S260" i="144"/>
  <c r="F260" i="144" s="1"/>
  <c r="S285" i="144"/>
  <c r="F285" i="144" s="1"/>
  <c r="S1880" i="144"/>
  <c r="F1880" i="144" s="1"/>
  <c r="S1787" i="144"/>
  <c r="F1787" i="144" s="1"/>
  <c r="S1596" i="144"/>
  <c r="F1596" i="144" s="1"/>
  <c r="S1525" i="144"/>
  <c r="F1525" i="144" s="1"/>
  <c r="S1080" i="144"/>
  <c r="F1080" i="144" s="1"/>
  <c r="S993" i="144"/>
  <c r="F993" i="144" s="1"/>
  <c r="S867" i="144"/>
  <c r="F867" i="144" s="1"/>
  <c r="S822" i="144"/>
  <c r="F822" i="144" s="1"/>
  <c r="S690" i="144"/>
  <c r="F690" i="144" s="1"/>
  <c r="S602" i="144"/>
  <c r="F602" i="144" s="1"/>
  <c r="S578" i="144"/>
  <c r="F578" i="144" s="1"/>
  <c r="S561" i="144"/>
  <c r="F561" i="144" s="1"/>
  <c r="S515" i="144"/>
  <c r="F515" i="144" s="1"/>
  <c r="S494" i="144"/>
  <c r="F494" i="144" s="1"/>
  <c r="S466" i="144"/>
  <c r="F466" i="144" s="1"/>
  <c r="S441" i="144"/>
  <c r="F441" i="144" s="1"/>
  <c r="S347" i="144"/>
  <c r="F347" i="144" s="1"/>
  <c r="S307" i="144"/>
  <c r="F307" i="144" s="1"/>
  <c r="S835" i="144"/>
  <c r="F835" i="144" s="1"/>
  <c r="S801" i="144"/>
  <c r="F801" i="144" s="1"/>
  <c r="S775" i="144"/>
  <c r="F775" i="144" s="1"/>
  <c r="S748" i="144"/>
  <c r="F748" i="144" s="1"/>
  <c r="S707" i="144"/>
  <c r="F707" i="144" s="1"/>
  <c r="S687" i="144"/>
  <c r="F687" i="144" s="1"/>
  <c r="S616" i="144"/>
  <c r="F616" i="144" s="1"/>
  <c r="S593" i="144"/>
  <c r="F593" i="144" s="1"/>
  <c r="S567" i="144"/>
  <c r="F567" i="144" s="1"/>
  <c r="S544" i="144"/>
  <c r="F544" i="144" s="1"/>
  <c r="S524" i="144"/>
  <c r="F524" i="144" s="1"/>
  <c r="S500" i="144"/>
  <c r="F500" i="144" s="1"/>
  <c r="S467" i="144"/>
  <c r="F467" i="144" s="1"/>
  <c r="S425" i="144"/>
  <c r="F425" i="144" s="1"/>
  <c r="S384" i="144"/>
  <c r="F384" i="144" s="1"/>
  <c r="S361" i="144"/>
  <c r="F361" i="144" s="1"/>
  <c r="S315" i="144"/>
  <c r="F315" i="144" s="1"/>
  <c r="S1750" i="144"/>
  <c r="F1750" i="144" s="1"/>
  <c r="S1714" i="144"/>
  <c r="F1714" i="144" s="1"/>
  <c r="S1653" i="144"/>
  <c r="F1653" i="144" s="1"/>
  <c r="S1552" i="144"/>
  <c r="F1552" i="144" s="1"/>
  <c r="S1519" i="144"/>
  <c r="F1519" i="144" s="1"/>
  <c r="S1231" i="144"/>
  <c r="F1231" i="144" s="1"/>
  <c r="S1934" i="144"/>
  <c r="F1934" i="144" s="1"/>
  <c r="S1825" i="144"/>
  <c r="F1825" i="144" s="1"/>
  <c r="S1784" i="144"/>
  <c r="F1784" i="144" s="1"/>
  <c r="S1747" i="144"/>
  <c r="F1747" i="144" s="1"/>
  <c r="S1693" i="144"/>
  <c r="F1693" i="144" s="1"/>
  <c r="S1642" i="144"/>
  <c r="F1642" i="144" s="1"/>
  <c r="S1600" i="144"/>
  <c r="F1600" i="144" s="1"/>
  <c r="S1566" i="144"/>
  <c r="F1566" i="144" s="1"/>
  <c r="S1397" i="144"/>
  <c r="F1397" i="144" s="1"/>
  <c r="S1362" i="144"/>
  <c r="F1362" i="144" s="1"/>
  <c r="S1320" i="144"/>
  <c r="F1320" i="144" s="1"/>
  <c r="S1260" i="144"/>
  <c r="F1260" i="144" s="1"/>
  <c r="S1061" i="144"/>
  <c r="F1061" i="144" s="1"/>
  <c r="S961" i="144"/>
  <c r="F961" i="144" s="1"/>
  <c r="S918" i="144"/>
  <c r="F918" i="144" s="1"/>
  <c r="S539" i="144"/>
  <c r="F539" i="144" s="1"/>
  <c r="S342" i="144"/>
  <c r="F342" i="144" s="1"/>
  <c r="S56" i="144"/>
  <c r="F56" i="144" s="1"/>
  <c r="S1151" i="144"/>
  <c r="F1151" i="144" s="1"/>
  <c r="S903" i="144"/>
  <c r="F903" i="144" s="1"/>
  <c r="S756" i="144"/>
  <c r="F756" i="144" s="1"/>
  <c r="S26" i="144"/>
  <c r="F26" i="144" s="1"/>
  <c r="S1182" i="144"/>
  <c r="F1182" i="144" s="1"/>
  <c r="S1715" i="144"/>
  <c r="F1715" i="144" s="1"/>
  <c r="S1163" i="144"/>
  <c r="F1163" i="144" s="1"/>
  <c r="S1681" i="144"/>
  <c r="F1681" i="144" s="1"/>
  <c r="S1081" i="144"/>
  <c r="F1081" i="144" s="1"/>
  <c r="S1006" i="144"/>
  <c r="F1006" i="144" s="1"/>
  <c r="S19" i="144"/>
  <c r="F19" i="144" s="1"/>
  <c r="S61" i="144"/>
  <c r="S175" i="144"/>
  <c r="F175" i="144" s="1"/>
  <c r="S273" i="144"/>
  <c r="F273" i="144" s="1"/>
  <c r="S319" i="144"/>
  <c r="F319" i="144" s="1"/>
  <c r="S20" i="144"/>
  <c r="F20" i="144" s="1"/>
  <c r="S75" i="144"/>
  <c r="F75" i="144" s="1"/>
  <c r="S155" i="144"/>
  <c r="F155" i="144" s="1"/>
  <c r="S207" i="144"/>
  <c r="F207" i="144" s="1"/>
  <c r="S248" i="144"/>
  <c r="F248" i="144" s="1"/>
  <c r="S280" i="144"/>
  <c r="F280" i="144" s="1"/>
  <c r="S1888" i="144"/>
  <c r="S1570" i="144"/>
  <c r="F1570" i="144" s="1"/>
  <c r="S1239" i="144"/>
  <c r="F1239" i="144" s="1"/>
  <c r="S1108" i="144"/>
  <c r="F1108" i="144" s="1"/>
  <c r="S906" i="144"/>
  <c r="F906" i="144" s="1"/>
  <c r="S857" i="144"/>
  <c r="F857" i="144" s="1"/>
  <c r="S776" i="144"/>
  <c r="F776" i="144" s="1"/>
  <c r="S740" i="144"/>
  <c r="F740" i="144" s="1"/>
  <c r="S639" i="144"/>
  <c r="F639" i="144" s="1"/>
  <c r="S598" i="144"/>
  <c r="F598" i="144" s="1"/>
  <c r="S552" i="144"/>
  <c r="F552" i="144" s="1"/>
  <c r="S527" i="144"/>
  <c r="F527" i="144" s="1"/>
  <c r="S503" i="144"/>
  <c r="F503" i="144" s="1"/>
  <c r="S416" i="144"/>
  <c r="F416" i="144" s="1"/>
  <c r="S362" i="144"/>
  <c r="F362" i="144" s="1"/>
  <c r="S808" i="144"/>
  <c r="F808" i="144" s="1"/>
  <c r="S780" i="144"/>
  <c r="F780" i="144" s="1"/>
  <c r="S723" i="144"/>
  <c r="F723" i="144" s="1"/>
  <c r="S652" i="144"/>
  <c r="F652" i="144" s="1"/>
  <c r="S619" i="144"/>
  <c r="F619" i="144" s="1"/>
  <c r="S597" i="144"/>
  <c r="F597" i="144" s="1"/>
  <c r="S479" i="144"/>
  <c r="F479" i="144" s="1"/>
  <c r="S433" i="144"/>
  <c r="F433" i="144" s="1"/>
  <c r="S358" i="144"/>
  <c r="F358" i="144" s="1"/>
  <c r="S303" i="144"/>
  <c r="F303" i="144" s="1"/>
  <c r="S1871" i="144"/>
  <c r="F1871" i="144" s="1"/>
  <c r="S1847" i="144"/>
  <c r="F1847" i="144" s="1"/>
  <c r="S1595" i="144"/>
  <c r="F1595" i="144" s="1"/>
  <c r="S1429" i="144"/>
  <c r="F1429" i="144" s="1"/>
  <c r="S1299" i="144"/>
  <c r="F1299" i="144" s="1"/>
  <c r="S1207" i="144"/>
  <c r="F1207" i="144" s="1"/>
  <c r="S1152" i="144"/>
  <c r="F1152" i="144" s="1"/>
  <c r="S1549" i="144"/>
  <c r="F1549" i="144" s="1"/>
  <c r="S1481" i="144"/>
  <c r="F1481" i="144" s="1"/>
  <c r="S1242" i="144"/>
  <c r="F1242" i="144" s="1"/>
  <c r="S1210" i="144"/>
  <c r="F1210" i="144" s="1"/>
  <c r="S1113" i="144"/>
  <c r="F1113" i="144" s="1"/>
  <c r="S1085" i="144"/>
  <c r="F1085" i="144" s="1"/>
  <c r="S1018" i="144"/>
  <c r="F1018" i="144" s="1"/>
  <c r="S881" i="144"/>
  <c r="F881" i="144" s="1"/>
  <c r="S1378" i="144"/>
  <c r="F1378" i="144" s="1"/>
  <c r="S1812" i="144"/>
  <c r="F1812" i="144" s="1"/>
  <c r="S1904" i="144"/>
  <c r="F1904" i="144" s="1"/>
  <c r="S1088" i="144"/>
  <c r="F1088" i="144" s="1"/>
  <c r="S1001" i="144"/>
  <c r="F1001" i="144" s="1"/>
  <c r="S37" i="144"/>
  <c r="F37" i="144" s="1"/>
  <c r="S84" i="144"/>
  <c r="F84" i="144" s="1"/>
  <c r="S231" i="144"/>
  <c r="F231" i="144" s="1"/>
  <c r="S289" i="144"/>
  <c r="F289" i="144" s="1"/>
  <c r="S95" i="144"/>
  <c r="F95" i="144" s="1"/>
  <c r="S137" i="144"/>
  <c r="F137" i="144" s="1"/>
  <c r="S185" i="144"/>
  <c r="F185" i="144" s="1"/>
  <c r="S1528" i="144"/>
  <c r="F1528" i="144" s="1"/>
  <c r="S1374" i="144"/>
  <c r="F1374" i="144" s="1"/>
  <c r="S1311" i="144"/>
  <c r="F1311" i="144" s="1"/>
  <c r="S1155" i="144"/>
  <c r="F1155" i="144" s="1"/>
  <c r="S1089" i="144"/>
  <c r="F1089" i="144" s="1"/>
  <c r="S981" i="144"/>
  <c r="F981" i="144" s="1"/>
  <c r="S945" i="144"/>
  <c r="F945" i="144" s="1"/>
  <c r="S849" i="144"/>
  <c r="F849" i="144" s="1"/>
  <c r="S767" i="144"/>
  <c r="F767" i="144" s="1"/>
  <c r="S720" i="144"/>
  <c r="F720" i="144" s="1"/>
  <c r="S674" i="144"/>
  <c r="F674" i="144" s="1"/>
  <c r="S643" i="144"/>
  <c r="F643" i="144" s="1"/>
  <c r="S570" i="144"/>
  <c r="F570" i="144" s="1"/>
  <c r="S543" i="144"/>
  <c r="F543" i="144" s="1"/>
  <c r="S451" i="144"/>
  <c r="F451" i="144" s="1"/>
  <c r="S826" i="144"/>
  <c r="F826" i="144" s="1"/>
  <c r="S789" i="144"/>
  <c r="F789" i="144" s="1"/>
  <c r="S638" i="144"/>
  <c r="F638" i="144" s="1"/>
  <c r="S607" i="144"/>
  <c r="F607" i="144" s="1"/>
  <c r="S520" i="144"/>
  <c r="F520" i="144" s="1"/>
  <c r="S475" i="144"/>
  <c r="F475" i="144" s="1"/>
  <c r="S421" i="144"/>
  <c r="F421" i="144" s="1"/>
  <c r="S392" i="144"/>
  <c r="F392" i="144" s="1"/>
  <c r="S1511" i="144"/>
  <c r="F1511" i="144" s="1"/>
  <c r="S1308" i="144"/>
  <c r="F1308" i="144" s="1"/>
  <c r="S1199" i="144"/>
  <c r="F1199" i="144" s="1"/>
  <c r="S1144" i="144"/>
  <c r="F1144" i="144" s="1"/>
  <c r="S1977" i="144"/>
  <c r="F1977" i="144" s="1"/>
  <c r="S1942" i="144"/>
  <c r="F1942" i="144" s="1"/>
  <c r="S1860" i="144"/>
  <c r="F1860" i="144" s="1"/>
  <c r="S1800" i="144"/>
  <c r="F1800" i="144" s="1"/>
  <c r="S1756" i="144"/>
  <c r="F1756" i="144" s="1"/>
  <c r="S1685" i="144"/>
  <c r="F1685" i="144" s="1"/>
  <c r="S1616" i="144"/>
  <c r="F1616" i="144" s="1"/>
  <c r="S1489" i="144"/>
  <c r="F1489" i="144" s="1"/>
  <c r="S1441" i="144"/>
  <c r="F1441" i="144" s="1"/>
  <c r="S1407" i="144"/>
  <c r="F1407" i="144" s="1"/>
  <c r="S1346" i="144"/>
  <c r="F1346" i="144" s="1"/>
  <c r="S1093" i="144"/>
  <c r="F1093" i="144" s="1"/>
  <c r="S969" i="144"/>
  <c r="F969" i="144" s="1"/>
  <c r="S755" i="144"/>
  <c r="F755" i="144" s="1"/>
  <c r="S396" i="144"/>
  <c r="F396" i="144" s="1"/>
  <c r="S326" i="144"/>
  <c r="F326" i="144" s="1"/>
  <c r="S235" i="144"/>
  <c r="F235" i="144" s="1"/>
  <c r="S1177" i="144"/>
  <c r="F1177" i="144" s="1"/>
  <c r="S1143" i="144"/>
  <c r="F1143" i="144" s="1"/>
  <c r="S1019" i="144"/>
  <c r="F1019" i="144" s="1"/>
  <c r="S142" i="144"/>
  <c r="F142" i="144" s="1"/>
  <c r="S1661" i="144"/>
  <c r="F1661" i="144" s="1"/>
  <c r="S1908" i="144"/>
  <c r="F1908" i="144" s="1"/>
  <c r="S1445" i="144"/>
  <c r="F1445" i="144" s="1"/>
  <c r="S907" i="144"/>
  <c r="F907" i="144" s="1"/>
  <c r="V50" i="71"/>
  <c r="AS50" i="71"/>
  <c r="V155" i="71"/>
  <c r="V161" i="71"/>
  <c r="V169" i="71"/>
  <c r="AS169" i="71"/>
  <c r="O346" i="75"/>
  <c r="F346" i="75"/>
  <c r="O418" i="75"/>
  <c r="O426" i="75"/>
  <c r="F426" i="75"/>
  <c r="AA28" i="106"/>
  <c r="E28" i="106" s="1"/>
  <c r="O28" i="106"/>
  <c r="W28" i="106"/>
  <c r="P28" i="106"/>
  <c r="Y28" i="106"/>
  <c r="O20" i="106"/>
  <c r="W20" i="106"/>
  <c r="P20" i="106"/>
  <c r="Y20" i="106"/>
  <c r="G20" i="106" s="1"/>
  <c r="F20" i="106" s="1"/>
  <c r="N12" i="106"/>
  <c r="V12" i="106"/>
  <c r="O12" i="106"/>
  <c r="X12" i="106"/>
  <c r="S1092" i="144"/>
  <c r="F1092" i="144" s="1"/>
  <c r="S302" i="144"/>
  <c r="F302" i="144" s="1"/>
  <c r="S812" i="144"/>
  <c r="F812" i="144" s="1"/>
  <c r="S1010" i="144"/>
  <c r="F1010" i="144" s="1"/>
  <c r="S1044" i="144"/>
  <c r="F1044" i="144" s="1"/>
  <c r="S1125" i="144"/>
  <c r="F1125" i="144" s="1"/>
  <c r="S1234" i="144"/>
  <c r="F1234" i="144" s="1"/>
  <c r="S1424" i="144"/>
  <c r="F1424" i="144" s="1"/>
  <c r="S1533" i="144"/>
  <c r="F1533" i="144" s="1"/>
  <c r="S1582" i="144"/>
  <c r="F1582" i="144" s="1"/>
  <c r="S1650" i="144"/>
  <c r="F1650" i="144" s="1"/>
  <c r="S1711" i="144"/>
  <c r="F1711" i="144" s="1"/>
  <c r="S1844" i="144"/>
  <c r="F1844" i="144" s="1"/>
  <c r="S1900" i="144"/>
  <c r="F1900" i="144" s="1"/>
  <c r="S1282" i="144"/>
  <c r="F1282" i="144" s="1"/>
  <c r="S1462" i="144"/>
  <c r="F1462" i="144" s="1"/>
  <c r="S1611" i="144"/>
  <c r="F1611" i="144" s="1"/>
  <c r="S1811" i="144"/>
  <c r="F1811" i="144" s="1"/>
  <c r="S1863" i="144"/>
  <c r="F1863" i="144" s="1"/>
  <c r="S380" i="144"/>
  <c r="F380" i="144" s="1"/>
  <c r="S471" i="144"/>
  <c r="F471" i="144" s="1"/>
  <c r="S760" i="144"/>
  <c r="F760" i="144" s="1"/>
  <c r="S793" i="144"/>
  <c r="F793" i="144" s="1"/>
  <c r="S385" i="144"/>
  <c r="F385" i="144" s="1"/>
  <c r="S409" i="144"/>
  <c r="F409" i="144" s="1"/>
  <c r="S445" i="144"/>
  <c r="F445" i="144" s="1"/>
  <c r="S486" i="144"/>
  <c r="F486" i="144" s="1"/>
  <c r="S589" i="144"/>
  <c r="F589" i="144" s="1"/>
  <c r="S669" i="144"/>
  <c r="F669" i="144" s="1"/>
  <c r="S716" i="144"/>
  <c r="F716" i="144" s="1"/>
  <c r="S818" i="144"/>
  <c r="F818" i="144" s="1"/>
  <c r="S919" i="144"/>
  <c r="F919" i="144" s="1"/>
  <c r="S1732" i="144"/>
  <c r="F1732" i="144" s="1"/>
  <c r="S105" i="144"/>
  <c r="F105" i="144" s="1"/>
  <c r="S57" i="144"/>
  <c r="F57" i="144" s="1"/>
  <c r="S268" i="144"/>
  <c r="F268" i="144" s="1"/>
  <c r="S870" i="144"/>
  <c r="F870" i="144" s="1"/>
  <c r="S978" i="144"/>
  <c r="F978" i="144" s="1"/>
  <c r="S1256" i="144"/>
  <c r="F1256" i="144" s="1"/>
  <c r="S941" i="144"/>
  <c r="F941" i="144" s="1"/>
  <c r="O87" i="1"/>
  <c r="P87" i="1"/>
  <c r="F38" i="175"/>
  <c r="F34" i="175"/>
  <c r="D36" i="170" s="1"/>
  <c r="C16" i="167" s="1"/>
  <c r="S343" i="144"/>
  <c r="F343" i="144" s="1"/>
  <c r="S691" i="144"/>
  <c r="F691" i="144" s="1"/>
  <c r="S40" i="144"/>
  <c r="F40" i="144" s="1"/>
  <c r="S117" i="144"/>
  <c r="F117" i="144" s="1"/>
  <c r="S202" i="144"/>
  <c r="F202" i="144" s="1"/>
  <c r="S243" i="144"/>
  <c r="F243" i="144" s="1"/>
  <c r="S455" i="144"/>
  <c r="F455" i="144" s="1"/>
  <c r="S490" i="144"/>
  <c r="F490" i="144" s="1"/>
  <c r="S583" i="144"/>
  <c r="F583" i="144" s="1"/>
  <c r="S682" i="144"/>
  <c r="F682" i="144" s="1"/>
  <c r="S715" i="144"/>
  <c r="F715" i="144" s="1"/>
  <c r="S788" i="144"/>
  <c r="F788" i="144" s="1"/>
  <c r="S856" i="144"/>
  <c r="F856" i="144" s="1"/>
  <c r="S953" i="144"/>
  <c r="F953" i="144" s="1"/>
  <c r="S1052" i="144"/>
  <c r="F1052" i="144" s="1"/>
  <c r="S1097" i="144"/>
  <c r="F1097" i="144" s="1"/>
  <c r="S1541" i="144"/>
  <c r="F1541" i="144" s="1"/>
  <c r="S1592" i="144"/>
  <c r="F1592" i="144" s="1"/>
  <c r="S1720" i="144"/>
  <c r="F1720" i="144" s="1"/>
  <c r="S1852" i="144"/>
  <c r="F1852" i="144" s="1"/>
  <c r="S1950" i="144"/>
  <c r="F1950" i="144" s="1"/>
  <c r="S1981" i="144"/>
  <c r="F1981" i="144" s="1"/>
  <c r="S1168" i="144"/>
  <c r="F1168" i="144" s="1"/>
  <c r="S1470" i="144"/>
  <c r="F1470" i="144" s="1"/>
  <c r="S1521" i="144"/>
  <c r="F1521" i="144" s="1"/>
  <c r="S1577" i="144"/>
  <c r="F1577" i="144" s="1"/>
  <c r="S1696" i="144"/>
  <c r="F1696" i="144" s="1"/>
  <c r="S1820" i="144"/>
  <c r="F1820" i="144" s="1"/>
  <c r="S1920" i="144"/>
  <c r="F1920" i="144" s="1"/>
  <c r="S1980" i="144"/>
  <c r="F1980" i="144" s="1"/>
  <c r="S442" i="144"/>
  <c r="F442" i="144" s="1"/>
  <c r="S487" i="144"/>
  <c r="F487" i="144" s="1"/>
  <c r="S555" i="144"/>
  <c r="F555" i="144" s="1"/>
  <c r="S588" i="144"/>
  <c r="F588" i="144" s="1"/>
  <c r="S634" i="144"/>
  <c r="F634" i="144" s="1"/>
  <c r="S662" i="144"/>
  <c r="F662" i="144" s="1"/>
  <c r="S694" i="144"/>
  <c r="F694" i="144" s="1"/>
  <c r="S732" i="144"/>
  <c r="F732" i="144" s="1"/>
  <c r="S764" i="144"/>
  <c r="F764" i="144" s="1"/>
  <c r="S797" i="144"/>
  <c r="F797" i="144" s="1"/>
  <c r="S844" i="144"/>
  <c r="F844" i="144" s="1"/>
  <c r="S338" i="144"/>
  <c r="F338" i="144" s="1"/>
  <c r="S629" i="144"/>
  <c r="F629" i="144" s="1"/>
  <c r="S880" i="144"/>
  <c r="F880" i="144" s="1"/>
  <c r="S923" i="144"/>
  <c r="F923" i="144" s="1"/>
  <c r="S974" i="144"/>
  <c r="F974" i="144" s="1"/>
  <c r="S1023" i="144"/>
  <c r="F1023" i="144" s="1"/>
  <c r="S1257" i="144"/>
  <c r="F1257" i="144" s="1"/>
  <c r="S1342" i="144"/>
  <c r="F1342" i="144" s="1"/>
  <c r="S1411" i="144"/>
  <c r="F1411" i="144" s="1"/>
  <c r="S1612" i="144"/>
  <c r="F1612" i="144" s="1"/>
  <c r="S1743" i="144"/>
  <c r="F1743" i="144" s="1"/>
  <c r="S216" i="144"/>
  <c r="F216" i="144" s="1"/>
  <c r="S101" i="144"/>
  <c r="F101" i="144" s="1"/>
  <c r="S49" i="144"/>
  <c r="F49" i="144" s="1"/>
  <c r="S206" i="144"/>
  <c r="F206" i="144" s="1"/>
  <c r="S146" i="144"/>
  <c r="F146" i="144" s="1"/>
  <c r="S96" i="144"/>
  <c r="F96" i="144" s="1"/>
  <c r="S44" i="144"/>
  <c r="F44" i="144" s="1"/>
  <c r="S910" i="144"/>
  <c r="F910" i="144" s="1"/>
  <c r="S1014" i="144"/>
  <c r="F1014" i="144" s="1"/>
  <c r="S1671" i="144"/>
  <c r="F1671" i="144" s="1"/>
  <c r="S1189" i="144"/>
  <c r="F1189" i="144" s="1"/>
  <c r="S889" i="144"/>
  <c r="F889" i="144" s="1"/>
  <c r="O80" i="1"/>
  <c r="P80" i="1"/>
  <c r="AS8" i="71"/>
  <c r="F15" i="75"/>
  <c r="O15" i="75"/>
  <c r="O344" i="75"/>
  <c r="F344" i="75"/>
  <c r="O416" i="75"/>
  <c r="F416" i="75"/>
  <c r="O424" i="75"/>
  <c r="F424" i="75"/>
  <c r="N7" i="106"/>
  <c r="V7" i="106"/>
  <c r="K7" i="106"/>
  <c r="T7" i="106"/>
  <c r="AC7" i="106"/>
  <c r="N22" i="106"/>
  <c r="V22" i="106"/>
  <c r="AB22" i="106"/>
  <c r="AR141" i="71"/>
  <c r="C28" i="157"/>
  <c r="K22" i="106"/>
  <c r="T22" i="106"/>
  <c r="L14" i="106"/>
  <c r="T14" i="106"/>
  <c r="AA14" i="106"/>
  <c r="E14" i="106" s="1"/>
  <c r="C20" i="157"/>
  <c r="R14" i="106"/>
  <c r="Z14" i="106"/>
  <c r="P62" i="1"/>
  <c r="O62" i="1"/>
  <c r="P73" i="1"/>
  <c r="O73" i="1"/>
  <c r="O421" i="187"/>
  <c r="Q417" i="75" s="1"/>
  <c r="O253" i="187"/>
  <c r="Q254" i="75" s="1"/>
  <c r="O531" i="187"/>
  <c r="Z119" i="71" s="1"/>
  <c r="O323" i="187"/>
  <c r="Q323" i="75" s="1"/>
  <c r="O443" i="187"/>
  <c r="Z29" i="71" s="1"/>
  <c r="O120" i="187"/>
  <c r="Q123" i="75" s="1"/>
  <c r="O101" i="187"/>
  <c r="Q105" i="75" s="1"/>
  <c r="O22" i="187"/>
  <c r="Q23" i="75" s="1"/>
  <c r="O50" i="187"/>
  <c r="Q52" i="75" s="1"/>
  <c r="O82" i="187"/>
  <c r="Q86" i="75" s="1"/>
  <c r="O130" i="187"/>
  <c r="Q133" i="75" s="1"/>
  <c r="O170" i="187"/>
  <c r="Q173" i="75" s="1"/>
  <c r="O186" i="187"/>
  <c r="Q188" i="75" s="1"/>
  <c r="O266" i="187"/>
  <c r="Q267" i="75" s="1"/>
  <c r="O298" i="187"/>
  <c r="Q298" i="75" s="1"/>
  <c r="O322" i="187"/>
  <c r="Q322" i="75" s="1"/>
  <c r="O426" i="187"/>
  <c r="O463" i="187" s="1"/>
  <c r="O438" i="187"/>
  <c r="Z24" i="71" s="1"/>
  <c r="O442" i="187"/>
  <c r="Z28" i="71"/>
  <c r="O482" i="187"/>
  <c r="Z70" i="71" s="1"/>
  <c r="AR70" i="71" s="1"/>
  <c r="O494" i="187"/>
  <c r="Z81" i="71" s="1"/>
  <c r="O498" i="187"/>
  <c r="Z87" i="71" s="1"/>
  <c r="AQ87" i="71" s="1"/>
  <c r="O538" i="187"/>
  <c r="Z126" i="71" s="1"/>
  <c r="O551" i="187"/>
  <c r="Z139" i="71" s="1"/>
  <c r="O543" i="187"/>
  <c r="Z131" i="71"/>
  <c r="O527" i="187"/>
  <c r="Z115" i="71" s="1"/>
  <c r="AQ115" i="71" s="1"/>
  <c r="O503" i="187"/>
  <c r="O495" i="187"/>
  <c r="Z84" i="71" s="1"/>
  <c r="O479" i="187"/>
  <c r="O439" i="187"/>
  <c r="O383" i="187"/>
  <c r="Q380" i="75"/>
  <c r="O359" i="187"/>
  <c r="O361" i="187" s="1"/>
  <c r="Q358" i="75" s="1"/>
  <c r="O263" i="187"/>
  <c r="Q264" i="75" s="1"/>
  <c r="O175" i="187"/>
  <c r="Q178" i="75" s="1"/>
  <c r="O167" i="187"/>
  <c r="Q170" i="75" s="1"/>
  <c r="O151" i="187"/>
  <c r="Q154" i="75" s="1"/>
  <c r="O119" i="187"/>
  <c r="Q122" i="75" s="1"/>
  <c r="O79" i="187"/>
  <c r="Q83" i="75" s="1"/>
  <c r="AS171" i="71"/>
  <c r="AS165" i="71"/>
  <c r="V109" i="71"/>
  <c r="AS109" i="71"/>
  <c r="V145" i="71"/>
  <c r="P20" i="1"/>
  <c r="O20" i="1"/>
  <c r="P38" i="1"/>
  <c r="O38" i="1"/>
  <c r="O112" i="1"/>
  <c r="P112" i="1"/>
  <c r="P116" i="1"/>
  <c r="O116" i="1"/>
  <c r="P124" i="1"/>
  <c r="O124" i="1"/>
  <c r="O145" i="1"/>
  <c r="P145" i="1"/>
  <c r="Q174" i="75"/>
  <c r="P15" i="1"/>
  <c r="O15" i="1"/>
  <c r="P33" i="1"/>
  <c r="O33" i="1"/>
  <c r="O389" i="187"/>
  <c r="Q386" i="75" s="1"/>
  <c r="O312" i="187"/>
  <c r="Q312" i="75" s="1"/>
  <c r="O491" i="187"/>
  <c r="Z78" i="71" s="1"/>
  <c r="O56" i="187"/>
  <c r="Q59" i="75" s="1"/>
  <c r="O243" i="187"/>
  <c r="Q243" i="75" s="1"/>
  <c r="S1970" i="144"/>
  <c r="F1970" i="144" s="1"/>
  <c r="O549" i="187"/>
  <c r="Z137" i="71" s="1"/>
  <c r="O445" i="187"/>
  <c r="Z31" i="71" s="1"/>
  <c r="O313" i="187"/>
  <c r="Q313" i="75" s="1"/>
  <c r="O37" i="187"/>
  <c r="O107" i="187" s="1"/>
  <c r="Q110" i="75" s="1"/>
  <c r="O437" i="187"/>
  <c r="Z23" i="71" s="1"/>
  <c r="O189" i="187"/>
  <c r="Q191" i="75"/>
  <c r="O525" i="187"/>
  <c r="Z113" i="71" s="1"/>
  <c r="AQ113" i="71" s="1"/>
  <c r="O249" i="187"/>
  <c r="Q250" i="75" s="1"/>
  <c r="O241" i="187"/>
  <c r="Q241" i="75" s="1"/>
  <c r="O13" i="187"/>
  <c r="Q13" i="75" s="1"/>
  <c r="O305" i="187"/>
  <c r="Q305" i="75" s="1"/>
  <c r="O85" i="187"/>
  <c r="Q89" i="75" s="1"/>
  <c r="O53" i="187"/>
  <c r="Q56" i="75" s="1"/>
  <c r="O141" i="187"/>
  <c r="Q144" i="75" s="1"/>
  <c r="O541" i="187"/>
  <c r="Z129" i="71" s="1"/>
  <c r="O425" i="187"/>
  <c r="Z12" i="71"/>
  <c r="AS12" i="71" s="1"/>
  <c r="O49" i="187"/>
  <c r="Q51" i="75" s="1"/>
  <c r="O497" i="187"/>
  <c r="Z86" i="71" s="1"/>
  <c r="O301" i="187"/>
  <c r="Q301" i="75" s="1"/>
  <c r="O97" i="187"/>
  <c r="Q101" i="75" s="1"/>
  <c r="O36" i="187"/>
  <c r="O39" i="187" s="1"/>
  <c r="Q40" i="75" s="1"/>
  <c r="O72" i="187"/>
  <c r="Q76" i="75" s="1"/>
  <c r="O84" i="187"/>
  <c r="Q88" i="75" s="1"/>
  <c r="O104" i="187"/>
  <c r="Q108" i="75" s="1"/>
  <c r="O144" i="187"/>
  <c r="O147" i="187" s="1"/>
  <c r="Q150" i="75" s="1"/>
  <c r="O168" i="187"/>
  <c r="O172" i="187"/>
  <c r="O180" i="187"/>
  <c r="Q182" i="75" s="1"/>
  <c r="O204" i="187"/>
  <c r="Q204" i="75"/>
  <c r="O208" i="187"/>
  <c r="Q208" i="75" s="1"/>
  <c r="O220" i="187"/>
  <c r="Q220" i="75" s="1"/>
  <c r="O240" i="187"/>
  <c r="Q240" i="75" s="1"/>
  <c r="O252" i="187"/>
  <c r="Q253" i="75" s="1"/>
  <c r="O264" i="187"/>
  <c r="Q265" i="75" s="1"/>
  <c r="O272" i="187"/>
  <c r="Q273" i="75" s="1"/>
  <c r="O284" i="187"/>
  <c r="Q285" i="75" s="1"/>
  <c r="O436" i="187"/>
  <c r="Z22" i="71"/>
  <c r="O444" i="187"/>
  <c r="Z30" i="71" s="1"/>
  <c r="AQ30" i="71" s="1"/>
  <c r="O480" i="187"/>
  <c r="Z68" i="71" s="1"/>
  <c r="O492" i="187"/>
  <c r="Z79" i="71" s="1"/>
  <c r="O496" i="187"/>
  <c r="Z85" i="71" s="1"/>
  <c r="O528" i="187"/>
  <c r="Z116" i="71" s="1"/>
  <c r="O540" i="187"/>
  <c r="Z128" i="71" s="1"/>
  <c r="O548" i="187"/>
  <c r="Z136" i="71" s="1"/>
  <c r="AQ136" i="71" s="1"/>
  <c r="O539" i="187"/>
  <c r="Z127" i="71" s="1"/>
  <c r="O515" i="187"/>
  <c r="O517" i="187" s="1"/>
  <c r="Z105" i="71" s="1"/>
  <c r="O483" i="187"/>
  <c r="Z71" i="71" s="1"/>
  <c r="O387" i="187"/>
  <c r="Q384" i="75" s="1"/>
  <c r="O355" i="187"/>
  <c r="Q352" i="75" s="1"/>
  <c r="O283" i="187"/>
  <c r="Q284" i="75" s="1"/>
  <c r="O267" i="187"/>
  <c r="Q268" i="75" s="1"/>
  <c r="O219" i="187"/>
  <c r="Q219" i="75" s="1"/>
  <c r="O179" i="187"/>
  <c r="Q181" i="75"/>
  <c r="O155" i="187"/>
  <c r="O131" i="187"/>
  <c r="Q134" i="75" s="1"/>
  <c r="O99" i="187"/>
  <c r="Q103" i="75" s="1"/>
  <c r="O43" i="187"/>
  <c r="Q45" i="75" s="1"/>
  <c r="O391" i="187"/>
  <c r="Q388" i="75" s="1"/>
  <c r="V149" i="71"/>
  <c r="AS149" i="71"/>
  <c r="V162" i="71"/>
  <c r="AS162" i="71"/>
  <c r="O395" i="75"/>
  <c r="F395" i="75"/>
  <c r="O411" i="75"/>
  <c r="F411" i="75"/>
  <c r="P169" i="1"/>
  <c r="O169" i="1"/>
  <c r="O385" i="187"/>
  <c r="Q382" i="75" s="1"/>
  <c r="P44" i="1"/>
  <c r="O44" i="1"/>
  <c r="P52" i="1"/>
  <c r="O52" i="1"/>
  <c r="O110" i="1"/>
  <c r="P110" i="1"/>
  <c r="O141" i="1"/>
  <c r="P141" i="1"/>
  <c r="P173" i="1"/>
  <c r="O173" i="1"/>
  <c r="AS122" i="71"/>
  <c r="AS142" i="71"/>
  <c r="O21" i="1"/>
  <c r="P21" i="1"/>
  <c r="P28" i="1"/>
  <c r="O28" i="1"/>
  <c r="O182" i="1"/>
  <c r="P182" i="1"/>
  <c r="V108" i="71"/>
  <c r="AS108" i="71"/>
  <c r="P102" i="1"/>
  <c r="O102" i="1"/>
  <c r="E312" i="202"/>
  <c r="E295" i="202" s="1"/>
  <c r="O326" i="187"/>
  <c r="Q326" i="75" s="1"/>
  <c r="O310" i="187"/>
  <c r="Q310" i="75" s="1"/>
  <c r="O278" i="187"/>
  <c r="Q279" i="75" s="1"/>
  <c r="O246" i="187"/>
  <c r="Q246" i="75" s="1"/>
  <c r="O238" i="187"/>
  <c r="Q238" i="75" s="1"/>
  <c r="O142" i="187"/>
  <c r="Q145" i="75" s="1"/>
  <c r="O134" i="187"/>
  <c r="Q137" i="75" s="1"/>
  <c r="O78" i="187"/>
  <c r="Q82" i="75" s="1"/>
  <c r="O54" i="187"/>
  <c r="Q57" i="75" s="1"/>
  <c r="O30" i="187"/>
  <c r="Q31" i="75" s="1"/>
  <c r="O23" i="187"/>
  <c r="Q24" i="75" s="1"/>
  <c r="P8" i="1"/>
  <c r="O8" i="1"/>
  <c r="O23" i="1"/>
  <c r="P23" i="1"/>
  <c r="P86" i="1"/>
  <c r="P128" i="1"/>
  <c r="O128" i="1"/>
  <c r="P175" i="1"/>
  <c r="O175" i="1"/>
  <c r="E289" i="202"/>
  <c r="P57" i="1"/>
  <c r="O57" i="1"/>
  <c r="P103" i="1"/>
  <c r="O103" i="1"/>
  <c r="O354" i="187"/>
  <c r="Q351" i="75" s="1"/>
  <c r="O314" i="187"/>
  <c r="Q314" i="75" s="1"/>
  <c r="O90" i="187"/>
  <c r="Q94" i="75" s="1"/>
  <c r="O327" i="187"/>
  <c r="Q327" i="75" s="1"/>
  <c r="Q47" i="75"/>
  <c r="G10" i="69"/>
  <c r="P59" i="1"/>
  <c r="O59" i="1"/>
  <c r="O115" i="1"/>
  <c r="P115" i="1"/>
  <c r="P153" i="1"/>
  <c r="O153" i="1"/>
  <c r="O237" i="187"/>
  <c r="Q237" i="75" s="1"/>
  <c r="F419" i="75"/>
  <c r="P14" i="1"/>
  <c r="P60" i="1"/>
  <c r="P133" i="1"/>
  <c r="P147" i="1"/>
  <c r="P150" i="1"/>
  <c r="O320" i="187"/>
  <c r="Q320" i="75" s="1"/>
  <c r="P49" i="1"/>
  <c r="O49" i="1"/>
  <c r="P126" i="1"/>
  <c r="O126" i="1"/>
  <c r="P181" i="1"/>
  <c r="O181" i="1"/>
  <c r="S1861" i="144"/>
  <c r="F1861" i="144" s="1"/>
  <c r="S1686" i="144"/>
  <c r="F1686" i="144" s="1"/>
  <c r="S1022" i="144"/>
  <c r="F1022" i="144" s="1"/>
  <c r="F98" i="75"/>
  <c r="F425" i="75"/>
  <c r="F421" i="75"/>
  <c r="O155" i="1"/>
  <c r="O51" i="1"/>
  <c r="O68" i="1"/>
  <c r="P58" i="1"/>
  <c r="P82" i="1"/>
  <c r="P108" i="1"/>
  <c r="P177" i="1"/>
  <c r="S1963" i="144"/>
  <c r="F1963" i="144" s="1"/>
  <c r="S1953" i="144"/>
  <c r="F1953" i="144" s="1"/>
  <c r="S1937" i="144"/>
  <c r="F1937" i="144" s="1"/>
  <c r="S1912" i="144"/>
  <c r="F1912" i="144" s="1"/>
  <c r="S1903" i="144"/>
  <c r="F1903" i="144" s="1"/>
  <c r="G23" i="106"/>
  <c r="F23" i="106" s="1"/>
  <c r="O178" i="1"/>
  <c r="P178" i="1"/>
  <c r="H26" i="106"/>
  <c r="G28" i="106"/>
  <c r="G10" i="106"/>
  <c r="K10" i="102"/>
  <c r="I10" i="102"/>
  <c r="J10" i="102" s="1"/>
  <c r="AS123" i="71"/>
  <c r="I12" i="102"/>
  <c r="K12" i="102"/>
  <c r="H27" i="106"/>
  <c r="AS59" i="71"/>
  <c r="E12" i="106"/>
  <c r="AR123" i="71"/>
  <c r="F11" i="106"/>
  <c r="E16" i="106"/>
  <c r="F36" i="175"/>
  <c r="F19" i="106"/>
  <c r="K16" i="102"/>
  <c r="AR114" i="71"/>
  <c r="F33" i="175"/>
  <c r="I16" i="102"/>
  <c r="J16" i="102" s="1"/>
  <c r="H10" i="106"/>
  <c r="I8" i="102"/>
  <c r="J8" i="102" s="1"/>
  <c r="F7" i="106"/>
  <c r="AS114" i="71"/>
  <c r="K7" i="102"/>
  <c r="AQ114" i="71"/>
  <c r="V102" i="71"/>
  <c r="V144" i="71"/>
  <c r="AS144" i="71"/>
  <c r="V150" i="71"/>
  <c r="AQ161" i="71"/>
  <c r="AQ8" i="71"/>
  <c r="AQ75" i="71"/>
  <c r="AQ80" i="71"/>
  <c r="AQ121" i="71"/>
  <c r="AQ148" i="71"/>
  <c r="AQ146" i="71"/>
  <c r="AQ120" i="71"/>
  <c r="AQ167" i="71"/>
  <c r="AQ44" i="71"/>
  <c r="AQ34" i="71"/>
  <c r="AQ159" i="71"/>
  <c r="AQ163" i="71"/>
  <c r="AQ171" i="71"/>
  <c r="AQ169" i="71"/>
  <c r="AQ50" i="71"/>
  <c r="AQ56" i="71"/>
  <c r="AQ157" i="71"/>
  <c r="AQ21" i="71"/>
  <c r="AQ123" i="71"/>
  <c r="H19" i="106"/>
  <c r="AQ145" i="71"/>
  <c r="AQ155" i="71"/>
  <c r="P55" i="1"/>
  <c r="O55" i="1"/>
  <c r="O123" i="1"/>
  <c r="P123" i="1"/>
  <c r="P140" i="1"/>
  <c r="O140" i="1"/>
  <c r="F25" i="106"/>
  <c r="H18" i="106"/>
  <c r="Q231" i="75"/>
  <c r="G11" i="69"/>
  <c r="V42" i="71"/>
  <c r="V99" i="71"/>
  <c r="V147" i="71"/>
  <c r="AS147" i="71"/>
  <c r="AQ147" i="71"/>
  <c r="AQ62" i="71"/>
  <c r="AQ59" i="71"/>
  <c r="AQ11" i="71"/>
  <c r="E252" i="194"/>
  <c r="Q183" i="75"/>
  <c r="O183" i="187"/>
  <c r="Q185" i="75" s="1"/>
  <c r="G18" i="69"/>
  <c r="O140" i="187"/>
  <c r="Q143" i="75" s="1"/>
  <c r="O139" i="187"/>
  <c r="Q140" i="75"/>
  <c r="O138" i="187"/>
  <c r="Q141" i="75" s="1"/>
  <c r="Q62" i="75"/>
  <c r="O60" i="187"/>
  <c r="Q63" i="75" s="1"/>
  <c r="O61" i="187"/>
  <c r="Q64" i="75" s="1"/>
  <c r="V118" i="71"/>
  <c r="AS118" i="71"/>
  <c r="V172" i="71"/>
  <c r="AS172" i="71"/>
  <c r="AR172" i="71"/>
  <c r="O9" i="75"/>
  <c r="O20" i="75"/>
  <c r="O32" i="75"/>
  <c r="O41" i="75"/>
  <c r="O50" i="75"/>
  <c r="O64" i="75"/>
  <c r="O93" i="75"/>
  <c r="O102" i="75"/>
  <c r="O111" i="75"/>
  <c r="O118" i="75"/>
  <c r="O126" i="75"/>
  <c r="O134" i="75"/>
  <c r="O142" i="75"/>
  <c r="O150" i="75"/>
  <c r="O158" i="75"/>
  <c r="O166" i="75"/>
  <c r="O174" i="75"/>
  <c r="O182" i="75"/>
  <c r="O198" i="75"/>
  <c r="O206" i="75"/>
  <c r="O214" i="75"/>
  <c r="O230" i="75"/>
  <c r="O254" i="75"/>
  <c r="O262" i="75"/>
  <c r="O270" i="75"/>
  <c r="O278" i="75"/>
  <c r="O286" i="75"/>
  <c r="O294" i="75"/>
  <c r="O310" i="75"/>
  <c r="O318" i="75"/>
  <c r="O326" i="75"/>
  <c r="O334" i="75"/>
  <c r="F334" i="75"/>
  <c r="O342" i="75"/>
  <c r="O350" i="75"/>
  <c r="O358" i="75"/>
  <c r="O374" i="75"/>
  <c r="O382" i="75"/>
  <c r="O398" i="75"/>
  <c r="F398" i="75"/>
  <c r="F406" i="75"/>
  <c r="O406" i="75"/>
  <c r="F414" i="75"/>
  <c r="O414" i="75"/>
  <c r="O422" i="75"/>
  <c r="F422" i="75"/>
  <c r="O172" i="1"/>
  <c r="P172" i="1"/>
  <c r="Q37" i="75"/>
  <c r="O48" i="1"/>
  <c r="P48" i="1"/>
  <c r="V167" i="71"/>
  <c r="Q7" i="75"/>
  <c r="G21" i="69"/>
  <c r="O26" i="187"/>
  <c r="Q27" i="75" s="1"/>
  <c r="O8" i="187"/>
  <c r="O14" i="187" s="1"/>
  <c r="Q14" i="75" s="1"/>
  <c r="AS82" i="71"/>
  <c r="AS158" i="71"/>
  <c r="V158" i="71"/>
  <c r="S1619" i="144"/>
  <c r="F1619" i="144" s="1"/>
  <c r="S620" i="144"/>
  <c r="F620" i="144" s="1"/>
  <c r="S895" i="144"/>
  <c r="F895" i="144" s="1"/>
  <c r="S1060" i="144"/>
  <c r="F1060" i="144" s="1"/>
  <c r="S1167" i="144"/>
  <c r="F1167" i="144" s="1"/>
  <c r="S23" i="144"/>
  <c r="F23" i="144" s="1"/>
  <c r="S267" i="144"/>
  <c r="F267" i="144" s="1"/>
  <c r="S404" i="144"/>
  <c r="F404" i="144" s="1"/>
  <c r="S592" i="144"/>
  <c r="F592" i="144" s="1"/>
  <c r="S665" i="144"/>
  <c r="F665" i="144" s="1"/>
  <c r="S747" i="144"/>
  <c r="F747" i="144" s="1"/>
  <c r="S763" i="144"/>
  <c r="F763" i="144" s="1"/>
  <c r="S830" i="144"/>
  <c r="F830" i="144" s="1"/>
  <c r="S894" i="144"/>
  <c r="F894" i="144" s="1"/>
  <c r="S1036" i="144"/>
  <c r="F1036" i="144" s="1"/>
  <c r="S1218" i="144"/>
  <c r="F1218" i="144" s="1"/>
  <c r="S1285" i="144"/>
  <c r="F1285" i="144" s="1"/>
  <c r="S1329" i="144"/>
  <c r="F1329" i="144" s="1"/>
  <c r="S1370" i="144"/>
  <c r="F1370" i="144" s="1"/>
  <c r="S1558" i="144"/>
  <c r="F1558" i="144" s="1"/>
  <c r="S1792" i="144"/>
  <c r="F1792" i="144" s="1"/>
  <c r="S1926" i="144"/>
  <c r="F1926" i="144" s="1"/>
  <c r="S1958" i="144"/>
  <c r="F1958" i="144" s="1"/>
  <c r="S1215" i="144"/>
  <c r="F1215" i="144" s="1"/>
  <c r="S1291" i="144"/>
  <c r="F1291" i="144" s="1"/>
  <c r="S1303" i="144"/>
  <c r="F1303" i="144" s="1"/>
  <c r="S1339" i="144"/>
  <c r="F1339" i="144" s="1"/>
  <c r="S1371" i="144"/>
  <c r="F1371" i="144" s="1"/>
  <c r="S1412" i="144"/>
  <c r="F1412" i="144" s="1"/>
  <c r="S1425" i="144"/>
  <c r="F1425" i="144" s="1"/>
  <c r="S1466" i="144"/>
  <c r="F1466" i="144" s="1"/>
  <c r="S1494" i="144"/>
  <c r="F1494" i="144" s="1"/>
  <c r="S1573" i="144"/>
  <c r="F1573" i="144" s="1"/>
  <c r="S1599" i="144"/>
  <c r="F1599" i="144" s="1"/>
  <c r="S1641" i="144"/>
  <c r="F1641" i="144" s="1"/>
  <c r="S1706" i="144"/>
  <c r="F1706" i="144" s="1"/>
  <c r="S1738" i="144"/>
  <c r="F1738" i="144" s="1"/>
  <c r="S1779" i="144"/>
  <c r="F1779" i="144" s="1"/>
  <c r="S1795" i="144"/>
  <c r="F1795" i="144" s="1"/>
  <c r="S1875" i="144"/>
  <c r="F1875" i="144" s="1"/>
  <c r="S1967" i="144"/>
  <c r="F1967" i="144" s="1"/>
  <c r="S327" i="144"/>
  <c r="F327" i="144" s="1"/>
  <c r="S375" i="144"/>
  <c r="F375" i="144" s="1"/>
  <c r="S401" i="144"/>
  <c r="F401" i="144" s="1"/>
  <c r="S417" i="144"/>
  <c r="F417" i="144" s="1"/>
  <c r="S447" i="144"/>
  <c r="F447" i="144" s="1"/>
  <c r="S482" i="144"/>
  <c r="F482" i="144" s="1"/>
  <c r="S516" i="144"/>
  <c r="F516" i="144" s="1"/>
  <c r="S532" i="144"/>
  <c r="F532" i="144" s="1"/>
  <c r="S563" i="144"/>
  <c r="F563" i="144" s="1"/>
  <c r="S625" i="144"/>
  <c r="F625" i="144" s="1"/>
  <c r="S642" i="144"/>
  <c r="F642" i="144" s="1"/>
  <c r="S670" i="144"/>
  <c r="F670" i="144" s="1"/>
  <c r="S700" i="144"/>
  <c r="F700" i="144" s="1"/>
  <c r="S728" i="144"/>
  <c r="F728" i="144" s="1"/>
  <c r="S368" i="144"/>
  <c r="F368" i="144" s="1"/>
  <c r="S478" i="144"/>
  <c r="F478" i="144" s="1"/>
  <c r="S512" i="144"/>
  <c r="F512" i="144" s="1"/>
  <c r="S540" i="144"/>
  <c r="F540" i="144" s="1"/>
  <c r="S556" i="144"/>
  <c r="F556" i="144" s="1"/>
  <c r="S584" i="144"/>
  <c r="F584" i="144" s="1"/>
  <c r="S649" i="144"/>
  <c r="F649" i="144" s="1"/>
  <c r="S666" i="144"/>
  <c r="F666" i="144" s="1"/>
  <c r="S695" i="144"/>
  <c r="F695" i="144" s="1"/>
  <c r="S724" i="144"/>
  <c r="F724" i="144" s="1"/>
  <c r="S772" i="144"/>
  <c r="F772" i="144" s="1"/>
  <c r="S805" i="144"/>
  <c r="F805" i="144" s="1"/>
  <c r="S840" i="144"/>
  <c r="F840" i="144" s="1"/>
  <c r="S872" i="144"/>
  <c r="F872" i="144" s="1"/>
  <c r="S890" i="144"/>
  <c r="F890" i="144" s="1"/>
  <c r="S954" i="144"/>
  <c r="F954" i="144" s="1"/>
  <c r="S985" i="144"/>
  <c r="F985" i="144" s="1"/>
  <c r="S1015" i="144"/>
  <c r="F1015" i="144" s="1"/>
  <c r="S1048" i="144"/>
  <c r="F1048" i="144" s="1"/>
  <c r="S1138" i="144"/>
  <c r="F1138" i="144" s="1"/>
  <c r="S1307" i="144"/>
  <c r="F1307" i="144" s="1"/>
  <c r="S1446" i="144"/>
  <c r="F1446" i="144" s="1"/>
  <c r="S1477" i="144"/>
  <c r="F1477" i="144" s="1"/>
  <c r="S1562" i="144"/>
  <c r="F1562" i="144" s="1"/>
  <c r="S1609" i="144"/>
  <c r="F1609" i="144" s="1"/>
  <c r="S1724" i="144"/>
  <c r="F1724" i="144" s="1"/>
  <c r="S1759" i="144"/>
  <c r="F1759" i="144" s="1"/>
  <c r="S1864" i="144"/>
  <c r="F1864" i="144" s="1"/>
  <c r="S294" i="144"/>
  <c r="F294" i="144" s="1"/>
  <c r="S244" i="144"/>
  <c r="F244" i="144" s="1"/>
  <c r="S141" i="144"/>
  <c r="F141" i="144" s="1"/>
  <c r="S314" i="144"/>
  <c r="F314" i="144" s="1"/>
  <c r="S263" i="144"/>
  <c r="F263" i="144" s="1"/>
  <c r="S198" i="144"/>
  <c r="F198" i="144" s="1"/>
  <c r="S121" i="144"/>
  <c r="F121" i="144" s="1"/>
  <c r="S92" i="144"/>
  <c r="F92" i="144" s="1"/>
  <c r="S27" i="144"/>
  <c r="F27" i="144" s="1"/>
  <c r="S957" i="144"/>
  <c r="F957" i="144" s="1"/>
  <c r="S990" i="144"/>
  <c r="F990" i="144" s="1"/>
  <c r="S1206" i="144"/>
  <c r="F1206" i="144" s="1"/>
  <c r="S1298" i="144"/>
  <c r="F1298" i="144" s="1"/>
  <c r="S1343" i="144"/>
  <c r="F1343" i="144" s="1"/>
  <c r="S1382" i="144"/>
  <c r="F1382" i="144" s="1"/>
  <c r="S1627" i="144"/>
  <c r="F1627" i="144" s="1"/>
  <c r="S1770" i="144"/>
  <c r="F1770" i="144" s="1"/>
  <c r="S1946" i="144"/>
  <c r="F1946" i="144" s="1"/>
  <c r="AS160" i="71"/>
  <c r="P17" i="1"/>
  <c r="O17" i="1"/>
  <c r="S860" i="144"/>
  <c r="F860" i="144" s="1"/>
  <c r="S914" i="144"/>
  <c r="F914" i="144" s="1"/>
  <c r="S1084" i="144"/>
  <c r="F1084" i="144" s="1"/>
  <c r="S1202" i="144"/>
  <c r="F1202" i="144" s="1"/>
  <c r="S1453" i="144"/>
  <c r="F1453" i="144" s="1"/>
  <c r="S1544" i="144"/>
  <c r="F1544" i="144" s="1"/>
  <c r="S1733" i="144"/>
  <c r="F1733" i="144" s="1"/>
  <c r="S1921" i="144"/>
  <c r="F1921" i="144" s="1"/>
  <c r="S1828" i="144"/>
  <c r="F1828" i="144" s="1"/>
  <c r="S1760" i="144"/>
  <c r="F1760" i="144" s="1"/>
  <c r="S1689" i="144"/>
  <c r="F1689" i="144" s="1"/>
  <c r="S1604" i="144"/>
  <c r="F1604" i="144" s="1"/>
  <c r="S1493" i="144"/>
  <c r="F1493" i="144" s="1"/>
  <c r="S1358" i="144"/>
  <c r="F1358" i="144" s="1"/>
  <c r="S1326" i="144"/>
  <c r="F1326" i="144" s="1"/>
  <c r="S1160" i="144"/>
  <c r="F1160" i="144" s="1"/>
  <c r="S1096" i="144"/>
  <c r="F1096" i="144" s="1"/>
  <c r="S899" i="144"/>
  <c r="F899" i="144" s="1"/>
  <c r="S1139" i="144"/>
  <c r="F1139" i="144" s="1"/>
  <c r="S1246" i="144"/>
  <c r="F1246" i="144" s="1"/>
  <c r="S1402" i="144"/>
  <c r="F1402" i="144" s="1"/>
  <c r="S1537" i="144"/>
  <c r="F1537" i="144" s="1"/>
  <c r="S927" i="144"/>
  <c r="F927" i="144" s="1"/>
  <c r="S1457" i="144"/>
  <c r="F1457" i="144" s="1"/>
  <c r="S1803" i="144"/>
  <c r="F1803" i="144" s="1"/>
  <c r="S1821" i="144"/>
  <c r="F1821" i="144" s="1"/>
  <c r="S1367" i="144"/>
  <c r="F1367" i="144" s="1"/>
  <c r="S1104" i="144"/>
  <c r="F1104" i="144" s="1"/>
  <c r="S79" i="144"/>
  <c r="F79" i="144" s="1"/>
  <c r="S102" i="144"/>
  <c r="F102" i="144" s="1"/>
  <c r="S114" i="144"/>
  <c r="F114" i="144" s="1"/>
  <c r="S126" i="144"/>
  <c r="F126" i="144" s="1"/>
  <c r="S138" i="144"/>
  <c r="F138" i="144" s="1"/>
  <c r="S154" i="144"/>
  <c r="F154" i="144" s="1"/>
  <c r="S166" i="144"/>
  <c r="F166" i="144" s="1"/>
  <c r="S180" i="144"/>
  <c r="F180" i="144" s="1"/>
  <c r="S193" i="144"/>
  <c r="F193" i="144" s="1"/>
  <c r="S240" i="144"/>
  <c r="F240" i="144" s="1"/>
  <c r="S251" i="144"/>
  <c r="H11" i="170" s="1"/>
  <c r="S281" i="144"/>
  <c r="F281" i="144" s="1"/>
  <c r="S298" i="144"/>
  <c r="F298" i="144" s="1"/>
  <c r="S311" i="144"/>
  <c r="F311" i="144" s="1"/>
  <c r="S323" i="144"/>
  <c r="F323" i="144" s="1"/>
  <c r="S335" i="144"/>
  <c r="F335" i="144" s="1"/>
  <c r="S12" i="144"/>
  <c r="F12" i="144" s="1"/>
  <c r="S28" i="144"/>
  <c r="F28" i="144" s="1"/>
  <c r="S41" i="144"/>
  <c r="F41" i="144" s="1"/>
  <c r="S53" i="144"/>
  <c r="F53" i="144" s="1"/>
  <c r="S72" i="144"/>
  <c r="F72" i="144" s="1"/>
  <c r="S87" i="144"/>
  <c r="F87" i="144" s="1"/>
  <c r="S110" i="144"/>
  <c r="F110" i="144" s="1"/>
  <c r="S122" i="144"/>
  <c r="F122" i="144" s="1"/>
  <c r="S133" i="144"/>
  <c r="F133" i="144" s="1"/>
  <c r="S147" i="144"/>
  <c r="F147" i="144" s="1"/>
  <c r="S162" i="144"/>
  <c r="F162" i="144" s="1"/>
  <c r="S189" i="144"/>
  <c r="F189" i="144" s="1"/>
  <c r="S203" i="144"/>
  <c r="F203" i="144" s="1"/>
  <c r="S220" i="144"/>
  <c r="F220" i="144" s="1"/>
  <c r="S1673" i="144"/>
  <c r="F1673" i="144" s="1"/>
  <c r="S1638" i="144"/>
  <c r="F1638" i="144" s="1"/>
  <c r="S1518" i="144"/>
  <c r="F1518" i="144" s="1"/>
  <c r="S1501" i="144"/>
  <c r="F1501" i="144" s="1"/>
  <c r="S1465" i="144"/>
  <c r="F1465" i="144" s="1"/>
  <c r="S1454" i="144"/>
  <c r="F1454" i="144" s="1"/>
  <c r="S1437" i="144"/>
  <c r="F1437" i="144" s="1"/>
  <c r="S1381" i="144"/>
  <c r="F1381" i="144" s="1"/>
  <c r="S1366" i="144"/>
  <c r="F1366" i="144" s="1"/>
  <c r="S1350" i="144"/>
  <c r="F1350" i="144" s="1"/>
  <c r="S1334" i="144"/>
  <c r="F1334" i="144" s="1"/>
  <c r="S1315" i="144"/>
  <c r="F1315" i="144" s="1"/>
  <c r="S1277" i="144"/>
  <c r="F1277" i="144" s="1"/>
  <c r="S1265" i="144"/>
  <c r="F1265" i="144" s="1"/>
  <c r="S1248" i="144"/>
  <c r="F1248" i="144" s="1"/>
  <c r="S1230" i="144"/>
  <c r="F1230" i="144" s="1"/>
  <c r="S1214" i="144"/>
  <c r="F1214" i="144" s="1"/>
  <c r="S1164" i="144"/>
  <c r="F1164" i="144" s="1"/>
  <c r="S1116" i="144"/>
  <c r="F1116" i="144" s="1"/>
  <c r="S1056" i="144"/>
  <c r="F1056" i="144" s="1"/>
  <c r="S1030" i="144"/>
  <c r="F1030" i="144" s="1"/>
  <c r="S1011" i="144"/>
  <c r="F1011" i="144" s="1"/>
  <c r="S1047" i="144"/>
  <c r="F1047" i="144" s="1"/>
  <c r="S1148" i="144"/>
  <c r="F1148" i="144" s="1"/>
  <c r="S1222" i="144"/>
  <c r="F1222" i="144" s="1"/>
  <c r="S1478" i="144"/>
  <c r="F1478" i="144" s="1"/>
  <c r="S1657" i="144"/>
  <c r="F1657" i="144" s="1"/>
  <c r="S1354" i="144"/>
  <c r="F1354" i="144" s="1"/>
  <c r="S1172" i="144"/>
  <c r="F1172" i="144" s="1"/>
  <c r="S966" i="144"/>
  <c r="F966" i="144" s="1"/>
  <c r="S1578" i="144"/>
  <c r="F1578" i="144" s="1"/>
  <c r="AS146" i="71"/>
  <c r="Z63" i="71"/>
  <c r="O476" i="187"/>
  <c r="Z64" i="71" s="1"/>
  <c r="O477" i="187"/>
  <c r="Z65" i="71" s="1"/>
  <c r="V140" i="71"/>
  <c r="O30" i="1"/>
  <c r="P30" i="1"/>
  <c r="O42" i="75"/>
  <c r="F42" i="75"/>
  <c r="O60" i="75"/>
  <c r="O133" i="75"/>
  <c r="O309" i="75"/>
  <c r="O317" i="75"/>
  <c r="O333" i="75"/>
  <c r="F333" i="75"/>
  <c r="O365" i="75"/>
  <c r="P83" i="1"/>
  <c r="O83" i="1"/>
  <c r="P96" i="1"/>
  <c r="O96" i="1"/>
  <c r="O469" i="187"/>
  <c r="Z57" i="71" s="1"/>
  <c r="O182" i="187"/>
  <c r="Q184" i="75"/>
  <c r="O46" i="187"/>
  <c r="Q48" i="75" s="1"/>
  <c r="V168" i="71"/>
  <c r="O94" i="1"/>
  <c r="P94" i="1"/>
  <c r="P118" i="1"/>
  <c r="O118" i="1"/>
  <c r="O135" i="1"/>
  <c r="P135" i="1"/>
  <c r="O470" i="187"/>
  <c r="Z58" i="71" s="1"/>
  <c r="V163" i="71"/>
  <c r="O17" i="75"/>
  <c r="O77" i="75"/>
  <c r="F77" i="75"/>
  <c r="O201" i="75"/>
  <c r="O225" i="75"/>
  <c r="O305" i="75"/>
  <c r="F409" i="75"/>
  <c r="P143" i="1"/>
  <c r="O143" i="1"/>
  <c r="P101" i="1"/>
  <c r="O101" i="1"/>
  <c r="P109" i="1"/>
  <c r="O109" i="1"/>
  <c r="O296" i="187"/>
  <c r="Q296" i="75" s="1"/>
  <c r="O258" i="187"/>
  <c r="Q259" i="75" s="1"/>
  <c r="O199" i="187"/>
  <c r="O103" i="187"/>
  <c r="Q107" i="75" s="1"/>
  <c r="O83" i="187"/>
  <c r="Q87" i="75" s="1"/>
  <c r="O71" i="187"/>
  <c r="Q75" i="75" s="1"/>
  <c r="O52" i="187"/>
  <c r="Q55" i="75" s="1"/>
  <c r="O16" i="187"/>
  <c r="Q17" i="75" s="1"/>
  <c r="O472" i="187"/>
  <c r="Z60" i="71" s="1"/>
  <c r="O203" i="187"/>
  <c r="Q203" i="75" s="1"/>
  <c r="O96" i="187"/>
  <c r="Q100" i="75" s="1"/>
  <c r="O28" i="187"/>
  <c r="O536" i="187"/>
  <c r="Z124" i="71" s="1"/>
  <c r="O504" i="187"/>
  <c r="O516" i="187"/>
  <c r="Z104" i="71" s="1"/>
  <c r="O251" i="187"/>
  <c r="Q252" i="75" s="1"/>
  <c r="O47" i="187"/>
  <c r="Q49" i="75" s="1"/>
  <c r="O210" i="187"/>
  <c r="Q210" i="75" s="1"/>
  <c r="O18" i="187"/>
  <c r="Q19" i="75" s="1"/>
  <c r="O156" i="187"/>
  <c r="Q159" i="75" s="1"/>
  <c r="O19" i="187"/>
  <c r="O508" i="187"/>
  <c r="Z96" i="71" s="1"/>
  <c r="O66" i="187"/>
  <c r="Q70" i="75" s="1"/>
  <c r="O11" i="187"/>
  <c r="Q11" i="75" s="1"/>
  <c r="O434" i="187"/>
  <c r="Z20" i="71" s="1"/>
  <c r="O133" i="187"/>
  <c r="Q136" i="75" s="1"/>
  <c r="O165" i="187"/>
  <c r="Q168" i="75" s="1"/>
  <c r="O269" i="187"/>
  <c r="Q270" i="75" s="1"/>
  <c r="O285" i="187"/>
  <c r="Q286" i="75" s="1"/>
  <c r="O485" i="187"/>
  <c r="Z73" i="71" s="1"/>
  <c r="O473" i="187"/>
  <c r="Z61" i="71" s="1"/>
  <c r="O329" i="187"/>
  <c r="Q330" i="75" s="1"/>
  <c r="O297" i="187"/>
  <c r="Q297" i="75"/>
  <c r="O273" i="187"/>
  <c r="Q274" i="75" s="1"/>
  <c r="O217" i="187"/>
  <c r="Q217" i="75" s="1"/>
  <c r="O65" i="187"/>
  <c r="O9" i="187"/>
  <c r="Q9" i="75" s="1"/>
  <c r="AS154" i="71"/>
  <c r="O170" i="75"/>
  <c r="O226" i="75"/>
  <c r="F402" i="75"/>
  <c r="F410" i="75"/>
  <c r="O410" i="75"/>
  <c r="P40" i="1"/>
  <c r="O40" i="1"/>
  <c r="O74" i="1"/>
  <c r="P74" i="1"/>
  <c r="O107" i="1"/>
  <c r="P107" i="1"/>
  <c r="V8" i="71"/>
  <c r="P7" i="1"/>
  <c r="O7" i="1"/>
  <c r="O37" i="1"/>
  <c r="P37" i="1"/>
  <c r="O91" i="187"/>
  <c r="Q95" i="75" s="1"/>
  <c r="O163" i="187"/>
  <c r="Q166" i="75" s="1"/>
  <c r="O261" i="187"/>
  <c r="Q262" i="75" s="1"/>
  <c r="O29" i="1"/>
  <c r="P29" i="1"/>
  <c r="O121" i="1"/>
  <c r="P121" i="1"/>
  <c r="O192" i="187"/>
  <c r="Q193" i="75" s="1"/>
  <c r="F347" i="75"/>
  <c r="F379" i="75"/>
  <c r="O34" i="1"/>
  <c r="P34" i="1"/>
  <c r="P46" i="1"/>
  <c r="O46" i="1"/>
  <c r="O105" i="1"/>
  <c r="P105" i="1"/>
  <c r="P130" i="1"/>
  <c r="O130" i="1"/>
  <c r="P180" i="1"/>
  <c r="O180" i="1"/>
  <c r="F348" i="75"/>
  <c r="P11" i="1"/>
  <c r="O11" i="1"/>
  <c r="O65" i="1"/>
  <c r="P65" i="1"/>
  <c r="O117" i="1"/>
  <c r="O137" i="1"/>
  <c r="P137" i="1"/>
  <c r="O12" i="1"/>
  <c r="P12" i="1"/>
  <c r="P53" i="1"/>
  <c r="O53" i="1"/>
  <c r="P56" i="1"/>
  <c r="O56" i="1"/>
  <c r="P42" i="1"/>
  <c r="O42" i="1"/>
  <c r="P47" i="1"/>
  <c r="O47" i="1"/>
  <c r="O64" i="1"/>
  <c r="P64" i="1"/>
  <c r="P81" i="1"/>
  <c r="P84" i="1"/>
  <c r="O84" i="1"/>
  <c r="P89" i="1"/>
  <c r="P142" i="1"/>
  <c r="O142" i="1"/>
  <c r="P157" i="1"/>
  <c r="P159" i="1"/>
  <c r="P161" i="1"/>
  <c r="P163" i="1"/>
  <c r="P165" i="1"/>
  <c r="P167" i="1"/>
  <c r="O76" i="1"/>
  <c r="P76" i="1"/>
  <c r="P22" i="1"/>
  <c r="P111" i="1"/>
  <c r="P127" i="1"/>
  <c r="O127" i="1"/>
  <c r="AS125" i="71"/>
  <c r="O40" i="187"/>
  <c r="Q41" i="75"/>
  <c r="F2292" i="144"/>
  <c r="F2279" i="144"/>
  <c r="F2297" i="144"/>
  <c r="F2326" i="144"/>
  <c r="F2293" i="144"/>
  <c r="AR131" i="71"/>
  <c r="AR130" i="71"/>
  <c r="AR115" i="71"/>
  <c r="AS115" i="71"/>
  <c r="AQ138" i="71"/>
  <c r="AQ140" i="71"/>
  <c r="H9" i="106"/>
  <c r="K18" i="102"/>
  <c r="I18" i="102"/>
  <c r="AS143" i="71"/>
  <c r="AQ143" i="71"/>
  <c r="O100" i="187"/>
  <c r="Q104" i="75" s="1"/>
  <c r="H8" i="106"/>
  <c r="H23" i="106"/>
  <c r="H16" i="106"/>
  <c r="AQ131" i="71"/>
  <c r="AQ135" i="71"/>
  <c r="H25" i="106"/>
  <c r="H17" i="106"/>
  <c r="F24" i="106"/>
  <c r="H24" i="106"/>
  <c r="AQ55" i="71"/>
  <c r="AQ125" i="71"/>
  <c r="H21" i="106"/>
  <c r="AQ134" i="71"/>
  <c r="AS131" i="71"/>
  <c r="AQ29" i="71"/>
  <c r="AQ26" i="71"/>
  <c r="O465" i="187"/>
  <c r="Z53" i="71"/>
  <c r="AR88" i="71"/>
  <c r="AQ54" i="71"/>
  <c r="AQ38" i="71"/>
  <c r="AS38" i="71"/>
  <c r="O433" i="187"/>
  <c r="Z19" i="71" s="1"/>
  <c r="O427" i="187"/>
  <c r="Z13" i="71" s="1"/>
  <c r="Z10" i="71"/>
  <c r="O429" i="187"/>
  <c r="Z15" i="71" s="1"/>
  <c r="O431" i="187"/>
  <c r="Z17" i="71" s="1"/>
  <c r="O428" i="187"/>
  <c r="Z14" i="71" s="1"/>
  <c r="AS14" i="71" s="1"/>
  <c r="AR135" i="71"/>
  <c r="AS135" i="71"/>
  <c r="AS134" i="71"/>
  <c r="AR134" i="71"/>
  <c r="AR133" i="71"/>
  <c r="O462" i="187"/>
  <c r="Z49" i="71" s="1"/>
  <c r="O460" i="187"/>
  <c r="O509" i="187"/>
  <c r="Z97" i="71" s="1"/>
  <c r="AQ97" i="71" s="1"/>
  <c r="AR38" i="71"/>
  <c r="O384" i="187"/>
  <c r="Q381" i="75" s="1"/>
  <c r="O506" i="187"/>
  <c r="Z94" i="71" s="1"/>
  <c r="I17" i="102"/>
  <c r="J17" i="102" s="1"/>
  <c r="AQ77" i="71"/>
  <c r="Z46" i="71"/>
  <c r="O518" i="187"/>
  <c r="Z106" i="71" s="1"/>
  <c r="AS88" i="71"/>
  <c r="AQ88" i="71"/>
  <c r="F17" i="106"/>
  <c r="AR62" i="71"/>
  <c r="O430" i="187"/>
  <c r="Z16" i="71" s="1"/>
  <c r="H22" i="106"/>
  <c r="Q194" i="75"/>
  <c r="O195" i="187"/>
  <c r="H12" i="106"/>
  <c r="D266" i="194"/>
  <c r="AR95" i="71"/>
  <c r="AQ70" i="71"/>
  <c r="AS34" i="71"/>
  <c r="AR34" i="71"/>
  <c r="AS29" i="71"/>
  <c r="AS70" i="71"/>
  <c r="E292" i="202"/>
  <c r="F320" i="202"/>
  <c r="F292" i="202" s="1"/>
  <c r="H20" i="106"/>
  <c r="AR12" i="71"/>
  <c r="O300" i="187"/>
  <c r="Q300" i="75" s="1"/>
  <c r="Q299" i="75"/>
  <c r="H14" i="106"/>
  <c r="H7" i="106"/>
  <c r="AQ12" i="71"/>
  <c r="Z90" i="71"/>
  <c r="AQ90" i="71"/>
  <c r="O505" i="187"/>
  <c r="Z93" i="71" s="1"/>
  <c r="AQ84" i="71"/>
  <c r="H28" i="106"/>
  <c r="F41" i="175"/>
  <c r="O446" i="187"/>
  <c r="Z32" i="71" s="1"/>
  <c r="O453" i="187"/>
  <c r="O447" i="187"/>
  <c r="Z33" i="71" s="1"/>
  <c r="O454" i="187"/>
  <c r="Z40" i="71" s="1"/>
  <c r="O450" i="187"/>
  <c r="Z36" i="71" s="1"/>
  <c r="Z103" i="71"/>
  <c r="O522" i="187"/>
  <c r="O523" i="187" s="1"/>
  <c r="Z111" i="71" s="1"/>
  <c r="AS30" i="71"/>
  <c r="AR30" i="71"/>
  <c r="Q147" i="75"/>
  <c r="O145" i="187"/>
  <c r="Q148" i="75" s="1"/>
  <c r="O148" i="187"/>
  <c r="Q151" i="75"/>
  <c r="O146" i="187"/>
  <c r="Q149" i="75" s="1"/>
  <c r="Z67" i="71"/>
  <c r="O487" i="187"/>
  <c r="Z74" i="71" s="1"/>
  <c r="AS136" i="71"/>
  <c r="AR136" i="71"/>
  <c r="AR22" i="71"/>
  <c r="AQ22" i="71"/>
  <c r="AQ137" i="71"/>
  <c r="AR29" i="71"/>
  <c r="AQ91" i="71"/>
  <c r="AQ10" i="71"/>
  <c r="AS10" i="71"/>
  <c r="AR10" i="71"/>
  <c r="AQ89" i="71"/>
  <c r="AQ86" i="71"/>
  <c r="AS127" i="71"/>
  <c r="AR81" i="71"/>
  <c r="Q356" i="75"/>
  <c r="O362" i="187"/>
  <c r="AQ85" i="71"/>
  <c r="O449" i="187"/>
  <c r="Z35" i="71" s="1"/>
  <c r="O489" i="187"/>
  <c r="Z76" i="71" s="1"/>
  <c r="Z25" i="71"/>
  <c r="AS81" i="71"/>
  <c r="AS54" i="71"/>
  <c r="AS55" i="71"/>
  <c r="I14" i="102"/>
  <c r="J14" i="102" s="1"/>
  <c r="F13" i="106"/>
  <c r="Z92" i="71"/>
  <c r="O510" i="187"/>
  <c r="Z98" i="71" s="1"/>
  <c r="AR140" i="71"/>
  <c r="AR138" i="71"/>
  <c r="O158" i="187"/>
  <c r="Q161" i="75"/>
  <c r="Q38" i="75"/>
  <c r="O105" i="187"/>
  <c r="Q109" i="75"/>
  <c r="AS139" i="71"/>
  <c r="AS18" i="71"/>
  <c r="AR18" i="71"/>
  <c r="AQ18" i="71"/>
  <c r="AR28" i="71"/>
  <c r="AS28" i="71"/>
  <c r="AQ28" i="71"/>
  <c r="F61" i="144"/>
  <c r="AS24" i="71"/>
  <c r="AS13" i="71"/>
  <c r="O173" i="187"/>
  <c r="Q176" i="75" s="1"/>
  <c r="Q175" i="75"/>
  <c r="AQ126" i="71"/>
  <c r="AQ69" i="71"/>
  <c r="AR69" i="71"/>
  <c r="AS69" i="71"/>
  <c r="AS68" i="71"/>
  <c r="G19" i="69"/>
  <c r="Q171" i="75"/>
  <c r="AR113" i="71"/>
  <c r="AS113" i="71"/>
  <c r="AR87" i="71"/>
  <c r="AS87" i="71"/>
  <c r="AR119" i="71"/>
  <c r="H13" i="106"/>
  <c r="AS138" i="71"/>
  <c r="AS140" i="71"/>
  <c r="O69" i="187"/>
  <c r="Q73" i="75" s="1"/>
  <c r="Q69" i="75"/>
  <c r="O17" i="187"/>
  <c r="Q18" i="75" s="1"/>
  <c r="Q8" i="75"/>
  <c r="O412" i="187"/>
  <c r="Q408" i="75" s="1"/>
  <c r="AR104" i="71"/>
  <c r="AS104" i="71"/>
  <c r="AR46" i="71"/>
  <c r="AQ46" i="71"/>
  <c r="AS20" i="71"/>
  <c r="AS53" i="71"/>
  <c r="AQ53" i="71"/>
  <c r="AR53" i="71"/>
  <c r="D252" i="194"/>
  <c r="E234" i="194"/>
  <c r="AQ96" i="71"/>
  <c r="O511" i="187"/>
  <c r="O512" i="187" s="1"/>
  <c r="Z100" i="71" s="1"/>
  <c r="O513" i="187"/>
  <c r="Z101" i="71" s="1"/>
  <c r="F10" i="106"/>
  <c r="O20" i="187"/>
  <c r="Q20" i="75"/>
  <c r="O31" i="187"/>
  <c r="Q32" i="75" s="1"/>
  <c r="AS60" i="71"/>
  <c r="AQ60" i="71"/>
  <c r="AR60" i="71"/>
  <c r="AS63" i="71"/>
  <c r="AR63" i="71"/>
  <c r="AQ63" i="71"/>
  <c r="AR58" i="71"/>
  <c r="AQ58" i="71"/>
  <c r="AS58" i="71"/>
  <c r="AR61" i="71"/>
  <c r="AQ61" i="71"/>
  <c r="AS61" i="71"/>
  <c r="F14" i="106"/>
  <c r="K19" i="102"/>
  <c r="I19" i="102"/>
  <c r="AS73" i="71"/>
  <c r="AQ73" i="71"/>
  <c r="AR73" i="71"/>
  <c r="AR124" i="71"/>
  <c r="AS124" i="71"/>
  <c r="AQ124" i="71"/>
  <c r="K9" i="102"/>
  <c r="F16" i="106"/>
  <c r="I9" i="102"/>
  <c r="J9" i="102" s="1"/>
  <c r="K21" i="102"/>
  <c r="F12" i="106"/>
  <c r="I21" i="102"/>
  <c r="O201" i="187"/>
  <c r="Q201" i="75" s="1"/>
  <c r="O386" i="187"/>
  <c r="Q383" i="75"/>
  <c r="O200" i="187"/>
  <c r="Q200" i="75" s="1"/>
  <c r="Q199" i="75"/>
  <c r="AS65" i="71"/>
  <c r="AQ65" i="71"/>
  <c r="AR65" i="71"/>
  <c r="AS97" i="71"/>
  <c r="AR97" i="71"/>
  <c r="G17" i="69"/>
  <c r="Q142" i="75"/>
  <c r="O98" i="187"/>
  <c r="AQ57" i="71"/>
  <c r="AS57" i="71"/>
  <c r="AR57" i="71"/>
  <c r="AR64" i="71"/>
  <c r="AQ64" i="71"/>
  <c r="AS64" i="71"/>
  <c r="AR94" i="71"/>
  <c r="AS94" i="71"/>
  <c r="AQ94" i="71"/>
  <c r="AS103" i="71"/>
  <c r="AR105" i="71"/>
  <c r="AQ105" i="71"/>
  <c r="AS105" i="71"/>
  <c r="AS17" i="71"/>
  <c r="AQ25" i="71"/>
  <c r="AS49" i="71"/>
  <c r="AQ49" i="71"/>
  <c r="Z110" i="71"/>
  <c r="AS110" i="71" s="1"/>
  <c r="AS16" i="71"/>
  <c r="AQ16" i="71"/>
  <c r="AR16" i="71"/>
  <c r="AR17" i="71"/>
  <c r="AR15" i="71"/>
  <c r="AQ15" i="71"/>
  <c r="AS15" i="71"/>
  <c r="AQ17" i="71"/>
  <c r="O197" i="187"/>
  <c r="Q197" i="75" s="1"/>
  <c r="Q195" i="75"/>
  <c r="O196" i="187"/>
  <c r="Q196" i="75" s="1"/>
  <c r="AS25" i="71"/>
  <c r="O457" i="187"/>
  <c r="Z43" i="71" s="1"/>
  <c r="AR90" i="71"/>
  <c r="AS90" i="71"/>
  <c r="AS92" i="71"/>
  <c r="AR92" i="71"/>
  <c r="AQ92" i="71"/>
  <c r="Q359" i="75"/>
  <c r="O363" i="187"/>
  <c r="Q360" i="75" s="1"/>
  <c r="AR32" i="71"/>
  <c r="AQ32" i="71"/>
  <c r="AS32" i="71"/>
  <c r="O441" i="187"/>
  <c r="Z27" i="71" s="1"/>
  <c r="O451" i="187"/>
  <c r="Z37" i="71" s="1"/>
  <c r="AR103" i="71"/>
  <c r="AR25" i="71"/>
  <c r="AR67" i="71"/>
  <c r="AS67" i="71"/>
  <c r="AQ67" i="71"/>
  <c r="AS33" i="71"/>
  <c r="AQ33" i="71"/>
  <c r="AR33" i="71"/>
  <c r="AS36" i="71"/>
  <c r="AQ74" i="71"/>
  <c r="AR74" i="71"/>
  <c r="AS74" i="71"/>
  <c r="AQ103" i="71"/>
  <c r="AS111" i="71"/>
  <c r="AR111" i="71"/>
  <c r="AQ111" i="71"/>
  <c r="Z99" i="71"/>
  <c r="Q102" i="75"/>
  <c r="O102" i="187"/>
  <c r="Q106" i="75" s="1"/>
  <c r="O25" i="187"/>
  <c r="Q26" i="75"/>
  <c r="O24" i="187"/>
  <c r="Q25" i="75" s="1"/>
  <c r="Q21" i="75"/>
  <c r="AS101" i="71"/>
  <c r="AR101" i="71"/>
  <c r="AQ101" i="71"/>
  <c r="AQ110" i="71"/>
  <c r="AR110" i="71"/>
  <c r="AQ100" i="71"/>
  <c r="AS99" i="71"/>
  <c r="E43" i="149"/>
  <c r="H43" i="149" s="1"/>
  <c r="E44" i="149"/>
  <c r="H44" i="149" s="1"/>
  <c r="E42" i="149"/>
  <c r="I42" i="149" s="1"/>
  <c r="K41" i="146" s="1"/>
  <c r="F11" i="125" l="1"/>
  <c r="E49" i="124"/>
  <c r="F53" i="125"/>
  <c r="F23" i="125"/>
  <c r="J23" i="125" s="1"/>
  <c r="I331" i="75"/>
  <c r="H221" i="146"/>
  <c r="F43" i="125"/>
  <c r="I43" i="125" s="1"/>
  <c r="E14" i="124"/>
  <c r="E13" i="124"/>
  <c r="E22" i="124"/>
  <c r="E53" i="124"/>
  <c r="E55" i="124"/>
  <c r="E41" i="124"/>
  <c r="H141" i="146"/>
  <c r="G12" i="1"/>
  <c r="G99" i="1"/>
  <c r="G10" i="124"/>
  <c r="G38" i="124"/>
  <c r="F23" i="124"/>
  <c r="G48" i="124"/>
  <c r="I139" i="75"/>
  <c r="H215" i="146"/>
  <c r="G57" i="124"/>
  <c r="G23" i="1"/>
  <c r="F43" i="124"/>
  <c r="G49" i="124"/>
  <c r="G41" i="124"/>
  <c r="G67" i="1"/>
  <c r="H67" i="1" s="1"/>
  <c r="G76" i="1"/>
  <c r="G12" i="124"/>
  <c r="G41" i="1"/>
  <c r="G19" i="124"/>
  <c r="G11" i="1"/>
  <c r="F31" i="124"/>
  <c r="G22" i="1"/>
  <c r="G45" i="1"/>
  <c r="G45" i="124"/>
  <c r="G178" i="1"/>
  <c r="G30" i="1"/>
  <c r="F18" i="124"/>
  <c r="G28" i="1"/>
  <c r="G66" i="1"/>
  <c r="K17" i="140"/>
  <c r="F36" i="124"/>
  <c r="F9" i="124"/>
  <c r="F42" i="124"/>
  <c r="G174" i="1"/>
  <c r="G52" i="1"/>
  <c r="G54" i="1"/>
  <c r="G61" i="1"/>
  <c r="G172" i="1"/>
  <c r="G140" i="1"/>
  <c r="G88" i="1"/>
  <c r="G71" i="1"/>
  <c r="O17" i="140"/>
  <c r="F8" i="124"/>
  <c r="F44" i="124"/>
  <c r="F48" i="124"/>
  <c r="F40" i="124"/>
  <c r="G93" i="1"/>
  <c r="G87" i="1"/>
  <c r="G167" i="1"/>
  <c r="F15" i="124"/>
  <c r="H153" i="146"/>
  <c r="G127" i="1"/>
  <c r="G63" i="1"/>
  <c r="M147" i="71"/>
  <c r="F28" i="124"/>
  <c r="F26" i="124"/>
  <c r="F34" i="124"/>
  <c r="F20" i="124"/>
  <c r="G38" i="1"/>
  <c r="G49" i="1"/>
  <c r="G151" i="1"/>
  <c r="F46" i="124"/>
  <c r="F56" i="124"/>
  <c r="F57" i="124"/>
  <c r="G60" i="1"/>
  <c r="G145" i="1"/>
  <c r="G21" i="1"/>
  <c r="G110" i="1"/>
  <c r="G72" i="1"/>
  <c r="G111" i="1"/>
  <c r="F7" i="100"/>
  <c r="G7" i="100" s="1"/>
  <c r="G53" i="1"/>
  <c r="G78" i="1"/>
  <c r="G33" i="1"/>
  <c r="G109" i="1"/>
  <c r="G25" i="1"/>
  <c r="G29" i="1"/>
  <c r="G104" i="1"/>
  <c r="F12" i="124"/>
  <c r="G83" i="1"/>
  <c r="G70" i="1"/>
  <c r="G44" i="1"/>
  <c r="G137" i="1"/>
  <c r="F13" i="124"/>
  <c r="G103" i="1"/>
  <c r="G92" i="1"/>
  <c r="G126" i="1"/>
  <c r="F29" i="124"/>
  <c r="F16" i="124"/>
  <c r="F30" i="124"/>
  <c r="G13" i="1"/>
  <c r="F27" i="124"/>
  <c r="F54" i="124"/>
  <c r="G125" i="1"/>
  <c r="G106" i="1"/>
  <c r="G133" i="1"/>
  <c r="G149" i="1"/>
  <c r="G69" i="1"/>
  <c r="G65" i="1"/>
  <c r="G136" i="1"/>
  <c r="F51" i="124"/>
  <c r="F47" i="124"/>
  <c r="F37" i="124"/>
  <c r="M155" i="71"/>
  <c r="G146" i="1"/>
  <c r="G181" i="1"/>
  <c r="G116" i="1"/>
  <c r="G68" i="1"/>
  <c r="G16" i="1"/>
  <c r="G57" i="1"/>
  <c r="G64" i="1"/>
  <c r="G90" i="1"/>
  <c r="G48" i="1"/>
  <c r="G169" i="1"/>
  <c r="F10" i="124"/>
  <c r="G161" i="1"/>
  <c r="F45" i="124"/>
  <c r="G180" i="1"/>
  <c r="G173" i="1"/>
  <c r="G155" i="1"/>
  <c r="F35" i="124"/>
  <c r="F41" i="124"/>
  <c r="G47" i="1"/>
  <c r="G17" i="1"/>
  <c r="G35" i="1"/>
  <c r="G19" i="1"/>
  <c r="G119" i="1"/>
  <c r="G101" i="1"/>
  <c r="G152" i="1"/>
  <c r="F24" i="124"/>
  <c r="F55" i="124"/>
  <c r="J155" i="71"/>
  <c r="G91" i="1"/>
  <c r="G23" i="64"/>
  <c r="H23" i="64" s="1"/>
  <c r="G11" i="124"/>
  <c r="G34" i="124"/>
  <c r="G32" i="124"/>
  <c r="G40" i="124"/>
  <c r="G15" i="124"/>
  <c r="G35" i="64"/>
  <c r="H35" i="64" s="1"/>
  <c r="G19" i="64"/>
  <c r="H19" i="64" s="1"/>
  <c r="G28" i="124"/>
  <c r="G22" i="124"/>
  <c r="G33" i="124"/>
  <c r="G8" i="124"/>
  <c r="G26" i="124"/>
  <c r="J410" i="75"/>
  <c r="K19" i="140"/>
  <c r="E7" i="124"/>
  <c r="H7" i="124" s="1"/>
  <c r="B4" i="26" s="1"/>
  <c r="H21" i="146"/>
  <c r="F17" i="125"/>
  <c r="I17" i="125" s="1"/>
  <c r="E33" i="124"/>
  <c r="F51" i="125"/>
  <c r="I51" i="125" s="1"/>
  <c r="F33" i="125"/>
  <c r="J33" i="125" s="1"/>
  <c r="F36" i="125"/>
  <c r="J36" i="125" s="1"/>
  <c r="F46" i="125"/>
  <c r="I46" i="125" s="1"/>
  <c r="E32" i="124"/>
  <c r="F54" i="125"/>
  <c r="I54" i="125" s="1"/>
  <c r="F44" i="125"/>
  <c r="J44" i="125" s="1"/>
  <c r="J379" i="75"/>
  <c r="E25" i="124"/>
  <c r="F52" i="125"/>
  <c r="E24" i="124"/>
  <c r="E23" i="124"/>
  <c r="E34" i="124"/>
  <c r="H1724" i="144"/>
  <c r="F55" i="125"/>
  <c r="J55" i="125" s="1"/>
  <c r="F14" i="125"/>
  <c r="J14" i="125" s="1"/>
  <c r="J166" i="71"/>
  <c r="E35" i="124"/>
  <c r="E12" i="124"/>
  <c r="E31" i="124"/>
  <c r="H142" i="144"/>
  <c r="H626" i="144"/>
  <c r="H1484" i="144"/>
  <c r="H1355" i="144"/>
  <c r="H1572" i="144"/>
  <c r="H1279" i="144"/>
  <c r="J162" i="56"/>
  <c r="H1234" i="144"/>
  <c r="H1306" i="144"/>
  <c r="H2008" i="144"/>
  <c r="H783" i="144"/>
  <c r="H1663" i="144"/>
  <c r="H1981" i="144"/>
  <c r="H162" i="144"/>
  <c r="H1919" i="144"/>
  <c r="H1818" i="144"/>
  <c r="H854" i="144"/>
  <c r="H937" i="144"/>
  <c r="M26" i="64"/>
  <c r="Q161" i="1"/>
  <c r="I407" i="75"/>
  <c r="J65" i="56"/>
  <c r="J568" i="56"/>
  <c r="J506" i="56"/>
  <c r="I11" i="125"/>
  <c r="J13" i="56"/>
  <c r="J507" i="56"/>
  <c r="J315" i="56"/>
  <c r="J466" i="56"/>
  <c r="J66" i="56"/>
  <c r="J490" i="56"/>
  <c r="J435" i="56"/>
  <c r="J290" i="56"/>
  <c r="J549" i="56"/>
  <c r="J533" i="56"/>
  <c r="J357" i="56"/>
  <c r="J309" i="56"/>
  <c r="J293" i="56"/>
  <c r="J261" i="56"/>
  <c r="J229" i="56"/>
  <c r="J181" i="56"/>
  <c r="J157" i="56"/>
  <c r="J530" i="56"/>
  <c r="J569" i="56"/>
  <c r="J540" i="56"/>
  <c r="J587" i="56"/>
  <c r="J484" i="56"/>
  <c r="J444" i="56"/>
  <c r="J380" i="56"/>
  <c r="J92" i="56"/>
  <c r="J84" i="56"/>
  <c r="J60" i="56"/>
  <c r="J29" i="56"/>
  <c r="J21" i="56"/>
  <c r="G10" i="140"/>
  <c r="O10" i="140"/>
  <c r="F42" i="125"/>
  <c r="J42" i="125" s="1"/>
  <c r="F56" i="125"/>
  <c r="I56" i="125" s="1"/>
  <c r="F58" i="125"/>
  <c r="F29" i="125"/>
  <c r="J29" i="125" s="1"/>
  <c r="F38" i="125"/>
  <c r="I38" i="125" s="1"/>
  <c r="E11" i="124"/>
  <c r="E26" i="124"/>
  <c r="E17" i="124"/>
  <c r="F40" i="125"/>
  <c r="I40" i="125" s="1"/>
  <c r="F7" i="125"/>
  <c r="J7" i="125" s="1"/>
  <c r="D4" i="26" s="1"/>
  <c r="F57" i="125"/>
  <c r="I57" i="125" s="1"/>
  <c r="F48" i="125"/>
  <c r="J48" i="125" s="1"/>
  <c r="F24" i="125"/>
  <c r="I24" i="125" s="1"/>
  <c r="F21" i="125"/>
  <c r="I21" i="125" s="1"/>
  <c r="F28" i="125"/>
  <c r="J28" i="125" s="1"/>
  <c r="E18" i="124"/>
  <c r="F31" i="125"/>
  <c r="J31" i="125" s="1"/>
  <c r="F13" i="125"/>
  <c r="I13" i="125" s="1"/>
  <c r="E38" i="124"/>
  <c r="F9" i="125"/>
  <c r="I9" i="125" s="1"/>
  <c r="H218" i="146"/>
  <c r="H91" i="146"/>
  <c r="H22" i="146"/>
  <c r="H43" i="146"/>
  <c r="H16" i="146"/>
  <c r="J362" i="56"/>
  <c r="J557" i="56"/>
  <c r="J525" i="56"/>
  <c r="J429" i="56"/>
  <c r="G7" i="140"/>
  <c r="K7" i="140"/>
  <c r="J595" i="56"/>
  <c r="J361" i="56"/>
  <c r="J618" i="56"/>
  <c r="J523" i="56"/>
  <c r="J515" i="56"/>
  <c r="J491" i="56"/>
  <c r="J395" i="56"/>
  <c r="J227" i="56"/>
  <c r="J163" i="56"/>
  <c r="J75" i="56"/>
  <c r="J59" i="56"/>
  <c r="G17" i="124"/>
  <c r="G39" i="124"/>
  <c r="G25" i="124"/>
  <c r="G44" i="124"/>
  <c r="G53" i="124"/>
  <c r="G18" i="124"/>
  <c r="G20" i="124"/>
  <c r="G54" i="124"/>
  <c r="G9" i="124"/>
  <c r="G55" i="124"/>
  <c r="I414" i="75"/>
  <c r="G12" i="140"/>
  <c r="K12" i="140"/>
  <c r="J426" i="56"/>
  <c r="J386" i="56"/>
  <c r="J541" i="56"/>
  <c r="J477" i="56"/>
  <c r="J445" i="56"/>
  <c r="J349" i="56"/>
  <c r="J285" i="56"/>
  <c r="J165" i="56"/>
  <c r="J149" i="56"/>
  <c r="J545" i="56"/>
  <c r="J387" i="56"/>
  <c r="J492" i="56"/>
  <c r="J624" i="56"/>
  <c r="F32" i="124"/>
  <c r="F33" i="124"/>
  <c r="F14" i="124"/>
  <c r="F52" i="124"/>
  <c r="F58" i="124"/>
  <c r="F50" i="124"/>
  <c r="F53" i="124"/>
  <c r="F39" i="124"/>
  <c r="F17" i="124"/>
  <c r="F19" i="124"/>
  <c r="F22" i="124"/>
  <c r="F11" i="124"/>
  <c r="F49" i="124"/>
  <c r="H49" i="124" s="1"/>
  <c r="F25" i="124"/>
  <c r="F38" i="124"/>
  <c r="O26" i="140"/>
  <c r="K26" i="140"/>
  <c r="J292" i="56"/>
  <c r="J554" i="56"/>
  <c r="J50" i="56"/>
  <c r="J121" i="56"/>
  <c r="J122" i="56"/>
  <c r="C8" i="108"/>
  <c r="C9" i="108" s="1"/>
  <c r="B4" i="27" s="1"/>
  <c r="E4" i="27" s="1"/>
  <c r="M166" i="71"/>
  <c r="J35" i="56"/>
  <c r="G30" i="124"/>
  <c r="G58" i="124"/>
  <c r="J442" i="56"/>
  <c r="H26" i="146"/>
  <c r="F20" i="100"/>
  <c r="G20" i="100" s="1"/>
  <c r="F12" i="100"/>
  <c r="G12" i="100" s="1"/>
  <c r="G13" i="124"/>
  <c r="G29" i="124"/>
  <c r="G46" i="124"/>
  <c r="E36" i="124"/>
  <c r="F19" i="125"/>
  <c r="I19" i="125" s="1"/>
  <c r="E20" i="124"/>
  <c r="F22" i="125"/>
  <c r="J22" i="125" s="1"/>
  <c r="J394" i="56"/>
  <c r="J146" i="56"/>
  <c r="I406" i="75"/>
  <c r="G16" i="124"/>
  <c r="G37" i="124"/>
  <c r="H17" i="146"/>
  <c r="G24" i="124"/>
  <c r="G23" i="124"/>
  <c r="G35" i="124"/>
  <c r="E44" i="124"/>
  <c r="F27" i="125"/>
  <c r="I27" i="125" s="1"/>
  <c r="E28" i="124"/>
  <c r="F30" i="125"/>
  <c r="J30" i="125" s="1"/>
  <c r="J608" i="56"/>
  <c r="J584" i="56"/>
  <c r="G163" i="1"/>
  <c r="G123" i="1"/>
  <c r="G159" i="1"/>
  <c r="G144" i="1"/>
  <c r="G105" i="1"/>
  <c r="G24" i="1"/>
  <c r="G176" i="1"/>
  <c r="G27" i="1"/>
  <c r="G46" i="1"/>
  <c r="G108" i="1"/>
  <c r="G164" i="1"/>
  <c r="G162" i="1"/>
  <c r="G142" i="1"/>
  <c r="G18" i="1"/>
  <c r="G157" i="1"/>
  <c r="G97" i="1"/>
  <c r="G74" i="1"/>
  <c r="G73" i="1"/>
  <c r="G135" i="1"/>
  <c r="G158" i="1"/>
  <c r="G153" i="1"/>
  <c r="G55" i="1"/>
  <c r="G86" i="1"/>
  <c r="G138" i="1"/>
  <c r="G134" i="1"/>
  <c r="G98" i="1"/>
  <c r="J163" i="71"/>
  <c r="P163" i="71"/>
  <c r="J496" i="56"/>
  <c r="J472" i="56"/>
  <c r="J344" i="56"/>
  <c r="J328" i="56"/>
  <c r="J152" i="56"/>
  <c r="J112" i="56"/>
  <c r="J41" i="56"/>
  <c r="G30" i="64"/>
  <c r="H30" i="64" s="1"/>
  <c r="G18" i="64"/>
  <c r="H18" i="64" s="1"/>
  <c r="K25" i="64"/>
  <c r="J329" i="75"/>
  <c r="F50" i="100"/>
  <c r="G50" i="100" s="1"/>
  <c r="F33" i="100"/>
  <c r="G33" i="100" s="1"/>
  <c r="F31" i="100"/>
  <c r="G31" i="100" s="1"/>
  <c r="I412" i="75"/>
  <c r="J605" i="56"/>
  <c r="J471" i="56"/>
  <c r="J431" i="56"/>
  <c r="J423" i="56"/>
  <c r="J383" i="56"/>
  <c r="J367" i="56"/>
  <c r="J351" i="56"/>
  <c r="J343" i="56"/>
  <c r="J327" i="56"/>
  <c r="J263" i="56"/>
  <c r="J215" i="56"/>
  <c r="J151" i="56"/>
  <c r="J47" i="56"/>
  <c r="J40" i="56"/>
  <c r="M29" i="64"/>
  <c r="I418" i="75"/>
  <c r="I78" i="75"/>
  <c r="I415" i="75"/>
  <c r="J464" i="56"/>
  <c r="J304" i="56"/>
  <c r="J176" i="56"/>
  <c r="J144" i="56"/>
  <c r="J88" i="56"/>
  <c r="J80" i="56"/>
  <c r="J72" i="56"/>
  <c r="J33" i="56"/>
  <c r="J25" i="56"/>
  <c r="K35" i="64"/>
  <c r="K33" i="64"/>
  <c r="K9" i="64"/>
  <c r="Q94" i="1"/>
  <c r="F49" i="100"/>
  <c r="G49" i="100" s="1"/>
  <c r="F15" i="100"/>
  <c r="G15" i="100" s="1"/>
  <c r="F13" i="100"/>
  <c r="G13" i="100" s="1"/>
  <c r="F24" i="100"/>
  <c r="G24" i="100" s="1"/>
  <c r="J588" i="56"/>
  <c r="J558" i="56"/>
  <c r="J542" i="56"/>
  <c r="J526" i="56"/>
  <c r="J494" i="56"/>
  <c r="J430" i="56"/>
  <c r="J422" i="56"/>
  <c r="J358" i="56"/>
  <c r="J342" i="56"/>
  <c r="J334" i="56"/>
  <c r="J318" i="56"/>
  <c r="J270" i="56"/>
  <c r="J182" i="56"/>
  <c r="J166" i="56"/>
  <c r="J150" i="56"/>
  <c r="J126" i="56"/>
  <c r="J118" i="56"/>
  <c r="J78" i="56"/>
  <c r="J54" i="56"/>
  <c r="J39" i="56"/>
  <c r="J23" i="56"/>
  <c r="J15" i="56"/>
  <c r="L29" i="64"/>
  <c r="K31" i="64"/>
  <c r="H1512" i="144"/>
  <c r="H1005" i="144"/>
  <c r="H1035" i="144"/>
  <c r="H38" i="146"/>
  <c r="H1275" i="144"/>
  <c r="H126" i="144"/>
  <c r="H1535" i="144"/>
  <c r="H1255" i="144"/>
  <c r="H422" i="144"/>
  <c r="H1111" i="144"/>
  <c r="H408" i="144"/>
  <c r="I409" i="75"/>
  <c r="M158" i="71"/>
  <c r="G19" i="140"/>
  <c r="P151" i="71"/>
  <c r="H15" i="146"/>
  <c r="H247" i="146"/>
  <c r="H642" i="144"/>
  <c r="H1779" i="144"/>
  <c r="H192" i="144"/>
  <c r="H983" i="144"/>
  <c r="H674" i="144"/>
  <c r="H2003" i="144"/>
  <c r="J414" i="75"/>
  <c r="G50" i="124"/>
  <c r="G31" i="124"/>
  <c r="G27" i="124"/>
  <c r="H19" i="146"/>
  <c r="H14" i="146"/>
  <c r="F36" i="100"/>
  <c r="G36" i="100" s="1"/>
  <c r="F14" i="100"/>
  <c r="G14" i="100" s="1"/>
  <c r="G42" i="124"/>
  <c r="G36" i="124"/>
  <c r="G52" i="124"/>
  <c r="F35" i="125"/>
  <c r="I35" i="125" s="1"/>
  <c r="F10" i="125"/>
  <c r="J10" i="125" s="1"/>
  <c r="E45" i="124"/>
  <c r="E54" i="124"/>
  <c r="E47" i="124"/>
  <c r="E40" i="124"/>
  <c r="E15" i="124"/>
  <c r="F49" i="125"/>
  <c r="J49" i="125" s="1"/>
  <c r="H103" i="146"/>
  <c r="K7" i="64"/>
  <c r="H788" i="144"/>
  <c r="H439" i="144"/>
  <c r="H1158" i="144"/>
  <c r="H923" i="144"/>
  <c r="H832" i="144"/>
  <c r="H875" i="144"/>
  <c r="H1714" i="144"/>
  <c r="H63" i="144"/>
  <c r="H167" i="144"/>
  <c r="H376" i="144"/>
  <c r="M81" i="71"/>
  <c r="H24" i="146"/>
  <c r="H607" i="144"/>
  <c r="H1842" i="144"/>
  <c r="H873" i="144"/>
  <c r="H252" i="144"/>
  <c r="H118" i="144"/>
  <c r="H427" i="144"/>
  <c r="H1843" i="144"/>
  <c r="K10" i="140"/>
  <c r="M167" i="71"/>
  <c r="J158" i="71"/>
  <c r="G56" i="124"/>
  <c r="G51" i="124"/>
  <c r="G43" i="124"/>
  <c r="H23" i="146"/>
  <c r="F47" i="100"/>
  <c r="G47" i="100" s="1"/>
  <c r="G14" i="124"/>
  <c r="H14" i="124" s="1"/>
  <c r="G21" i="124"/>
  <c r="J420" i="75"/>
  <c r="I399" i="75"/>
  <c r="F25" i="125"/>
  <c r="E52" i="124"/>
  <c r="E37" i="124"/>
  <c r="E46" i="124"/>
  <c r="E39" i="124"/>
  <c r="E30" i="124"/>
  <c r="F34" i="125"/>
  <c r="I34" i="125" s="1"/>
  <c r="F41" i="125"/>
  <c r="J41" i="125" s="1"/>
  <c r="H202" i="146"/>
  <c r="H636" i="144"/>
  <c r="H265" i="144"/>
  <c r="H953" i="144"/>
  <c r="H1653" i="144"/>
  <c r="H1951" i="144"/>
  <c r="H416" i="144"/>
  <c r="H1591" i="144"/>
  <c r="H1673" i="144"/>
  <c r="H1717" i="144"/>
  <c r="M152" i="71"/>
  <c r="G29" i="140"/>
  <c r="P160" i="71"/>
  <c r="M144" i="71"/>
  <c r="F8" i="10"/>
  <c r="B3" i="27" s="1"/>
  <c r="E43" i="10"/>
  <c r="F43" i="10" s="1"/>
  <c r="P152" i="71"/>
  <c r="H1121" i="144"/>
  <c r="H1738" i="144"/>
  <c r="H1889" i="144"/>
  <c r="H1633" i="144"/>
  <c r="H1657" i="144"/>
  <c r="H731" i="144"/>
  <c r="H1731" i="144"/>
  <c r="H843" i="144"/>
  <c r="H1164" i="144"/>
  <c r="H1167" i="144"/>
  <c r="H1099" i="144"/>
  <c r="H1059" i="144"/>
  <c r="H375" i="144"/>
  <c r="H1395" i="144"/>
  <c r="H1032" i="144"/>
  <c r="H1559" i="144"/>
  <c r="H1832" i="144"/>
  <c r="H1822" i="144"/>
  <c r="M151" i="71"/>
  <c r="O29" i="140"/>
  <c r="J144" i="71"/>
  <c r="S144" i="71" s="1"/>
  <c r="I416" i="75"/>
  <c r="E29" i="10"/>
  <c r="F29" i="10" s="1"/>
  <c r="F10" i="100"/>
  <c r="G10" i="100" s="1"/>
  <c r="J160" i="71"/>
  <c r="Q137" i="1"/>
  <c r="H483" i="144"/>
  <c r="H1439" i="144"/>
  <c r="H448" i="144"/>
  <c r="H1926" i="144"/>
  <c r="H1277" i="144"/>
  <c r="H1825" i="144"/>
  <c r="H2054" i="144"/>
  <c r="H928" i="144"/>
  <c r="G28" i="64"/>
  <c r="H28" i="64" s="1"/>
  <c r="H1400" i="144"/>
  <c r="H1553" i="144"/>
  <c r="H1501" i="144"/>
  <c r="H1978" i="144"/>
  <c r="H198" i="144"/>
  <c r="H667" i="144"/>
  <c r="H1263" i="144"/>
  <c r="H776" i="144"/>
  <c r="H193" i="144"/>
  <c r="H837" i="144"/>
  <c r="H947" i="144"/>
  <c r="H436" i="144"/>
  <c r="H433" i="144"/>
  <c r="H1259" i="144"/>
  <c r="H1291" i="144"/>
  <c r="H1504" i="144"/>
  <c r="H457" i="144"/>
  <c r="H108" i="144"/>
  <c r="H1060" i="144"/>
  <c r="H2042" i="144"/>
  <c r="H709" i="144"/>
  <c r="H1963" i="144"/>
  <c r="H452" i="144"/>
  <c r="H1434" i="144"/>
  <c r="J168" i="71"/>
  <c r="H44" i="146"/>
  <c r="J402" i="75"/>
  <c r="E54" i="10"/>
  <c r="F54" i="10" s="1"/>
  <c r="H59" i="144"/>
  <c r="E22" i="10"/>
  <c r="F22" i="10" s="1"/>
  <c r="H1008" i="144"/>
  <c r="H1878" i="144"/>
  <c r="H1180" i="144"/>
  <c r="H1437" i="144"/>
  <c r="H1666" i="144"/>
  <c r="H856" i="144"/>
  <c r="G20" i="140"/>
  <c r="K15" i="140"/>
  <c r="E55" i="10"/>
  <c r="F55" i="10" s="1"/>
  <c r="H21" i="102"/>
  <c r="N21" i="102" s="1"/>
  <c r="H220" i="144"/>
  <c r="H337" i="144"/>
  <c r="H1292" i="144"/>
  <c r="H468" i="144"/>
  <c r="H1446" i="144"/>
  <c r="H1160" i="144"/>
  <c r="H1698" i="144"/>
  <c r="H1623" i="144"/>
  <c r="H1376" i="144"/>
  <c r="H960" i="144"/>
  <c r="H1003" i="144"/>
  <c r="H993" i="144"/>
  <c r="H1227" i="144"/>
  <c r="H1011" i="144"/>
  <c r="H1147" i="144"/>
  <c r="H1038" i="144"/>
  <c r="H1119" i="144"/>
  <c r="K20" i="140"/>
  <c r="J167" i="71"/>
  <c r="O15" i="140"/>
  <c r="J522" i="56"/>
  <c r="J7" i="56"/>
  <c r="C7" i="16"/>
  <c r="C6" i="27" s="1"/>
  <c r="E6" i="27" s="1"/>
  <c r="P168" i="71"/>
  <c r="I426" i="75"/>
  <c r="J201" i="56"/>
  <c r="J623" i="56"/>
  <c r="J599" i="56"/>
  <c r="J393" i="56"/>
  <c r="J377" i="56"/>
  <c r="J353" i="56"/>
  <c r="J289" i="56"/>
  <c r="J113" i="56"/>
  <c r="J49" i="56"/>
  <c r="J34" i="56"/>
  <c r="G31" i="64"/>
  <c r="H31" i="64" s="1"/>
  <c r="Q157" i="1"/>
  <c r="Q165" i="1"/>
  <c r="Q17" i="1"/>
  <c r="Q78" i="1"/>
  <c r="Q14" i="1"/>
  <c r="F34" i="100"/>
  <c r="G34" i="100" s="1"/>
  <c r="Q138" i="1"/>
  <c r="Q43" i="1"/>
  <c r="Q166" i="1"/>
  <c r="Q16" i="1"/>
  <c r="Q104" i="1"/>
  <c r="Q97" i="1"/>
  <c r="Q148" i="1"/>
  <c r="Q22" i="1"/>
  <c r="Q85" i="1"/>
  <c r="Q89" i="1"/>
  <c r="Q121" i="1"/>
  <c r="Q82" i="1"/>
  <c r="Q72" i="1"/>
  <c r="Q47" i="1"/>
  <c r="Q147" i="1"/>
  <c r="Q25" i="1"/>
  <c r="Q81" i="1"/>
  <c r="Q125" i="1"/>
  <c r="Q90" i="1"/>
  <c r="Q159" i="1"/>
  <c r="Q174" i="1"/>
  <c r="O18" i="140"/>
  <c r="K18" i="140"/>
  <c r="G18" i="140"/>
  <c r="Q117" i="1"/>
  <c r="Q136" i="1"/>
  <c r="Q66" i="1"/>
  <c r="E7" i="45"/>
  <c r="E8" i="32"/>
  <c r="G9" i="140"/>
  <c r="O9" i="140"/>
  <c r="Q56" i="1"/>
  <c r="Q130" i="1"/>
  <c r="K9" i="140"/>
  <c r="Q70" i="1"/>
  <c r="Q107" i="1"/>
  <c r="Q155" i="1"/>
  <c r="Q175" i="1"/>
  <c r="Q180" i="1"/>
  <c r="Q178" i="1"/>
  <c r="Q110" i="1"/>
  <c r="Q124" i="1"/>
  <c r="Q20" i="1"/>
  <c r="Q73" i="1"/>
  <c r="Q80" i="1"/>
  <c r="Q27" i="1"/>
  <c r="K8" i="64"/>
  <c r="Q154" i="1"/>
  <c r="Q71" i="1"/>
  <c r="G29" i="64"/>
  <c r="H29" i="64" s="1"/>
  <c r="G9" i="64"/>
  <c r="H9" i="64" s="1"/>
  <c r="H106" i="144"/>
  <c r="H368" i="144"/>
  <c r="H789" i="144"/>
  <c r="H1373" i="144"/>
  <c r="H525" i="144"/>
  <c r="H1957" i="144"/>
  <c r="H1396" i="144"/>
  <c r="H291" i="144"/>
  <c r="H1340" i="144"/>
  <c r="H1264" i="144"/>
  <c r="H1898" i="144"/>
  <c r="H22" i="144"/>
  <c r="H540" i="144"/>
  <c r="H1681" i="144"/>
  <c r="H2062" i="144"/>
  <c r="H1583" i="144"/>
  <c r="Q53" i="1"/>
  <c r="Q140" i="1"/>
  <c r="Q57" i="1"/>
  <c r="H1328" i="144"/>
  <c r="H314" i="144"/>
  <c r="H1679" i="144"/>
  <c r="H1214" i="144"/>
  <c r="H1143" i="144"/>
  <c r="H556" i="144"/>
  <c r="H317" i="144"/>
  <c r="H267" i="144"/>
  <c r="H145" i="144"/>
  <c r="H1027" i="144"/>
  <c r="H905" i="144"/>
  <c r="H808" i="144"/>
  <c r="H1232" i="144"/>
  <c r="H797" i="144"/>
  <c r="H510" i="144"/>
  <c r="H244" i="144"/>
  <c r="H1286" i="144"/>
  <c r="H1770" i="144"/>
  <c r="H1815" i="144"/>
  <c r="H77" i="144"/>
  <c r="H1871" i="144"/>
  <c r="H1055" i="144"/>
  <c r="H359" i="144"/>
  <c r="H1830" i="144"/>
  <c r="H1721" i="144"/>
  <c r="H235" i="144"/>
  <c r="H606" i="144"/>
  <c r="H730" i="144"/>
  <c r="H169" i="144"/>
  <c r="H1726" i="144"/>
  <c r="H530" i="144"/>
  <c r="H1953" i="144"/>
  <c r="J418" i="75"/>
  <c r="Q127" i="1"/>
  <c r="Q11" i="1"/>
  <c r="Q105" i="1"/>
  <c r="Q74" i="1"/>
  <c r="Q63" i="1"/>
  <c r="G13" i="64"/>
  <c r="H13" i="64" s="1"/>
  <c r="Q42" i="1"/>
  <c r="Q30" i="1"/>
  <c r="H405" i="144"/>
  <c r="H717" i="144"/>
  <c r="H1856" i="144"/>
  <c r="H809" i="144"/>
  <c r="H1895" i="144"/>
  <c r="H1017" i="144"/>
  <c r="H1522" i="144"/>
  <c r="H1939" i="144"/>
  <c r="H2057" i="144"/>
  <c r="H56" i="144"/>
  <c r="H315" i="144"/>
  <c r="H615" i="144"/>
  <c r="H713" i="144"/>
  <c r="H51" i="144"/>
  <c r="H911" i="144"/>
  <c r="H181" i="144"/>
  <c r="H829" i="144"/>
  <c r="H1210" i="144"/>
  <c r="H1652" i="144"/>
  <c r="H232" i="144"/>
  <c r="H24" i="144"/>
  <c r="H1557" i="144"/>
  <c r="H1980" i="144"/>
  <c r="H1686" i="144"/>
  <c r="H1964" i="144"/>
  <c r="H1931" i="144"/>
  <c r="H1157" i="144"/>
  <c r="H1694" i="144"/>
  <c r="H529" i="144"/>
  <c r="H1076" i="144"/>
  <c r="H1391" i="144"/>
  <c r="H2067" i="144"/>
  <c r="H936" i="144"/>
  <c r="H748" i="144"/>
  <c r="H552" i="144"/>
  <c r="H160" i="144"/>
  <c r="H1228" i="144"/>
  <c r="H1325" i="144"/>
  <c r="H1089" i="144"/>
  <c r="H926" i="144"/>
  <c r="H1427" i="144"/>
  <c r="H544" i="144"/>
  <c r="H1469" i="144"/>
  <c r="H514" i="144"/>
  <c r="H1456" i="144"/>
  <c r="H173" i="144"/>
  <c r="H1477" i="144"/>
  <c r="H1496" i="144"/>
  <c r="H1641" i="144"/>
  <c r="H53" i="144"/>
  <c r="H1128" i="144"/>
  <c r="H747" i="144"/>
  <c r="H478" i="144"/>
  <c r="H1426" i="144"/>
  <c r="H435" i="144"/>
  <c r="H1613" i="144"/>
  <c r="H1525" i="144"/>
  <c r="H114" i="144"/>
  <c r="H1638" i="144"/>
  <c r="H1117" i="144"/>
  <c r="H83" i="144"/>
  <c r="H1116" i="144"/>
  <c r="H1036" i="144"/>
  <c r="H1184" i="144"/>
  <c r="H1786" i="144"/>
  <c r="H1885" i="144"/>
  <c r="H1492" i="144"/>
  <c r="H132" i="144"/>
  <c r="H1586" i="144"/>
  <c r="H1217" i="144"/>
  <c r="H1837" i="144"/>
  <c r="H1972" i="144"/>
  <c r="H877" i="144"/>
  <c r="H1869" i="144"/>
  <c r="H1361" i="144"/>
  <c r="H968" i="144"/>
  <c r="H711" i="144"/>
  <c r="H2046" i="144"/>
  <c r="G17" i="64"/>
  <c r="H17" i="64" s="1"/>
  <c r="H1758" i="144"/>
  <c r="H1472" i="144"/>
  <c r="H958" i="144"/>
  <c r="Q49" i="1"/>
  <c r="I395" i="75"/>
  <c r="J395" i="75"/>
  <c r="H1258" i="144"/>
  <c r="H927" i="144"/>
  <c r="H857" i="144"/>
  <c r="H9" i="144"/>
  <c r="H111" i="144"/>
  <c r="H1353" i="144"/>
  <c r="H1294" i="144"/>
  <c r="H175" i="144"/>
  <c r="H1457" i="144"/>
  <c r="H1153" i="144"/>
  <c r="H484" i="144"/>
  <c r="H38" i="144"/>
  <c r="H563" i="144"/>
  <c r="H241" i="144"/>
  <c r="H406" i="144"/>
  <c r="H1543" i="144"/>
  <c r="H1329" i="144"/>
  <c r="H539" i="144"/>
  <c r="H410" i="144"/>
  <c r="H943" i="144"/>
  <c r="H1342" i="144"/>
  <c r="H2068" i="144"/>
  <c r="H1070" i="144"/>
  <c r="H741" i="144"/>
  <c r="H1560" i="144"/>
  <c r="H1461" i="144"/>
  <c r="H15" i="102"/>
  <c r="L15" i="102" s="1"/>
  <c r="Q36" i="1"/>
  <c r="Q10" i="1"/>
  <c r="K32" i="64"/>
  <c r="Q91" i="1"/>
  <c r="Q111" i="1"/>
  <c r="G21" i="64"/>
  <c r="H21" i="64" s="1"/>
  <c r="Q135" i="1"/>
  <c r="Q33" i="1"/>
  <c r="H1628" i="144"/>
  <c r="H1627" i="144"/>
  <c r="H1425" i="144"/>
  <c r="H846" i="144"/>
  <c r="H147" i="144"/>
  <c r="H822" i="144"/>
  <c r="H755" i="144"/>
  <c r="H532" i="144"/>
  <c r="H929" i="144"/>
  <c r="H971" i="144"/>
  <c r="H1285" i="144"/>
  <c r="H1239" i="144"/>
  <c r="H489" i="144"/>
  <c r="H962" i="144"/>
  <c r="H1377" i="144"/>
  <c r="Q84" i="1"/>
  <c r="Q118" i="1"/>
  <c r="Q116" i="1"/>
  <c r="H344" i="144"/>
  <c r="H1224" i="144"/>
  <c r="H305" i="144"/>
  <c r="H880" i="144"/>
  <c r="H1635" i="144"/>
  <c r="H1683" i="144"/>
  <c r="H1095" i="144"/>
  <c r="H1928" i="144"/>
  <c r="H23" i="144"/>
  <c r="H1555" i="144"/>
  <c r="H1542" i="144"/>
  <c r="H1246" i="144"/>
  <c r="H1366" i="144"/>
  <c r="H275" i="144"/>
  <c r="H55" i="144"/>
  <c r="H895" i="144"/>
  <c r="H297" i="144"/>
  <c r="H910" i="144"/>
  <c r="H219" i="144"/>
  <c r="H1482" i="144"/>
  <c r="H745" i="144"/>
  <c r="H1802" i="144"/>
  <c r="H102" i="144"/>
  <c r="H1419" i="144"/>
  <c r="H109" i="144"/>
  <c r="H95" i="144"/>
  <c r="H1049" i="144"/>
  <c r="H666" i="144"/>
  <c r="H855" i="144"/>
  <c r="H1096" i="144"/>
  <c r="H1326" i="144"/>
  <c r="H1113" i="144"/>
  <c r="H208" i="144"/>
  <c r="H75" i="144"/>
  <c r="H2034" i="144"/>
  <c r="H604" i="144"/>
  <c r="H1213" i="144"/>
  <c r="H1797" i="144"/>
  <c r="H352" i="144"/>
  <c r="H1955" i="144"/>
  <c r="J412" i="75"/>
  <c r="Q8" i="1"/>
  <c r="Q112" i="1"/>
  <c r="Q160" i="1"/>
  <c r="I375" i="75"/>
  <c r="I400" i="75"/>
  <c r="Q86" i="1"/>
  <c r="Q114" i="1"/>
  <c r="Q142" i="1"/>
  <c r="Q48" i="1"/>
  <c r="Q153" i="1"/>
  <c r="Q182" i="1"/>
  <c r="Q173" i="1"/>
  <c r="Q44" i="1"/>
  <c r="Q15" i="1"/>
  <c r="G117" i="1"/>
  <c r="G89" i="1"/>
  <c r="G36" i="1"/>
  <c r="G39" i="1"/>
  <c r="G165" i="1"/>
  <c r="Q88" i="1"/>
  <c r="Q18" i="1"/>
  <c r="Q134" i="1"/>
  <c r="Q61" i="1"/>
  <c r="Q67" i="1"/>
  <c r="R67" i="1" s="1"/>
  <c r="J11" i="125"/>
  <c r="Q76" i="1"/>
  <c r="G59" i="1"/>
  <c r="G75" i="1"/>
  <c r="H75" i="1" s="1"/>
  <c r="G131" i="1"/>
  <c r="G85" i="1"/>
  <c r="G128" i="1"/>
  <c r="G26" i="1"/>
  <c r="G113" i="1"/>
  <c r="G84" i="1"/>
  <c r="G139" i="1"/>
  <c r="G120" i="1"/>
  <c r="G43" i="1"/>
  <c r="Q123" i="1"/>
  <c r="Q23" i="1"/>
  <c r="Q102" i="1"/>
  <c r="Q28" i="1"/>
  <c r="Q87" i="1"/>
  <c r="G124" i="1"/>
  <c r="G95" i="1"/>
  <c r="G118" i="1"/>
  <c r="G58" i="1"/>
  <c r="Q58" i="1"/>
  <c r="Q164" i="1"/>
  <c r="Q176" i="1"/>
  <c r="J140" i="71"/>
  <c r="P140" i="71"/>
  <c r="G77" i="1"/>
  <c r="G156" i="1"/>
  <c r="G100" i="1"/>
  <c r="G182" i="1"/>
  <c r="G179" i="1"/>
  <c r="G121" i="1"/>
  <c r="G171" i="1"/>
  <c r="G9" i="1"/>
  <c r="G56" i="1"/>
  <c r="G177" i="1"/>
  <c r="G122" i="1"/>
  <c r="G31" i="1"/>
  <c r="G150" i="1"/>
  <c r="G175" i="1"/>
  <c r="G170" i="1"/>
  <c r="G143" i="1"/>
  <c r="G112" i="1"/>
  <c r="G129" i="1"/>
  <c r="G20" i="1"/>
  <c r="G62" i="1"/>
  <c r="G132" i="1"/>
  <c r="G160" i="1"/>
  <c r="G114" i="1"/>
  <c r="G50" i="1"/>
  <c r="G34" i="1"/>
  <c r="G37" i="1"/>
  <c r="G42" i="1"/>
  <c r="G107" i="1"/>
  <c r="G168" i="1"/>
  <c r="G40" i="1"/>
  <c r="G141" i="1"/>
  <c r="G102" i="1"/>
  <c r="G115" i="1"/>
  <c r="G130" i="1"/>
  <c r="G15" i="1"/>
  <c r="G148" i="1"/>
  <c r="G147" i="1"/>
  <c r="G80" i="1"/>
  <c r="G81" i="1"/>
  <c r="G79" i="1"/>
  <c r="G32" i="1"/>
  <c r="G96" i="1"/>
  <c r="M171" i="71"/>
  <c r="J171" i="71"/>
  <c r="G24" i="64"/>
  <c r="H24" i="64" s="1"/>
  <c r="G16" i="64"/>
  <c r="H16" i="64" s="1"/>
  <c r="G8" i="64"/>
  <c r="H8" i="64" s="1"/>
  <c r="K30" i="64"/>
  <c r="Q75" i="1"/>
  <c r="R75" i="1" s="1"/>
  <c r="Q13" i="1"/>
  <c r="R13" i="1" s="1"/>
  <c r="Q170" i="1"/>
  <c r="J548" i="56"/>
  <c r="J516" i="56"/>
  <c r="J500" i="56"/>
  <c r="J412" i="56"/>
  <c r="J356" i="56"/>
  <c r="J340" i="56"/>
  <c r="J316" i="56"/>
  <c r="J308" i="56"/>
  <c r="J284" i="56"/>
  <c r="J268" i="56"/>
  <c r="J252" i="56"/>
  <c r="J188" i="56"/>
  <c r="J172" i="56"/>
  <c r="J140" i="56"/>
  <c r="H126" i="146"/>
  <c r="H242" i="146"/>
  <c r="Q46" i="1"/>
  <c r="Q37" i="1"/>
  <c r="Q40" i="1"/>
  <c r="Q109" i="1"/>
  <c r="Q96" i="1"/>
  <c r="Q126" i="1"/>
  <c r="Q59" i="1"/>
  <c r="Q103" i="1"/>
  <c r="Q21" i="1"/>
  <c r="Q141" i="1"/>
  <c r="Q169" i="1"/>
  <c r="Q38" i="1"/>
  <c r="I346" i="75"/>
  <c r="Q132" i="1"/>
  <c r="Q149" i="1"/>
  <c r="J617" i="56"/>
  <c r="J601" i="56"/>
  <c r="J555" i="56"/>
  <c r="J531" i="56"/>
  <c r="J499" i="56"/>
  <c r="J483" i="56"/>
  <c r="J467" i="56"/>
  <c r="J443" i="56"/>
  <c r="J403" i="56"/>
  <c r="J363" i="56"/>
  <c r="J275" i="56"/>
  <c r="J267" i="56"/>
  <c r="J407" i="75"/>
  <c r="H198" i="146"/>
  <c r="H93" i="146"/>
  <c r="Q64" i="1"/>
  <c r="Q7" i="1"/>
  <c r="Q128" i="1"/>
  <c r="Q145" i="1"/>
  <c r="F51" i="100"/>
  <c r="G51" i="100" s="1"/>
  <c r="F32" i="100"/>
  <c r="G32" i="100" s="1"/>
  <c r="J78" i="75"/>
  <c r="Q129" i="1"/>
  <c r="Q45" i="1"/>
  <c r="Q93" i="1"/>
  <c r="J223" i="56"/>
  <c r="H158" i="146"/>
  <c r="H270" i="146"/>
  <c r="P170" i="71"/>
  <c r="J170" i="71"/>
  <c r="M146" i="71"/>
  <c r="P146" i="71"/>
  <c r="J146" i="71"/>
  <c r="M169" i="71"/>
  <c r="J169" i="71"/>
  <c r="P169" i="71"/>
  <c r="M145" i="71"/>
  <c r="P145" i="71"/>
  <c r="J145" i="71"/>
  <c r="H1069" i="144"/>
  <c r="H1422" i="144"/>
  <c r="H763" i="144"/>
  <c r="H1882" i="144"/>
  <c r="H1115" i="144"/>
  <c r="H726" i="144"/>
  <c r="H1585" i="144"/>
  <c r="H482" i="144"/>
  <c r="H1494" i="144"/>
  <c r="H1556" i="144"/>
  <c r="H1519" i="144"/>
  <c r="H638" i="144"/>
  <c r="H229" i="144"/>
  <c r="H426" i="144"/>
  <c r="H1033" i="144"/>
  <c r="H1741" i="144"/>
  <c r="H41" i="144"/>
  <c r="H1669" i="144"/>
  <c r="H1148" i="144"/>
  <c r="H890" i="144"/>
  <c r="H1265" i="144"/>
  <c r="H567" i="144"/>
  <c r="H1338" i="144"/>
  <c r="H1108" i="144"/>
  <c r="H1609" i="144"/>
  <c r="H825" i="144"/>
  <c r="H443" i="144"/>
  <c r="H1625" i="144"/>
  <c r="H1870" i="144"/>
  <c r="H1248" i="144"/>
  <c r="H840" i="144"/>
  <c r="H179" i="144"/>
  <c r="H1677" i="144"/>
  <c r="H1091" i="144"/>
  <c r="H592" i="144"/>
  <c r="H269" i="144"/>
  <c r="H1518" i="144"/>
  <c r="H32" i="144"/>
  <c r="H889" i="144"/>
  <c r="H1392" i="144"/>
  <c r="H1047" i="144"/>
  <c r="H1102" i="144"/>
  <c r="H1514" i="144"/>
  <c r="H973" i="144"/>
  <c r="H46" i="144"/>
  <c r="H1357" i="144"/>
  <c r="H472" i="144"/>
  <c r="H493" i="144"/>
  <c r="H215" i="144"/>
  <c r="H543" i="144"/>
  <c r="H411" i="144"/>
  <c r="H87" i="144"/>
  <c r="H1044" i="144"/>
  <c r="H1604" i="144"/>
  <c r="H1200" i="144"/>
  <c r="H1363" i="144"/>
  <c r="H1732" i="144"/>
  <c r="H720" i="144"/>
  <c r="H303" i="144"/>
  <c r="H1735" i="144"/>
  <c r="H1381" i="144"/>
  <c r="H887" i="144"/>
  <c r="H139" i="144"/>
  <c r="H396" i="144"/>
  <c r="H1468" i="144"/>
  <c r="H1896" i="144"/>
  <c r="H1280" i="144"/>
  <c r="H1749" i="144"/>
  <c r="H245" i="144"/>
  <c r="H1417" i="144"/>
  <c r="H523" i="144"/>
  <c r="H1283" i="144"/>
  <c r="H571" i="144"/>
  <c r="H1993" i="144"/>
  <c r="H1135" i="144"/>
  <c r="H885" i="144"/>
  <c r="H1752" i="144"/>
  <c r="H1610" i="144"/>
  <c r="H1800" i="144"/>
  <c r="H184" i="144"/>
  <c r="H1547" i="144"/>
  <c r="H1670" i="144"/>
  <c r="H227" i="144"/>
  <c r="H902" i="144"/>
  <c r="H1615" i="144"/>
  <c r="H766" i="144"/>
  <c r="P154" i="71"/>
  <c r="M154" i="71"/>
  <c r="J154" i="71"/>
  <c r="P83" i="71"/>
  <c r="J83" i="71"/>
  <c r="E114" i="1"/>
  <c r="E51" i="1"/>
  <c r="E88" i="1"/>
  <c r="H88" i="1" s="1"/>
  <c r="G16" i="140"/>
  <c r="O16" i="140"/>
  <c r="K16" i="140"/>
  <c r="M82" i="71"/>
  <c r="J82" i="71"/>
  <c r="P82" i="71"/>
  <c r="H997" i="144"/>
  <c r="H12" i="144"/>
  <c r="H801" i="144"/>
  <c r="H391" i="144"/>
  <c r="H1454" i="144"/>
  <c r="H985" i="144"/>
  <c r="H1304" i="144"/>
  <c r="H577" i="144"/>
  <c r="H327" i="144"/>
  <c r="H1030" i="144"/>
  <c r="H1028" i="144"/>
  <c r="H1183" i="144"/>
  <c r="H1260" i="144"/>
  <c r="H1081" i="144"/>
  <c r="H1389" i="144"/>
  <c r="H1320" i="144"/>
  <c r="H863" i="144"/>
  <c r="H1866" i="144"/>
  <c r="H668" i="144"/>
  <c r="H624" i="144"/>
  <c r="H935" i="144"/>
  <c r="H1793" i="144"/>
  <c r="O27" i="140"/>
  <c r="K27" i="140"/>
  <c r="G27" i="140"/>
  <c r="P138" i="71"/>
  <c r="J138" i="71"/>
  <c r="M138" i="71"/>
  <c r="H48" i="144"/>
  <c r="H812" i="144"/>
  <c r="H417" i="144"/>
  <c r="H957" i="144"/>
  <c r="H1923" i="144"/>
  <c r="H177" i="144"/>
  <c r="H1463" i="144"/>
  <c r="H196" i="144"/>
  <c r="H255" i="144"/>
  <c r="H1706" i="144"/>
  <c r="H794" i="144"/>
  <c r="H1370" i="144"/>
  <c r="H1127" i="144"/>
  <c r="H1401" i="144"/>
  <c r="H918" i="144"/>
  <c r="H564" i="144"/>
  <c r="H1558" i="144"/>
  <c r="H42" i="144"/>
  <c r="H1537" i="144"/>
  <c r="H975" i="144"/>
  <c r="H1867" i="144"/>
  <c r="H1196" i="144"/>
  <c r="H677" i="144"/>
  <c r="H1459" i="144"/>
  <c r="H1524" i="144"/>
  <c r="H1208" i="144"/>
  <c r="H385" i="144"/>
  <c r="H207" i="144"/>
  <c r="H104" i="144"/>
  <c r="H1018" i="144"/>
  <c r="H521" i="144"/>
  <c r="H1650" i="144"/>
  <c r="H548" i="144"/>
  <c r="H1696" i="144"/>
  <c r="H695" i="144"/>
  <c r="H373" i="144"/>
  <c r="H1846" i="144"/>
  <c r="H966" i="144"/>
  <c r="H216" i="144"/>
  <c r="H1349" i="144"/>
  <c r="H2059" i="144"/>
  <c r="H969" i="144"/>
  <c r="H1323" i="144"/>
  <c r="H152" i="144"/>
  <c r="H172" i="144"/>
  <c r="H146" i="144"/>
  <c r="H2055" i="144"/>
  <c r="H15" i="144"/>
  <c r="H1796" i="144"/>
  <c r="H1617" i="144"/>
  <c r="H1313" i="144"/>
  <c r="H647" i="144"/>
  <c r="H1001" i="144"/>
  <c r="H2009" i="144"/>
  <c r="H2052" i="144"/>
  <c r="H771" i="144"/>
  <c r="H451" i="144"/>
  <c r="H2050" i="144"/>
  <c r="H1161" i="144"/>
  <c r="H1039" i="144"/>
  <c r="H632" i="144"/>
  <c r="H800" i="144"/>
  <c r="H1927" i="144"/>
  <c r="H1859" i="144"/>
  <c r="H921" i="144"/>
  <c r="H1621" i="144"/>
  <c r="H772" i="144"/>
  <c r="H1894" i="144"/>
  <c r="H1107" i="144"/>
  <c r="H120" i="144"/>
  <c r="H47" i="144"/>
  <c r="H1367" i="144"/>
  <c r="H1407" i="144"/>
  <c r="H1382" i="144"/>
  <c r="H300" i="144"/>
  <c r="H226" i="144"/>
  <c r="H1205" i="144"/>
  <c r="H1058" i="144"/>
  <c r="H74" i="144"/>
  <c r="H1690" i="144"/>
  <c r="H1466" i="144"/>
  <c r="H1206" i="144"/>
  <c r="H1536" i="144"/>
  <c r="H1067" i="144"/>
  <c r="H515" i="144"/>
  <c r="H1705" i="144"/>
  <c r="H289" i="144"/>
  <c r="H1175" i="144"/>
  <c r="H872" i="144"/>
  <c r="H990" i="144"/>
  <c r="H1138" i="144"/>
  <c r="H1857" i="144"/>
  <c r="H1040" i="144"/>
  <c r="H1229" i="144"/>
  <c r="H1350" i="144"/>
  <c r="H645" i="144"/>
  <c r="H1520" i="144"/>
  <c r="H769" i="144"/>
  <c r="H657" i="144"/>
  <c r="H107" i="144"/>
  <c r="H635" i="144"/>
  <c r="H1408" i="144"/>
  <c r="H1187" i="144"/>
  <c r="H933" i="144"/>
  <c r="H940" i="144"/>
  <c r="H20" i="144"/>
  <c r="H806" i="144"/>
  <c r="H1094" i="144"/>
  <c r="H401" i="144"/>
  <c r="H970" i="144"/>
  <c r="H444" i="144"/>
  <c r="H1720" i="144"/>
  <c r="H894" i="144"/>
  <c r="H1569" i="144"/>
  <c r="H157" i="144"/>
  <c r="H1733" i="144"/>
  <c r="H819" i="144"/>
  <c r="H659" i="144"/>
  <c r="H62" i="144"/>
  <c r="H1789" i="144"/>
  <c r="H701" i="144"/>
  <c r="H1646" i="144"/>
  <c r="H1659" i="144"/>
  <c r="H827" i="144"/>
  <c r="H1571" i="144"/>
  <c r="H578" i="144"/>
  <c r="H732" i="144"/>
  <c r="H361" i="144"/>
  <c r="H722" i="144"/>
  <c r="H1596" i="144"/>
  <c r="H520" i="144"/>
  <c r="H598" i="144"/>
  <c r="H73" i="144"/>
  <c r="H2015" i="144"/>
  <c r="H234" i="144"/>
  <c r="H1199" i="144"/>
  <c r="H693" i="144"/>
  <c r="H329" i="144"/>
  <c r="H1515" i="144"/>
  <c r="H2044" i="144"/>
  <c r="H533" i="144"/>
  <c r="H1309" i="144"/>
  <c r="H1176" i="144"/>
  <c r="H2013" i="144"/>
  <c r="H691" i="144"/>
  <c r="H803" i="144"/>
  <c r="H570" i="144"/>
  <c r="H1902" i="144"/>
  <c r="H49" i="144"/>
  <c r="H955" i="144"/>
  <c r="H1933" i="144"/>
  <c r="J422" i="75"/>
  <c r="I422" i="75"/>
  <c r="G14" i="140"/>
  <c r="K14" i="140"/>
  <c r="O14" i="140"/>
  <c r="P75" i="71"/>
  <c r="J75" i="71"/>
  <c r="M75" i="71"/>
  <c r="H909" i="144"/>
  <c r="H559" i="144"/>
  <c r="H39" i="144"/>
  <c r="H328" i="144"/>
  <c r="H1150" i="144"/>
  <c r="H1262" i="144"/>
  <c r="H1450" i="144"/>
  <c r="H1799" i="144"/>
  <c r="H719" i="144"/>
  <c r="H1221" i="144"/>
  <c r="H506" i="144"/>
  <c r="H1961" i="144"/>
  <c r="H1527" i="144"/>
  <c r="H268" i="144"/>
  <c r="H26" i="144"/>
  <c r="H485" i="144"/>
  <c r="H1445" i="144"/>
  <c r="H387" i="144"/>
  <c r="H1321" i="144"/>
  <c r="H299" i="144"/>
  <c r="H594" i="144"/>
  <c r="H58" i="144"/>
  <c r="H517" i="144"/>
  <c r="H266" i="144"/>
  <c r="H81" i="144"/>
  <c r="H1455" i="144"/>
  <c r="H1397" i="144"/>
  <c r="H339" i="144"/>
  <c r="H1709" i="144"/>
  <c r="H1941" i="144"/>
  <c r="H21" i="144"/>
  <c r="H786" i="144"/>
  <c r="H450" i="144"/>
  <c r="H1719" i="144"/>
  <c r="H669" i="144"/>
  <c r="H438" i="144"/>
  <c r="H1937" i="144"/>
  <c r="H751" i="144"/>
  <c r="H1579" i="144"/>
  <c r="H505" i="144"/>
  <c r="H50" i="144"/>
  <c r="H546" i="144"/>
  <c r="H259" i="144"/>
  <c r="H1929" i="144"/>
  <c r="H773" i="144"/>
  <c r="H1925" i="144"/>
  <c r="H1004" i="144"/>
  <c r="H424" i="144"/>
  <c r="H1576" i="144"/>
  <c r="H1692" i="144"/>
  <c r="H134" i="144"/>
  <c r="H1220" i="144"/>
  <c r="H1881" i="144"/>
  <c r="H976" i="144"/>
  <c r="H1065" i="144"/>
  <c r="H852" i="144"/>
  <c r="H1568" i="144"/>
  <c r="H1860" i="144"/>
  <c r="H756" i="144"/>
  <c r="H1415" i="144"/>
  <c r="H589" i="144"/>
  <c r="H1122" i="144"/>
  <c r="H934" i="144"/>
  <c r="H599" i="144"/>
  <c r="H1136" i="144"/>
  <c r="H998" i="144"/>
  <c r="H1600" i="144"/>
  <c r="H1974" i="144"/>
  <c r="H1378" i="144"/>
  <c r="H631" i="144"/>
  <c r="H509" i="144"/>
  <c r="H429" i="144"/>
  <c r="H218" i="144"/>
  <c r="H839" i="144"/>
  <c r="H692" i="144"/>
  <c r="H593" i="144"/>
  <c r="H671" i="144"/>
  <c r="H1847" i="144"/>
  <c r="H1499" i="144"/>
  <c r="H1581" i="144"/>
  <c r="H2035" i="144"/>
  <c r="H821" i="144"/>
  <c r="H2029" i="144"/>
  <c r="H2021" i="144"/>
  <c r="H1086" i="144"/>
  <c r="H690" i="144"/>
  <c r="H282" i="144"/>
  <c r="H569" i="144"/>
  <c r="H1022" i="144"/>
  <c r="H1098" i="144"/>
  <c r="H1502" i="144"/>
  <c r="H661" i="144"/>
  <c r="H1379" i="144"/>
  <c r="H1887" i="144"/>
  <c r="H568" i="144"/>
  <c r="H621" i="144"/>
  <c r="H163" i="144"/>
  <c r="H1723" i="144"/>
  <c r="H963" i="144"/>
  <c r="H2039" i="144"/>
  <c r="H2048" i="144"/>
  <c r="H2058" i="144"/>
  <c r="H1359" i="144"/>
  <c r="H480" i="144"/>
  <c r="H1185" i="144"/>
  <c r="H1817" i="144"/>
  <c r="H1474" i="144"/>
  <c r="H1949" i="144"/>
  <c r="H150" i="144"/>
  <c r="H1473" i="144"/>
  <c r="H528" i="144"/>
  <c r="H437" i="144"/>
  <c r="H847" i="144"/>
  <c r="H507" i="144"/>
  <c r="H16" i="144"/>
  <c r="H798" i="144"/>
  <c r="H43" i="144"/>
  <c r="H495" i="144"/>
  <c r="H202" i="144"/>
  <c r="H1877" i="144"/>
  <c r="H1352" i="144"/>
  <c r="H367" i="144"/>
  <c r="H628" i="144"/>
  <c r="H1861" i="144"/>
  <c r="H304" i="144"/>
  <c r="H223" i="144"/>
  <c r="H1787" i="144"/>
  <c r="H605" i="144"/>
  <c r="H1884" i="144"/>
  <c r="H1708" i="144"/>
  <c r="H1945" i="144"/>
  <c r="H1540" i="144"/>
  <c r="H850" i="144"/>
  <c r="H155" i="144"/>
  <c r="H1390" i="144"/>
  <c r="H372" i="144"/>
  <c r="H1783" i="144"/>
  <c r="H360" i="144"/>
  <c r="H891" i="144"/>
  <c r="H1813" i="144"/>
  <c r="H1809" i="144"/>
  <c r="H1193" i="144"/>
  <c r="H1848" i="144"/>
  <c r="H796" i="144"/>
  <c r="H989" i="144"/>
  <c r="H881" i="144"/>
  <c r="H1152" i="144"/>
  <c r="H1637" i="144"/>
  <c r="H1691" i="144"/>
  <c r="H653" i="144"/>
  <c r="H1850" i="144"/>
  <c r="H1614" i="144"/>
  <c r="H920" i="144"/>
  <c r="H531" i="144"/>
  <c r="H100" i="144"/>
  <c r="H1700" i="144"/>
  <c r="H388" i="144"/>
  <c r="H1688" i="144"/>
  <c r="H125" i="144"/>
  <c r="H1648" i="144"/>
  <c r="H640" i="144"/>
  <c r="H1416" i="144"/>
  <c r="H641" i="144"/>
  <c r="H2019" i="144"/>
  <c r="H1806" i="144"/>
  <c r="H1141" i="144"/>
  <c r="H1784" i="144"/>
  <c r="H1195" i="144"/>
  <c r="H1968" i="144"/>
  <c r="H774" i="144"/>
  <c r="H950" i="144"/>
  <c r="H1761" i="144"/>
  <c r="H301" i="144"/>
  <c r="H1452" i="144"/>
  <c r="H1100" i="144"/>
  <c r="H744" i="144"/>
  <c r="H1791" i="144"/>
  <c r="H253" i="144"/>
  <c r="H371" i="144"/>
  <c r="H1521" i="144"/>
  <c r="H1106" i="144"/>
  <c r="H1235" i="144"/>
  <c r="H2017" i="144"/>
  <c r="H703" i="144"/>
  <c r="H1716" i="144"/>
  <c r="H1546" i="144"/>
  <c r="H761" i="144"/>
  <c r="H1836" i="144"/>
  <c r="H2073" i="144"/>
  <c r="H870" i="144"/>
  <c r="H734" i="144"/>
  <c r="H2049" i="144"/>
  <c r="H1335" i="144"/>
  <c r="H1888" i="144"/>
  <c r="H844" i="144"/>
  <c r="H823" i="144"/>
  <c r="H2031" i="144"/>
  <c r="H980" i="144"/>
  <c r="H831" i="144"/>
  <c r="H156" i="144"/>
  <c r="H715" i="144"/>
  <c r="H1687" i="144"/>
  <c r="H1785" i="144"/>
  <c r="H1790" i="144"/>
  <c r="H835" i="144"/>
  <c r="H325" i="144"/>
  <c r="H676" i="144"/>
  <c r="H1644" i="144"/>
  <c r="H1812" i="144"/>
  <c r="H2024" i="144"/>
  <c r="H1827" i="144"/>
  <c r="H1186" i="144"/>
  <c r="H1906" i="144"/>
  <c r="H999" i="144"/>
  <c r="H1360" i="144"/>
  <c r="H904" i="144"/>
  <c r="H988" i="144"/>
  <c r="H1901" i="144"/>
  <c r="H828" i="144"/>
  <c r="H286" i="144"/>
  <c r="H284" i="144"/>
  <c r="H762" i="144"/>
  <c r="H1567" i="144"/>
  <c r="H1599" i="144"/>
  <c r="H1820" i="144"/>
  <c r="H1549" i="144"/>
  <c r="H1750" i="144"/>
  <c r="H432" i="144"/>
  <c r="H1903" i="144"/>
  <c r="H295" i="144"/>
  <c r="H1875" i="144"/>
  <c r="H1853" i="144"/>
  <c r="H1920" i="144"/>
  <c r="H273" i="144"/>
  <c r="H1711" i="144"/>
  <c r="H1163" i="144"/>
  <c r="H1665" i="144"/>
  <c r="H1041" i="144"/>
  <c r="H956" i="144"/>
  <c r="H1580" i="144"/>
  <c r="H1168" i="144"/>
  <c r="H724" i="144"/>
  <c r="H1339" i="144"/>
  <c r="H1019" i="144"/>
  <c r="H99" i="144"/>
  <c r="H1743" i="144"/>
  <c r="H547" i="144"/>
  <c r="H917" i="144"/>
  <c r="H810" i="144"/>
  <c r="H694" i="144"/>
  <c r="H1678" i="144"/>
  <c r="H407" i="144"/>
  <c r="H486" i="144"/>
  <c r="H341" i="144"/>
  <c r="H330" i="144"/>
  <c r="H1526" i="144"/>
  <c r="H180" i="144"/>
  <c r="H1093" i="144"/>
  <c r="H394" i="144"/>
  <c r="H1481" i="144"/>
  <c r="H400" i="144"/>
  <c r="H298" i="144"/>
  <c r="H1595" i="144"/>
  <c r="H1209" i="144"/>
  <c r="H379" i="144"/>
  <c r="H542" i="144"/>
  <c r="H1428" i="144"/>
  <c r="H320" i="144"/>
  <c r="H924" i="144"/>
  <c r="H879" i="144"/>
  <c r="H1936" i="144"/>
  <c r="H1226" i="144"/>
  <c r="H1362" i="144"/>
  <c r="H1243" i="144"/>
  <c r="H1423" i="144"/>
  <c r="H1803" i="144"/>
  <c r="H1645" i="144"/>
  <c r="H662" i="144"/>
  <c r="H1216" i="144"/>
  <c r="H356" i="144"/>
  <c r="H1051" i="144"/>
  <c r="H456" i="144"/>
  <c r="H739" i="144"/>
  <c r="H1034" i="144"/>
  <c r="H848" i="144"/>
  <c r="H683" i="144"/>
  <c r="H420" i="144"/>
  <c r="H841" i="144"/>
  <c r="H17" i="144"/>
  <c r="H1971" i="144"/>
  <c r="H206" i="144"/>
  <c r="H290" i="144"/>
  <c r="H1590" i="144"/>
  <c r="H1756" i="144"/>
  <c r="H1924" i="144"/>
  <c r="H221" i="144"/>
  <c r="H258" i="144"/>
  <c r="H1823" i="144"/>
  <c r="H91" i="144"/>
  <c r="H799" i="144"/>
  <c r="H1702" i="144"/>
  <c r="H182" i="144"/>
  <c r="H1577" i="144"/>
  <c r="H1310" i="144"/>
  <c r="H1763" i="144"/>
  <c r="H1629" i="144"/>
  <c r="H326" i="144"/>
  <c r="H1368" i="144"/>
  <c r="H2030" i="144"/>
  <c r="H1654" i="144"/>
  <c r="H1594" i="144"/>
  <c r="H54" i="144"/>
  <c r="H1375" i="144"/>
  <c r="H151" i="144"/>
  <c r="H1829" i="144"/>
  <c r="H1449" i="144"/>
  <c r="H1697" i="144"/>
  <c r="H1712" i="144"/>
  <c r="H1413" i="144"/>
  <c r="H836" i="144"/>
  <c r="H324" i="144"/>
  <c r="H1904" i="144"/>
  <c r="H2038" i="144"/>
  <c r="H2004" i="144"/>
  <c r="H1593" i="144"/>
  <c r="H2012" i="144"/>
  <c r="H1754" i="144"/>
  <c r="H945" i="144"/>
  <c r="H1346" i="144"/>
  <c r="H574" i="144"/>
  <c r="H680" i="144"/>
  <c r="H2018" i="144"/>
  <c r="H2056" i="144"/>
  <c r="H1873" i="144"/>
  <c r="H1636" i="144"/>
  <c r="H1062" i="144"/>
  <c r="H1548" i="144"/>
  <c r="H96" i="144"/>
  <c r="H1345" i="144"/>
  <c r="H903" i="144"/>
  <c r="H639" i="144"/>
  <c r="H1074" i="144"/>
  <c r="H2023" i="144"/>
  <c r="H1513" i="144"/>
  <c r="H922" i="144"/>
  <c r="H1204" i="144"/>
  <c r="H1301" i="144"/>
  <c r="H982" i="144"/>
  <c r="H418" i="144"/>
  <c r="H579" i="144"/>
  <c r="H1597" i="144"/>
  <c r="H1016" i="144"/>
  <c r="H442" i="144"/>
  <c r="H733" i="144"/>
  <c r="H1142" i="144"/>
  <c r="H1380" i="144"/>
  <c r="H753" i="144"/>
  <c r="H280" i="144"/>
  <c r="H237" i="144"/>
  <c r="H699" i="144"/>
  <c r="H977" i="144"/>
  <c r="H342" i="144"/>
  <c r="H1916" i="144"/>
  <c r="H345" i="144"/>
  <c r="H1893" i="144"/>
  <c r="H201" i="144"/>
  <c r="H383" i="144"/>
  <c r="H1728" i="144"/>
  <c r="H746" i="144"/>
  <c r="H277" i="144"/>
  <c r="H44" i="144"/>
  <c r="H508" i="144"/>
  <c r="H205" i="144"/>
  <c r="H608" i="144"/>
  <c r="H979" i="144"/>
  <c r="H313" i="144"/>
  <c r="H1409" i="144"/>
  <c r="H399" i="144"/>
  <c r="H307" i="144"/>
  <c r="H1386" i="144"/>
  <c r="H601" i="144"/>
  <c r="H2033" i="144"/>
  <c r="H488" i="144"/>
  <c r="H1201" i="144"/>
  <c r="H1489" i="144"/>
  <c r="H1954" i="144"/>
  <c r="H1198" i="144"/>
  <c r="H716" i="144"/>
  <c r="H1487" i="144"/>
  <c r="H1043" i="144"/>
  <c r="H1351" i="144"/>
  <c r="H1046" i="144"/>
  <c r="H1211" i="144"/>
  <c r="H2063" i="144"/>
  <c r="H1497" i="144"/>
  <c r="H2053" i="144"/>
  <c r="H144" i="144"/>
  <c r="H1552" i="144"/>
  <c r="H1114" i="144"/>
  <c r="H1966" i="144"/>
  <c r="H1880" i="144"/>
  <c r="H249" i="144"/>
  <c r="H1441" i="144"/>
  <c r="H553" i="144"/>
  <c r="H961" i="144"/>
  <c r="H278" i="144"/>
  <c r="H1319" i="144"/>
  <c r="H1190" i="144"/>
  <c r="H2060" i="144"/>
  <c r="H1393" i="144"/>
  <c r="H119" i="144"/>
  <c r="H2002" i="144"/>
  <c r="H1110" i="144"/>
  <c r="H316" i="144"/>
  <c r="H354" i="144"/>
  <c r="H292" i="144"/>
  <c r="H1598" i="144"/>
  <c r="H2071" i="144"/>
  <c r="H130" i="144"/>
  <c r="H260" i="144"/>
  <c r="H358" i="144"/>
  <c r="H538" i="144"/>
  <c r="H466" i="144"/>
  <c r="H185" i="144"/>
  <c r="H1979" i="144"/>
  <c r="H129" i="144"/>
  <c r="H1079" i="144"/>
  <c r="H30" i="144"/>
  <c r="H1748" i="144"/>
  <c r="H707" i="144"/>
  <c r="H2220" i="144"/>
  <c r="H1302" i="144"/>
  <c r="H1281" i="144"/>
  <c r="H322" i="144"/>
  <c r="H541" i="144"/>
  <c r="H369" i="144"/>
  <c r="H136" i="144"/>
  <c r="H565" i="144"/>
  <c r="H1775" i="144"/>
  <c r="H331" i="144"/>
  <c r="H389" i="144"/>
  <c r="H1120" i="144"/>
  <c r="H1268" i="144"/>
  <c r="H469" i="144"/>
  <c r="H250" i="144"/>
  <c r="H1658" i="144"/>
  <c r="H912" i="144"/>
  <c r="H511" i="144"/>
  <c r="H1616" i="144"/>
  <c r="H1324" i="144"/>
  <c r="H1532" i="144"/>
  <c r="H2069" i="144"/>
  <c r="H901" i="144"/>
  <c r="H1780" i="144"/>
  <c r="H1295" i="144"/>
  <c r="H888" i="144"/>
  <c r="H116" i="144"/>
  <c r="H453" i="144"/>
  <c r="H1647" i="144"/>
  <c r="H1245" i="144"/>
  <c r="H93" i="144"/>
  <c r="H1914" i="144"/>
  <c r="H445" i="144"/>
  <c r="H473" i="144"/>
  <c r="H1311" i="144"/>
  <c r="H1438" i="144"/>
  <c r="H1757" i="144"/>
  <c r="H211" i="144"/>
  <c r="H362" i="144"/>
  <c r="H487" i="144"/>
  <c r="H524" i="144"/>
  <c r="H2041" i="144"/>
  <c r="H19" i="144"/>
  <c r="H1622" i="144"/>
  <c r="H319" i="144"/>
  <c r="H312" i="144"/>
  <c r="H1101" i="144"/>
  <c r="H1451" i="144"/>
  <c r="H1541" i="144"/>
  <c r="H2066" i="144"/>
  <c r="H1839" i="144"/>
  <c r="H1369" i="144"/>
  <c r="H1998" i="144"/>
  <c r="H503" i="144"/>
  <c r="H1835" i="144"/>
  <c r="H40" i="144"/>
  <c r="H1257" i="144"/>
  <c r="H617" i="144"/>
  <c r="H1965" i="144"/>
  <c r="H675" i="144"/>
  <c r="H124" i="144"/>
  <c r="H1020" i="144"/>
  <c r="H1982" i="144"/>
  <c r="H861" i="144"/>
  <c r="H1582" i="144"/>
  <c r="H1124" i="144"/>
  <c r="H231" i="144"/>
  <c r="H1021" i="144"/>
  <c r="H1886" i="144"/>
  <c r="H795" i="144"/>
  <c r="H987" i="144"/>
  <c r="H1932" i="144"/>
  <c r="H306" i="144"/>
  <c r="H465" i="144"/>
  <c r="H1689" i="144"/>
  <c r="H353" i="144"/>
  <c r="H742" i="144"/>
  <c r="H1412" i="144"/>
  <c r="H778" i="144"/>
  <c r="H1178" i="144"/>
  <c r="H90" i="144"/>
  <c r="H906" i="144"/>
  <c r="H1064" i="144"/>
  <c r="H1776" i="144"/>
  <c r="H1414" i="144"/>
  <c r="H826" i="144"/>
  <c r="H727" i="144"/>
  <c r="H1242" i="144"/>
  <c r="H1693" i="144"/>
  <c r="H965" i="144"/>
  <c r="H1944" i="144"/>
  <c r="H161" i="144"/>
  <c r="H65" i="144"/>
  <c r="H1289" i="144"/>
  <c r="H790" i="144"/>
  <c r="H1511" i="144"/>
  <c r="H1090" i="144"/>
  <c r="H629" i="144"/>
  <c r="H1562" i="144"/>
  <c r="H1169" i="144"/>
  <c r="H974" i="144"/>
  <c r="H479" i="144"/>
  <c r="H1651" i="144"/>
  <c r="H853" i="144"/>
  <c r="H374" i="144"/>
  <c r="H892" i="144"/>
  <c r="H1077" i="144"/>
  <c r="H516" i="144"/>
  <c r="H154" i="144"/>
  <c r="H133" i="144"/>
  <c r="H31" i="144"/>
  <c r="H613" i="144"/>
  <c r="H1891" i="144"/>
  <c r="H735" i="144"/>
  <c r="H597" i="144"/>
  <c r="H279" i="144"/>
  <c r="H651" i="144"/>
  <c r="H164" i="144"/>
  <c r="H1056" i="144"/>
  <c r="H1660" i="144"/>
  <c r="H697" i="144"/>
  <c r="H1529" i="144"/>
  <c r="H121" i="144"/>
  <c r="H323" i="144"/>
  <c r="H1739" i="144"/>
  <c r="H1485" i="144"/>
  <c r="H166" i="144"/>
  <c r="H749" i="144"/>
  <c r="H1042" i="144"/>
  <c r="H1921" i="144"/>
  <c r="H128" i="144"/>
  <c r="H1656" i="144"/>
  <c r="H414" i="144"/>
  <c r="H115" i="144"/>
  <c r="H131" i="144"/>
  <c r="H190" i="144"/>
  <c r="H1303" i="144"/>
  <c r="H868" i="144"/>
  <c r="H395" i="144"/>
  <c r="H1015" i="144"/>
  <c r="H1000" i="144"/>
  <c r="H168" i="144"/>
  <c r="H1760" i="144"/>
  <c r="H28" i="144"/>
  <c r="H1493" i="144"/>
  <c r="H1139" i="144"/>
  <c r="H560" i="144"/>
  <c r="H261" i="144"/>
  <c r="H1854" i="144"/>
  <c r="H1298" i="144"/>
  <c r="H1372" i="144"/>
  <c r="H94" i="144"/>
  <c r="H1293" i="144"/>
  <c r="H1946" i="144"/>
  <c r="H1308" i="144"/>
  <c r="H643" i="144"/>
  <c r="H1315" i="144"/>
  <c r="H1671" i="144"/>
  <c r="H1970" i="144"/>
  <c r="H1605" i="144"/>
  <c r="H1105" i="144"/>
  <c r="H684" i="144"/>
  <c r="H793" i="144"/>
  <c r="H321" i="144"/>
  <c r="H1078" i="144"/>
  <c r="H1430" i="144"/>
  <c r="H670" i="144"/>
  <c r="H994" i="144"/>
  <c r="H1012" i="144"/>
  <c r="H1781" i="144"/>
  <c r="H1490" i="144"/>
  <c r="H1680" i="144"/>
  <c r="H204" i="144"/>
  <c r="H951" i="144"/>
  <c r="H64" i="144"/>
  <c r="H991" i="144"/>
  <c r="H804" i="144"/>
  <c r="H425" i="144"/>
  <c r="H228" i="144"/>
  <c r="H1852" i="144"/>
  <c r="H714" i="144"/>
  <c r="H1943" i="144"/>
  <c r="H1602" i="144"/>
  <c r="H702" i="144"/>
  <c r="H807" i="144"/>
  <c r="H1533" i="144"/>
  <c r="H1969" i="144"/>
  <c r="H882" i="144"/>
  <c r="H271" i="144"/>
  <c r="H1274" i="144"/>
  <c r="H2028" i="144"/>
  <c r="H1768" i="144"/>
  <c r="H1394" i="144"/>
  <c r="H1068" i="144"/>
  <c r="H815" i="144"/>
  <c r="H757" i="144"/>
  <c r="H1805" i="144"/>
  <c r="H105" i="144"/>
  <c r="H1833" i="144"/>
  <c r="H581" i="144"/>
  <c r="H1002" i="144"/>
  <c r="H213" i="144"/>
  <c r="H1917" i="144"/>
  <c r="H1545" i="144"/>
  <c r="H1769" i="144"/>
  <c r="H35" i="144"/>
  <c r="H481" i="144"/>
  <c r="H318" i="144"/>
  <c r="H1782" i="144"/>
  <c r="H1054" i="144"/>
  <c r="H1507" i="144"/>
  <c r="H767" i="144"/>
  <c r="H148" i="144"/>
  <c r="H1729" i="144"/>
  <c r="H336" i="144"/>
  <c r="H1173" i="144"/>
  <c r="H681" i="144"/>
  <c r="H1826" i="144"/>
  <c r="H1467" i="144"/>
  <c r="H1506" i="144"/>
  <c r="H736" i="144"/>
  <c r="H33" i="144"/>
  <c r="H1831" i="144"/>
  <c r="H504" i="144"/>
  <c r="H555" i="144"/>
  <c r="H1146" i="144"/>
  <c r="H402" i="144"/>
  <c r="H2075" i="144"/>
  <c r="H1388" i="144"/>
  <c r="H1991" i="144"/>
  <c r="H1992" i="144"/>
  <c r="H1710" i="144"/>
  <c r="H1145" i="144"/>
  <c r="H1317" i="144"/>
  <c r="H1109" i="144"/>
  <c r="H576" i="144"/>
  <c r="H1133" i="144"/>
  <c r="H725" i="144"/>
  <c r="H1956" i="144"/>
  <c r="H658" i="144"/>
  <c r="H1023" i="144"/>
  <c r="H66" i="144"/>
  <c r="H1356" i="144"/>
  <c r="H247" i="144"/>
  <c r="H428" i="144"/>
  <c r="H1026" i="144"/>
  <c r="H1500" i="144"/>
  <c r="H1270" i="144"/>
  <c r="H1179" i="144"/>
  <c r="H1010" i="144"/>
  <c r="H189" i="144"/>
  <c r="H217" i="144"/>
  <c r="H274" i="144"/>
  <c r="H602" i="144"/>
  <c r="H814" i="144"/>
  <c r="H687" i="144"/>
  <c r="H112" i="144"/>
  <c r="H1488" i="144"/>
  <c r="H554" i="144"/>
  <c r="H248" i="144"/>
  <c r="H89" i="144"/>
  <c r="H1551" i="144"/>
  <c r="H775" i="144"/>
  <c r="H270" i="144"/>
  <c r="H738" i="144"/>
  <c r="H1715" i="144"/>
  <c r="H1773" i="144"/>
  <c r="H477" i="144"/>
  <c r="H421" i="144"/>
  <c r="H625" i="144"/>
  <c r="H1231" i="144"/>
  <c r="H1821" i="144"/>
  <c r="H1189" i="144"/>
  <c r="H685" i="144"/>
  <c r="H946" i="144"/>
  <c r="H919" i="144"/>
  <c r="H1333" i="144"/>
  <c r="H760" i="144"/>
  <c r="H1465" i="144"/>
  <c r="H1132" i="144"/>
  <c r="H978" i="144"/>
  <c r="H686" i="144"/>
  <c r="H1539" i="144"/>
  <c r="H1072" i="144"/>
  <c r="H550" i="144"/>
  <c r="H764" i="144"/>
  <c r="H1097" i="144"/>
  <c r="H603" i="144"/>
  <c r="H1935" i="144"/>
  <c r="H381" i="144"/>
  <c r="H620" i="144"/>
  <c r="H1453" i="144"/>
  <c r="H791" i="144"/>
  <c r="H512" i="144"/>
  <c r="H1365" i="144"/>
  <c r="H1165" i="144"/>
  <c r="H712" i="144"/>
  <c r="H787" i="144"/>
  <c r="H171" i="144"/>
  <c r="H802" i="144"/>
  <c r="H1550" i="144"/>
  <c r="H723" i="144"/>
  <c r="H952" i="144"/>
  <c r="H792" i="144"/>
  <c r="H1915" i="144"/>
  <c r="H618" i="144"/>
  <c r="H1225" i="144"/>
  <c r="H678" i="144"/>
  <c r="H1203" i="144"/>
  <c r="H949" i="144"/>
  <c r="H1531" i="144"/>
  <c r="H1640" i="144"/>
  <c r="H780" i="144"/>
  <c r="H1588" i="144"/>
  <c r="H996" i="144"/>
  <c r="H1172" i="144"/>
  <c r="H8" i="144"/>
  <c r="H884" i="144"/>
  <c r="H1343" i="144"/>
  <c r="H251" i="144"/>
  <c r="H1523" i="144"/>
  <c r="H896" i="144"/>
  <c r="H728" i="144"/>
  <c r="H230" i="144"/>
  <c r="H197" i="144"/>
  <c r="H914" i="144"/>
  <c r="H240" i="144"/>
  <c r="H1753" i="144"/>
  <c r="H883" i="144"/>
  <c r="H1632" i="144"/>
  <c r="H1443" i="144"/>
  <c r="H1188" i="144"/>
  <c r="H672" i="144"/>
  <c r="H1402" i="144"/>
  <c r="H138" i="144"/>
  <c r="H496" i="144"/>
  <c r="H986" i="144"/>
  <c r="H378" i="144"/>
  <c r="H1442" i="144"/>
  <c r="H1619" i="144"/>
  <c r="H1336" i="144"/>
  <c r="H440" i="144"/>
  <c r="H110" i="144"/>
  <c r="H1177" i="144"/>
  <c r="H1561" i="144"/>
  <c r="H1655" i="144"/>
  <c r="H1374" i="144"/>
  <c r="H1948" i="144"/>
  <c r="H1900" i="144"/>
  <c r="H972" i="144"/>
  <c r="H1212" i="144"/>
  <c r="H1676" i="144"/>
  <c r="H86" i="144"/>
  <c r="H591" i="144"/>
  <c r="H474" i="144"/>
  <c r="H159" i="144"/>
  <c r="H908" i="144"/>
  <c r="H1938" i="144"/>
  <c r="H455" i="144"/>
  <c r="H1261" i="144"/>
  <c r="H1154" i="144"/>
  <c r="H350" i="144"/>
  <c r="H199" i="144"/>
  <c r="H254" i="144"/>
  <c r="H1699" i="144"/>
  <c r="H858" i="144"/>
  <c r="H1879" i="144"/>
  <c r="H566" i="144"/>
  <c r="H458" i="144"/>
  <c r="H526" i="144"/>
  <c r="H932" i="144"/>
  <c r="H454" i="144"/>
  <c r="H572" i="144"/>
  <c r="H2025" i="144"/>
  <c r="H1811" i="144"/>
  <c r="H811" i="144"/>
  <c r="H2065" i="144"/>
  <c r="H1849" i="144"/>
  <c r="H1575" i="144"/>
  <c r="H2051" i="144"/>
  <c r="H1085" i="144"/>
  <c r="H2072" i="144"/>
  <c r="H1858" i="144"/>
  <c r="H650" i="144"/>
  <c r="H2047" i="144"/>
  <c r="H1151" i="144"/>
  <c r="H67" i="144"/>
  <c r="H1052" i="144"/>
  <c r="H845" i="144"/>
  <c r="H938" i="144"/>
  <c r="H1649" i="144"/>
  <c r="H1125" i="144"/>
  <c r="H1331" i="144"/>
  <c r="H867" i="144"/>
  <c r="H1462" i="144"/>
  <c r="H834" i="144"/>
  <c r="H721" i="144"/>
  <c r="H1685" i="144"/>
  <c r="H1940" i="144"/>
  <c r="H959" i="144"/>
  <c r="H1942" i="144"/>
  <c r="H964" i="144"/>
  <c r="H779" i="144"/>
  <c r="H765" i="144"/>
  <c r="H302" i="144"/>
  <c r="H1471" i="144"/>
  <c r="H1975" i="144"/>
  <c r="H1131" i="144"/>
  <c r="H785" i="144"/>
  <c r="H590" i="144"/>
  <c r="H79" i="144"/>
  <c r="H1910" i="144"/>
  <c r="H652" i="144"/>
  <c r="H1149" i="144"/>
  <c r="H140" i="144"/>
  <c r="H1238" i="144"/>
  <c r="H1695" i="144"/>
  <c r="H1865" i="144"/>
  <c r="H311" i="144"/>
  <c r="H981" i="144"/>
  <c r="H1544" i="144"/>
  <c r="H1156" i="144"/>
  <c r="H384" i="144"/>
  <c r="H1566" i="144"/>
  <c r="H1267" i="144"/>
  <c r="H1162" i="144"/>
  <c r="H1976" i="144"/>
  <c r="H1460" i="144"/>
  <c r="H1862" i="144"/>
  <c r="H1642" i="144"/>
  <c r="H409" i="144"/>
  <c r="H899" i="144"/>
  <c r="H1297" i="144"/>
  <c r="H441" i="144"/>
  <c r="H992" i="144"/>
  <c r="H1009" i="144"/>
  <c r="H859" i="144"/>
  <c r="H1505" i="144"/>
  <c r="H913" i="144"/>
  <c r="H851" i="144"/>
  <c r="H1759" i="144"/>
  <c r="H1358" i="144"/>
  <c r="H740" i="144"/>
  <c r="H1745" i="144"/>
  <c r="H1573" i="144"/>
  <c r="H1144" i="144"/>
  <c r="H930" i="144"/>
  <c r="H1491" i="144"/>
  <c r="H1237" i="144"/>
  <c r="H1118" i="144"/>
  <c r="H1024" i="144"/>
  <c r="H1538" i="144"/>
  <c r="H224" i="144"/>
  <c r="H1222" i="144"/>
  <c r="H1087" i="144"/>
  <c r="H1907" i="144"/>
  <c r="H1611" i="144"/>
  <c r="H380" i="144"/>
  <c r="H392" i="144"/>
  <c r="H704" i="144"/>
  <c r="H860" i="144"/>
  <c r="H467" i="144"/>
  <c r="H1287" i="144"/>
  <c r="H1037" i="144"/>
  <c r="H1104" i="144"/>
  <c r="H754" i="144"/>
  <c r="H1191" i="144"/>
  <c r="H447" i="144"/>
  <c r="H777" i="144"/>
  <c r="H210" i="144"/>
  <c r="H1807" i="144"/>
  <c r="H614" i="144"/>
  <c r="H1103" i="144"/>
  <c r="H1182" i="144"/>
  <c r="H262" i="144"/>
  <c r="H1202" i="144"/>
  <c r="H153" i="144"/>
  <c r="H833" i="144"/>
  <c r="H1307" i="144"/>
  <c r="H1447" i="144"/>
  <c r="H1410" i="144"/>
  <c r="H1166" i="144"/>
  <c r="H649" i="144"/>
  <c r="H233" i="144"/>
  <c r="H1230" i="144"/>
  <c r="H135" i="144"/>
  <c r="H1334" i="144"/>
  <c r="H52" i="144"/>
  <c r="H1251" i="144"/>
  <c r="H203" i="144"/>
  <c r="H549" i="144"/>
  <c r="H1534" i="144"/>
  <c r="H1031" i="144"/>
  <c r="H527" i="144"/>
  <c r="H611" i="144"/>
  <c r="H256" i="144"/>
  <c r="H1436" i="144"/>
  <c r="H236" i="144"/>
  <c r="H476" i="144"/>
  <c r="H654" i="144"/>
  <c r="H1804" i="144"/>
  <c r="H1996" i="144"/>
  <c r="H768" i="144"/>
  <c r="H415" i="144"/>
  <c r="H127" i="144"/>
  <c r="H1872" i="144"/>
  <c r="H2022" i="144"/>
  <c r="H186" i="144"/>
  <c r="H2043" i="144"/>
  <c r="H648" i="144"/>
  <c r="H1684" i="144"/>
  <c r="H11" i="144"/>
  <c r="H1516" i="144"/>
  <c r="H1722" i="144"/>
  <c r="H1892" i="144"/>
  <c r="H1364" i="144"/>
  <c r="H18" i="144"/>
  <c r="H623" i="144"/>
  <c r="H708" i="144"/>
  <c r="H1876" i="144"/>
  <c r="H1486" i="144"/>
  <c r="H386" i="144"/>
  <c r="H103" i="144"/>
  <c r="H1498" i="144"/>
  <c r="H497" i="144"/>
  <c r="H915" i="144"/>
  <c r="H1747" i="144"/>
  <c r="H1934" i="144"/>
  <c r="H1194" i="144"/>
  <c r="H2032" i="144"/>
  <c r="H1448" i="144"/>
  <c r="H1868" i="144"/>
  <c r="H518" i="144"/>
  <c r="H1458" i="144"/>
  <c r="H117" i="144"/>
  <c r="H334" i="144"/>
  <c r="H502" i="144"/>
  <c r="H2061" i="144"/>
  <c r="H283" i="144"/>
  <c r="H2074" i="144"/>
  <c r="H1997" i="144"/>
  <c r="H818" i="144"/>
  <c r="H1909" i="144"/>
  <c r="H1088" i="144"/>
  <c r="H1256" i="144"/>
  <c r="H101" i="144"/>
  <c r="H13" i="144"/>
  <c r="H494" i="144"/>
  <c r="H1241" i="144"/>
  <c r="H1855" i="144"/>
  <c r="H534" i="144"/>
  <c r="H1312" i="144"/>
  <c r="H718" i="144"/>
  <c r="H165" i="144"/>
  <c r="H698" i="144"/>
  <c r="H57" i="144"/>
  <c r="H1908" i="144"/>
  <c r="H1327" i="144"/>
  <c r="H1989" i="144"/>
  <c r="H1207" i="144"/>
  <c r="H1271" i="144"/>
  <c r="H637" i="144"/>
  <c r="H85" i="144"/>
  <c r="H954" i="144"/>
  <c r="H634" i="144"/>
  <c r="H1874" i="144"/>
  <c r="H1233" i="144"/>
  <c r="H1061" i="144"/>
  <c r="H944" i="144"/>
  <c r="H1570" i="144"/>
  <c r="H1170" i="144"/>
  <c r="H1429" i="144"/>
  <c r="H123" i="144"/>
  <c r="H1013" i="144"/>
  <c r="H149" i="144"/>
  <c r="H1834" i="144"/>
  <c r="H1480" i="144"/>
  <c r="H72" i="144"/>
  <c r="H1730" i="144"/>
  <c r="H1470" i="144"/>
  <c r="H1626" i="144"/>
  <c r="H1737" i="144"/>
  <c r="H1890" i="144"/>
  <c r="H1495" i="144"/>
  <c r="H141" i="144"/>
  <c r="H595" i="144"/>
  <c r="H1318" i="144"/>
  <c r="H490" i="144"/>
  <c r="H1137" i="144"/>
  <c r="H357" i="144"/>
  <c r="H561" i="144"/>
  <c r="H700" i="144"/>
  <c r="H404" i="144"/>
  <c r="H1405" i="144"/>
  <c r="H1639" i="144"/>
  <c r="H1984" i="144"/>
  <c r="H281" i="144"/>
  <c r="H1816" i="144"/>
  <c r="H209" i="144"/>
  <c r="H332" i="144"/>
  <c r="H1348" i="144"/>
  <c r="H1250" i="144"/>
  <c r="H537" i="144"/>
  <c r="H1071" i="144"/>
  <c r="H1967" i="144"/>
  <c r="H665" i="144"/>
  <c r="H1387" i="144"/>
  <c r="H1606" i="144"/>
  <c r="H1181" i="144"/>
  <c r="H816" i="144"/>
  <c r="H706" i="144"/>
  <c r="H1631" i="144"/>
  <c r="H1592" i="144"/>
  <c r="H263" i="144"/>
  <c r="H1509" i="144"/>
  <c r="H363" i="144"/>
  <c r="H1810" i="144"/>
  <c r="H1341" i="144"/>
  <c r="H122" i="144"/>
  <c r="H1057" i="144"/>
  <c r="H1707" i="144"/>
  <c r="H682" i="144"/>
  <c r="H1050" i="144"/>
  <c r="H1092" i="144"/>
  <c r="H1947" i="144"/>
  <c r="H729" i="144"/>
  <c r="H1159" i="144"/>
  <c r="H1476" i="144"/>
  <c r="H1517" i="144"/>
  <c r="H1777" i="144"/>
  <c r="H1478" i="144"/>
  <c r="H1792" i="144"/>
  <c r="H1952" i="144"/>
  <c r="H1048" i="144"/>
  <c r="H984" i="144"/>
  <c r="H390" i="144"/>
  <c r="H335" i="144"/>
  <c r="H1675" i="144"/>
  <c r="H820" i="144"/>
  <c r="H1344" i="144"/>
  <c r="H464" i="144"/>
  <c r="H907" i="144"/>
  <c r="H343" i="144"/>
  <c r="H660" i="144"/>
  <c r="H1063" i="144"/>
  <c r="H1354" i="144"/>
  <c r="H1218" i="144"/>
  <c r="H931" i="144"/>
  <c r="H1084" i="144"/>
  <c r="H1273" i="144"/>
  <c r="H1801" i="144"/>
  <c r="H1254" i="144"/>
  <c r="H1574" i="144"/>
  <c r="H188" i="144"/>
  <c r="H1282" i="144"/>
  <c r="H294" i="144"/>
  <c r="H663" i="144"/>
  <c r="H627" i="144"/>
  <c r="H1215" i="144"/>
  <c r="H61" i="144"/>
  <c r="H1290" i="144"/>
  <c r="H1844" i="144"/>
  <c r="H1999" i="144"/>
  <c r="H1421" i="144"/>
  <c r="H1269" i="144"/>
  <c r="H338" i="144"/>
  <c r="H1913" i="144"/>
  <c r="H382" i="144"/>
  <c r="H434" i="144"/>
  <c r="H37" i="144"/>
  <c r="H1744" i="144"/>
  <c r="H501" i="144"/>
  <c r="H1252" i="144"/>
  <c r="H1475" i="144"/>
  <c r="H2070" i="144"/>
  <c r="H655" i="144"/>
  <c r="H513" i="144"/>
  <c r="H2020" i="144"/>
  <c r="H1962" i="144"/>
  <c r="H1674" i="144"/>
  <c r="H688" i="144"/>
  <c r="H1045" i="144"/>
  <c r="H1006" i="144"/>
  <c r="J161" i="71"/>
  <c r="M161" i="71"/>
  <c r="P161" i="71"/>
  <c r="H1618" i="144"/>
  <c r="H805" i="144"/>
  <c r="H1828" i="144"/>
  <c r="H1083" i="144"/>
  <c r="H865" i="144"/>
  <c r="H222" i="144"/>
  <c r="H246" i="144"/>
  <c r="H583" i="144"/>
  <c r="H1664" i="144"/>
  <c r="H1082" i="144"/>
  <c r="H27" i="144"/>
  <c r="H916" i="144"/>
  <c r="H310" i="144"/>
  <c r="H1433" i="144"/>
  <c r="H942" i="144"/>
  <c r="H584" i="144"/>
  <c r="H366" i="144"/>
  <c r="H459" i="144"/>
  <c r="H1479" i="144"/>
  <c r="H1643" i="144"/>
  <c r="H1123" i="144"/>
  <c r="H257" i="144"/>
  <c r="H1794" i="144"/>
  <c r="H1601" i="144"/>
  <c r="H1899" i="144"/>
  <c r="H1612" i="144"/>
  <c r="H689" i="144"/>
  <c r="H1276" i="144"/>
  <c r="H25" i="144"/>
  <c r="H1578" i="144"/>
  <c r="H243" i="144"/>
  <c r="H1236" i="144"/>
  <c r="H1864" i="144"/>
  <c r="H673" i="144"/>
  <c r="H412" i="144"/>
  <c r="H830" i="144"/>
  <c r="H1112" i="144"/>
  <c r="H619" i="144"/>
  <c r="H1819" i="144"/>
  <c r="H586" i="144"/>
  <c r="H995" i="144"/>
  <c r="H1314" i="144"/>
  <c r="H1958" i="144"/>
  <c r="H1371" i="144"/>
  <c r="H545" i="144"/>
  <c r="H1155" i="144"/>
  <c r="H285" i="144"/>
  <c r="H1795" i="144"/>
  <c r="H1066" i="144"/>
  <c r="H347" i="144"/>
  <c r="H1727" i="144"/>
  <c r="H340" i="144"/>
  <c r="H1603" i="144"/>
  <c r="H78" i="144"/>
  <c r="H309" i="144"/>
  <c r="H1798" i="144"/>
  <c r="H784" i="144"/>
  <c r="H92" i="144"/>
  <c r="H1284" i="144"/>
  <c r="H84" i="144"/>
  <c r="H664" i="144"/>
  <c r="H1661" i="144"/>
  <c r="H1528" i="144"/>
  <c r="H1905" i="144"/>
  <c r="H1845" i="144"/>
  <c r="H1435" i="144"/>
  <c r="H500" i="144"/>
  <c r="H1431" i="144"/>
  <c r="H398" i="144"/>
  <c r="H2014" i="144"/>
  <c r="H1740" i="144"/>
  <c r="H1977" i="144"/>
  <c r="H573" i="144"/>
  <c r="H14" i="144"/>
  <c r="H2045" i="144"/>
  <c r="H1299" i="144"/>
  <c r="H10" i="144"/>
  <c r="H1129" i="144"/>
  <c r="H82" i="144"/>
  <c r="H1223" i="144"/>
  <c r="H276" i="144"/>
  <c r="H1863" i="144"/>
  <c r="H1950" i="144"/>
  <c r="H158" i="144"/>
  <c r="H88" i="144"/>
  <c r="H264" i="144"/>
  <c r="M83" i="71"/>
  <c r="K24" i="69"/>
  <c r="N25" i="71" s="1"/>
  <c r="O25" i="71" s="1"/>
  <c r="G920" i="144"/>
  <c r="G1504" i="144"/>
  <c r="G806" i="144"/>
  <c r="J42" i="75"/>
  <c r="I42" i="75"/>
  <c r="J424" i="75"/>
  <c r="I424" i="75"/>
  <c r="I332" i="75"/>
  <c r="J332" i="75"/>
  <c r="I348" i="75"/>
  <c r="M27" i="64"/>
  <c r="J348" i="75"/>
  <c r="L27" i="64"/>
  <c r="E33" i="10"/>
  <c r="F33" i="10" s="1"/>
  <c r="E53" i="10"/>
  <c r="F53" i="10" s="1"/>
  <c r="E14" i="10"/>
  <c r="F14" i="10" s="1"/>
  <c r="E50" i="10"/>
  <c r="F50" i="10" s="1"/>
  <c r="E56" i="10"/>
  <c r="F56" i="10" s="1"/>
  <c r="E18" i="10"/>
  <c r="F18" i="10" s="1"/>
  <c r="E20" i="10"/>
  <c r="F20" i="10" s="1"/>
  <c r="E36" i="10"/>
  <c r="F36" i="10" s="1"/>
  <c r="E49" i="10"/>
  <c r="F49" i="10" s="1"/>
  <c r="E10" i="10"/>
  <c r="F10" i="10" s="1"/>
  <c r="E37" i="10"/>
  <c r="F37" i="10" s="1"/>
  <c r="E40" i="10"/>
  <c r="F40" i="10" s="1"/>
  <c r="E48" i="10"/>
  <c r="F48" i="10" s="1"/>
  <c r="E28" i="10"/>
  <c r="F28" i="10" s="1"/>
  <c r="E44" i="10"/>
  <c r="F44" i="10" s="1"/>
  <c r="J53" i="75"/>
  <c r="I53" i="75"/>
  <c r="E90" i="1"/>
  <c r="F214" i="75" s="1"/>
  <c r="J214" i="75" s="1"/>
  <c r="E57" i="10"/>
  <c r="F57" i="10" s="1"/>
  <c r="G130" i="146"/>
  <c r="G49" i="146"/>
  <c r="G93" i="146"/>
  <c r="G95" i="146"/>
  <c r="E182" i="1"/>
  <c r="F92" i="75" s="1"/>
  <c r="K19" i="101" s="1"/>
  <c r="H11" i="102"/>
  <c r="J413" i="75"/>
  <c r="G25" i="140"/>
  <c r="K25" i="140"/>
  <c r="J159" i="71"/>
  <c r="M159" i="71"/>
  <c r="L34" i="64"/>
  <c r="I66" i="75"/>
  <c r="J331" i="75"/>
  <c r="F38" i="100"/>
  <c r="G38" i="100" s="1"/>
  <c r="J107" i="56"/>
  <c r="J129" i="56"/>
  <c r="H183" i="146"/>
  <c r="J333" i="75"/>
  <c r="E30" i="1"/>
  <c r="F37" i="100"/>
  <c r="G37" i="100" s="1"/>
  <c r="H13" i="1"/>
  <c r="F132" i="75"/>
  <c r="J132" i="75" s="1"/>
  <c r="I365" i="75"/>
  <c r="J365" i="75"/>
  <c r="F323" i="75"/>
  <c r="F324" i="75"/>
  <c r="J324" i="75" s="1"/>
  <c r="F325" i="75"/>
  <c r="I325" i="75" s="1"/>
  <c r="F327" i="75"/>
  <c r="J327" i="75" s="1"/>
  <c r="Q83" i="1"/>
  <c r="E163" i="1"/>
  <c r="E84" i="1"/>
  <c r="E180" i="1"/>
  <c r="F302" i="75" s="1"/>
  <c r="I302" i="75" s="1"/>
  <c r="E109" i="1"/>
  <c r="E48" i="1"/>
  <c r="E49" i="1"/>
  <c r="F370" i="75" s="1"/>
  <c r="I72" i="101" s="1"/>
  <c r="E59" i="1"/>
  <c r="E175" i="1"/>
  <c r="E102" i="1"/>
  <c r="E124" i="1"/>
  <c r="E20" i="1"/>
  <c r="E41" i="1"/>
  <c r="E152" i="1"/>
  <c r="E24" i="1"/>
  <c r="E132" i="1"/>
  <c r="F191" i="75" s="1"/>
  <c r="E27" i="1"/>
  <c r="F59" i="75" s="1"/>
  <c r="E72" i="1"/>
  <c r="F290" i="75" s="1"/>
  <c r="E158" i="1"/>
  <c r="E183" i="1"/>
  <c r="E143" i="1"/>
  <c r="F93" i="75" s="1"/>
  <c r="E118" i="1"/>
  <c r="F318" i="75" s="1"/>
  <c r="E140" i="1"/>
  <c r="F173" i="75" s="1"/>
  <c r="E103" i="1"/>
  <c r="F239" i="75" s="1"/>
  <c r="E52" i="1"/>
  <c r="H52" i="1" s="1"/>
  <c r="E111" i="1"/>
  <c r="E159" i="1"/>
  <c r="E64" i="1"/>
  <c r="L16" i="64" s="1"/>
  <c r="E12" i="1"/>
  <c r="E11" i="1"/>
  <c r="E130" i="1"/>
  <c r="F283" i="75" s="1"/>
  <c r="L31" i="64"/>
  <c r="J409" i="75"/>
  <c r="M31" i="64"/>
  <c r="E94" i="1"/>
  <c r="K10" i="64" s="1"/>
  <c r="E148" i="1"/>
  <c r="F183" i="75" s="1"/>
  <c r="I46" i="101" s="1"/>
  <c r="E128" i="1"/>
  <c r="F129" i="75" s="1"/>
  <c r="E104" i="1"/>
  <c r="F188" i="75" s="1"/>
  <c r="E164" i="1"/>
  <c r="E22" i="1"/>
  <c r="F342" i="75" s="1"/>
  <c r="I342" i="75" s="1"/>
  <c r="E157" i="1"/>
  <c r="Q12" i="1"/>
  <c r="E105" i="1"/>
  <c r="E74" i="1"/>
  <c r="F300" i="75" s="1"/>
  <c r="I300" i="75" s="1"/>
  <c r="E96" i="1"/>
  <c r="F313" i="75" s="1"/>
  <c r="L9" i="64"/>
  <c r="E10" i="1"/>
  <c r="E26" i="1"/>
  <c r="F9" i="100"/>
  <c r="G9" i="100" s="1"/>
  <c r="E166" i="1"/>
  <c r="E98" i="1"/>
  <c r="E76" i="1"/>
  <c r="E137" i="1"/>
  <c r="E121" i="1"/>
  <c r="F113" i="75" s="1"/>
  <c r="J27" i="101" s="1"/>
  <c r="E37" i="1"/>
  <c r="E113" i="1"/>
  <c r="E141" i="1"/>
  <c r="E63" i="1"/>
  <c r="I333" i="75"/>
  <c r="E142" i="1"/>
  <c r="E47" i="1"/>
  <c r="E83" i="1"/>
  <c r="F165" i="75" s="1"/>
  <c r="I165" i="75" s="1"/>
  <c r="E43" i="1"/>
  <c r="E119" i="1"/>
  <c r="F282" i="75" s="1"/>
  <c r="E60" i="1"/>
  <c r="H60" i="1" s="1"/>
  <c r="E115" i="1"/>
  <c r="K21" i="140"/>
  <c r="O21" i="140"/>
  <c r="G11" i="140"/>
  <c r="O11" i="140"/>
  <c r="M164" i="71"/>
  <c r="J164" i="71"/>
  <c r="P164" i="71"/>
  <c r="P148" i="71"/>
  <c r="M148" i="71"/>
  <c r="E167" i="1"/>
  <c r="E89" i="1"/>
  <c r="E46" i="1"/>
  <c r="E29" i="1"/>
  <c r="L18" i="64" s="1"/>
  <c r="E40" i="1"/>
  <c r="E55" i="1"/>
  <c r="F223" i="75" s="1"/>
  <c r="I223" i="75" s="1"/>
  <c r="E138" i="1"/>
  <c r="E134" i="1"/>
  <c r="E178" i="1"/>
  <c r="E125" i="1"/>
  <c r="J211" i="56"/>
  <c r="J155" i="56"/>
  <c r="J147" i="56"/>
  <c r="J139" i="56"/>
  <c r="J117" i="56"/>
  <c r="Q131" i="1"/>
  <c r="G7" i="64"/>
  <c r="H7" i="64" s="1"/>
  <c r="H225" i="146"/>
  <c r="E33" i="1"/>
  <c r="K22" i="64" s="1"/>
  <c r="E80" i="1"/>
  <c r="F52" i="100"/>
  <c r="G52" i="100" s="1"/>
  <c r="H8" i="102"/>
  <c r="N8" i="102" s="1"/>
  <c r="J28" i="56"/>
  <c r="E25" i="1"/>
  <c r="F124" i="75" s="1"/>
  <c r="J456" i="56"/>
  <c r="J561" i="56"/>
  <c r="J537" i="56"/>
  <c r="J473" i="56"/>
  <c r="J449" i="56"/>
  <c r="J433" i="56"/>
  <c r="J369" i="56"/>
  <c r="J306" i="56"/>
  <c r="J298" i="56"/>
  <c r="J266" i="56"/>
  <c r="J258" i="56"/>
  <c r="J250" i="56"/>
  <c r="J242" i="56"/>
  <c r="J194" i="56"/>
  <c r="J154" i="56"/>
  <c r="J116" i="56"/>
  <c r="J102" i="56"/>
  <c r="E68" i="1"/>
  <c r="E139" i="1"/>
  <c r="F391" i="75" s="1"/>
  <c r="G27" i="64"/>
  <c r="H27" i="64" s="1"/>
  <c r="G11" i="64"/>
  <c r="H11" i="64" s="1"/>
  <c r="H197" i="146"/>
  <c r="E147" i="1"/>
  <c r="F382" i="75" s="1"/>
  <c r="E57" i="1"/>
  <c r="E86" i="1"/>
  <c r="E28" i="1"/>
  <c r="E116" i="1"/>
  <c r="J173" i="56"/>
  <c r="E179" i="1"/>
  <c r="E66" i="1"/>
  <c r="J582" i="56"/>
  <c r="J224" i="56"/>
  <c r="J120" i="56"/>
  <c r="J630" i="56"/>
  <c r="J614" i="56"/>
  <c r="J432" i="56"/>
  <c r="J321" i="56"/>
  <c r="J281" i="56"/>
  <c r="J209" i="56"/>
  <c r="J185" i="56"/>
  <c r="J161" i="56"/>
  <c r="J137" i="56"/>
  <c r="J130" i="56"/>
  <c r="J115" i="56"/>
  <c r="J101" i="56"/>
  <c r="J93" i="56"/>
  <c r="J85" i="56"/>
  <c r="J69" i="56"/>
  <c r="J61" i="56"/>
  <c r="J53" i="56"/>
  <c r="J45" i="56"/>
  <c r="J14" i="56"/>
  <c r="J72" i="75"/>
  <c r="K29" i="64"/>
  <c r="E155" i="1"/>
  <c r="Q163" i="1"/>
  <c r="K26" i="64"/>
  <c r="H271" i="146"/>
  <c r="H274" i="146"/>
  <c r="E165" i="1"/>
  <c r="E42" i="1"/>
  <c r="E56" i="1"/>
  <c r="E65" i="1"/>
  <c r="E34" i="1"/>
  <c r="F134" i="75" s="1"/>
  <c r="E7" i="1"/>
  <c r="F393" i="75" s="1"/>
  <c r="I393" i="75" s="1"/>
  <c r="J77" i="75"/>
  <c r="E135" i="1"/>
  <c r="J374" i="56"/>
  <c r="J57" i="56"/>
  <c r="J354" i="56"/>
  <c r="J296" i="56"/>
  <c r="J246" i="56"/>
  <c r="J331" i="56"/>
  <c r="J98" i="56"/>
  <c r="J249" i="56"/>
  <c r="J392" i="56"/>
  <c r="J27" i="56"/>
  <c r="J145" i="56"/>
  <c r="J189" i="56"/>
  <c r="J486" i="56"/>
  <c r="E177" i="1"/>
  <c r="F253" i="75" s="1"/>
  <c r="J253" i="75" s="1"/>
  <c r="E133" i="1"/>
  <c r="F79" i="75" s="1"/>
  <c r="E153" i="1"/>
  <c r="E23" i="1"/>
  <c r="E21" i="1"/>
  <c r="E173" i="1"/>
  <c r="F178" i="75" s="1"/>
  <c r="E44" i="1"/>
  <c r="E15" i="1"/>
  <c r="E112" i="1"/>
  <c r="F163" i="75" s="1"/>
  <c r="E73" i="1"/>
  <c r="J508" i="56"/>
  <c r="J245" i="56"/>
  <c r="J221" i="56"/>
  <c r="J368" i="56"/>
  <c r="J485" i="56"/>
  <c r="J241" i="56"/>
  <c r="J311" i="56"/>
  <c r="J153" i="56"/>
  <c r="J95" i="56"/>
  <c r="J178" i="56"/>
  <c r="J529" i="56"/>
  <c r="F44" i="100"/>
  <c r="G44" i="100" s="1"/>
  <c r="H7" i="102"/>
  <c r="L7" i="102" s="1"/>
  <c r="E36" i="1"/>
  <c r="F88" i="75" s="1"/>
  <c r="J574" i="56"/>
  <c r="J581" i="56"/>
  <c r="J519" i="56"/>
  <c r="J391" i="56"/>
  <c r="J359" i="56"/>
  <c r="J336" i="56"/>
  <c r="J232" i="56"/>
  <c r="J192" i="56"/>
  <c r="E50" i="1"/>
  <c r="E136" i="1"/>
  <c r="F378" i="75" s="1"/>
  <c r="J378" i="75" s="1"/>
  <c r="E35" i="1"/>
  <c r="F316" i="75" s="1"/>
  <c r="J316" i="75" s="1"/>
  <c r="E174" i="1"/>
  <c r="E16" i="1"/>
  <c r="E170" i="1"/>
  <c r="J408" i="56"/>
  <c r="J214" i="56"/>
  <c r="J604" i="56"/>
  <c r="J596" i="56"/>
  <c r="J454" i="56"/>
  <c r="J406" i="56"/>
  <c r="J382" i="56"/>
  <c r="J255" i="56"/>
  <c r="J247" i="56"/>
  <c r="Q54" i="1"/>
  <c r="E117" i="1"/>
  <c r="M34" i="64"/>
  <c r="E127" i="1"/>
  <c r="F309" i="75" s="1"/>
  <c r="E161" i="1"/>
  <c r="E81" i="1"/>
  <c r="E53" i="1"/>
  <c r="E107" i="1"/>
  <c r="E17" i="1"/>
  <c r="J452" i="56"/>
  <c r="J278" i="56"/>
  <c r="E123" i="1"/>
  <c r="F366" i="75" s="1"/>
  <c r="J610" i="56"/>
  <c r="J503" i="56"/>
  <c r="J461" i="56"/>
  <c r="J203" i="56"/>
  <c r="J200" i="56"/>
  <c r="J441" i="56"/>
  <c r="J438" i="56"/>
  <c r="J67" i="56"/>
  <c r="J323" i="56"/>
  <c r="J208" i="56"/>
  <c r="J237" i="56"/>
  <c r="J83" i="56"/>
  <c r="E82" i="1"/>
  <c r="F388" i="75" s="1"/>
  <c r="E126" i="1"/>
  <c r="E14" i="1"/>
  <c r="F212" i="75" s="1"/>
  <c r="E145" i="1"/>
  <c r="E87" i="1"/>
  <c r="J524" i="56"/>
  <c r="J437" i="56"/>
  <c r="J381" i="56"/>
  <c r="J469" i="56"/>
  <c r="J87" i="56"/>
  <c r="J628" i="56"/>
  <c r="J606" i="56"/>
  <c r="J199" i="56"/>
  <c r="J210" i="56"/>
  <c r="J108" i="56"/>
  <c r="J82" i="56"/>
  <c r="J436" i="56"/>
  <c r="E171" i="1"/>
  <c r="E85" i="1"/>
  <c r="E61" i="1"/>
  <c r="E99" i="1"/>
  <c r="J32" i="56"/>
  <c r="J627" i="56"/>
  <c r="J603" i="56"/>
  <c r="Q31" i="1"/>
  <c r="E78" i="1"/>
  <c r="F205" i="75" s="1"/>
  <c r="Q98" i="1"/>
  <c r="Q106" i="1"/>
  <c r="Q133" i="1"/>
  <c r="H177" i="146"/>
  <c r="E58" i="1"/>
  <c r="F224" i="75" s="1"/>
  <c r="E8" i="1"/>
  <c r="F338" i="75" s="1"/>
  <c r="E110" i="1"/>
  <c r="F210" i="75" s="1"/>
  <c r="E169" i="1"/>
  <c r="E38" i="1"/>
  <c r="J591" i="56"/>
  <c r="J365" i="56"/>
  <c r="J294" i="56"/>
  <c r="J127" i="56"/>
  <c r="J550" i="56"/>
  <c r="J404" i="56"/>
  <c r="J425" i="56"/>
  <c r="J546" i="56"/>
  <c r="E70" i="1"/>
  <c r="E131" i="1"/>
  <c r="E149" i="1"/>
  <c r="H149" i="1" s="1"/>
  <c r="J518" i="56"/>
  <c r="J160" i="56"/>
  <c r="J398" i="75"/>
  <c r="I398" i="75"/>
  <c r="J419" i="75"/>
  <c r="H8" i="56"/>
  <c r="J8" i="56" s="1"/>
  <c r="B7" i="182"/>
  <c r="D7" i="182" s="1"/>
  <c r="B9" i="182"/>
  <c r="F237" i="75"/>
  <c r="M25" i="64"/>
  <c r="Q52" i="1"/>
  <c r="I77" i="75"/>
  <c r="I344" i="75"/>
  <c r="I405" i="75"/>
  <c r="L25" i="64"/>
  <c r="J344" i="75"/>
  <c r="I377" i="75"/>
  <c r="J377" i="75"/>
  <c r="J406" i="75"/>
  <c r="I410" i="75"/>
  <c r="I419" i="75"/>
  <c r="L33" i="64"/>
  <c r="J363" i="75"/>
  <c r="I363" i="75"/>
  <c r="Q99" i="1"/>
  <c r="H1897" i="144"/>
  <c r="H308" i="144"/>
  <c r="H499" i="144"/>
  <c r="H1300" i="144"/>
  <c r="H1296" i="144"/>
  <c r="H430" i="144"/>
  <c r="H242" i="144"/>
  <c r="H1774" i="144"/>
  <c r="H1883" i="144"/>
  <c r="H1851" i="144"/>
  <c r="H876" i="144"/>
  <c r="H76" i="144"/>
  <c r="H349" i="144"/>
  <c r="H1751" i="144"/>
  <c r="H878" i="144"/>
  <c r="H752" i="144"/>
  <c r="H1406" i="144"/>
  <c r="H1347" i="144"/>
  <c r="H355" i="144"/>
  <c r="H1608" i="144"/>
  <c r="H580" i="144"/>
  <c r="H45" i="144"/>
  <c r="H1808" i="144"/>
  <c r="H491" i="144"/>
  <c r="H1589" i="144"/>
  <c r="H900" i="144"/>
  <c r="H616" i="144"/>
  <c r="H288" i="144"/>
  <c r="H1075" i="144"/>
  <c r="H1564" i="144"/>
  <c r="H1073" i="144"/>
  <c r="H1278" i="144"/>
  <c r="H1912" i="144"/>
  <c r="H492" i="144"/>
  <c r="H750" i="144"/>
  <c r="H1411" i="144"/>
  <c r="H941" i="144"/>
  <c r="H475" i="144"/>
  <c r="H737" i="144"/>
  <c r="H1014" i="144"/>
  <c r="H370" i="144"/>
  <c r="H1918" i="144"/>
  <c r="H782" i="144"/>
  <c r="H1029" i="144"/>
  <c r="H1424" i="144"/>
  <c r="H849" i="144"/>
  <c r="H214" i="144"/>
  <c r="H183" i="144"/>
  <c r="H897" i="144"/>
  <c r="H1788" i="144"/>
  <c r="H462" i="144"/>
  <c r="H612" i="144"/>
  <c r="H2036" i="144"/>
  <c r="H2040" i="144"/>
  <c r="H403" i="144"/>
  <c r="H1444" i="144"/>
  <c r="H1219" i="144"/>
  <c r="H70" i="144"/>
  <c r="H29" i="144"/>
  <c r="H710" i="144"/>
  <c r="H588" i="144"/>
  <c r="H1607" i="144"/>
  <c r="H225" i="144"/>
  <c r="H1337" i="144"/>
  <c r="H758" i="144"/>
  <c r="H419" i="144"/>
  <c r="H471" i="144"/>
  <c r="H1266" i="144"/>
  <c r="H967" i="144"/>
  <c r="H1682" i="144"/>
  <c r="H2064" i="144"/>
  <c r="H519" i="144"/>
  <c r="H187" i="144"/>
  <c r="J426" i="75"/>
  <c r="J416" i="75"/>
  <c r="H2314" i="144"/>
  <c r="I423" i="75"/>
  <c r="J423" i="75"/>
  <c r="E23" i="10"/>
  <c r="F23" i="10" s="1"/>
  <c r="E26" i="10"/>
  <c r="F26" i="10" s="1"/>
  <c r="E13" i="10"/>
  <c r="F13" i="10" s="1"/>
  <c r="E24" i="10"/>
  <c r="F24" i="10" s="1"/>
  <c r="E19" i="10"/>
  <c r="F19" i="10" s="1"/>
  <c r="E30" i="10"/>
  <c r="F30" i="10" s="1"/>
  <c r="E11" i="10"/>
  <c r="F11" i="10" s="1"/>
  <c r="E31" i="10"/>
  <c r="F31" i="10" s="1"/>
  <c r="E34" i="10"/>
  <c r="F34" i="10" s="1"/>
  <c r="E21" i="10"/>
  <c r="F21" i="10" s="1"/>
  <c r="E32" i="10"/>
  <c r="F32" i="10" s="1"/>
  <c r="E27" i="10"/>
  <c r="F27" i="10" s="1"/>
  <c r="E38" i="10"/>
  <c r="F38" i="10" s="1"/>
  <c r="E12" i="10"/>
  <c r="F12" i="10" s="1"/>
  <c r="E42" i="10"/>
  <c r="F42" i="10" s="1"/>
  <c r="E45" i="10"/>
  <c r="F45" i="10" s="1"/>
  <c r="E17" i="10"/>
  <c r="F17" i="10" s="1"/>
  <c r="E46" i="10"/>
  <c r="F46" i="10" s="1"/>
  <c r="E9" i="10"/>
  <c r="F9" i="10" s="1"/>
  <c r="E39" i="10"/>
  <c r="F39" i="10" s="1"/>
  <c r="E25" i="10"/>
  <c r="F25" i="10" s="1"/>
  <c r="E52" i="10"/>
  <c r="F52" i="10" s="1"/>
  <c r="E35" i="10"/>
  <c r="F35" i="10" s="1"/>
  <c r="E47" i="10"/>
  <c r="F47" i="10" s="1"/>
  <c r="E41" i="10"/>
  <c r="F41" i="10" s="1"/>
  <c r="E16" i="10"/>
  <c r="F16" i="10" s="1"/>
  <c r="E51" i="10"/>
  <c r="F51" i="10" s="1"/>
  <c r="K28" i="140"/>
  <c r="O28" i="140"/>
  <c r="Q115" i="1"/>
  <c r="I379" i="75"/>
  <c r="M33" i="64"/>
  <c r="G229" i="146"/>
  <c r="G137" i="146"/>
  <c r="G187" i="146"/>
  <c r="G51" i="146"/>
  <c r="G12" i="146"/>
  <c r="J403" i="75"/>
  <c r="I403" i="75"/>
  <c r="J247" i="75"/>
  <c r="I247" i="75"/>
  <c r="G12" i="64"/>
  <c r="H12" i="64" s="1"/>
  <c r="I411" i="75"/>
  <c r="H14" i="102"/>
  <c r="K14" i="102" s="1"/>
  <c r="J121" i="71"/>
  <c r="P121" i="71"/>
  <c r="G33" i="64"/>
  <c r="H33" i="64" s="1"/>
  <c r="G25" i="64"/>
  <c r="H25" i="64" s="1"/>
  <c r="J572" i="56"/>
  <c r="J238" i="56"/>
  <c r="B40" i="175"/>
  <c r="J99" i="56"/>
  <c r="H241" i="146"/>
  <c r="H92" i="146"/>
  <c r="H67" i="146"/>
  <c r="H256" i="146"/>
  <c r="H19" i="102"/>
  <c r="N19" i="102" s="1"/>
  <c r="F19" i="100"/>
  <c r="G19" i="100" s="1"/>
  <c r="F46" i="100"/>
  <c r="G46" i="100" s="1"/>
  <c r="F53" i="100"/>
  <c r="G53" i="100" s="1"/>
  <c r="J66" i="75"/>
  <c r="J320" i="56"/>
  <c r="J570" i="56"/>
  <c r="J119" i="56"/>
  <c r="J43" i="56"/>
  <c r="H276" i="146"/>
  <c r="H129" i="146"/>
  <c r="H119" i="146"/>
  <c r="H32" i="146"/>
  <c r="J346" i="75"/>
  <c r="F21" i="100"/>
  <c r="G21" i="100" s="1"/>
  <c r="F22" i="100"/>
  <c r="G22" i="100" s="1"/>
  <c r="F48" i="100"/>
  <c r="G48" i="100" s="1"/>
  <c r="F45" i="100"/>
  <c r="G45" i="100" s="1"/>
  <c r="F29" i="100"/>
  <c r="G29" i="100" s="1"/>
  <c r="J133" i="56"/>
  <c r="J105" i="56"/>
  <c r="H101" i="146"/>
  <c r="H165" i="146"/>
  <c r="H184" i="146"/>
  <c r="H71" i="146"/>
  <c r="Q113" i="1"/>
  <c r="M156" i="71"/>
  <c r="J156" i="71"/>
  <c r="O13" i="140"/>
  <c r="K13" i="140"/>
  <c r="J451" i="56"/>
  <c r="J310" i="56"/>
  <c r="J125" i="56"/>
  <c r="J567" i="56"/>
  <c r="J104" i="56"/>
  <c r="J453" i="56"/>
  <c r="J183" i="56"/>
  <c r="J31" i="56"/>
  <c r="J470" i="56"/>
  <c r="J96" i="56"/>
  <c r="J440" i="56"/>
  <c r="J539" i="56"/>
  <c r="J389" i="56"/>
  <c r="J493" i="56"/>
  <c r="J333" i="56"/>
  <c r="J159" i="56"/>
  <c r="J439" i="56"/>
  <c r="J313" i="56"/>
  <c r="J240" i="56"/>
  <c r="J378" i="56"/>
  <c r="J428" i="56"/>
  <c r="J482" i="56"/>
  <c r="J621" i="56"/>
  <c r="J303" i="56"/>
  <c r="J350" i="56"/>
  <c r="J424" i="56"/>
  <c r="J94" i="56"/>
  <c r="J370" i="56"/>
  <c r="J346" i="56"/>
  <c r="J254" i="56"/>
  <c r="J414" i="56"/>
  <c r="J620" i="56"/>
  <c r="J302" i="56"/>
  <c r="J371" i="56"/>
  <c r="G100" i="146"/>
  <c r="G84" i="146"/>
  <c r="G263" i="146"/>
  <c r="J257" i="56"/>
  <c r="J565" i="56"/>
  <c r="J143" i="56"/>
  <c r="J583" i="56"/>
  <c r="J571" i="56"/>
  <c r="J455" i="56"/>
  <c r="J415" i="56"/>
  <c r="J407" i="56"/>
  <c r="J375" i="56"/>
  <c r="J280" i="56"/>
  <c r="J272" i="56"/>
  <c r="J132" i="56"/>
  <c r="J19" i="56"/>
  <c r="J400" i="75"/>
  <c r="G15" i="64"/>
  <c r="H15" i="64" s="1"/>
  <c r="H196" i="146"/>
  <c r="J462" i="56"/>
  <c r="J191" i="56"/>
  <c r="J135" i="56"/>
  <c r="J575" i="56"/>
  <c r="J124" i="56"/>
  <c r="J195" i="56"/>
  <c r="J52" i="56"/>
  <c r="J532" i="56"/>
  <c r="J12" i="56"/>
  <c r="J547" i="56"/>
  <c r="J420" i="56"/>
  <c r="J501" i="56"/>
  <c r="J459" i="56"/>
  <c r="J360" i="56"/>
  <c r="J600" i="56"/>
  <c r="J345" i="56"/>
  <c r="J521" i="56"/>
  <c r="J402" i="56"/>
  <c r="J585" i="56"/>
  <c r="J276" i="56"/>
  <c r="J607" i="56"/>
  <c r="J390" i="56"/>
  <c r="J141" i="56"/>
  <c r="J26" i="56"/>
  <c r="J510" i="56"/>
  <c r="J100" i="56"/>
  <c r="J48" i="56"/>
  <c r="J446" i="56"/>
  <c r="J70" i="56"/>
  <c r="J400" i="56"/>
  <c r="G28" i="146"/>
  <c r="G135" i="146"/>
  <c r="G166" i="146"/>
  <c r="J307" i="56"/>
  <c r="J598" i="56"/>
  <c r="J352" i="56"/>
  <c r="J216" i="56"/>
  <c r="J136" i="56"/>
  <c r="J619" i="56"/>
  <c r="J611" i="56"/>
  <c r="J597" i="56"/>
  <c r="J590" i="56"/>
  <c r="J335" i="56"/>
  <c r="J319" i="56"/>
  <c r="J295" i="56"/>
  <c r="J279" i="56"/>
  <c r="J271" i="56"/>
  <c r="J239" i="56"/>
  <c r="J131" i="56"/>
  <c r="J86" i="56"/>
  <c r="J62" i="56"/>
  <c r="H186" i="146"/>
  <c r="H217" i="146"/>
  <c r="J341" i="56"/>
  <c r="J77" i="56"/>
  <c r="H224" i="146"/>
  <c r="H170" i="146"/>
  <c r="J76" i="56"/>
  <c r="J498" i="56"/>
  <c r="J615" i="56"/>
  <c r="J504" i="56"/>
  <c r="J447" i="56"/>
  <c r="J312" i="56"/>
  <c r="H75" i="146"/>
  <c r="H209" i="146"/>
  <c r="B9" i="203"/>
  <c r="C8" i="181"/>
  <c r="D8" i="181" s="1"/>
  <c r="E8" i="181" s="1"/>
  <c r="D5" i="27" s="1"/>
  <c r="J167" i="56"/>
  <c r="J79" i="56"/>
  <c r="J324" i="56"/>
  <c r="J55" i="56"/>
  <c r="J372" i="56"/>
  <c r="J373" i="56"/>
  <c r="J396" i="56"/>
  <c r="J44" i="56"/>
  <c r="J231" i="56"/>
  <c r="J213" i="56"/>
  <c r="J325" i="56"/>
  <c r="J317" i="56"/>
  <c r="J589" i="56"/>
  <c r="J448" i="56"/>
  <c r="J264" i="56"/>
  <c r="J217" i="56"/>
  <c r="J457" i="56"/>
  <c r="J622" i="56"/>
  <c r="J625" i="56"/>
  <c r="J514" i="56"/>
  <c r="J460" i="56"/>
  <c r="J42" i="56"/>
  <c r="J158" i="56"/>
  <c r="J364" i="56"/>
  <c r="J90" i="56"/>
  <c r="J434" i="56"/>
  <c r="J206" i="56"/>
  <c r="J401" i="56"/>
  <c r="J10" i="56"/>
  <c r="J553" i="56"/>
  <c r="J405" i="56"/>
  <c r="J260" i="56"/>
  <c r="J299" i="56"/>
  <c r="G190" i="146"/>
  <c r="G48" i="146"/>
  <c r="J253" i="56"/>
  <c r="J134" i="56"/>
  <c r="J287" i="56"/>
  <c r="J168" i="56"/>
  <c r="J594" i="56"/>
  <c r="J579" i="56"/>
  <c r="J560" i="56"/>
  <c r="J552" i="56"/>
  <c r="J544" i="56"/>
  <c r="J536" i="56"/>
  <c r="J528" i="56"/>
  <c r="J520" i="56"/>
  <c r="J513" i="56"/>
  <c r="J505" i="56"/>
  <c r="J497" i="56"/>
  <c r="J489" i="56"/>
  <c r="J481" i="56"/>
  <c r="J291" i="56"/>
  <c r="J283" i="56"/>
  <c r="J259" i="56"/>
  <c r="J251" i="56"/>
  <c r="J243" i="56"/>
  <c r="J236" i="56"/>
  <c r="J128" i="56"/>
  <c r="J109" i="56"/>
  <c r="J103" i="56"/>
  <c r="J38" i="56"/>
  <c r="J30" i="56"/>
  <c r="J22" i="56"/>
  <c r="J416" i="56"/>
  <c r="J63" i="56"/>
  <c r="J397" i="56"/>
  <c r="J399" i="56"/>
  <c r="J355" i="56"/>
  <c r="J326" i="56"/>
  <c r="J629" i="56"/>
  <c r="J534" i="56"/>
  <c r="J273" i="56"/>
  <c r="J233" i="56"/>
  <c r="J465" i="56"/>
  <c r="J202" i="56"/>
  <c r="J169" i="56"/>
  <c r="J24" i="56"/>
  <c r="J18" i="56"/>
  <c r="J450" i="56"/>
  <c r="J398" i="56"/>
  <c r="J20" i="56"/>
  <c r="J256" i="56"/>
  <c r="J17" i="56"/>
  <c r="J58" i="56"/>
  <c r="J301" i="56"/>
  <c r="J376" i="56"/>
  <c r="J626" i="56"/>
  <c r="J235" i="56"/>
  <c r="G35" i="146"/>
  <c r="G14" i="146"/>
  <c r="G253" i="146"/>
  <c r="J207" i="56"/>
  <c r="J269" i="56"/>
  <c r="J74" i="56"/>
  <c r="J487" i="56"/>
  <c r="J64" i="56"/>
  <c r="J578" i="56"/>
  <c r="J566" i="56"/>
  <c r="J559" i="56"/>
  <c r="J551" i="56"/>
  <c r="J543" i="56"/>
  <c r="J535" i="56"/>
  <c r="J527" i="56"/>
  <c r="J488" i="56"/>
  <c r="J480" i="56"/>
  <c r="J338" i="56"/>
  <c r="J330" i="56"/>
  <c r="J322" i="56"/>
  <c r="J220" i="56"/>
  <c r="J212" i="56"/>
  <c r="J196" i="56"/>
  <c r="J180" i="56"/>
  <c r="J164" i="56"/>
  <c r="J156" i="56"/>
  <c r="J148" i="56"/>
  <c r="J97" i="56"/>
  <c r="J89" i="56"/>
  <c r="J81" i="56"/>
  <c r="J73" i="56"/>
  <c r="H76" i="146"/>
  <c r="J274" i="56"/>
  <c r="J586" i="56"/>
  <c r="J612" i="56"/>
  <c r="J106" i="56"/>
  <c r="J563" i="56"/>
  <c r="J186" i="56"/>
  <c r="J631" i="56"/>
  <c r="J174" i="56"/>
  <c r="J265" i="56"/>
  <c r="J613" i="56"/>
  <c r="J110" i="56"/>
  <c r="J348" i="56"/>
  <c r="J347" i="56"/>
  <c r="G61" i="146"/>
  <c r="G119" i="146"/>
  <c r="J248" i="56"/>
  <c r="J413" i="56"/>
  <c r="J576" i="56"/>
  <c r="J479" i="56"/>
  <c r="J592" i="56"/>
  <c r="J577" i="56"/>
  <c r="J305" i="56"/>
  <c r="J226" i="56"/>
  <c r="J219" i="56"/>
  <c r="J187" i="56"/>
  <c r="J179" i="56"/>
  <c r="J171" i="56"/>
  <c r="J114" i="56"/>
  <c r="K27" i="64"/>
  <c r="M80" i="71"/>
  <c r="J80" i="71"/>
  <c r="Q41" i="1"/>
  <c r="Q35" i="1"/>
  <c r="J108" i="71"/>
  <c r="P108" i="71"/>
  <c r="M108" i="71"/>
  <c r="Q143" i="1"/>
  <c r="F146" i="75"/>
  <c r="I425" i="75"/>
  <c r="J425" i="75"/>
  <c r="Q55" i="1"/>
  <c r="J109" i="71"/>
  <c r="M109" i="71"/>
  <c r="P109" i="71"/>
  <c r="P50" i="71"/>
  <c r="J50" i="71"/>
  <c r="M50" i="71"/>
  <c r="I236" i="75"/>
  <c r="J236" i="75"/>
  <c r="P80" i="71"/>
  <c r="O8" i="140"/>
  <c r="G8" i="140"/>
  <c r="K8" i="140"/>
  <c r="M157" i="71"/>
  <c r="J157" i="71"/>
  <c r="P157" i="71"/>
  <c r="P150" i="71"/>
  <c r="M150" i="71"/>
  <c r="J120" i="71"/>
  <c r="M120" i="71"/>
  <c r="P120" i="71"/>
  <c r="Q68" i="1"/>
  <c r="Q65" i="1"/>
  <c r="F149" i="75"/>
  <c r="J149" i="71"/>
  <c r="M149" i="71"/>
  <c r="P149" i="71"/>
  <c r="F151" i="75"/>
  <c r="J151" i="75" s="1"/>
  <c r="Q29" i="1"/>
  <c r="P165" i="71"/>
  <c r="J165" i="71"/>
  <c r="M8" i="71"/>
  <c r="J8" i="71"/>
  <c r="P8" i="71"/>
  <c r="J172" i="71"/>
  <c r="I421" i="75"/>
  <c r="J421" i="75"/>
  <c r="P156" i="71"/>
  <c r="F148" i="75"/>
  <c r="F147" i="75"/>
  <c r="H13" i="102"/>
  <c r="N13" i="102" s="1"/>
  <c r="F5" i="32"/>
  <c r="G247" i="146"/>
  <c r="G258" i="146"/>
  <c r="G153" i="146"/>
  <c r="G168" i="146"/>
  <c r="G105" i="146"/>
  <c r="G170" i="146"/>
  <c r="G220" i="146"/>
  <c r="G206" i="146"/>
  <c r="G123" i="146"/>
  <c r="G198" i="146"/>
  <c r="G256" i="146"/>
  <c r="G58" i="146"/>
  <c r="G195" i="146"/>
  <c r="G106" i="146"/>
  <c r="F6" i="32"/>
  <c r="J609" i="56"/>
  <c r="J602" i="56"/>
  <c r="J562" i="56"/>
  <c r="J475" i="56"/>
  <c r="J468" i="56"/>
  <c r="J388" i="56"/>
  <c r="J175" i="56"/>
  <c r="J68" i="56"/>
  <c r="J16" i="56"/>
  <c r="G8" i="1"/>
  <c r="G14" i="1"/>
  <c r="G10" i="1"/>
  <c r="G183" i="1"/>
  <c r="G94" i="1"/>
  <c r="G82" i="1"/>
  <c r="G51" i="1"/>
  <c r="G166" i="1"/>
  <c r="F4" i="32"/>
  <c r="C7" i="203" s="1"/>
  <c r="G64" i="146"/>
  <c r="G25" i="146"/>
  <c r="G159" i="146"/>
  <c r="G273" i="146"/>
  <c r="J314" i="56"/>
  <c r="J218" i="56"/>
  <c r="J332" i="56"/>
  <c r="J286" i="56"/>
  <c r="J410" i="56"/>
  <c r="J197" i="56"/>
  <c r="J198" i="56"/>
  <c r="J418" i="56"/>
  <c r="J277" i="56"/>
  <c r="J193" i="56"/>
  <c r="J170" i="56"/>
  <c r="J244" i="56"/>
  <c r="J409" i="56"/>
  <c r="J366" i="56"/>
  <c r="J458" i="56"/>
  <c r="J502" i="56"/>
  <c r="J417" i="56"/>
  <c r="J225" i="56"/>
  <c r="J262" i="56"/>
  <c r="J509" i="56"/>
  <c r="J384" i="56"/>
  <c r="J71" i="56"/>
  <c r="J511" i="56"/>
  <c r="J190" i="56"/>
  <c r="J51" i="56"/>
  <c r="J580" i="56"/>
  <c r="J474" i="56"/>
  <c r="J427" i="56"/>
  <c r="J419" i="56"/>
  <c r="J411" i="56"/>
  <c r="J379" i="56"/>
  <c r="F42" i="100"/>
  <c r="G42" i="100" s="1"/>
  <c r="H18" i="102"/>
  <c r="J399" i="75"/>
  <c r="J517" i="56"/>
  <c r="J300" i="56"/>
  <c r="G22" i="64"/>
  <c r="I404" i="75"/>
  <c r="H103" i="101"/>
  <c r="B7" i="158" s="1"/>
  <c r="E160" i="1"/>
  <c r="F105" i="75" s="1"/>
  <c r="E9" i="124"/>
  <c r="F15" i="125"/>
  <c r="E50" i="124"/>
  <c r="E56" i="124"/>
  <c r="E42" i="124"/>
  <c r="F47" i="125"/>
  <c r="J47" i="125" s="1"/>
  <c r="E29" i="124"/>
  <c r="F20" i="125"/>
  <c r="F50" i="125"/>
  <c r="F45" i="125"/>
  <c r="E27" i="124"/>
  <c r="F26" i="125"/>
  <c r="E10" i="124"/>
  <c r="E51" i="124"/>
  <c r="E57" i="124"/>
  <c r="E16" i="124"/>
  <c r="E48" i="124"/>
  <c r="E8" i="124"/>
  <c r="F39" i="125"/>
  <c r="J39" i="125" s="1"/>
  <c r="E21" i="124"/>
  <c r="F12" i="125"/>
  <c r="F16" i="125"/>
  <c r="I16" i="125" s="1"/>
  <c r="F37" i="125"/>
  <c r="E19" i="124"/>
  <c r="F18" i="125"/>
  <c r="F8" i="125"/>
  <c r="E43" i="124"/>
  <c r="F32" i="125"/>
  <c r="I32" i="125" s="1"/>
  <c r="J593" i="56"/>
  <c r="J476" i="56"/>
  <c r="J337" i="56"/>
  <c r="J282" i="56"/>
  <c r="J228" i="56"/>
  <c r="J573" i="56"/>
  <c r="J421" i="56"/>
  <c r="J297" i="56"/>
  <c r="J123" i="56"/>
  <c r="M32" i="64"/>
  <c r="G20" i="64"/>
  <c r="H20" i="64" s="1"/>
  <c r="E154" i="1"/>
  <c r="E162" i="1"/>
  <c r="F169" i="75" s="1"/>
  <c r="F8" i="100"/>
  <c r="G8" i="100" s="1"/>
  <c r="F35" i="100"/>
  <c r="G35" i="100" s="1"/>
  <c r="H9" i="102"/>
  <c r="L9" i="102" s="1"/>
  <c r="F18" i="100"/>
  <c r="G18" i="100" s="1"/>
  <c r="F27" i="100"/>
  <c r="G27" i="100" s="1"/>
  <c r="F16" i="100"/>
  <c r="G16" i="100" s="1"/>
  <c r="Q24" i="1"/>
  <c r="J405" i="75"/>
  <c r="E176" i="1"/>
  <c r="E97" i="1"/>
  <c r="F394" i="75" s="1"/>
  <c r="E129" i="1"/>
  <c r="E45" i="1"/>
  <c r="Q122" i="1"/>
  <c r="E93" i="1"/>
  <c r="F104" i="75" s="1"/>
  <c r="J564" i="56"/>
  <c r="F26" i="100"/>
  <c r="G26" i="100" s="1"/>
  <c r="F40" i="100"/>
  <c r="G40" i="100" s="1"/>
  <c r="Q69" i="1"/>
  <c r="I413" i="75"/>
  <c r="E91" i="1"/>
  <c r="Q171" i="1"/>
  <c r="Q26" i="1"/>
  <c r="E32" i="1"/>
  <c r="I420" i="75"/>
  <c r="Q183" i="1"/>
  <c r="Q152" i="1"/>
  <c r="E122" i="1"/>
  <c r="Q120" i="1"/>
  <c r="Q158" i="1"/>
  <c r="F28" i="100"/>
  <c r="G28" i="100" s="1"/>
  <c r="J478" i="56"/>
  <c r="J339" i="56"/>
  <c r="J230" i="56"/>
  <c r="J11" i="56"/>
  <c r="E18" i="1"/>
  <c r="E120" i="1"/>
  <c r="E151" i="1"/>
  <c r="K34" i="64"/>
  <c r="G10" i="64"/>
  <c r="H10" i="64" s="1"/>
  <c r="G26" i="64"/>
  <c r="H26" i="64" s="1"/>
  <c r="G14" i="64"/>
  <c r="H14" i="64" s="1"/>
  <c r="J139" i="75"/>
  <c r="E69" i="1"/>
  <c r="F320" i="75" s="1"/>
  <c r="E77" i="1"/>
  <c r="F387" i="75" s="1"/>
  <c r="H164" i="146"/>
  <c r="H175" i="146"/>
  <c r="H277" i="146"/>
  <c r="H56" i="146"/>
  <c r="H112" i="146"/>
  <c r="H265" i="146"/>
  <c r="F32" i="28"/>
  <c r="D32" i="28"/>
  <c r="F127" i="75"/>
  <c r="F135" i="75"/>
  <c r="Q32" i="1"/>
  <c r="Q179" i="1"/>
  <c r="J181" i="75"/>
  <c r="I181" i="75"/>
  <c r="Q177" i="1"/>
  <c r="Q167" i="1"/>
  <c r="F180" i="75"/>
  <c r="J411" i="75"/>
  <c r="P71" i="1"/>
  <c r="E71" i="1" s="1"/>
  <c r="F373" i="75" s="1"/>
  <c r="O162" i="1"/>
  <c r="I329" i="75"/>
  <c r="Q50" i="1"/>
  <c r="J404" i="75"/>
  <c r="P54" i="1"/>
  <c r="E54" i="1" s="1"/>
  <c r="G32" i="64"/>
  <c r="H32" i="64" s="1"/>
  <c r="Q60" i="1"/>
  <c r="O151" i="1"/>
  <c r="M9" i="64"/>
  <c r="G34" i="64"/>
  <c r="H34" i="64" s="1"/>
  <c r="F30" i="100"/>
  <c r="G30" i="100" s="1"/>
  <c r="I347" i="75"/>
  <c r="I402" i="75"/>
  <c r="P31" i="1"/>
  <c r="E31" i="1" s="1"/>
  <c r="F244" i="75" s="1"/>
  <c r="O100" i="1"/>
  <c r="I190" i="1" s="1"/>
  <c r="M190" i="1" s="1"/>
  <c r="I334" i="75"/>
  <c r="J347" i="75"/>
  <c r="L32" i="64"/>
  <c r="O77" i="1"/>
  <c r="F17" i="100"/>
  <c r="G17" i="100" s="1"/>
  <c r="J334" i="75"/>
  <c r="L26" i="64"/>
  <c r="P106" i="1"/>
  <c r="E106" i="1" s="1"/>
  <c r="P19" i="1"/>
  <c r="K190" i="1" s="1"/>
  <c r="N190" i="1" s="1"/>
  <c r="AR35" i="71"/>
  <c r="AQ35" i="71"/>
  <c r="AS35" i="71"/>
  <c r="AQ19" i="71"/>
  <c r="AS19" i="71"/>
  <c r="AR19" i="71"/>
  <c r="AQ40" i="71"/>
  <c r="AR40" i="71"/>
  <c r="AS40" i="71"/>
  <c r="F328" i="75"/>
  <c r="I328" i="75" s="1"/>
  <c r="F321" i="75"/>
  <c r="AR116" i="71"/>
  <c r="AQ116" i="71"/>
  <c r="AS116" i="71"/>
  <c r="AQ172" i="71"/>
  <c r="M172" i="71"/>
  <c r="P56" i="71"/>
  <c r="J56" i="71"/>
  <c r="AS56" i="71"/>
  <c r="F238" i="75"/>
  <c r="F326" i="75"/>
  <c r="M162" i="71"/>
  <c r="J162" i="71"/>
  <c r="AQ162" i="71"/>
  <c r="AS66" i="71"/>
  <c r="J463" i="56"/>
  <c r="J111" i="56"/>
  <c r="J56" i="56"/>
  <c r="E13" i="170"/>
  <c r="G13" i="170"/>
  <c r="E22" i="170"/>
  <c r="G22" i="170"/>
  <c r="E18" i="170"/>
  <c r="G18" i="170"/>
  <c r="E24" i="170"/>
  <c r="G24" i="170"/>
  <c r="E8" i="170"/>
  <c r="G8" i="170"/>
  <c r="J375" i="75"/>
  <c r="E28" i="157"/>
  <c r="J512" i="56"/>
  <c r="J222" i="56"/>
  <c r="B40" i="174"/>
  <c r="I40" i="174" s="1"/>
  <c r="J307" i="149" s="1"/>
  <c r="E28" i="170"/>
  <c r="G28" i="170"/>
  <c r="O146" i="1"/>
  <c r="O152" i="187"/>
  <c r="Q155" i="75" s="1"/>
  <c r="G10" i="102"/>
  <c r="H10" i="102" s="1"/>
  <c r="M10" i="102" s="1"/>
  <c r="E39" i="100"/>
  <c r="F39" i="100" s="1"/>
  <c r="G39" i="100" s="1"/>
  <c r="K11" i="102"/>
  <c r="J616" i="56"/>
  <c r="J495" i="56"/>
  <c r="J184" i="56"/>
  <c r="E7" i="181"/>
  <c r="C5" i="27" s="1"/>
  <c r="E29" i="170"/>
  <c r="G29" i="170"/>
  <c r="E16" i="170"/>
  <c r="G16" i="170"/>
  <c r="E19" i="170"/>
  <c r="G19" i="170"/>
  <c r="E26" i="170"/>
  <c r="G26" i="170"/>
  <c r="E10" i="170"/>
  <c r="G10" i="170"/>
  <c r="E11" i="170"/>
  <c r="J11" i="170" s="1"/>
  <c r="G11" i="170"/>
  <c r="I72" i="75"/>
  <c r="G17" i="102"/>
  <c r="H17" i="102" s="1"/>
  <c r="M17" i="102" s="1"/>
  <c r="J234" i="56"/>
  <c r="J204" i="56"/>
  <c r="J46" i="56"/>
  <c r="J288" i="56"/>
  <c r="I13" i="102"/>
  <c r="E43" i="100"/>
  <c r="F43" i="100" s="1"/>
  <c r="G43" i="100" s="1"/>
  <c r="E9" i="170"/>
  <c r="G9" i="170"/>
  <c r="E27" i="170"/>
  <c r="G27" i="170"/>
  <c r="S1517" i="144"/>
  <c r="F1517" i="144" s="1"/>
  <c r="S1513" i="144"/>
  <c r="F1513" i="144" s="1"/>
  <c r="S1509" i="144"/>
  <c r="F1509" i="144" s="1"/>
  <c r="S1505" i="144"/>
  <c r="F1505" i="144" s="1"/>
  <c r="S1500" i="144"/>
  <c r="F1500" i="144" s="1"/>
  <c r="S1496" i="144"/>
  <c r="F1496" i="144" s="1"/>
  <c r="S1492" i="144"/>
  <c r="F1492" i="144" s="1"/>
  <c r="S1488" i="144"/>
  <c r="F1488" i="144" s="1"/>
  <c r="S1484" i="144"/>
  <c r="F1484" i="144" s="1"/>
  <c r="S1480" i="144"/>
  <c r="F1480" i="144" s="1"/>
  <c r="S1476" i="144"/>
  <c r="F1476" i="144" s="1"/>
  <c r="S1472" i="144"/>
  <c r="F1472" i="144" s="1"/>
  <c r="S1468" i="144"/>
  <c r="F1468" i="144" s="1"/>
  <c r="S1464" i="144"/>
  <c r="F1464" i="144" s="1"/>
  <c r="S1460" i="144"/>
  <c r="F1460" i="144" s="1"/>
  <c r="S1456" i="144"/>
  <c r="F1456" i="144" s="1"/>
  <c r="S1452" i="144"/>
  <c r="F1452" i="144" s="1"/>
  <c r="S1448" i="144"/>
  <c r="F1448" i="144" s="1"/>
  <c r="S1444" i="144"/>
  <c r="F1444" i="144" s="1"/>
  <c r="S1439" i="144"/>
  <c r="F1439" i="144" s="1"/>
  <c r="S1435" i="144"/>
  <c r="F1435" i="144" s="1"/>
  <c r="S1431" i="144"/>
  <c r="F1431" i="144" s="1"/>
  <c r="S1427" i="144"/>
  <c r="F1427" i="144" s="1"/>
  <c r="S1423" i="144"/>
  <c r="F1423" i="144" s="1"/>
  <c r="S1419" i="144"/>
  <c r="F1419" i="144" s="1"/>
  <c r="S1414" i="144"/>
  <c r="F1414" i="144" s="1"/>
  <c r="S1410" i="144"/>
  <c r="F1410" i="144" s="1"/>
  <c r="S1406" i="144"/>
  <c r="F1406" i="144" s="1"/>
  <c r="S1401" i="144"/>
  <c r="F1401" i="144" s="1"/>
  <c r="S1396" i="144"/>
  <c r="F1396" i="144" s="1"/>
  <c r="S1392" i="144"/>
  <c r="F1392" i="144" s="1"/>
  <c r="S1388" i="144"/>
  <c r="F1388" i="144" s="1"/>
  <c r="S1377" i="144"/>
  <c r="F1377" i="144" s="1"/>
  <c r="S1373" i="144"/>
  <c r="F1373" i="144" s="1"/>
  <c r="S1369" i="144"/>
  <c r="F1369" i="144" s="1"/>
  <c r="S1365" i="144"/>
  <c r="F1365" i="144" s="1"/>
  <c r="S1361" i="144"/>
  <c r="F1361" i="144" s="1"/>
  <c r="S1357" i="144"/>
  <c r="F1357" i="144" s="1"/>
  <c r="S1353" i="144"/>
  <c r="F1353" i="144" s="1"/>
  <c r="S1349" i="144"/>
  <c r="F1349" i="144" s="1"/>
  <c r="S1345" i="144"/>
  <c r="F1345" i="144" s="1"/>
  <c r="S1341" i="144"/>
  <c r="F1341" i="144" s="1"/>
  <c r="S1337" i="144"/>
  <c r="F1337" i="144" s="1"/>
  <c r="S1333" i="144"/>
  <c r="F1333" i="144" s="1"/>
  <c r="S1328" i="144"/>
  <c r="F1328" i="144" s="1"/>
  <c r="S1324" i="144"/>
  <c r="F1324" i="144" s="1"/>
  <c r="S1319" i="144"/>
  <c r="F1319" i="144" s="1"/>
  <c r="S1314" i="144"/>
  <c r="F1314" i="144" s="1"/>
  <c r="S1310" i="144"/>
  <c r="F1310" i="144" s="1"/>
  <c r="S1306" i="144"/>
  <c r="F1306" i="144" s="1"/>
  <c r="S1301" i="144"/>
  <c r="F1301" i="144" s="1"/>
  <c r="S1297" i="144"/>
  <c r="F1297" i="144" s="1"/>
  <c r="S1293" i="144"/>
  <c r="F1293" i="144" s="1"/>
  <c r="S1289" i="144"/>
  <c r="F1289" i="144" s="1"/>
  <c r="S1284" i="144"/>
  <c r="F1284" i="144" s="1"/>
  <c r="S1280" i="144"/>
  <c r="F1280" i="144" s="1"/>
  <c r="S1276" i="144"/>
  <c r="F1276" i="144" s="1"/>
  <c r="S1271" i="144"/>
  <c r="F1271" i="144" s="1"/>
  <c r="S1267" i="144"/>
  <c r="F1267" i="144" s="1"/>
  <c r="S1263" i="144"/>
  <c r="F1263" i="144" s="1"/>
  <c r="S1259" i="144"/>
  <c r="F1259" i="144" s="1"/>
  <c r="S1255" i="144"/>
  <c r="F1255" i="144" s="1"/>
  <c r="S1251" i="144"/>
  <c r="F1251" i="144" s="1"/>
  <c r="S1245" i="144"/>
  <c r="F1245" i="144" s="1"/>
  <c r="S1241" i="144"/>
  <c r="F1241" i="144" s="1"/>
  <c r="S1237" i="144"/>
  <c r="F1237" i="144" s="1"/>
  <c r="S1233" i="144"/>
  <c r="F1233" i="144" s="1"/>
  <c r="S1229" i="144"/>
  <c r="F1229" i="144" s="1"/>
  <c r="S1225" i="144"/>
  <c r="F1225" i="144" s="1"/>
  <c r="S1221" i="144"/>
  <c r="F1221" i="144" s="1"/>
  <c r="S1217" i="144"/>
  <c r="F1217" i="144" s="1"/>
  <c r="S1213" i="144"/>
  <c r="F1213" i="144" s="1"/>
  <c r="S1209" i="144"/>
  <c r="F1209" i="144" s="1"/>
  <c r="S1205" i="144"/>
  <c r="F1205" i="144" s="1"/>
  <c r="S1201" i="144"/>
  <c r="F1201" i="144" s="1"/>
  <c r="S1196" i="144"/>
  <c r="F1196" i="144" s="1"/>
  <c r="S1192" i="144"/>
  <c r="F1192" i="144" s="1"/>
  <c r="S1188" i="144"/>
  <c r="F1188" i="144" s="1"/>
  <c r="S1184" i="144"/>
  <c r="F1184" i="144" s="1"/>
  <c r="S1180" i="144"/>
  <c r="F1180" i="144" s="1"/>
  <c r="S1176" i="144"/>
  <c r="S1170" i="144"/>
  <c r="F1170" i="144" s="1"/>
  <c r="S1166" i="144"/>
  <c r="F1166" i="144" s="1"/>
  <c r="S1162" i="144"/>
  <c r="F1162" i="144" s="1"/>
  <c r="S1158" i="144"/>
  <c r="F1158" i="144" s="1"/>
  <c r="S1154" i="144"/>
  <c r="F1154" i="144" s="1"/>
  <c r="S1150" i="144"/>
  <c r="F1150" i="144" s="1"/>
  <c r="S1146" i="144"/>
  <c r="F1146" i="144" s="1"/>
  <c r="S1142" i="144"/>
  <c r="F1142" i="144" s="1"/>
  <c r="S1137" i="144"/>
  <c r="F1137" i="144" s="1"/>
  <c r="S1133" i="144"/>
  <c r="F1133" i="144" s="1"/>
  <c r="S1128" i="144"/>
  <c r="F1128" i="144" s="1"/>
  <c r="S1123" i="144"/>
  <c r="F1123" i="144" s="1"/>
  <c r="S1119" i="144"/>
  <c r="F1119" i="144" s="1"/>
  <c r="S1115" i="144"/>
  <c r="F1115" i="144" s="1"/>
  <c r="S1111" i="144"/>
  <c r="F1111" i="144" s="1"/>
  <c r="S1107" i="144"/>
  <c r="F1107" i="144" s="1"/>
  <c r="S1103" i="144"/>
  <c r="F1103" i="144" s="1"/>
  <c r="S1099" i="144"/>
  <c r="F1099" i="144" s="1"/>
  <c r="S1095" i="144"/>
  <c r="F1095" i="144" s="1"/>
  <c r="S1091" i="144"/>
  <c r="F1091" i="144" s="1"/>
  <c r="S1087" i="144"/>
  <c r="F1087" i="144" s="1"/>
  <c r="S1083" i="144"/>
  <c r="F1083" i="144" s="1"/>
  <c r="S1079" i="144"/>
  <c r="F1079" i="144" s="1"/>
  <c r="S1075" i="144"/>
  <c r="F1075" i="144" s="1"/>
  <c r="S1071" i="144"/>
  <c r="F1071" i="144" s="1"/>
  <c r="S1067" i="144"/>
  <c r="F1067" i="144" s="1"/>
  <c r="S1063" i="144"/>
  <c r="F1063" i="144" s="1"/>
  <c r="S1059" i="144"/>
  <c r="F1059" i="144" s="1"/>
  <c r="S1055" i="144"/>
  <c r="F1055" i="144" s="1"/>
  <c r="S1050" i="144"/>
  <c r="F1050" i="144" s="1"/>
  <c r="S1046" i="144"/>
  <c r="F1046" i="144" s="1"/>
  <c r="S1042" i="144"/>
  <c r="F1042" i="144" s="1"/>
  <c r="S1038" i="144"/>
  <c r="F1038" i="144" s="1"/>
  <c r="S1033" i="144"/>
  <c r="F1033" i="144" s="1"/>
  <c r="S1029" i="144"/>
  <c r="F1029" i="144" s="1"/>
  <c r="S1025" i="144"/>
  <c r="F1025" i="144" s="1"/>
  <c r="S1021" i="144"/>
  <c r="F1021" i="144" s="1"/>
  <c r="S1017" i="144"/>
  <c r="F1017" i="144" s="1"/>
  <c r="S1013" i="144"/>
  <c r="F1013" i="144" s="1"/>
  <c r="S1009" i="144"/>
  <c r="F1009" i="144" s="1"/>
  <c r="S1004" i="144"/>
  <c r="F1004" i="144" s="1"/>
  <c r="S1000" i="144"/>
  <c r="F1000" i="144" s="1"/>
  <c r="S996" i="144"/>
  <c r="F996" i="144" s="1"/>
  <c r="S992" i="144"/>
  <c r="F992" i="144" s="1"/>
  <c r="S988" i="144"/>
  <c r="F988" i="144" s="1"/>
  <c r="S984" i="144"/>
  <c r="F984" i="144" s="1"/>
  <c r="S980" i="144"/>
  <c r="F980" i="144" s="1"/>
  <c r="S976" i="144"/>
  <c r="F976" i="144" s="1"/>
  <c r="S972" i="144"/>
  <c r="F972" i="144" s="1"/>
  <c r="S968" i="144"/>
  <c r="F968" i="144" s="1"/>
  <c r="S964" i="144"/>
  <c r="F964" i="144" s="1"/>
  <c r="S960" i="144"/>
  <c r="F960" i="144" s="1"/>
  <c r="S956" i="144"/>
  <c r="F956" i="144" s="1"/>
  <c r="S952" i="144"/>
  <c r="F952" i="144" s="1"/>
  <c r="S947" i="144"/>
  <c r="F947" i="144" s="1"/>
  <c r="S943" i="144"/>
  <c r="F943" i="144" s="1"/>
  <c r="S938" i="144"/>
  <c r="F938" i="144" s="1"/>
  <c r="S934" i="144"/>
  <c r="F934" i="144" s="1"/>
  <c r="S930" i="144"/>
  <c r="F930" i="144" s="1"/>
  <c r="S926" i="144"/>
  <c r="F926" i="144" s="1"/>
  <c r="S921" i="144"/>
  <c r="F921" i="144" s="1"/>
  <c r="S917" i="144"/>
  <c r="F917" i="144" s="1"/>
  <c r="S913" i="144"/>
  <c r="F913" i="144" s="1"/>
  <c r="S909" i="144"/>
  <c r="F909" i="144" s="1"/>
  <c r="S905" i="144"/>
  <c r="F905" i="144" s="1"/>
  <c r="S901" i="144"/>
  <c r="F901" i="144" s="1"/>
  <c r="S897" i="144"/>
  <c r="F897" i="144" s="1"/>
  <c r="S892" i="144"/>
  <c r="F892" i="144" s="1"/>
  <c r="S888" i="144"/>
  <c r="F888" i="144" s="1"/>
  <c r="S883" i="144"/>
  <c r="F883" i="144" s="1"/>
  <c r="S879" i="144"/>
  <c r="F879" i="144" s="1"/>
  <c r="S875" i="144"/>
  <c r="F875" i="144" s="1"/>
  <c r="S869" i="144"/>
  <c r="F869" i="144" s="1"/>
  <c r="S863" i="144"/>
  <c r="F863" i="144" s="1"/>
  <c r="S859" i="144"/>
  <c r="F859" i="144" s="1"/>
  <c r="S855" i="144"/>
  <c r="F855" i="144" s="1"/>
  <c r="S851" i="144"/>
  <c r="F851" i="144" s="1"/>
  <c r="S847" i="144"/>
  <c r="F847" i="144" s="1"/>
  <c r="S843" i="144"/>
  <c r="F843" i="144" s="1"/>
  <c r="S837" i="144"/>
  <c r="F837" i="144" s="1"/>
  <c r="S833" i="144"/>
  <c r="F833" i="144" s="1"/>
  <c r="S829" i="144"/>
  <c r="F829" i="144" s="1"/>
  <c r="S825" i="144"/>
  <c r="F825" i="144" s="1"/>
  <c r="S821" i="144"/>
  <c r="F821" i="144" s="1"/>
  <c r="S816" i="144"/>
  <c r="F816" i="144" s="1"/>
  <c r="S811" i="144"/>
  <c r="F811" i="144" s="1"/>
  <c r="S807" i="144"/>
  <c r="F807" i="144" s="1"/>
  <c r="S803" i="144"/>
  <c r="F803" i="144" s="1"/>
  <c r="S799" i="144"/>
  <c r="F799" i="144" s="1"/>
  <c r="S795" i="144"/>
  <c r="F795" i="144" s="1"/>
  <c r="S791" i="144"/>
  <c r="F791" i="144" s="1"/>
  <c r="S787" i="144"/>
  <c r="F787" i="144" s="1"/>
  <c r="S783" i="144"/>
  <c r="F783" i="144" s="1"/>
  <c r="S778" i="144"/>
  <c r="F778" i="144" s="1"/>
  <c r="S774" i="144"/>
  <c r="F774" i="144" s="1"/>
  <c r="S770" i="144"/>
  <c r="F770" i="144" s="1"/>
  <c r="S766" i="144"/>
  <c r="F766" i="144" s="1"/>
  <c r="S762" i="144"/>
  <c r="F762" i="144" s="1"/>
  <c r="S758" i="144"/>
  <c r="F758" i="144" s="1"/>
  <c r="S754" i="144"/>
  <c r="F754" i="144" s="1"/>
  <c r="S750" i="144"/>
  <c r="F750" i="144" s="1"/>
  <c r="S746" i="144"/>
  <c r="F746" i="144" s="1"/>
  <c r="S742" i="144"/>
  <c r="F742" i="144" s="1"/>
  <c r="S738" i="144"/>
  <c r="F738" i="144" s="1"/>
  <c r="S734" i="144"/>
  <c r="F734" i="144" s="1"/>
  <c r="S730" i="144"/>
  <c r="F730" i="144" s="1"/>
  <c r="S726" i="144"/>
  <c r="F726" i="144" s="1"/>
  <c r="S722" i="144"/>
  <c r="F722" i="144" s="1"/>
  <c r="H52" i="146"/>
  <c r="H99" i="146"/>
  <c r="H136" i="146"/>
  <c r="H172" i="146"/>
  <c r="H210" i="146"/>
  <c r="H252" i="146"/>
  <c r="H37" i="146"/>
  <c r="H109" i="146"/>
  <c r="H174" i="146"/>
  <c r="H243" i="146"/>
  <c r="H102" i="146"/>
  <c r="H193" i="146"/>
  <c r="H263" i="146"/>
  <c r="H53" i="146"/>
  <c r="H100" i="146"/>
  <c r="H137" i="146"/>
  <c r="H173" i="146"/>
  <c r="H211" i="146"/>
  <c r="H253" i="146"/>
  <c r="H29" i="146"/>
  <c r="H117" i="146"/>
  <c r="H203" i="146"/>
  <c r="H30" i="146"/>
  <c r="H84" i="146"/>
  <c r="H140" i="146"/>
  <c r="H205" i="146"/>
  <c r="H31" i="146"/>
  <c r="H68" i="146"/>
  <c r="H111" i="146"/>
  <c r="H152" i="146"/>
  <c r="H185" i="146"/>
  <c r="H223" i="146"/>
  <c r="H264" i="146"/>
  <c r="H40" i="146"/>
  <c r="H86" i="146"/>
  <c r="H121" i="146"/>
  <c r="H161" i="146"/>
  <c r="H195" i="146"/>
  <c r="H238" i="146"/>
  <c r="H113" i="146"/>
  <c r="H259" i="146"/>
  <c r="H105" i="146"/>
  <c r="H114" i="146"/>
  <c r="H12" i="146"/>
  <c r="H60" i="146"/>
  <c r="H239" i="146"/>
  <c r="H180" i="146"/>
  <c r="H273" i="146"/>
  <c r="H143" i="146"/>
  <c r="H175" i="149"/>
  <c r="H61" i="146"/>
  <c r="H107" i="146"/>
  <c r="H147" i="146"/>
  <c r="H181" i="146"/>
  <c r="H219" i="146"/>
  <c r="H260" i="146"/>
  <c r="H54" i="146"/>
  <c r="H130" i="146"/>
  <c r="H192" i="146"/>
  <c r="H262" i="146"/>
  <c r="H131" i="146"/>
  <c r="H213" i="146"/>
  <c r="H28" i="146"/>
  <c r="H64" i="146"/>
  <c r="H108" i="146"/>
  <c r="H148" i="146"/>
  <c r="H182" i="146"/>
  <c r="H220" i="146"/>
  <c r="H261" i="146"/>
  <c r="H45" i="146"/>
  <c r="H139" i="146"/>
  <c r="H231" i="146"/>
  <c r="H47" i="146"/>
  <c r="H94" i="146"/>
  <c r="H151" i="146"/>
  <c r="H222" i="146"/>
  <c r="H39" i="146"/>
  <c r="H85" i="146"/>
  <c r="H120" i="146"/>
  <c r="H160" i="146"/>
  <c r="H194" i="146"/>
  <c r="H237" i="146"/>
  <c r="H272" i="146"/>
  <c r="H49" i="146"/>
  <c r="H96" i="146"/>
  <c r="H133" i="146"/>
  <c r="H169" i="146"/>
  <c r="H207" i="146"/>
  <c r="H249" i="146"/>
  <c r="H154" i="146"/>
  <c r="H11" i="146"/>
  <c r="H144" i="146"/>
  <c r="H155" i="146"/>
  <c r="H163" i="146"/>
  <c r="H41" i="146"/>
  <c r="H13" i="146"/>
  <c r="H97" i="146"/>
  <c r="H51" i="146"/>
  <c r="H257" i="146"/>
  <c r="H35" i="146"/>
  <c r="H81" i="146"/>
  <c r="H115" i="146"/>
  <c r="H156" i="146"/>
  <c r="H190" i="146"/>
  <c r="H229" i="146"/>
  <c r="H268" i="146"/>
  <c r="H83" i="146"/>
  <c r="H149" i="146"/>
  <c r="H212" i="146"/>
  <c r="H278" i="146"/>
  <c r="H159" i="146"/>
  <c r="H236" i="146"/>
  <c r="H36" i="146"/>
  <c r="H82" i="146"/>
  <c r="H116" i="146"/>
  <c r="H157" i="146"/>
  <c r="H191" i="146"/>
  <c r="H230" i="146"/>
  <c r="H269" i="146"/>
  <c r="H65" i="146"/>
  <c r="H166" i="146"/>
  <c r="H254" i="146"/>
  <c r="H55" i="146"/>
  <c r="H110" i="146"/>
  <c r="H167" i="146"/>
  <c r="H255" i="146"/>
  <c r="H48" i="146"/>
  <c r="H95" i="146"/>
  <c r="H132" i="146"/>
  <c r="H168" i="146"/>
  <c r="H206" i="146"/>
  <c r="H248" i="146"/>
  <c r="H10" i="146"/>
  <c r="H58" i="146"/>
  <c r="H104" i="146"/>
  <c r="H142" i="146"/>
  <c r="H178" i="146"/>
  <c r="H216" i="146"/>
  <c r="H33" i="146"/>
  <c r="H187" i="146"/>
  <c r="H123" i="146"/>
  <c r="H34" i="146"/>
  <c r="H226" i="146"/>
  <c r="H267" i="146"/>
  <c r="H87" i="146"/>
  <c r="H240" i="146"/>
  <c r="H134" i="146"/>
  <c r="H135" i="146"/>
  <c r="H27" i="146"/>
  <c r="S718" i="144"/>
  <c r="F718" i="144" s="1"/>
  <c r="S714" i="144"/>
  <c r="F714" i="144" s="1"/>
  <c r="S710" i="144"/>
  <c r="F710" i="144" s="1"/>
  <c r="S706" i="144"/>
  <c r="F706" i="144" s="1"/>
  <c r="S702" i="144"/>
  <c r="F702" i="144" s="1"/>
  <c r="S698" i="144"/>
  <c r="F698" i="144" s="1"/>
  <c r="S693" i="144"/>
  <c r="F693" i="144" s="1"/>
  <c r="S689" i="144"/>
  <c r="F689" i="144" s="1"/>
  <c r="S685" i="144"/>
  <c r="F685" i="144" s="1"/>
  <c r="S681" i="144"/>
  <c r="F681" i="144" s="1"/>
  <c r="S676" i="144"/>
  <c r="F676" i="144" s="1"/>
  <c r="S672" i="144"/>
  <c r="F672" i="144" s="1"/>
  <c r="S668" i="144"/>
  <c r="F668" i="144" s="1"/>
  <c r="S664" i="144"/>
  <c r="F664" i="144" s="1"/>
  <c r="S660" i="144"/>
  <c r="F660" i="144" s="1"/>
  <c r="S655" i="144"/>
  <c r="F655" i="144" s="1"/>
  <c r="S651" i="144"/>
  <c r="F651" i="144" s="1"/>
  <c r="S647" i="144"/>
  <c r="F647" i="144" s="1"/>
  <c r="S641" i="144"/>
  <c r="F641" i="144" s="1"/>
  <c r="S637" i="144"/>
  <c r="F637" i="144" s="1"/>
  <c r="S632" i="144"/>
  <c r="F632" i="144" s="1"/>
  <c r="S627" i="144"/>
  <c r="F627" i="144" s="1"/>
  <c r="S623" i="144"/>
  <c r="F623" i="144" s="1"/>
  <c r="S618" i="144"/>
  <c r="F618" i="144" s="1"/>
  <c r="S614" i="144"/>
  <c r="F614" i="144" s="1"/>
  <c r="S610" i="144"/>
  <c r="F610" i="144" s="1"/>
  <c r="S605" i="144"/>
  <c r="F605" i="144" s="1"/>
  <c r="S601" i="144"/>
  <c r="F601" i="144" s="1"/>
  <c r="S595" i="144"/>
  <c r="F595" i="144" s="1"/>
  <c r="S591" i="144"/>
  <c r="F591" i="144" s="1"/>
  <c r="S587" i="144"/>
  <c r="F587" i="144" s="1"/>
  <c r="S581" i="144"/>
  <c r="F581" i="144" s="1"/>
  <c r="S577" i="144"/>
  <c r="F577" i="144" s="1"/>
  <c r="S573" i="144"/>
  <c r="F573" i="144" s="1"/>
  <c r="S569" i="144"/>
  <c r="F569" i="144" s="1"/>
  <c r="S560" i="144"/>
  <c r="F560" i="144" s="1"/>
  <c r="S550" i="144"/>
  <c r="F550" i="144" s="1"/>
  <c r="S546" i="144"/>
  <c r="F546" i="144" s="1"/>
  <c r="S542" i="144"/>
  <c r="F542" i="144" s="1"/>
  <c r="S538" i="144"/>
  <c r="F538" i="144" s="1"/>
  <c r="S534" i="144"/>
  <c r="F534" i="144" s="1"/>
  <c r="S530" i="144"/>
  <c r="F530" i="144" s="1"/>
  <c r="S526" i="144"/>
  <c r="F526" i="144" s="1"/>
  <c r="S522" i="144"/>
  <c r="F522" i="144" s="1"/>
  <c r="S518" i="144"/>
  <c r="F518" i="144" s="1"/>
  <c r="S514" i="144"/>
  <c r="F514" i="144" s="1"/>
  <c r="S510" i="144"/>
  <c r="F510" i="144" s="1"/>
  <c r="S506" i="144"/>
  <c r="F506" i="144" s="1"/>
  <c r="S502" i="144"/>
  <c r="F502" i="144" s="1"/>
  <c r="S497" i="144"/>
  <c r="F497" i="144" s="1"/>
  <c r="S493" i="144"/>
  <c r="F493" i="144" s="1"/>
  <c r="S489" i="144"/>
  <c r="F489" i="144" s="1"/>
  <c r="S485" i="144"/>
  <c r="F485" i="144" s="1"/>
  <c r="S481" i="144"/>
  <c r="F481" i="144" s="1"/>
  <c r="S477" i="144"/>
  <c r="F477" i="144" s="1"/>
  <c r="S473" i="144"/>
  <c r="F473" i="144" s="1"/>
  <c r="S469" i="144"/>
  <c r="F469" i="144" s="1"/>
  <c r="S465" i="144"/>
  <c r="F465" i="144" s="1"/>
  <c r="S458" i="144"/>
  <c r="F458" i="144" s="1"/>
  <c r="S454" i="144"/>
  <c r="F454" i="144" s="1"/>
  <c r="S450" i="144"/>
  <c r="F450" i="144" s="1"/>
  <c r="S444" i="144"/>
  <c r="F444" i="144" s="1"/>
  <c r="S440" i="144"/>
  <c r="F440" i="144" s="1"/>
  <c r="S436" i="144"/>
  <c r="F436" i="144" s="1"/>
  <c r="S432" i="144"/>
  <c r="F432" i="144" s="1"/>
  <c r="S427" i="144"/>
  <c r="F427" i="144" s="1"/>
  <c r="S423" i="144"/>
  <c r="F423" i="144" s="1"/>
  <c r="S419" i="144"/>
  <c r="F419" i="144" s="1"/>
  <c r="S415" i="144"/>
  <c r="F415" i="144" s="1"/>
  <c r="S411" i="144"/>
  <c r="F411" i="144" s="1"/>
  <c r="S407" i="144"/>
  <c r="F407" i="144" s="1"/>
  <c r="S403" i="144"/>
  <c r="F403" i="144" s="1"/>
  <c r="S399" i="144"/>
  <c r="F399" i="144" s="1"/>
  <c r="S395" i="144"/>
  <c r="F395" i="144" s="1"/>
  <c r="S391" i="144"/>
  <c r="F391" i="144" s="1"/>
  <c r="S387" i="144"/>
  <c r="F387" i="144" s="1"/>
  <c r="S383" i="144"/>
  <c r="F383" i="144" s="1"/>
  <c r="S379" i="144"/>
  <c r="F379" i="144" s="1"/>
  <c r="S374" i="144"/>
  <c r="F374" i="144" s="1"/>
  <c r="S370" i="144"/>
  <c r="F370" i="144" s="1"/>
  <c r="S366" i="144"/>
  <c r="F366" i="144" s="1"/>
  <c r="S360" i="144"/>
  <c r="F360" i="144" s="1"/>
  <c r="S356" i="144"/>
  <c r="F356" i="144" s="1"/>
  <c r="S352" i="144"/>
  <c r="F352" i="144" s="1"/>
  <c r="S345" i="144"/>
  <c r="F345" i="144" s="1"/>
  <c r="S341" i="144"/>
  <c r="F341" i="144" s="1"/>
  <c r="S337" i="144"/>
  <c r="F337" i="144" s="1"/>
  <c r="S333" i="144"/>
  <c r="F333" i="144" s="1"/>
  <c r="S329" i="144"/>
  <c r="F329" i="144" s="1"/>
  <c r="S325" i="144"/>
  <c r="F325" i="144" s="1"/>
  <c r="S321" i="144"/>
  <c r="F321" i="144" s="1"/>
  <c r="S317" i="144"/>
  <c r="F317" i="144" s="1"/>
  <c r="S313" i="144"/>
  <c r="F313" i="144" s="1"/>
  <c r="S309" i="144"/>
  <c r="F309" i="144" s="1"/>
  <c r="S305" i="144"/>
  <c r="F305" i="144" s="1"/>
  <c r="S301" i="144"/>
  <c r="F301" i="144" s="1"/>
  <c r="S297" i="144"/>
  <c r="F297" i="144" s="1"/>
  <c r="S292" i="144"/>
  <c r="F292" i="144" s="1"/>
  <c r="S288" i="144"/>
  <c r="F288" i="144" s="1"/>
  <c r="S283" i="144"/>
  <c r="F283" i="144" s="1"/>
  <c r="S279" i="144"/>
  <c r="F279" i="144" s="1"/>
  <c r="S275" i="144"/>
  <c r="F275" i="144" s="1"/>
  <c r="S270" i="144"/>
  <c r="F270" i="144" s="1"/>
  <c r="S266" i="144"/>
  <c r="F266" i="144" s="1"/>
  <c r="S262" i="144"/>
  <c r="F262" i="144" s="1"/>
  <c r="S258" i="144"/>
  <c r="F258" i="144" s="1"/>
  <c r="S254" i="144"/>
  <c r="F254" i="144" s="1"/>
  <c r="S246" i="144"/>
  <c r="F246" i="144" s="1"/>
  <c r="S242" i="144"/>
  <c r="F242" i="144" s="1"/>
  <c r="S238" i="144"/>
  <c r="F238" i="144" s="1"/>
  <c r="S234" i="144"/>
  <c r="F234" i="144" s="1"/>
  <c r="S230" i="144"/>
  <c r="F230" i="144" s="1"/>
  <c r="S226" i="144"/>
  <c r="F226" i="144" s="1"/>
  <c r="S222" i="144"/>
  <c r="F222" i="144" s="1"/>
  <c r="S218" i="144"/>
  <c r="F218" i="144" s="1"/>
  <c r="S214" i="144"/>
  <c r="F214" i="144" s="1"/>
  <c r="S209" i="144"/>
  <c r="F209" i="144" s="1"/>
  <c r="S205" i="144"/>
  <c r="F205" i="144" s="1"/>
  <c r="S201" i="144"/>
  <c r="F201" i="144" s="1"/>
  <c r="S197" i="144"/>
  <c r="F197" i="144" s="1"/>
  <c r="S192" i="144"/>
  <c r="F192" i="144" s="1"/>
  <c r="S187" i="144"/>
  <c r="F187" i="144" s="1"/>
  <c r="S183" i="144"/>
  <c r="F183" i="144" s="1"/>
  <c r="S179" i="144"/>
  <c r="F179" i="144" s="1"/>
  <c r="S173" i="144"/>
  <c r="F173" i="144" s="1"/>
  <c r="S169" i="144"/>
  <c r="F169" i="144" s="1"/>
  <c r="S165" i="144"/>
  <c r="F165" i="144" s="1"/>
  <c r="S161" i="144"/>
  <c r="F161" i="144" s="1"/>
  <c r="S157" i="144"/>
  <c r="F157" i="144" s="1"/>
  <c r="S153" i="144"/>
  <c r="F153" i="144" s="1"/>
  <c r="S149" i="144"/>
  <c r="F149" i="144" s="1"/>
  <c r="S145" i="144"/>
  <c r="F145" i="144" s="1"/>
  <c r="S140" i="144"/>
  <c r="F140" i="144" s="1"/>
  <c r="S136" i="144"/>
  <c r="F136" i="144" s="1"/>
  <c r="S132" i="144"/>
  <c r="F132" i="144" s="1"/>
  <c r="S128" i="144"/>
  <c r="F128" i="144" s="1"/>
  <c r="S124" i="144"/>
  <c r="F124" i="144" s="1"/>
  <c r="S120" i="144"/>
  <c r="F120" i="144" s="1"/>
  <c r="S116" i="144"/>
  <c r="F116" i="144" s="1"/>
  <c r="S112" i="144"/>
  <c r="F112" i="144" s="1"/>
  <c r="S108" i="144"/>
  <c r="F108" i="144" s="1"/>
  <c r="S104" i="144"/>
  <c r="F104" i="144" s="1"/>
  <c r="S100" i="144"/>
  <c r="F100" i="144" s="1"/>
  <c r="S94" i="144"/>
  <c r="F94" i="144" s="1"/>
  <c r="S90" i="144"/>
  <c r="F90" i="144" s="1"/>
  <c r="S86" i="144"/>
  <c r="F86" i="144" s="1"/>
  <c r="S82" i="144"/>
  <c r="F82" i="144" s="1"/>
  <c r="S78" i="144"/>
  <c r="F78" i="144" s="1"/>
  <c r="S74" i="144"/>
  <c r="F74" i="144" s="1"/>
  <c r="S69" i="144"/>
  <c r="S64" i="144"/>
  <c r="F64" i="144" s="1"/>
  <c r="S59" i="144"/>
  <c r="F59" i="144" s="1"/>
  <c r="S55" i="144"/>
  <c r="F55" i="144" s="1"/>
  <c r="S51" i="144"/>
  <c r="F51" i="144" s="1"/>
  <c r="S47" i="144"/>
  <c r="F47" i="144" s="1"/>
  <c r="S43" i="144"/>
  <c r="F43" i="144" s="1"/>
  <c r="S39" i="144"/>
  <c r="F39" i="144" s="1"/>
  <c r="S35" i="144"/>
  <c r="F35" i="144" s="1"/>
  <c r="S30" i="144"/>
  <c r="F30" i="144" s="1"/>
  <c r="S22" i="144"/>
  <c r="F22" i="144" s="1"/>
  <c r="S18" i="144"/>
  <c r="F18" i="144" s="1"/>
  <c r="S14" i="144"/>
  <c r="F14" i="144" s="1"/>
  <c r="S10" i="144"/>
  <c r="F10" i="144" s="1"/>
  <c r="S1524" i="144"/>
  <c r="F1524" i="144" s="1"/>
  <c r="S2320" i="144"/>
  <c r="F2320" i="144" s="1"/>
  <c r="S2316" i="144"/>
  <c r="F2316" i="144" s="1"/>
  <c r="S2312" i="144"/>
  <c r="F2312" i="144" s="1"/>
  <c r="S2307" i="144"/>
  <c r="F2307" i="144" s="1"/>
  <c r="S2303" i="144"/>
  <c r="F2303" i="144" s="1"/>
  <c r="S2299" i="144"/>
  <c r="F2299" i="144" s="1"/>
  <c r="S1520" i="144"/>
  <c r="F1520" i="144" s="1"/>
  <c r="S1516" i="144"/>
  <c r="F1516" i="144" s="1"/>
  <c r="S1512" i="144"/>
  <c r="F1512" i="144" s="1"/>
  <c r="S1508" i="144"/>
  <c r="F1508" i="144" s="1"/>
  <c r="S1504" i="144"/>
  <c r="F1504" i="144" s="1"/>
  <c r="S1499" i="144"/>
  <c r="F1499" i="144" s="1"/>
  <c r="S1495" i="144"/>
  <c r="F1495" i="144" s="1"/>
  <c r="S1491" i="144"/>
  <c r="F1491" i="144" s="1"/>
  <c r="S1487" i="144"/>
  <c r="F1487" i="144" s="1"/>
  <c r="S1483" i="144"/>
  <c r="F1483" i="144" s="1"/>
  <c r="S1479" i="144"/>
  <c r="F1479" i="144" s="1"/>
  <c r="S1475" i="144"/>
  <c r="F1475" i="144" s="1"/>
  <c r="S1471" i="144"/>
  <c r="F1471" i="144" s="1"/>
  <c r="S1467" i="144"/>
  <c r="F1467" i="144" s="1"/>
  <c r="S1463" i="144"/>
  <c r="F1463" i="144" s="1"/>
  <c r="S1459" i="144"/>
  <c r="F1459" i="144" s="1"/>
  <c r="S1455" i="144"/>
  <c r="F1455" i="144" s="1"/>
  <c r="S1451" i="144"/>
  <c r="F1451" i="144" s="1"/>
  <c r="S1447" i="144"/>
  <c r="F1447" i="144" s="1"/>
  <c r="S1443" i="144"/>
  <c r="F1443" i="144" s="1"/>
  <c r="S1438" i="144"/>
  <c r="F1438" i="144" s="1"/>
  <c r="S1434" i="144"/>
  <c r="F1434" i="144" s="1"/>
  <c r="S1430" i="144"/>
  <c r="F1430" i="144" s="1"/>
  <c r="S1426" i="144"/>
  <c r="F1426" i="144" s="1"/>
  <c r="S1422" i="144"/>
  <c r="F1422" i="144" s="1"/>
  <c r="S1417" i="144"/>
  <c r="F1417" i="144" s="1"/>
  <c r="S1413" i="144"/>
  <c r="F1413" i="144" s="1"/>
  <c r="S1409" i="144"/>
  <c r="F1409" i="144" s="1"/>
  <c r="S1405" i="144"/>
  <c r="F1405" i="144" s="1"/>
  <c r="S1400" i="144"/>
  <c r="F1400" i="144" s="1"/>
  <c r="S1395" i="144"/>
  <c r="F1395" i="144" s="1"/>
  <c r="S1391" i="144"/>
  <c r="F1391" i="144" s="1"/>
  <c r="S1387" i="144"/>
  <c r="F1387" i="144" s="1"/>
  <c r="S1380" i="144"/>
  <c r="F1380" i="144" s="1"/>
  <c r="S1376" i="144"/>
  <c r="F1376" i="144" s="1"/>
  <c r="S1372" i="144"/>
  <c r="F1372" i="144" s="1"/>
  <c r="S1368" i="144"/>
  <c r="F1368" i="144" s="1"/>
  <c r="S1364" i="144"/>
  <c r="F1364" i="144" s="1"/>
  <c r="S1360" i="144"/>
  <c r="F1360" i="144" s="1"/>
  <c r="S1356" i="144"/>
  <c r="F1356" i="144" s="1"/>
  <c r="S1352" i="144"/>
  <c r="F1352" i="144" s="1"/>
  <c r="S1348" i="144"/>
  <c r="F1348" i="144" s="1"/>
  <c r="S1344" i="144"/>
  <c r="F1344" i="144" s="1"/>
  <c r="S1340" i="144"/>
  <c r="F1340" i="144" s="1"/>
  <c r="S1336" i="144"/>
  <c r="F1336" i="144" s="1"/>
  <c r="S1331" i="144"/>
  <c r="F1331" i="144" s="1"/>
  <c r="S1327" i="144"/>
  <c r="F1327" i="144" s="1"/>
  <c r="S1323" i="144"/>
  <c r="F1323" i="144" s="1"/>
  <c r="S1318" i="144"/>
  <c r="F1318" i="144" s="1"/>
  <c r="S1313" i="144"/>
  <c r="F1313" i="144" s="1"/>
  <c r="S1309" i="144"/>
  <c r="F1309" i="144" s="1"/>
  <c r="S1304" i="144"/>
  <c r="F1304" i="144" s="1"/>
  <c r="S1300" i="144"/>
  <c r="F1300" i="144" s="1"/>
  <c r="S1296" i="144"/>
  <c r="F1296" i="144" s="1"/>
  <c r="S1292" i="144"/>
  <c r="F1292" i="144" s="1"/>
  <c r="S1287" i="144"/>
  <c r="F1287" i="144" s="1"/>
  <c r="S1283" i="144"/>
  <c r="F1283" i="144" s="1"/>
  <c r="S1279" i="144"/>
  <c r="F1279" i="144" s="1"/>
  <c r="S1275" i="144"/>
  <c r="F1275" i="144" s="1"/>
  <c r="S1270" i="144"/>
  <c r="F1270" i="144" s="1"/>
  <c r="S1266" i="144"/>
  <c r="F1266" i="144" s="1"/>
  <c r="S1262" i="144"/>
  <c r="F1262" i="144" s="1"/>
  <c r="S1258" i="144"/>
  <c r="F1258" i="144" s="1"/>
  <c r="S1254" i="144"/>
  <c r="F1254" i="144" s="1"/>
  <c r="S1250" i="144"/>
  <c r="F1250" i="144" s="1"/>
  <c r="S1244" i="144"/>
  <c r="F1244" i="144" s="1"/>
  <c r="S1240" i="144"/>
  <c r="F1240" i="144" s="1"/>
  <c r="S1236" i="144"/>
  <c r="F1236" i="144" s="1"/>
  <c r="S1232" i="144"/>
  <c r="F1232" i="144" s="1"/>
  <c r="S1228" i="144"/>
  <c r="F1228" i="144" s="1"/>
  <c r="S1224" i="144"/>
  <c r="F1224" i="144" s="1"/>
  <c r="S1220" i="144"/>
  <c r="F1220" i="144" s="1"/>
  <c r="S1216" i="144"/>
  <c r="F1216" i="144" s="1"/>
  <c r="S1212" i="144"/>
  <c r="F1212" i="144" s="1"/>
  <c r="S1208" i="144"/>
  <c r="F1208" i="144" s="1"/>
  <c r="S1204" i="144"/>
  <c r="F1204" i="144" s="1"/>
  <c r="S1200" i="144"/>
  <c r="F1200" i="144" s="1"/>
  <c r="S1195" i="144"/>
  <c r="F1195" i="144" s="1"/>
  <c r="S1191" i="144"/>
  <c r="F1191" i="144" s="1"/>
  <c r="S1187" i="144"/>
  <c r="F1187" i="144" s="1"/>
  <c r="S1183" i="144"/>
  <c r="F1183" i="144" s="1"/>
  <c r="S1179" i="144"/>
  <c r="F1179" i="144" s="1"/>
  <c r="S1175" i="144"/>
  <c r="F1175" i="144" s="1"/>
  <c r="S1169" i="144"/>
  <c r="F1169" i="144" s="1"/>
  <c r="S1165" i="144"/>
  <c r="F1165" i="144" s="1"/>
  <c r="S1161" i="144"/>
  <c r="F1161" i="144" s="1"/>
  <c r="S1157" i="144"/>
  <c r="F1157" i="144" s="1"/>
  <c r="S1153" i="144"/>
  <c r="F1153" i="144" s="1"/>
  <c r="S1149" i="144"/>
  <c r="F1149" i="144" s="1"/>
  <c r="S1145" i="144"/>
  <c r="F1145" i="144" s="1"/>
  <c r="S1141" i="144"/>
  <c r="F1141" i="144" s="1"/>
  <c r="S1136" i="144"/>
  <c r="F1136" i="144" s="1"/>
  <c r="S1132" i="144"/>
  <c r="F1132" i="144" s="1"/>
  <c r="S1127" i="144"/>
  <c r="F1127" i="144" s="1"/>
  <c r="S1122" i="144"/>
  <c r="F1122" i="144" s="1"/>
  <c r="S1118" i="144"/>
  <c r="F1118" i="144" s="1"/>
  <c r="S1114" i="144"/>
  <c r="F1114" i="144" s="1"/>
  <c r="S1110" i="144"/>
  <c r="F1110" i="144" s="1"/>
  <c r="S1106" i="144"/>
  <c r="F1106" i="144" s="1"/>
  <c r="S1102" i="144"/>
  <c r="F1102" i="144" s="1"/>
  <c r="S1098" i="144"/>
  <c r="F1098" i="144" s="1"/>
  <c r="S1094" i="144"/>
  <c r="F1094" i="144" s="1"/>
  <c r="S1090" i="144"/>
  <c r="F1090" i="144" s="1"/>
  <c r="S1086" i="144"/>
  <c r="F1086" i="144" s="1"/>
  <c r="S1082" i="144"/>
  <c r="F1082" i="144" s="1"/>
  <c r="S1078" i="144"/>
  <c r="F1078" i="144" s="1"/>
  <c r="S1074" i="144"/>
  <c r="F1074" i="144" s="1"/>
  <c r="S1070" i="144"/>
  <c r="F1070" i="144" s="1"/>
  <c r="S1066" i="144"/>
  <c r="F1066" i="144" s="1"/>
  <c r="S1062" i="144"/>
  <c r="F1062" i="144" s="1"/>
  <c r="S1058" i="144"/>
  <c r="F1058" i="144" s="1"/>
  <c r="S1054" i="144"/>
  <c r="F1054" i="144" s="1"/>
  <c r="S1049" i="144"/>
  <c r="F1049" i="144" s="1"/>
  <c r="S1045" i="144"/>
  <c r="F1045" i="144" s="1"/>
  <c r="S1041" i="144"/>
  <c r="F1041" i="144" s="1"/>
  <c r="S1037" i="144"/>
  <c r="F1037" i="144" s="1"/>
  <c r="S1032" i="144"/>
  <c r="F1032" i="144" s="1"/>
  <c r="S1028" i="144"/>
  <c r="F1028" i="144" s="1"/>
  <c r="S1024" i="144"/>
  <c r="F1024" i="144" s="1"/>
  <c r="S1020" i="144"/>
  <c r="F1020" i="144" s="1"/>
  <c r="S1016" i="144"/>
  <c r="F1016" i="144" s="1"/>
  <c r="S1012" i="144"/>
  <c r="F1012" i="144" s="1"/>
  <c r="S1008" i="144"/>
  <c r="F1008" i="144" s="1"/>
  <c r="S1003" i="144"/>
  <c r="F1003" i="144" s="1"/>
  <c r="S999" i="144"/>
  <c r="F999" i="144" s="1"/>
  <c r="S995" i="144"/>
  <c r="F995" i="144" s="1"/>
  <c r="S991" i="144"/>
  <c r="F991" i="144" s="1"/>
  <c r="S987" i="144"/>
  <c r="F987" i="144" s="1"/>
  <c r="S983" i="144"/>
  <c r="F983" i="144" s="1"/>
  <c r="S979" i="144"/>
  <c r="F979" i="144" s="1"/>
  <c r="S975" i="144"/>
  <c r="F975" i="144" s="1"/>
  <c r="S971" i="144"/>
  <c r="F971" i="144" s="1"/>
  <c r="S967" i="144"/>
  <c r="F967" i="144" s="1"/>
  <c r="S963" i="144"/>
  <c r="F963" i="144" s="1"/>
  <c r="S959" i="144"/>
  <c r="F959" i="144" s="1"/>
  <c r="S955" i="144"/>
  <c r="F955" i="144" s="1"/>
  <c r="S951" i="144"/>
  <c r="F951" i="144" s="1"/>
  <c r="S946" i="144"/>
  <c r="F946" i="144" s="1"/>
  <c r="S942" i="144"/>
  <c r="F942" i="144" s="1"/>
  <c r="S937" i="144"/>
  <c r="F937" i="144" s="1"/>
  <c r="S933" i="144"/>
  <c r="F933" i="144" s="1"/>
  <c r="S929" i="144"/>
  <c r="F929" i="144" s="1"/>
  <c r="S924" i="144"/>
  <c r="F924" i="144" s="1"/>
  <c r="S920" i="144"/>
  <c r="F920" i="144" s="1"/>
  <c r="S916" i="144"/>
  <c r="F916" i="144" s="1"/>
  <c r="S912" i="144"/>
  <c r="F912" i="144" s="1"/>
  <c r="S908" i="144"/>
  <c r="F908" i="144" s="1"/>
  <c r="S904" i="144"/>
  <c r="F904" i="144" s="1"/>
  <c r="S900" i="144"/>
  <c r="F900" i="144" s="1"/>
  <c r="S896" i="144"/>
  <c r="F896" i="144" s="1"/>
  <c r="S891" i="144"/>
  <c r="F891" i="144" s="1"/>
  <c r="S887" i="144"/>
  <c r="F887" i="144" s="1"/>
  <c r="S882" i="144"/>
  <c r="F882" i="144" s="1"/>
  <c r="S878" i="144"/>
  <c r="F878" i="144" s="1"/>
  <c r="S873" i="144"/>
  <c r="F873" i="144" s="1"/>
  <c r="S868" i="144"/>
  <c r="F868" i="144" s="1"/>
  <c r="S862" i="144"/>
  <c r="F862" i="144" s="1"/>
  <c r="S858" i="144"/>
  <c r="F858" i="144" s="1"/>
  <c r="S854" i="144"/>
  <c r="F854" i="144" s="1"/>
  <c r="S850" i="144"/>
  <c r="F850" i="144" s="1"/>
  <c r="S846" i="144"/>
  <c r="F846" i="144" s="1"/>
  <c r="S841" i="144"/>
  <c r="F841" i="144" s="1"/>
  <c r="S836" i="144"/>
  <c r="F836" i="144" s="1"/>
  <c r="S832" i="144"/>
  <c r="F832" i="144" s="1"/>
  <c r="S828" i="144"/>
  <c r="F828" i="144" s="1"/>
  <c r="S824" i="144"/>
  <c r="F824" i="144" s="1"/>
  <c r="S820" i="144"/>
  <c r="F820" i="144" s="1"/>
  <c r="S815" i="144"/>
  <c r="F815" i="144" s="1"/>
  <c r="S810" i="144"/>
  <c r="F810" i="144" s="1"/>
  <c r="S806" i="144"/>
  <c r="F806" i="144" s="1"/>
  <c r="S802" i="144"/>
  <c r="F802" i="144" s="1"/>
  <c r="S798" i="144"/>
  <c r="F798" i="144" s="1"/>
  <c r="S794" i="144"/>
  <c r="F794" i="144" s="1"/>
  <c r="S790" i="144"/>
  <c r="F790" i="144" s="1"/>
  <c r="S786" i="144"/>
  <c r="F786" i="144" s="1"/>
  <c r="S782" i="144"/>
  <c r="F782" i="144" s="1"/>
  <c r="S777" i="144"/>
  <c r="F777" i="144" s="1"/>
  <c r="S773" i="144"/>
  <c r="F773" i="144" s="1"/>
  <c r="S769" i="144"/>
  <c r="F769" i="144" s="1"/>
  <c r="S765" i="144"/>
  <c r="F765" i="144" s="1"/>
  <c r="S761" i="144"/>
  <c r="F761" i="144" s="1"/>
  <c r="S757" i="144"/>
  <c r="F757" i="144" s="1"/>
  <c r="S753" i="144"/>
  <c r="F753" i="144" s="1"/>
  <c r="S749" i="144"/>
  <c r="F749" i="144" s="1"/>
  <c r="S745" i="144"/>
  <c r="F745" i="144" s="1"/>
  <c r="S741" i="144"/>
  <c r="F741" i="144" s="1"/>
  <c r="S737" i="144"/>
  <c r="F737" i="144" s="1"/>
  <c r="S733" i="144"/>
  <c r="F733" i="144" s="1"/>
  <c r="S729" i="144"/>
  <c r="F729" i="144" s="1"/>
  <c r="S725" i="144"/>
  <c r="F725" i="144" s="1"/>
  <c r="S721" i="144"/>
  <c r="F721" i="144" s="1"/>
  <c r="S717" i="144"/>
  <c r="F717" i="144" s="1"/>
  <c r="S713" i="144"/>
  <c r="F713" i="144" s="1"/>
  <c r="S709" i="144"/>
  <c r="F709" i="144" s="1"/>
  <c r="S705" i="144"/>
  <c r="F705" i="144" s="1"/>
  <c r="S701" i="144"/>
  <c r="F701" i="144" s="1"/>
  <c r="S697" i="144"/>
  <c r="F697" i="144" s="1"/>
  <c r="S692" i="144"/>
  <c r="F692" i="144" s="1"/>
  <c r="S688" i="144"/>
  <c r="F688" i="144" s="1"/>
  <c r="S684" i="144"/>
  <c r="F684" i="144" s="1"/>
  <c r="S680" i="144"/>
  <c r="F680" i="144" s="1"/>
  <c r="S2295" i="144"/>
  <c r="F2295" i="144" s="1"/>
  <c r="S2291" i="144"/>
  <c r="F2291" i="144" s="1"/>
  <c r="S2286" i="144"/>
  <c r="F2286" i="144" s="1"/>
  <c r="S2282" i="144"/>
  <c r="F2282" i="144" s="1"/>
  <c r="S2278" i="144"/>
  <c r="F2278" i="144" s="1"/>
  <c r="S2273" i="144"/>
  <c r="F2273" i="144" s="1"/>
  <c r="S2269" i="144"/>
  <c r="F2269" i="144" s="1"/>
  <c r="S2265" i="144"/>
  <c r="F2265" i="144" s="1"/>
  <c r="S2261" i="144"/>
  <c r="F2261" i="144" s="1"/>
  <c r="S2257" i="144"/>
  <c r="F2257" i="144" s="1"/>
  <c r="S2253" i="144"/>
  <c r="F2253" i="144" s="1"/>
  <c r="S2249" i="144"/>
  <c r="F2249" i="144" s="1"/>
  <c r="S2245" i="144"/>
  <c r="F2245" i="144" s="1"/>
  <c r="S2240" i="144"/>
  <c r="F2240" i="144" s="1"/>
  <c r="S2236" i="144"/>
  <c r="F2236" i="144" s="1"/>
  <c r="S2232" i="144"/>
  <c r="F2232" i="144" s="1"/>
  <c r="S2226" i="144"/>
  <c r="F2226" i="144" s="1"/>
  <c r="S2222" i="144"/>
  <c r="F2222" i="144" s="1"/>
  <c r="S2218" i="144"/>
  <c r="F2218" i="144" s="1"/>
  <c r="S2213" i="144"/>
  <c r="F2213" i="144" s="1"/>
  <c r="S2209" i="144"/>
  <c r="F2209" i="144" s="1"/>
  <c r="S675" i="144"/>
  <c r="F675" i="144" s="1"/>
  <c r="S671" i="144"/>
  <c r="F671" i="144" s="1"/>
  <c r="S667" i="144"/>
  <c r="F667" i="144" s="1"/>
  <c r="S663" i="144"/>
  <c r="F663" i="144" s="1"/>
  <c r="S659" i="144"/>
  <c r="S654" i="144"/>
  <c r="F654" i="144" s="1"/>
  <c r="S650" i="144"/>
  <c r="F650" i="144" s="1"/>
  <c r="S645" i="144"/>
  <c r="F645" i="144" s="1"/>
  <c r="S640" i="144"/>
  <c r="F640" i="144" s="1"/>
  <c r="S636" i="144"/>
  <c r="F636" i="144" s="1"/>
  <c r="S631" i="144"/>
  <c r="F631" i="144" s="1"/>
  <c r="S626" i="144"/>
  <c r="F626" i="144" s="1"/>
  <c r="S621" i="144"/>
  <c r="F621" i="144" s="1"/>
  <c r="S617" i="144"/>
  <c r="F617" i="144" s="1"/>
  <c r="S613" i="144"/>
  <c r="F613" i="144" s="1"/>
  <c r="S608" i="144"/>
  <c r="F608" i="144" s="1"/>
  <c r="S604" i="144"/>
  <c r="F604" i="144" s="1"/>
  <c r="S599" i="144"/>
  <c r="F599" i="144" s="1"/>
  <c r="S594" i="144"/>
  <c r="F594" i="144" s="1"/>
  <c r="S590" i="144"/>
  <c r="F590" i="144" s="1"/>
  <c r="S586" i="144"/>
  <c r="F586" i="144" s="1"/>
  <c r="S580" i="144"/>
  <c r="F580" i="144" s="1"/>
  <c r="S576" i="144"/>
  <c r="F576" i="144" s="1"/>
  <c r="S572" i="144"/>
  <c r="F572" i="144" s="1"/>
  <c r="S568" i="144"/>
  <c r="F568" i="144" s="1"/>
  <c r="S564" i="144"/>
  <c r="F564" i="144" s="1"/>
  <c r="S559" i="144"/>
  <c r="F559" i="144" s="1"/>
  <c r="S554" i="144"/>
  <c r="F554" i="144" s="1"/>
  <c r="S549" i="144"/>
  <c r="F549" i="144" s="1"/>
  <c r="S545" i="144"/>
  <c r="F545" i="144" s="1"/>
  <c r="S541" i="144"/>
  <c r="F541" i="144" s="1"/>
  <c r="S537" i="144"/>
  <c r="F537" i="144" s="1"/>
  <c r="S533" i="144"/>
  <c r="F533" i="144" s="1"/>
  <c r="S529" i="144"/>
  <c r="F529" i="144" s="1"/>
  <c r="S525" i="144"/>
  <c r="F525" i="144" s="1"/>
  <c r="S521" i="144"/>
  <c r="F521" i="144" s="1"/>
  <c r="S517" i="144"/>
  <c r="F517" i="144" s="1"/>
  <c r="S513" i="144"/>
  <c r="F513" i="144" s="1"/>
  <c r="S509" i="144"/>
  <c r="F509" i="144" s="1"/>
  <c r="S505" i="144"/>
  <c r="F505" i="144" s="1"/>
  <c r="S501" i="144"/>
  <c r="F501" i="144" s="1"/>
  <c r="S496" i="144"/>
  <c r="F496" i="144" s="1"/>
  <c r="S492" i="144"/>
  <c r="F492" i="144" s="1"/>
  <c r="S488" i="144"/>
  <c r="F488" i="144" s="1"/>
  <c r="S484" i="144"/>
  <c r="F484" i="144" s="1"/>
  <c r="S480" i="144"/>
  <c r="F480" i="144" s="1"/>
  <c r="S476" i="144"/>
  <c r="F476" i="144" s="1"/>
  <c r="S472" i="144"/>
  <c r="F472" i="144" s="1"/>
  <c r="S468" i="144"/>
  <c r="F468" i="144" s="1"/>
  <c r="S464" i="144"/>
  <c r="F464" i="144" s="1"/>
  <c r="S457" i="144"/>
  <c r="F457" i="144" s="1"/>
  <c r="S453" i="144"/>
  <c r="F453" i="144" s="1"/>
  <c r="S448" i="144"/>
  <c r="F448" i="144" s="1"/>
  <c r="S443" i="144"/>
  <c r="F443" i="144" s="1"/>
  <c r="S439" i="144"/>
  <c r="F439" i="144" s="1"/>
  <c r="S435" i="144"/>
  <c r="F435" i="144" s="1"/>
  <c r="S430" i="144"/>
  <c r="F430" i="144" s="1"/>
  <c r="S426" i="144"/>
  <c r="F426" i="144" s="1"/>
  <c r="S422" i="144"/>
  <c r="F422" i="144" s="1"/>
  <c r="S418" i="144"/>
  <c r="F418" i="144" s="1"/>
  <c r="S414" i="144"/>
  <c r="F414" i="144" s="1"/>
  <c r="S410" i="144"/>
  <c r="F410" i="144" s="1"/>
  <c r="S406" i="144"/>
  <c r="F406" i="144" s="1"/>
  <c r="S402" i="144"/>
  <c r="F402" i="144" s="1"/>
  <c r="S398" i="144"/>
  <c r="F398" i="144" s="1"/>
  <c r="S394" i="144"/>
  <c r="F394" i="144" s="1"/>
  <c r="S390" i="144"/>
  <c r="F390" i="144" s="1"/>
  <c r="S386" i="144"/>
  <c r="F386" i="144" s="1"/>
  <c r="S382" i="144"/>
  <c r="F382" i="144" s="1"/>
  <c r="S378" i="144"/>
  <c r="F378" i="144" s="1"/>
  <c r="S373" i="144"/>
  <c r="F373" i="144" s="1"/>
  <c r="S369" i="144"/>
  <c r="F369" i="144" s="1"/>
  <c r="S363" i="144"/>
  <c r="F363" i="144" s="1"/>
  <c r="S359" i="144"/>
  <c r="F359" i="144" s="1"/>
  <c r="S355" i="144"/>
  <c r="F355" i="144" s="1"/>
  <c r="S350" i="144"/>
  <c r="F350" i="144" s="1"/>
  <c r="S344" i="144"/>
  <c r="F344" i="144" s="1"/>
  <c r="S340" i="144"/>
  <c r="F340" i="144" s="1"/>
  <c r="S336" i="144"/>
  <c r="F336" i="144" s="1"/>
  <c r="S332" i="144"/>
  <c r="F332" i="144" s="1"/>
  <c r="S328" i="144"/>
  <c r="F328" i="144" s="1"/>
  <c r="S324" i="144"/>
  <c r="F324" i="144" s="1"/>
  <c r="S320" i="144"/>
  <c r="F320" i="144" s="1"/>
  <c r="S316" i="144"/>
  <c r="F316" i="144" s="1"/>
  <c r="S312" i="144"/>
  <c r="F312" i="144" s="1"/>
  <c r="S308" i="144"/>
  <c r="F308" i="144" s="1"/>
  <c r="S304" i="144"/>
  <c r="F304" i="144" s="1"/>
  <c r="S300" i="144"/>
  <c r="F300" i="144" s="1"/>
  <c r="S295" i="144"/>
  <c r="F295" i="144" s="1"/>
  <c r="S291" i="144"/>
  <c r="F291" i="144" s="1"/>
  <c r="S286" i="144"/>
  <c r="F286" i="144" s="1"/>
  <c r="S282" i="144"/>
  <c r="F282" i="144" s="1"/>
  <c r="S278" i="144"/>
  <c r="F278" i="144" s="1"/>
  <c r="S274" i="144"/>
  <c r="F274" i="144" s="1"/>
  <c r="S269" i="144"/>
  <c r="F269" i="144" s="1"/>
  <c r="S265" i="144"/>
  <c r="F265" i="144" s="1"/>
  <c r="S261" i="144"/>
  <c r="F261" i="144" s="1"/>
  <c r="S257" i="144"/>
  <c r="F257" i="144" s="1"/>
  <c r="S253" i="144"/>
  <c r="S249" i="144"/>
  <c r="F249" i="144" s="1"/>
  <c r="S245" i="144"/>
  <c r="F245" i="144" s="1"/>
  <c r="S241" i="144"/>
  <c r="F241" i="144" s="1"/>
  <c r="S237" i="144"/>
  <c r="F237" i="144" s="1"/>
  <c r="S233" i="144"/>
  <c r="F233" i="144" s="1"/>
  <c r="S229" i="144"/>
  <c r="F229" i="144" s="1"/>
  <c r="S225" i="144"/>
  <c r="F225" i="144" s="1"/>
  <c r="S221" i="144"/>
  <c r="F221" i="144" s="1"/>
  <c r="S217" i="144"/>
  <c r="F217" i="144" s="1"/>
  <c r="S208" i="144"/>
  <c r="F208" i="144" s="1"/>
  <c r="S204" i="144"/>
  <c r="F204" i="144" s="1"/>
  <c r="S200" i="144"/>
  <c r="F200" i="144" s="1"/>
  <c r="S196" i="144"/>
  <c r="F196" i="144" s="1"/>
  <c r="S190" i="144"/>
  <c r="F190" i="144" s="1"/>
  <c r="S186" i="144"/>
  <c r="F186" i="144" s="1"/>
  <c r="S182" i="144"/>
  <c r="F182" i="144" s="1"/>
  <c r="S177" i="144"/>
  <c r="F177" i="144" s="1"/>
  <c r="S172" i="144"/>
  <c r="F172" i="144" s="1"/>
  <c r="S168" i="144"/>
  <c r="F168" i="144" s="1"/>
  <c r="S164" i="144"/>
  <c r="F164" i="144" s="1"/>
  <c r="S160" i="144"/>
  <c r="F160" i="144" s="1"/>
  <c r="S156" i="144"/>
  <c r="F156" i="144" s="1"/>
  <c r="S152" i="144"/>
  <c r="F152" i="144" s="1"/>
  <c r="S148" i="144"/>
  <c r="F148" i="144" s="1"/>
  <c r="S144" i="144"/>
  <c r="F144" i="144" s="1"/>
  <c r="S139" i="144"/>
  <c r="F139" i="144" s="1"/>
  <c r="S135" i="144"/>
  <c r="F135" i="144" s="1"/>
  <c r="S131" i="144"/>
  <c r="F131" i="144" s="1"/>
  <c r="S127" i="144"/>
  <c r="F127" i="144" s="1"/>
  <c r="S123" i="144"/>
  <c r="F123" i="144" s="1"/>
  <c r="S119" i="144"/>
  <c r="F119" i="144" s="1"/>
  <c r="S115" i="144"/>
  <c r="F115" i="144" s="1"/>
  <c r="S111" i="144"/>
  <c r="F111" i="144" s="1"/>
  <c r="S107" i="144"/>
  <c r="F107" i="144" s="1"/>
  <c r="S103" i="144"/>
  <c r="F103" i="144" s="1"/>
  <c r="S99" i="144"/>
  <c r="F99" i="144" s="1"/>
  <c r="S93" i="144"/>
  <c r="F93" i="144" s="1"/>
  <c r="S89" i="144"/>
  <c r="F89" i="144" s="1"/>
  <c r="S85" i="144"/>
  <c r="F85" i="144" s="1"/>
  <c r="S81" i="144"/>
  <c r="F81" i="144" s="1"/>
  <c r="S77" i="144"/>
  <c r="F77" i="144" s="1"/>
  <c r="S73" i="144"/>
  <c r="F73" i="144" s="1"/>
  <c r="S67" i="144"/>
  <c r="F67" i="144" s="1"/>
  <c r="S63" i="144"/>
  <c r="F63" i="144" s="1"/>
  <c r="S58" i="144"/>
  <c r="F58" i="144" s="1"/>
  <c r="S54" i="144"/>
  <c r="F54" i="144" s="1"/>
  <c r="S50" i="144"/>
  <c r="F50" i="144" s="1"/>
  <c r="S46" i="144"/>
  <c r="F46" i="144" s="1"/>
  <c r="S42" i="144"/>
  <c r="F42" i="144" s="1"/>
  <c r="S38" i="144"/>
  <c r="F38" i="144" s="1"/>
  <c r="S33" i="144"/>
  <c r="F33" i="144" s="1"/>
  <c r="S29" i="144"/>
  <c r="F29" i="144" s="1"/>
  <c r="S25" i="144"/>
  <c r="F25" i="144" s="1"/>
  <c r="S21" i="144"/>
  <c r="F21" i="144" s="1"/>
  <c r="S17" i="144"/>
  <c r="F17" i="144" s="1"/>
  <c r="S13" i="144"/>
  <c r="F13" i="144" s="1"/>
  <c r="S9" i="144"/>
  <c r="F9" i="144" s="1"/>
  <c r="S1523" i="144"/>
  <c r="F1523" i="144" s="1"/>
  <c r="S2324" i="144"/>
  <c r="F2324" i="144" s="1"/>
  <c r="S2319" i="144"/>
  <c r="F2319" i="144" s="1"/>
  <c r="S2315" i="144"/>
  <c r="F2315" i="144" s="1"/>
  <c r="S2311" i="144"/>
  <c r="F2311" i="144" s="1"/>
  <c r="S2306" i="144"/>
  <c r="F2306" i="144" s="1"/>
  <c r="S2302" i="144"/>
  <c r="F2302" i="144" s="1"/>
  <c r="S2298" i="144"/>
  <c r="F2298" i="144" s="1"/>
  <c r="S2294" i="144"/>
  <c r="F2294" i="144" s="1"/>
  <c r="S2290" i="144"/>
  <c r="F2290" i="144" s="1"/>
  <c r="S2285" i="144"/>
  <c r="F2285" i="144" s="1"/>
  <c r="S2281" i="144"/>
  <c r="F2281" i="144" s="1"/>
  <c r="S2277" i="144"/>
  <c r="F2277" i="144" s="1"/>
  <c r="S2272" i="144"/>
  <c r="F2272" i="144" s="1"/>
  <c r="S2205" i="144"/>
  <c r="F2205" i="144" s="1"/>
  <c r="S2201" i="144"/>
  <c r="F2201" i="144" s="1"/>
  <c r="S2197" i="144"/>
  <c r="F2197" i="144" s="1"/>
  <c r="S2193" i="144"/>
  <c r="F2193" i="144" s="1"/>
  <c r="S2189" i="144"/>
  <c r="F2189" i="144" s="1"/>
  <c r="S2185" i="144"/>
  <c r="F2185" i="144" s="1"/>
  <c r="S2181" i="144"/>
  <c r="F2181" i="144" s="1"/>
  <c r="S2177" i="144"/>
  <c r="F2177" i="144" s="1"/>
  <c r="S2173" i="144"/>
  <c r="F2173" i="144" s="1"/>
  <c r="S2169" i="144"/>
  <c r="F2169" i="144" s="1"/>
  <c r="S2164" i="144"/>
  <c r="F2164" i="144" s="1"/>
  <c r="S2160" i="144"/>
  <c r="F2160" i="144" s="1"/>
  <c r="S2156" i="144"/>
  <c r="F2156" i="144" s="1"/>
  <c r="S2151" i="144"/>
  <c r="F2151" i="144" s="1"/>
  <c r="S2146" i="144"/>
  <c r="F2146" i="144" s="1"/>
  <c r="S2142" i="144"/>
  <c r="F2142" i="144" s="1"/>
  <c r="S2136" i="144"/>
  <c r="F2136" i="144" s="1"/>
  <c r="S2130" i="144"/>
  <c r="F2130" i="144" s="1"/>
  <c r="S2126" i="144"/>
  <c r="F2126" i="144" s="1"/>
  <c r="S2122" i="144"/>
  <c r="F2122" i="144" s="1"/>
  <c r="S2118" i="144"/>
  <c r="F2118" i="144" s="1"/>
  <c r="S2114" i="144"/>
  <c r="F2114" i="144" s="1"/>
  <c r="S2110" i="144"/>
  <c r="F2110" i="144" s="1"/>
  <c r="S2106" i="144"/>
  <c r="F2106" i="144" s="1"/>
  <c r="S2102" i="144"/>
  <c r="F2102" i="144" s="1"/>
  <c r="S2098" i="144"/>
  <c r="F2098" i="144" s="1"/>
  <c r="S2094" i="144"/>
  <c r="F2094" i="144" s="1"/>
  <c r="S2089" i="144"/>
  <c r="F2089" i="144" s="1"/>
  <c r="S2085" i="144"/>
  <c r="F2085" i="144" s="1"/>
  <c r="S2081" i="144"/>
  <c r="F2081" i="144" s="1"/>
  <c r="S2073" i="144"/>
  <c r="F2073" i="144" s="1"/>
  <c r="S2069" i="144"/>
  <c r="F2069" i="144" s="1"/>
  <c r="S2065" i="144"/>
  <c r="F2065" i="144" s="1"/>
  <c r="S2061" i="144"/>
  <c r="F2061" i="144" s="1"/>
  <c r="S2057" i="144"/>
  <c r="F2057" i="144" s="1"/>
  <c r="S2053" i="144"/>
  <c r="F2053" i="144" s="1"/>
  <c r="S2049" i="144"/>
  <c r="F2049" i="144" s="1"/>
  <c r="S2045" i="144"/>
  <c r="F2045" i="144" s="1"/>
  <c r="S2041" i="144"/>
  <c r="F2041" i="144" s="1"/>
  <c r="S2036" i="144"/>
  <c r="F2036" i="144" s="1"/>
  <c r="S2032" i="144"/>
  <c r="F2032" i="144" s="1"/>
  <c r="S2028" i="144"/>
  <c r="F2028" i="144" s="1"/>
  <c r="S2022" i="144"/>
  <c r="F2022" i="144" s="1"/>
  <c r="S2018" i="144"/>
  <c r="F2018" i="144" s="1"/>
  <c r="S2013" i="144"/>
  <c r="F2013" i="144" s="1"/>
  <c r="S2004" i="144"/>
  <c r="F2004" i="144" s="1"/>
  <c r="S1998" i="144"/>
  <c r="F1998" i="144" s="1"/>
  <c r="S1992" i="144"/>
  <c r="F1992" i="144" s="1"/>
  <c r="S1984" i="144"/>
  <c r="F1984" i="144" s="1"/>
  <c r="S1979" i="144"/>
  <c r="F1979" i="144" s="1"/>
  <c r="S1975" i="144"/>
  <c r="F1975" i="144" s="1"/>
  <c r="S1966" i="144"/>
  <c r="F1966" i="144" s="1"/>
  <c r="S1962" i="144"/>
  <c r="F1962" i="144" s="1"/>
  <c r="S1956" i="144"/>
  <c r="F1956" i="144" s="1"/>
  <c r="S1952" i="144"/>
  <c r="F1952" i="144" s="1"/>
  <c r="S1948" i="144"/>
  <c r="F1948" i="144" s="1"/>
  <c r="S1944" i="144"/>
  <c r="F1944" i="144" s="1"/>
  <c r="S1940" i="144"/>
  <c r="F1940" i="144" s="1"/>
  <c r="S1936" i="144"/>
  <c r="F1936" i="144" s="1"/>
  <c r="S1932" i="144"/>
  <c r="F1932" i="144" s="1"/>
  <c r="S1928" i="144"/>
  <c r="F1928" i="144" s="1"/>
  <c r="S1924" i="144"/>
  <c r="F1924" i="144" s="1"/>
  <c r="S1919" i="144"/>
  <c r="F1919" i="144" s="1"/>
  <c r="S1915" i="144"/>
  <c r="F1915" i="144" s="1"/>
  <c r="S1910" i="144"/>
  <c r="F1910" i="144" s="1"/>
  <c r="S1906" i="144"/>
  <c r="F1906" i="144" s="1"/>
  <c r="S1902" i="144"/>
  <c r="F1902" i="144" s="1"/>
  <c r="S1898" i="144"/>
  <c r="F1898" i="144" s="1"/>
  <c r="S1894" i="144"/>
  <c r="H28" i="170" s="1"/>
  <c r="K28" i="170" s="1"/>
  <c r="S1890" i="144"/>
  <c r="H21" i="170" s="1"/>
  <c r="K21" i="170" s="1"/>
  <c r="S2268" i="144"/>
  <c r="F2268" i="144" s="1"/>
  <c r="S2264" i="144"/>
  <c r="F2264" i="144" s="1"/>
  <c r="S2260" i="144"/>
  <c r="F2260" i="144" s="1"/>
  <c r="S2256" i="144"/>
  <c r="F2256" i="144" s="1"/>
  <c r="S2252" i="144"/>
  <c r="F2252" i="144" s="1"/>
  <c r="S2248" i="144"/>
  <c r="F2248" i="144" s="1"/>
  <c r="S2243" i="144"/>
  <c r="F2243" i="144" s="1"/>
  <c r="S2239" i="144"/>
  <c r="F2239" i="144" s="1"/>
  <c r="S2235" i="144"/>
  <c r="F2235" i="144" s="1"/>
  <c r="S2231" i="144"/>
  <c r="F2231" i="144" s="1"/>
  <c r="S2225" i="144"/>
  <c r="F2225" i="144" s="1"/>
  <c r="S2221" i="144"/>
  <c r="F2221" i="144" s="1"/>
  <c r="S2217" i="144"/>
  <c r="F2217" i="144" s="1"/>
  <c r="S2212" i="144"/>
  <c r="F2212" i="144" s="1"/>
  <c r="S2208" i="144"/>
  <c r="F2208" i="144" s="1"/>
  <c r="S2204" i="144"/>
  <c r="F2204" i="144" s="1"/>
  <c r="S2200" i="144"/>
  <c r="F2200" i="144" s="1"/>
  <c r="S2196" i="144"/>
  <c r="F2196" i="144" s="1"/>
  <c r="S2192" i="144"/>
  <c r="F2192" i="144" s="1"/>
  <c r="S2188" i="144"/>
  <c r="F2188" i="144" s="1"/>
  <c r="S2184" i="144"/>
  <c r="F2184" i="144" s="1"/>
  <c r="S2180" i="144"/>
  <c r="F2180" i="144" s="1"/>
  <c r="S2176" i="144"/>
  <c r="F2176" i="144" s="1"/>
  <c r="S2172" i="144"/>
  <c r="F2172" i="144" s="1"/>
  <c r="S2168" i="144"/>
  <c r="F2168" i="144" s="1"/>
  <c r="S2163" i="144"/>
  <c r="F2163" i="144" s="1"/>
  <c r="S2159" i="144"/>
  <c r="F2159" i="144" s="1"/>
  <c r="S2154" i="144"/>
  <c r="F2154" i="144" s="1"/>
  <c r="S2149" i="144"/>
  <c r="F2149" i="144" s="1"/>
  <c r="S2145" i="144"/>
  <c r="F2145" i="144" s="1"/>
  <c r="S2140" i="144"/>
  <c r="F2140" i="144" s="1"/>
  <c r="S2133" i="144"/>
  <c r="F2133" i="144" s="1"/>
  <c r="S2129" i="144"/>
  <c r="F2129" i="144" s="1"/>
  <c r="S2125" i="144"/>
  <c r="F2125" i="144" s="1"/>
  <c r="S2121" i="144"/>
  <c r="F2121" i="144" s="1"/>
  <c r="S2117" i="144"/>
  <c r="F2117" i="144" s="1"/>
  <c r="S2113" i="144"/>
  <c r="F2113" i="144" s="1"/>
  <c r="S2109" i="144"/>
  <c r="F2109" i="144" s="1"/>
  <c r="S2105" i="144"/>
  <c r="F2105" i="144" s="1"/>
  <c r="S2101" i="144"/>
  <c r="F2101" i="144" s="1"/>
  <c r="S2097" i="144"/>
  <c r="F2097" i="144" s="1"/>
  <c r="S2093" i="144"/>
  <c r="F2093" i="144" s="1"/>
  <c r="S2088" i="144"/>
  <c r="F2088" i="144" s="1"/>
  <c r="S2084" i="144"/>
  <c r="F2084" i="144" s="1"/>
  <c r="S2080" i="144"/>
  <c r="F2080" i="144" s="1"/>
  <c r="S2076" i="144"/>
  <c r="F2076" i="144" s="1"/>
  <c r="S2072" i="144"/>
  <c r="F2072" i="144" s="1"/>
  <c r="S2068" i="144"/>
  <c r="F2068" i="144" s="1"/>
  <c r="S2064" i="144"/>
  <c r="F2064" i="144" s="1"/>
  <c r="S2060" i="144"/>
  <c r="F2060" i="144" s="1"/>
  <c r="S2056" i="144"/>
  <c r="F2056" i="144" s="1"/>
  <c r="S2052" i="144"/>
  <c r="F2052" i="144" s="1"/>
  <c r="S2048" i="144"/>
  <c r="F2048" i="144" s="1"/>
  <c r="S2044" i="144"/>
  <c r="F2044" i="144" s="1"/>
  <c r="S2040" i="144"/>
  <c r="F2040" i="144" s="1"/>
  <c r="S2035" i="144"/>
  <c r="F2035" i="144" s="1"/>
  <c r="S2031" i="144"/>
  <c r="F2031" i="144" s="1"/>
  <c r="S2025" i="144"/>
  <c r="F2025" i="144" s="1"/>
  <c r="S2017" i="144"/>
  <c r="F2017" i="144" s="1"/>
  <c r="S2012" i="144"/>
  <c r="F2012" i="144" s="1"/>
  <c r="S2003" i="144"/>
  <c r="F2003" i="144" s="1"/>
  <c r="S1997" i="144"/>
  <c r="F1997" i="144" s="1"/>
  <c r="S1991" i="144"/>
  <c r="F1991" i="144" s="1"/>
  <c r="S1982" i="144"/>
  <c r="F1982" i="144" s="1"/>
  <c r="S1978" i="144"/>
  <c r="F1978" i="144" s="1"/>
  <c r="S1974" i="144"/>
  <c r="F1974" i="144" s="1"/>
  <c r="S1969" i="144"/>
  <c r="F1969" i="144" s="1"/>
  <c r="S1965" i="144"/>
  <c r="F1965" i="144" s="1"/>
  <c r="S1961" i="144"/>
  <c r="F1961" i="144" s="1"/>
  <c r="S1955" i="144"/>
  <c r="F1955" i="144" s="1"/>
  <c r="S1951" i="144"/>
  <c r="F1951" i="144" s="1"/>
  <c r="S1947" i="144"/>
  <c r="F1947" i="144" s="1"/>
  <c r="S1943" i="144"/>
  <c r="F1943" i="144" s="1"/>
  <c r="S1939" i="144"/>
  <c r="F1939" i="144" s="1"/>
  <c r="S1935" i="144"/>
  <c r="F1935" i="144" s="1"/>
  <c r="S1931" i="144"/>
  <c r="F1931" i="144" s="1"/>
  <c r="S1927" i="144"/>
  <c r="F1927" i="144" s="1"/>
  <c r="S1923" i="144"/>
  <c r="F1923" i="144" s="1"/>
  <c r="S1918" i="144"/>
  <c r="F1918" i="144" s="1"/>
  <c r="S1914" i="144"/>
  <c r="F1914" i="144" s="1"/>
  <c r="S1909" i="144"/>
  <c r="F1909" i="144" s="1"/>
  <c r="S1905" i="144"/>
  <c r="F1905" i="144" s="1"/>
  <c r="S1901" i="144"/>
  <c r="F1901" i="144" s="1"/>
  <c r="S1893" i="144"/>
  <c r="S1889" i="144"/>
  <c r="H19" i="170" s="1"/>
  <c r="S1886" i="144"/>
  <c r="H15" i="170" s="1"/>
  <c r="K15" i="170" s="1"/>
  <c r="S1882" i="144"/>
  <c r="F1882" i="144" s="1"/>
  <c r="S1878" i="144"/>
  <c r="F1878" i="144" s="1"/>
  <c r="S1874" i="144"/>
  <c r="F1874" i="144" s="1"/>
  <c r="S1870" i="144"/>
  <c r="F1870" i="144" s="1"/>
  <c r="S1866" i="144"/>
  <c r="F1866" i="144" s="1"/>
  <c r="S1862" i="144"/>
  <c r="F1862" i="144" s="1"/>
  <c r="S1858" i="144"/>
  <c r="F1858" i="144" s="1"/>
  <c r="S1854" i="144"/>
  <c r="F1854" i="144" s="1"/>
  <c r="S1850" i="144"/>
  <c r="F1850" i="144" s="1"/>
  <c r="S1846" i="144"/>
  <c r="F1846" i="144" s="1"/>
  <c r="S1842" i="144"/>
  <c r="F1842" i="144" s="1"/>
  <c r="S1835" i="144"/>
  <c r="F1835" i="144" s="1"/>
  <c r="S1831" i="144"/>
  <c r="F1831" i="144" s="1"/>
  <c r="S1827" i="144"/>
  <c r="F1827" i="144" s="1"/>
  <c r="S1823" i="144"/>
  <c r="F1823" i="144" s="1"/>
  <c r="S1819" i="144"/>
  <c r="F1819" i="144" s="1"/>
  <c r="S1815" i="144"/>
  <c r="F1815" i="144" s="1"/>
  <c r="S1810" i="144"/>
  <c r="F1810" i="144" s="1"/>
  <c r="S1806" i="144"/>
  <c r="F1806" i="144" s="1"/>
  <c r="S1802" i="144"/>
  <c r="F1802" i="144" s="1"/>
  <c r="S1798" i="144"/>
  <c r="F1798" i="144" s="1"/>
  <c r="S1794" i="144"/>
  <c r="F1794" i="144" s="1"/>
  <c r="S1790" i="144"/>
  <c r="F1790" i="144" s="1"/>
  <c r="S1786" i="144"/>
  <c r="F1786" i="144" s="1"/>
  <c r="S1782" i="144"/>
  <c r="F1782" i="144" s="1"/>
  <c r="S1777" i="144"/>
  <c r="F1777" i="144" s="1"/>
  <c r="S1773" i="144"/>
  <c r="F1773" i="144" s="1"/>
  <c r="S1768" i="144"/>
  <c r="F1768" i="144" s="1"/>
  <c r="S1762" i="144"/>
  <c r="F1762" i="144" s="1"/>
  <c r="S1758" i="144"/>
  <c r="F1758" i="144" s="1"/>
  <c r="S1753" i="144"/>
  <c r="F1753" i="144" s="1"/>
  <c r="S1749" i="144"/>
  <c r="F1749" i="144" s="1"/>
  <c r="S1745" i="144"/>
  <c r="F1745" i="144" s="1"/>
  <c r="S1741" i="144"/>
  <c r="F1741" i="144" s="1"/>
  <c r="S1737" i="144"/>
  <c r="F1737" i="144" s="1"/>
  <c r="S1731" i="144"/>
  <c r="F1731" i="144" s="1"/>
  <c r="S1727" i="144"/>
  <c r="F1727" i="144" s="1"/>
  <c r="S1722" i="144"/>
  <c r="F1722" i="144" s="1"/>
  <c r="S1717" i="144"/>
  <c r="F1717" i="144" s="1"/>
  <c r="S1713" i="144"/>
  <c r="F1713" i="144" s="1"/>
  <c r="S1709" i="144"/>
  <c r="F1709" i="144" s="1"/>
  <c r="S1705" i="144"/>
  <c r="F1705" i="144" s="1"/>
  <c r="S1699" i="144"/>
  <c r="F1699" i="144" s="1"/>
  <c r="S1695" i="144"/>
  <c r="F1695" i="144" s="1"/>
  <c r="S1691" i="144"/>
  <c r="F1691" i="144" s="1"/>
  <c r="S1687" i="144"/>
  <c r="F1687" i="144" s="1"/>
  <c r="S1683" i="144"/>
  <c r="F1683" i="144" s="1"/>
  <c r="S1679" i="144"/>
  <c r="F1679" i="144" s="1"/>
  <c r="S1675" i="144"/>
  <c r="F1675" i="144" s="1"/>
  <c r="S1670" i="144"/>
  <c r="F1670" i="144" s="1"/>
  <c r="S1665" i="144"/>
  <c r="F1665" i="144" s="1"/>
  <c r="S1660" i="144"/>
  <c r="F1660" i="144" s="1"/>
  <c r="S1656" i="144"/>
  <c r="F1656" i="144" s="1"/>
  <c r="S1652" i="144"/>
  <c r="F1652" i="144" s="1"/>
  <c r="S1648" i="144"/>
  <c r="F1648" i="144" s="1"/>
  <c r="S1644" i="144"/>
  <c r="F1644" i="144" s="1"/>
  <c r="S1640" i="144"/>
  <c r="F1640" i="144" s="1"/>
  <c r="S1636" i="144"/>
  <c r="F1636" i="144" s="1"/>
  <c r="S1632" i="144"/>
  <c r="F1632" i="144" s="1"/>
  <c r="S1628" i="144"/>
  <c r="F1628" i="144" s="1"/>
  <c r="S1623" i="144"/>
  <c r="F1623" i="144" s="1"/>
  <c r="S1618" i="144"/>
  <c r="F1618" i="144" s="1"/>
  <c r="S1614" i="144"/>
  <c r="F1614" i="144" s="1"/>
  <c r="S1610" i="144"/>
  <c r="F1610" i="144" s="1"/>
  <c r="S1606" i="144"/>
  <c r="F1606" i="144" s="1"/>
  <c r="S1602" i="144"/>
  <c r="F1602" i="144" s="1"/>
  <c r="S1598" i="144"/>
  <c r="F1598" i="144" s="1"/>
  <c r="S1594" i="144"/>
  <c r="F1594" i="144" s="1"/>
  <c r="S1590" i="144"/>
  <c r="F1590" i="144" s="1"/>
  <c r="S1585" i="144"/>
  <c r="F1585" i="144" s="1"/>
  <c r="S1580" i="144"/>
  <c r="F1580" i="144" s="1"/>
  <c r="S1576" i="144"/>
  <c r="F1576" i="144" s="1"/>
  <c r="S1572" i="144"/>
  <c r="F1572" i="144" s="1"/>
  <c r="S1568" i="144"/>
  <c r="F1568" i="144" s="1"/>
  <c r="S1564" i="144"/>
  <c r="F1564" i="144" s="1"/>
  <c r="S1560" i="144"/>
  <c r="F1560" i="144" s="1"/>
  <c r="S1556" i="144"/>
  <c r="F1556" i="144" s="1"/>
  <c r="S1551" i="144"/>
  <c r="F1551" i="144" s="1"/>
  <c r="S1547" i="144"/>
  <c r="F1547" i="144" s="1"/>
  <c r="S1543" i="144"/>
  <c r="F1543" i="144" s="1"/>
  <c r="S1539" i="144"/>
  <c r="F1539" i="144" s="1"/>
  <c r="S1535" i="144"/>
  <c r="F1535" i="144" s="1"/>
  <c r="S1531" i="144"/>
  <c r="F1531" i="144" s="1"/>
  <c r="S1526" i="144"/>
  <c r="F1526" i="144" s="1"/>
  <c r="S1885" i="144"/>
  <c r="S1881" i="144"/>
  <c r="F1881" i="144" s="1"/>
  <c r="S1877" i="144"/>
  <c r="F1877" i="144" s="1"/>
  <c r="S1873" i="144"/>
  <c r="F1873" i="144" s="1"/>
  <c r="S1869" i="144"/>
  <c r="F1869" i="144" s="1"/>
  <c r="S1865" i="144"/>
  <c r="F1865" i="144" s="1"/>
  <c r="S1857" i="144"/>
  <c r="F1857" i="144" s="1"/>
  <c r="S1853" i="144"/>
  <c r="F1853" i="144" s="1"/>
  <c r="S1849" i="144"/>
  <c r="F1849" i="144" s="1"/>
  <c r="S1845" i="144"/>
  <c r="F1845" i="144" s="1"/>
  <c r="S1839" i="144"/>
  <c r="F1839" i="144" s="1"/>
  <c r="S1834" i="144"/>
  <c r="F1834" i="144" s="1"/>
  <c r="S1830" i="144"/>
  <c r="F1830" i="144" s="1"/>
  <c r="S1826" i="144"/>
  <c r="F1826" i="144" s="1"/>
  <c r="S1822" i="144"/>
  <c r="F1822" i="144" s="1"/>
  <c r="S1818" i="144"/>
  <c r="F1818" i="144" s="1"/>
  <c r="S1813" i="144"/>
  <c r="F1813" i="144" s="1"/>
  <c r="S1809" i="144"/>
  <c r="F1809" i="144" s="1"/>
  <c r="S1805" i="144"/>
  <c r="F1805" i="144" s="1"/>
  <c r="S1801" i="144"/>
  <c r="F1801" i="144" s="1"/>
  <c r="S1797" i="144"/>
  <c r="F1797" i="144" s="1"/>
  <c r="S1793" i="144"/>
  <c r="F1793" i="144" s="1"/>
  <c r="S1789" i="144"/>
  <c r="F1789" i="144" s="1"/>
  <c r="S1785" i="144"/>
  <c r="F1785" i="144" s="1"/>
  <c r="S1781" i="144"/>
  <c r="F1781" i="144" s="1"/>
  <c r="S1776" i="144"/>
  <c r="F1776" i="144" s="1"/>
  <c r="S1772" i="144"/>
  <c r="F1772" i="144" s="1"/>
  <c r="S1767" i="144"/>
  <c r="F1767" i="144" s="1"/>
  <c r="S1761" i="144"/>
  <c r="F1761" i="144" s="1"/>
  <c r="S1757" i="144"/>
  <c r="F1757" i="144" s="1"/>
  <c r="S1752" i="144"/>
  <c r="F1752" i="144" s="1"/>
  <c r="S1748" i="144"/>
  <c r="F1748" i="144" s="1"/>
  <c r="S1744" i="144"/>
  <c r="F1744" i="144" s="1"/>
  <c r="S1740" i="144"/>
  <c r="F1740" i="144" s="1"/>
  <c r="S1735" i="144"/>
  <c r="F1735" i="144" s="1"/>
  <c r="S1730" i="144"/>
  <c r="F1730" i="144" s="1"/>
  <c r="S1726" i="144"/>
  <c r="F1726" i="144" s="1"/>
  <c r="S1721" i="144"/>
  <c r="F1721" i="144" s="1"/>
  <c r="S1716" i="144"/>
  <c r="F1716" i="144" s="1"/>
  <c r="S1712" i="144"/>
  <c r="F1712" i="144" s="1"/>
  <c r="S1708" i="144"/>
  <c r="F1708" i="144" s="1"/>
  <c r="S1704" i="144"/>
  <c r="F1704" i="144" s="1"/>
  <c r="S1698" i="144"/>
  <c r="F1698" i="144" s="1"/>
  <c r="S1694" i="144"/>
  <c r="F1694" i="144" s="1"/>
  <c r="S1690" i="144"/>
  <c r="F1690" i="144" s="1"/>
  <c r="S1682" i="144"/>
  <c r="F1682" i="144" s="1"/>
  <c r="S1678" i="144"/>
  <c r="F1678" i="144" s="1"/>
  <c r="S1674" i="144"/>
  <c r="F1674" i="144" s="1"/>
  <c r="S1669" i="144"/>
  <c r="F1669" i="144" s="1"/>
  <c r="S1664" i="144"/>
  <c r="F1664" i="144" s="1"/>
  <c r="S1659" i="144"/>
  <c r="F1659" i="144" s="1"/>
  <c r="S1655" i="144"/>
  <c r="F1655" i="144" s="1"/>
  <c r="S1651" i="144"/>
  <c r="F1651" i="144" s="1"/>
  <c r="S1647" i="144"/>
  <c r="F1647" i="144" s="1"/>
  <c r="S1643" i="144"/>
  <c r="F1643" i="144" s="1"/>
  <c r="S1639" i="144"/>
  <c r="F1639" i="144" s="1"/>
  <c r="S1635" i="144"/>
  <c r="F1635" i="144" s="1"/>
  <c r="S1631" i="144"/>
  <c r="F1631" i="144" s="1"/>
  <c r="S1622" i="144"/>
  <c r="F1622" i="144" s="1"/>
  <c r="S1617" i="144"/>
  <c r="F1617" i="144" s="1"/>
  <c r="S1613" i="144"/>
  <c r="F1613" i="144" s="1"/>
  <c r="S1605" i="144"/>
  <c r="F1605" i="144" s="1"/>
  <c r="S1601" i="144"/>
  <c r="F1601" i="144" s="1"/>
  <c r="S1597" i="144"/>
  <c r="F1597" i="144" s="1"/>
  <c r="S1593" i="144"/>
  <c r="F1593" i="144" s="1"/>
  <c r="S1589" i="144"/>
  <c r="F1589" i="144" s="1"/>
  <c r="S1583" i="144"/>
  <c r="F1583" i="144" s="1"/>
  <c r="S1579" i="144"/>
  <c r="F1579" i="144" s="1"/>
  <c r="S1575" i="144"/>
  <c r="F1575" i="144" s="1"/>
  <c r="S1571" i="144"/>
  <c r="F1571" i="144" s="1"/>
  <c r="S1567" i="144"/>
  <c r="F1567" i="144" s="1"/>
  <c r="S1563" i="144"/>
  <c r="F1563" i="144" s="1"/>
  <c r="S1559" i="144"/>
  <c r="F1559" i="144" s="1"/>
  <c r="S1555" i="144"/>
  <c r="F1555" i="144" s="1"/>
  <c r="S1550" i="144"/>
  <c r="F1550" i="144" s="1"/>
  <c r="S1546" i="144"/>
  <c r="F1546" i="144" s="1"/>
  <c r="S1542" i="144"/>
  <c r="F1542" i="144" s="1"/>
  <c r="S1538" i="144"/>
  <c r="F1538" i="144" s="1"/>
  <c r="S1534" i="144"/>
  <c r="F1534" i="144" s="1"/>
  <c r="S1529" i="144"/>
  <c r="F1529" i="144" s="1"/>
  <c r="E21" i="170"/>
  <c r="E15" i="170"/>
  <c r="H2247" i="144"/>
  <c r="H2106" i="144"/>
  <c r="H25" i="170"/>
  <c r="K25" i="170" s="1"/>
  <c r="F658" i="144"/>
  <c r="B26" i="174"/>
  <c r="B21" i="174"/>
  <c r="H2107" i="144"/>
  <c r="H2131" i="144"/>
  <c r="H2270" i="144"/>
  <c r="H2293" i="144"/>
  <c r="H2148" i="144"/>
  <c r="H2207" i="144"/>
  <c r="H2208" i="144"/>
  <c r="H2193" i="144"/>
  <c r="H2170" i="144"/>
  <c r="H2304" i="144"/>
  <c r="H2125" i="144"/>
  <c r="H2236" i="144"/>
  <c r="H2299" i="144"/>
  <c r="H2176" i="144"/>
  <c r="H2324" i="144"/>
  <c r="H2099" i="144"/>
  <c r="H2237" i="144"/>
  <c r="H2200" i="144"/>
  <c r="H2307" i="144"/>
  <c r="H2310" i="144"/>
  <c r="H2316" i="144"/>
  <c r="H2181" i="144"/>
  <c r="H2222" i="144"/>
  <c r="H1772" i="144"/>
  <c r="H558" i="144"/>
  <c r="H470" i="144"/>
  <c r="H898" i="144"/>
  <c r="H1330" i="144"/>
  <c r="H1510" i="144"/>
  <c r="H1398" i="144"/>
  <c r="H1762" i="144"/>
  <c r="H200" i="144"/>
  <c r="H1930" i="144"/>
  <c r="H194" i="144"/>
  <c r="H393" i="144"/>
  <c r="H1403" i="144"/>
  <c r="H238" i="144"/>
  <c r="H1420" i="144"/>
  <c r="H1244" i="144"/>
  <c r="H1240" i="144"/>
  <c r="H1080" i="144"/>
  <c r="H575" i="144"/>
  <c r="H1192" i="144"/>
  <c r="H413" i="144"/>
  <c r="H397" i="144"/>
  <c r="H770" i="144"/>
  <c r="H423" i="144"/>
  <c r="H1134" i="144"/>
  <c r="H1746" i="144"/>
  <c r="H535" i="144"/>
  <c r="H1704" i="144"/>
  <c r="H705" i="144"/>
  <c r="H1988" i="144"/>
  <c r="H869" i="144"/>
  <c r="H176" i="144"/>
  <c r="H610" i="144"/>
  <c r="H1432" i="144"/>
  <c r="H1563" i="144"/>
  <c r="H1483" i="144"/>
  <c r="H1634" i="144"/>
  <c r="H80" i="144"/>
  <c r="H1742" i="144"/>
  <c r="H743" i="144"/>
  <c r="H333" i="144"/>
  <c r="H1630" i="144"/>
  <c r="H113" i="144"/>
  <c r="H170" i="144"/>
  <c r="H862" i="144"/>
  <c r="H587" i="144"/>
  <c r="H239" i="144"/>
  <c r="H1464" i="144"/>
  <c r="H1767" i="144"/>
  <c r="H759" i="144"/>
  <c r="H1824" i="144"/>
  <c r="H1565" i="144"/>
  <c r="H1025" i="144"/>
  <c r="H536" i="144"/>
  <c r="H824" i="144"/>
  <c r="H1253" i="144"/>
  <c r="H293" i="144"/>
  <c r="H137" i="144"/>
  <c r="H1713" i="144"/>
  <c r="H522" i="144"/>
  <c r="H1508" i="144"/>
  <c r="H69" i="144"/>
  <c r="H1764" i="144"/>
  <c r="H36" i="144"/>
  <c r="H2180" i="144"/>
  <c r="H2202" i="144"/>
  <c r="H2128" i="144"/>
  <c r="F1892" i="144"/>
  <c r="F27" i="175"/>
  <c r="H189" i="146"/>
  <c r="H42" i="146"/>
  <c r="H179" i="146"/>
  <c r="H162" i="146"/>
  <c r="H88" i="146"/>
  <c r="H258" i="146"/>
  <c r="H250" i="146"/>
  <c r="H171" i="146"/>
  <c r="H106" i="146"/>
  <c r="F15" i="175"/>
  <c r="G202" i="146"/>
  <c r="G144" i="146"/>
  <c r="G115" i="146"/>
  <c r="G196" i="146"/>
  <c r="G209" i="146"/>
  <c r="G133" i="146"/>
  <c r="G132" i="146"/>
  <c r="G193" i="146"/>
  <c r="G38" i="146"/>
  <c r="G203" i="146"/>
  <c r="G45" i="146"/>
  <c r="G262" i="146"/>
  <c r="G276" i="146"/>
  <c r="G240" i="146"/>
  <c r="G208" i="146"/>
  <c r="G181" i="146"/>
  <c r="G126" i="146"/>
  <c r="G154" i="146"/>
  <c r="G148" i="146"/>
  <c r="G44" i="146"/>
  <c r="G147" i="146"/>
  <c r="G88" i="146"/>
  <c r="G53" i="146"/>
  <c r="G42" i="146"/>
  <c r="G172" i="146"/>
  <c r="G99" i="146"/>
  <c r="G18" i="146"/>
  <c r="G43" i="146"/>
  <c r="G60" i="146"/>
  <c r="G179" i="146"/>
  <c r="G87" i="146"/>
  <c r="G191" i="146"/>
  <c r="G82" i="146"/>
  <c r="G189" i="146"/>
  <c r="G114" i="146"/>
  <c r="G34" i="146"/>
  <c r="G178" i="146"/>
  <c r="G112" i="146"/>
  <c r="G32" i="146"/>
  <c r="G194" i="146"/>
  <c r="G160" i="146"/>
  <c r="G120" i="146"/>
  <c r="G85" i="146"/>
  <c r="G39" i="146"/>
  <c r="G221" i="146"/>
  <c r="G184" i="146"/>
  <c r="G151" i="146"/>
  <c r="G110" i="146"/>
  <c r="G67" i="146"/>
  <c r="G30" i="146"/>
  <c r="G207" i="146"/>
  <c r="G121" i="146"/>
  <c r="G40" i="146"/>
  <c r="G192" i="146"/>
  <c r="G158" i="146"/>
  <c r="G117" i="146"/>
  <c r="G83" i="146"/>
  <c r="G37" i="146"/>
  <c r="G243" i="146"/>
  <c r="G250" i="146"/>
  <c r="G269" i="146"/>
  <c r="G242" i="146"/>
  <c r="G272" i="146"/>
  <c r="G252" i="146"/>
  <c r="G274" i="146"/>
  <c r="G259" i="146"/>
  <c r="G236" i="146"/>
  <c r="H275" i="146"/>
  <c r="H122" i="146"/>
  <c r="H266" i="146"/>
  <c r="H59" i="146"/>
  <c r="H50" i="146"/>
  <c r="H208" i="146"/>
  <c r="H98" i="146"/>
  <c r="H251" i="146"/>
  <c r="G182" i="146"/>
  <c r="G164" i="146"/>
  <c r="G129" i="146"/>
  <c r="G165" i="146"/>
  <c r="G97" i="146"/>
  <c r="G92" i="146"/>
  <c r="G219" i="146"/>
  <c r="G75" i="146"/>
  <c r="G211" i="146"/>
  <c r="G218" i="146"/>
  <c r="G162" i="146"/>
  <c r="G156" i="146"/>
  <c r="G81" i="146"/>
  <c r="G107" i="146"/>
  <c r="G27" i="146"/>
  <c r="G26" i="146"/>
  <c r="G143" i="146"/>
  <c r="G59" i="146"/>
  <c r="G157" i="146"/>
  <c r="G36" i="146"/>
  <c r="G171" i="146"/>
  <c r="G98" i="146"/>
  <c r="G17" i="146"/>
  <c r="G161" i="146"/>
  <c r="G96" i="146"/>
  <c r="G15" i="146"/>
  <c r="G185" i="146"/>
  <c r="G152" i="146"/>
  <c r="G111" i="146"/>
  <c r="G68" i="146"/>
  <c r="G31" i="146"/>
  <c r="G213" i="146"/>
  <c r="G175" i="146"/>
  <c r="G140" i="146"/>
  <c r="G102" i="146"/>
  <c r="G55" i="146"/>
  <c r="G22" i="146"/>
  <c r="G186" i="146"/>
  <c r="G104" i="146"/>
  <c r="G24" i="146"/>
  <c r="G183" i="146"/>
  <c r="G149" i="146"/>
  <c r="G109" i="146"/>
  <c r="G65" i="146"/>
  <c r="G29" i="146"/>
  <c r="G225" i="146"/>
  <c r="G239" i="146"/>
  <c r="G261" i="146"/>
  <c r="G238" i="146"/>
  <c r="G268" i="146"/>
  <c r="G241" i="146"/>
  <c r="G275" i="146"/>
  <c r="G255" i="146"/>
  <c r="G222" i="146"/>
  <c r="G134" i="146"/>
  <c r="G108" i="146"/>
  <c r="G50" i="146"/>
  <c r="G33" i="146"/>
  <c r="G16" i="146"/>
  <c r="G11" i="146"/>
  <c r="G113" i="146"/>
  <c r="G197" i="146"/>
  <c r="G173" i="146"/>
  <c r="G163" i="146"/>
  <c r="G210" i="146"/>
  <c r="G136" i="146"/>
  <c r="G52" i="146"/>
  <c r="G91" i="146"/>
  <c r="G180" i="146"/>
  <c r="G217" i="146"/>
  <c r="G122" i="146"/>
  <c r="G41" i="146"/>
  <c r="G116" i="146"/>
  <c r="G19" i="146"/>
  <c r="G155" i="146"/>
  <c r="G76" i="146"/>
  <c r="G216" i="146"/>
  <c r="G142" i="146"/>
  <c r="G71" i="146"/>
  <c r="G215" i="146"/>
  <c r="G177" i="146"/>
  <c r="G141" i="146"/>
  <c r="G103" i="146"/>
  <c r="G56" i="146"/>
  <c r="G23" i="146"/>
  <c r="G205" i="146"/>
  <c r="G167" i="146"/>
  <c r="G131" i="146"/>
  <c r="G94" i="146"/>
  <c r="G47" i="146"/>
  <c r="G13" i="146"/>
  <c r="G169" i="146"/>
  <c r="G86" i="146"/>
  <c r="G212" i="146"/>
  <c r="G174" i="146"/>
  <c r="G139" i="146"/>
  <c r="G101" i="146"/>
  <c r="G54" i="146"/>
  <c r="G21" i="146"/>
  <c r="G270" i="146"/>
  <c r="G278" i="146"/>
  <c r="G277" i="146"/>
  <c r="G257" i="146"/>
  <c r="G230" i="146"/>
  <c r="G260" i="146"/>
  <c r="G237" i="146"/>
  <c r="G271" i="146"/>
  <c r="F18" i="175"/>
  <c r="F1884" i="144"/>
  <c r="H30" i="170"/>
  <c r="K30" i="170" s="1"/>
  <c r="F1896" i="144"/>
  <c r="H2303" i="144"/>
  <c r="H2133" i="144"/>
  <c r="H2110" i="144"/>
  <c r="H2280" i="144"/>
  <c r="H2126" i="144"/>
  <c r="H2085" i="144"/>
  <c r="H2081" i="144"/>
  <c r="H2295" i="144"/>
  <c r="H2145" i="144"/>
  <c r="H2243" i="144"/>
  <c r="H2113" i="144"/>
  <c r="H2271" i="144"/>
  <c r="H2144" i="144"/>
  <c r="H2195" i="144"/>
  <c r="H2284" i="144"/>
  <c r="H2192" i="144"/>
  <c r="H2098" i="144"/>
  <c r="H2264" i="144"/>
  <c r="H2173" i="144"/>
  <c r="H2083" i="144"/>
  <c r="H2245" i="144"/>
  <c r="H2158" i="144"/>
  <c r="H2322" i="144"/>
  <c r="H2288" i="144"/>
  <c r="H2254" i="144"/>
  <c r="H2219" i="144"/>
  <c r="H2186" i="144"/>
  <c r="H2152" i="144"/>
  <c r="H2115" i="144"/>
  <c r="H2082" i="144"/>
  <c r="H7" i="170"/>
  <c r="K7" i="170" s="1"/>
  <c r="F252" i="144"/>
  <c r="H2276" i="144"/>
  <c r="H2297" i="144"/>
  <c r="H2100" i="144"/>
  <c r="H2221" i="144"/>
  <c r="H2256" i="144"/>
  <c r="H2286" i="144"/>
  <c r="H2267" i="144"/>
  <c r="H2272" i="144"/>
  <c r="H2092" i="144"/>
  <c r="H2232" i="144"/>
  <c r="H2077" i="144"/>
  <c r="H2218" i="144"/>
  <c r="H2084" i="144"/>
  <c r="H2184" i="144"/>
  <c r="H2260" i="144"/>
  <c r="H2169" i="144"/>
  <c r="H2079" i="144"/>
  <c r="H2240" i="144"/>
  <c r="H2153" i="144"/>
  <c r="H2312" i="144"/>
  <c r="H2224" i="144"/>
  <c r="H2129" i="144"/>
  <c r="H2313" i="144"/>
  <c r="H2279" i="144"/>
  <c r="H2246" i="144"/>
  <c r="H2210" i="144"/>
  <c r="H2178" i="144"/>
  <c r="H2143" i="144"/>
  <c r="H2086" i="144"/>
  <c r="H2103" i="144"/>
  <c r="H2119" i="144"/>
  <c r="H2137" i="144"/>
  <c r="H2157" i="144"/>
  <c r="H2174" i="144"/>
  <c r="H2190" i="144"/>
  <c r="H2206" i="144"/>
  <c r="H2223" i="144"/>
  <c r="H2241" i="144"/>
  <c r="H2258" i="144"/>
  <c r="H2275" i="144"/>
  <c r="H2292" i="144"/>
  <c r="H2309" i="144"/>
  <c r="H2326" i="144"/>
  <c r="H2120" i="144"/>
  <c r="H2168" i="144"/>
  <c r="H2209" i="144"/>
  <c r="H2259" i="144"/>
  <c r="H2302" i="144"/>
  <c r="H2093" i="144"/>
  <c r="H2136" i="144"/>
  <c r="H2187" i="144"/>
  <c r="H2231" i="144"/>
  <c r="H2273" i="144"/>
  <c r="H2323" i="144"/>
  <c r="H2112" i="144"/>
  <c r="H2159" i="144"/>
  <c r="H2201" i="144"/>
  <c r="H2251" i="144"/>
  <c r="H2089" i="144"/>
  <c r="H2179" i="144"/>
  <c r="H2242" i="144"/>
  <c r="H2315" i="144"/>
  <c r="H2149" i="144"/>
  <c r="H2212" i="144"/>
  <c r="H2277" i="144"/>
  <c r="H2320" i="144"/>
  <c r="H2118" i="144"/>
  <c r="H2185" i="144"/>
  <c r="H2249" i="144"/>
  <c r="H2080" i="144"/>
  <c r="H2151" i="144"/>
  <c r="H2213" i="144"/>
  <c r="H2104" i="144"/>
  <c r="H2239" i="144"/>
  <c r="H2188" i="144"/>
  <c r="H2217" i="144"/>
  <c r="H2261" i="144"/>
  <c r="H2226" i="144"/>
  <c r="H2132" i="144"/>
  <c r="H2204" i="144"/>
  <c r="H2285" i="144"/>
  <c r="H2094" i="144"/>
  <c r="H2160" i="144"/>
  <c r="H2257" i="144"/>
  <c r="H2154" i="144"/>
  <c r="H2230" i="144"/>
  <c r="H2319" i="144"/>
  <c r="H2078" i="144"/>
  <c r="H2095" i="144"/>
  <c r="H2111" i="144"/>
  <c r="H2127" i="144"/>
  <c r="H2147" i="144"/>
  <c r="H2166" i="144"/>
  <c r="H2182" i="144"/>
  <c r="H2198" i="144"/>
  <c r="H2215" i="144"/>
  <c r="H2233" i="144"/>
  <c r="H2250" i="144"/>
  <c r="H2266" i="144"/>
  <c r="H2283" i="144"/>
  <c r="H2300" i="144"/>
  <c r="H2317" i="144"/>
  <c r="H2097" i="144"/>
  <c r="H2142" i="144"/>
  <c r="H2191" i="144"/>
  <c r="H2235" i="144"/>
  <c r="H2278" i="144"/>
  <c r="H2327" i="144"/>
  <c r="H2116" i="144"/>
  <c r="H2163" i="144"/>
  <c r="H2205" i="144"/>
  <c r="H2255" i="144"/>
  <c r="H2298" i="144"/>
  <c r="H2088" i="144"/>
  <c r="H2130" i="144"/>
  <c r="H2183" i="144"/>
  <c r="H2225" i="144"/>
  <c r="H2269" i="144"/>
  <c r="H2117" i="144"/>
  <c r="H2189" i="144"/>
  <c r="H2253" i="144"/>
  <c r="H2096" i="144"/>
  <c r="H2162" i="144"/>
  <c r="H2265" i="144"/>
  <c r="H2294" i="144"/>
  <c r="H2108" i="144"/>
  <c r="H2175" i="144"/>
  <c r="H2238" i="144"/>
  <c r="H2311" i="144"/>
  <c r="H2139" i="144"/>
  <c r="H2203" i="144"/>
  <c r="H2290" i="144"/>
  <c r="H2171" i="144"/>
  <c r="H2306" i="144"/>
  <c r="H2263" i="144"/>
  <c r="H2325" i="144"/>
  <c r="H2164" i="144"/>
  <c r="H2301" i="144"/>
  <c r="H2146" i="144"/>
  <c r="H2234" i="144"/>
  <c r="H2318" i="144"/>
  <c r="H2105" i="144"/>
  <c r="H2199" i="144"/>
  <c r="H2122" i="144"/>
  <c r="H2211" i="144"/>
  <c r="H2281" i="144"/>
  <c r="H18" i="170"/>
  <c r="F1887" i="144"/>
  <c r="H2076" i="144"/>
  <c r="H2167" i="144"/>
  <c r="H2172" i="144"/>
  <c r="H2291" i="144"/>
  <c r="H2140" i="144"/>
  <c r="H2109" i="144"/>
  <c r="H2252" i="144"/>
  <c r="H2114" i="144"/>
  <c r="H2197" i="144"/>
  <c r="H2305" i="144"/>
  <c r="H2124" i="144"/>
  <c r="H2282" i="144"/>
  <c r="H2156" i="144"/>
  <c r="H2248" i="144"/>
  <c r="H2101" i="144"/>
  <c r="H2216" i="144"/>
  <c r="H2121" i="144"/>
  <c r="H2289" i="144"/>
  <c r="H2196" i="144"/>
  <c r="H2102" i="144"/>
  <c r="H2268" i="144"/>
  <c r="H2177" i="144"/>
  <c r="H2087" i="144"/>
  <c r="H2296" i="144"/>
  <c r="H2262" i="144"/>
  <c r="H2229" i="144"/>
  <c r="H2194" i="144"/>
  <c r="H2161" i="144"/>
  <c r="H2123" i="144"/>
  <c r="H2091" i="144"/>
  <c r="B29" i="174"/>
  <c r="B27" i="174"/>
  <c r="B20" i="174"/>
  <c r="C35" i="170"/>
  <c r="C17" i="169" s="1"/>
  <c r="B38" i="175"/>
  <c r="B18" i="175"/>
  <c r="B29" i="175"/>
  <c r="B21" i="175"/>
  <c r="B42" i="175"/>
  <c r="B18" i="174"/>
  <c r="I225" i="149"/>
  <c r="K198" i="146" s="1"/>
  <c r="F30" i="175"/>
  <c r="I143" i="149"/>
  <c r="K123" i="146" s="1"/>
  <c r="F17" i="175"/>
  <c r="H103" i="149"/>
  <c r="F252" i="149"/>
  <c r="E220" i="146" s="1"/>
  <c r="F11" i="175"/>
  <c r="F25" i="175"/>
  <c r="I156" i="149"/>
  <c r="K134" i="146" s="1"/>
  <c r="I43" i="149"/>
  <c r="J43" i="149"/>
  <c r="J104" i="149"/>
  <c r="H95" i="149"/>
  <c r="J252" i="149"/>
  <c r="L220" i="146" s="1"/>
  <c r="F9" i="175"/>
  <c r="J95" i="149"/>
  <c r="F14" i="175"/>
  <c r="F35" i="175"/>
  <c r="G252" i="149"/>
  <c r="F220" i="146" s="1"/>
  <c r="H111" i="149"/>
  <c r="J143" i="149"/>
  <c r="L123" i="146" s="1"/>
  <c r="H225" i="149"/>
  <c r="F16" i="175"/>
  <c r="J111" i="149"/>
  <c r="H42" i="149"/>
  <c r="B24" i="174"/>
  <c r="B34" i="174"/>
  <c r="B36" i="174"/>
  <c r="B42" i="174"/>
  <c r="B36" i="175"/>
  <c r="B30" i="175"/>
  <c r="G1345" i="144"/>
  <c r="G2049" i="144"/>
  <c r="T7" i="144"/>
  <c r="B23" i="174"/>
  <c r="B32" i="174"/>
  <c r="B37" i="174"/>
  <c r="B9" i="174"/>
  <c r="B28" i="174"/>
  <c r="B15" i="174"/>
  <c r="C7" i="169"/>
  <c r="E30" i="170"/>
  <c r="E20" i="170"/>
  <c r="J20" i="170" s="1"/>
  <c r="E14" i="170"/>
  <c r="E17" i="170"/>
  <c r="J17" i="170" s="1"/>
  <c r="B23" i="175"/>
  <c r="E23" i="170"/>
  <c r="G1046" i="144"/>
  <c r="G1589" i="144"/>
  <c r="G562" i="144"/>
  <c r="G1766" i="144"/>
  <c r="G98" i="144"/>
  <c r="G272" i="144"/>
  <c r="G1990" i="144"/>
  <c r="G2006" i="144"/>
  <c r="G2001" i="144"/>
  <c r="G1995" i="144"/>
  <c r="G939" i="144"/>
  <c r="G351" i="144"/>
  <c r="G585" i="144"/>
  <c r="G1503" i="144"/>
  <c r="G68" i="144"/>
  <c r="G377" i="144"/>
  <c r="G1662" i="144"/>
  <c r="G1987" i="144"/>
  <c r="G2000" i="144"/>
  <c r="G2011" i="144"/>
  <c r="G2005" i="144"/>
  <c r="G365" i="144"/>
  <c r="G461" i="144"/>
  <c r="G551" i="144"/>
  <c r="G630" i="144"/>
  <c r="G1247" i="144"/>
  <c r="G1384" i="144"/>
  <c r="G1736" i="144"/>
  <c r="G1911" i="144"/>
  <c r="G2308" i="144"/>
  <c r="G557" i="144"/>
  <c r="G174" i="144"/>
  <c r="G431" i="144"/>
  <c r="G2141" i="144"/>
  <c r="G1765" i="144"/>
  <c r="G1734" i="144"/>
  <c r="G1668" i="144"/>
  <c r="G2026" i="144"/>
  <c r="G633" i="144"/>
  <c r="G1322" i="144"/>
  <c r="G1985" i="144"/>
  <c r="G1994" i="144"/>
  <c r="G1986" i="144"/>
  <c r="G1272" i="144"/>
  <c r="G871" i="144"/>
  <c r="G1007" i="144"/>
  <c r="G1197" i="144"/>
  <c r="G1530" i="144"/>
  <c r="G1672" i="144"/>
  <c r="G2134" i="144"/>
  <c r="G2287" i="144"/>
  <c r="G1778" i="144"/>
  <c r="G1053" i="144"/>
  <c r="G1554" i="144"/>
  <c r="G195" i="144"/>
  <c r="G679" i="144"/>
  <c r="G212" i="144"/>
  <c r="G1288" i="144"/>
  <c r="G1584" i="144"/>
  <c r="G600" i="144"/>
  <c r="G781" i="144"/>
  <c r="G1383" i="144"/>
  <c r="G1399" i="144"/>
  <c r="G1838" i="144"/>
  <c r="G2016" i="144"/>
  <c r="G2228" i="144"/>
  <c r="G2244" i="144"/>
  <c r="G893" i="144"/>
  <c r="G609" i="144"/>
  <c r="G2010" i="144"/>
  <c r="G1440" i="144"/>
  <c r="G1404" i="144"/>
  <c r="G446" i="144"/>
  <c r="G622" i="144"/>
  <c r="G2090" i="144"/>
  <c r="G178" i="144"/>
  <c r="G582" i="144"/>
  <c r="G948" i="144"/>
  <c r="G2214" i="144"/>
  <c r="G2135" i="144"/>
  <c r="G1922" i="144"/>
  <c r="G1305" i="144"/>
  <c r="G2007" i="144"/>
  <c r="G1624" i="144"/>
  <c r="G2165" i="144"/>
  <c r="G813" i="144"/>
  <c r="G1249" i="144"/>
  <c r="G2150" i="144"/>
  <c r="G817" i="144"/>
  <c r="G1587" i="144"/>
  <c r="G1171" i="144"/>
  <c r="G596" i="144"/>
  <c r="G1725" i="144"/>
  <c r="G460" i="144"/>
  <c r="G1126" i="144"/>
  <c r="G2037" i="144"/>
  <c r="G644" i="144"/>
  <c r="G696" i="144"/>
  <c r="G886" i="144"/>
  <c r="G874" i="144"/>
  <c r="G2027" i="144"/>
  <c r="G2095" i="144"/>
  <c r="G2127" i="144"/>
  <c r="G2166" i="144"/>
  <c r="G2198" i="144"/>
  <c r="G2233" i="144"/>
  <c r="G2266" i="144"/>
  <c r="G2300" i="144"/>
  <c r="G2099" i="144"/>
  <c r="G2237" i="144"/>
  <c r="G2102" i="144"/>
  <c r="G2189" i="144"/>
  <c r="G2291" i="144"/>
  <c r="G2104" i="144"/>
  <c r="G2139" i="144"/>
  <c r="G2175" i="144"/>
  <c r="G2207" i="144"/>
  <c r="G2242" i="144"/>
  <c r="G2276" i="144"/>
  <c r="G2310" i="144"/>
  <c r="G2143" i="144"/>
  <c r="G2279" i="144"/>
  <c r="G2118" i="144"/>
  <c r="G2232" i="144"/>
  <c r="G2325" i="144"/>
  <c r="G2105" i="144"/>
  <c r="G2140" i="144"/>
  <c r="G2176" i="144"/>
  <c r="G2208" i="144"/>
  <c r="G2243" i="144"/>
  <c r="G2277" i="144"/>
  <c r="G2311" i="144"/>
  <c r="G2210" i="144"/>
  <c r="G2156" i="144"/>
  <c r="G2081" i="144"/>
  <c r="G2114" i="144"/>
  <c r="G2151" i="144"/>
  <c r="G2185" i="144"/>
  <c r="G2218" i="144"/>
  <c r="G2253" i="144"/>
  <c r="G2286" i="144"/>
  <c r="G2320" i="144"/>
  <c r="G2152" i="144"/>
  <c r="G2262" i="144"/>
  <c r="G2213" i="144"/>
  <c r="G2092" i="144"/>
  <c r="G2124" i="144"/>
  <c r="G2162" i="144"/>
  <c r="G2195" i="144"/>
  <c r="G2230" i="144"/>
  <c r="G2263" i="144"/>
  <c r="G2297" i="144"/>
  <c r="G2077" i="144"/>
  <c r="G2109" i="144"/>
  <c r="G2145" i="144"/>
  <c r="G2180" i="144"/>
  <c r="G2212" i="144"/>
  <c r="G2248" i="144"/>
  <c r="G2281" i="144"/>
  <c r="G2315" i="144"/>
  <c r="G2111" i="144"/>
  <c r="G2157" i="144"/>
  <c r="G2206" i="144"/>
  <c r="G2250" i="144"/>
  <c r="G2292" i="144"/>
  <c r="G2131" i="144"/>
  <c r="G2313" i="144"/>
  <c r="G2181" i="144"/>
  <c r="G2079" i="144"/>
  <c r="G2120" i="144"/>
  <c r="G2167" i="144"/>
  <c r="G2216" i="144"/>
  <c r="G2259" i="144"/>
  <c r="G2301" i="144"/>
  <c r="G2186" i="144"/>
  <c r="G2322" i="144"/>
  <c r="G2197" i="144"/>
  <c r="G2080" i="144"/>
  <c r="G2121" i="144"/>
  <c r="G2168" i="144"/>
  <c r="G2217" i="144"/>
  <c r="G2260" i="144"/>
  <c r="G2302" i="144"/>
  <c r="G2254" i="144"/>
  <c r="G2257" i="144"/>
  <c r="G2106" i="144"/>
  <c r="G2160" i="144"/>
  <c r="G2201" i="144"/>
  <c r="G2245" i="144"/>
  <c r="G2295" i="144"/>
  <c r="G2115" i="144"/>
  <c r="G2229" i="144"/>
  <c r="G2265" i="144"/>
  <c r="G2108" i="144"/>
  <c r="G2153" i="144"/>
  <c r="G2203" i="144"/>
  <c r="G2247" i="144"/>
  <c r="G2289" i="144"/>
  <c r="G2084" i="144"/>
  <c r="G2125" i="144"/>
  <c r="G2172" i="144"/>
  <c r="G2221" i="144"/>
  <c r="G2264" i="144"/>
  <c r="G2306" i="144"/>
  <c r="G2078" i="144"/>
  <c r="G2119" i="144"/>
  <c r="G2174" i="144"/>
  <c r="G2215" i="144"/>
  <c r="G2258" i="144"/>
  <c r="G2309" i="144"/>
  <c r="G2170" i="144"/>
  <c r="G2076" i="144"/>
  <c r="G2222" i="144"/>
  <c r="G2087" i="144"/>
  <c r="G2128" i="144"/>
  <c r="G2183" i="144"/>
  <c r="G2224" i="144"/>
  <c r="G2267" i="144"/>
  <c r="G2318" i="144"/>
  <c r="G2219" i="144"/>
  <c r="G2110" i="144"/>
  <c r="G2249" i="144"/>
  <c r="G2088" i="144"/>
  <c r="G2129" i="144"/>
  <c r="G2184" i="144"/>
  <c r="G2225" i="144"/>
  <c r="G2268" i="144"/>
  <c r="G2319" i="144"/>
  <c r="G2288" i="144"/>
  <c r="G2307" i="144"/>
  <c r="G2122" i="144"/>
  <c r="G2169" i="144"/>
  <c r="G2209" i="144"/>
  <c r="G2261" i="144"/>
  <c r="G2303" i="144"/>
  <c r="G2123" i="144"/>
  <c r="G2304" i="144"/>
  <c r="G2316" i="144"/>
  <c r="G2116" i="144"/>
  <c r="G2171" i="144"/>
  <c r="G2211" i="144"/>
  <c r="G2255" i="144"/>
  <c r="G2305" i="144"/>
  <c r="I2305" i="144" s="1"/>
  <c r="G2093" i="144"/>
  <c r="G2133" i="144"/>
  <c r="G2188" i="144"/>
  <c r="G2231" i="144"/>
  <c r="G2272" i="144"/>
  <c r="G2324" i="144"/>
  <c r="G2086" i="144"/>
  <c r="G2137" i="144"/>
  <c r="G2182" i="144"/>
  <c r="G2223" i="144"/>
  <c r="G2275" i="144"/>
  <c r="G2317" i="144"/>
  <c r="G2202" i="144"/>
  <c r="G2126" i="144"/>
  <c r="G2240" i="144"/>
  <c r="G2096" i="144"/>
  <c r="G2148" i="144"/>
  <c r="G2191" i="144"/>
  <c r="G2234" i="144"/>
  <c r="G2284" i="144"/>
  <c r="G2327" i="144"/>
  <c r="G2246" i="144"/>
  <c r="G2136" i="144"/>
  <c r="G2282" i="144"/>
  <c r="G2097" i="144"/>
  <c r="J2097" i="144" s="1"/>
  <c r="G2149" i="144"/>
  <c r="G2192" i="144"/>
  <c r="G2235" i="144"/>
  <c r="G2285" i="144"/>
  <c r="G2107" i="144"/>
  <c r="G2094" i="144"/>
  <c r="G2089" i="144"/>
  <c r="G2130" i="144"/>
  <c r="G2177" i="144"/>
  <c r="G2226" i="144"/>
  <c r="G2269" i="144"/>
  <c r="G2312" i="144"/>
  <c r="G2178" i="144"/>
  <c r="G2085" i="144"/>
  <c r="G2083" i="144"/>
  <c r="G2132" i="144"/>
  <c r="G2179" i="144"/>
  <c r="G2220" i="144"/>
  <c r="G2271" i="144"/>
  <c r="G2314" i="144"/>
  <c r="G2101" i="144"/>
  <c r="G2154" i="144"/>
  <c r="G2196" i="144"/>
  <c r="G2239" i="144"/>
  <c r="G2290" i="144"/>
  <c r="G2147" i="144"/>
  <c r="G2326" i="144"/>
  <c r="G2112" i="144"/>
  <c r="G2293" i="144"/>
  <c r="G2299" i="144"/>
  <c r="T2299" i="144" s="1"/>
  <c r="G2252" i="144"/>
  <c r="G2098" i="144"/>
  <c r="G2278" i="144"/>
  <c r="G2100" i="144"/>
  <c r="G2280" i="144"/>
  <c r="G2204" i="144"/>
  <c r="G1347" i="144"/>
  <c r="G1927" i="144"/>
  <c r="G591" i="144"/>
  <c r="G1461" i="144"/>
  <c r="G259" i="144"/>
  <c r="G333" i="144"/>
  <c r="G247" i="144"/>
  <c r="G10" i="144"/>
  <c r="G593" i="144"/>
  <c r="G84" i="144"/>
  <c r="G118" i="144"/>
  <c r="G67" i="144"/>
  <c r="G33" i="144"/>
  <c r="G297" i="144"/>
  <c r="G203" i="144"/>
  <c r="G862" i="144"/>
  <c r="G1742" i="144"/>
  <c r="G700" i="144"/>
  <c r="G1191" i="144"/>
  <c r="G1537" i="144"/>
  <c r="G1170" i="144"/>
  <c r="G757" i="144"/>
  <c r="G2069" i="144"/>
  <c r="G1377" i="144"/>
  <c r="G933" i="144"/>
  <c r="G127" i="144"/>
  <c r="G1966" i="144"/>
  <c r="G1788" i="144"/>
  <c r="G1073" i="144"/>
  <c r="G108" i="144"/>
  <c r="G38" i="144"/>
  <c r="G361" i="144"/>
  <c r="G796" i="144"/>
  <c r="G23" i="144"/>
  <c r="G234" i="144"/>
  <c r="G2023" i="144"/>
  <c r="G1406" i="144"/>
  <c r="G1694" i="144"/>
  <c r="G943" i="144"/>
  <c r="G1075" i="144"/>
  <c r="G2070" i="144"/>
  <c r="G1307" i="144"/>
  <c r="G271" i="144"/>
  <c r="G821" i="144"/>
  <c r="G70" i="144"/>
  <c r="G425" i="144"/>
  <c r="G91" i="144"/>
  <c r="G474" i="144"/>
  <c r="G1800" i="144"/>
  <c r="G16" i="144"/>
  <c r="G228" i="144"/>
  <c r="G193" i="144"/>
  <c r="G285" i="144"/>
  <c r="G1978" i="144"/>
  <c r="G411" i="144"/>
  <c r="G1281" i="144"/>
  <c r="G1735" i="144"/>
  <c r="G828" i="144"/>
  <c r="G1517" i="144"/>
  <c r="G2053" i="144"/>
  <c r="G208" i="144"/>
  <c r="G543" i="144"/>
  <c r="G756" i="144"/>
  <c r="G1657" i="144"/>
  <c r="G1849" i="144"/>
  <c r="G427" i="144"/>
  <c r="G1527" i="144"/>
  <c r="G41" i="144"/>
  <c r="G176" i="144"/>
  <c r="G570" i="144"/>
  <c r="G80" i="144"/>
  <c r="G376" i="144"/>
  <c r="G1914" i="144"/>
  <c r="G511" i="144"/>
  <c r="G1865" i="144"/>
  <c r="G1961" i="144"/>
  <c r="G354" i="144"/>
  <c r="G1609" i="144"/>
  <c r="G1251" i="144"/>
  <c r="G1729" i="144"/>
  <c r="G1330" i="144"/>
  <c r="G764" i="144"/>
  <c r="G1067" i="144"/>
  <c r="G568" i="144"/>
  <c r="G89" i="144"/>
  <c r="G579" i="144"/>
  <c r="G827" i="144"/>
  <c r="G222" i="144"/>
  <c r="G503" i="144"/>
  <c r="G62" i="144"/>
  <c r="G432" i="144"/>
  <c r="G1938" i="144"/>
  <c r="G367" i="144"/>
  <c r="G1923" i="144"/>
  <c r="G55" i="144"/>
  <c r="G403" i="144"/>
  <c r="G2190" i="144"/>
  <c r="G2270" i="144"/>
  <c r="G2158" i="144"/>
  <c r="G2091" i="144"/>
  <c r="G2113" i="144"/>
  <c r="G2294" i="144"/>
  <c r="G2142" i="144"/>
  <c r="G2082" i="144"/>
  <c r="G2144" i="144"/>
  <c r="G2323" i="144"/>
  <c r="G2256" i="144"/>
  <c r="G2241" i="144"/>
  <c r="G2146" i="144"/>
  <c r="G2199" i="144"/>
  <c r="G2296" i="144"/>
  <c r="G2159" i="144"/>
  <c r="G2161" i="144"/>
  <c r="G2193" i="144"/>
  <c r="G2194" i="144"/>
  <c r="G2187" i="144"/>
  <c r="G2117" i="144"/>
  <c r="G2298" i="144"/>
  <c r="G299" i="144"/>
  <c r="G318" i="144"/>
  <c r="G26" i="144"/>
  <c r="G536" i="144"/>
  <c r="G1726" i="144"/>
  <c r="G1947" i="144"/>
  <c r="G1769" i="144"/>
  <c r="G708" i="144"/>
  <c r="G113" i="144"/>
  <c r="G64" i="144"/>
  <c r="G470" i="144"/>
  <c r="G1848" i="144"/>
  <c r="G298" i="144"/>
  <c r="G466" i="144"/>
  <c r="G2012" i="144"/>
  <c r="G649" i="144"/>
  <c r="G2020" i="144"/>
  <c r="G2015" i="144"/>
  <c r="G2071" i="144"/>
  <c r="G1068" i="144"/>
  <c r="G779" i="144"/>
  <c r="G1981" i="144"/>
  <c r="G881" i="144"/>
  <c r="G499" i="144"/>
  <c r="G594" i="144"/>
  <c r="G383" i="144"/>
  <c r="G158" i="144"/>
  <c r="G566" i="144"/>
  <c r="G1775" i="144"/>
  <c r="G37" i="144"/>
  <c r="G167" i="144"/>
  <c r="G451" i="144"/>
  <c r="G183" i="144"/>
  <c r="G1821" i="144"/>
  <c r="G309" i="144"/>
  <c r="G1122" i="144"/>
  <c r="G1996" i="144"/>
  <c r="G2051" i="144"/>
  <c r="G2025" i="144"/>
  <c r="G1999" i="144"/>
  <c r="G775" i="144"/>
  <c r="G1419" i="144"/>
  <c r="G1631" i="144"/>
  <c r="G713" i="144"/>
  <c r="G985" i="144"/>
  <c r="G1745" i="144"/>
  <c r="G1809" i="144"/>
  <c r="G800" i="144"/>
  <c r="G209" i="144"/>
  <c r="G17" i="144"/>
  <c r="G206" i="144"/>
  <c r="G420" i="144"/>
  <c r="G201" i="144"/>
  <c r="G565" i="144"/>
  <c r="G2251" i="144"/>
  <c r="G2236" i="144"/>
  <c r="G2103" i="144"/>
  <c r="G2173" i="144"/>
  <c r="G2164" i="144"/>
  <c r="G1767" i="144"/>
  <c r="G40" i="144"/>
  <c r="G162" i="144"/>
  <c r="G1931" i="144"/>
  <c r="G1781" i="144"/>
  <c r="G401" i="144"/>
  <c r="G202" i="144"/>
  <c r="G962" i="144"/>
  <c r="G612" i="144"/>
  <c r="G803" i="144"/>
  <c r="G844" i="144"/>
  <c r="G1441" i="144"/>
  <c r="G799" i="144"/>
  <c r="G345" i="144"/>
  <c r="G1743" i="144"/>
  <c r="G1811" i="144"/>
  <c r="G302" i="144"/>
  <c r="G78" i="144"/>
  <c r="G1167" i="144"/>
  <c r="G1697" i="144"/>
  <c r="G172" i="144"/>
  <c r="G898" i="144"/>
  <c r="G96" i="144"/>
  <c r="G1969" i="144"/>
  <c r="G1834" i="144"/>
  <c r="G1756" i="144"/>
  <c r="G1847" i="144"/>
  <c r="G2058" i="144"/>
  <c r="G2032" i="144"/>
  <c r="G2028" i="144"/>
  <c r="G1238" i="144"/>
  <c r="G1043" i="144"/>
  <c r="G1943" i="144"/>
  <c r="G1544" i="144"/>
  <c r="G462" i="144"/>
  <c r="G1831" i="144"/>
  <c r="G319" i="144"/>
  <c r="G507" i="144"/>
  <c r="G142" i="144"/>
  <c r="G702" i="144"/>
  <c r="G323" i="144"/>
  <c r="G329" i="144"/>
  <c r="G69" i="144"/>
  <c r="G528" i="144"/>
  <c r="G1772" i="144"/>
  <c r="G766" i="144"/>
  <c r="G2024" i="144"/>
  <c r="G2004" i="144"/>
  <c r="G908" i="144"/>
  <c r="G1302" i="144"/>
  <c r="G1549" i="144"/>
  <c r="G471" i="144"/>
  <c r="G45" i="144"/>
  <c r="G239" i="144"/>
  <c r="G519" i="144"/>
  <c r="G1836" i="144"/>
  <c r="G358" i="144"/>
  <c r="G14" i="144"/>
  <c r="G198" i="144"/>
  <c r="G2041" i="144"/>
  <c r="G1349" i="144"/>
  <c r="G635" i="144"/>
  <c r="G1637" i="144"/>
  <c r="G1534" i="144"/>
  <c r="G937" i="144"/>
  <c r="G1054" i="144"/>
  <c r="G216" i="144"/>
  <c r="G308" i="144"/>
  <c r="G1789" i="144"/>
  <c r="G963" i="144"/>
  <c r="G254" i="144"/>
  <c r="G408" i="144"/>
  <c r="G43" i="144"/>
  <c r="G485" i="144"/>
  <c r="G1965" i="144"/>
  <c r="G215" i="144"/>
  <c r="G1652" i="144"/>
  <c r="G22" i="144"/>
  <c r="G1873" i="144"/>
  <c r="G293" i="144"/>
  <c r="G1720" i="144"/>
  <c r="G1136" i="144"/>
  <c r="G1740" i="144"/>
  <c r="G1010" i="144"/>
  <c r="G639" i="144"/>
  <c r="G1268" i="144"/>
  <c r="G935" i="144"/>
  <c r="G668" i="144"/>
  <c r="G382" i="144"/>
  <c r="G105" i="144"/>
  <c r="G514" i="144"/>
  <c r="G1622" i="144"/>
  <c r="G784" i="144"/>
  <c r="G1026" i="144"/>
  <c r="G899" i="144"/>
  <c r="G1036" i="144"/>
  <c r="G909" i="144"/>
  <c r="G1437" i="144"/>
  <c r="G1712" i="144"/>
  <c r="G1295" i="144"/>
  <c r="G1246" i="144"/>
  <c r="G1818" i="144"/>
  <c r="G1082" i="144"/>
  <c r="G1113" i="144"/>
  <c r="G430" i="144"/>
  <c r="G1542" i="144"/>
  <c r="G867" i="144"/>
  <c r="G1266" i="144"/>
  <c r="G595" i="144"/>
  <c r="G548" i="144"/>
  <c r="G1897" i="144"/>
  <c r="G455" i="144"/>
  <c r="G1081" i="144"/>
  <c r="G2283" i="144"/>
  <c r="G2200" i="144"/>
  <c r="G2238" i="144"/>
  <c r="G13" i="144"/>
  <c r="G92" i="144"/>
  <c r="G1787" i="144"/>
  <c r="G102" i="144"/>
  <c r="G1946" i="144"/>
  <c r="G1797" i="144"/>
  <c r="G130" i="144"/>
  <c r="G1070" i="144"/>
  <c r="G1499" i="144"/>
  <c r="G476" i="144"/>
  <c r="G1309" i="144"/>
  <c r="G710" i="144"/>
  <c r="G95" i="144"/>
  <c r="G1948" i="144"/>
  <c r="G1805" i="144"/>
  <c r="G452" i="144"/>
  <c r="G352" i="144"/>
  <c r="G1693" i="144"/>
  <c r="G750" i="144"/>
  <c r="G885" i="144"/>
  <c r="G737" i="144"/>
  <c r="G616" i="144"/>
  <c r="G1825" i="144"/>
  <c r="G824" i="144"/>
  <c r="G979" i="144"/>
  <c r="G1901" i="144"/>
  <c r="G1795" i="144"/>
  <c r="G1395" i="144"/>
  <c r="G410" i="144"/>
  <c r="G1358" i="144"/>
  <c r="G1356" i="144"/>
  <c r="G860" i="144"/>
  <c r="G165" i="144"/>
  <c r="G1695" i="144"/>
  <c r="G81" i="144"/>
  <c r="G1750" i="144"/>
  <c r="G1833" i="144"/>
  <c r="G506" i="144"/>
  <c r="G469" i="144"/>
  <c r="G396" i="144"/>
  <c r="G563" i="144"/>
  <c r="G57" i="144"/>
  <c r="G151" i="144"/>
  <c r="G124" i="144"/>
  <c r="G454" i="144"/>
  <c r="G1991" i="144"/>
  <c r="G36" i="144"/>
  <c r="T36" i="144" s="1"/>
  <c r="G703" i="144"/>
  <c r="G1250" i="144"/>
  <c r="G336" i="144"/>
  <c r="G103" i="144"/>
  <c r="G416" i="144"/>
  <c r="G181" i="144"/>
  <c r="G608" i="144"/>
  <c r="G434" i="144"/>
  <c r="G387" i="144"/>
  <c r="G29" i="144"/>
  <c r="G1822" i="144"/>
  <c r="G552" i="144"/>
  <c r="G1477" i="144"/>
  <c r="G1688" i="144"/>
  <c r="G1719" i="144"/>
  <c r="G2048" i="144"/>
  <c r="G492" i="144"/>
  <c r="G1196" i="144"/>
  <c r="G1520" i="144"/>
  <c r="G1845" i="144"/>
  <c r="G1699" i="144"/>
  <c r="G242" i="144"/>
  <c r="G509" i="144"/>
  <c r="G589" i="144"/>
  <c r="G226" i="144"/>
  <c r="G150" i="144"/>
  <c r="G1913" i="144"/>
  <c r="G1837" i="144"/>
  <c r="G491" i="144"/>
  <c r="G479" i="144"/>
  <c r="G1924" i="144"/>
  <c r="G1166" i="144"/>
  <c r="G1882" i="144"/>
  <c r="G767" i="144"/>
  <c r="G1289" i="144"/>
  <c r="G1368" i="144"/>
  <c r="G2017" i="144"/>
  <c r="G1285" i="144"/>
  <c r="G628" i="144"/>
  <c r="G182" i="144"/>
  <c r="G1438" i="144"/>
  <c r="G1145" i="144"/>
  <c r="G331" i="144"/>
  <c r="G1877" i="144"/>
  <c r="G2072" i="144"/>
  <c r="G370" i="144"/>
  <c r="G855" i="144"/>
  <c r="G1903" i="144"/>
  <c r="G260" i="144"/>
  <c r="G1023" i="144"/>
  <c r="G1856" i="144"/>
  <c r="G955" i="144"/>
  <c r="G134" i="144"/>
  <c r="G641" i="144"/>
  <c r="G1214" i="144"/>
  <c r="G1386" i="144"/>
  <c r="G714" i="144"/>
  <c r="G1117" i="144"/>
  <c r="G1608" i="144"/>
  <c r="G1457" i="144"/>
  <c r="G1558" i="144"/>
  <c r="G1640" i="144"/>
  <c r="G269" i="144"/>
  <c r="G558" i="144"/>
  <c r="G1935" i="144"/>
  <c r="G2021" i="144"/>
  <c r="G1945" i="144"/>
  <c r="G922" i="144"/>
  <c r="G1297" i="144"/>
  <c r="G233" i="144"/>
  <c r="G1152" i="144"/>
  <c r="G746" i="144"/>
  <c r="G1702" i="144"/>
  <c r="G1190" i="144"/>
  <c r="G280" i="144"/>
  <c r="G1133" i="144"/>
  <c r="G75" i="144"/>
  <c r="G1807" i="144"/>
  <c r="G1904" i="144"/>
  <c r="G1571" i="144"/>
  <c r="G1816" i="144"/>
  <c r="G1794" i="144"/>
  <c r="G1939" i="144"/>
  <c r="G891" i="144"/>
  <c r="G1240" i="144"/>
  <c r="G809" i="144"/>
  <c r="G768" i="144"/>
  <c r="G1828" i="144"/>
  <c r="G400" i="144"/>
  <c r="G1538" i="144"/>
  <c r="G433" i="144"/>
  <c r="G1016" i="144"/>
  <c r="G544" i="144"/>
  <c r="G1035" i="144"/>
  <c r="G1421" i="144"/>
  <c r="G1892" i="144"/>
  <c r="G200" i="144"/>
  <c r="T200" i="144" s="1"/>
  <c r="G1176" i="144"/>
  <c r="G1079" i="144"/>
  <c r="G1796" i="144"/>
  <c r="G1462" i="144"/>
  <c r="G1401" i="144"/>
  <c r="G905" i="144"/>
  <c r="G146" i="144"/>
  <c r="G2045" i="144"/>
  <c r="G2039" i="144"/>
  <c r="G849" i="144"/>
  <c r="G861" i="144"/>
  <c r="G486" i="144"/>
  <c r="G705" i="144"/>
  <c r="G783" i="144"/>
  <c r="G1881" i="144"/>
  <c r="G300" i="144"/>
  <c r="G736" i="144"/>
  <c r="G353" i="144"/>
  <c r="G1155" i="144"/>
  <c r="G303" i="144"/>
  <c r="G1118" i="144"/>
  <c r="G1219" i="144"/>
  <c r="G283" i="144"/>
  <c r="G748" i="144"/>
  <c r="G839" i="144"/>
  <c r="G2044" i="144"/>
  <c r="G49" i="144"/>
  <c r="G1548" i="144"/>
  <c r="G1080" i="144"/>
  <c r="G1815" i="144"/>
  <c r="G1125" i="144"/>
  <c r="G1764" i="144"/>
  <c r="G265" i="144"/>
  <c r="G1052" i="144"/>
  <c r="G977" i="144"/>
  <c r="G1648" i="144"/>
  <c r="G1562" i="144"/>
  <c r="G1380" i="144"/>
  <c r="G1997" i="144"/>
  <c r="G1120" i="144"/>
  <c r="G1615" i="144"/>
  <c r="G1539" i="144"/>
  <c r="G116" i="144"/>
  <c r="G1299" i="144"/>
  <c r="G171" i="144"/>
  <c r="G279" i="144"/>
  <c r="G983" i="144"/>
  <c r="G1934" i="144"/>
  <c r="G1600" i="144"/>
  <c r="G1359" i="144"/>
  <c r="G1619" i="144"/>
  <c r="G266" i="144"/>
  <c r="G605" i="144"/>
  <c r="G1375" i="144"/>
  <c r="G2073" i="144"/>
  <c r="G533" i="144"/>
  <c r="G237" i="144"/>
  <c r="G1626" i="144"/>
  <c r="G1522" i="144"/>
  <c r="G720" i="144"/>
  <c r="G1021" i="144"/>
  <c r="G305" i="144"/>
  <c r="G402" i="144"/>
  <c r="G1006" i="144"/>
  <c r="G457" i="144"/>
  <c r="G678" i="144"/>
  <c r="G754" i="144"/>
  <c r="G220" i="144"/>
  <c r="G1667" i="144"/>
  <c r="G231" i="144"/>
  <c r="G487" i="144"/>
  <c r="G501" i="144"/>
  <c r="G1785" i="144"/>
  <c r="G1360" i="144"/>
  <c r="G578" i="144"/>
  <c r="G1565" i="144"/>
  <c r="G1864" i="144"/>
  <c r="G685" i="144"/>
  <c r="G542" i="144"/>
  <c r="G168" i="144"/>
  <c r="G1237" i="144"/>
  <c r="G825" i="144"/>
  <c r="G1692" i="144"/>
  <c r="G494" i="144"/>
  <c r="G1819" i="144"/>
  <c r="G1596" i="144"/>
  <c r="G21" i="144"/>
  <c r="G369" i="144"/>
  <c r="G2047" i="144"/>
  <c r="G1413" i="144"/>
  <c r="G917" i="144"/>
  <c r="G602" i="144"/>
  <c r="G1642" i="144"/>
  <c r="G642" i="144"/>
  <c r="G350" i="144"/>
  <c r="G1206" i="144"/>
  <c r="G601" i="144"/>
  <c r="G1654" i="144"/>
  <c r="G760" i="144"/>
  <c r="G704" i="144"/>
  <c r="G1444" i="144"/>
  <c r="G1479" i="144"/>
  <c r="G1097" i="144"/>
  <c r="G1594" i="144"/>
  <c r="G51" i="144"/>
  <c r="G670" i="144"/>
  <c r="G1352" i="144"/>
  <c r="G1616" i="144"/>
  <c r="G1340" i="144"/>
  <c r="G1541" i="144"/>
  <c r="G1015" i="144"/>
  <c r="G1665" i="144"/>
  <c r="G863" i="144"/>
  <c r="G1400" i="144"/>
  <c r="G395" i="144"/>
  <c r="G184" i="144"/>
  <c r="G1907" i="144"/>
  <c r="G291" i="144"/>
  <c r="G1623" i="144"/>
  <c r="G1328" i="144"/>
  <c r="G278" i="144"/>
  <c r="G1422" i="144"/>
  <c r="G1017" i="144"/>
  <c r="G54" i="144"/>
  <c r="G1039" i="144"/>
  <c r="G1770" i="144"/>
  <c r="G79" i="144"/>
  <c r="G896" i="144"/>
  <c r="G1942" i="144"/>
  <c r="G1064" i="144"/>
  <c r="G170" i="144"/>
  <c r="G790" i="144"/>
  <c r="G1951" i="144"/>
  <c r="G1802" i="144"/>
  <c r="G1254" i="144"/>
  <c r="G564" i="144"/>
  <c r="G1754" i="144"/>
  <c r="G923" i="144"/>
  <c r="G459" i="144"/>
  <c r="G744" i="144"/>
  <c r="G964" i="144"/>
  <c r="G709" i="144"/>
  <c r="G122" i="144"/>
  <c r="G1967" i="144"/>
  <c r="G1414" i="144"/>
  <c r="G1918" i="144"/>
  <c r="G1066" i="144"/>
  <c r="G1274" i="144"/>
  <c r="G652" i="144"/>
  <c r="G984" i="144"/>
  <c r="G163" i="144"/>
  <c r="G1426" i="144"/>
  <c r="G1516" i="144"/>
  <c r="G1597" i="144"/>
  <c r="G1698" i="144"/>
  <c r="G1030" i="144"/>
  <c r="G397" i="144"/>
  <c r="G111" i="144"/>
  <c r="G627" i="144"/>
  <c r="G1408" i="144"/>
  <c r="G1659" i="144"/>
  <c r="G1586" i="144"/>
  <c r="G624" i="144"/>
  <c r="G1362" i="144"/>
  <c r="G1415" i="144"/>
  <c r="G1423" i="144"/>
  <c r="G1790" i="144"/>
  <c r="G1937" i="144"/>
  <c r="G153" i="144"/>
  <c r="G587" i="144"/>
  <c r="G2018" i="144"/>
  <c r="G2030" i="144"/>
  <c r="G1803" i="144"/>
  <c r="G1436" i="144"/>
  <c r="G1852" i="144"/>
  <c r="G1993" i="144"/>
  <c r="G1135" i="144"/>
  <c r="G1591" i="144"/>
  <c r="G270" i="144"/>
  <c r="G1858" i="144"/>
  <c r="G1508" i="144"/>
  <c r="G1564" i="144"/>
  <c r="G1029" i="144"/>
  <c r="G574" i="144"/>
  <c r="G404" i="144"/>
  <c r="G1871" i="144"/>
  <c r="G1860" i="144"/>
  <c r="G120" i="144"/>
  <c r="G73" i="144"/>
  <c r="G1022" i="144"/>
  <c r="G2059" i="144"/>
  <c r="G236" i="144"/>
  <c r="G540" i="144"/>
  <c r="G267" i="144"/>
  <c r="G504" i="144"/>
  <c r="G76" i="144"/>
  <c r="G93" i="144"/>
  <c r="G1019" i="144"/>
  <c r="G2036" i="144"/>
  <c r="G1201" i="144"/>
  <c r="G1002" i="144"/>
  <c r="G807" i="144"/>
  <c r="G555" i="144"/>
  <c r="G371" i="144"/>
  <c r="G1974" i="144"/>
  <c r="G1656" i="144"/>
  <c r="G35" i="144"/>
  <c r="G1684" i="144"/>
  <c r="G1310" i="144"/>
  <c r="G1590" i="144"/>
  <c r="G856" i="144"/>
  <c r="G277" i="144"/>
  <c r="G648" i="144"/>
  <c r="G876" i="144"/>
  <c r="G2064" i="144"/>
  <c r="G117" i="144"/>
  <c r="G1868" i="144"/>
  <c r="G1208" i="144"/>
  <c r="G1034" i="144"/>
  <c r="G1314" i="144"/>
  <c r="G1269" i="144"/>
  <c r="G363" i="144"/>
  <c r="G1200" i="144"/>
  <c r="G1258" i="144"/>
  <c r="G1577" i="144"/>
  <c r="G588" i="144"/>
  <c r="G980" i="144"/>
  <c r="G244" i="144"/>
  <c r="G355" i="144"/>
  <c r="G686" i="144"/>
  <c r="G418" i="144"/>
  <c r="G1513" i="144"/>
  <c r="G1110" i="144"/>
  <c r="G1707" i="144"/>
  <c r="G1529" i="144"/>
  <c r="G157" i="144"/>
  <c r="G1223" i="144"/>
  <c r="G1397" i="144"/>
  <c r="G928" i="144"/>
  <c r="G166" i="144"/>
  <c r="G1452" i="144"/>
  <c r="G110" i="144"/>
  <c r="G961" i="144"/>
  <c r="G1792" i="144"/>
  <c r="G1290" i="144"/>
  <c r="G1394" i="144"/>
  <c r="G1511" i="144"/>
  <c r="G378" i="144"/>
  <c r="G699" i="144"/>
  <c r="G241" i="144"/>
  <c r="G1157" i="144"/>
  <c r="G307" i="144"/>
  <c r="G2034" i="144"/>
  <c r="G1617" i="144"/>
  <c r="G878" i="144"/>
  <c r="G1270" i="144"/>
  <c r="G915" i="144"/>
  <c r="G675" i="144"/>
  <c r="G315" i="144"/>
  <c r="G785" i="144"/>
  <c r="G982" i="144"/>
  <c r="G1178" i="144"/>
  <c r="G1092" i="144"/>
  <c r="G1580" i="144"/>
  <c r="G121" i="144"/>
  <c r="G1525" i="144"/>
  <c r="G569" i="144"/>
  <c r="G1647" i="144"/>
  <c r="G1595" i="144"/>
  <c r="G882" i="144"/>
  <c r="G810" i="144"/>
  <c r="G1470" i="144"/>
  <c r="G752" i="144"/>
  <c r="G1929" i="144"/>
  <c r="G946" i="144"/>
  <c r="G1000" i="144"/>
  <c r="G1582" i="144"/>
  <c r="G155" i="144"/>
  <c r="G1094" i="144"/>
  <c r="G1011" i="144"/>
  <c r="G344" i="144"/>
  <c r="G1812" i="144"/>
  <c r="G2062" i="144"/>
  <c r="G1621" i="144"/>
  <c r="G1128" i="144"/>
  <c r="G1540" i="144"/>
  <c r="G934" i="144"/>
  <c r="G1318" i="144"/>
  <c r="G144" i="144"/>
  <c r="G716" i="144"/>
  <c r="G1229" i="144"/>
  <c r="G1262" i="144"/>
  <c r="G820" i="144"/>
  <c r="G1804" i="144"/>
  <c r="G1455" i="144"/>
  <c r="G1108" i="144"/>
  <c r="G1215" i="144"/>
  <c r="G669" i="144"/>
  <c r="G340" i="144"/>
  <c r="G1051" i="144"/>
  <c r="G140" i="144"/>
  <c r="G1509" i="144"/>
  <c r="G1175" i="144"/>
  <c r="G1252" i="144"/>
  <c r="G1721" i="144"/>
  <c r="G1093" i="144"/>
  <c r="G872" i="144"/>
  <c r="G1644" i="144"/>
  <c r="G428" i="144"/>
  <c r="G1276" i="144"/>
  <c r="G755" i="144"/>
  <c r="G1107" i="144"/>
  <c r="G439" i="144"/>
  <c r="G665" i="144"/>
  <c r="G1243" i="144"/>
  <c r="G465" i="144"/>
  <c r="G1244" i="144"/>
  <c r="G900" i="144"/>
  <c r="G317" i="144"/>
  <c r="G1491" i="144"/>
  <c r="G645" i="144"/>
  <c r="G621" i="144"/>
  <c r="G1705" i="144"/>
  <c r="G1024" i="144"/>
  <c r="G32" i="144"/>
  <c r="G2046" i="144"/>
  <c r="G1115" i="144"/>
  <c r="G154" i="144"/>
  <c r="G435" i="144"/>
  <c r="G1543" i="144"/>
  <c r="G513" i="144"/>
  <c r="G1261" i="144"/>
  <c r="G1429" i="144"/>
  <c r="G1057" i="144"/>
  <c r="G532" i="144"/>
  <c r="G1439" i="144"/>
  <c r="G1886" i="144"/>
  <c r="G1180" i="144"/>
  <c r="G734" i="144"/>
  <c r="G1431" i="144"/>
  <c r="G249" i="144"/>
  <c r="G1253" i="144"/>
  <c r="G1611" i="144"/>
  <c r="G956" i="144"/>
  <c r="G1685" i="144"/>
  <c r="G846" i="144"/>
  <c r="G1495" i="144"/>
  <c r="G391" i="144"/>
  <c r="G1842" i="144"/>
  <c r="G448" i="144"/>
  <c r="G1144" i="144"/>
  <c r="G916" i="144"/>
  <c r="G789" i="144"/>
  <c r="G971" i="144"/>
  <c r="G870" i="144"/>
  <c r="G334" i="144"/>
  <c r="G808" i="144"/>
  <c r="G1264" i="144"/>
  <c r="G1443" i="144"/>
  <c r="G1633" i="144"/>
  <c r="G187" i="144"/>
  <c r="G219" i="144"/>
  <c r="G965" i="144"/>
  <c r="G1202" i="144"/>
  <c r="G1487" i="144"/>
  <c r="G1791" i="144"/>
  <c r="G717" i="144"/>
  <c r="G9" i="144"/>
  <c r="G753" i="144"/>
  <c r="G273" i="144"/>
  <c r="G1279" i="144"/>
  <c r="G1630" i="144"/>
  <c r="G721" i="144"/>
  <c r="G123" i="144"/>
  <c r="G811" i="144"/>
  <c r="G970" i="144"/>
  <c r="G1398" i="144"/>
  <c r="G1086" i="144"/>
  <c r="G1673" i="144"/>
  <c r="G1312" i="144"/>
  <c r="G15" i="144"/>
  <c r="G1434" i="144"/>
  <c r="G695" i="144"/>
  <c r="G1273" i="144"/>
  <c r="G423" i="144"/>
  <c r="G1979" i="144"/>
  <c r="G256" i="144"/>
  <c r="G1746" i="144"/>
  <c r="G575" i="144"/>
  <c r="G1524" i="144"/>
  <c r="G1162" i="144"/>
  <c r="G1723" i="144"/>
  <c r="G580" i="144"/>
  <c r="G131" i="144"/>
  <c r="G758" i="144"/>
  <c r="G634" i="144"/>
  <c r="G1008" i="144"/>
  <c r="G1653" i="144"/>
  <c r="G765" i="144"/>
  <c r="G1710" i="144"/>
  <c r="G294" i="144"/>
  <c r="G467" i="144"/>
  <c r="G1728" i="144"/>
  <c r="G1768" i="144"/>
  <c r="G1459" i="144"/>
  <c r="G926" i="144"/>
  <c r="G590" i="144"/>
  <c r="G1445" i="144"/>
  <c r="G932" i="144"/>
  <c r="G517" i="144"/>
  <c r="G186" i="144"/>
  <c r="G1143" i="144"/>
  <c r="G1085" i="144"/>
  <c r="G1601" i="144"/>
  <c r="G1851" i="144"/>
  <c r="G1323" i="144"/>
  <c r="G613" i="144"/>
  <c r="G221" i="144"/>
  <c r="G1846" i="144"/>
  <c r="G884" i="144"/>
  <c r="G1188" i="144"/>
  <c r="G1706" i="144"/>
  <c r="G392" i="144"/>
  <c r="G1088" i="144"/>
  <c r="G194" i="144"/>
  <c r="G61" i="144"/>
  <c r="G1121" i="144"/>
  <c r="G1396" i="144"/>
  <c r="G1933" i="144"/>
  <c r="G1859" i="144"/>
  <c r="G888" i="144"/>
  <c r="G537" i="144"/>
  <c r="G636" i="144"/>
  <c r="G330" i="144"/>
  <c r="G1134" i="144"/>
  <c r="G1602" i="144"/>
  <c r="G1245" i="144"/>
  <c r="G1367" i="144"/>
  <c r="G631" i="144"/>
  <c r="G1604" i="144"/>
  <c r="G1005" i="144"/>
  <c r="G1103" i="144"/>
  <c r="G681" i="144"/>
  <c r="G859" i="144"/>
  <c r="G1727" i="144"/>
  <c r="G341" i="144"/>
  <c r="G1177" i="144"/>
  <c r="G986" i="144"/>
  <c r="G1099" i="144"/>
  <c r="G771" i="144"/>
  <c r="G1708" i="144"/>
  <c r="G1376" i="144"/>
  <c r="G1773" i="144"/>
  <c r="G1148" i="144"/>
  <c r="G1952" i="144"/>
  <c r="G662" i="144"/>
  <c r="G1293" i="144"/>
  <c r="G1664" i="144"/>
  <c r="G1428" i="144"/>
  <c r="G1164" i="144"/>
  <c r="G1480" i="144"/>
  <c r="G1098" i="144"/>
  <c r="G1709" i="144"/>
  <c r="G1123" i="144"/>
  <c r="G869" i="144"/>
  <c r="G1498" i="144"/>
  <c r="G661" i="144"/>
  <c r="G1074" i="144"/>
  <c r="G1009" i="144"/>
  <c r="G310" i="144"/>
  <c r="G966" i="144"/>
  <c r="G1585" i="144"/>
  <c r="G1069" i="144"/>
  <c r="G1090" i="144"/>
  <c r="G1116" i="144"/>
  <c r="G327" i="144"/>
  <c r="G1944" i="144"/>
  <c r="G1932" i="144"/>
  <c r="G65" i="144"/>
  <c r="G830" i="144"/>
  <c r="G1100" i="144"/>
  <c r="G1195" i="144"/>
  <c r="G1335" i="144"/>
  <c r="G658" i="144"/>
  <c r="G1187" i="144"/>
  <c r="G1338" i="144"/>
  <c r="G458" i="144"/>
  <c r="G802" i="144"/>
  <c r="G1957" i="144"/>
  <c r="G412" i="144"/>
  <c r="G1435" i="144"/>
  <c r="G375" i="144"/>
  <c r="G1867" i="144"/>
  <c r="G913" i="144"/>
  <c r="G27" i="144"/>
  <c r="G484" i="144"/>
  <c r="G1179" i="144"/>
  <c r="G218" i="144"/>
  <c r="G843" i="144"/>
  <c r="G2055" i="144"/>
  <c r="G214" i="144"/>
  <c r="G2273" i="144"/>
  <c r="G2205" i="144"/>
  <c r="J7" i="144"/>
  <c r="G258" i="144"/>
  <c r="G1339" i="144"/>
  <c r="G1751" i="144"/>
  <c r="G1900" i="144"/>
  <c r="G443" i="144"/>
  <c r="G617" i="144"/>
  <c r="G1808" i="144"/>
  <c r="G1106" i="144"/>
  <c r="G456" i="144"/>
  <c r="G1213" i="144"/>
  <c r="G1779" i="144"/>
  <c r="G650" i="144"/>
  <c r="G1737" i="144"/>
  <c r="G409" i="144"/>
  <c r="G2043" i="144"/>
  <c r="G1151" i="144"/>
  <c r="G2022" i="144"/>
  <c r="G623" i="144"/>
  <c r="G275" i="144"/>
  <c r="G1850" i="144"/>
  <c r="G379" i="144"/>
  <c r="G1757" i="144"/>
  <c r="G2031" i="144"/>
  <c r="G604" i="144"/>
  <c r="G1366" i="144"/>
  <c r="G480" i="144"/>
  <c r="G512" i="144"/>
  <c r="G1784" i="144"/>
  <c r="G252" i="144"/>
  <c r="G1823" i="144"/>
  <c r="G229" i="144"/>
  <c r="G1283" i="144"/>
  <c r="G847" i="144"/>
  <c r="G1239" i="144"/>
  <c r="G1857" i="144"/>
  <c r="G1909" i="144"/>
  <c r="G858" i="144"/>
  <c r="G1861" i="144"/>
  <c r="G1759" i="144"/>
  <c r="G1876" i="144"/>
  <c r="G1680" i="144"/>
  <c r="G1278" i="144"/>
  <c r="G2063" i="144"/>
  <c r="G1776" i="144"/>
  <c r="G1890" i="144"/>
  <c r="G534" i="144"/>
  <c r="G264" i="144"/>
  <c r="G1844" i="144"/>
  <c r="G312" i="144"/>
  <c r="G1473" i="144"/>
  <c r="G497" i="144"/>
  <c r="G1855" i="144"/>
  <c r="G386" i="144"/>
  <c r="G687" i="144"/>
  <c r="G1683" i="144"/>
  <c r="G581" i="144"/>
  <c r="G1344" i="144"/>
  <c r="G85" i="144"/>
  <c r="G940" i="144"/>
  <c r="G50" i="144"/>
  <c r="G759" i="144"/>
  <c r="G1038" i="144"/>
  <c r="G475" i="144"/>
  <c r="G530" i="144"/>
  <c r="G1906" i="144"/>
  <c r="G1228" i="144"/>
  <c r="G1896" i="144"/>
  <c r="G975" i="144"/>
  <c r="G972" i="144"/>
  <c r="G518" i="144"/>
  <c r="G1722" i="144"/>
  <c r="G539" i="144"/>
  <c r="G1139" i="144"/>
  <c r="G1507" i="144"/>
  <c r="G921" i="144"/>
  <c r="G877" i="144"/>
  <c r="G559" i="144"/>
  <c r="G573" i="144"/>
  <c r="G1014" i="144"/>
  <c r="G1280" i="144"/>
  <c r="G424" i="144"/>
  <c r="G136" i="144"/>
  <c r="G1361" i="144"/>
  <c r="G445" i="144"/>
  <c r="G436" i="144"/>
  <c r="G2002" i="144"/>
  <c r="G894" i="144"/>
  <c r="G2065" i="144"/>
  <c r="G56" i="144"/>
  <c r="G1493" i="144"/>
  <c r="G520" i="144"/>
  <c r="G1044" i="144"/>
  <c r="G1583" i="144"/>
  <c r="G1018" i="144"/>
  <c r="G1676" i="144"/>
  <c r="G390" i="144"/>
  <c r="G1762" i="144"/>
  <c r="G707" i="144"/>
  <c r="G145" i="144"/>
  <c r="G281" i="144"/>
  <c r="G2042" i="144"/>
  <c r="G1879" i="144"/>
  <c r="G304" i="144"/>
  <c r="G58" i="144"/>
  <c r="G213" i="144"/>
  <c r="G522" i="144"/>
  <c r="G1471" i="144"/>
  <c r="G1161" i="144"/>
  <c r="G1451" i="144"/>
  <c r="G90" i="144"/>
  <c r="G1255" i="144"/>
  <c r="G671" i="144"/>
  <c r="G1233" i="144"/>
  <c r="G1949" i="144"/>
  <c r="G1350" i="144"/>
  <c r="G11" i="144"/>
  <c r="G1448" i="144"/>
  <c r="G1687" i="144"/>
  <c r="G495" i="144"/>
  <c r="G1172" i="144"/>
  <c r="G1915" i="144"/>
  <c r="G1682" i="144"/>
  <c r="G1003" i="144"/>
  <c r="G1627" i="144"/>
  <c r="G550" i="144"/>
  <c r="G1739" i="144"/>
  <c r="G1147" i="144"/>
  <c r="G490" i="144"/>
  <c r="G321" i="144"/>
  <c r="G1416" i="144"/>
  <c r="G148" i="144"/>
  <c r="G114" i="144"/>
  <c r="G801" i="144"/>
  <c r="G1733" i="144"/>
  <c r="G892" i="144"/>
  <c r="G647" i="144"/>
  <c r="G1636" i="144"/>
  <c r="G505" i="144"/>
  <c r="G1308" i="144"/>
  <c r="G230" i="144"/>
  <c r="G527" i="144"/>
  <c r="G1028" i="144"/>
  <c r="G1287" i="144"/>
  <c r="G1050" i="144"/>
  <c r="G826" i="144"/>
  <c r="G192" i="144"/>
  <c r="G967" i="144"/>
  <c r="G959" i="144"/>
  <c r="G1324" i="144"/>
  <c r="G1296" i="144"/>
  <c r="G815" i="144"/>
  <c r="G2057" i="144"/>
  <c r="G1041" i="144"/>
  <c r="G619" i="144"/>
  <c r="G1474" i="144"/>
  <c r="G1612" i="144"/>
  <c r="G1810" i="144"/>
  <c r="G938" i="144"/>
  <c r="G2075" i="144"/>
  <c r="G615" i="144"/>
  <c r="G1150" i="144"/>
  <c r="G1371" i="144"/>
  <c r="G1817" i="144"/>
  <c r="G732" i="144"/>
  <c r="G1101" i="144"/>
  <c r="G1905" i="144"/>
  <c r="G1230" i="144"/>
  <c r="G1063" i="144"/>
  <c r="G1485" i="144"/>
  <c r="G1407" i="144"/>
  <c r="G337" i="144"/>
  <c r="G1606" i="144"/>
  <c r="G2040" i="144"/>
  <c r="G1883" i="144"/>
  <c r="G1801" i="144"/>
  <c r="G659" i="144"/>
  <c r="G610" i="144"/>
  <c r="G1048" i="144"/>
  <c r="G653" i="144"/>
  <c r="G1221" i="144"/>
  <c r="G510" i="144"/>
  <c r="G94" i="144"/>
  <c r="G1124" i="144"/>
  <c r="G1370" i="144"/>
  <c r="G447" i="144"/>
  <c r="G729" i="144"/>
  <c r="G998" i="144"/>
  <c r="G1731" i="144"/>
  <c r="G1552" i="144"/>
  <c r="G1675" i="144"/>
  <c r="G2060" i="144"/>
  <c r="G39" i="144"/>
  <c r="G413" i="144"/>
  <c r="G1212" i="144"/>
  <c r="G804" i="144"/>
  <c r="G1467" i="144"/>
  <c r="G787" i="144"/>
  <c r="G261" i="144"/>
  <c r="G429" i="144"/>
  <c r="G1119" i="144"/>
  <c r="G1555" i="144"/>
  <c r="G1550" i="144"/>
  <c r="G553" i="144"/>
  <c r="G141" i="144"/>
  <c r="G52" i="144"/>
  <c r="G1532" i="144"/>
  <c r="G508" i="144"/>
  <c r="G1928" i="144"/>
  <c r="G848" i="144"/>
  <c r="G1313" i="144"/>
  <c r="G1346" i="144"/>
  <c r="G1570" i="144"/>
  <c r="G1472" i="144"/>
  <c r="G1466" i="144"/>
  <c r="G1962" i="144"/>
  <c r="G655" i="144"/>
  <c r="G1248" i="144"/>
  <c r="G918" i="144"/>
  <c r="G1450" i="144"/>
  <c r="G1374" i="144"/>
  <c r="G1433" i="144"/>
  <c r="G1306" i="144"/>
  <c r="G726" i="144"/>
  <c r="G493" i="144"/>
  <c r="G1599" i="144"/>
  <c r="G1242" i="144"/>
  <c r="G1427" i="144"/>
  <c r="G211" i="144"/>
  <c r="G1686" i="144"/>
  <c r="G235" i="144"/>
  <c r="G223" i="144"/>
  <c r="G816" i="144"/>
  <c r="G583" i="144"/>
  <c r="G1304" i="144"/>
  <c r="G1153" i="144"/>
  <c r="G2033" i="144"/>
  <c r="G1031" i="144"/>
  <c r="G394" i="144"/>
  <c r="G1226" i="144"/>
  <c r="G1505" i="144"/>
  <c r="G1854" i="144"/>
  <c r="G1032" i="144"/>
  <c r="G238" i="144"/>
  <c r="G950" i="144"/>
  <c r="G814" i="144"/>
  <c r="G793" i="144"/>
  <c r="G1843" i="144"/>
  <c r="G306" i="144"/>
  <c r="G603" i="144"/>
  <c r="G1222" i="144"/>
  <c r="G1521" i="144"/>
  <c r="G1141" i="144"/>
  <c r="G614" i="144"/>
  <c r="G618" i="144"/>
  <c r="G1553" i="144"/>
  <c r="G438" i="144"/>
  <c r="G1334" i="144"/>
  <c r="G1465" i="144"/>
  <c r="G1232" i="144"/>
  <c r="G638" i="144"/>
  <c r="G1482" i="144"/>
  <c r="G786" i="144"/>
  <c r="G1827" i="144"/>
  <c r="G1910" i="144"/>
  <c r="G12" i="144"/>
  <c r="G745" i="144"/>
  <c r="G901" i="144"/>
  <c r="G257" i="144"/>
  <c r="G1799" i="144"/>
  <c r="G741" i="144"/>
  <c r="G175" i="144"/>
  <c r="G1013" i="144"/>
  <c r="G1681" i="144"/>
  <c r="G795" i="144"/>
  <c r="G1417" i="144"/>
  <c r="G1894" i="144"/>
  <c r="G663" i="144"/>
  <c r="G994" i="144"/>
  <c r="G1638" i="144"/>
  <c r="G952" i="144"/>
  <c r="G1078" i="144"/>
  <c r="G1660" i="144"/>
  <c r="G1211" i="144"/>
  <c r="G1365" i="144"/>
  <c r="G126" i="144"/>
  <c r="G1131" i="144"/>
  <c r="G1173" i="144"/>
  <c r="G1632" i="144"/>
  <c r="G1326" i="144"/>
  <c r="G598" i="144"/>
  <c r="G973" i="144"/>
  <c r="G778" i="144"/>
  <c r="G1412" i="144"/>
  <c r="G1578" i="144"/>
  <c r="G1329" i="144"/>
  <c r="G362" i="144"/>
  <c r="G1679" i="144"/>
  <c r="G1899" i="144"/>
  <c r="G1393" i="144"/>
  <c r="G1207" i="144"/>
  <c r="G1109" i="144"/>
  <c r="G1456" i="144"/>
  <c r="G1012" i="144"/>
  <c r="G263" i="144"/>
  <c r="G1224" i="144"/>
  <c r="G868" i="144"/>
  <c r="G611" i="144"/>
  <c r="G1357" i="144"/>
  <c r="G1783" i="144"/>
  <c r="G1205" i="144"/>
  <c r="G1432" i="144"/>
  <c r="G197" i="144"/>
  <c r="G1091" i="144"/>
  <c r="G834" i="144"/>
  <c r="G20" i="144"/>
  <c r="G1216" i="144"/>
  <c r="G1494" i="144"/>
  <c r="G1643" i="144"/>
  <c r="G477" i="144"/>
  <c r="G772" i="144"/>
  <c r="G701" i="144"/>
  <c r="G1343" i="144"/>
  <c r="G322" i="144"/>
  <c r="G1277" i="144"/>
  <c r="G1574" i="144"/>
  <c r="G1159" i="144"/>
  <c r="G879" i="144"/>
  <c r="G1298" i="144"/>
  <c r="G115" i="144"/>
  <c r="G995" i="144"/>
  <c r="G1040" i="144"/>
  <c r="G1203" i="144"/>
  <c r="G1267" i="144"/>
  <c r="G1275" i="144"/>
  <c r="G715" i="144"/>
  <c r="G770" i="144"/>
  <c r="G1389" i="144"/>
  <c r="G1355" i="144"/>
  <c r="G502" i="144"/>
  <c r="G1704" i="144"/>
  <c r="G792" i="144"/>
  <c r="G1912" i="144"/>
  <c r="G1753" i="144"/>
  <c r="G2067" i="144"/>
  <c r="G1674" i="144"/>
  <c r="G30" i="144"/>
  <c r="G2061" i="144"/>
  <c r="G1863" i="144"/>
  <c r="G1446" i="144"/>
  <c r="G818" i="144"/>
  <c r="G1887" i="144"/>
  <c r="G1782" i="144"/>
  <c r="G1403" i="144"/>
  <c r="G889" i="144"/>
  <c r="G1872" i="144"/>
  <c r="G1820" i="144"/>
  <c r="G2019" i="144"/>
  <c r="G1300" i="144"/>
  <c r="G798" i="144"/>
  <c r="G137" i="144"/>
  <c r="G360" i="144"/>
  <c r="G2052" i="144"/>
  <c r="G1055" i="144"/>
  <c r="G1895" i="144"/>
  <c r="G399" i="144"/>
  <c r="G1271" i="144"/>
  <c r="G1363" i="144"/>
  <c r="G577" i="144"/>
  <c r="G949" i="144"/>
  <c r="G762" i="144"/>
  <c r="G72" i="144"/>
  <c r="G388" i="144"/>
  <c r="G1738" i="144"/>
  <c r="G625" i="144"/>
  <c r="G1579" i="144"/>
  <c r="G727" i="144"/>
  <c r="G1669" i="144"/>
  <c r="G1183" i="144"/>
  <c r="G976" i="144"/>
  <c r="G384" i="144"/>
  <c r="G999" i="144"/>
  <c r="G1875" i="144"/>
  <c r="G1501" i="144"/>
  <c r="G101" i="144"/>
  <c r="G133" i="144"/>
  <c r="G421" i="144"/>
  <c r="G290" i="144"/>
  <c r="G524" i="144"/>
  <c r="G1545" i="144"/>
  <c r="G1713" i="144"/>
  <c r="G8" i="144"/>
  <c r="G945" i="144"/>
  <c r="G1559" i="144"/>
  <c r="G902" i="144"/>
  <c r="G599" i="144"/>
  <c r="G1217" i="144"/>
  <c r="G689" i="144"/>
  <c r="G1378" i="144"/>
  <c r="G99" i="144"/>
  <c r="G592" i="144"/>
  <c r="G1869" i="144"/>
  <c r="G1880" i="144"/>
  <c r="G185" i="144"/>
  <c r="G441" i="144"/>
  <c r="G1409" i="144"/>
  <c r="G46" i="144"/>
  <c r="G1405" i="144"/>
  <c r="G989" i="144"/>
  <c r="G954" i="144"/>
  <c r="G688" i="144"/>
  <c r="G545" i="144"/>
  <c r="G74" i="144"/>
  <c r="G1925" i="144"/>
  <c r="G672" i="144"/>
  <c r="G478" i="144"/>
  <c r="G1327" i="144"/>
  <c r="G1337" i="144"/>
  <c r="G1730" i="144"/>
  <c r="G1592" i="144"/>
  <c r="G1225" i="144"/>
  <c r="G572" i="144"/>
  <c r="G1241" i="144"/>
  <c r="G1065" i="144"/>
  <c r="G1320" i="144"/>
  <c r="G711" i="144"/>
  <c r="G743" i="144"/>
  <c r="G1204" i="144"/>
  <c r="G1199" i="144"/>
  <c r="G196" i="144"/>
  <c r="G129" i="144"/>
  <c r="G1964" i="144"/>
  <c r="G160" i="144"/>
  <c r="G112" i="144"/>
  <c r="G541" i="144"/>
  <c r="G1488" i="144"/>
  <c r="G531" i="144"/>
  <c r="G1639" i="144"/>
  <c r="G1184" i="144"/>
  <c r="G571" i="144"/>
  <c r="G654" i="144"/>
  <c r="G694" i="144"/>
  <c r="G88" i="144"/>
  <c r="G997" i="144"/>
  <c r="G1502" i="144"/>
  <c r="G1518" i="144"/>
  <c r="G776" i="144"/>
  <c r="G1968" i="144"/>
  <c r="G190" i="144"/>
  <c r="G749" i="144"/>
  <c r="G1528" i="144"/>
  <c r="G547" i="144"/>
  <c r="G210" i="144"/>
  <c r="G398" i="144"/>
  <c r="G735" i="144"/>
  <c r="G44" i="144"/>
  <c r="G292" i="144"/>
  <c r="G1058" i="144"/>
  <c r="G1333" i="144"/>
  <c r="G1311" i="144"/>
  <c r="G682" i="144"/>
  <c r="G356" i="144"/>
  <c r="G1870" i="144"/>
  <c r="G1089" i="144"/>
  <c r="G189" i="144"/>
  <c r="G276" i="144"/>
  <c r="G914" i="144"/>
  <c r="G722" i="144"/>
  <c r="G1535" i="144"/>
  <c r="G1181" i="144"/>
  <c r="G1342" i="144"/>
  <c r="G342" i="144"/>
  <c r="G262" i="144"/>
  <c r="G1037" i="144"/>
  <c r="G1484" i="144"/>
  <c r="G607" i="144"/>
  <c r="G83" i="144"/>
  <c r="G840" i="144"/>
  <c r="G1732" i="144"/>
  <c r="G225" i="144"/>
  <c r="G1447" i="144"/>
  <c r="G831" i="144"/>
  <c r="G667" i="144"/>
  <c r="G1381" i="144"/>
  <c r="G1941" i="144"/>
  <c r="G1154" i="144"/>
  <c r="G560" i="144"/>
  <c r="G1236" i="144"/>
  <c r="G684" i="144"/>
  <c r="G482" i="144"/>
  <c r="G761" i="144"/>
  <c r="G366" i="144"/>
  <c r="G698" i="144"/>
  <c r="G1832" i="144"/>
  <c r="G1761" i="144"/>
  <c r="G161" i="144"/>
  <c r="G1567" i="144"/>
  <c r="G1402" i="144"/>
  <c r="G1083" i="144"/>
  <c r="G245" i="144"/>
  <c r="G947" i="144"/>
  <c r="G1588" i="144"/>
  <c r="G86" i="144"/>
  <c r="G833" i="144"/>
  <c r="G407" i="144"/>
  <c r="G1777" i="144"/>
  <c r="G1047" i="144"/>
  <c r="G1749" i="144"/>
  <c r="G311" i="144"/>
  <c r="G904" i="144"/>
  <c r="G657" i="144"/>
  <c r="G1563" i="144"/>
  <c r="G1568" i="144"/>
  <c r="G626" i="144"/>
  <c r="G683" i="144"/>
  <c r="G2163" i="144"/>
  <c r="G538" i="144"/>
  <c r="G53" i="144"/>
  <c r="G1084" i="144"/>
  <c r="G205" i="144"/>
  <c r="G1464" i="144"/>
  <c r="G1955" i="144"/>
  <c r="G199" i="144"/>
  <c r="G2008" i="144"/>
  <c r="G132" i="144"/>
  <c r="G63" i="144"/>
  <c r="G250" i="144"/>
  <c r="G1411" i="144"/>
  <c r="G180" i="144"/>
  <c r="G1884" i="144"/>
  <c r="G405" i="144"/>
  <c r="G2014" i="144"/>
  <c r="G442" i="144"/>
  <c r="G338" i="144"/>
  <c r="G489" i="144"/>
  <c r="G1980" i="144"/>
  <c r="G2054" i="144"/>
  <c r="G782" i="144"/>
  <c r="G147" i="144"/>
  <c r="G1506" i="144"/>
  <c r="G1658" i="144"/>
  <c r="G1076" i="144"/>
  <c r="G1866" i="144"/>
  <c r="G693" i="144"/>
  <c r="G823" i="144"/>
  <c r="G895" i="144"/>
  <c r="G1655" i="144"/>
  <c r="G1641" i="144"/>
  <c r="G1390" i="144"/>
  <c r="G1651" i="144"/>
  <c r="G1958" i="144"/>
  <c r="G968" i="144"/>
  <c r="G691" i="144"/>
  <c r="G450" i="144"/>
  <c r="G674" i="144"/>
  <c r="G1806" i="144"/>
  <c r="G1127" i="144"/>
  <c r="G1515" i="144"/>
  <c r="G1793" i="144"/>
  <c r="G444" i="144"/>
  <c r="G1940" i="144"/>
  <c r="G488" i="144"/>
  <c r="G529" i="144"/>
  <c r="G1603" i="144"/>
  <c r="G1711" i="144"/>
  <c r="G1972" i="144"/>
  <c r="G1607" i="144"/>
  <c r="G288" i="144"/>
  <c r="G1813" i="144"/>
  <c r="G546" i="144"/>
  <c r="G1301" i="144"/>
  <c r="G2056" i="144"/>
  <c r="G724" i="144"/>
  <c r="G1908" i="144"/>
  <c r="G227" i="144"/>
  <c r="G1760" i="144"/>
  <c r="G1489" i="144"/>
  <c r="G738" i="144"/>
  <c r="G978" i="144"/>
  <c r="G606" i="144"/>
  <c r="G1716" i="144"/>
  <c r="G1780" i="144"/>
  <c r="G1156" i="144"/>
  <c r="G284" i="144"/>
  <c r="G1510" i="144"/>
  <c r="G135" i="144"/>
  <c r="G567" i="144"/>
  <c r="G996" i="144"/>
  <c r="G156" i="144"/>
  <c r="G919" i="144"/>
  <c r="G664" i="144"/>
  <c r="G1114" i="144"/>
  <c r="G780" i="144"/>
  <c r="G850" i="144"/>
  <c r="G1210" i="144"/>
  <c r="G19" i="144"/>
  <c r="G1369" i="144"/>
  <c r="G1677" i="144"/>
  <c r="G1059" i="144"/>
  <c r="G788" i="144"/>
  <c r="G207" i="144"/>
  <c r="G224" i="144"/>
  <c r="G725" i="144"/>
  <c r="G1839" i="144"/>
  <c r="G1425" i="144"/>
  <c r="G217" i="144"/>
  <c r="G1077" i="144"/>
  <c r="G1163" i="144"/>
  <c r="G890" i="144"/>
  <c r="G1192" i="144"/>
  <c r="G1497" i="144"/>
  <c r="G253" i="144"/>
  <c r="G139" i="144"/>
  <c r="G1193" i="144"/>
  <c r="G1025" i="144"/>
  <c r="G1331" i="144"/>
  <c r="G515" i="144"/>
  <c r="G1696" i="144"/>
  <c r="G1741" i="144"/>
  <c r="G706" i="144"/>
  <c r="G1198" i="144"/>
  <c r="G586" i="144"/>
  <c r="G1353" i="144"/>
  <c r="G1391" i="144"/>
  <c r="G1317" i="144"/>
  <c r="G1576" i="144"/>
  <c r="G1319" i="144"/>
  <c r="G320" i="144"/>
  <c r="G845" i="144"/>
  <c r="G1475" i="144"/>
  <c r="G1449" i="144"/>
  <c r="G159" i="144"/>
  <c r="G1829" i="144"/>
  <c r="G822" i="144"/>
  <c r="G1315" i="144"/>
  <c r="G1105" i="144"/>
  <c r="G473" i="144"/>
  <c r="G1830" i="144"/>
  <c r="G1071" i="144"/>
  <c r="G521" i="144"/>
  <c r="G1774" i="144"/>
  <c r="G907" i="144"/>
  <c r="G1547" i="144"/>
  <c r="G1020" i="144"/>
  <c r="G1646" i="144"/>
  <c r="G393" i="144"/>
  <c r="G289" i="144"/>
  <c r="G774" i="144"/>
  <c r="G164" i="144"/>
  <c r="G1512" i="144"/>
  <c r="G2066" i="144"/>
  <c r="G1168" i="144"/>
  <c r="G1878" i="144"/>
  <c r="G832" i="144"/>
  <c r="G1678" i="144"/>
  <c r="G1610" i="144"/>
  <c r="G332" i="144"/>
  <c r="G1519" i="144"/>
  <c r="G1614" i="144"/>
  <c r="G368" i="144"/>
  <c r="G1095" i="144"/>
  <c r="G25" i="144"/>
  <c r="G107" i="144"/>
  <c r="G1481" i="144"/>
  <c r="G777" i="144"/>
  <c r="G690" i="144"/>
  <c r="G295" i="144"/>
  <c r="G953" i="144"/>
  <c r="G240" i="144"/>
  <c r="G1891" i="144"/>
  <c r="G841" i="144"/>
  <c r="G109" i="144"/>
  <c r="G1132" i="144"/>
  <c r="G42" i="144"/>
  <c r="G561" i="144"/>
  <c r="G1112" i="144"/>
  <c r="G1087" i="144"/>
  <c r="G728" i="144"/>
  <c r="G128" i="144"/>
  <c r="G554" i="144"/>
  <c r="G119" i="144"/>
  <c r="G1220" i="144"/>
  <c r="G1690" i="144"/>
  <c r="G1666" i="144"/>
  <c r="G1292" i="144"/>
  <c r="G535" i="144"/>
  <c r="G897" i="144"/>
  <c r="G931" i="144"/>
  <c r="G301" i="144"/>
  <c r="G1982" i="144"/>
  <c r="G1062" i="144"/>
  <c r="G82" i="144"/>
  <c r="G2009" i="144"/>
  <c r="G385" i="144"/>
  <c r="G47" i="144"/>
  <c r="G1989" i="144"/>
  <c r="G100" i="144"/>
  <c r="G314" i="144"/>
  <c r="G1926" i="144"/>
  <c r="G2074" i="144"/>
  <c r="G751" i="144"/>
  <c r="G1752" i="144"/>
  <c r="G1898" i="144"/>
  <c r="G2003" i="144"/>
  <c r="G927" i="144"/>
  <c r="G28" i="144"/>
  <c r="G1921" i="144"/>
  <c r="G248" i="144"/>
  <c r="G730" i="144"/>
  <c r="G419" i="144"/>
  <c r="G1291" i="144"/>
  <c r="G316" i="144"/>
  <c r="G991" i="144"/>
  <c r="G666" i="144"/>
  <c r="G739" i="144"/>
  <c r="G1977" i="144"/>
  <c r="G1748" i="144"/>
  <c r="G1581" i="144"/>
  <c r="G496" i="144"/>
  <c r="G1514" i="144"/>
  <c r="G1045" i="144"/>
  <c r="G673" i="144"/>
  <c r="G1953" i="144"/>
  <c r="G1956" i="144"/>
  <c r="G1129" i="144"/>
  <c r="G1392" i="144"/>
  <c r="G325" i="144"/>
  <c r="G1042" i="144"/>
  <c r="G941" i="144"/>
  <c r="G1862" i="144"/>
  <c r="G2038" i="144"/>
  <c r="G1557" i="144"/>
  <c r="G1001" i="144"/>
  <c r="G1424" i="144"/>
  <c r="G1566" i="144"/>
  <c r="G59" i="144"/>
  <c r="G1138" i="144"/>
  <c r="G481" i="144"/>
  <c r="G1717" i="144"/>
  <c r="G1853" i="144"/>
  <c r="G1984" i="144"/>
  <c r="G632" i="144"/>
  <c r="G104" i="144"/>
  <c r="G958" i="144"/>
  <c r="G930" i="144"/>
  <c r="G875" i="144"/>
  <c r="G1265" i="144"/>
  <c r="G1560" i="144"/>
  <c r="G851" i="144"/>
  <c r="G1635" i="144"/>
  <c r="G1671" i="144"/>
  <c r="G733" i="144"/>
  <c r="G556" i="144"/>
  <c r="G326" i="144"/>
  <c r="G1351" i="144"/>
  <c r="G1691" i="144"/>
  <c r="G1149" i="144"/>
  <c r="G1321" i="144"/>
  <c r="G1286" i="144"/>
  <c r="G1476" i="144"/>
  <c r="G1971" i="144"/>
  <c r="G453" i="144"/>
  <c r="G1496" i="144"/>
  <c r="G718" i="144"/>
  <c r="G1824" i="144"/>
  <c r="G188" i="144"/>
  <c r="G87" i="144"/>
  <c r="G987" i="144"/>
  <c r="G1189" i="144"/>
  <c r="G1954" i="144"/>
  <c r="G960" i="144"/>
  <c r="G794" i="144"/>
  <c r="G31" i="144"/>
  <c r="G1463" i="144"/>
  <c r="G1146" i="144"/>
  <c r="G1382" i="144"/>
  <c r="G1483" i="144"/>
  <c r="G374" i="144"/>
  <c r="G282" i="144"/>
  <c r="G1102" i="144"/>
  <c r="G1758" i="144"/>
  <c r="G347" i="144"/>
  <c r="G1629" i="144"/>
  <c r="G152" i="144"/>
  <c r="G1546" i="144"/>
  <c r="G1234" i="144"/>
  <c r="G1263" i="144"/>
  <c r="G1460" i="144"/>
  <c r="G1387" i="144"/>
  <c r="G1572" i="144"/>
  <c r="G468" i="144"/>
  <c r="G1256" i="144"/>
  <c r="G1874" i="144"/>
  <c r="G1218" i="144"/>
  <c r="G1458" i="144"/>
  <c r="G1341" i="144"/>
  <c r="G1072" i="144"/>
  <c r="G1354" i="144"/>
  <c r="G747" i="144"/>
  <c r="G1372" i="144"/>
  <c r="G324" i="144"/>
  <c r="G1575" i="144"/>
  <c r="G852" i="144"/>
  <c r="G1027" i="144"/>
  <c r="G1605" i="144"/>
  <c r="G1325" i="144"/>
  <c r="G255" i="144"/>
  <c r="G660" i="144"/>
  <c r="G944" i="144"/>
  <c r="G805" i="144"/>
  <c r="G1492" i="144"/>
  <c r="G1573" i="144"/>
  <c r="G1835" i="144"/>
  <c r="G549" i="144"/>
  <c r="G1282" i="144"/>
  <c r="G1826" i="144"/>
  <c r="G339" i="144"/>
  <c r="G1260" i="144"/>
  <c r="G177" i="144"/>
  <c r="G812" i="144"/>
  <c r="G1919" i="144"/>
  <c r="G526" i="144"/>
  <c r="G911" i="144"/>
  <c r="G1303" i="144"/>
  <c r="G149" i="144"/>
  <c r="G769" i="144"/>
  <c r="G723" i="144"/>
  <c r="G106" i="144"/>
  <c r="G500" i="144"/>
  <c r="G643" i="144"/>
  <c r="G951" i="144"/>
  <c r="G1227" i="144"/>
  <c r="G853" i="144"/>
  <c r="G1257" i="144"/>
  <c r="G372" i="144"/>
  <c r="G1469" i="144"/>
  <c r="G1988" i="144"/>
  <c r="G2029" i="144"/>
  <c r="G1663" i="144"/>
  <c r="G697" i="144"/>
  <c r="G243" i="144"/>
  <c r="G525" i="144"/>
  <c r="G1478" i="144"/>
  <c r="G349" i="144"/>
  <c r="G1930" i="144"/>
  <c r="G742" i="144"/>
  <c r="G992" i="144"/>
  <c r="G1786" i="144"/>
  <c r="G414" i="144"/>
  <c r="G1420" i="144"/>
  <c r="G763" i="144"/>
  <c r="G837" i="144"/>
  <c r="G1936" i="144"/>
  <c r="G246" i="144"/>
  <c r="G1561" i="144"/>
  <c r="G1920" i="144"/>
  <c r="G483" i="144"/>
  <c r="G1645" i="144"/>
  <c r="G1551" i="144"/>
  <c r="G873" i="144"/>
  <c r="G1992" i="144"/>
  <c r="G1185" i="144"/>
  <c r="G1950" i="144"/>
  <c r="G2035" i="144"/>
  <c r="G232" i="144"/>
  <c r="G993" i="144"/>
  <c r="G835" i="144"/>
  <c r="G335" i="144"/>
  <c r="G773" i="144"/>
  <c r="G328" i="144"/>
  <c r="G2013" i="144"/>
  <c r="G1744" i="144"/>
  <c r="G1096" i="144"/>
  <c r="G1388" i="144"/>
  <c r="G1379" i="144"/>
  <c r="G731" i="144"/>
  <c r="G1454" i="144"/>
  <c r="G1650" i="144"/>
  <c r="G415" i="144"/>
  <c r="G1625" i="144"/>
  <c r="G1500" i="144"/>
  <c r="G2068" i="144"/>
  <c r="G854" i="144"/>
  <c r="G1033" i="144"/>
  <c r="G274" i="144"/>
  <c r="G1061" i="144"/>
  <c r="G1916" i="144"/>
  <c r="G1209" i="144"/>
  <c r="G169" i="144"/>
  <c r="G1634" i="144"/>
  <c r="G1613" i="144"/>
  <c r="G865" i="144"/>
  <c r="G906" i="144"/>
  <c r="G440" i="144"/>
  <c r="G880" i="144"/>
  <c r="G1618" i="144"/>
  <c r="G1169" i="144"/>
  <c r="G1976" i="144"/>
  <c r="G138" i="144"/>
  <c r="G1294" i="144"/>
  <c r="G597" i="144"/>
  <c r="G1661" i="144"/>
  <c r="G1430" i="144"/>
  <c r="G251" i="144"/>
  <c r="G1798" i="144"/>
  <c r="G620" i="144"/>
  <c r="G1670" i="144"/>
  <c r="G1486" i="144"/>
  <c r="G2050" i="144"/>
  <c r="G1056" i="144"/>
  <c r="G422" i="144"/>
  <c r="G819" i="144"/>
  <c r="G1598" i="144"/>
  <c r="G719" i="144"/>
  <c r="G426" i="144"/>
  <c r="G1533" i="144"/>
  <c r="G903" i="144"/>
  <c r="G77" i="144"/>
  <c r="G637" i="144"/>
  <c r="G1137" i="144"/>
  <c r="G836" i="144"/>
  <c r="G1715" i="144"/>
  <c r="G1235" i="144"/>
  <c r="G1893" i="144"/>
  <c r="G929" i="144"/>
  <c r="G680" i="144"/>
  <c r="G712" i="144"/>
  <c r="G1649" i="144"/>
  <c r="G1902" i="144"/>
  <c r="G1593" i="144"/>
  <c r="G584" i="144"/>
  <c r="G179" i="144"/>
  <c r="G1714" i="144"/>
  <c r="G1410" i="144"/>
  <c r="G1259" i="144"/>
  <c r="G1917" i="144"/>
  <c r="G1165" i="144"/>
  <c r="G406" i="144"/>
  <c r="G651" i="144"/>
  <c r="G924" i="144"/>
  <c r="G516" i="144"/>
  <c r="G1336" i="144"/>
  <c r="G1194" i="144"/>
  <c r="G373" i="144"/>
  <c r="G910" i="144"/>
  <c r="G1763" i="144"/>
  <c r="G48" i="144"/>
  <c r="G1963" i="144"/>
  <c r="G1453" i="144"/>
  <c r="G523" i="144"/>
  <c r="G1888" i="144"/>
  <c r="G1569" i="144"/>
  <c r="G1160" i="144"/>
  <c r="G268" i="144"/>
  <c r="G1526" i="144"/>
  <c r="G640" i="144"/>
  <c r="G912" i="144"/>
  <c r="G1531" i="144"/>
  <c r="G974" i="144"/>
  <c r="G576" i="144"/>
  <c r="G957" i="144"/>
  <c r="G1724" i="144"/>
  <c r="G359" i="144"/>
  <c r="G125" i="144"/>
  <c r="G1158" i="144"/>
  <c r="G692" i="144"/>
  <c r="G381" i="144"/>
  <c r="G389" i="144"/>
  <c r="G1628" i="144"/>
  <c r="G1104" i="144"/>
  <c r="G677" i="144"/>
  <c r="G936" i="144"/>
  <c r="G676" i="144"/>
  <c r="G1284" i="144"/>
  <c r="G1186" i="144"/>
  <c r="G1468" i="144"/>
  <c r="G1373" i="144"/>
  <c r="G1111" i="144"/>
  <c r="G1231" i="144"/>
  <c r="G1142" i="144"/>
  <c r="G343" i="144"/>
  <c r="G204" i="144"/>
  <c r="G380" i="144"/>
  <c r="G1970" i="144"/>
  <c r="G313" i="144"/>
  <c r="G1556" i="144"/>
  <c r="G1049" i="144"/>
  <c r="G24" i="144"/>
  <c r="G464" i="144"/>
  <c r="G797" i="144"/>
  <c r="G829" i="144"/>
  <c r="G1889" i="144"/>
  <c r="G472" i="144"/>
  <c r="G1998" i="144"/>
  <c r="G1523" i="144"/>
  <c r="G1975" i="144"/>
  <c r="G1689" i="144"/>
  <c r="G1885" i="144"/>
  <c r="G1182" i="144"/>
  <c r="G357" i="144"/>
  <c r="G1348" i="144"/>
  <c r="G66" i="144"/>
  <c r="G1490" i="144"/>
  <c r="G1060" i="144"/>
  <c r="G969" i="144"/>
  <c r="G286" i="144"/>
  <c r="G437" i="144"/>
  <c r="G857" i="144"/>
  <c r="G740" i="144"/>
  <c r="G942" i="144"/>
  <c r="G417" i="144"/>
  <c r="G883" i="144"/>
  <c r="G18" i="144"/>
  <c r="G1364" i="144"/>
  <c r="G1747" i="144"/>
  <c r="G629" i="144"/>
  <c r="G1004" i="144"/>
  <c r="G1442" i="144"/>
  <c r="G990" i="144"/>
  <c r="G887" i="144"/>
  <c r="G988" i="144"/>
  <c r="G1536" i="144"/>
  <c r="G1700" i="144"/>
  <c r="C12" i="169"/>
  <c r="B12" i="174"/>
  <c r="B13" i="174"/>
  <c r="B14" i="174"/>
  <c r="B8" i="174"/>
  <c r="B33" i="175"/>
  <c r="E12" i="170"/>
  <c r="G791" i="144"/>
  <c r="G981" i="144"/>
  <c r="G173" i="144"/>
  <c r="B27" i="175"/>
  <c r="B32" i="175"/>
  <c r="B37" i="175"/>
  <c r="B31" i="175"/>
  <c r="F24" i="175"/>
  <c r="B12" i="175"/>
  <c r="B22" i="175"/>
  <c r="B17" i="175"/>
  <c r="B28" i="175"/>
  <c r="B10" i="175"/>
  <c r="B14" i="175"/>
  <c r="B25" i="175"/>
  <c r="F19" i="175"/>
  <c r="B20" i="175"/>
  <c r="B15" i="175"/>
  <c r="B8" i="175"/>
  <c r="B35" i="175"/>
  <c r="B9" i="175"/>
  <c r="E25" i="170"/>
  <c r="B34" i="175"/>
  <c r="B13" i="175"/>
  <c r="E7" i="170"/>
  <c r="F21" i="175"/>
  <c r="F44" i="175"/>
  <c r="B24" i="175"/>
  <c r="B43" i="175"/>
  <c r="B26" i="175"/>
  <c r="H27" i="170"/>
  <c r="F69" i="144"/>
  <c r="C46" i="175"/>
  <c r="D46" i="175" s="1"/>
  <c r="G118" i="146"/>
  <c r="G124" i="146"/>
  <c r="G232" i="146"/>
  <c r="G89" i="146"/>
  <c r="G20" i="146"/>
  <c r="G125" i="146"/>
  <c r="G233" i="146"/>
  <c r="G90" i="146"/>
  <c r="G72" i="146"/>
  <c r="G199" i="146"/>
  <c r="G74" i="146"/>
  <c r="G73" i="146"/>
  <c r="G79" i="146"/>
  <c r="G146" i="146"/>
  <c r="G145" i="146"/>
  <c r="G138" i="146"/>
  <c r="G46" i="146"/>
  <c r="G8" i="146"/>
  <c r="G228" i="146"/>
  <c r="G200" i="146"/>
  <c r="G204" i="146"/>
  <c r="G57" i="146"/>
  <c r="G235" i="146"/>
  <c r="G214" i="146"/>
  <c r="G150" i="146"/>
  <c r="G244" i="146"/>
  <c r="G227" i="146"/>
  <c r="G77" i="146"/>
  <c r="G78" i="146"/>
  <c r="G63" i="146"/>
  <c r="G62" i="146"/>
  <c r="G188" i="146"/>
  <c r="G70" i="146"/>
  <c r="G245" i="146"/>
  <c r="G246" i="146"/>
  <c r="G234" i="146"/>
  <c r="G128" i="146"/>
  <c r="G9" i="146"/>
  <c r="G127" i="146"/>
  <c r="G69" i="146"/>
  <c r="G201" i="146"/>
  <c r="G66" i="146"/>
  <c r="G80" i="146"/>
  <c r="G176" i="146"/>
  <c r="G226" i="146"/>
  <c r="G251" i="146"/>
  <c r="G267" i="146"/>
  <c r="G223" i="146"/>
  <c r="G248" i="146"/>
  <c r="G264" i="146"/>
  <c r="G224" i="146"/>
  <c r="G249" i="146"/>
  <c r="G265" i="146"/>
  <c r="G231" i="146"/>
  <c r="G266" i="146"/>
  <c r="G254" i="146"/>
  <c r="B33" i="174"/>
  <c r="B38" i="174"/>
  <c r="C11" i="169"/>
  <c r="B22" i="174"/>
  <c r="B25" i="174"/>
  <c r="B10" i="174"/>
  <c r="B30" i="174"/>
  <c r="B17" i="174"/>
  <c r="F20" i="175"/>
  <c r="H1503" i="144"/>
  <c r="H1053" i="144"/>
  <c r="H609" i="144"/>
  <c r="H633" i="144"/>
  <c r="H377" i="144"/>
  <c r="H679" i="144"/>
  <c r="H1305" i="144"/>
  <c r="H1994" i="144"/>
  <c r="H2000" i="144"/>
  <c r="H2010" i="144"/>
  <c r="H1986" i="144"/>
  <c r="H212" i="144"/>
  <c r="H178" i="144"/>
  <c r="H365" i="144"/>
  <c r="H1766" i="144"/>
  <c r="H1778" i="144"/>
  <c r="H1554" i="144"/>
  <c r="H195" i="144"/>
  <c r="H2006" i="144"/>
  <c r="H1288" i="144"/>
  <c r="H1584" i="144"/>
  <c r="H939" i="144"/>
  <c r="H600" i="144"/>
  <c r="H781" i="144"/>
  <c r="H1383" i="144"/>
  <c r="H1399" i="144"/>
  <c r="H1838" i="144"/>
  <c r="H2016" i="144"/>
  <c r="H2228" i="144"/>
  <c r="H2244" i="144"/>
  <c r="H893" i="144"/>
  <c r="H562" i="144"/>
  <c r="H68" i="144"/>
  <c r="H1662" i="144"/>
  <c r="H1987" i="144"/>
  <c r="H2011" i="144"/>
  <c r="H2005" i="144"/>
  <c r="H1995" i="144"/>
  <c r="H461" i="144"/>
  <c r="H551" i="144"/>
  <c r="H585" i="144"/>
  <c r="H630" i="144"/>
  <c r="H1247" i="144"/>
  <c r="H1384" i="144"/>
  <c r="H1736" i="144"/>
  <c r="H1911" i="144"/>
  <c r="H2308" i="144"/>
  <c r="H557" i="144"/>
  <c r="H1725" i="144"/>
  <c r="H1990" i="144"/>
  <c r="H2090" i="144"/>
  <c r="H2007" i="144"/>
  <c r="H2001" i="144"/>
  <c r="H460" i="144"/>
  <c r="H582" i="144"/>
  <c r="H948" i="144"/>
  <c r="H1126" i="144"/>
  <c r="H1440" i="144"/>
  <c r="H1624" i="144"/>
  <c r="H2037" i="144"/>
  <c r="H2214" i="144"/>
  <c r="H2165" i="144"/>
  <c r="H813" i="144"/>
  <c r="H1249" i="144"/>
  <c r="H1404" i="144"/>
  <c r="H272" i="144"/>
  <c r="H1985" i="144"/>
  <c r="H871" i="144"/>
  <c r="H1197" i="144"/>
  <c r="H2134" i="144"/>
  <c r="H644" i="144"/>
  <c r="H696" i="144"/>
  <c r="H886" i="144"/>
  <c r="H874" i="144"/>
  <c r="H2027" i="144"/>
  <c r="H1530" i="144"/>
  <c r="H174" i="144"/>
  <c r="H2141" i="144"/>
  <c r="H446" i="144"/>
  <c r="H2026" i="144"/>
  <c r="H622" i="144"/>
  <c r="H98" i="144"/>
  <c r="H1322" i="144"/>
  <c r="H1272" i="144"/>
  <c r="H351" i="144"/>
  <c r="H1007" i="144"/>
  <c r="H2287" i="144"/>
  <c r="H1668" i="144"/>
  <c r="H2135" i="144"/>
  <c r="H1922" i="144"/>
  <c r="H1672" i="144"/>
  <c r="H431" i="144"/>
  <c r="H1765" i="144"/>
  <c r="H2150" i="144"/>
  <c r="H1734" i="144"/>
  <c r="H817" i="144"/>
  <c r="H1587" i="144"/>
  <c r="H1171" i="144"/>
  <c r="H596" i="144"/>
  <c r="B31" i="174"/>
  <c r="H118" i="146"/>
  <c r="H124" i="146"/>
  <c r="H232" i="146"/>
  <c r="H89" i="146"/>
  <c r="H20" i="146"/>
  <c r="H125" i="146"/>
  <c r="H233" i="146"/>
  <c r="H90" i="146"/>
  <c r="H72" i="146"/>
  <c r="H199" i="146"/>
  <c r="H74" i="146"/>
  <c r="H201" i="146"/>
  <c r="H77" i="146"/>
  <c r="H73" i="146"/>
  <c r="H200" i="146"/>
  <c r="H80" i="146"/>
  <c r="H78" i="146"/>
  <c r="H79" i="146"/>
  <c r="H204" i="146"/>
  <c r="H128" i="146"/>
  <c r="H63" i="146"/>
  <c r="H146" i="146"/>
  <c r="H57" i="146"/>
  <c r="H127" i="146"/>
  <c r="H62" i="146"/>
  <c r="H145" i="146"/>
  <c r="H235" i="146"/>
  <c r="H66" i="146"/>
  <c r="H188" i="146"/>
  <c r="H70" i="146"/>
  <c r="H245" i="146"/>
  <c r="H246" i="146"/>
  <c r="H234" i="146"/>
  <c r="H138" i="146"/>
  <c r="H46" i="146"/>
  <c r="H8" i="146"/>
  <c r="H228" i="146"/>
  <c r="H69" i="146"/>
  <c r="H9" i="146"/>
  <c r="H176" i="146"/>
  <c r="H227" i="146"/>
  <c r="H244" i="146"/>
  <c r="H150" i="146"/>
  <c r="H214" i="146"/>
  <c r="C36" i="170"/>
  <c r="C16" i="169" s="1"/>
  <c r="D37" i="170"/>
  <c r="Q139" i="1"/>
  <c r="F9" i="106"/>
  <c r="B44" i="175"/>
  <c r="F12" i="175"/>
  <c r="F8" i="175"/>
  <c r="G11" i="167"/>
  <c r="C11" i="167"/>
  <c r="B46" i="175"/>
  <c r="B16" i="175"/>
  <c r="C8" i="167"/>
  <c r="B47" i="175"/>
  <c r="B39" i="175"/>
  <c r="J42" i="149"/>
  <c r="L41" i="146" s="1"/>
  <c r="AR93" i="71"/>
  <c r="AS93" i="71"/>
  <c r="AQ93" i="71"/>
  <c r="H176" i="149"/>
  <c r="J176" i="149"/>
  <c r="I176" i="149"/>
  <c r="H108" i="149"/>
  <c r="J108" i="149"/>
  <c r="L96" i="146" s="1"/>
  <c r="I108" i="149"/>
  <c r="K96" i="146" s="1"/>
  <c r="G110" i="149"/>
  <c r="F98" i="146" s="1"/>
  <c r="F110" i="149"/>
  <c r="E98" i="146" s="1"/>
  <c r="H110" i="149"/>
  <c r="J110" i="149"/>
  <c r="L98" i="146" s="1"/>
  <c r="I110" i="149"/>
  <c r="K98" i="146" s="1"/>
  <c r="J12" i="149"/>
  <c r="L12" i="146" s="1"/>
  <c r="H12" i="149"/>
  <c r="I12" i="149"/>
  <c r="K12" i="146" s="1"/>
  <c r="F12" i="149"/>
  <c r="E12" i="146" s="1"/>
  <c r="G12" i="149"/>
  <c r="F12" i="146" s="1"/>
  <c r="G7" i="167"/>
  <c r="G9" i="167"/>
  <c r="F22" i="175"/>
  <c r="F39" i="175"/>
  <c r="G8" i="167"/>
  <c r="B7" i="174"/>
  <c r="I7" i="174" s="1"/>
  <c r="J261" i="149" s="1"/>
  <c r="C10" i="169"/>
  <c r="B44" i="174"/>
  <c r="B35" i="174"/>
  <c r="C9" i="169"/>
  <c r="B7" i="175"/>
  <c r="C8" i="169"/>
  <c r="B47" i="174"/>
  <c r="I47" i="174" s="1"/>
  <c r="B39" i="174"/>
  <c r="H24" i="170"/>
  <c r="F659" i="144"/>
  <c r="H8" i="170"/>
  <c r="F253" i="144"/>
  <c r="AR27" i="71"/>
  <c r="AR100" i="71"/>
  <c r="AS100" i="71"/>
  <c r="AR98" i="71"/>
  <c r="AS98" i="71"/>
  <c r="AQ98" i="71"/>
  <c r="AQ106" i="71"/>
  <c r="AS106" i="71"/>
  <c r="AR106" i="71"/>
  <c r="Z47" i="71"/>
  <c r="O461" i="187"/>
  <c r="Z48" i="71" s="1"/>
  <c r="AQ99" i="71"/>
  <c r="AR99" i="71"/>
  <c r="AQ36" i="71"/>
  <c r="AR36" i="71"/>
  <c r="O455" i="187"/>
  <c r="Z39" i="71"/>
  <c r="O106" i="187"/>
  <c r="Z7" i="71" s="1"/>
  <c r="H26" i="170"/>
  <c r="F1885" i="144"/>
  <c r="AS46" i="71"/>
  <c r="AR49" i="71"/>
  <c r="Q34" i="1"/>
  <c r="O157" i="187"/>
  <c r="Q160" i="75" s="1"/>
  <c r="Q158" i="75"/>
  <c r="AR76" i="71"/>
  <c r="AS76" i="71"/>
  <c r="AQ76" i="71"/>
  <c r="AS85" i="71"/>
  <c r="AR85" i="71"/>
  <c r="AS22" i="71"/>
  <c r="Q29" i="75"/>
  <c r="O29" i="187"/>
  <c r="Q30" i="75" s="1"/>
  <c r="Q51" i="1"/>
  <c r="J98" i="75"/>
  <c r="I98" i="75"/>
  <c r="AQ128" i="71"/>
  <c r="AR128" i="71"/>
  <c r="J15" i="75"/>
  <c r="I15" i="75"/>
  <c r="AS72" i="71"/>
  <c r="AR72" i="71"/>
  <c r="AQ72" i="71"/>
  <c r="O12" i="187"/>
  <c r="Q12" i="75" s="1"/>
  <c r="F150" i="75"/>
  <c r="O10" i="187"/>
  <c r="Q10" i="75" s="1"/>
  <c r="AS128" i="71"/>
  <c r="F182" i="75"/>
  <c r="O153" i="187"/>
  <c r="Q156" i="75" s="1"/>
  <c r="F15" i="10"/>
  <c r="F322" i="75"/>
  <c r="H23" i="170"/>
  <c r="F861" i="144"/>
  <c r="AS91" i="71"/>
  <c r="AR91" i="71"/>
  <c r="H16" i="102"/>
  <c r="AR162" i="71"/>
  <c r="AR169" i="71"/>
  <c r="AR164" i="71"/>
  <c r="AR171" i="71"/>
  <c r="AR82" i="71"/>
  <c r="AR167" i="71"/>
  <c r="AR50" i="71"/>
  <c r="AR170" i="71"/>
  <c r="AR121" i="71"/>
  <c r="AR118" i="71"/>
  <c r="AR142" i="71"/>
  <c r="AR56" i="71"/>
  <c r="AR157" i="71"/>
  <c r="AR153" i="71"/>
  <c r="AR149" i="71"/>
  <c r="AR45" i="71"/>
  <c r="AR44" i="71"/>
  <c r="AR9" i="71"/>
  <c r="AR120" i="71"/>
  <c r="AR107" i="71"/>
  <c r="AR165" i="71"/>
  <c r="AR75" i="71"/>
  <c r="AQ149" i="71"/>
  <c r="AQ165" i="71"/>
  <c r="AQ66" i="71"/>
  <c r="AQ166" i="71"/>
  <c r="AQ156" i="71"/>
  <c r="AQ160" i="71"/>
  <c r="AQ9" i="71"/>
  <c r="AQ154" i="71"/>
  <c r="AQ107" i="71"/>
  <c r="AQ168" i="71"/>
  <c r="AQ118" i="71"/>
  <c r="AQ158" i="71"/>
  <c r="AQ108" i="71"/>
  <c r="AQ132" i="71"/>
  <c r="AQ164" i="71"/>
  <c r="H12" i="102"/>
  <c r="L12" i="102" s="1"/>
  <c r="E20" i="157"/>
  <c r="AR11" i="71"/>
  <c r="G12" i="69"/>
  <c r="Q172" i="75"/>
  <c r="AR163" i="71"/>
  <c r="AR145" i="71"/>
  <c r="AQ130" i="71"/>
  <c r="AQ45" i="71"/>
  <c r="B43" i="174"/>
  <c r="B16" i="174"/>
  <c r="C7" i="167"/>
  <c r="C10" i="167"/>
  <c r="C9" i="167"/>
  <c r="O95" i="101"/>
  <c r="AR59" i="71"/>
  <c r="E27" i="157"/>
  <c r="H20" i="102"/>
  <c r="L20" i="102" s="1"/>
  <c r="AR66" i="71"/>
  <c r="D11" i="31"/>
  <c r="C7" i="32" s="1"/>
  <c r="F7" i="32" s="1"/>
  <c r="AS45" i="71"/>
  <c r="J177" i="56"/>
  <c r="J37" i="56"/>
  <c r="E29" i="157"/>
  <c r="AR117" i="71"/>
  <c r="H15" i="106"/>
  <c r="J36" i="56"/>
  <c r="S1766" i="144"/>
  <c r="F1766" i="144" s="1"/>
  <c r="S1053" i="144"/>
  <c r="F1053" i="144" s="1"/>
  <c r="S1322" i="144"/>
  <c r="F1322" i="144" s="1"/>
  <c r="S377" i="144"/>
  <c r="F377" i="144" s="1"/>
  <c r="S1725" i="144"/>
  <c r="F1725" i="144" s="1"/>
  <c r="S1994" i="144"/>
  <c r="F1994" i="144" s="1"/>
  <c r="S2011" i="144"/>
  <c r="F2011" i="144" s="1"/>
  <c r="S2001" i="144"/>
  <c r="F2001" i="144" s="1"/>
  <c r="S1272" i="144"/>
  <c r="F1272" i="144" s="1"/>
  <c r="S939" i="144"/>
  <c r="F939" i="144" s="1"/>
  <c r="S460" i="144"/>
  <c r="F460" i="144" s="1"/>
  <c r="S585" i="144"/>
  <c r="F585" i="144" s="1"/>
  <c r="S948" i="144"/>
  <c r="F948" i="144" s="1"/>
  <c r="S1247" i="144"/>
  <c r="F1247" i="144" s="1"/>
  <c r="S1440" i="144"/>
  <c r="F1440" i="144" s="1"/>
  <c r="S1736" i="144"/>
  <c r="F1736" i="144" s="1"/>
  <c r="S2037" i="144"/>
  <c r="F2037" i="144" s="1"/>
  <c r="S2308" i="144"/>
  <c r="F2308" i="144" s="1"/>
  <c r="S2165" i="144"/>
  <c r="F2165" i="144" s="1"/>
  <c r="S174" i="144"/>
  <c r="F174" i="144" s="1"/>
  <c r="S893" i="144"/>
  <c r="F893" i="144" s="1"/>
  <c r="S446" i="144"/>
  <c r="F446" i="144" s="1"/>
  <c r="S886" i="144"/>
  <c r="F886" i="144" s="1"/>
  <c r="S2135" i="144"/>
  <c r="F2135" i="144" s="1"/>
  <c r="S596" i="144"/>
  <c r="F596" i="144" s="1"/>
  <c r="S1305" i="144"/>
  <c r="F1305" i="144" s="1"/>
  <c r="S1987" i="144"/>
  <c r="F1987" i="144" s="1"/>
  <c r="S2007" i="144"/>
  <c r="F2007" i="144" s="1"/>
  <c r="S1584" i="144"/>
  <c r="F1584" i="144" s="1"/>
  <c r="S351" i="144"/>
  <c r="F351" i="144" s="1"/>
  <c r="S630" i="144"/>
  <c r="F630" i="144" s="1"/>
  <c r="S1384" i="144"/>
  <c r="F1384" i="144" s="1"/>
  <c r="S1624" i="144"/>
  <c r="F1624" i="144" s="1"/>
  <c r="S2214" i="144"/>
  <c r="F2214" i="144" s="1"/>
  <c r="S2141" i="144"/>
  <c r="F2141" i="144" s="1"/>
  <c r="S1668" i="144"/>
  <c r="F1668" i="144" s="1"/>
  <c r="S874" i="144"/>
  <c r="F874" i="144" s="1"/>
  <c r="S272" i="144"/>
  <c r="F272" i="144" s="1"/>
  <c r="S1990" i="144"/>
  <c r="F1990" i="144" s="1"/>
  <c r="S2005" i="144"/>
  <c r="F2005" i="144" s="1"/>
  <c r="S871" i="144"/>
  <c r="F871" i="144" s="1"/>
  <c r="S582" i="144"/>
  <c r="F582" i="144" s="1"/>
  <c r="S1197" i="144"/>
  <c r="F1197" i="144" s="1"/>
  <c r="S1399" i="144"/>
  <c r="F1399" i="144" s="1"/>
  <c r="S2016" i="144"/>
  <c r="F2016" i="144" s="1"/>
  <c r="S2244" i="144"/>
  <c r="F2244" i="144" s="1"/>
  <c r="S1765" i="144"/>
  <c r="F1765" i="144" s="1"/>
  <c r="S2150" i="144"/>
  <c r="F2150" i="144" s="1"/>
  <c r="S2026" i="144"/>
  <c r="F2026" i="144" s="1"/>
  <c r="S1171" i="144"/>
  <c r="F1171" i="144" s="1"/>
  <c r="S1778" i="144"/>
  <c r="F1778" i="144" s="1"/>
  <c r="S609" i="144"/>
  <c r="F609" i="144" s="1"/>
  <c r="S68" i="144"/>
  <c r="F68" i="144" s="1"/>
  <c r="S679" i="144"/>
  <c r="F679" i="144" s="1"/>
  <c r="S1985" i="144"/>
  <c r="F1985" i="144" s="1"/>
  <c r="S2000" i="144"/>
  <c r="F2000" i="144" s="1"/>
  <c r="S2090" i="144"/>
  <c r="F2090" i="144" s="1"/>
  <c r="S1986" i="144"/>
  <c r="F1986" i="144" s="1"/>
  <c r="S1288" i="144"/>
  <c r="F1288" i="144" s="1"/>
  <c r="S178" i="144"/>
  <c r="F178" i="144" s="1"/>
  <c r="S461" i="144"/>
  <c r="F461" i="144" s="1"/>
  <c r="S600" i="144"/>
  <c r="F600" i="144" s="1"/>
  <c r="S1007" i="144"/>
  <c r="F1007" i="144" s="1"/>
  <c r="S1383" i="144"/>
  <c r="F1383" i="144" s="1"/>
  <c r="S1530" i="144"/>
  <c r="F1530" i="144" s="1"/>
  <c r="S1838" i="144"/>
  <c r="F1838" i="144" s="1"/>
  <c r="S2134" i="144"/>
  <c r="F2134" i="144" s="1"/>
  <c r="S2228" i="144"/>
  <c r="F2228" i="144" s="1"/>
  <c r="S644" i="144"/>
  <c r="F644" i="144" s="1"/>
  <c r="S431" i="144"/>
  <c r="F431" i="144" s="1"/>
  <c r="S1249" i="144"/>
  <c r="F1249" i="144" s="1"/>
  <c r="S1734" i="144"/>
  <c r="F1734" i="144" s="1"/>
  <c r="S817" i="144"/>
  <c r="F817" i="144" s="1"/>
  <c r="S622" i="144"/>
  <c r="F622" i="144" s="1"/>
  <c r="S1922" i="144"/>
  <c r="F1922" i="144" s="1"/>
  <c r="S98" i="144"/>
  <c r="F98" i="144" s="1"/>
  <c r="S633" i="144"/>
  <c r="F633" i="144" s="1"/>
  <c r="S195" i="144"/>
  <c r="F195" i="144" s="1"/>
  <c r="S2006" i="144"/>
  <c r="F2006" i="144" s="1"/>
  <c r="S1995" i="144"/>
  <c r="F1995" i="144" s="1"/>
  <c r="S551" i="144"/>
  <c r="F551" i="144" s="1"/>
  <c r="S1126" i="144"/>
  <c r="F1126" i="144" s="1"/>
  <c r="S1911" i="144"/>
  <c r="F1911" i="144" s="1"/>
  <c r="S557" i="144"/>
  <c r="F557" i="144" s="1"/>
  <c r="S813" i="144"/>
  <c r="F813" i="144" s="1"/>
  <c r="S1404" i="144"/>
  <c r="F1404" i="144" s="1"/>
  <c r="S1587" i="144"/>
  <c r="F1587" i="144" s="1"/>
  <c r="S562" i="144"/>
  <c r="F562" i="144" s="1"/>
  <c r="S1503" i="144"/>
  <c r="F1503" i="144" s="1"/>
  <c r="S1554" i="144"/>
  <c r="F1554" i="144" s="1"/>
  <c r="S1662" i="144"/>
  <c r="F1662" i="144" s="1"/>
  <c r="S2010" i="144"/>
  <c r="F2010" i="144" s="1"/>
  <c r="S212" i="144"/>
  <c r="F212" i="144" s="1"/>
  <c r="S365" i="144"/>
  <c r="F365" i="144" s="1"/>
  <c r="S781" i="144"/>
  <c r="F781" i="144" s="1"/>
  <c r="S1672" i="144"/>
  <c r="F1672" i="144" s="1"/>
  <c r="S2287" i="144"/>
  <c r="F2287" i="144" s="1"/>
  <c r="S696" i="144"/>
  <c r="F696" i="144" s="1"/>
  <c r="S2027" i="144"/>
  <c r="F2027" i="144" s="1"/>
  <c r="M153" i="71"/>
  <c r="J153" i="71"/>
  <c r="F8" i="106"/>
  <c r="E298" i="202"/>
  <c r="E294" i="202" s="1"/>
  <c r="J556" i="56"/>
  <c r="J538" i="56"/>
  <c r="J415" i="75"/>
  <c r="AR158" i="71"/>
  <c r="AR154" i="71"/>
  <c r="AR144" i="71"/>
  <c r="AR108" i="71"/>
  <c r="AR80" i="71"/>
  <c r="J177" i="149"/>
  <c r="L154" i="146" s="1"/>
  <c r="I177" i="149"/>
  <c r="K154" i="146" s="1"/>
  <c r="H177" i="149"/>
  <c r="B46" i="174"/>
  <c r="I46" i="174" s="1"/>
  <c r="AR152" i="71"/>
  <c r="AR143" i="71"/>
  <c r="AR122" i="71"/>
  <c r="O156" i="1"/>
  <c r="P156" i="1"/>
  <c r="E156" i="1" s="1"/>
  <c r="F287" i="75" s="1"/>
  <c r="J329" i="56"/>
  <c r="J142" i="56"/>
  <c r="J138" i="56"/>
  <c r="J91" i="56"/>
  <c r="O357" i="187"/>
  <c r="Q354" i="75" s="1"/>
  <c r="F10" i="175"/>
  <c r="J100" i="149"/>
  <c r="L88" i="146" s="1"/>
  <c r="H100" i="149"/>
  <c r="I100" i="149"/>
  <c r="K88" i="146" s="1"/>
  <c r="H109" i="149"/>
  <c r="F109" i="149"/>
  <c r="E97" i="146" s="1"/>
  <c r="J109" i="149"/>
  <c r="L97" i="146" s="1"/>
  <c r="I109" i="149"/>
  <c r="K97" i="146" s="1"/>
  <c r="I224" i="149"/>
  <c r="K197" i="146" s="1"/>
  <c r="H224" i="149"/>
  <c r="F175" i="149"/>
  <c r="E153" i="146" s="1"/>
  <c r="AS156" i="71"/>
  <c r="AS151" i="71"/>
  <c r="AR146" i="71"/>
  <c r="AQ142" i="71"/>
  <c r="O95" i="1"/>
  <c r="P92" i="1"/>
  <c r="E92" i="1" s="1"/>
  <c r="O92" i="1"/>
  <c r="P168" i="1"/>
  <c r="E168" i="1" s="1"/>
  <c r="F361" i="75" s="1"/>
  <c r="O168" i="1"/>
  <c r="I175" i="149"/>
  <c r="K153" i="146" s="1"/>
  <c r="I105" i="149"/>
  <c r="K92" i="146" s="1"/>
  <c r="H105" i="149"/>
  <c r="F45" i="175"/>
  <c r="J44" i="149"/>
  <c r="L42" i="146" s="1"/>
  <c r="I44" i="149"/>
  <c r="K42" i="146" s="1"/>
  <c r="AS37" i="71"/>
  <c r="AQ37" i="71"/>
  <c r="AR37" i="71"/>
  <c r="AS27" i="71"/>
  <c r="AQ27" i="71"/>
  <c r="AR43" i="71"/>
  <c r="AQ43" i="71"/>
  <c r="AS43" i="71"/>
  <c r="AR14" i="71"/>
  <c r="AQ14" i="71"/>
  <c r="AQ13" i="71"/>
  <c r="AR13" i="71"/>
  <c r="AQ20" i="71"/>
  <c r="AR20" i="71"/>
  <c r="AQ104" i="71"/>
  <c r="AR71" i="71"/>
  <c r="AQ71" i="71"/>
  <c r="AS71" i="71"/>
  <c r="AQ68" i="71"/>
  <c r="AR68" i="71"/>
  <c r="AS31" i="71"/>
  <c r="AR31" i="71"/>
  <c r="AQ31" i="71"/>
  <c r="AQ78" i="71"/>
  <c r="AS78" i="71"/>
  <c r="AR78" i="71"/>
  <c r="AR84" i="71"/>
  <c r="AS84" i="71"/>
  <c r="P139" i="71"/>
  <c r="J139" i="71"/>
  <c r="AR139" i="71"/>
  <c r="AQ139" i="71"/>
  <c r="M139" i="71"/>
  <c r="AR24" i="71"/>
  <c r="AQ24" i="71"/>
  <c r="AS95" i="71"/>
  <c r="AQ95" i="71"/>
  <c r="AS96" i="71"/>
  <c r="AR96" i="71"/>
  <c r="AR127" i="71"/>
  <c r="AQ127" i="71"/>
  <c r="AR79" i="71"/>
  <c r="AQ79" i="71"/>
  <c r="AS79" i="71"/>
  <c r="AR86" i="71"/>
  <c r="AS86" i="71"/>
  <c r="AQ129" i="71"/>
  <c r="AS129" i="71"/>
  <c r="AR129" i="71"/>
  <c r="AR23" i="71"/>
  <c r="AS23" i="71"/>
  <c r="AQ23" i="71"/>
  <c r="AR137" i="71"/>
  <c r="AS137" i="71"/>
  <c r="AS126" i="71"/>
  <c r="AR126" i="71"/>
  <c r="AQ81" i="71"/>
  <c r="P81" i="71"/>
  <c r="Z51" i="71"/>
  <c r="O464" i="187"/>
  <c r="Z52" i="71" s="1"/>
  <c r="AQ119" i="71"/>
  <c r="AS119" i="71"/>
  <c r="H22" i="170"/>
  <c r="F1891" i="144"/>
  <c r="H16" i="170"/>
  <c r="F1893" i="144"/>
  <c r="H12" i="170"/>
  <c r="F744" i="144"/>
  <c r="AR26" i="71"/>
  <c r="AS26" i="71"/>
  <c r="I7" i="144"/>
  <c r="F251" i="144"/>
  <c r="F1890" i="144"/>
  <c r="F1889" i="144"/>
  <c r="F1886" i="144"/>
  <c r="F1894" i="144"/>
  <c r="H14" i="170"/>
  <c r="F1888" i="144"/>
  <c r="O97" i="101"/>
  <c r="AS145" i="71"/>
  <c r="AS161" i="71"/>
  <c r="AR161" i="71"/>
  <c r="AS148" i="71"/>
  <c r="AR148" i="71"/>
  <c r="AS112" i="71"/>
  <c r="AQ112" i="71"/>
  <c r="AR112" i="71"/>
  <c r="AQ102" i="71"/>
  <c r="AS102" i="71"/>
  <c r="AR102" i="71"/>
  <c r="H10" i="170"/>
  <c r="F1176" i="144"/>
  <c r="H13" i="170"/>
  <c r="F1895" i="144"/>
  <c r="AR155" i="71"/>
  <c r="AS155" i="71"/>
  <c r="AQ150" i="71"/>
  <c r="AR150" i="71"/>
  <c r="AS150" i="71"/>
  <c r="J150" i="71"/>
  <c r="J147" i="71"/>
  <c r="S147" i="71" s="1"/>
  <c r="AR147" i="71"/>
  <c r="AQ141" i="71"/>
  <c r="AS141" i="71"/>
  <c r="AQ133" i="71"/>
  <c r="AS133" i="71"/>
  <c r="AR109" i="71"/>
  <c r="AQ109" i="71"/>
  <c r="H34" i="144"/>
  <c r="H60" i="144"/>
  <c r="H71" i="144"/>
  <c r="H97" i="144"/>
  <c r="H143" i="144"/>
  <c r="H191" i="144"/>
  <c r="H287" i="144"/>
  <c r="H296" i="144"/>
  <c r="H346" i="144"/>
  <c r="H348" i="144"/>
  <c r="H364" i="144"/>
  <c r="H449" i="144"/>
  <c r="H463" i="144"/>
  <c r="H498" i="144"/>
  <c r="H646" i="144"/>
  <c r="H656" i="144"/>
  <c r="H838" i="144"/>
  <c r="H842" i="144"/>
  <c r="H864" i="144"/>
  <c r="H866" i="144"/>
  <c r="H925" i="144"/>
  <c r="H1130" i="144"/>
  <c r="H1140" i="144"/>
  <c r="H1174" i="144"/>
  <c r="H1316" i="144"/>
  <c r="H1332" i="144"/>
  <c r="H1385" i="144"/>
  <c r="H1418" i="144"/>
  <c r="H1620" i="144"/>
  <c r="H1701" i="144"/>
  <c r="H1703" i="144"/>
  <c r="H1718" i="144"/>
  <c r="H1755" i="144"/>
  <c r="H1771" i="144"/>
  <c r="H1814" i="144"/>
  <c r="H1840" i="144"/>
  <c r="H1841" i="144"/>
  <c r="H1959" i="144"/>
  <c r="H1960" i="144"/>
  <c r="H1973" i="144"/>
  <c r="H1983" i="144"/>
  <c r="H2138" i="144"/>
  <c r="H2155" i="144"/>
  <c r="H2227" i="144"/>
  <c r="H2274" i="144"/>
  <c r="H2321" i="144"/>
  <c r="S60" i="144"/>
  <c r="F60" i="144" s="1"/>
  <c r="S71" i="144"/>
  <c r="F71" i="144" s="1"/>
  <c r="S97" i="144"/>
  <c r="F97" i="144" s="1"/>
  <c r="S143" i="144"/>
  <c r="F143" i="144" s="1"/>
  <c r="S191" i="144"/>
  <c r="F191" i="144" s="1"/>
  <c r="S287" i="144"/>
  <c r="F287" i="144" s="1"/>
  <c r="S296" i="144"/>
  <c r="F296" i="144" s="1"/>
  <c r="S346" i="144"/>
  <c r="F346" i="144" s="1"/>
  <c r="S348" i="144"/>
  <c r="F348" i="144" s="1"/>
  <c r="S449" i="144"/>
  <c r="F449" i="144" s="1"/>
  <c r="S498" i="144"/>
  <c r="F498" i="144" s="1"/>
  <c r="S656" i="144"/>
  <c r="F656" i="144" s="1"/>
  <c r="S842" i="144"/>
  <c r="F842" i="144" s="1"/>
  <c r="S866" i="144"/>
  <c r="F866" i="144" s="1"/>
  <c r="S1130" i="144"/>
  <c r="F1130" i="144" s="1"/>
  <c r="S1174" i="144"/>
  <c r="F1174" i="144" s="1"/>
  <c r="S1332" i="144"/>
  <c r="F1332" i="144" s="1"/>
  <c r="S1418" i="144"/>
  <c r="F1418" i="144" s="1"/>
  <c r="S1701" i="144"/>
  <c r="F1701" i="144" s="1"/>
  <c r="S1718" i="144"/>
  <c r="F1718" i="144" s="1"/>
  <c r="S1771" i="144"/>
  <c r="F1771" i="144" s="1"/>
  <c r="S1840" i="144"/>
  <c r="F1840" i="144" s="1"/>
  <c r="S1959" i="144"/>
  <c r="F1959" i="144" s="1"/>
  <c r="S1973" i="144"/>
  <c r="F1973" i="144" s="1"/>
  <c r="S2138" i="144"/>
  <c r="F2138" i="144" s="1"/>
  <c r="S2227" i="144"/>
  <c r="F2227" i="144" s="1"/>
  <c r="S2321" i="144"/>
  <c r="F2321" i="144" s="1"/>
  <c r="S364" i="144"/>
  <c r="F364" i="144" s="1"/>
  <c r="S463" i="144"/>
  <c r="F463" i="144" s="1"/>
  <c r="S646" i="144"/>
  <c r="F646" i="144" s="1"/>
  <c r="S838" i="144"/>
  <c r="F838" i="144" s="1"/>
  <c r="S864" i="144"/>
  <c r="F864" i="144" s="1"/>
  <c r="S925" i="144"/>
  <c r="F925" i="144" s="1"/>
  <c r="S1140" i="144"/>
  <c r="F1140" i="144" s="1"/>
  <c r="S1316" i="144"/>
  <c r="F1316" i="144" s="1"/>
  <c r="S1385" i="144"/>
  <c r="F1385" i="144" s="1"/>
  <c r="S1620" i="144"/>
  <c r="F1620" i="144" s="1"/>
  <c r="S1703" i="144"/>
  <c r="F1703" i="144" s="1"/>
  <c r="S1755" i="144"/>
  <c r="F1755" i="144" s="1"/>
  <c r="S1814" i="144"/>
  <c r="F1814" i="144" s="1"/>
  <c r="S1841" i="144"/>
  <c r="F1841" i="144" s="1"/>
  <c r="S1960" i="144"/>
  <c r="F1960" i="144" s="1"/>
  <c r="S1983" i="144"/>
  <c r="F1983" i="144" s="1"/>
  <c r="S2155" i="144"/>
  <c r="F2155" i="144" s="1"/>
  <c r="S2274" i="144"/>
  <c r="F2274" i="144" s="1"/>
  <c r="K11" i="170"/>
  <c r="O32" i="187"/>
  <c r="AS130" i="71"/>
  <c r="E25" i="100"/>
  <c r="F25" i="100" s="1"/>
  <c r="G25" i="100" s="1"/>
  <c r="J9" i="56"/>
  <c r="J385" i="56"/>
  <c r="J205" i="56"/>
  <c r="G34" i="144"/>
  <c r="G60" i="144"/>
  <c r="G71" i="144"/>
  <c r="G97" i="144"/>
  <c r="G143" i="144"/>
  <c r="G191" i="144"/>
  <c r="G287" i="144"/>
  <c r="G296" i="144"/>
  <c r="G346" i="144"/>
  <c r="G348" i="144"/>
  <c r="G364" i="144"/>
  <c r="G449" i="144"/>
  <c r="G463" i="144"/>
  <c r="G498" i="144"/>
  <c r="G646" i="144"/>
  <c r="G656" i="144"/>
  <c r="G838" i="144"/>
  <c r="G842" i="144"/>
  <c r="G864" i="144"/>
  <c r="G866" i="144"/>
  <c r="G925" i="144"/>
  <c r="G1130" i="144"/>
  <c r="G1140" i="144"/>
  <c r="G1174" i="144"/>
  <c r="G1316" i="144"/>
  <c r="G1332" i="144"/>
  <c r="G1385" i="144"/>
  <c r="G1418" i="144"/>
  <c r="G1620" i="144"/>
  <c r="G1701" i="144"/>
  <c r="G1703" i="144"/>
  <c r="G1718" i="144"/>
  <c r="G1755" i="144"/>
  <c r="G1771" i="144"/>
  <c r="G1814" i="144"/>
  <c r="G1840" i="144"/>
  <c r="G1841" i="144"/>
  <c r="G1959" i="144"/>
  <c r="G1960" i="144"/>
  <c r="G1973" i="144"/>
  <c r="G1983" i="144"/>
  <c r="G2138" i="144"/>
  <c r="G2155" i="144"/>
  <c r="G2227" i="144"/>
  <c r="G2274" i="144"/>
  <c r="G2321" i="144"/>
  <c r="S213" i="144"/>
  <c r="S628" i="144"/>
  <c r="F628" i="144" s="1"/>
  <c r="S1897" i="144"/>
  <c r="S565" i="144"/>
  <c r="F565" i="144" s="1"/>
  <c r="S250" i="144"/>
  <c r="S1630" i="144"/>
  <c r="F1630" i="144" s="1"/>
  <c r="K20" i="170"/>
  <c r="K17" i="170"/>
  <c r="C37" i="170"/>
  <c r="O79" i="1"/>
  <c r="O119" i="1"/>
  <c r="O9" i="1"/>
  <c r="H98" i="149"/>
  <c r="I98" i="149"/>
  <c r="K86" i="146" s="1"/>
  <c r="H178" i="149"/>
  <c r="J178" i="149"/>
  <c r="L155" i="146" s="1"/>
  <c r="J224" i="149"/>
  <c r="L197" i="146" s="1"/>
  <c r="I41" i="174"/>
  <c r="K41" i="175" s="1"/>
  <c r="S155" i="71" l="1"/>
  <c r="I23" i="125"/>
  <c r="J43" i="125"/>
  <c r="H161" i="1"/>
  <c r="J257" i="144"/>
  <c r="H54" i="1"/>
  <c r="H13" i="124"/>
  <c r="H28" i="1"/>
  <c r="H68" i="1"/>
  <c r="H12" i="1"/>
  <c r="T1558" i="144"/>
  <c r="H41" i="124"/>
  <c r="H45" i="124"/>
  <c r="H10" i="124"/>
  <c r="B3" i="26" s="1"/>
  <c r="B5" i="26" s="1"/>
  <c r="A36" i="26" s="1"/>
  <c r="J153" i="146"/>
  <c r="H116" i="1"/>
  <c r="H48" i="1"/>
  <c r="H55" i="124"/>
  <c r="H23" i="1"/>
  <c r="H169" i="1"/>
  <c r="H8" i="124"/>
  <c r="H20" i="124"/>
  <c r="H15" i="124"/>
  <c r="H48" i="124"/>
  <c r="H34" i="124"/>
  <c r="H66" i="1"/>
  <c r="H40" i="124"/>
  <c r="H22" i="124"/>
  <c r="H26" i="124"/>
  <c r="H12" i="124"/>
  <c r="H57" i="124"/>
  <c r="H47" i="124"/>
  <c r="H28" i="124"/>
  <c r="I42" i="125"/>
  <c r="J48" i="144"/>
  <c r="J834" i="144"/>
  <c r="J1416" i="144"/>
  <c r="I1498" i="144"/>
  <c r="T353" i="144"/>
  <c r="I548" i="144"/>
  <c r="I507" i="144"/>
  <c r="I1260" i="144"/>
  <c r="I453" i="144"/>
  <c r="J694" i="144"/>
  <c r="I321" i="144"/>
  <c r="I767" i="144"/>
  <c r="I1609" i="144"/>
  <c r="J46" i="125"/>
  <c r="H33" i="124"/>
  <c r="J1627" i="144"/>
  <c r="T1113" i="144"/>
  <c r="R137" i="1"/>
  <c r="J17" i="125"/>
  <c r="J38" i="125"/>
  <c r="I33" i="125"/>
  <c r="J51" i="125"/>
  <c r="F196" i="75"/>
  <c r="I196" i="75" s="1"/>
  <c r="J1469" i="144"/>
  <c r="I2062" i="144"/>
  <c r="T1157" i="144"/>
  <c r="T552" i="144"/>
  <c r="I14" i="125"/>
  <c r="H35" i="124"/>
  <c r="H23" i="124"/>
  <c r="I36" i="125"/>
  <c r="I1143" i="144"/>
  <c r="F208" i="75"/>
  <c r="J208" i="75" s="1"/>
  <c r="I1955" i="144"/>
  <c r="H31" i="124"/>
  <c r="H24" i="124"/>
  <c r="S167" i="71"/>
  <c r="J57" i="125"/>
  <c r="J1364" i="144"/>
  <c r="T919" i="144"/>
  <c r="I1494" i="144"/>
  <c r="T1324" i="144"/>
  <c r="T1188" i="144"/>
  <c r="T249" i="144"/>
  <c r="I1021" i="144"/>
  <c r="I233" i="144"/>
  <c r="T382" i="144"/>
  <c r="J323" i="144"/>
  <c r="R170" i="1"/>
  <c r="I1133" i="144"/>
  <c r="J1968" i="144"/>
  <c r="J1801" i="144"/>
  <c r="J1443" i="144"/>
  <c r="J1175" i="144"/>
  <c r="T163" i="144"/>
  <c r="T79" i="144"/>
  <c r="J283" i="144"/>
  <c r="T2013" i="144"/>
  <c r="T1077" i="144"/>
  <c r="J1791" i="144"/>
  <c r="T231" i="144"/>
  <c r="T779" i="144"/>
  <c r="J1191" i="144"/>
  <c r="J54" i="125"/>
  <c r="I44" i="125"/>
  <c r="T1716" i="144"/>
  <c r="T698" i="144"/>
  <c r="I1374" i="144"/>
  <c r="I1467" i="144"/>
  <c r="T1024" i="144"/>
  <c r="J1616" i="144"/>
  <c r="I933" i="144"/>
  <c r="J920" i="144"/>
  <c r="R78" i="1"/>
  <c r="H37" i="124"/>
  <c r="T549" i="144"/>
  <c r="T1392" i="144"/>
  <c r="T728" i="144"/>
  <c r="I25" i="144"/>
  <c r="T398" i="144"/>
  <c r="J1639" i="144"/>
  <c r="J196" i="144"/>
  <c r="J1409" i="144"/>
  <c r="J1109" i="144"/>
  <c r="J379" i="144"/>
  <c r="T1459" i="144"/>
  <c r="T1562" i="144"/>
  <c r="T1720" i="144"/>
  <c r="I55" i="125"/>
  <c r="J343" i="144"/>
  <c r="T597" i="144"/>
  <c r="I311" i="144"/>
  <c r="I1225" i="144"/>
  <c r="I391" i="144"/>
  <c r="J1051" i="144"/>
  <c r="J2070" i="144"/>
  <c r="J640" i="144"/>
  <c r="T865" i="144"/>
  <c r="I1112" i="144"/>
  <c r="T706" i="144"/>
  <c r="T1839" i="144"/>
  <c r="T19" i="144"/>
  <c r="I996" i="144"/>
  <c r="T545" i="144"/>
  <c r="J1211" i="144"/>
  <c r="I1346" i="144"/>
  <c r="J946" i="144"/>
  <c r="T624" i="144"/>
  <c r="I1352" i="144"/>
  <c r="T116" i="144"/>
  <c r="J103" i="144"/>
  <c r="I81" i="144"/>
  <c r="I17" i="144"/>
  <c r="T361" i="144"/>
  <c r="I132" i="75"/>
  <c r="B7" i="27"/>
  <c r="A39" i="27" s="1"/>
  <c r="I228" i="144"/>
  <c r="T1484" i="144"/>
  <c r="T1730" i="144"/>
  <c r="T1880" i="144"/>
  <c r="J1183" i="144"/>
  <c r="I771" i="144"/>
  <c r="T1812" i="144"/>
  <c r="I1064" i="144"/>
  <c r="S171" i="71"/>
  <c r="H32" i="124"/>
  <c r="T715" i="144"/>
  <c r="I2060" i="144"/>
  <c r="J815" i="144"/>
  <c r="T746" i="144"/>
  <c r="T128" i="144"/>
  <c r="J1159" i="144"/>
  <c r="J310" i="144"/>
  <c r="T1022" i="144"/>
  <c r="I719" i="144"/>
  <c r="J620" i="144"/>
  <c r="T482" i="144"/>
  <c r="T1215" i="144"/>
  <c r="J1789" i="144"/>
  <c r="H98" i="1"/>
  <c r="I973" i="144"/>
  <c r="I113" i="75"/>
  <c r="J32" i="125"/>
  <c r="T1259" i="144"/>
  <c r="T422" i="144"/>
  <c r="T747" i="144"/>
  <c r="T1353" i="144"/>
  <c r="T776" i="144"/>
  <c r="T291" i="144"/>
  <c r="S166" i="71"/>
  <c r="J1066" i="144"/>
  <c r="T611" i="144"/>
  <c r="J924" i="144"/>
  <c r="J77" i="144"/>
  <c r="I1583" i="144"/>
  <c r="I808" i="144"/>
  <c r="I1128" i="144"/>
  <c r="J1340" i="144"/>
  <c r="T1285" i="144"/>
  <c r="J713" i="144"/>
  <c r="J427" i="144"/>
  <c r="J1294" i="144"/>
  <c r="I1232" i="144"/>
  <c r="I1279" i="144"/>
  <c r="T1698" i="144"/>
  <c r="R142" i="1"/>
  <c r="T1492" i="144"/>
  <c r="T1263" i="144"/>
  <c r="I1871" i="144"/>
  <c r="T1822" i="144"/>
  <c r="F249" i="75"/>
  <c r="J249" i="75" s="1"/>
  <c r="L22" i="64"/>
  <c r="J81" i="144"/>
  <c r="T868" i="144"/>
  <c r="S154" i="71"/>
  <c r="I1800" i="144"/>
  <c r="R180" i="1"/>
  <c r="J1666" i="144"/>
  <c r="H25" i="124"/>
  <c r="F211" i="75"/>
  <c r="I211" i="75" s="1"/>
  <c r="H33" i="1"/>
  <c r="J328" i="75"/>
  <c r="H72" i="1"/>
  <c r="R96" i="1"/>
  <c r="T937" i="144"/>
  <c r="I1919" i="144"/>
  <c r="T1306" i="144"/>
  <c r="I2008" i="144"/>
  <c r="H14" i="1"/>
  <c r="I30" i="125"/>
  <c r="T629" i="144"/>
  <c r="T1226" i="144"/>
  <c r="T1722" i="144"/>
  <c r="I216" i="144"/>
  <c r="T1826" i="144"/>
  <c r="I1124" i="144"/>
  <c r="T1200" i="144"/>
  <c r="I627" i="144"/>
  <c r="J867" i="144"/>
  <c r="J2180" i="144"/>
  <c r="J642" i="144"/>
  <c r="J2122" i="144"/>
  <c r="T380" i="144"/>
  <c r="I289" i="144"/>
  <c r="I735" i="144"/>
  <c r="I786" i="144"/>
  <c r="I1028" i="144"/>
  <c r="T617" i="144"/>
  <c r="J686" i="144"/>
  <c r="T1302" i="144"/>
  <c r="J1865" i="144"/>
  <c r="J139" i="144"/>
  <c r="I2293" i="144"/>
  <c r="H46" i="1"/>
  <c r="I1899" i="144"/>
  <c r="J1212" i="144"/>
  <c r="J131" i="144"/>
  <c r="H36" i="124"/>
  <c r="I1341" i="144"/>
  <c r="T953" i="144"/>
  <c r="J599" i="144"/>
  <c r="T72" i="144"/>
  <c r="J1872" i="144"/>
  <c r="T1350" i="144"/>
  <c r="T965" i="144"/>
  <c r="I340" i="144"/>
  <c r="T1529" i="144"/>
  <c r="J917" i="144"/>
  <c r="J1016" i="144"/>
  <c r="T1877" i="144"/>
  <c r="I665" i="144"/>
  <c r="I467" i="144"/>
  <c r="T1222" i="144"/>
  <c r="S83" i="71"/>
  <c r="T411" i="144"/>
  <c r="T437" i="144"/>
  <c r="J1643" i="144"/>
  <c r="I1338" i="144"/>
  <c r="T685" i="144"/>
  <c r="T1054" i="144"/>
  <c r="T1966" i="144"/>
  <c r="I523" i="144"/>
  <c r="H18" i="124"/>
  <c r="I372" i="144"/>
  <c r="J1921" i="144"/>
  <c r="J1655" i="144"/>
  <c r="T889" i="144"/>
  <c r="I1048" i="144"/>
  <c r="I221" i="144"/>
  <c r="T338" i="144"/>
  <c r="I386" i="144"/>
  <c r="I1946" i="144"/>
  <c r="I84" i="144"/>
  <c r="I74" i="144"/>
  <c r="J465" i="144"/>
  <c r="T257" i="144"/>
  <c r="J203" i="144"/>
  <c r="S148" i="71"/>
  <c r="T381" i="144"/>
  <c r="T1146" i="144"/>
  <c r="S170" i="71"/>
  <c r="J1463" i="144"/>
  <c r="J832" i="144"/>
  <c r="T1475" i="144"/>
  <c r="I904" i="144"/>
  <c r="I787" i="144"/>
  <c r="J1187" i="144"/>
  <c r="T1118" i="144"/>
  <c r="T2055" i="144"/>
  <c r="T1431" i="144"/>
  <c r="T1644" i="144"/>
  <c r="T54" i="144"/>
  <c r="T677" i="144"/>
  <c r="T1062" i="144"/>
  <c r="I1083" i="144"/>
  <c r="J918" i="144"/>
  <c r="T621" i="144"/>
  <c r="J1715" i="144"/>
  <c r="I424" i="144"/>
  <c r="J1250" i="144"/>
  <c r="I28" i="125"/>
  <c r="T472" i="144"/>
  <c r="J836" i="144"/>
  <c r="J292" i="144"/>
  <c r="T945" i="144"/>
  <c r="I1632" i="144"/>
  <c r="T1151" i="144"/>
  <c r="T1585" i="144"/>
  <c r="T916" i="144"/>
  <c r="J1580" i="144"/>
  <c r="T1513" i="144"/>
  <c r="T2041" i="144"/>
  <c r="S8" i="71"/>
  <c r="I1239" i="144"/>
  <c r="T1543" i="144"/>
  <c r="R177" i="1"/>
  <c r="I49" i="125"/>
  <c r="I31" i="125"/>
  <c r="J92" i="75"/>
  <c r="K18" i="64"/>
  <c r="F23" i="75"/>
  <c r="J23" i="75" s="1"/>
  <c r="F369" i="75"/>
  <c r="J369" i="75" s="1"/>
  <c r="I1157" i="144"/>
  <c r="J406" i="144"/>
  <c r="T1512" i="144"/>
  <c r="J1099" i="144"/>
  <c r="J265" i="144"/>
  <c r="T2192" i="144"/>
  <c r="J8" i="28"/>
  <c r="J19" i="28" s="1"/>
  <c r="H138" i="1"/>
  <c r="F264" i="75"/>
  <c r="J264" i="75" s="1"/>
  <c r="J1232" i="144"/>
  <c r="L21" i="102"/>
  <c r="H29" i="1"/>
  <c r="R68" i="1"/>
  <c r="H7" i="1"/>
  <c r="J19" i="125"/>
  <c r="H44" i="124"/>
  <c r="F294" i="75"/>
  <c r="I294" i="75" s="1"/>
  <c r="H139" i="1"/>
  <c r="R145" i="1"/>
  <c r="R80" i="1"/>
  <c r="M18" i="64"/>
  <c r="H140" i="1"/>
  <c r="H110" i="1"/>
  <c r="T109" i="144"/>
  <c r="I1843" i="144"/>
  <c r="I928" i="144"/>
  <c r="I514" i="144"/>
  <c r="R171" i="1"/>
  <c r="J1032" i="144"/>
  <c r="I1591" i="144"/>
  <c r="T873" i="144"/>
  <c r="J1714" i="144"/>
  <c r="H38" i="124"/>
  <c r="J1958" i="144"/>
  <c r="H143" i="1"/>
  <c r="S158" i="71"/>
  <c r="J19" i="101"/>
  <c r="J269" i="144"/>
  <c r="I19" i="101"/>
  <c r="I7" i="125"/>
  <c r="C4" i="26" s="1"/>
  <c r="E4" i="26" s="1"/>
  <c r="J13" i="125"/>
  <c r="H39" i="124"/>
  <c r="J56" i="125"/>
  <c r="I1643" i="144"/>
  <c r="I2186" i="144"/>
  <c r="H182" i="1"/>
  <c r="S146" i="71"/>
  <c r="I712" i="144"/>
  <c r="I1084" i="144"/>
  <c r="T1616" i="144"/>
  <c r="H27" i="124"/>
  <c r="H50" i="124"/>
  <c r="J40" i="125"/>
  <c r="I92" i="75"/>
  <c r="R182" i="1"/>
  <c r="T1391" i="144"/>
  <c r="T311" i="144"/>
  <c r="T1400" i="144"/>
  <c r="J311" i="144"/>
  <c r="T1005" i="144"/>
  <c r="I187" i="144"/>
  <c r="I10" i="125"/>
  <c r="S151" i="71"/>
  <c r="H46" i="124"/>
  <c r="H30" i="124"/>
  <c r="T1406" i="144"/>
  <c r="H9" i="124"/>
  <c r="J35" i="125"/>
  <c r="I22" i="125"/>
  <c r="S152" i="71"/>
  <c r="H54" i="124"/>
  <c r="S163" i="71"/>
  <c r="H17" i="124"/>
  <c r="H74" i="1"/>
  <c r="T240" i="144"/>
  <c r="F285" i="75"/>
  <c r="J285" i="75" s="1"/>
  <c r="J21" i="125"/>
  <c r="T1471" i="144"/>
  <c r="I320" i="144"/>
  <c r="T1836" i="144"/>
  <c r="I1515" i="144"/>
  <c r="H170" i="1"/>
  <c r="J1153" i="144"/>
  <c r="I39" i="125"/>
  <c r="I2231" i="144"/>
  <c r="F125" i="75"/>
  <c r="J125" i="75" s="1"/>
  <c r="I1592" i="144"/>
  <c r="T845" i="144"/>
  <c r="T274" i="144"/>
  <c r="T1000" i="144"/>
  <c r="I29" i="125"/>
  <c r="J1376" i="144"/>
  <c r="R60" i="1"/>
  <c r="F397" i="75"/>
  <c r="I397" i="75" s="1"/>
  <c r="H29" i="124"/>
  <c r="F296" i="75"/>
  <c r="I296" i="75" s="1"/>
  <c r="H90" i="1"/>
  <c r="I257" i="144"/>
  <c r="J1776" i="144"/>
  <c r="S168" i="71"/>
  <c r="F174" i="75"/>
  <c r="K52" i="101" s="1"/>
  <c r="I778" i="144"/>
  <c r="T81" i="144"/>
  <c r="H19" i="124"/>
  <c r="F337" i="75"/>
  <c r="M14" i="64" s="1"/>
  <c r="I327" i="75"/>
  <c r="S164" i="71"/>
  <c r="I1290" i="144"/>
  <c r="I1557" i="144"/>
  <c r="F172" i="75"/>
  <c r="I172" i="75" s="1"/>
  <c r="J8" i="170"/>
  <c r="F295" i="75"/>
  <c r="J68" i="101" s="1"/>
  <c r="M21" i="102"/>
  <c r="P21" i="102" s="1"/>
  <c r="J27" i="125"/>
  <c r="R37" i="1"/>
  <c r="J9" i="125"/>
  <c r="F298" i="75"/>
  <c r="J298" i="75" s="1"/>
  <c r="J1056" i="144"/>
  <c r="J975" i="144"/>
  <c r="T1635" i="144"/>
  <c r="T410" i="144"/>
  <c r="I1686" i="144"/>
  <c r="T1292" i="144"/>
  <c r="I1731" i="144"/>
  <c r="I218" i="146"/>
  <c r="J325" i="75"/>
  <c r="I682" i="144"/>
  <c r="I1149" i="144"/>
  <c r="I1637" i="144"/>
  <c r="I244" i="144"/>
  <c r="T1341" i="144"/>
  <c r="I153" i="146"/>
  <c r="H16" i="124"/>
  <c r="H118" i="1"/>
  <c r="J340" i="144"/>
  <c r="I1024" i="144"/>
  <c r="T1468" i="144"/>
  <c r="J1476" i="144"/>
  <c r="I733" i="144"/>
  <c r="T478" i="144"/>
  <c r="T477" i="144"/>
  <c r="T1553" i="144"/>
  <c r="T2075" i="144"/>
  <c r="J2059" i="144"/>
  <c r="I1623" i="144"/>
  <c r="T2051" i="144"/>
  <c r="J193" i="144"/>
  <c r="T2148" i="144"/>
  <c r="I2076" i="144"/>
  <c r="J2300" i="144"/>
  <c r="J2172" i="144"/>
  <c r="T2208" i="144"/>
  <c r="J21" i="102"/>
  <c r="F301" i="75"/>
  <c r="I301" i="75" s="1"/>
  <c r="H73" i="1"/>
  <c r="I48" i="125"/>
  <c r="S159" i="71"/>
  <c r="H11" i="124"/>
  <c r="J1387" i="144"/>
  <c r="I638" i="144"/>
  <c r="R74" i="1"/>
  <c r="R140" i="1"/>
  <c r="J1161" i="144"/>
  <c r="J24" i="125"/>
  <c r="I1395" i="144"/>
  <c r="T255" i="144"/>
  <c r="I1071" i="144"/>
  <c r="T1059" i="144"/>
  <c r="T1456" i="144"/>
  <c r="T1578" i="144"/>
  <c r="I1466" i="144"/>
  <c r="J261" i="144"/>
  <c r="T1038" i="144"/>
  <c r="I1823" i="144"/>
  <c r="J1098" i="144"/>
  <c r="T448" i="144"/>
  <c r="I1057" i="144"/>
  <c r="I882" i="144"/>
  <c r="T78" i="144"/>
  <c r="T1726" i="144"/>
  <c r="J2256" i="144"/>
  <c r="J2318" i="144"/>
  <c r="J2121" i="144"/>
  <c r="I2163" i="144"/>
  <c r="T2315" i="144"/>
  <c r="I2129" i="144"/>
  <c r="J2184" i="144"/>
  <c r="I2176" i="144"/>
  <c r="H21" i="124"/>
  <c r="I883" i="144"/>
  <c r="J1216" i="144"/>
  <c r="I2009" i="144"/>
  <c r="S138" i="71"/>
  <c r="I1417" i="144"/>
  <c r="S145" i="71"/>
  <c r="H96" i="1"/>
  <c r="H177" i="1"/>
  <c r="R118" i="1"/>
  <c r="J929" i="144"/>
  <c r="I114" i="144"/>
  <c r="R110" i="1"/>
  <c r="R130" i="1"/>
  <c r="S160" i="71"/>
  <c r="J1121" i="144"/>
  <c r="K18" i="101"/>
  <c r="I76" i="101"/>
  <c r="F126" i="75"/>
  <c r="H41" i="1"/>
  <c r="J1368" i="144"/>
  <c r="T1368" i="144"/>
  <c r="T114" i="144"/>
  <c r="T1216" i="144"/>
  <c r="J2009" i="144"/>
  <c r="J1523" i="144"/>
  <c r="T282" i="144"/>
  <c r="J1351" i="144"/>
  <c r="J1195" i="144"/>
  <c r="I1195" i="144"/>
  <c r="T1103" i="144"/>
  <c r="R12" i="1"/>
  <c r="R82" i="1"/>
  <c r="J1348" i="144"/>
  <c r="I1628" i="144"/>
  <c r="T944" i="144"/>
  <c r="T1567" i="144"/>
  <c r="T2065" i="144"/>
  <c r="I986" i="144"/>
  <c r="I970" i="144"/>
  <c r="T1252" i="144"/>
  <c r="T1408" i="144"/>
  <c r="T2045" i="144"/>
  <c r="I492" i="144"/>
  <c r="I1295" i="144"/>
  <c r="I308" i="144"/>
  <c r="J354" i="144"/>
  <c r="T2133" i="144"/>
  <c r="J34" i="125"/>
  <c r="H43" i="124"/>
  <c r="F265" i="75"/>
  <c r="I265" i="75" s="1"/>
  <c r="I25" i="125"/>
  <c r="J25" i="125"/>
  <c r="S81" i="71"/>
  <c r="R105" i="1"/>
  <c r="H105" i="1"/>
  <c r="F401" i="75"/>
  <c r="J401" i="75" s="1"/>
  <c r="F272" i="75"/>
  <c r="K66" i="101" s="1"/>
  <c r="F275" i="75"/>
  <c r="I275" i="75" s="1"/>
  <c r="H152" i="1"/>
  <c r="F280" i="75"/>
  <c r="I280" i="75" s="1"/>
  <c r="F67" i="75"/>
  <c r="H30" i="1"/>
  <c r="I107" i="144"/>
  <c r="R114" i="1"/>
  <c r="F227" i="75"/>
  <c r="I60" i="101" s="1"/>
  <c r="R88" i="1"/>
  <c r="R30" i="1"/>
  <c r="I41" i="125"/>
  <c r="H51" i="124"/>
  <c r="K14" i="64"/>
  <c r="N61" i="71"/>
  <c r="O61" i="71" s="1"/>
  <c r="N91" i="71"/>
  <c r="O91" i="71" s="1"/>
  <c r="N147" i="71"/>
  <c r="O147" i="71" s="1"/>
  <c r="J177" i="144"/>
  <c r="T1319" i="144"/>
  <c r="J619" i="144"/>
  <c r="I619" i="144"/>
  <c r="I1493" i="144"/>
  <c r="T1597" i="144"/>
  <c r="T433" i="144"/>
  <c r="T1695" i="144"/>
  <c r="T1251" i="144"/>
  <c r="H42" i="124"/>
  <c r="H43" i="1"/>
  <c r="I488" i="144"/>
  <c r="T782" i="144"/>
  <c r="I1679" i="144"/>
  <c r="T12" i="144"/>
  <c r="I1915" i="144"/>
  <c r="T1100" i="144"/>
  <c r="T1293" i="144"/>
  <c r="T439" i="144"/>
  <c r="J121" i="144"/>
  <c r="T121" i="144"/>
  <c r="I2047" i="144"/>
  <c r="T237" i="144"/>
  <c r="T1145" i="144"/>
  <c r="J1499" i="144"/>
  <c r="T499" i="144"/>
  <c r="H56" i="124"/>
  <c r="I149" i="75"/>
  <c r="J50" i="101"/>
  <c r="R41" i="1"/>
  <c r="J224" i="75"/>
  <c r="I224" i="75"/>
  <c r="F255" i="75"/>
  <c r="I255" i="75" s="1"/>
  <c r="F245" i="75"/>
  <c r="K61" i="101" s="1"/>
  <c r="F246" i="75"/>
  <c r="J246" i="75" s="1"/>
  <c r="H125" i="1"/>
  <c r="F315" i="75"/>
  <c r="I315" i="75" s="1"/>
  <c r="R125" i="1"/>
  <c r="J1239" i="144"/>
  <c r="R63" i="1"/>
  <c r="J18" i="101"/>
  <c r="J76" i="101"/>
  <c r="I50" i="101"/>
  <c r="F185" i="75"/>
  <c r="K56" i="101" s="1"/>
  <c r="J27" i="170"/>
  <c r="I59" i="144"/>
  <c r="J2003" i="144"/>
  <c r="I1411" i="144"/>
  <c r="T1579" i="144"/>
  <c r="I1012" i="144"/>
  <c r="T726" i="144"/>
  <c r="T1255" i="144"/>
  <c r="I27" i="144"/>
  <c r="J934" i="144"/>
  <c r="J21" i="144"/>
  <c r="T146" i="144"/>
  <c r="T198" i="144"/>
  <c r="T466" i="144"/>
  <c r="T568" i="144"/>
  <c r="T2093" i="144"/>
  <c r="F252" i="75"/>
  <c r="I252" i="75" s="1"/>
  <c r="F254" i="75"/>
  <c r="I254" i="75" s="1"/>
  <c r="F263" i="75"/>
  <c r="J263" i="75" s="1"/>
  <c r="H131" i="1"/>
  <c r="R131" i="1"/>
  <c r="N125" i="71"/>
  <c r="O125" i="71" s="1"/>
  <c r="J1300" i="144"/>
  <c r="J90" i="144"/>
  <c r="J900" i="144"/>
  <c r="I709" i="144"/>
  <c r="T1479" i="144"/>
  <c r="T509" i="144"/>
  <c r="T1707" i="144"/>
  <c r="I1550" i="144"/>
  <c r="J91" i="144"/>
  <c r="T1669" i="144"/>
  <c r="R128" i="1"/>
  <c r="R104" i="1"/>
  <c r="R7" i="1"/>
  <c r="R48" i="1"/>
  <c r="I2184" i="144"/>
  <c r="J464" i="144"/>
  <c r="T1158" i="144"/>
  <c r="I912" i="144"/>
  <c r="I516" i="144"/>
  <c r="T1072" i="144"/>
  <c r="T2009" i="144"/>
  <c r="T1369" i="144"/>
  <c r="J724" i="144"/>
  <c r="J1390" i="144"/>
  <c r="T531" i="144"/>
  <c r="I1216" i="144"/>
  <c r="T141" i="144"/>
  <c r="T1221" i="144"/>
  <c r="J114" i="144"/>
  <c r="T445" i="144"/>
  <c r="J785" i="144"/>
  <c r="T120" i="144"/>
  <c r="T494" i="144"/>
  <c r="J1240" i="144"/>
  <c r="T1297" i="144"/>
  <c r="T293" i="144"/>
  <c r="T1534" i="144"/>
  <c r="T2071" i="144"/>
  <c r="J28" i="170"/>
  <c r="H8" i="1"/>
  <c r="H179" i="1"/>
  <c r="R64" i="1"/>
  <c r="R46" i="1"/>
  <c r="H128" i="1"/>
  <c r="R121" i="1"/>
  <c r="T1271" i="144"/>
  <c r="T1018" i="144"/>
  <c r="J876" i="144"/>
  <c r="J111" i="144"/>
  <c r="I2282" i="144"/>
  <c r="T2145" i="144"/>
  <c r="J2305" i="144"/>
  <c r="I1410" i="144"/>
  <c r="I53" i="144"/>
  <c r="T1181" i="144"/>
  <c r="I689" i="144"/>
  <c r="J1446" i="144"/>
  <c r="T126" i="144"/>
  <c r="I1727" i="144"/>
  <c r="J1582" i="144"/>
  <c r="T1951" i="144"/>
  <c r="T127" i="144"/>
  <c r="J2084" i="144"/>
  <c r="T77" i="144"/>
  <c r="R139" i="1"/>
  <c r="T887" i="144"/>
  <c r="T883" i="144"/>
  <c r="I873" i="144"/>
  <c r="I106" i="144"/>
  <c r="T1460" i="144"/>
  <c r="J2074" i="144"/>
  <c r="J606" i="144"/>
  <c r="I607" i="144"/>
  <c r="J1204" i="144"/>
  <c r="T1055" i="144"/>
  <c r="I502" i="144"/>
  <c r="J1393" i="144"/>
  <c r="T1417" i="144"/>
  <c r="T804" i="144"/>
  <c r="I940" i="144"/>
  <c r="T2063" i="144"/>
  <c r="T1708" i="144"/>
  <c r="T1121" i="144"/>
  <c r="I186" i="144"/>
  <c r="J734" i="144"/>
  <c r="T1705" i="144"/>
  <c r="I872" i="144"/>
  <c r="I1229" i="144"/>
  <c r="T555" i="144"/>
  <c r="T578" i="144"/>
  <c r="I1155" i="144"/>
  <c r="T1796" i="144"/>
  <c r="T955" i="144"/>
  <c r="J1309" i="144"/>
  <c r="I935" i="144"/>
  <c r="J2024" i="144"/>
  <c r="J2015" i="144"/>
  <c r="H166" i="1"/>
  <c r="R117" i="1"/>
  <c r="T2184" i="144"/>
  <c r="C28" i="169"/>
  <c r="I828" i="144"/>
  <c r="K27" i="101"/>
  <c r="T514" i="144"/>
  <c r="T1643" i="144"/>
  <c r="H121" i="1"/>
  <c r="I253" i="75"/>
  <c r="J786" i="144"/>
  <c r="I947" i="144"/>
  <c r="T2211" i="144"/>
  <c r="H171" i="1"/>
  <c r="R14" i="1"/>
  <c r="T1991" i="144"/>
  <c r="T798" i="144"/>
  <c r="F351" i="75"/>
  <c r="I351" i="75" s="1"/>
  <c r="T2314" i="144"/>
  <c r="L21" i="64"/>
  <c r="T436" i="144"/>
  <c r="I2323" i="144"/>
  <c r="I27" i="101"/>
  <c r="T731" i="144"/>
  <c r="T337" i="144"/>
  <c r="J1003" i="144"/>
  <c r="T1673" i="144"/>
  <c r="I1657" i="144"/>
  <c r="K21" i="64"/>
  <c r="I2074" i="144"/>
  <c r="F168" i="75"/>
  <c r="I168" i="75" s="1"/>
  <c r="T882" i="144"/>
  <c r="J7" i="170"/>
  <c r="T920" i="144"/>
  <c r="T960" i="144"/>
  <c r="T1591" i="144"/>
  <c r="F240" i="75"/>
  <c r="I240" i="75" s="1"/>
  <c r="F206" i="75"/>
  <c r="J206" i="75" s="1"/>
  <c r="R49" i="1"/>
  <c r="J370" i="75"/>
  <c r="R29" i="1"/>
  <c r="J223" i="75"/>
  <c r="H55" i="1"/>
  <c r="R52" i="1"/>
  <c r="R158" i="1"/>
  <c r="I692" i="144"/>
  <c r="J113" i="75"/>
  <c r="H37" i="1"/>
  <c r="I1666" i="144"/>
  <c r="J523" i="144"/>
  <c r="I624" i="144"/>
  <c r="J873" i="144"/>
  <c r="T1153" i="144"/>
  <c r="I545" i="144"/>
  <c r="J24" i="170"/>
  <c r="I398" i="144"/>
  <c r="F167" i="75"/>
  <c r="J167" i="75" s="1"/>
  <c r="J72" i="101"/>
  <c r="F241" i="75"/>
  <c r="I241" i="75" s="1"/>
  <c r="R55" i="1"/>
  <c r="R166" i="1"/>
  <c r="S140" i="71"/>
  <c r="J342" i="75"/>
  <c r="T2043" i="144"/>
  <c r="T572" i="144"/>
  <c r="T680" i="144"/>
  <c r="R174" i="1"/>
  <c r="T1557" i="144"/>
  <c r="I1183" i="144"/>
  <c r="T106" i="144"/>
  <c r="J1024" i="144"/>
  <c r="I621" i="144"/>
  <c r="I1616" i="144"/>
  <c r="J1279" i="144"/>
  <c r="J692" i="144"/>
  <c r="T1598" i="144"/>
  <c r="T1169" i="144"/>
  <c r="J232" i="144"/>
  <c r="T483" i="144"/>
  <c r="I1483" i="144"/>
  <c r="I1568" i="144"/>
  <c r="T262" i="144"/>
  <c r="T989" i="144"/>
  <c r="T1119" i="144"/>
  <c r="J1283" i="144"/>
  <c r="T802" i="144"/>
  <c r="J1445" i="144"/>
  <c r="I1723" i="144"/>
  <c r="T1439" i="144"/>
  <c r="I1470" i="144"/>
  <c r="I1438" i="144"/>
  <c r="J387" i="144"/>
  <c r="T1070" i="144"/>
  <c r="T1622" i="144"/>
  <c r="T215" i="144"/>
  <c r="I2191" i="144"/>
  <c r="J2292" i="144"/>
  <c r="H114" i="1"/>
  <c r="H36" i="1"/>
  <c r="I1612" i="144"/>
  <c r="T459" i="144"/>
  <c r="T1082" i="144"/>
  <c r="J1495" i="144"/>
  <c r="T1834" i="144"/>
  <c r="I650" i="144"/>
  <c r="T496" i="144"/>
  <c r="T1821" i="144"/>
  <c r="T1605" i="144"/>
  <c r="J1660" i="144"/>
  <c r="J707" i="144"/>
  <c r="J1074" i="144"/>
  <c r="J182" i="144"/>
  <c r="I1743" i="144"/>
  <c r="I1262" i="144"/>
  <c r="S75" i="71"/>
  <c r="I1040" i="144"/>
  <c r="J1127" i="144"/>
  <c r="T245" i="144"/>
  <c r="T1518" i="144"/>
  <c r="I229" i="144"/>
  <c r="H34" i="1"/>
  <c r="I1683" i="144"/>
  <c r="J38" i="144"/>
  <c r="R56" i="1"/>
  <c r="R25" i="1"/>
  <c r="R22" i="1"/>
  <c r="F90" i="75"/>
  <c r="F95" i="75"/>
  <c r="I95" i="75" s="1"/>
  <c r="R157" i="1"/>
  <c r="F288" i="75"/>
  <c r="J288" i="75" s="1"/>
  <c r="F233" i="75"/>
  <c r="J233" i="75" s="1"/>
  <c r="H158" i="1"/>
  <c r="R124" i="1"/>
  <c r="F376" i="75"/>
  <c r="J376" i="75" s="1"/>
  <c r="H124" i="1"/>
  <c r="J790" i="144"/>
  <c r="T790" i="144"/>
  <c r="J302" i="75"/>
  <c r="N66" i="71"/>
  <c r="O66" i="71" s="1"/>
  <c r="P25" i="140" s="1"/>
  <c r="H35" i="1"/>
  <c r="F116" i="75"/>
  <c r="H126" i="1"/>
  <c r="R8" i="1"/>
  <c r="R16" i="1"/>
  <c r="M7" i="102"/>
  <c r="P7" i="102" s="1"/>
  <c r="N7" i="102"/>
  <c r="R44" i="1"/>
  <c r="H120" i="1"/>
  <c r="H61" i="1"/>
  <c r="F386" i="75"/>
  <c r="F226" i="75"/>
  <c r="H113" i="1"/>
  <c r="F130" i="75"/>
  <c r="R85" i="1"/>
  <c r="K12" i="64"/>
  <c r="M12" i="64"/>
  <c r="L12" i="64"/>
  <c r="H145" i="1"/>
  <c r="K19" i="64"/>
  <c r="H102" i="1"/>
  <c r="F340" i="75"/>
  <c r="L19" i="64" s="1"/>
  <c r="T1036" i="144"/>
  <c r="J1036" i="144"/>
  <c r="I316" i="75"/>
  <c r="I274" i="144"/>
  <c r="T857" i="144"/>
  <c r="I1382" i="144"/>
  <c r="I521" i="144"/>
  <c r="T521" i="144"/>
  <c r="I1089" i="144"/>
  <c r="T44" i="144"/>
  <c r="J1964" i="144"/>
  <c r="J1329" i="144"/>
  <c r="I1230" i="144"/>
  <c r="T1683" i="144"/>
  <c r="I532" i="144"/>
  <c r="T1805" i="144"/>
  <c r="I130" i="144"/>
  <c r="J1740" i="144"/>
  <c r="T2324" i="144"/>
  <c r="J2324" i="144"/>
  <c r="M13" i="102"/>
  <c r="P13" i="102" s="1"/>
  <c r="H173" i="1"/>
  <c r="T244" i="144"/>
  <c r="I1175" i="144"/>
  <c r="I829" i="144"/>
  <c r="J880" i="144"/>
  <c r="J911" i="144"/>
  <c r="I1286" i="144"/>
  <c r="T1184" i="144"/>
  <c r="J1434" i="144"/>
  <c r="I1434" i="144"/>
  <c r="J2046" i="144"/>
  <c r="J1802" i="144"/>
  <c r="T1542" i="144"/>
  <c r="J1437" i="144"/>
  <c r="T1437" i="144"/>
  <c r="T2196" i="144"/>
  <c r="J30" i="170"/>
  <c r="T2080" i="144"/>
  <c r="F219" i="75"/>
  <c r="I219" i="75" s="1"/>
  <c r="K15" i="64"/>
  <c r="F417" i="75"/>
  <c r="L35" i="64" s="1"/>
  <c r="F84" i="75"/>
  <c r="J84" i="75" s="1"/>
  <c r="R164" i="1"/>
  <c r="H164" i="1"/>
  <c r="F286" i="75"/>
  <c r="H130" i="1"/>
  <c r="F284" i="75"/>
  <c r="J284" i="75" s="1"/>
  <c r="H13" i="69"/>
  <c r="K13" i="69" s="1"/>
  <c r="AL166" i="71" s="1"/>
  <c r="H12" i="69"/>
  <c r="K12" i="69" s="1"/>
  <c r="AK27" i="71" s="1"/>
  <c r="M18" i="102"/>
  <c r="P18" i="102" s="1"/>
  <c r="N18" i="102"/>
  <c r="L18" i="102"/>
  <c r="F389" i="75"/>
  <c r="H81" i="1"/>
  <c r="R81" i="1"/>
  <c r="J1683" i="144"/>
  <c r="F341" i="75"/>
  <c r="K20" i="64"/>
  <c r="H174" i="1"/>
  <c r="F339" i="75"/>
  <c r="K17" i="64"/>
  <c r="H65" i="1"/>
  <c r="J13" i="102"/>
  <c r="F319" i="75"/>
  <c r="J319" i="75" s="1"/>
  <c r="H69" i="1"/>
  <c r="J366" i="75"/>
  <c r="I366" i="75"/>
  <c r="F308" i="75"/>
  <c r="H127" i="1"/>
  <c r="F310" i="75"/>
  <c r="I310" i="75" s="1"/>
  <c r="F230" i="75"/>
  <c r="H21" i="1"/>
  <c r="H56" i="1"/>
  <c r="R21" i="1"/>
  <c r="I1647" i="144"/>
  <c r="T1647" i="144"/>
  <c r="R72" i="1"/>
  <c r="J16" i="170"/>
  <c r="J18" i="102"/>
  <c r="H180" i="1"/>
  <c r="B35" i="170"/>
  <c r="E17" i="167" s="1"/>
  <c r="G17" i="167" s="1"/>
  <c r="J663" i="144"/>
  <c r="T663" i="144"/>
  <c r="J1686" i="144"/>
  <c r="I1472" i="144"/>
  <c r="I1008" i="144"/>
  <c r="T1008" i="144"/>
  <c r="J410" i="144"/>
  <c r="T2076" i="144"/>
  <c r="J2076" i="144"/>
  <c r="F312" i="75"/>
  <c r="I312" i="75" s="1"/>
  <c r="H78" i="1"/>
  <c r="K50" i="101"/>
  <c r="J149" i="75"/>
  <c r="F216" i="75"/>
  <c r="J59" i="101" s="1"/>
  <c r="F392" i="75"/>
  <c r="I392" i="75" s="1"/>
  <c r="R149" i="1"/>
  <c r="I282" i="75"/>
  <c r="J282" i="75"/>
  <c r="F186" i="75"/>
  <c r="J186" i="75" s="1"/>
  <c r="F189" i="75"/>
  <c r="J189" i="75" s="1"/>
  <c r="F187" i="75"/>
  <c r="J187" i="75" s="1"/>
  <c r="H104" i="1"/>
  <c r="F273" i="75"/>
  <c r="R11" i="1"/>
  <c r="F274" i="75"/>
  <c r="I274" i="75" s="1"/>
  <c r="H11" i="1"/>
  <c r="K11" i="64"/>
  <c r="L11" i="64"/>
  <c r="F307" i="75"/>
  <c r="H16" i="1"/>
  <c r="H44" i="1"/>
  <c r="F367" i="75"/>
  <c r="F161" i="75"/>
  <c r="I54" i="101" s="1"/>
  <c r="F159" i="75"/>
  <c r="I44" i="101" s="1"/>
  <c r="H109" i="1"/>
  <c r="M15" i="102"/>
  <c r="P15" i="102" s="1"/>
  <c r="N15" i="102"/>
  <c r="F133" i="75"/>
  <c r="J133" i="75" s="1"/>
  <c r="J10" i="28"/>
  <c r="J21" i="28" s="1"/>
  <c r="N142" i="71"/>
  <c r="O142" i="71" s="1"/>
  <c r="P17" i="140" s="1"/>
  <c r="N128" i="71"/>
  <c r="O128" i="71" s="1"/>
  <c r="N124" i="71"/>
  <c r="O124" i="71" s="1"/>
  <c r="N161" i="71"/>
  <c r="O161" i="71" s="1"/>
  <c r="N30" i="71"/>
  <c r="O30" i="71" s="1"/>
  <c r="N59" i="71"/>
  <c r="O59" i="71" s="1"/>
  <c r="P20" i="140" s="1"/>
  <c r="N37" i="71"/>
  <c r="O37" i="71" s="1"/>
  <c r="N129" i="71"/>
  <c r="O129" i="71" s="1"/>
  <c r="N116" i="71"/>
  <c r="O116" i="71" s="1"/>
  <c r="N89" i="71"/>
  <c r="O89" i="71" s="1"/>
  <c r="P19" i="140" s="1"/>
  <c r="N84" i="71"/>
  <c r="O84" i="71" s="1"/>
  <c r="N11" i="71"/>
  <c r="O11" i="71" s="1"/>
  <c r="N135" i="71"/>
  <c r="O135" i="71" s="1"/>
  <c r="N105" i="71"/>
  <c r="O105" i="71" s="1"/>
  <c r="N150" i="71"/>
  <c r="O150" i="71" s="1"/>
  <c r="L13" i="102"/>
  <c r="H25" i="1"/>
  <c r="F220" i="75"/>
  <c r="F217" i="75"/>
  <c r="R102" i="1"/>
  <c r="N67" i="71"/>
  <c r="O67" i="71" s="1"/>
  <c r="H123" i="1"/>
  <c r="F291" i="75"/>
  <c r="I291" i="75" s="1"/>
  <c r="T912" i="144"/>
  <c r="J912" i="144"/>
  <c r="I1714" i="144"/>
  <c r="T1714" i="144"/>
  <c r="I906" i="144"/>
  <c r="T906" i="144"/>
  <c r="J906" i="144"/>
  <c r="I1454" i="144"/>
  <c r="J1454" i="144"/>
  <c r="T1454" i="144"/>
  <c r="I1758" i="144"/>
  <c r="I1217" i="144"/>
  <c r="T50" i="144"/>
  <c r="I50" i="144"/>
  <c r="J50" i="144"/>
  <c r="T1376" i="144"/>
  <c r="I1376" i="144"/>
  <c r="J244" i="144"/>
  <c r="I416" i="144"/>
  <c r="T416" i="144"/>
  <c r="J416" i="144"/>
  <c r="J1395" i="144"/>
  <c r="T1395" i="144"/>
  <c r="I1036" i="144"/>
  <c r="J1508" i="144"/>
  <c r="J2293" i="144"/>
  <c r="T2293" i="144"/>
  <c r="R26" i="1"/>
  <c r="F94" i="75"/>
  <c r="J94" i="75" s="1"/>
  <c r="F218" i="75"/>
  <c r="J218" i="75" s="1"/>
  <c r="F115" i="75"/>
  <c r="J115" i="75" s="1"/>
  <c r="H53" i="1"/>
  <c r="F213" i="75"/>
  <c r="I213" i="75" s="1"/>
  <c r="R15" i="1"/>
  <c r="H15" i="1"/>
  <c r="H63" i="1"/>
  <c r="F336" i="75"/>
  <c r="L13" i="64" s="1"/>
  <c r="K13" i="64"/>
  <c r="F278" i="75"/>
  <c r="F279" i="75"/>
  <c r="J279" i="75" s="1"/>
  <c r="I18" i="101"/>
  <c r="K76" i="101"/>
  <c r="J93" i="75"/>
  <c r="I93" i="75"/>
  <c r="T936" i="144"/>
  <c r="J1557" i="144"/>
  <c r="I1153" i="144"/>
  <c r="J1116" i="144"/>
  <c r="I1017" i="144"/>
  <c r="J1522" i="144"/>
  <c r="I1837" i="144"/>
  <c r="I1377" i="144"/>
  <c r="I2314" i="144"/>
  <c r="J2262" i="144"/>
  <c r="T2252" i="144"/>
  <c r="T2077" i="144"/>
  <c r="R35" i="1"/>
  <c r="H59" i="1"/>
  <c r="T599" i="144"/>
  <c r="J25" i="170"/>
  <c r="J173" i="144"/>
  <c r="T1049" i="144"/>
  <c r="T359" i="144"/>
  <c r="I1670" i="144"/>
  <c r="J1953" i="144"/>
  <c r="T739" i="144"/>
  <c r="T1497" i="144"/>
  <c r="T1301" i="144"/>
  <c r="I761" i="144"/>
  <c r="T1213" i="144"/>
  <c r="J1339" i="144"/>
  <c r="I219" i="144"/>
  <c r="T1525" i="144"/>
  <c r="J588" i="144"/>
  <c r="T267" i="144"/>
  <c r="J1422" i="144"/>
  <c r="J825" i="144"/>
  <c r="T1079" i="144"/>
  <c r="J1939" i="144"/>
  <c r="T1268" i="144"/>
  <c r="T963" i="144"/>
  <c r="I756" i="144"/>
  <c r="I91" i="144"/>
  <c r="J2284" i="144"/>
  <c r="I2317" i="144"/>
  <c r="J2231" i="144"/>
  <c r="J2313" i="144"/>
  <c r="T2263" i="144"/>
  <c r="J2109" i="144"/>
  <c r="T2111" i="144"/>
  <c r="J2094" i="144"/>
  <c r="T2239" i="144"/>
  <c r="J2309" i="144"/>
  <c r="J2232" i="144"/>
  <c r="J2219" i="144"/>
  <c r="I2200" i="144"/>
  <c r="F25" i="75"/>
  <c r="J25" i="75" s="1"/>
  <c r="R183" i="1"/>
  <c r="S50" i="71"/>
  <c r="R113" i="1"/>
  <c r="H58" i="1"/>
  <c r="M21" i="64"/>
  <c r="H165" i="1"/>
  <c r="R51" i="1"/>
  <c r="R34" i="1"/>
  <c r="T942" i="144"/>
  <c r="I1556" i="144"/>
  <c r="I1388" i="144"/>
  <c r="J525" i="144"/>
  <c r="J326" i="144"/>
  <c r="I666" i="144"/>
  <c r="I822" i="144"/>
  <c r="T224" i="144"/>
  <c r="J1078" i="144"/>
  <c r="T1854" i="144"/>
  <c r="T435" i="144"/>
  <c r="T1414" i="144"/>
  <c r="I51" i="144"/>
  <c r="I1785" i="144"/>
  <c r="T736" i="144"/>
  <c r="J319" i="144"/>
  <c r="I2236" i="144"/>
  <c r="T2294" i="144"/>
  <c r="I2188" i="144"/>
  <c r="I2316" i="144"/>
  <c r="I2211" i="144"/>
  <c r="H183" i="1"/>
  <c r="H22" i="1"/>
  <c r="S156" i="71"/>
  <c r="R65" i="1"/>
  <c r="R54" i="1"/>
  <c r="T791" i="144"/>
  <c r="T1500" i="144"/>
  <c r="T243" i="144"/>
  <c r="J149" i="144"/>
  <c r="T941" i="144"/>
  <c r="T100" i="144"/>
  <c r="J777" i="144"/>
  <c r="T332" i="144"/>
  <c r="T164" i="144"/>
  <c r="I890" i="144"/>
  <c r="T1940" i="144"/>
  <c r="T1447" i="144"/>
  <c r="J190" i="144"/>
  <c r="J1327" i="144"/>
  <c r="J592" i="144"/>
  <c r="I577" i="144"/>
  <c r="J1298" i="144"/>
  <c r="T772" i="144"/>
  <c r="T197" i="144"/>
  <c r="T263" i="144"/>
  <c r="T952" i="144"/>
  <c r="J39" i="144"/>
  <c r="J2057" i="144"/>
  <c r="T1050" i="144"/>
  <c r="T58" i="144"/>
  <c r="T1280" i="144"/>
  <c r="J1844" i="144"/>
  <c r="I604" i="144"/>
  <c r="J1106" i="144"/>
  <c r="J1088" i="144"/>
  <c r="J1323" i="144"/>
  <c r="I1491" i="144"/>
  <c r="T1270" i="144"/>
  <c r="T166" i="144"/>
  <c r="J117" i="144"/>
  <c r="I1684" i="144"/>
  <c r="T1937" i="144"/>
  <c r="J1426" i="144"/>
  <c r="T1665" i="144"/>
  <c r="J533" i="144"/>
  <c r="I300" i="144"/>
  <c r="J1816" i="144"/>
  <c r="T260" i="144"/>
  <c r="J226" i="144"/>
  <c r="I860" i="144"/>
  <c r="J824" i="144"/>
  <c r="T1697" i="144"/>
  <c r="J2025" i="144"/>
  <c r="J2012" i="144"/>
  <c r="T2117" i="144"/>
  <c r="T285" i="144"/>
  <c r="I2290" i="144"/>
  <c r="T2217" i="144"/>
  <c r="I2286" i="144"/>
  <c r="I2207" i="144"/>
  <c r="I219" i="146"/>
  <c r="H32" i="1"/>
  <c r="R154" i="1"/>
  <c r="R143" i="1"/>
  <c r="T1589" i="144"/>
  <c r="R28" i="1"/>
  <c r="F368" i="75"/>
  <c r="H175" i="1"/>
  <c r="R175" i="1"/>
  <c r="T1262" i="144"/>
  <c r="I920" i="144"/>
  <c r="R107" i="1"/>
  <c r="H107" i="1"/>
  <c r="F21" i="75"/>
  <c r="I21" i="75" s="1"/>
  <c r="F16" i="75"/>
  <c r="J16" i="75" s="1"/>
  <c r="F22" i="75"/>
  <c r="F26" i="75"/>
  <c r="J26" i="75" s="1"/>
  <c r="H142" i="1"/>
  <c r="F19" i="75"/>
  <c r="I19" i="75" s="1"/>
  <c r="F18" i="75"/>
  <c r="F20" i="75"/>
  <c r="K75" i="101" s="1"/>
  <c r="H14" i="69"/>
  <c r="K14" i="69" s="1"/>
  <c r="AP111" i="71" s="1"/>
  <c r="F362" i="75"/>
  <c r="J362" i="75" s="1"/>
  <c r="R98" i="1"/>
  <c r="R83" i="1"/>
  <c r="J903" i="144"/>
  <c r="T903" i="144"/>
  <c r="F138" i="75"/>
  <c r="I138" i="75" s="1"/>
  <c r="T1387" i="144"/>
  <c r="N88" i="71"/>
  <c r="O88" i="71" s="1"/>
  <c r="N130" i="71"/>
  <c r="O130" i="71" s="1"/>
  <c r="P7" i="140" s="1"/>
  <c r="N149" i="71"/>
  <c r="O149" i="71" s="1"/>
  <c r="M19" i="102"/>
  <c r="P19" i="102" s="1"/>
  <c r="L19" i="102"/>
  <c r="J19" i="102"/>
  <c r="L14" i="102"/>
  <c r="M14" i="102"/>
  <c r="P14" i="102" s="1"/>
  <c r="N14" i="102"/>
  <c r="N121" i="71"/>
  <c r="O121" i="71" s="1"/>
  <c r="F192" i="75"/>
  <c r="I192" i="75" s="1"/>
  <c r="H99" i="1"/>
  <c r="H141" i="1"/>
  <c r="F289" i="75"/>
  <c r="I289" i="75" s="1"/>
  <c r="R141" i="1"/>
  <c r="N103" i="71"/>
  <c r="O103" i="71" s="1"/>
  <c r="N156" i="71"/>
  <c r="O156" i="71" s="1"/>
  <c r="S161" i="71"/>
  <c r="I889" i="144"/>
  <c r="I1655" i="144"/>
  <c r="N27" i="71"/>
  <c r="O27" i="71" s="1"/>
  <c r="L8" i="102"/>
  <c r="N63" i="71"/>
  <c r="O63" i="71" s="1"/>
  <c r="P26" i="140" s="1"/>
  <c r="K46" i="101"/>
  <c r="T1422" i="144"/>
  <c r="I975" i="144"/>
  <c r="H20" i="69"/>
  <c r="K20" i="69" s="1"/>
  <c r="AM25" i="71" s="1"/>
  <c r="F171" i="75"/>
  <c r="J171" i="75" s="1"/>
  <c r="F170" i="75"/>
  <c r="J170" i="75" s="1"/>
  <c r="N83" i="71"/>
  <c r="O83" i="71" s="1"/>
  <c r="N163" i="71"/>
  <c r="O163" i="71" s="1"/>
  <c r="N160" i="71"/>
  <c r="O160" i="71" s="1"/>
  <c r="I88" i="75"/>
  <c r="J88" i="75"/>
  <c r="N102" i="71"/>
  <c r="O102" i="71" s="1"/>
  <c r="P11" i="140" s="1"/>
  <c r="F166" i="75"/>
  <c r="J166" i="75" s="1"/>
  <c r="F270" i="75"/>
  <c r="J270" i="75" s="1"/>
  <c r="H47" i="1"/>
  <c r="F343" i="75"/>
  <c r="L23" i="64" s="1"/>
  <c r="H163" i="1"/>
  <c r="K23" i="64"/>
  <c r="M8" i="102"/>
  <c r="P8" i="102" s="1"/>
  <c r="R179" i="1"/>
  <c r="F266" i="75"/>
  <c r="R73" i="1"/>
  <c r="F267" i="75"/>
  <c r="I63" i="101" s="1"/>
  <c r="F268" i="75"/>
  <c r="J268" i="75" s="1"/>
  <c r="F292" i="75"/>
  <c r="H24" i="1"/>
  <c r="N109" i="71"/>
  <c r="O109" i="71" s="1"/>
  <c r="N158" i="71"/>
  <c r="O158" i="71" s="1"/>
  <c r="N115" i="71"/>
  <c r="O115" i="71" s="1"/>
  <c r="N62" i="71"/>
  <c r="O62" i="71" s="1"/>
  <c r="N80" i="71"/>
  <c r="O80" i="71" s="1"/>
  <c r="N151" i="71"/>
  <c r="O151" i="71" s="1"/>
  <c r="N154" i="71"/>
  <c r="N33" i="71"/>
  <c r="O33" i="71" s="1"/>
  <c r="N87" i="71"/>
  <c r="O87" i="71" s="1"/>
  <c r="N26" i="71"/>
  <c r="O26" i="71" s="1"/>
  <c r="N18" i="71"/>
  <c r="O18" i="71" s="1"/>
  <c r="N57" i="71"/>
  <c r="O57" i="71" s="1"/>
  <c r="N9" i="71"/>
  <c r="O9" i="71" s="1"/>
  <c r="P10" i="140" s="1"/>
  <c r="N143" i="71"/>
  <c r="O143" i="71" s="1"/>
  <c r="N101" i="71"/>
  <c r="O101" i="71" s="1"/>
  <c r="N146" i="71"/>
  <c r="O146" i="71" s="1"/>
  <c r="N24" i="71"/>
  <c r="O24" i="71" s="1"/>
  <c r="N134" i="71"/>
  <c r="O134" i="71" s="1"/>
  <c r="N141" i="71"/>
  <c r="O141" i="71" s="1"/>
  <c r="P18" i="140" s="1"/>
  <c r="N55" i="71"/>
  <c r="O55" i="71" s="1"/>
  <c r="N162" i="71"/>
  <c r="O162" i="71" s="1"/>
  <c r="N65" i="71"/>
  <c r="O65" i="71" s="1"/>
  <c r="N81" i="71"/>
  <c r="O81" i="71" s="1"/>
  <c r="N75" i="71"/>
  <c r="O75" i="71" s="1"/>
  <c r="N117" i="71"/>
  <c r="O117" i="71" s="1"/>
  <c r="N20" i="71"/>
  <c r="O20" i="71" s="1"/>
  <c r="N50" i="71"/>
  <c r="O50" i="71" s="1"/>
  <c r="N94" i="71"/>
  <c r="O94" i="71" s="1"/>
  <c r="N95" i="71"/>
  <c r="O95" i="71" s="1"/>
  <c r="N73" i="71"/>
  <c r="O73" i="71" s="1"/>
  <c r="N126" i="71"/>
  <c r="O126" i="71" s="1"/>
  <c r="N114" i="71"/>
  <c r="O114" i="71" s="1"/>
  <c r="P13" i="140" s="1"/>
  <c r="N165" i="71"/>
  <c r="O165" i="71" s="1"/>
  <c r="N13" i="71"/>
  <c r="O13" i="71" s="1"/>
  <c r="N10" i="71"/>
  <c r="O10" i="71" s="1"/>
  <c r="N172" i="71"/>
  <c r="O172" i="71" s="1"/>
  <c r="N137" i="71"/>
  <c r="O137" i="71" s="1"/>
  <c r="N168" i="71"/>
  <c r="O168" i="71" s="1"/>
  <c r="N34" i="71"/>
  <c r="O34" i="71" s="1"/>
  <c r="N90" i="71"/>
  <c r="O90" i="71" s="1"/>
  <c r="N23" i="71"/>
  <c r="O23" i="71" s="1"/>
  <c r="N106" i="71"/>
  <c r="O106" i="71" s="1"/>
  <c r="N99" i="71"/>
  <c r="O99" i="71" s="1"/>
  <c r="N43" i="71"/>
  <c r="O43" i="71" s="1"/>
  <c r="N104" i="71"/>
  <c r="O104" i="71" s="1"/>
  <c r="N70" i="71"/>
  <c r="O70" i="71" s="1"/>
  <c r="N138" i="71"/>
  <c r="O138" i="71" s="1"/>
  <c r="N45" i="71"/>
  <c r="O45" i="71" s="1"/>
  <c r="N120" i="71"/>
  <c r="O120" i="71" s="1"/>
  <c r="N44" i="71"/>
  <c r="O44" i="71" s="1"/>
  <c r="N159" i="71"/>
  <c r="O159" i="71" s="1"/>
  <c r="N69" i="71"/>
  <c r="O69" i="71" s="1"/>
  <c r="N77" i="71"/>
  <c r="O77" i="71" s="1"/>
  <c r="P14" i="140" s="1"/>
  <c r="N144" i="71"/>
  <c r="O144" i="71" s="1"/>
  <c r="N112" i="71"/>
  <c r="O112" i="71" s="1"/>
  <c r="P12" i="140" s="1"/>
  <c r="N113" i="71"/>
  <c r="O113" i="71" s="1"/>
  <c r="N132" i="71"/>
  <c r="O132" i="71" s="1"/>
  <c r="P16" i="140" s="1"/>
  <c r="N98" i="71"/>
  <c r="O98" i="71" s="1"/>
  <c r="N49" i="71"/>
  <c r="O49" i="71" s="1"/>
  <c r="N12" i="71"/>
  <c r="O12" i="71" s="1"/>
  <c r="N29" i="71"/>
  <c r="O29" i="71" s="1"/>
  <c r="N127" i="71"/>
  <c r="O127" i="71" s="1"/>
  <c r="N68" i="71"/>
  <c r="O68" i="71" s="1"/>
  <c r="N167" i="71"/>
  <c r="O167" i="71" s="1"/>
  <c r="N170" i="71"/>
  <c r="O170" i="71" s="1"/>
  <c r="N107" i="71"/>
  <c r="O107" i="71" s="1"/>
  <c r="P28" i="140" s="1"/>
  <c r="N40" i="71"/>
  <c r="O40" i="71" s="1"/>
  <c r="N131" i="71"/>
  <c r="O131" i="71" s="1"/>
  <c r="N21" i="71"/>
  <c r="N164" i="71"/>
  <c r="O164" i="71" s="1"/>
  <c r="N28" i="71"/>
  <c r="O28" i="71" s="1"/>
  <c r="N85" i="71"/>
  <c r="O85" i="71" s="1"/>
  <c r="N153" i="71"/>
  <c r="O153" i="71" s="1"/>
  <c r="N140" i="71"/>
  <c r="O140" i="71" s="1"/>
  <c r="N92" i="71"/>
  <c r="O92" i="71" s="1"/>
  <c r="N16" i="71"/>
  <c r="O16" i="71" s="1"/>
  <c r="N108" i="71"/>
  <c r="O108" i="71" s="1"/>
  <c r="N136" i="71"/>
  <c r="O136" i="71" s="1"/>
  <c r="N148" i="71"/>
  <c r="O148" i="71" s="1"/>
  <c r="N19" i="71"/>
  <c r="O19" i="71" s="1"/>
  <c r="N14" i="71"/>
  <c r="O14" i="71" s="1"/>
  <c r="N8" i="71"/>
  <c r="O8" i="71" s="1"/>
  <c r="N119" i="71"/>
  <c r="O119" i="71" s="1"/>
  <c r="N32" i="71"/>
  <c r="O32" i="71" s="1"/>
  <c r="N58" i="71"/>
  <c r="O58" i="71" s="1"/>
  <c r="N60" i="71"/>
  <c r="O60" i="71" s="1"/>
  <c r="N169" i="71"/>
  <c r="O169" i="71" s="1"/>
  <c r="N100" i="71"/>
  <c r="O100" i="71" s="1"/>
  <c r="N79" i="71"/>
  <c r="O79" i="71" s="1"/>
  <c r="N56" i="71"/>
  <c r="O56" i="71" s="1"/>
  <c r="N171" i="71"/>
  <c r="O171" i="71" s="1"/>
  <c r="N31" i="71"/>
  <c r="O31" i="71" s="1"/>
  <c r="N118" i="71"/>
  <c r="O118" i="71" s="1"/>
  <c r="P21" i="140" s="1"/>
  <c r="N15" i="71"/>
  <c r="O15" i="71" s="1"/>
  <c r="N96" i="71"/>
  <c r="O96" i="71" s="1"/>
  <c r="N155" i="71"/>
  <c r="O155" i="71" s="1"/>
  <c r="N97" i="71"/>
  <c r="O97" i="71" s="1"/>
  <c r="N139" i="71"/>
  <c r="O139" i="71" s="1"/>
  <c r="N133" i="71"/>
  <c r="O133" i="71" s="1"/>
  <c r="P9" i="140" s="1"/>
  <c r="N35" i="71"/>
  <c r="O35" i="71" s="1"/>
  <c r="N93" i="71"/>
  <c r="O93" i="71" s="1"/>
  <c r="N22" i="71"/>
  <c r="O22" i="71" s="1"/>
  <c r="N74" i="71"/>
  <c r="O74" i="71" s="1"/>
  <c r="N86" i="71"/>
  <c r="O86" i="71" s="1"/>
  <c r="N64" i="71"/>
  <c r="O64" i="71" s="1"/>
  <c r="N110" i="71"/>
  <c r="O110" i="71" s="1"/>
  <c r="T210" i="144"/>
  <c r="J210" i="144"/>
  <c r="T806" i="144"/>
  <c r="J806" i="144"/>
  <c r="I806" i="144"/>
  <c r="S82" i="71"/>
  <c r="J12" i="170"/>
  <c r="P10" i="102"/>
  <c r="N46" i="71"/>
  <c r="O46" i="71" s="1"/>
  <c r="N36" i="71"/>
  <c r="O36" i="71" s="1"/>
  <c r="T778" i="144"/>
  <c r="T2312" i="144"/>
  <c r="I2312" i="144"/>
  <c r="J2310" i="144"/>
  <c r="I2310" i="144"/>
  <c r="T2310" i="144"/>
  <c r="F155" i="75"/>
  <c r="I45" i="101" s="1"/>
  <c r="N76" i="71"/>
  <c r="O76" i="71" s="1"/>
  <c r="R24" i="1"/>
  <c r="J165" i="75"/>
  <c r="N38" i="71"/>
  <c r="O38" i="71" s="1"/>
  <c r="N82" i="71"/>
  <c r="O82" i="71" s="1"/>
  <c r="I324" i="75"/>
  <c r="H136" i="1"/>
  <c r="R132" i="1"/>
  <c r="F117" i="75"/>
  <c r="I117" i="75" s="1"/>
  <c r="H89" i="1"/>
  <c r="R89" i="1"/>
  <c r="N72" i="71"/>
  <c r="O72" i="71" s="1"/>
  <c r="N54" i="71"/>
  <c r="O54" i="71" s="1"/>
  <c r="P8" i="140" s="1"/>
  <c r="N123" i="71"/>
  <c r="O123" i="71" s="1"/>
  <c r="P15" i="140" s="1"/>
  <c r="F371" i="75"/>
  <c r="J371" i="75" s="1"/>
  <c r="H106" i="1"/>
  <c r="R94" i="1"/>
  <c r="F335" i="75"/>
  <c r="J335" i="75" s="1"/>
  <c r="J1504" i="144"/>
  <c r="T1504" i="144"/>
  <c r="I1504" i="144"/>
  <c r="T334" i="144"/>
  <c r="J334" i="144"/>
  <c r="I334" i="144"/>
  <c r="F154" i="75"/>
  <c r="F153" i="75"/>
  <c r="J153" i="75" s="1"/>
  <c r="F152" i="75"/>
  <c r="J152" i="75" s="1"/>
  <c r="Q172" i="1"/>
  <c r="Q39" i="1"/>
  <c r="F118" i="75"/>
  <c r="J118" i="75" s="1"/>
  <c r="H17" i="1"/>
  <c r="R17" i="1"/>
  <c r="F142" i="75"/>
  <c r="F144" i="75"/>
  <c r="J144" i="75" s="1"/>
  <c r="H153" i="1"/>
  <c r="F143" i="75"/>
  <c r="J143" i="75" s="1"/>
  <c r="F222" i="75"/>
  <c r="J222" i="75" s="1"/>
  <c r="R135" i="1"/>
  <c r="H135" i="1"/>
  <c r="F396" i="75"/>
  <c r="I396" i="75" s="1"/>
  <c r="R59" i="1"/>
  <c r="I1365" i="144"/>
  <c r="T1365" i="144"/>
  <c r="T1735" i="144"/>
  <c r="I1735" i="144"/>
  <c r="J1735" i="144"/>
  <c r="T1231" i="144"/>
  <c r="J1235" i="144"/>
  <c r="J138" i="144"/>
  <c r="T723" i="144"/>
  <c r="T1265" i="144"/>
  <c r="T561" i="144"/>
  <c r="I295" i="144"/>
  <c r="J199" i="144"/>
  <c r="T199" i="144"/>
  <c r="T914" i="144"/>
  <c r="T902" i="144"/>
  <c r="T30" i="144"/>
  <c r="I1343" i="144"/>
  <c r="J1899" i="144"/>
  <c r="I1660" i="144"/>
  <c r="I795" i="144"/>
  <c r="J745" i="144"/>
  <c r="T745" i="144"/>
  <c r="I1465" i="144"/>
  <c r="I1222" i="144"/>
  <c r="I1242" i="144"/>
  <c r="T1212" i="144"/>
  <c r="J729" i="144"/>
  <c r="I729" i="144"/>
  <c r="J1949" i="144"/>
  <c r="T707" i="144"/>
  <c r="J1228" i="144"/>
  <c r="T1228" i="144"/>
  <c r="I1664" i="144"/>
  <c r="T467" i="144"/>
  <c r="I131" i="144"/>
  <c r="I1086" i="144"/>
  <c r="I1180" i="144"/>
  <c r="J1180" i="144"/>
  <c r="J716" i="144"/>
  <c r="J678" i="144"/>
  <c r="T678" i="144"/>
  <c r="T280" i="144"/>
  <c r="T1289" i="144"/>
  <c r="I476" i="144"/>
  <c r="J476" i="144"/>
  <c r="T1818" i="144"/>
  <c r="J1818" i="144"/>
  <c r="I1026" i="144"/>
  <c r="T2028" i="144"/>
  <c r="T775" i="144"/>
  <c r="T2020" i="144"/>
  <c r="T2069" i="144"/>
  <c r="I2084" i="144"/>
  <c r="T2084" i="144"/>
  <c r="J18" i="170"/>
  <c r="K18" i="170"/>
  <c r="J2278" i="144"/>
  <c r="T2125" i="144"/>
  <c r="J2125" i="144"/>
  <c r="F24" i="75"/>
  <c r="J24" i="75" s="1"/>
  <c r="F102" i="75"/>
  <c r="J102" i="75" s="1"/>
  <c r="F106" i="75"/>
  <c r="J106" i="75" s="1"/>
  <c r="F330" i="75"/>
  <c r="J330" i="75" s="1"/>
  <c r="F108" i="75"/>
  <c r="J108" i="75" s="1"/>
  <c r="N122" i="71"/>
  <c r="O122" i="71" s="1"/>
  <c r="P29" i="140" s="1"/>
  <c r="N152" i="71"/>
  <c r="N111" i="71"/>
  <c r="O111" i="71" s="1"/>
  <c r="I378" i="75"/>
  <c r="R57" i="1"/>
  <c r="F311" i="75"/>
  <c r="K67" i="101" s="1"/>
  <c r="H57" i="1"/>
  <c r="F119" i="75"/>
  <c r="H178" i="1"/>
  <c r="R178" i="1"/>
  <c r="F91" i="75"/>
  <c r="H167" i="1"/>
  <c r="N166" i="71"/>
  <c r="O166" i="71" s="1"/>
  <c r="F345" i="75"/>
  <c r="I345" i="75" s="1"/>
  <c r="K24" i="64"/>
  <c r="R66" i="1"/>
  <c r="F97" i="75"/>
  <c r="J21" i="101" s="1"/>
  <c r="H159" i="1"/>
  <c r="R159" i="1"/>
  <c r="F107" i="75"/>
  <c r="L8" i="64" s="1"/>
  <c r="F317" i="75"/>
  <c r="H84" i="1"/>
  <c r="J1606" i="144"/>
  <c r="I1606" i="144"/>
  <c r="I959" i="144"/>
  <c r="T959" i="144"/>
  <c r="R23" i="1"/>
  <c r="F303" i="75"/>
  <c r="H117" i="1"/>
  <c r="R84" i="1"/>
  <c r="F128" i="75"/>
  <c r="F136" i="75"/>
  <c r="I136" i="75" s="1"/>
  <c r="I323" i="75"/>
  <c r="J323" i="75"/>
  <c r="J11" i="102"/>
  <c r="M11" i="102"/>
  <c r="P11" i="102" s="1"/>
  <c r="N11" i="102"/>
  <c r="T1086" i="144"/>
  <c r="J1086" i="144"/>
  <c r="S169" i="71"/>
  <c r="I210" i="144"/>
  <c r="S150" i="71"/>
  <c r="I215" i="144"/>
  <c r="T1074" i="144"/>
  <c r="H51" i="1"/>
  <c r="J1082" i="144"/>
  <c r="T1593" i="144"/>
  <c r="I1982" i="144"/>
  <c r="T690" i="144"/>
  <c r="J850" i="144"/>
  <c r="J1777" i="144"/>
  <c r="T276" i="144"/>
  <c r="T749" i="144"/>
  <c r="I583" i="144"/>
  <c r="I1041" i="144"/>
  <c r="J753" i="144"/>
  <c r="J144" i="144"/>
  <c r="J915" i="144"/>
  <c r="I1110" i="144"/>
  <c r="T1135" i="144"/>
  <c r="I1659" i="144"/>
  <c r="T278" i="144"/>
  <c r="J601" i="144"/>
  <c r="I2039" i="144"/>
  <c r="J639" i="144"/>
  <c r="J1923" i="144"/>
  <c r="J19" i="170"/>
  <c r="K19" i="170"/>
  <c r="F193" i="75"/>
  <c r="I193" i="75" s="1"/>
  <c r="F17" i="75"/>
  <c r="J17" i="75" s="1"/>
  <c r="N78" i="71"/>
  <c r="O78" i="71" s="1"/>
  <c r="N157" i="71"/>
  <c r="O157" i="71" s="1"/>
  <c r="N17" i="71"/>
  <c r="O17" i="71" s="1"/>
  <c r="R147" i="1"/>
  <c r="F200" i="75"/>
  <c r="I42" i="101" s="1"/>
  <c r="F381" i="75"/>
  <c r="J381" i="75" s="1"/>
  <c r="F199" i="75"/>
  <c r="F383" i="75"/>
  <c r="F121" i="75"/>
  <c r="K28" i="101" s="1"/>
  <c r="R134" i="1"/>
  <c r="H134" i="1"/>
  <c r="N53" i="71"/>
  <c r="O53" i="71" s="1"/>
  <c r="N71" i="71"/>
  <c r="O71" i="71" s="1"/>
  <c r="R148" i="1"/>
  <c r="F184" i="75"/>
  <c r="I184" i="75" s="1"/>
  <c r="H148" i="1"/>
  <c r="K16" i="64"/>
  <c r="M16" i="64"/>
  <c r="H64" i="1"/>
  <c r="N145" i="71"/>
  <c r="O145" i="71" s="1"/>
  <c r="T1744" i="144"/>
  <c r="T1989" i="144"/>
  <c r="T1163" i="144"/>
  <c r="J798" i="144"/>
  <c r="T879" i="144"/>
  <c r="I1173" i="144"/>
  <c r="T223" i="144"/>
  <c r="T508" i="144"/>
  <c r="I1177" i="144"/>
  <c r="T418" i="144"/>
  <c r="J1847" i="144"/>
  <c r="J10" i="170"/>
  <c r="F354" i="75"/>
  <c r="J354" i="75" s="1"/>
  <c r="H157" i="1"/>
  <c r="J2211" i="144"/>
  <c r="L11" i="102"/>
  <c r="J728" i="144"/>
  <c r="J1700" i="144"/>
  <c r="J1186" i="144"/>
  <c r="T1430" i="144"/>
  <c r="I1671" i="144"/>
  <c r="J496" i="144"/>
  <c r="J897" i="144"/>
  <c r="J107" i="144"/>
  <c r="T1678" i="144"/>
  <c r="T227" i="144"/>
  <c r="T1793" i="144"/>
  <c r="T657" i="144"/>
  <c r="J1870" i="144"/>
  <c r="T1241" i="144"/>
  <c r="I672" i="144"/>
  <c r="T1378" i="144"/>
  <c r="T818" i="144"/>
  <c r="J1912" i="144"/>
  <c r="T1205" i="144"/>
  <c r="I1131" i="144"/>
  <c r="T994" i="144"/>
  <c r="I394" i="144"/>
  <c r="T94" i="144"/>
  <c r="J938" i="144"/>
  <c r="J1879" i="144"/>
  <c r="T2002" i="144"/>
  <c r="J573" i="144"/>
  <c r="T1861" i="144"/>
  <c r="T409" i="144"/>
  <c r="I1706" i="144"/>
  <c r="J1509" i="144"/>
  <c r="J155" i="144"/>
  <c r="J1617" i="144"/>
  <c r="J363" i="144"/>
  <c r="T1423" i="144"/>
  <c r="J1380" i="144"/>
  <c r="T269" i="144"/>
  <c r="I608" i="144"/>
  <c r="I1756" i="144"/>
  <c r="T40" i="144"/>
  <c r="T1996" i="144"/>
  <c r="J298" i="144"/>
  <c r="J2160" i="144"/>
  <c r="F243" i="75"/>
  <c r="I243" i="75" s="1"/>
  <c r="F251" i="75"/>
  <c r="F384" i="75"/>
  <c r="I74" i="101" s="1"/>
  <c r="R36" i="1"/>
  <c r="T205" i="144"/>
  <c r="T1881" i="144"/>
  <c r="H94" i="1"/>
  <c r="F156" i="75"/>
  <c r="J55" i="101" s="1"/>
  <c r="J1826" i="144"/>
  <c r="F293" i="75"/>
  <c r="J293" i="75" s="1"/>
  <c r="I1443" i="144"/>
  <c r="T1443" i="144"/>
  <c r="J1536" i="144"/>
  <c r="I204" i="144"/>
  <c r="T692" i="144"/>
  <c r="T1336" i="144"/>
  <c r="J680" i="144"/>
  <c r="I1056" i="144"/>
  <c r="T328" i="144"/>
  <c r="T1354" i="144"/>
  <c r="J347" i="144"/>
  <c r="T385" i="144"/>
  <c r="I586" i="144"/>
  <c r="I1651" i="144"/>
  <c r="J1518" i="144"/>
  <c r="J572" i="144"/>
  <c r="T999" i="144"/>
  <c r="J2019" i="144"/>
  <c r="J792" i="144"/>
  <c r="J527" i="144"/>
  <c r="I550" i="144"/>
  <c r="T443" i="144"/>
  <c r="T1245" i="144"/>
  <c r="J721" i="144"/>
  <c r="I1487" i="144"/>
  <c r="J428" i="144"/>
  <c r="I820" i="144"/>
  <c r="J1290" i="144"/>
  <c r="I648" i="144"/>
  <c r="T93" i="144"/>
  <c r="J73" i="144"/>
  <c r="I1819" i="144"/>
  <c r="J1864" i="144"/>
  <c r="I1807" i="144"/>
  <c r="J641" i="144"/>
  <c r="T43" i="144"/>
  <c r="T358" i="144"/>
  <c r="J908" i="144"/>
  <c r="I1834" i="144"/>
  <c r="J1122" i="144"/>
  <c r="J566" i="144"/>
  <c r="T700" i="144"/>
  <c r="I2106" i="144"/>
  <c r="J1589" i="144"/>
  <c r="H49" i="1"/>
  <c r="F248" i="75"/>
  <c r="I248" i="75" s="1"/>
  <c r="J393" i="75"/>
  <c r="R99" i="1"/>
  <c r="I214" i="75"/>
  <c r="R90" i="1"/>
  <c r="J819" i="144"/>
  <c r="I1760" i="144"/>
  <c r="I833" i="144"/>
  <c r="I1753" i="144"/>
  <c r="T1962" i="144"/>
  <c r="I631" i="144"/>
  <c r="J1115" i="144"/>
  <c r="I487" i="144"/>
  <c r="T1125" i="144"/>
  <c r="P17" i="102"/>
  <c r="I97" i="146"/>
  <c r="J12" i="146"/>
  <c r="J1118" i="144"/>
  <c r="I903" i="144"/>
  <c r="J2050" i="144"/>
  <c r="J274" i="144"/>
  <c r="T773" i="144"/>
  <c r="I1835" i="144"/>
  <c r="I851" i="144"/>
  <c r="T1001" i="144"/>
  <c r="T751" i="144"/>
  <c r="I1646" i="144"/>
  <c r="I1127" i="144"/>
  <c r="J1658" i="144"/>
  <c r="T1502" i="144"/>
  <c r="T388" i="144"/>
  <c r="J1863" i="144"/>
  <c r="I1203" i="144"/>
  <c r="J778" i="144"/>
  <c r="J1365" i="144"/>
  <c r="I950" i="144"/>
  <c r="J211" i="144"/>
  <c r="T1606" i="144"/>
  <c r="J959" i="144"/>
  <c r="I281" i="144"/>
  <c r="T975" i="144"/>
  <c r="T1909" i="144"/>
  <c r="J327" i="144"/>
  <c r="I1074" i="144"/>
  <c r="T884" i="144"/>
  <c r="T634" i="144"/>
  <c r="I1312" i="144"/>
  <c r="I1261" i="144"/>
  <c r="J1262" i="144"/>
  <c r="T1621" i="144"/>
  <c r="J1647" i="144"/>
  <c r="J157" i="144"/>
  <c r="I1314" i="144"/>
  <c r="T371" i="144"/>
  <c r="T1858" i="144"/>
  <c r="I790" i="144"/>
  <c r="T602" i="144"/>
  <c r="I124" i="144"/>
  <c r="T2004" i="144"/>
  <c r="T1811" i="144"/>
  <c r="T206" i="144"/>
  <c r="T503" i="144"/>
  <c r="T1914" i="144"/>
  <c r="T1345" i="144"/>
  <c r="F250" i="75"/>
  <c r="R152" i="1"/>
  <c r="S165" i="71"/>
  <c r="I12" i="146"/>
  <c r="T1142" i="144"/>
  <c r="T924" i="144"/>
  <c r="T812" i="144"/>
  <c r="I1573" i="144"/>
  <c r="T1102" i="144"/>
  <c r="J794" i="144"/>
  <c r="T1691" i="144"/>
  <c r="J82" i="144"/>
  <c r="J1020" i="144"/>
  <c r="J1749" i="144"/>
  <c r="J245" i="144"/>
  <c r="T366" i="144"/>
  <c r="T997" i="144"/>
  <c r="J20" i="144"/>
  <c r="I611" i="144"/>
  <c r="J973" i="144"/>
  <c r="T901" i="144"/>
  <c r="T1521" i="144"/>
  <c r="T553" i="144"/>
  <c r="I653" i="144"/>
  <c r="I148" i="144"/>
  <c r="J1471" i="144"/>
  <c r="T497" i="144"/>
  <c r="T1435" i="144"/>
  <c r="T661" i="144"/>
  <c r="I256" i="144"/>
  <c r="T870" i="144"/>
  <c r="I1495" i="144"/>
  <c r="I513" i="144"/>
  <c r="T961" i="144"/>
  <c r="T270" i="144"/>
  <c r="J2018" i="144"/>
  <c r="I1066" i="144"/>
  <c r="J459" i="144"/>
  <c r="T170" i="144"/>
  <c r="J760" i="144"/>
  <c r="T1133" i="144"/>
  <c r="I1368" i="144"/>
  <c r="T1845" i="144"/>
  <c r="I1082" i="144"/>
  <c r="T1873" i="144"/>
  <c r="T1238" i="144"/>
  <c r="J1743" i="144"/>
  <c r="J1821" i="144"/>
  <c r="T318" i="144"/>
  <c r="I862" i="144"/>
  <c r="T2327" i="144"/>
  <c r="J2129" i="144"/>
  <c r="I2125" i="144"/>
  <c r="J2315" i="144"/>
  <c r="R167" i="1"/>
  <c r="M11" i="64"/>
  <c r="J2101" i="144"/>
  <c r="I2101" i="144"/>
  <c r="T2101" i="144"/>
  <c r="J769" i="144"/>
  <c r="T769" i="144"/>
  <c r="T481" i="144"/>
  <c r="J481" i="144"/>
  <c r="I28" i="144"/>
  <c r="T28" i="144"/>
  <c r="T1220" i="144"/>
  <c r="J1220" i="144"/>
  <c r="T135" i="144"/>
  <c r="I135" i="144"/>
  <c r="T626" i="144"/>
  <c r="J626" i="144"/>
  <c r="J1037" i="144"/>
  <c r="I1037" i="144"/>
  <c r="I1334" i="144"/>
  <c r="T1334" i="144"/>
  <c r="J1334" i="144"/>
  <c r="I1485" i="144"/>
  <c r="T1485" i="144"/>
  <c r="T1344" i="144"/>
  <c r="J1344" i="144"/>
  <c r="J636" i="144"/>
  <c r="T636" i="144"/>
  <c r="I789" i="144"/>
  <c r="T789" i="144"/>
  <c r="I645" i="144"/>
  <c r="J645" i="144"/>
  <c r="J1721" i="144"/>
  <c r="T1721" i="144"/>
  <c r="J344" i="144"/>
  <c r="T344" i="144"/>
  <c r="T1516" i="144"/>
  <c r="J1516" i="144"/>
  <c r="I1516" i="144"/>
  <c r="J1237" i="144"/>
  <c r="I1237" i="144"/>
  <c r="J1999" i="144"/>
  <c r="I1999" i="144"/>
  <c r="T1999" i="144"/>
  <c r="J649" i="144"/>
  <c r="T649" i="144"/>
  <c r="I757" i="144"/>
  <c r="T757" i="144"/>
  <c r="J757" i="144"/>
  <c r="I749" i="144"/>
  <c r="T1915" i="144"/>
  <c r="I907" i="144"/>
  <c r="T907" i="144"/>
  <c r="T1058" i="144"/>
  <c r="I1058" i="144"/>
  <c r="J1058" i="144"/>
  <c r="T133" i="144"/>
  <c r="I133" i="144"/>
  <c r="J133" i="144"/>
  <c r="J1674" i="144"/>
  <c r="I1674" i="144"/>
  <c r="J115" i="144"/>
  <c r="I115" i="144"/>
  <c r="T701" i="144"/>
  <c r="J701" i="144"/>
  <c r="T1224" i="144"/>
  <c r="J1224" i="144"/>
  <c r="J1555" i="144"/>
  <c r="I1555" i="144"/>
  <c r="T1233" i="144"/>
  <c r="J1233" i="144"/>
  <c r="T312" i="144"/>
  <c r="I312" i="144"/>
  <c r="T1179" i="144"/>
  <c r="I1179" i="144"/>
  <c r="J1538" i="144"/>
  <c r="I1538" i="144"/>
  <c r="J1023" i="144"/>
  <c r="I1023" i="144"/>
  <c r="I979" i="144"/>
  <c r="J979" i="144"/>
  <c r="J1246" i="144"/>
  <c r="I1246" i="144"/>
  <c r="I172" i="144"/>
  <c r="T172" i="144"/>
  <c r="T570" i="144"/>
  <c r="J570" i="144"/>
  <c r="I570" i="144"/>
  <c r="J1757" i="144"/>
  <c r="T1757" i="144"/>
  <c r="I1524" i="144"/>
  <c r="J1524" i="144"/>
  <c r="J79" i="75"/>
  <c r="I79" i="75"/>
  <c r="J163" i="75"/>
  <c r="J47" i="101"/>
  <c r="K47" i="101"/>
  <c r="I47" i="101"/>
  <c r="I163" i="75"/>
  <c r="F114" i="75"/>
  <c r="H42" i="1"/>
  <c r="R42" i="1"/>
  <c r="F215" i="75"/>
  <c r="R155" i="1"/>
  <c r="R76" i="1"/>
  <c r="H76" i="1"/>
  <c r="F137" i="75"/>
  <c r="I137" i="75" s="1"/>
  <c r="F131" i="75"/>
  <c r="I131" i="75" s="1"/>
  <c r="F123" i="75"/>
  <c r="F111" i="75"/>
  <c r="R20" i="1"/>
  <c r="J422" i="144"/>
  <c r="F122" i="75"/>
  <c r="I122" i="75" s="1"/>
  <c r="R109" i="1"/>
  <c r="I776" i="144"/>
  <c r="I1802" i="144"/>
  <c r="I1430" i="144"/>
  <c r="T1524" i="144"/>
  <c r="F355" i="75"/>
  <c r="F357" i="75"/>
  <c r="F358" i="75"/>
  <c r="F359" i="75"/>
  <c r="H50" i="1"/>
  <c r="F360" i="75"/>
  <c r="F162" i="75"/>
  <c r="R112" i="1"/>
  <c r="F175" i="75"/>
  <c r="F176" i="75"/>
  <c r="F164" i="75"/>
  <c r="H112" i="1"/>
  <c r="F81" i="75"/>
  <c r="H133" i="1"/>
  <c r="F83" i="75"/>
  <c r="J83" i="75" s="1"/>
  <c r="F80" i="75"/>
  <c r="J80" i="75" s="1"/>
  <c r="R133" i="1"/>
  <c r="F82" i="75"/>
  <c r="F58" i="75"/>
  <c r="F60" i="75"/>
  <c r="R27" i="1"/>
  <c r="F157" i="75"/>
  <c r="J157" i="75" s="1"/>
  <c r="I2196" i="144"/>
  <c r="T786" i="144"/>
  <c r="J1671" i="144"/>
  <c r="I269" i="144"/>
  <c r="J320" i="144"/>
  <c r="T320" i="144"/>
  <c r="J1381" i="144"/>
  <c r="I1381" i="144"/>
  <c r="J547" i="144"/>
  <c r="T547" i="144"/>
  <c r="T1592" i="144"/>
  <c r="J1592" i="144"/>
  <c r="T1040" i="144"/>
  <c r="J1040" i="144"/>
  <c r="I1857" i="144"/>
  <c r="T1857" i="144"/>
  <c r="T2062" i="144"/>
  <c r="J2062" i="144"/>
  <c r="I946" i="144"/>
  <c r="T946" i="144"/>
  <c r="T891" i="144"/>
  <c r="J891" i="144"/>
  <c r="I891" i="144"/>
  <c r="T103" i="144"/>
  <c r="I103" i="144"/>
  <c r="T254" i="144"/>
  <c r="I254" i="144"/>
  <c r="T1419" i="144"/>
  <c r="J1419" i="144"/>
  <c r="H27" i="1"/>
  <c r="F356" i="75"/>
  <c r="I210" i="75"/>
  <c r="J210" i="75"/>
  <c r="H155" i="1"/>
  <c r="I237" i="75"/>
  <c r="J237" i="75"/>
  <c r="F258" i="75"/>
  <c r="F260" i="75"/>
  <c r="J260" i="75" s="1"/>
  <c r="F259" i="75"/>
  <c r="H115" i="1"/>
  <c r="H20" i="1"/>
  <c r="F235" i="75"/>
  <c r="R111" i="1"/>
  <c r="H111" i="1"/>
  <c r="F281" i="75"/>
  <c r="R40" i="1"/>
  <c r="H40" i="1"/>
  <c r="F372" i="75"/>
  <c r="R10" i="1"/>
  <c r="I2248" i="144"/>
  <c r="J15" i="170"/>
  <c r="F195" i="75"/>
  <c r="F197" i="75"/>
  <c r="F194" i="75"/>
  <c r="I194" i="75" s="1"/>
  <c r="J1430" i="144"/>
  <c r="I1958" i="144"/>
  <c r="T880" i="144"/>
  <c r="I1726" i="144"/>
  <c r="F158" i="75"/>
  <c r="I36" i="101" s="1"/>
  <c r="J1071" i="144"/>
  <c r="J300" i="75"/>
  <c r="J29" i="144"/>
  <c r="F221" i="75"/>
  <c r="R38" i="1"/>
  <c r="H38" i="1"/>
  <c r="F229" i="75"/>
  <c r="H86" i="1"/>
  <c r="R86" i="1"/>
  <c r="H19" i="69"/>
  <c r="K19" i="69" s="1"/>
  <c r="AN83" i="71" s="1"/>
  <c r="H160" i="1"/>
  <c r="R58" i="1"/>
  <c r="H8" i="69"/>
  <c r="K8" i="69" s="1"/>
  <c r="AG47" i="71" s="1"/>
  <c r="F89" i="75"/>
  <c r="F86" i="75"/>
  <c r="F85" i="75"/>
  <c r="F304" i="75"/>
  <c r="F305" i="75"/>
  <c r="H17" i="69"/>
  <c r="K17" i="69" s="1"/>
  <c r="AD51" i="71" s="1"/>
  <c r="R123" i="1"/>
  <c r="F190" i="75"/>
  <c r="H132" i="1"/>
  <c r="J462" i="144"/>
  <c r="I2268" i="144"/>
  <c r="I2298" i="144"/>
  <c r="I2093" i="144"/>
  <c r="J21" i="170"/>
  <c r="E5" i="27"/>
  <c r="F99" i="75"/>
  <c r="R161" i="1"/>
  <c r="F198" i="75"/>
  <c r="F380" i="75"/>
  <c r="R136" i="1"/>
  <c r="R126" i="1"/>
  <c r="R53" i="1"/>
  <c r="H83" i="1"/>
  <c r="H93" i="1"/>
  <c r="S157" i="71"/>
  <c r="F364" i="75"/>
  <c r="R169" i="1"/>
  <c r="F385" i="75"/>
  <c r="R61" i="1"/>
  <c r="F232" i="75"/>
  <c r="R87" i="1"/>
  <c r="H87" i="1"/>
  <c r="R165" i="1"/>
  <c r="F306" i="75"/>
  <c r="F314" i="75"/>
  <c r="F352" i="75"/>
  <c r="F350" i="75"/>
  <c r="F353" i="75"/>
  <c r="H82" i="1"/>
  <c r="R115" i="1"/>
  <c r="F207" i="75"/>
  <c r="F209" i="75"/>
  <c r="F177" i="75"/>
  <c r="R173" i="1"/>
  <c r="R43" i="1"/>
  <c r="F242" i="75"/>
  <c r="F299" i="75"/>
  <c r="F297" i="75"/>
  <c r="H103" i="1"/>
  <c r="R103" i="1"/>
  <c r="J23" i="170"/>
  <c r="F160" i="75"/>
  <c r="J160" i="75" s="1"/>
  <c r="I707" i="144"/>
  <c r="I1330" i="144"/>
  <c r="F101" i="75"/>
  <c r="J22" i="101" s="1"/>
  <c r="R50" i="1"/>
  <c r="S149" i="71"/>
  <c r="S120" i="71"/>
  <c r="S109" i="71"/>
  <c r="S121" i="71"/>
  <c r="F179" i="75"/>
  <c r="H80" i="1"/>
  <c r="F61" i="75"/>
  <c r="R138" i="1"/>
  <c r="F261" i="75"/>
  <c r="F262" i="75"/>
  <c r="H147" i="1"/>
  <c r="I370" i="75"/>
  <c r="K72" i="101"/>
  <c r="R163" i="1"/>
  <c r="J967" i="144"/>
  <c r="F390" i="75"/>
  <c r="R116" i="1"/>
  <c r="I391" i="75"/>
  <c r="J391" i="75"/>
  <c r="M22" i="64"/>
  <c r="R33" i="1"/>
  <c r="F201" i="75"/>
  <c r="F269" i="75"/>
  <c r="F271" i="75"/>
  <c r="R47" i="1"/>
  <c r="R127" i="1"/>
  <c r="T2326" i="144"/>
  <c r="J2186" i="144"/>
  <c r="H10" i="1"/>
  <c r="F228" i="75"/>
  <c r="H70" i="1"/>
  <c r="R70" i="1"/>
  <c r="F140" i="75"/>
  <c r="C31" i="169"/>
  <c r="H18" i="69"/>
  <c r="K18" i="69" s="1"/>
  <c r="AC51" i="71" s="1"/>
  <c r="F145" i="75"/>
  <c r="F141" i="75"/>
  <c r="R153" i="1"/>
  <c r="H85" i="1"/>
  <c r="F87" i="75"/>
  <c r="F277" i="75"/>
  <c r="H137" i="1"/>
  <c r="F112" i="75"/>
  <c r="H26" i="1"/>
  <c r="J290" i="75"/>
  <c r="I290" i="75"/>
  <c r="I309" i="75"/>
  <c r="J309" i="75"/>
  <c r="T417" i="144"/>
  <c r="I417" i="144"/>
  <c r="J426" i="144"/>
  <c r="T426" i="144"/>
  <c r="T854" i="144"/>
  <c r="J854" i="144"/>
  <c r="I854" i="144"/>
  <c r="I1496" i="144"/>
  <c r="T1496" i="144"/>
  <c r="J1496" i="144"/>
  <c r="J1315" i="144"/>
  <c r="T1315" i="144"/>
  <c r="I1315" i="144"/>
  <c r="T725" i="144"/>
  <c r="I725" i="144"/>
  <c r="T529" i="144"/>
  <c r="J529" i="144"/>
  <c r="J147" i="144"/>
  <c r="T147" i="144"/>
  <c r="J667" i="144"/>
  <c r="I667" i="144"/>
  <c r="I1333" i="144"/>
  <c r="J1333" i="144"/>
  <c r="T1333" i="144"/>
  <c r="I688" i="144"/>
  <c r="J688" i="144"/>
  <c r="J868" i="144"/>
  <c r="I868" i="144"/>
  <c r="T1032" i="144"/>
  <c r="I1032" i="144"/>
  <c r="T1304" i="144"/>
  <c r="J1304" i="144"/>
  <c r="I1304" i="144"/>
  <c r="I918" i="144"/>
  <c r="T918" i="144"/>
  <c r="I1313" i="144"/>
  <c r="J1313" i="144"/>
  <c r="T1313" i="144"/>
  <c r="T1550" i="144"/>
  <c r="J1550" i="144"/>
  <c r="T1371" i="144"/>
  <c r="I1371" i="144"/>
  <c r="T505" i="144"/>
  <c r="J505" i="144"/>
  <c r="I505" i="144"/>
  <c r="I1682" i="144"/>
  <c r="I1507" i="144"/>
  <c r="J1507" i="144"/>
  <c r="T1507" i="144"/>
  <c r="T85" i="144"/>
  <c r="I85" i="144"/>
  <c r="I480" i="144"/>
  <c r="J480" i="144"/>
  <c r="I412" i="144"/>
  <c r="J412" i="144"/>
  <c r="T1090" i="144"/>
  <c r="J1090" i="144"/>
  <c r="J1103" i="144"/>
  <c r="I1103" i="144"/>
  <c r="J61" i="144"/>
  <c r="T61" i="144"/>
  <c r="I61" i="144"/>
  <c r="J517" i="144"/>
  <c r="T517" i="144"/>
  <c r="I517" i="144"/>
  <c r="I846" i="144"/>
  <c r="T846" i="144"/>
  <c r="J846" i="144"/>
  <c r="I1543" i="144"/>
  <c r="J1543" i="144"/>
  <c r="J675" i="144"/>
  <c r="T675" i="144"/>
  <c r="T241" i="144"/>
  <c r="I241" i="144"/>
  <c r="J1208" i="144"/>
  <c r="I1208" i="144"/>
  <c r="T1539" i="144"/>
  <c r="I1539" i="144"/>
  <c r="T1520" i="144"/>
  <c r="I1520" i="144"/>
  <c r="I336" i="144"/>
  <c r="J336" i="144"/>
  <c r="J548" i="144"/>
  <c r="T548" i="144"/>
  <c r="J22" i="144"/>
  <c r="I22" i="144"/>
  <c r="T22" i="144"/>
  <c r="J963" i="144"/>
  <c r="I963" i="144"/>
  <c r="J209" i="144"/>
  <c r="I209" i="144"/>
  <c r="I594" i="144"/>
  <c r="T594" i="144"/>
  <c r="J2296" i="144"/>
  <c r="T2296" i="144"/>
  <c r="J55" i="144"/>
  <c r="I55" i="144"/>
  <c r="T38" i="144"/>
  <c r="I38" i="144"/>
  <c r="J247" i="144"/>
  <c r="T247" i="144"/>
  <c r="J2280" i="144"/>
  <c r="T2280" i="144"/>
  <c r="I183" i="75"/>
  <c r="I35" i="101"/>
  <c r="T1523" i="144"/>
  <c r="I1062" i="144"/>
  <c r="I1231" i="144"/>
  <c r="I359" i="144"/>
  <c r="T1195" i="144"/>
  <c r="J191" i="75"/>
  <c r="I191" i="75"/>
  <c r="J1123" i="144"/>
  <c r="I1123" i="144"/>
  <c r="I1073" i="144"/>
  <c r="I2149" i="144"/>
  <c r="T2149" i="144"/>
  <c r="J2281" i="144"/>
  <c r="J2235" i="144"/>
  <c r="T2297" i="144"/>
  <c r="J2297" i="144"/>
  <c r="E100" i="1"/>
  <c r="F51" i="75" s="1"/>
  <c r="E144" i="1"/>
  <c r="E150" i="1"/>
  <c r="H150" i="1" s="1"/>
  <c r="K35" i="101"/>
  <c r="J467" i="144"/>
  <c r="I1818" i="144"/>
  <c r="J725" i="144"/>
  <c r="T1939" i="144"/>
  <c r="J2140" i="144"/>
  <c r="T1014" i="144"/>
  <c r="I1092" i="144"/>
  <c r="J1092" i="144"/>
  <c r="T1092" i="144"/>
  <c r="S172" i="71"/>
  <c r="J13" i="170"/>
  <c r="J2093" i="144"/>
  <c r="I2140" i="144"/>
  <c r="T1847" i="144"/>
  <c r="I1826" i="144"/>
  <c r="T1275" i="144"/>
  <c r="J1275" i="144"/>
  <c r="I1296" i="144"/>
  <c r="J2303" i="144"/>
  <c r="T2268" i="144"/>
  <c r="T2170" i="144"/>
  <c r="I2145" i="144"/>
  <c r="I2277" i="144"/>
  <c r="J2291" i="144"/>
  <c r="F256" i="75"/>
  <c r="I256" i="75" s="1"/>
  <c r="H18" i="1"/>
  <c r="T2180" i="144"/>
  <c r="T2140" i="144"/>
  <c r="T1175" i="144"/>
  <c r="I217" i="144"/>
  <c r="J217" i="144"/>
  <c r="J1588" i="144"/>
  <c r="T1588" i="144"/>
  <c r="I1451" i="144"/>
  <c r="J1451" i="144"/>
  <c r="J430" i="144"/>
  <c r="J2049" i="144"/>
  <c r="I2049" i="144"/>
  <c r="I2172" i="144"/>
  <c r="T2258" i="144"/>
  <c r="T2313" i="144"/>
  <c r="I2324" i="144"/>
  <c r="J2208" i="144"/>
  <c r="J16" i="125"/>
  <c r="T1864" i="144"/>
  <c r="I1109" i="144"/>
  <c r="T464" i="144"/>
  <c r="I464" i="144"/>
  <c r="J74" i="144"/>
  <c r="T74" i="144"/>
  <c r="I1141" i="144"/>
  <c r="T1141" i="144"/>
  <c r="T1161" i="144"/>
  <c r="I1161" i="144"/>
  <c r="I1602" i="144"/>
  <c r="T1602" i="144"/>
  <c r="J1602" i="144"/>
  <c r="T785" i="144"/>
  <c r="I785" i="144"/>
  <c r="I1113" i="144"/>
  <c r="J1113" i="144"/>
  <c r="J2107" i="144"/>
  <c r="I1589" i="144"/>
  <c r="J712" i="144"/>
  <c r="T1751" i="144"/>
  <c r="T519" i="144"/>
  <c r="I2159" i="144"/>
  <c r="T1075" i="144"/>
  <c r="I2204" i="144"/>
  <c r="J2285" i="144"/>
  <c r="T2129" i="144"/>
  <c r="I2315" i="144"/>
  <c r="T2176" i="144"/>
  <c r="F234" i="75"/>
  <c r="I234" i="75" s="1"/>
  <c r="F374" i="75"/>
  <c r="J1337" i="144"/>
  <c r="I580" i="144"/>
  <c r="J2237" i="144"/>
  <c r="H154" i="1"/>
  <c r="M15" i="64"/>
  <c r="I338" i="75"/>
  <c r="J338" i="75"/>
  <c r="L15" i="64"/>
  <c r="J2117" i="144"/>
  <c r="I547" i="144"/>
  <c r="T1743" i="144"/>
  <c r="I1294" i="144"/>
  <c r="T1003" i="144"/>
  <c r="I1821" i="144"/>
  <c r="T1066" i="144"/>
  <c r="T1522" i="144"/>
  <c r="I344" i="144"/>
  <c r="T1112" i="144"/>
  <c r="T640" i="144"/>
  <c r="J1062" i="144"/>
  <c r="T1309" i="144"/>
  <c r="I2281" i="144"/>
  <c r="T148" i="144"/>
  <c r="J186" i="144"/>
  <c r="T580" i="144"/>
  <c r="I1749" i="144"/>
  <c r="I1309" i="144"/>
  <c r="I2285" i="144"/>
  <c r="I924" i="144"/>
  <c r="I1400" i="144"/>
  <c r="T186" i="144"/>
  <c r="T1023" i="144"/>
  <c r="J106" i="144"/>
  <c r="J611" i="144"/>
  <c r="J907" i="144"/>
  <c r="I642" i="144"/>
  <c r="T2190" i="144"/>
  <c r="T2163" i="144"/>
  <c r="J97" i="146"/>
  <c r="R32" i="1"/>
  <c r="I47" i="125"/>
  <c r="R122" i="1"/>
  <c r="S80" i="71"/>
  <c r="F40" i="75"/>
  <c r="I40" i="75" s="1"/>
  <c r="I2292" i="144"/>
  <c r="J2149" i="144"/>
  <c r="T1232" i="144"/>
  <c r="J17" i="144"/>
  <c r="T340" i="144"/>
  <c r="J1857" i="144"/>
  <c r="J872" i="144"/>
  <c r="J955" i="144"/>
  <c r="T1666" i="144"/>
  <c r="J545" i="144"/>
  <c r="I1224" i="144"/>
  <c r="T1381" i="144"/>
  <c r="J1112" i="144"/>
  <c r="J1238" i="144"/>
  <c r="R18" i="1"/>
  <c r="R69" i="1"/>
  <c r="F110" i="75"/>
  <c r="I110" i="75" s="1"/>
  <c r="J624" i="144"/>
  <c r="T777" i="144"/>
  <c r="I1121" i="144"/>
  <c r="I865" i="144"/>
  <c r="J1352" i="144"/>
  <c r="J2200" i="144"/>
  <c r="I245" i="144"/>
  <c r="T794" i="144"/>
  <c r="T17" i="144"/>
  <c r="I1419" i="144"/>
  <c r="I794" i="144"/>
  <c r="J1157" i="144"/>
  <c r="I1016" i="144"/>
  <c r="T2074" i="144"/>
  <c r="T1294" i="144"/>
  <c r="I1003" i="144"/>
  <c r="I1522" i="144"/>
  <c r="J1102" i="144"/>
  <c r="T734" i="144"/>
  <c r="J148" i="144"/>
  <c r="I955" i="144"/>
  <c r="J513" i="144"/>
  <c r="T2285" i="144"/>
  <c r="T1016" i="144"/>
  <c r="T1749" i="144"/>
  <c r="T973" i="144"/>
  <c r="T666" i="144"/>
  <c r="I850" i="144"/>
  <c r="I1471" i="144"/>
  <c r="T767" i="144"/>
  <c r="J2204" i="144"/>
  <c r="J2159" i="144"/>
  <c r="I2302" i="144"/>
  <c r="T2279" i="144"/>
  <c r="J2169" i="144"/>
  <c r="I2272" i="144"/>
  <c r="I2295" i="144"/>
  <c r="I293" i="144"/>
  <c r="T1767" i="144"/>
  <c r="I1240" i="144"/>
  <c r="I382" i="75"/>
  <c r="J382" i="75"/>
  <c r="T2200" i="144"/>
  <c r="T1279" i="144"/>
  <c r="T1495" i="144"/>
  <c r="J254" i="144"/>
  <c r="I1238" i="144"/>
  <c r="I887" i="144"/>
  <c r="T2281" i="144"/>
  <c r="J482" i="144"/>
  <c r="J2196" i="144"/>
  <c r="J2263" i="144"/>
  <c r="I2117" i="144"/>
  <c r="I2097" i="144"/>
  <c r="I2313" i="144"/>
  <c r="T2260" i="144"/>
  <c r="F276" i="75"/>
  <c r="I276" i="75" s="1"/>
  <c r="S108" i="71"/>
  <c r="J1373" i="144"/>
  <c r="T1373" i="144"/>
  <c r="I1373" i="144"/>
  <c r="J1165" i="144"/>
  <c r="T1165" i="144"/>
  <c r="I1165" i="144"/>
  <c r="I1169" i="144"/>
  <c r="J1169" i="144"/>
  <c r="J483" i="144"/>
  <c r="I483" i="144"/>
  <c r="I414" i="144"/>
  <c r="J414" i="144"/>
  <c r="T414" i="144"/>
  <c r="T324" i="144"/>
  <c r="I324" i="144"/>
  <c r="J324" i="144"/>
  <c r="J556" i="144"/>
  <c r="T556" i="144"/>
  <c r="T1045" i="144"/>
  <c r="J1045" i="144"/>
  <c r="I1045" i="144"/>
  <c r="I991" i="144"/>
  <c r="T991" i="144"/>
  <c r="J991" i="144"/>
  <c r="I119" i="144"/>
  <c r="J119" i="144"/>
  <c r="T119" i="144"/>
  <c r="T1132" i="144"/>
  <c r="I1132" i="144"/>
  <c r="I332" i="144"/>
  <c r="J332" i="144"/>
  <c r="I1317" i="144"/>
  <c r="J1317" i="144"/>
  <c r="T1317" i="144"/>
  <c r="J515" i="144"/>
  <c r="I515" i="144"/>
  <c r="T515" i="144"/>
  <c r="T684" i="144"/>
  <c r="I684" i="144"/>
  <c r="J684" i="144"/>
  <c r="J1447" i="144"/>
  <c r="I1447" i="144"/>
  <c r="T654" i="144"/>
  <c r="I654" i="144"/>
  <c r="J654" i="144"/>
  <c r="J160" i="144"/>
  <c r="I160" i="144"/>
  <c r="T160" i="144"/>
  <c r="T592" i="144"/>
  <c r="I592" i="144"/>
  <c r="J2067" i="144"/>
  <c r="T2067" i="144"/>
  <c r="I2067" i="144"/>
  <c r="I197" i="144"/>
  <c r="J197" i="144"/>
  <c r="I1013" i="144"/>
  <c r="T1013" i="144"/>
  <c r="J1013" i="144"/>
  <c r="I1063" i="144"/>
  <c r="T1063" i="144"/>
  <c r="J1063" i="144"/>
  <c r="I1172" i="144"/>
  <c r="T1172" i="144"/>
  <c r="J1172" i="144"/>
  <c r="I671" i="144"/>
  <c r="J671" i="144"/>
  <c r="T671" i="144"/>
  <c r="I58" i="144"/>
  <c r="J58" i="144"/>
  <c r="J390" i="144"/>
  <c r="T390" i="144"/>
  <c r="I390" i="144"/>
  <c r="J2065" i="144"/>
  <c r="I2065" i="144"/>
  <c r="T1283" i="144"/>
  <c r="I1283" i="144"/>
  <c r="T604" i="144"/>
  <c r="J604" i="144"/>
  <c r="J484" i="144"/>
  <c r="I484" i="144"/>
  <c r="T484" i="144"/>
  <c r="T537" i="144"/>
  <c r="J537" i="144"/>
  <c r="I537" i="144"/>
  <c r="T1710" i="144"/>
  <c r="J1710" i="144"/>
  <c r="I1710" i="144"/>
  <c r="T1273" i="144"/>
  <c r="I1273" i="144"/>
  <c r="J1273" i="144"/>
  <c r="T970" i="144"/>
  <c r="J970" i="144"/>
  <c r="I9" i="144"/>
  <c r="J9" i="144"/>
  <c r="T9" i="144"/>
  <c r="I1633" i="144"/>
  <c r="J1633" i="144"/>
  <c r="I916" i="144"/>
  <c r="J916" i="144"/>
  <c r="T1491" i="144"/>
  <c r="J1491" i="144"/>
  <c r="J1318" i="144"/>
  <c r="I1318" i="144"/>
  <c r="T1318" i="144"/>
  <c r="J378" i="144"/>
  <c r="I378" i="144"/>
  <c r="T378" i="144"/>
  <c r="T1258" i="144"/>
  <c r="I1258" i="144"/>
  <c r="J1258" i="144"/>
  <c r="I1426" i="144"/>
  <c r="T1426" i="144"/>
  <c r="T564" i="144"/>
  <c r="I564" i="144"/>
  <c r="J564" i="144"/>
  <c r="I896" i="144"/>
  <c r="T896" i="144"/>
  <c r="J896" i="144"/>
  <c r="J369" i="144"/>
  <c r="T369" i="144"/>
  <c r="I369" i="144"/>
  <c r="J168" i="144"/>
  <c r="T168" i="144"/>
  <c r="I168" i="144"/>
  <c r="J501" i="144"/>
  <c r="I501" i="144"/>
  <c r="T501" i="144"/>
  <c r="J300" i="144"/>
  <c r="T300" i="144"/>
  <c r="I200" i="144"/>
  <c r="J200" i="144"/>
  <c r="T860" i="144"/>
  <c r="J860" i="144"/>
  <c r="I1266" i="144"/>
  <c r="J1266" i="144"/>
  <c r="T1266" i="144"/>
  <c r="T308" i="144"/>
  <c r="J308" i="144"/>
  <c r="J1441" i="144"/>
  <c r="I1441" i="144"/>
  <c r="T1441" i="144"/>
  <c r="J2113" i="144"/>
  <c r="I2113" i="144"/>
  <c r="T2113" i="144"/>
  <c r="T89" i="144"/>
  <c r="J89" i="144"/>
  <c r="T208" i="144"/>
  <c r="I208" i="144"/>
  <c r="J208" i="144"/>
  <c r="I33" i="144"/>
  <c r="J33" i="144"/>
  <c r="T33" i="144"/>
  <c r="T2278" i="144"/>
  <c r="I2278" i="144"/>
  <c r="T2290" i="144"/>
  <c r="J2290" i="144"/>
  <c r="J2217" i="144"/>
  <c r="I2217" i="144"/>
  <c r="T2088" i="144"/>
  <c r="I2088" i="144"/>
  <c r="J2088" i="144"/>
  <c r="I2235" i="144"/>
  <c r="T2235" i="144"/>
  <c r="I2239" i="144"/>
  <c r="J2239" i="144"/>
  <c r="T2264" i="144"/>
  <c r="I2264" i="144"/>
  <c r="J2133" i="144"/>
  <c r="I2133" i="144"/>
  <c r="J104" i="75"/>
  <c r="I104" i="75"/>
  <c r="R120" i="1"/>
  <c r="F204" i="75"/>
  <c r="R91" i="1"/>
  <c r="F202" i="75"/>
  <c r="H91" i="1"/>
  <c r="H45" i="1"/>
  <c r="R45" i="1"/>
  <c r="F225" i="75"/>
  <c r="I740" i="144"/>
  <c r="J740" i="144"/>
  <c r="T740" i="144"/>
  <c r="J215" i="144"/>
  <c r="T659" i="144"/>
  <c r="I89" i="144"/>
  <c r="T1633" i="144"/>
  <c r="J357" i="144"/>
  <c r="I357" i="144"/>
  <c r="T576" i="144"/>
  <c r="I576" i="144"/>
  <c r="J576" i="144"/>
  <c r="I373" i="144"/>
  <c r="T373" i="144"/>
  <c r="J373" i="144"/>
  <c r="T1618" i="144"/>
  <c r="J1618" i="144"/>
  <c r="I1618" i="144"/>
  <c r="T1625" i="144"/>
  <c r="J1625" i="144"/>
  <c r="I1625" i="144"/>
  <c r="I697" i="144"/>
  <c r="T697" i="144"/>
  <c r="T1303" i="144"/>
  <c r="I1303" i="144"/>
  <c r="T1372" i="144"/>
  <c r="J1372" i="144"/>
  <c r="T152" i="144"/>
  <c r="J152" i="144"/>
  <c r="I152" i="144"/>
  <c r="J987" i="144"/>
  <c r="T987" i="144"/>
  <c r="I1476" i="144"/>
  <c r="T1476" i="144"/>
  <c r="J733" i="144"/>
  <c r="T733" i="144"/>
  <c r="T958" i="144"/>
  <c r="I958" i="144"/>
  <c r="J958" i="144"/>
  <c r="J316" i="144"/>
  <c r="I316" i="144"/>
  <c r="I554" i="144"/>
  <c r="T554" i="144"/>
  <c r="I1391" i="144"/>
  <c r="J1391" i="144"/>
  <c r="I1331" i="144"/>
  <c r="T1331" i="144"/>
  <c r="T788" i="144"/>
  <c r="J788" i="144"/>
  <c r="I788" i="144"/>
  <c r="T1114" i="144"/>
  <c r="I1114" i="144"/>
  <c r="J1114" i="144"/>
  <c r="J205" i="144"/>
  <c r="I205" i="144"/>
  <c r="T833" i="144"/>
  <c r="J833" i="144"/>
  <c r="I1236" i="144"/>
  <c r="J1236" i="144"/>
  <c r="T1236" i="144"/>
  <c r="I225" i="144"/>
  <c r="T225" i="144"/>
  <c r="J225" i="144"/>
  <c r="J342" i="144"/>
  <c r="I342" i="144"/>
  <c r="T1089" i="144"/>
  <c r="J1089" i="144"/>
  <c r="J1405" i="144"/>
  <c r="I1405" i="144"/>
  <c r="J99" i="144"/>
  <c r="I99" i="144"/>
  <c r="T99" i="144"/>
  <c r="J1012" i="144"/>
  <c r="T1012" i="144"/>
  <c r="J175" i="144"/>
  <c r="T175" i="144"/>
  <c r="T815" i="144"/>
  <c r="I815" i="144"/>
  <c r="T1287" i="144"/>
  <c r="J1287" i="144"/>
  <c r="I1287" i="144"/>
  <c r="J304" i="144"/>
  <c r="T304" i="144"/>
  <c r="I304" i="144"/>
  <c r="J1759" i="144"/>
  <c r="I1759" i="144"/>
  <c r="T1759" i="144"/>
  <c r="J229" i="144"/>
  <c r="T229" i="144"/>
  <c r="I2031" i="144"/>
  <c r="T2031" i="144"/>
  <c r="T27" i="144"/>
  <c r="J27" i="144"/>
  <c r="T65" i="144"/>
  <c r="I65" i="144"/>
  <c r="J392" i="144"/>
  <c r="I392" i="144"/>
  <c r="J590" i="144"/>
  <c r="T590" i="144"/>
  <c r="I765" i="144"/>
  <c r="T765" i="144"/>
  <c r="J1162" i="144"/>
  <c r="I1162" i="144"/>
  <c r="T1162" i="144"/>
  <c r="J811" i="144"/>
  <c r="T811" i="144"/>
  <c r="J717" i="144"/>
  <c r="I717" i="144"/>
  <c r="J1455" i="144"/>
  <c r="I1455" i="144"/>
  <c r="T1455" i="144"/>
  <c r="I1094" i="144"/>
  <c r="T1094" i="144"/>
  <c r="J810" i="144"/>
  <c r="T810" i="144"/>
  <c r="I810" i="144"/>
  <c r="T878" i="144"/>
  <c r="J878" i="144"/>
  <c r="I878" i="144"/>
  <c r="I418" i="144"/>
  <c r="J418" i="144"/>
  <c r="I1200" i="144"/>
  <c r="J1200" i="144"/>
  <c r="T2036" i="144"/>
  <c r="I2036" i="144"/>
  <c r="J1254" i="144"/>
  <c r="I1254" i="144"/>
  <c r="T1254" i="144"/>
  <c r="I1015" i="144"/>
  <c r="T1015" i="144"/>
  <c r="J1015" i="144"/>
  <c r="J1097" i="144"/>
  <c r="T1097" i="144"/>
  <c r="I1097" i="144"/>
  <c r="J350" i="144"/>
  <c r="T350" i="144"/>
  <c r="I21" i="144"/>
  <c r="T21" i="144"/>
  <c r="I542" i="144"/>
  <c r="T542" i="144"/>
  <c r="J542" i="144"/>
  <c r="T402" i="144"/>
  <c r="J402" i="144"/>
  <c r="I402" i="144"/>
  <c r="J2073" i="144"/>
  <c r="I2073" i="144"/>
  <c r="J983" i="144"/>
  <c r="T983" i="144"/>
  <c r="I983" i="144"/>
  <c r="T283" i="144"/>
  <c r="I283" i="144"/>
  <c r="J1571" i="144"/>
  <c r="I1571" i="144"/>
  <c r="T1571" i="144"/>
  <c r="J1903" i="144"/>
  <c r="I1903" i="144"/>
  <c r="T1903" i="144"/>
  <c r="I182" i="144"/>
  <c r="T182" i="144"/>
  <c r="T1166" i="144"/>
  <c r="I1166" i="144"/>
  <c r="I1356" i="144"/>
  <c r="T1356" i="144"/>
  <c r="J1356" i="144"/>
  <c r="J2051" i="144"/>
  <c r="I2051" i="144"/>
  <c r="I2091" i="144"/>
  <c r="I568" i="144"/>
  <c r="J568" i="144"/>
  <c r="I67" i="144"/>
  <c r="J67" i="144"/>
  <c r="T67" i="144"/>
  <c r="T2098" i="144"/>
  <c r="J2098" i="144"/>
  <c r="T2219" i="144"/>
  <c r="I2306" i="144"/>
  <c r="J2306" i="144"/>
  <c r="T2306" i="144"/>
  <c r="I2168" i="144"/>
  <c r="J2168" i="144"/>
  <c r="T2168" i="144"/>
  <c r="J2311" i="144"/>
  <c r="T2311" i="144"/>
  <c r="I2311" i="144"/>
  <c r="I2300" i="144"/>
  <c r="T2300" i="144"/>
  <c r="J387" i="75"/>
  <c r="I387" i="75"/>
  <c r="I12" i="125"/>
  <c r="J12" i="125"/>
  <c r="H22" i="64"/>
  <c r="H36" i="64" s="1"/>
  <c r="B9" i="158" s="1"/>
  <c r="G36" i="64"/>
  <c r="F203" i="75"/>
  <c r="T2325" i="144"/>
  <c r="I2212" i="144"/>
  <c r="T261" i="144"/>
  <c r="I994" i="144"/>
  <c r="T2097" i="144"/>
  <c r="I2169" i="144"/>
  <c r="I2121" i="144"/>
  <c r="I151" i="75"/>
  <c r="J1479" i="144"/>
  <c r="I2208" i="144"/>
  <c r="T2256" i="144"/>
  <c r="T196" i="144"/>
  <c r="J98" i="146"/>
  <c r="T1870" i="144"/>
  <c r="I410" i="144"/>
  <c r="T735" i="144"/>
  <c r="I363" i="144"/>
  <c r="I911" i="144"/>
  <c r="J1378" i="144"/>
  <c r="J2302" i="144"/>
  <c r="I1639" i="144"/>
  <c r="J2106" i="144"/>
  <c r="T394" i="144"/>
  <c r="T908" i="144"/>
  <c r="I1228" i="144"/>
  <c r="J1835" i="144"/>
  <c r="T1835" i="144"/>
  <c r="J1292" i="144"/>
  <c r="I1292" i="144"/>
  <c r="I240" i="144"/>
  <c r="J240" i="144"/>
  <c r="J156" i="144"/>
  <c r="I156" i="144"/>
  <c r="T156" i="144"/>
  <c r="T1612" i="144"/>
  <c r="J1612" i="144"/>
  <c r="T1240" i="144"/>
  <c r="J293" i="144"/>
  <c r="I2161" i="144"/>
  <c r="R97" i="1"/>
  <c r="L17" i="102"/>
  <c r="I1870" i="144"/>
  <c r="J291" i="144"/>
  <c r="I298" i="144"/>
  <c r="I1578" i="144"/>
  <c r="J1284" i="144"/>
  <c r="I1284" i="144"/>
  <c r="J737" i="144"/>
  <c r="T737" i="144"/>
  <c r="I1244" i="144"/>
  <c r="I15" i="101"/>
  <c r="J15" i="101"/>
  <c r="J14" i="170"/>
  <c r="T53" i="144"/>
  <c r="T1159" i="144"/>
  <c r="T1191" i="144"/>
  <c r="T2121" i="144"/>
  <c r="T2172" i="144"/>
  <c r="J617" i="144"/>
  <c r="I2256" i="144"/>
  <c r="T1028" i="144"/>
  <c r="J1057" i="144"/>
  <c r="T2302" i="144"/>
  <c r="J2212" i="144"/>
  <c r="J2277" i="144"/>
  <c r="T1671" i="144"/>
  <c r="J586" i="144"/>
  <c r="J1181" i="144"/>
  <c r="T430" i="144"/>
  <c r="H71" i="1"/>
  <c r="I18" i="125"/>
  <c r="J18" i="125"/>
  <c r="I50" i="125"/>
  <c r="J50" i="125"/>
  <c r="J1678" i="144"/>
  <c r="I1678" i="144"/>
  <c r="I741" i="144"/>
  <c r="J741" i="144"/>
  <c r="J123" i="144"/>
  <c r="T123" i="144"/>
  <c r="I1804" i="144"/>
  <c r="J1804" i="144"/>
  <c r="J709" i="144"/>
  <c r="T709" i="144"/>
  <c r="I1136" i="144"/>
  <c r="J1136" i="144"/>
  <c r="T1136" i="144"/>
  <c r="I1054" i="144"/>
  <c r="J1054" i="144"/>
  <c r="I2252" i="144"/>
  <c r="J2252" i="144"/>
  <c r="J2264" i="144"/>
  <c r="I2180" i="144"/>
  <c r="J146" i="75"/>
  <c r="I146" i="75"/>
  <c r="T1364" i="144"/>
  <c r="I1364" i="144"/>
  <c r="T858" i="144"/>
  <c r="I858" i="144"/>
  <c r="J1459" i="144"/>
  <c r="I1459" i="144"/>
  <c r="T2319" i="144"/>
  <c r="H97" i="1"/>
  <c r="J22" i="170"/>
  <c r="J776" i="144"/>
  <c r="I1159" i="144"/>
  <c r="T642" i="144"/>
  <c r="J26" i="170"/>
  <c r="J2145" i="144"/>
  <c r="I261" i="144"/>
  <c r="J1028" i="144"/>
  <c r="I448" i="144"/>
  <c r="T1057" i="144"/>
  <c r="T363" i="144"/>
  <c r="I328" i="144"/>
  <c r="T2272" i="144"/>
  <c r="T233" i="144"/>
  <c r="I1757" i="144"/>
  <c r="T2212" i="144"/>
  <c r="I2319" i="144"/>
  <c r="I291" i="144"/>
  <c r="I1186" i="144"/>
  <c r="I1354" i="144"/>
  <c r="T1494" i="144"/>
  <c r="T177" i="144"/>
  <c r="I177" i="144"/>
  <c r="J995" i="144"/>
  <c r="T995" i="144"/>
  <c r="T1416" i="144"/>
  <c r="I1416" i="144"/>
  <c r="T1493" i="144"/>
  <c r="J1493" i="144"/>
  <c r="T971" i="144"/>
  <c r="J971" i="144"/>
  <c r="J665" i="144"/>
  <c r="T665" i="144"/>
  <c r="J1597" i="144"/>
  <c r="I1597" i="144"/>
  <c r="J1413" i="144"/>
  <c r="T1413" i="144"/>
  <c r="J1360" i="144"/>
  <c r="I1360" i="144"/>
  <c r="I411" i="144"/>
  <c r="J411" i="144"/>
  <c r="I2263" i="144"/>
  <c r="I2296" i="144"/>
  <c r="T2231" i="144"/>
  <c r="J705" i="144"/>
  <c r="T862" i="144"/>
  <c r="K15" i="101"/>
  <c r="F36" i="75"/>
  <c r="H9" i="69"/>
  <c r="K9" i="69" s="1"/>
  <c r="AB7" i="71" s="1"/>
  <c r="C30" i="169"/>
  <c r="F41" i="75"/>
  <c r="F43" i="75"/>
  <c r="F39" i="75"/>
  <c r="F38" i="75"/>
  <c r="R93" i="1"/>
  <c r="F109" i="75"/>
  <c r="F37" i="75"/>
  <c r="J20" i="125"/>
  <c r="I20" i="125"/>
  <c r="F96" i="75"/>
  <c r="R160" i="1"/>
  <c r="F100" i="75"/>
  <c r="J23" i="101" s="1"/>
  <c r="F103" i="75"/>
  <c r="J239" i="75"/>
  <c r="I239" i="75"/>
  <c r="I841" i="144"/>
  <c r="J841" i="144"/>
  <c r="I1191" i="144"/>
  <c r="I98" i="146"/>
  <c r="I1437" i="144"/>
  <c r="T289" i="144"/>
  <c r="T2305" i="144"/>
  <c r="I1181" i="144"/>
  <c r="J2268" i="144"/>
  <c r="T1434" i="144"/>
  <c r="T741" i="144"/>
  <c r="T2204" i="144"/>
  <c r="J2272" i="144"/>
  <c r="J385" i="144"/>
  <c r="I1275" i="144"/>
  <c r="I1475" i="144"/>
  <c r="J2319" i="144"/>
  <c r="T480" i="144"/>
  <c r="T1127" i="144"/>
  <c r="I675" i="144"/>
  <c r="J549" i="144"/>
  <c r="J1141" i="144"/>
  <c r="J37" i="125"/>
  <c r="I37" i="125"/>
  <c r="J77" i="101"/>
  <c r="J147" i="75"/>
  <c r="I147" i="75"/>
  <c r="J30" i="101"/>
  <c r="I30" i="101"/>
  <c r="K30" i="101"/>
  <c r="I77" i="101"/>
  <c r="K77" i="101"/>
  <c r="J2163" i="144"/>
  <c r="J862" i="144"/>
  <c r="I2322" i="144"/>
  <c r="I2297" i="144"/>
  <c r="H11" i="69"/>
  <c r="K11" i="69" s="1"/>
  <c r="AO51" i="71" s="1"/>
  <c r="F231" i="75"/>
  <c r="H122" i="1"/>
  <c r="F257" i="75"/>
  <c r="H129" i="1"/>
  <c r="R129" i="1"/>
  <c r="N9" i="102"/>
  <c r="M9" i="102"/>
  <c r="P9" i="102" s="1"/>
  <c r="C9" i="203"/>
  <c r="I134" i="75"/>
  <c r="J134" i="75"/>
  <c r="F349" i="75"/>
  <c r="H176" i="1"/>
  <c r="K28" i="64"/>
  <c r="I26" i="125"/>
  <c r="J26" i="125"/>
  <c r="J183" i="75"/>
  <c r="J46" i="101"/>
  <c r="J35" i="101"/>
  <c r="R176" i="1"/>
  <c r="J39" i="101"/>
  <c r="I39" i="101"/>
  <c r="K39" i="101"/>
  <c r="I148" i="75"/>
  <c r="J148" i="75"/>
  <c r="I8" i="125"/>
  <c r="J8" i="125"/>
  <c r="I45" i="125"/>
  <c r="J45" i="125"/>
  <c r="I15" i="125"/>
  <c r="J15" i="125"/>
  <c r="G54" i="100"/>
  <c r="B8" i="158" s="1"/>
  <c r="E172" i="1"/>
  <c r="E39" i="1"/>
  <c r="E19" i="1"/>
  <c r="F29" i="75" s="1"/>
  <c r="E108" i="1"/>
  <c r="E101" i="1"/>
  <c r="E62" i="1"/>
  <c r="E181" i="1"/>
  <c r="F10" i="75" s="1"/>
  <c r="R71" i="1"/>
  <c r="Q77" i="1"/>
  <c r="R77" i="1" s="1"/>
  <c r="H77" i="1"/>
  <c r="Q162" i="1"/>
  <c r="R162" i="1" s="1"/>
  <c r="H162" i="1"/>
  <c r="J373" i="75"/>
  <c r="I373" i="75"/>
  <c r="R106" i="1"/>
  <c r="J135" i="75"/>
  <c r="I135" i="75"/>
  <c r="J9" i="28"/>
  <c r="J20" i="28" s="1"/>
  <c r="C12" i="203"/>
  <c r="Q151" i="1"/>
  <c r="R151" i="1" s="1"/>
  <c r="H151" i="1"/>
  <c r="I127" i="75"/>
  <c r="J127" i="75"/>
  <c r="I24" i="101"/>
  <c r="K24" i="101"/>
  <c r="J105" i="75"/>
  <c r="I105" i="75"/>
  <c r="J24" i="101"/>
  <c r="Q62" i="1"/>
  <c r="Q108" i="1"/>
  <c r="Q150" i="1"/>
  <c r="Q181" i="1"/>
  <c r="Q19" i="1"/>
  <c r="Q101" i="1"/>
  <c r="Q144" i="1"/>
  <c r="Q100" i="1"/>
  <c r="I180" i="75"/>
  <c r="J180" i="75"/>
  <c r="I205" i="75"/>
  <c r="J205" i="75"/>
  <c r="J244" i="75"/>
  <c r="I244" i="75"/>
  <c r="R31" i="1"/>
  <c r="H31" i="1"/>
  <c r="J394" i="75"/>
  <c r="I394" i="75"/>
  <c r="S162" i="71"/>
  <c r="S56" i="71"/>
  <c r="N17" i="102"/>
  <c r="J12" i="102"/>
  <c r="L10" i="102"/>
  <c r="H22" i="102"/>
  <c r="N10" i="102"/>
  <c r="L16" i="102"/>
  <c r="I1892" i="144"/>
  <c r="I69" i="101"/>
  <c r="I321" i="75"/>
  <c r="J69" i="101"/>
  <c r="K69" i="101"/>
  <c r="J321" i="75"/>
  <c r="J65" i="144"/>
  <c r="J2314" i="144"/>
  <c r="J2148" i="144"/>
  <c r="I1740" i="144"/>
  <c r="J1341" i="144"/>
  <c r="J1166" i="144"/>
  <c r="T717" i="144"/>
  <c r="J554" i="144"/>
  <c r="I599" i="144"/>
  <c r="I987" i="144"/>
  <c r="J1094" i="144"/>
  <c r="J1331" i="144"/>
  <c r="I1372" i="144"/>
  <c r="J1049" i="144"/>
  <c r="I422" i="144"/>
  <c r="T1613" i="144"/>
  <c r="T951" i="144"/>
  <c r="I47" i="144"/>
  <c r="J1866" i="144"/>
  <c r="T1761" i="144"/>
  <c r="T667" i="144"/>
  <c r="I541" i="144"/>
  <c r="T743" i="144"/>
  <c r="T46" i="144"/>
  <c r="T1183" i="144"/>
  <c r="T1300" i="144"/>
  <c r="I745" i="144"/>
  <c r="T729" i="144"/>
  <c r="I1098" i="144"/>
  <c r="J221" i="144"/>
  <c r="J926" i="144"/>
  <c r="T131" i="144"/>
  <c r="J1253" i="144"/>
  <c r="T900" i="144"/>
  <c r="J882" i="144"/>
  <c r="T1918" i="144"/>
  <c r="I1422" i="144"/>
  <c r="J305" i="144"/>
  <c r="J1539" i="144"/>
  <c r="I509" i="144"/>
  <c r="J1520" i="144"/>
  <c r="T336" i="144"/>
  <c r="I1991" i="144"/>
  <c r="T1901" i="144"/>
  <c r="T476" i="144"/>
  <c r="T1797" i="144"/>
  <c r="J1542" i="144"/>
  <c r="T898" i="144"/>
  <c r="J594" i="144"/>
  <c r="J1726" i="144"/>
  <c r="T1517" i="144"/>
  <c r="I234" i="144"/>
  <c r="I2318" i="144"/>
  <c r="T2277" i="144"/>
  <c r="I2325" i="144"/>
  <c r="I2283" i="144"/>
  <c r="J219" i="146"/>
  <c r="J2131" i="144"/>
  <c r="J1303" i="144"/>
  <c r="I1102" i="144"/>
  <c r="T1020" i="144"/>
  <c r="T1204" i="144"/>
  <c r="J1417" i="144"/>
  <c r="T316" i="144"/>
  <c r="I350" i="144"/>
  <c r="I2098" i="144"/>
  <c r="I2148" i="144"/>
  <c r="I1847" i="144"/>
  <c r="J2036" i="144"/>
  <c r="J935" i="144"/>
  <c r="I2018" i="144"/>
  <c r="T392" i="144"/>
  <c r="J883" i="144"/>
  <c r="I734" i="144"/>
  <c r="I606" i="144"/>
  <c r="I459" i="144"/>
  <c r="T1352" i="144"/>
  <c r="T513" i="144"/>
  <c r="J765" i="144"/>
  <c r="I1204" i="144"/>
  <c r="T1405" i="144"/>
  <c r="J706" i="144"/>
  <c r="I1115" i="144"/>
  <c r="I640" i="144"/>
  <c r="J697" i="144"/>
  <c r="I286" i="144"/>
  <c r="J1556" i="144"/>
  <c r="I1336" i="144"/>
  <c r="I406" i="144"/>
  <c r="J1593" i="144"/>
  <c r="I680" i="144"/>
  <c r="T525" i="144"/>
  <c r="J1635" i="144"/>
  <c r="T875" i="144"/>
  <c r="T1192" i="144"/>
  <c r="J1651" i="144"/>
  <c r="I63" i="144"/>
  <c r="J356" i="144"/>
  <c r="J1559" i="144"/>
  <c r="J999" i="144"/>
  <c r="I1669" i="144"/>
  <c r="T115" i="144"/>
  <c r="T787" i="144"/>
  <c r="I510" i="144"/>
  <c r="T559" i="144"/>
  <c r="I1293" i="144"/>
  <c r="T613" i="144"/>
  <c r="J1487" i="144"/>
  <c r="J1244" i="144"/>
  <c r="I439" i="144"/>
  <c r="J355" i="144"/>
  <c r="T457" i="144"/>
  <c r="J237" i="144"/>
  <c r="J1640" i="144"/>
  <c r="T641" i="144"/>
  <c r="T29" i="144"/>
  <c r="I1250" i="144"/>
  <c r="I13" i="144"/>
  <c r="J2032" i="144"/>
  <c r="T713" i="144"/>
  <c r="J2298" i="144"/>
  <c r="I2294" i="144"/>
  <c r="J828" i="144"/>
  <c r="I2154" i="144"/>
  <c r="I2307" i="144"/>
  <c r="T2225" i="144"/>
  <c r="I2260" i="144"/>
  <c r="I2104" i="144"/>
  <c r="T2049" i="144"/>
  <c r="J220" i="146"/>
  <c r="J218" i="146"/>
  <c r="J326" i="75"/>
  <c r="I326" i="75"/>
  <c r="K20" i="102"/>
  <c r="K22" i="102" s="1"/>
  <c r="I2219" i="144"/>
  <c r="J1133" i="144"/>
  <c r="J2031" i="144"/>
  <c r="T872" i="144"/>
  <c r="I811" i="144"/>
  <c r="I193" i="144"/>
  <c r="J865" i="144"/>
  <c r="J514" i="144"/>
  <c r="I2059" i="144"/>
  <c r="J521" i="144"/>
  <c r="I706" i="144"/>
  <c r="I798" i="144"/>
  <c r="J887" i="144"/>
  <c r="I1020" i="144"/>
  <c r="I676" i="144"/>
  <c r="T1798" i="144"/>
  <c r="I1387" i="144"/>
  <c r="J1149" i="144"/>
  <c r="J1132" i="144"/>
  <c r="I777" i="144"/>
  <c r="T407" i="144"/>
  <c r="I1928" i="144"/>
  <c r="T1123" i="144"/>
  <c r="T1328" i="144"/>
  <c r="I1882" i="144"/>
  <c r="T1969" i="144"/>
  <c r="I2164" i="144"/>
  <c r="T2144" i="144"/>
  <c r="T2222" i="144"/>
  <c r="J2245" i="144"/>
  <c r="T2292" i="144"/>
  <c r="I220" i="146"/>
  <c r="Q146" i="1"/>
  <c r="R146" i="1" s="1"/>
  <c r="H146" i="1"/>
  <c r="J238" i="75"/>
  <c r="I238" i="75"/>
  <c r="J659" i="144"/>
  <c r="T2161" i="144"/>
  <c r="J2161" i="144"/>
  <c r="T2291" i="144"/>
  <c r="I2291" i="144"/>
  <c r="J2179" i="144"/>
  <c r="I2179" i="144"/>
  <c r="T2179" i="144"/>
  <c r="I2288" i="144"/>
  <c r="T824" i="144"/>
  <c r="I824" i="144"/>
  <c r="T2304" i="144"/>
  <c r="J2207" i="144"/>
  <c r="T2207" i="144"/>
  <c r="T1348" i="144"/>
  <c r="I1348" i="144"/>
  <c r="I472" i="144"/>
  <c r="J472" i="144"/>
  <c r="T343" i="144"/>
  <c r="I343" i="144"/>
  <c r="T929" i="144"/>
  <c r="I929" i="144"/>
  <c r="I836" i="144"/>
  <c r="T836" i="144"/>
  <c r="J773" i="144"/>
  <c r="I773" i="144"/>
  <c r="I1992" i="144"/>
  <c r="J1992" i="144"/>
  <c r="J1605" i="144"/>
  <c r="I1605" i="144"/>
  <c r="J1758" i="144"/>
  <c r="T1758" i="144"/>
  <c r="J1748" i="144"/>
  <c r="I1748" i="144"/>
  <c r="I927" i="144"/>
  <c r="T927" i="144"/>
  <c r="J927" i="144"/>
  <c r="I1087" i="144"/>
  <c r="T1087" i="144"/>
  <c r="J1087" i="144"/>
  <c r="T1095" i="144"/>
  <c r="I1095" i="144"/>
  <c r="J1095" i="144"/>
  <c r="I164" i="144"/>
  <c r="J164" i="144"/>
  <c r="T1646" i="144"/>
  <c r="J1646" i="144"/>
  <c r="I1940" i="144"/>
  <c r="J1940" i="144"/>
  <c r="J1535" i="144"/>
  <c r="I1535" i="144"/>
  <c r="J682" i="144"/>
  <c r="T682" i="144"/>
  <c r="T190" i="144"/>
  <c r="I190" i="144"/>
  <c r="T1225" i="144"/>
  <c r="J1225" i="144"/>
  <c r="T1327" i="144"/>
  <c r="I1327" i="144"/>
  <c r="T1217" i="144"/>
  <c r="J1217" i="144"/>
  <c r="J101" i="144"/>
  <c r="I101" i="144"/>
  <c r="J727" i="144"/>
  <c r="I727" i="144"/>
  <c r="I772" i="144"/>
  <c r="J772" i="144"/>
  <c r="T1357" i="144"/>
  <c r="J1357" i="144"/>
  <c r="I1357" i="144"/>
  <c r="T1632" i="144"/>
  <c r="J1632" i="144"/>
  <c r="I952" i="144"/>
  <c r="J952" i="144"/>
  <c r="T638" i="144"/>
  <c r="J638" i="144"/>
  <c r="J1467" i="144"/>
  <c r="T1467" i="144"/>
  <c r="J1731" i="144"/>
  <c r="T1731" i="144"/>
  <c r="I2057" i="144"/>
  <c r="T2057" i="144"/>
  <c r="J490" i="144"/>
  <c r="T490" i="144"/>
  <c r="I490" i="144"/>
  <c r="J1280" i="144"/>
  <c r="I1280" i="144"/>
  <c r="J877" i="144"/>
  <c r="T877" i="144"/>
  <c r="I877" i="144"/>
  <c r="I1776" i="144"/>
  <c r="T1776" i="144"/>
  <c r="J650" i="144"/>
  <c r="T650" i="144"/>
  <c r="T1106" i="144"/>
  <c r="I1106" i="144"/>
  <c r="I375" i="144"/>
  <c r="J375" i="144"/>
  <c r="J802" i="144"/>
  <c r="I802" i="144"/>
  <c r="I830" i="144"/>
  <c r="J830" i="144"/>
  <c r="T1164" i="144"/>
  <c r="J1164" i="144"/>
  <c r="I1164" i="144"/>
  <c r="T986" i="144"/>
  <c r="J986" i="144"/>
  <c r="I1396" i="144"/>
  <c r="T1396" i="144"/>
  <c r="J1396" i="144"/>
  <c r="T1323" i="144"/>
  <c r="I1323" i="144"/>
  <c r="I154" i="144"/>
  <c r="J154" i="144"/>
  <c r="I1107" i="144"/>
  <c r="J1107" i="144"/>
  <c r="J1000" i="144"/>
  <c r="I1000" i="144"/>
  <c r="J1270" i="144"/>
  <c r="I1270" i="144"/>
  <c r="J166" i="144"/>
  <c r="I166" i="144"/>
  <c r="T1314" i="144"/>
  <c r="J1314" i="144"/>
  <c r="I117" i="144"/>
  <c r="T117" i="144"/>
  <c r="T533" i="144"/>
  <c r="I533" i="144"/>
  <c r="I486" i="144"/>
  <c r="J486" i="144"/>
  <c r="I1816" i="144"/>
  <c r="T1816" i="144"/>
  <c r="I1558" i="144"/>
  <c r="J1558" i="144"/>
  <c r="T1438" i="144"/>
  <c r="J1438" i="144"/>
  <c r="T492" i="144"/>
  <c r="J492" i="144"/>
  <c r="J1070" i="144"/>
  <c r="I1070" i="144"/>
  <c r="I1010" i="144"/>
  <c r="J1010" i="144"/>
  <c r="J1836" i="144"/>
  <c r="I1836" i="144"/>
  <c r="J367" i="144"/>
  <c r="I367" i="144"/>
  <c r="T367" i="144"/>
  <c r="I285" i="144"/>
  <c r="J285" i="144"/>
  <c r="J933" i="144"/>
  <c r="T933" i="144"/>
  <c r="T2191" i="144"/>
  <c r="J2191" i="144"/>
  <c r="T2079" i="144"/>
  <c r="I2079" i="144"/>
  <c r="J2079" i="144"/>
  <c r="J2111" i="144"/>
  <c r="I2111" i="144"/>
  <c r="J2325" i="144"/>
  <c r="K26" i="170"/>
  <c r="T1149" i="144"/>
  <c r="T1535" i="144"/>
  <c r="T2159" i="144"/>
  <c r="J2312" i="144"/>
  <c r="T2169" i="144"/>
  <c r="J2176" i="144"/>
  <c r="I1713" i="144"/>
  <c r="T239" i="144"/>
  <c r="T113" i="144"/>
  <c r="J2142" i="144"/>
  <c r="I2280" i="144"/>
  <c r="T2271" i="144"/>
  <c r="T2282" i="144"/>
  <c r="T2122" i="144"/>
  <c r="I2128" i="144"/>
  <c r="J2152" i="144"/>
  <c r="I138" i="144"/>
  <c r="T252" i="144"/>
  <c r="T1508" i="144"/>
  <c r="T705" i="144"/>
  <c r="J1767" i="144"/>
  <c r="T2236" i="144"/>
  <c r="T2323" i="144"/>
  <c r="T2085" i="144"/>
  <c r="I2094" i="144"/>
  <c r="J2192" i="144"/>
  <c r="T2309" i="144"/>
  <c r="T2221" i="144"/>
  <c r="I2289" i="144"/>
  <c r="I2108" i="144"/>
  <c r="I2080" i="144"/>
  <c r="T2248" i="144"/>
  <c r="I2109" i="144"/>
  <c r="I2320" i="144"/>
  <c r="T2185" i="144"/>
  <c r="J2243" i="144"/>
  <c r="I2105" i="144"/>
  <c r="I2279" i="144"/>
  <c r="I468" i="144"/>
  <c r="T468" i="144"/>
  <c r="I1265" i="144"/>
  <c r="J1265" i="144"/>
  <c r="I1156" i="144"/>
  <c r="J1156" i="144"/>
  <c r="J761" i="144"/>
  <c r="T761" i="144"/>
  <c r="T1296" i="144"/>
  <c r="J1296" i="144"/>
  <c r="J1601" i="144"/>
  <c r="I1601" i="144"/>
  <c r="K27" i="170"/>
  <c r="J1231" i="144"/>
  <c r="J417" i="144"/>
  <c r="J359" i="144"/>
  <c r="I951" i="144"/>
  <c r="I147" i="144"/>
  <c r="J295" i="144"/>
  <c r="I46" i="144"/>
  <c r="T911" i="144"/>
  <c r="T841" i="144"/>
  <c r="T688" i="144"/>
  <c r="I123" i="144"/>
  <c r="I971" i="144"/>
  <c r="J1400" i="144"/>
  <c r="J241" i="144"/>
  <c r="T295" i="144"/>
  <c r="J2282" i="144"/>
  <c r="T2186" i="144"/>
  <c r="I2271" i="144"/>
  <c r="T47" i="144"/>
  <c r="I2160" i="144"/>
  <c r="I2122" i="144"/>
  <c r="T2128" i="144"/>
  <c r="I199" i="144"/>
  <c r="T1804" i="144"/>
  <c r="I876" i="144"/>
  <c r="J1591" i="144"/>
  <c r="J771" i="144"/>
  <c r="J735" i="144"/>
  <c r="T1180" i="144"/>
  <c r="I880" i="144"/>
  <c r="J507" i="144"/>
  <c r="I247" i="144"/>
  <c r="T619" i="144"/>
  <c r="I678" i="144"/>
  <c r="J289" i="144"/>
  <c r="I48" i="144"/>
  <c r="J889" i="144"/>
  <c r="T1131" i="144"/>
  <c r="J94" i="144"/>
  <c r="I1380" i="144"/>
  <c r="T608" i="144"/>
  <c r="I1479" i="144"/>
  <c r="T1186" i="144"/>
  <c r="I40" i="144"/>
  <c r="T712" i="144"/>
  <c r="I1509" i="144"/>
  <c r="I1300" i="144"/>
  <c r="I496" i="144"/>
  <c r="T1208" i="144"/>
  <c r="T1156" i="144"/>
  <c r="T138" i="144"/>
  <c r="J394" i="144"/>
  <c r="I1090" i="144"/>
  <c r="T2318" i="144"/>
  <c r="T834" i="144"/>
  <c r="T1098" i="144"/>
  <c r="T209" i="144"/>
  <c r="T107" i="144"/>
  <c r="I1523" i="144"/>
  <c r="J608" i="144"/>
  <c r="I1939" i="144"/>
  <c r="I529" i="144"/>
  <c r="J282" i="144"/>
  <c r="J46" i="144"/>
  <c r="T221" i="144"/>
  <c r="J2170" i="144"/>
  <c r="J2271" i="144"/>
  <c r="J2317" i="144"/>
  <c r="T2152" i="144"/>
  <c r="T2160" i="144"/>
  <c r="J2128" i="144"/>
  <c r="J1682" i="144"/>
  <c r="I1378" i="144"/>
  <c r="J1026" i="144"/>
  <c r="T1239" i="144"/>
  <c r="T1899" i="144"/>
  <c r="J448" i="144"/>
  <c r="T55" i="144"/>
  <c r="T1655" i="144"/>
  <c r="I1542" i="144"/>
  <c r="J1131" i="144"/>
  <c r="I94" i="144"/>
  <c r="I426" i="144"/>
  <c r="J621" i="144"/>
  <c r="T1380" i="144"/>
  <c r="J40" i="144"/>
  <c r="I900" i="144"/>
  <c r="J509" i="144"/>
  <c r="T1871" i="144"/>
  <c r="I995" i="144"/>
  <c r="T1360" i="144"/>
  <c r="I1413" i="144"/>
  <c r="J1919" i="144"/>
  <c r="T1919" i="144"/>
  <c r="J1483" i="144"/>
  <c r="T1483" i="144"/>
  <c r="I1049" i="144"/>
  <c r="J85" i="144"/>
  <c r="I282" i="144"/>
  <c r="I2170" i="144"/>
  <c r="T2317" i="144"/>
  <c r="I2152" i="144"/>
  <c r="I834" i="144"/>
  <c r="J1371" i="144"/>
  <c r="J1222" i="144"/>
  <c r="I588" i="144"/>
  <c r="T1958" i="144"/>
  <c r="I1617" i="144"/>
  <c r="I310" i="144"/>
  <c r="J1664" i="144"/>
  <c r="J1991" i="144"/>
  <c r="I1865" i="144"/>
  <c r="T1802" i="144"/>
  <c r="T1660" i="144"/>
  <c r="T412" i="144"/>
  <c r="J994" i="144"/>
  <c r="J219" i="144"/>
  <c r="I617" i="144"/>
  <c r="J1578" i="144"/>
  <c r="J951" i="144"/>
  <c r="J1871" i="144"/>
  <c r="T1488" i="144"/>
  <c r="I1488" i="144"/>
  <c r="J1579" i="144"/>
  <c r="I1579" i="144"/>
  <c r="J72" i="144"/>
  <c r="I72" i="144"/>
  <c r="T1230" i="144"/>
  <c r="J1230" i="144"/>
  <c r="I967" i="144"/>
  <c r="T967" i="144"/>
  <c r="T631" i="144"/>
  <c r="J631" i="144"/>
  <c r="T2018" i="144"/>
  <c r="I556" i="144"/>
  <c r="I590" i="144"/>
  <c r="T375" i="144"/>
  <c r="G10" i="167"/>
  <c r="G12" i="167" s="1"/>
  <c r="K24" i="170"/>
  <c r="K23" i="170"/>
  <c r="J263" i="149"/>
  <c r="L230" i="146" s="1"/>
  <c r="S153" i="71"/>
  <c r="K12" i="170"/>
  <c r="T672" i="144"/>
  <c r="T606" i="144"/>
  <c r="I2025" i="144"/>
  <c r="I1393" i="144"/>
  <c r="J940" i="144"/>
  <c r="T2059" i="144"/>
  <c r="I1212" i="144"/>
  <c r="T310" i="144"/>
  <c r="T588" i="144"/>
  <c r="T1601" i="144"/>
  <c r="J272" i="144"/>
  <c r="J698" i="144"/>
  <c r="J468" i="144"/>
  <c r="T91" i="144"/>
  <c r="T298" i="144"/>
  <c r="I573" i="144"/>
  <c r="J960" i="144"/>
  <c r="J1623" i="144"/>
  <c r="T1071" i="144"/>
  <c r="I698" i="144"/>
  <c r="I1627" i="144"/>
  <c r="T342" i="144"/>
  <c r="T1083" i="144"/>
  <c r="J1072" i="144"/>
  <c r="T1377" i="144"/>
  <c r="J1488" i="144"/>
  <c r="J1587" i="144"/>
  <c r="J1765" i="144"/>
  <c r="I351" i="144"/>
  <c r="J1197" i="144"/>
  <c r="J1404" i="144"/>
  <c r="I2214" i="144"/>
  <c r="I1126" i="144"/>
  <c r="J68" i="144"/>
  <c r="I1584" i="144"/>
  <c r="T1509" i="144"/>
  <c r="T1617" i="144"/>
  <c r="I1251" i="144"/>
  <c r="T1627" i="144"/>
  <c r="T486" i="144"/>
  <c r="J555" i="144"/>
  <c r="J2060" i="144"/>
  <c r="J281" i="144"/>
  <c r="J1442" i="144"/>
  <c r="I1442" i="144"/>
  <c r="T1442" i="144"/>
  <c r="I66" i="144"/>
  <c r="T66" i="144"/>
  <c r="J1998" i="144"/>
  <c r="I1998" i="144"/>
  <c r="J1104" i="144"/>
  <c r="I1104" i="144"/>
  <c r="J1724" i="144"/>
  <c r="T1724" i="144"/>
  <c r="I1724" i="144"/>
  <c r="T1661" i="144"/>
  <c r="I1661" i="144"/>
  <c r="J1661" i="144"/>
  <c r="I440" i="144"/>
  <c r="T440" i="144"/>
  <c r="J440" i="144"/>
  <c r="T1061" i="144"/>
  <c r="J1061" i="144"/>
  <c r="I1061" i="144"/>
  <c r="I1650" i="144"/>
  <c r="T1650" i="144"/>
  <c r="J1650" i="144"/>
  <c r="J993" i="144"/>
  <c r="I993" i="144"/>
  <c r="T1185" i="144"/>
  <c r="J1185" i="144"/>
  <c r="I1185" i="144"/>
  <c r="J246" i="144"/>
  <c r="T246" i="144"/>
  <c r="I246" i="144"/>
  <c r="J1257" i="144"/>
  <c r="I1257" i="144"/>
  <c r="T1257" i="144"/>
  <c r="T1325" i="144"/>
  <c r="I1325" i="144"/>
  <c r="J1325" i="144"/>
  <c r="J1575" i="144"/>
  <c r="I1575" i="144"/>
  <c r="I1218" i="144"/>
  <c r="T1218" i="144"/>
  <c r="J1218" i="144"/>
  <c r="I1572" i="144"/>
  <c r="T1572" i="144"/>
  <c r="J1572" i="144"/>
  <c r="I1234" i="144"/>
  <c r="J1234" i="144"/>
  <c r="J374" i="144"/>
  <c r="I374" i="144"/>
  <c r="T374" i="144"/>
  <c r="I188" i="144"/>
  <c r="J188" i="144"/>
  <c r="T188" i="144"/>
  <c r="T1321" i="144"/>
  <c r="J1321" i="144"/>
  <c r="I1321" i="144"/>
  <c r="I632" i="144"/>
  <c r="J632" i="144"/>
  <c r="T632" i="144"/>
  <c r="T1424" i="144"/>
  <c r="J1424" i="144"/>
  <c r="I1424" i="144"/>
  <c r="I1862" i="144"/>
  <c r="J1862" i="144"/>
  <c r="T1862" i="144"/>
  <c r="I673" i="144"/>
  <c r="J673" i="144"/>
  <c r="I419" i="144"/>
  <c r="T419" i="144"/>
  <c r="J419" i="144"/>
  <c r="J1752" i="144"/>
  <c r="I1752" i="144"/>
  <c r="I314" i="144"/>
  <c r="J314" i="144"/>
  <c r="J535" i="144"/>
  <c r="I535" i="144"/>
  <c r="T535" i="144"/>
  <c r="T42" i="144"/>
  <c r="I42" i="144"/>
  <c r="I690" i="144"/>
  <c r="J690" i="144"/>
  <c r="I1519" i="144"/>
  <c r="J1519" i="144"/>
  <c r="I393" i="144"/>
  <c r="T393" i="144"/>
  <c r="J393" i="144"/>
  <c r="I1830" i="144"/>
  <c r="J1830" i="144"/>
  <c r="J1193" i="144"/>
  <c r="I1193" i="144"/>
  <c r="T1193" i="144"/>
  <c r="J1677" i="144"/>
  <c r="I1677" i="144"/>
  <c r="T1677" i="144"/>
  <c r="I1780" i="144"/>
  <c r="J1780" i="144"/>
  <c r="T738" i="144"/>
  <c r="J738" i="144"/>
  <c r="I738" i="144"/>
  <c r="J1908" i="144"/>
  <c r="I1908" i="144"/>
  <c r="T1908" i="144"/>
  <c r="I546" i="144"/>
  <c r="J546" i="144"/>
  <c r="T546" i="144"/>
  <c r="T1972" i="144"/>
  <c r="I1972" i="144"/>
  <c r="J1972" i="144"/>
  <c r="J1515" i="144"/>
  <c r="T1515" i="144"/>
  <c r="I895" i="144"/>
  <c r="T895" i="144"/>
  <c r="T1076" i="144"/>
  <c r="J1076" i="144"/>
  <c r="I338" i="144"/>
  <c r="J338" i="144"/>
  <c r="T1884" i="144"/>
  <c r="J1884" i="144"/>
  <c r="T1402" i="144"/>
  <c r="J1402" i="144"/>
  <c r="T1832" i="144"/>
  <c r="J1832" i="144"/>
  <c r="J1154" i="144"/>
  <c r="I1154" i="144"/>
  <c r="J831" i="144"/>
  <c r="T831" i="144"/>
  <c r="J840" i="144"/>
  <c r="T840" i="144"/>
  <c r="I840" i="144"/>
  <c r="I694" i="144"/>
  <c r="T694" i="144"/>
  <c r="T112" i="144"/>
  <c r="I112" i="144"/>
  <c r="J112" i="144"/>
  <c r="J711" i="144"/>
  <c r="I711" i="144"/>
  <c r="J1925" i="144"/>
  <c r="I1925" i="144"/>
  <c r="T1925" i="144"/>
  <c r="J954" i="144"/>
  <c r="I954" i="144"/>
  <c r="T954" i="144"/>
  <c r="I1869" i="144"/>
  <c r="J1869" i="144"/>
  <c r="T1545" i="144"/>
  <c r="I1545" i="144"/>
  <c r="J1545" i="144"/>
  <c r="I1738" i="144"/>
  <c r="J1738" i="144"/>
  <c r="J949" i="144"/>
  <c r="I949" i="144"/>
  <c r="T399" i="144"/>
  <c r="J399" i="144"/>
  <c r="I399" i="144"/>
  <c r="J360" i="144"/>
  <c r="T360" i="144"/>
  <c r="I360" i="144"/>
  <c r="I1403" i="144"/>
  <c r="J1403" i="144"/>
  <c r="T1403" i="144"/>
  <c r="I1446" i="144"/>
  <c r="T1446" i="144"/>
  <c r="I1389" i="144"/>
  <c r="T1389" i="144"/>
  <c r="J1389" i="144"/>
  <c r="J1267" i="144"/>
  <c r="I1267" i="144"/>
  <c r="T1574" i="144"/>
  <c r="I1574" i="144"/>
  <c r="I1091" i="144"/>
  <c r="J1091" i="144"/>
  <c r="T1783" i="144"/>
  <c r="I1783" i="144"/>
  <c r="I1412" i="144"/>
  <c r="J1412" i="144"/>
  <c r="T1412" i="144"/>
  <c r="I1326" i="144"/>
  <c r="J1326" i="144"/>
  <c r="T1326" i="144"/>
  <c r="T1681" i="144"/>
  <c r="I1681" i="144"/>
  <c r="J1681" i="144"/>
  <c r="T1799" i="144"/>
  <c r="I1799" i="144"/>
  <c r="J1482" i="144"/>
  <c r="T1482" i="144"/>
  <c r="I1482" i="144"/>
  <c r="J614" i="144"/>
  <c r="I614" i="144"/>
  <c r="T614" i="144"/>
  <c r="T603" i="144"/>
  <c r="J603" i="144"/>
  <c r="T814" i="144"/>
  <c r="I814" i="144"/>
  <c r="J814" i="144"/>
  <c r="I1854" i="144"/>
  <c r="J1854" i="144"/>
  <c r="I1031" i="144"/>
  <c r="J1031" i="144"/>
  <c r="T1031" i="144"/>
  <c r="I1599" i="144"/>
  <c r="J1599" i="144"/>
  <c r="J1433" i="144"/>
  <c r="I1433" i="144"/>
  <c r="T1433" i="144"/>
  <c r="I1248" i="144"/>
  <c r="J1248" i="144"/>
  <c r="T1248" i="144"/>
  <c r="I848" i="144"/>
  <c r="J848" i="144"/>
  <c r="J52" i="144"/>
  <c r="I52" i="144"/>
  <c r="I413" i="144"/>
  <c r="J413" i="144"/>
  <c r="T413" i="144"/>
  <c r="J1552" i="144"/>
  <c r="T1552" i="144"/>
  <c r="I447" i="144"/>
  <c r="J447" i="144"/>
  <c r="I610" i="144"/>
  <c r="T610" i="144"/>
  <c r="J610" i="144"/>
  <c r="I2040" i="144"/>
  <c r="T2040" i="144"/>
  <c r="J1101" i="144"/>
  <c r="T1101" i="144"/>
  <c r="J1150" i="144"/>
  <c r="I1150" i="144"/>
  <c r="I1810" i="144"/>
  <c r="J1810" i="144"/>
  <c r="T1810" i="144"/>
  <c r="J1324" i="144"/>
  <c r="I1324" i="144"/>
  <c r="I826" i="144"/>
  <c r="J826" i="144"/>
  <c r="I1636" i="144"/>
  <c r="T1636" i="144"/>
  <c r="J1636" i="144"/>
  <c r="I801" i="144"/>
  <c r="J801" i="144"/>
  <c r="J321" i="144"/>
  <c r="T321" i="144"/>
  <c r="I1448" i="144"/>
  <c r="J1448" i="144"/>
  <c r="I2042" i="144"/>
  <c r="J2042" i="144"/>
  <c r="T1762" i="144"/>
  <c r="J1762" i="144"/>
  <c r="I1762" i="144"/>
  <c r="J56" i="144"/>
  <c r="I56" i="144"/>
  <c r="I1139" i="144"/>
  <c r="T1139" i="144"/>
  <c r="J1139" i="144"/>
  <c r="J972" i="144"/>
  <c r="T972" i="144"/>
  <c r="I1906" i="144"/>
  <c r="J1906" i="144"/>
  <c r="I759" i="144"/>
  <c r="J759" i="144"/>
  <c r="T759" i="144"/>
  <c r="T1680" i="144"/>
  <c r="J1680" i="144"/>
  <c r="T847" i="144"/>
  <c r="J847" i="144"/>
  <c r="I847" i="144"/>
  <c r="I1366" i="144"/>
  <c r="T1366" i="144"/>
  <c r="J1366" i="144"/>
  <c r="I2022" i="144"/>
  <c r="J2022" i="144"/>
  <c r="I1737" i="144"/>
  <c r="J1737" i="144"/>
  <c r="T1737" i="144"/>
  <c r="J456" i="144"/>
  <c r="I456" i="144"/>
  <c r="I258" i="144"/>
  <c r="T258" i="144"/>
  <c r="J214" i="144"/>
  <c r="I214" i="144"/>
  <c r="T214" i="144"/>
  <c r="J1867" i="144"/>
  <c r="I1867" i="144"/>
  <c r="T1867" i="144"/>
  <c r="J1957" i="144"/>
  <c r="I1957" i="144"/>
  <c r="T1957" i="144"/>
  <c r="T1944" i="144"/>
  <c r="I1944" i="144"/>
  <c r="J1944" i="144"/>
  <c r="T1069" i="144"/>
  <c r="I1069" i="144"/>
  <c r="J1069" i="144"/>
  <c r="J1009" i="144"/>
  <c r="I1009" i="144"/>
  <c r="T1009" i="144"/>
  <c r="T869" i="144"/>
  <c r="J869" i="144"/>
  <c r="I869" i="144"/>
  <c r="J1480" i="144"/>
  <c r="I1480" i="144"/>
  <c r="I1773" i="144"/>
  <c r="T1773" i="144"/>
  <c r="J1773" i="144"/>
  <c r="J1727" i="144"/>
  <c r="T1727" i="144"/>
  <c r="I1005" i="144"/>
  <c r="J1005" i="144"/>
  <c r="I1933" i="144"/>
  <c r="J1933" i="144"/>
  <c r="T1933" i="144"/>
  <c r="I194" i="144"/>
  <c r="T194" i="144"/>
  <c r="J194" i="144"/>
  <c r="I1188" i="144"/>
  <c r="J1188" i="144"/>
  <c r="I1085" i="144"/>
  <c r="T1085" i="144"/>
  <c r="J1085" i="144"/>
  <c r="I932" i="144"/>
  <c r="J932" i="144"/>
  <c r="T932" i="144"/>
  <c r="J294" i="144"/>
  <c r="I294" i="144"/>
  <c r="T294" i="144"/>
  <c r="J575" i="144"/>
  <c r="T575" i="144"/>
  <c r="I575" i="144"/>
  <c r="J423" i="144"/>
  <c r="T423" i="144"/>
  <c r="I423" i="144"/>
  <c r="J15" i="144"/>
  <c r="I15" i="144"/>
  <c r="J1398" i="144"/>
  <c r="I1398" i="144"/>
  <c r="T1398" i="144"/>
  <c r="T187" i="144"/>
  <c r="J187" i="144"/>
  <c r="J1842" i="144"/>
  <c r="I1842" i="144"/>
  <c r="T1842" i="144"/>
  <c r="I1685" i="144"/>
  <c r="T1685" i="144"/>
  <c r="J1685" i="144"/>
  <c r="T1429" i="144"/>
  <c r="I1429" i="144"/>
  <c r="J1429" i="144"/>
  <c r="J32" i="144"/>
  <c r="I32" i="144"/>
  <c r="T32" i="144"/>
  <c r="J140" i="144"/>
  <c r="T140" i="144"/>
  <c r="I140" i="144"/>
  <c r="I752" i="144"/>
  <c r="T752" i="144"/>
  <c r="J752" i="144"/>
  <c r="I1595" i="144"/>
  <c r="T1595" i="144"/>
  <c r="J1595" i="144"/>
  <c r="I982" i="144"/>
  <c r="T982" i="144"/>
  <c r="J982" i="144"/>
  <c r="J2034" i="144"/>
  <c r="I2034" i="144"/>
  <c r="J699" i="144"/>
  <c r="I699" i="144"/>
  <c r="I1452" i="144"/>
  <c r="J1452" i="144"/>
  <c r="J1223" i="144"/>
  <c r="I1223" i="144"/>
  <c r="J1577" i="144"/>
  <c r="T1577" i="144"/>
  <c r="I1577" i="144"/>
  <c r="T1269" i="144"/>
  <c r="J1269" i="144"/>
  <c r="I1269" i="144"/>
  <c r="I1868" i="144"/>
  <c r="T1868" i="144"/>
  <c r="J1868" i="144"/>
  <c r="J1310" i="144"/>
  <c r="I1310" i="144"/>
  <c r="J1974" i="144"/>
  <c r="I1974" i="144"/>
  <c r="J1002" i="144"/>
  <c r="T1002" i="144"/>
  <c r="I1002" i="144"/>
  <c r="T540" i="144"/>
  <c r="J540" i="144"/>
  <c r="I540" i="144"/>
  <c r="J404" i="144"/>
  <c r="I404" i="144"/>
  <c r="J1803" i="144"/>
  <c r="I1803" i="144"/>
  <c r="T1803" i="144"/>
  <c r="I153" i="144"/>
  <c r="T153" i="144"/>
  <c r="I1415" i="144"/>
  <c r="T1415" i="144"/>
  <c r="J1415" i="144"/>
  <c r="T397" i="144"/>
  <c r="I397" i="144"/>
  <c r="J397" i="144"/>
  <c r="I652" i="144"/>
  <c r="J652" i="144"/>
  <c r="I1414" i="144"/>
  <c r="J1414" i="144"/>
  <c r="J964" i="144"/>
  <c r="I964" i="144"/>
  <c r="J1754" i="144"/>
  <c r="I1754" i="144"/>
  <c r="J1951" i="144"/>
  <c r="I1951" i="144"/>
  <c r="I1942" i="144"/>
  <c r="T1942" i="144"/>
  <c r="J1942" i="144"/>
  <c r="I1039" i="144"/>
  <c r="J1039" i="144"/>
  <c r="T1039" i="144"/>
  <c r="I1907" i="144"/>
  <c r="T1907" i="144"/>
  <c r="J863" i="144"/>
  <c r="I863" i="144"/>
  <c r="T863" i="144"/>
  <c r="J51" i="144"/>
  <c r="T51" i="144"/>
  <c r="J1444" i="144"/>
  <c r="I1444" i="144"/>
  <c r="J1642" i="144"/>
  <c r="T1642" i="144"/>
  <c r="I1642" i="144"/>
  <c r="T1819" i="144"/>
  <c r="J1819" i="144"/>
  <c r="I1667" i="144"/>
  <c r="T1667" i="144"/>
  <c r="J605" i="144"/>
  <c r="T605" i="144"/>
  <c r="T1600" i="144"/>
  <c r="J1600" i="144"/>
  <c r="I1600" i="144"/>
  <c r="J171" i="144"/>
  <c r="T171" i="144"/>
  <c r="I171" i="144"/>
  <c r="I1615" i="144"/>
  <c r="T1615" i="144"/>
  <c r="J1080" i="144"/>
  <c r="I1080" i="144"/>
  <c r="J839" i="144"/>
  <c r="I839" i="144"/>
  <c r="I736" i="144"/>
  <c r="J736" i="144"/>
  <c r="J1401" i="144"/>
  <c r="I1401" i="144"/>
  <c r="I1035" i="144"/>
  <c r="T1035" i="144"/>
  <c r="J1035" i="144"/>
  <c r="T809" i="144"/>
  <c r="J809" i="144"/>
  <c r="T1794" i="144"/>
  <c r="I1794" i="144"/>
  <c r="J1794" i="144"/>
  <c r="T1190" i="144"/>
  <c r="J1190" i="144"/>
  <c r="I1190" i="144"/>
  <c r="I2021" i="144"/>
  <c r="T2021" i="144"/>
  <c r="J1117" i="144"/>
  <c r="T1117" i="144"/>
  <c r="I1117" i="144"/>
  <c r="T370" i="144"/>
  <c r="J370" i="144"/>
  <c r="J479" i="144"/>
  <c r="T479" i="144"/>
  <c r="J150" i="144"/>
  <c r="I150" i="144"/>
  <c r="T242" i="144"/>
  <c r="I242" i="144"/>
  <c r="J242" i="144"/>
  <c r="J1196" i="144"/>
  <c r="I1196" i="144"/>
  <c r="J1688" i="144"/>
  <c r="T1688" i="144"/>
  <c r="I1688" i="144"/>
  <c r="J181" i="144"/>
  <c r="I181" i="144"/>
  <c r="I454" i="144"/>
  <c r="J454" i="144"/>
  <c r="T563" i="144"/>
  <c r="J563" i="144"/>
  <c r="I563" i="144"/>
  <c r="J1833" i="144"/>
  <c r="T1833" i="144"/>
  <c r="I165" i="144"/>
  <c r="J165" i="144"/>
  <c r="T165" i="144"/>
  <c r="J352" i="144"/>
  <c r="I352" i="144"/>
  <c r="J95" i="144"/>
  <c r="I95" i="144"/>
  <c r="I1081" i="144"/>
  <c r="T1081" i="144"/>
  <c r="J1081" i="144"/>
  <c r="J595" i="144"/>
  <c r="T595" i="144"/>
  <c r="J909" i="144"/>
  <c r="I909" i="144"/>
  <c r="T909" i="144"/>
  <c r="J784" i="144"/>
  <c r="I784" i="144"/>
  <c r="T1652" i="144"/>
  <c r="I1652" i="144"/>
  <c r="J1652" i="144"/>
  <c r="J43" i="144"/>
  <c r="I43" i="144"/>
  <c r="I1349" i="144"/>
  <c r="J1349" i="144"/>
  <c r="J358" i="144"/>
  <c r="I358" i="144"/>
  <c r="J45" i="144"/>
  <c r="T45" i="144"/>
  <c r="I45" i="144"/>
  <c r="I1772" i="144"/>
  <c r="J1772" i="144"/>
  <c r="I1943" i="144"/>
  <c r="J1943" i="144"/>
  <c r="J302" i="144"/>
  <c r="I302" i="144"/>
  <c r="I799" i="144"/>
  <c r="T799" i="144"/>
  <c r="I612" i="144"/>
  <c r="J612" i="144"/>
  <c r="T612" i="144"/>
  <c r="J1781" i="144"/>
  <c r="I1781" i="144"/>
  <c r="I420" i="144"/>
  <c r="J420" i="144"/>
  <c r="I800" i="144"/>
  <c r="J800" i="144"/>
  <c r="I451" i="144"/>
  <c r="J451" i="144"/>
  <c r="J499" i="144"/>
  <c r="I499" i="144"/>
  <c r="T1068" i="144"/>
  <c r="I1068" i="144"/>
  <c r="J1068" i="144"/>
  <c r="I1848" i="144"/>
  <c r="J1848" i="144"/>
  <c r="T1848" i="144"/>
  <c r="T708" i="144"/>
  <c r="I708" i="144"/>
  <c r="J708" i="144"/>
  <c r="J536" i="144"/>
  <c r="I536" i="144"/>
  <c r="T536" i="144"/>
  <c r="I2193" i="144"/>
  <c r="T2193" i="144"/>
  <c r="J2193" i="144"/>
  <c r="I2199" i="144"/>
  <c r="J2199" i="144"/>
  <c r="T2199" i="144"/>
  <c r="I2270" i="144"/>
  <c r="T2270" i="144"/>
  <c r="J2270" i="144"/>
  <c r="I62" i="144"/>
  <c r="J62" i="144"/>
  <c r="T62" i="144"/>
  <c r="I579" i="144"/>
  <c r="J579" i="144"/>
  <c r="T579" i="144"/>
  <c r="T764" i="144"/>
  <c r="J764" i="144"/>
  <c r="I764" i="144"/>
  <c r="I511" i="144"/>
  <c r="J511" i="144"/>
  <c r="J543" i="144"/>
  <c r="I543" i="144"/>
  <c r="J1978" i="144"/>
  <c r="I1978" i="144"/>
  <c r="I16" i="144"/>
  <c r="T16" i="144"/>
  <c r="J16" i="144"/>
  <c r="I425" i="144"/>
  <c r="T425" i="144"/>
  <c r="J425" i="144"/>
  <c r="I1307" i="144"/>
  <c r="T1307" i="144"/>
  <c r="J1307" i="144"/>
  <c r="I1694" i="144"/>
  <c r="J1694" i="144"/>
  <c r="J23" i="144"/>
  <c r="I23" i="144"/>
  <c r="I108" i="144"/>
  <c r="T108" i="144"/>
  <c r="J108" i="144"/>
  <c r="T297" i="144"/>
  <c r="I297" i="144"/>
  <c r="I333" i="144"/>
  <c r="T333" i="144"/>
  <c r="J333" i="144"/>
  <c r="J1927" i="144"/>
  <c r="I1927" i="144"/>
  <c r="T2100" i="144"/>
  <c r="I2100" i="144"/>
  <c r="J2100" i="144"/>
  <c r="J2299" i="144"/>
  <c r="I2299" i="144"/>
  <c r="I2147" i="144"/>
  <c r="J2147" i="144"/>
  <c r="T2147" i="144"/>
  <c r="T2220" i="144"/>
  <c r="I2220" i="144"/>
  <c r="T2226" i="144"/>
  <c r="J2226" i="144"/>
  <c r="I2226" i="144"/>
  <c r="J2136" i="144"/>
  <c r="I2136" i="144"/>
  <c r="T2136" i="144"/>
  <c r="I2234" i="144"/>
  <c r="J2234" i="144"/>
  <c r="T2234" i="144"/>
  <c r="J2240" i="144"/>
  <c r="T2240" i="144"/>
  <c r="I2240" i="144"/>
  <c r="I2275" i="144"/>
  <c r="T2275" i="144"/>
  <c r="J2275" i="144"/>
  <c r="J2086" i="144"/>
  <c r="T2086" i="144"/>
  <c r="I2255" i="144"/>
  <c r="J2255" i="144"/>
  <c r="T2255" i="144"/>
  <c r="J2261" i="144"/>
  <c r="I2261" i="144"/>
  <c r="T2261" i="144"/>
  <c r="J2249" i="144"/>
  <c r="T2249" i="144"/>
  <c r="I2249" i="144"/>
  <c r="T2267" i="144"/>
  <c r="J2267" i="144"/>
  <c r="I2267" i="144"/>
  <c r="T2087" i="144"/>
  <c r="J2087" i="144"/>
  <c r="I2087" i="144"/>
  <c r="I2119" i="144"/>
  <c r="J2119" i="144"/>
  <c r="T2119" i="144"/>
  <c r="T2295" i="144"/>
  <c r="J2295" i="144"/>
  <c r="J2301" i="144"/>
  <c r="T2301" i="144"/>
  <c r="T2120" i="144"/>
  <c r="I2120" i="144"/>
  <c r="J2120" i="144"/>
  <c r="I2131" i="144"/>
  <c r="T2131" i="144"/>
  <c r="T2157" i="144"/>
  <c r="I2157" i="144"/>
  <c r="J2157" i="144"/>
  <c r="T2230" i="144"/>
  <c r="J2230" i="144"/>
  <c r="I2230" i="144"/>
  <c r="T2092" i="144"/>
  <c r="I2092" i="144"/>
  <c r="J2092" i="144"/>
  <c r="J2156" i="144"/>
  <c r="T2156" i="144"/>
  <c r="I2156" i="144"/>
  <c r="J2242" i="144"/>
  <c r="I2242" i="144"/>
  <c r="T2242" i="144"/>
  <c r="J2233" i="144"/>
  <c r="I2233" i="144"/>
  <c r="T2233" i="144"/>
  <c r="J2095" i="144"/>
  <c r="T2095" i="144"/>
  <c r="I2095" i="144"/>
  <c r="J1554" i="144"/>
  <c r="T689" i="144"/>
  <c r="J1410" i="144"/>
  <c r="T424" i="144"/>
  <c r="T1150" i="144"/>
  <c r="T1674" i="144"/>
  <c r="T1978" i="144"/>
  <c r="I427" i="144"/>
  <c r="T639" i="144"/>
  <c r="I1099" i="144"/>
  <c r="T550" i="144"/>
  <c r="T652" i="144"/>
  <c r="T822" i="144"/>
  <c r="T1237" i="144"/>
  <c r="T1284" i="144"/>
  <c r="T1830" i="144"/>
  <c r="T15" i="144"/>
  <c r="T719" i="144"/>
  <c r="T648" i="144"/>
  <c r="B36" i="170"/>
  <c r="E16" i="167" s="1"/>
  <c r="G16" i="167" s="1"/>
  <c r="I641" i="144"/>
  <c r="J453" i="144"/>
  <c r="T792" i="144"/>
  <c r="T820" i="144"/>
  <c r="J252" i="144"/>
  <c r="I1518" i="144"/>
  <c r="J1110" i="144"/>
  <c r="I265" i="144"/>
  <c r="J1669" i="144"/>
  <c r="J1215" i="144"/>
  <c r="T2027" i="144"/>
  <c r="I2027" i="144"/>
  <c r="T781" i="144"/>
  <c r="I781" i="144"/>
  <c r="I1662" i="144"/>
  <c r="T1662" i="144"/>
  <c r="I1587" i="144"/>
  <c r="T1587" i="144"/>
  <c r="T1911" i="144"/>
  <c r="J1911" i="144"/>
  <c r="T2006" i="144"/>
  <c r="J2006" i="144"/>
  <c r="J1922" i="144"/>
  <c r="T1922" i="144"/>
  <c r="I1922" i="144"/>
  <c r="I1249" i="144"/>
  <c r="J1249" i="144"/>
  <c r="T1249" i="144"/>
  <c r="J2134" i="144"/>
  <c r="I2134" i="144"/>
  <c r="T2134" i="144"/>
  <c r="J1007" i="144"/>
  <c r="I1007" i="144"/>
  <c r="T1007" i="144"/>
  <c r="J1288" i="144"/>
  <c r="I1288" i="144"/>
  <c r="T1288" i="144"/>
  <c r="I1985" i="144"/>
  <c r="T1985" i="144"/>
  <c r="T1778" i="144"/>
  <c r="J1778" i="144"/>
  <c r="T1765" i="144"/>
  <c r="I1765" i="144"/>
  <c r="T1197" i="144"/>
  <c r="I1197" i="144"/>
  <c r="I1990" i="144"/>
  <c r="T1990" i="144"/>
  <c r="I2141" i="144"/>
  <c r="T2141" i="144"/>
  <c r="T630" i="144"/>
  <c r="J630" i="144"/>
  <c r="T1987" i="144"/>
  <c r="J1987" i="144"/>
  <c r="I886" i="144"/>
  <c r="T886" i="144"/>
  <c r="J886" i="144"/>
  <c r="I2165" i="144"/>
  <c r="T2165" i="144"/>
  <c r="J2165" i="144"/>
  <c r="I1440" i="144"/>
  <c r="T1440" i="144"/>
  <c r="J1440" i="144"/>
  <c r="I460" i="144"/>
  <c r="T460" i="144"/>
  <c r="J460" i="144"/>
  <c r="I2011" i="144"/>
  <c r="T2011" i="144"/>
  <c r="J2011" i="144"/>
  <c r="I1322" i="144"/>
  <c r="J1322" i="144"/>
  <c r="T1322" i="144"/>
  <c r="J2279" i="144"/>
  <c r="J1667" i="144"/>
  <c r="T150" i="144"/>
  <c r="J2105" i="144"/>
  <c r="T2109" i="144"/>
  <c r="J2188" i="144"/>
  <c r="I2192" i="144"/>
  <c r="J749" i="144"/>
  <c r="T850" i="144"/>
  <c r="I1832" i="144"/>
  <c r="J2047" i="144"/>
  <c r="T1340" i="144"/>
  <c r="J942" i="144"/>
  <c r="I12" i="144"/>
  <c r="J42" i="144"/>
  <c r="I443" i="144"/>
  <c r="T453" i="144"/>
  <c r="J1021" i="144"/>
  <c r="I659" i="144"/>
  <c r="I700" i="144"/>
  <c r="I1588" i="144"/>
  <c r="T1556" i="144"/>
  <c r="I1215" i="144"/>
  <c r="I126" i="144"/>
  <c r="I1720" i="144"/>
  <c r="I626" i="144"/>
  <c r="I278" i="144"/>
  <c r="J858" i="144"/>
  <c r="J559" i="144"/>
  <c r="J2225" i="144"/>
  <c r="T645" i="144"/>
  <c r="I649" i="144"/>
  <c r="J1834" i="144"/>
  <c r="J822" i="144"/>
  <c r="I121" i="144"/>
  <c r="I1635" i="144"/>
  <c r="T63" i="144"/>
  <c r="T1789" i="144"/>
  <c r="J1807" i="144"/>
  <c r="I782" i="144"/>
  <c r="I549" i="144"/>
  <c r="I713" i="144"/>
  <c r="T13" i="144"/>
  <c r="I1135" i="144"/>
  <c r="I93" i="144"/>
  <c r="J386" i="144"/>
  <c r="I1245" i="144"/>
  <c r="T1244" i="144"/>
  <c r="J1955" i="144"/>
  <c r="I705" i="144"/>
  <c r="J2221" i="144"/>
  <c r="J2248" i="144"/>
  <c r="J2294" i="144"/>
  <c r="J63" i="144"/>
  <c r="J398" i="144"/>
  <c r="T1451" i="144"/>
  <c r="I385" i="144"/>
  <c r="I430" i="144"/>
  <c r="I915" i="144"/>
  <c r="I1078" i="144"/>
  <c r="J1336" i="144"/>
  <c r="J443" i="144"/>
  <c r="I937" i="144"/>
  <c r="I908" i="144"/>
  <c r="T326" i="144"/>
  <c r="J1475" i="144"/>
  <c r="T721" i="144"/>
  <c r="J93" i="144"/>
  <c r="I525" i="144"/>
  <c r="J904" i="144"/>
  <c r="J1100" i="144"/>
  <c r="I481" i="144"/>
  <c r="I1593" i="144"/>
  <c r="T2243" i="144"/>
  <c r="T2298" i="144"/>
  <c r="J457" i="144"/>
  <c r="I636" i="144"/>
  <c r="T1187" i="144"/>
  <c r="J436" i="144"/>
  <c r="I29" i="144"/>
  <c r="J172" i="144"/>
  <c r="J278" i="144"/>
  <c r="J312" i="144"/>
  <c r="J328" i="144"/>
  <c r="J1668" i="144"/>
  <c r="J2026" i="144"/>
  <c r="J696" i="144"/>
  <c r="J871" i="144"/>
  <c r="I2007" i="144"/>
  <c r="I557" i="144"/>
  <c r="I1384" i="144"/>
  <c r="I551" i="144"/>
  <c r="J2016" i="144"/>
  <c r="J781" i="144"/>
  <c r="I1778" i="144"/>
  <c r="J212" i="144"/>
  <c r="I633" i="144"/>
  <c r="J2320" i="144"/>
  <c r="I2309" i="144"/>
  <c r="I2237" i="144"/>
  <c r="J2085" i="144"/>
  <c r="J2108" i="144"/>
  <c r="J2323" i="144"/>
  <c r="T456" i="144"/>
  <c r="J719" i="144"/>
  <c r="T1290" i="144"/>
  <c r="I2019" i="144"/>
  <c r="I972" i="144"/>
  <c r="J799" i="144"/>
  <c r="I1337" i="144"/>
  <c r="J2039" i="144"/>
  <c r="T1754" i="144"/>
  <c r="I831" i="144"/>
  <c r="I603" i="144"/>
  <c r="T510" i="144"/>
  <c r="J1245" i="144"/>
  <c r="T1639" i="144"/>
  <c r="J2040" i="144"/>
  <c r="I1552" i="144"/>
  <c r="J53" i="144"/>
  <c r="J875" i="144"/>
  <c r="T1640" i="144"/>
  <c r="T1659" i="144"/>
  <c r="I792" i="144"/>
  <c r="T1519" i="144"/>
  <c r="J1583" i="144"/>
  <c r="I1101" i="144"/>
  <c r="T84" i="144"/>
  <c r="T447" i="144"/>
  <c r="I527" i="144"/>
  <c r="I1582" i="144"/>
  <c r="I1233" i="144"/>
  <c r="T323" i="144"/>
  <c r="T1246" i="144"/>
  <c r="T1679" i="144"/>
  <c r="J782" i="144"/>
  <c r="I753" i="144"/>
  <c r="T828" i="144"/>
  <c r="T979" i="144"/>
  <c r="T1037" i="144"/>
  <c r="T1998" i="144"/>
  <c r="I196" i="144"/>
  <c r="I737" i="144"/>
  <c r="I382" i="144"/>
  <c r="T586" i="144"/>
  <c r="I832" i="144"/>
  <c r="I1344" i="144"/>
  <c r="I1499" i="144"/>
  <c r="J666" i="144"/>
  <c r="J808" i="144"/>
  <c r="J1354" i="144"/>
  <c r="I482" i="144"/>
  <c r="I559" i="144"/>
  <c r="I721" i="144"/>
  <c r="I769" i="144"/>
  <c r="J820" i="144"/>
  <c r="T1041" i="144"/>
  <c r="T1078" i="144"/>
  <c r="T2320" i="144"/>
  <c r="J981" i="144"/>
  <c r="I981" i="144"/>
  <c r="T406" i="144"/>
  <c r="J1145" i="144"/>
  <c r="T347" i="144"/>
  <c r="T404" i="144"/>
  <c r="T940" i="144"/>
  <c r="T1410" i="144"/>
  <c r="T1555" i="144"/>
  <c r="T1575" i="144"/>
  <c r="T988" i="144"/>
  <c r="I988" i="144"/>
  <c r="J988" i="144"/>
  <c r="T1004" i="144"/>
  <c r="I1004" i="144"/>
  <c r="J1004" i="144"/>
  <c r="J18" i="144"/>
  <c r="T18" i="144"/>
  <c r="I18" i="144"/>
  <c r="J969" i="144"/>
  <c r="I969" i="144"/>
  <c r="J1689" i="144"/>
  <c r="T1689" i="144"/>
  <c r="I1689" i="144"/>
  <c r="I313" i="144"/>
  <c r="J313" i="144"/>
  <c r="T313" i="144"/>
  <c r="J676" i="144"/>
  <c r="T676" i="144"/>
  <c r="J1628" i="144"/>
  <c r="T1628" i="144"/>
  <c r="J1158" i="144"/>
  <c r="I1158" i="144"/>
  <c r="J957" i="144"/>
  <c r="I957" i="144"/>
  <c r="T1160" i="144"/>
  <c r="J1160" i="144"/>
  <c r="I1160" i="144"/>
  <c r="J1453" i="144"/>
  <c r="T1453" i="144"/>
  <c r="I1453" i="144"/>
  <c r="J910" i="144"/>
  <c r="I910" i="144"/>
  <c r="T516" i="144"/>
  <c r="J516" i="144"/>
  <c r="J1902" i="144"/>
  <c r="I1902" i="144"/>
  <c r="T1902" i="144"/>
  <c r="J1598" i="144"/>
  <c r="I1598" i="144"/>
  <c r="T2050" i="144"/>
  <c r="I2050" i="144"/>
  <c r="I1798" i="144"/>
  <c r="J1798" i="144"/>
  <c r="J597" i="144"/>
  <c r="I597" i="144"/>
  <c r="I169" i="144"/>
  <c r="J169" i="144"/>
  <c r="T169" i="144"/>
  <c r="I1500" i="144"/>
  <c r="J1500" i="144"/>
  <c r="T1096" i="144"/>
  <c r="I1096" i="144"/>
  <c r="J1096" i="144"/>
  <c r="J1936" i="144"/>
  <c r="T1936" i="144"/>
  <c r="I1936" i="144"/>
  <c r="T1930" i="144"/>
  <c r="J1930" i="144"/>
  <c r="I1930" i="144"/>
  <c r="J243" i="144"/>
  <c r="I243" i="144"/>
  <c r="I1988" i="144"/>
  <c r="T1988" i="144"/>
  <c r="J1988" i="144"/>
  <c r="I853" i="144"/>
  <c r="T853" i="144"/>
  <c r="J853" i="144"/>
  <c r="T500" i="144"/>
  <c r="J500" i="144"/>
  <c r="I500" i="144"/>
  <c r="T149" i="144"/>
  <c r="I149" i="144"/>
  <c r="I339" i="144"/>
  <c r="T339" i="144"/>
  <c r="J339" i="144"/>
  <c r="I944" i="144"/>
  <c r="J944" i="144"/>
  <c r="I1874" i="144"/>
  <c r="J1874" i="144"/>
  <c r="T1874" i="144"/>
  <c r="J1546" i="144"/>
  <c r="I1546" i="144"/>
  <c r="I31" i="144"/>
  <c r="J31" i="144"/>
  <c r="J1189" i="144"/>
  <c r="T1189" i="144"/>
  <c r="I1189" i="144"/>
  <c r="J1824" i="144"/>
  <c r="I1824" i="144"/>
  <c r="T1824" i="144"/>
  <c r="T1971" i="144"/>
  <c r="I1971" i="144"/>
  <c r="J1971" i="144"/>
  <c r="J851" i="144"/>
  <c r="T851" i="144"/>
  <c r="I930" i="144"/>
  <c r="J930" i="144"/>
  <c r="T930" i="144"/>
  <c r="I1984" i="144"/>
  <c r="J1984" i="144"/>
  <c r="T1984" i="144"/>
  <c r="T1138" i="144"/>
  <c r="I1138" i="144"/>
  <c r="J1138" i="144"/>
  <c r="J1001" i="144"/>
  <c r="I1001" i="144"/>
  <c r="J941" i="144"/>
  <c r="I941" i="144"/>
  <c r="I1129" i="144"/>
  <c r="T1129" i="144"/>
  <c r="J1129" i="144"/>
  <c r="T730" i="144"/>
  <c r="I730" i="144"/>
  <c r="J730" i="144"/>
  <c r="J751" i="144"/>
  <c r="I751" i="144"/>
  <c r="J100" i="144"/>
  <c r="I100" i="144"/>
  <c r="I301" i="144"/>
  <c r="T301" i="144"/>
  <c r="J301" i="144"/>
  <c r="T1878" i="144"/>
  <c r="I1878" i="144"/>
  <c r="J1878" i="144"/>
  <c r="J1774" i="144"/>
  <c r="I1774" i="144"/>
  <c r="T1774" i="144"/>
  <c r="T473" i="144"/>
  <c r="J473" i="144"/>
  <c r="I473" i="144"/>
  <c r="I1829" i="144"/>
  <c r="J1829" i="144"/>
  <c r="T1829" i="144"/>
  <c r="J845" i="144"/>
  <c r="I845" i="144"/>
  <c r="T1198" i="144"/>
  <c r="I1198" i="144"/>
  <c r="J1198" i="144"/>
  <c r="T139" i="144"/>
  <c r="I139" i="144"/>
  <c r="J890" i="144"/>
  <c r="T890" i="144"/>
  <c r="T1425" i="144"/>
  <c r="I1425" i="144"/>
  <c r="J1425" i="144"/>
  <c r="T207" i="144"/>
  <c r="I207" i="144"/>
  <c r="J207" i="144"/>
  <c r="J1369" i="144"/>
  <c r="I1369" i="144"/>
  <c r="T780" i="144"/>
  <c r="I780" i="144"/>
  <c r="J780" i="144"/>
  <c r="J1510" i="144"/>
  <c r="I1510" i="144"/>
  <c r="T1510" i="144"/>
  <c r="I1716" i="144"/>
  <c r="J1716" i="144"/>
  <c r="J1489" i="144"/>
  <c r="T1489" i="144"/>
  <c r="I1489" i="144"/>
  <c r="I724" i="144"/>
  <c r="T724" i="144"/>
  <c r="J1813" i="144"/>
  <c r="I1813" i="144"/>
  <c r="T1711" i="144"/>
  <c r="I1711" i="144"/>
  <c r="J1711" i="144"/>
  <c r="T691" i="144"/>
  <c r="I691" i="144"/>
  <c r="J691" i="144"/>
  <c r="T1390" i="144"/>
  <c r="I1390" i="144"/>
  <c r="T823" i="144"/>
  <c r="J823" i="144"/>
  <c r="I823" i="144"/>
  <c r="T1658" i="144"/>
  <c r="I1658" i="144"/>
  <c r="J2054" i="144"/>
  <c r="T2054" i="144"/>
  <c r="I2054" i="144"/>
  <c r="J442" i="144"/>
  <c r="T442" i="144"/>
  <c r="I442" i="144"/>
  <c r="J180" i="144"/>
  <c r="I180" i="144"/>
  <c r="T132" i="144"/>
  <c r="I132" i="144"/>
  <c r="J132" i="144"/>
  <c r="I1464" i="144"/>
  <c r="J1464" i="144"/>
  <c r="T1464" i="144"/>
  <c r="J538" i="144"/>
  <c r="T538" i="144"/>
  <c r="I538" i="144"/>
  <c r="T1568" i="144"/>
  <c r="J1568" i="144"/>
  <c r="J407" i="144"/>
  <c r="I407" i="144"/>
  <c r="J947" i="144"/>
  <c r="T947" i="144"/>
  <c r="I1567" i="144"/>
  <c r="J1567" i="144"/>
  <c r="J1941" i="144"/>
  <c r="T1941" i="144"/>
  <c r="I1941" i="144"/>
  <c r="J83" i="144"/>
  <c r="I83" i="144"/>
  <c r="I262" i="144"/>
  <c r="J262" i="144"/>
  <c r="T189" i="144"/>
  <c r="J189" i="144"/>
  <c r="I189" i="144"/>
  <c r="T292" i="144"/>
  <c r="I292" i="144"/>
  <c r="I1502" i="144"/>
  <c r="J1502" i="144"/>
  <c r="I531" i="144"/>
  <c r="J531" i="144"/>
  <c r="T1199" i="144"/>
  <c r="I1199" i="144"/>
  <c r="J1199" i="144"/>
  <c r="T1320" i="144"/>
  <c r="J1320" i="144"/>
  <c r="I1320" i="144"/>
  <c r="J989" i="144"/>
  <c r="I989" i="144"/>
  <c r="I441" i="144"/>
  <c r="J441" i="144"/>
  <c r="I524" i="144"/>
  <c r="T524" i="144"/>
  <c r="J524" i="144"/>
  <c r="I384" i="144"/>
  <c r="J384" i="144"/>
  <c r="J388" i="144"/>
  <c r="I388" i="144"/>
  <c r="J577" i="144"/>
  <c r="T577" i="144"/>
  <c r="I137" i="144"/>
  <c r="J137" i="144"/>
  <c r="J1820" i="144"/>
  <c r="I1820" i="144"/>
  <c r="T1820" i="144"/>
  <c r="T1782" i="144"/>
  <c r="J1782" i="144"/>
  <c r="I1782" i="144"/>
  <c r="T1863" i="144"/>
  <c r="I1863" i="144"/>
  <c r="I1704" i="144"/>
  <c r="J1704" i="144"/>
  <c r="J770" i="144"/>
  <c r="I770" i="144"/>
  <c r="T770" i="144"/>
  <c r="T1203" i="144"/>
  <c r="J1203" i="144"/>
  <c r="T1298" i="144"/>
  <c r="I1298" i="144"/>
  <c r="T1277" i="144"/>
  <c r="I1277" i="144"/>
  <c r="J1277" i="144"/>
  <c r="J263" i="144"/>
  <c r="I263" i="144"/>
  <c r="I1207" i="144"/>
  <c r="T1207" i="144"/>
  <c r="J1207" i="144"/>
  <c r="T362" i="144"/>
  <c r="I362" i="144"/>
  <c r="J362" i="144"/>
  <c r="J1910" i="144"/>
  <c r="I1910" i="144"/>
  <c r="T1910" i="144"/>
  <c r="J438" i="144"/>
  <c r="T438" i="144"/>
  <c r="I438" i="144"/>
  <c r="I306" i="144"/>
  <c r="J306" i="144"/>
  <c r="J950" i="144"/>
  <c r="T950" i="144"/>
  <c r="I1505" i="144"/>
  <c r="J1505" i="144"/>
  <c r="I2033" i="144"/>
  <c r="T2033" i="144"/>
  <c r="J2033" i="144"/>
  <c r="T816" i="144"/>
  <c r="I816" i="144"/>
  <c r="J816" i="144"/>
  <c r="T211" i="144"/>
  <c r="I211" i="144"/>
  <c r="J493" i="144"/>
  <c r="T493" i="144"/>
  <c r="I493" i="144"/>
  <c r="J1374" i="144"/>
  <c r="T1374" i="144"/>
  <c r="J655" i="144"/>
  <c r="T655" i="144"/>
  <c r="I655" i="144"/>
  <c r="J1570" i="144"/>
  <c r="I1570" i="144"/>
  <c r="T1570" i="144"/>
  <c r="T1928" i="144"/>
  <c r="J1928" i="144"/>
  <c r="I141" i="144"/>
  <c r="J141" i="144"/>
  <c r="I1119" i="144"/>
  <c r="J1119" i="144"/>
  <c r="T39" i="144"/>
  <c r="I39" i="144"/>
  <c r="I1370" i="144"/>
  <c r="J1370" i="144"/>
  <c r="T1370" i="144"/>
  <c r="I1221" i="144"/>
  <c r="J1221" i="144"/>
  <c r="J732" i="144"/>
  <c r="T732" i="144"/>
  <c r="J615" i="144"/>
  <c r="I615" i="144"/>
  <c r="J1050" i="144"/>
  <c r="I1050" i="144"/>
  <c r="J230" i="144"/>
  <c r="I230" i="144"/>
  <c r="T230" i="144"/>
  <c r="J647" i="144"/>
  <c r="T647" i="144"/>
  <c r="I647" i="144"/>
  <c r="I11" i="144"/>
  <c r="J11" i="144"/>
  <c r="I1044" i="144"/>
  <c r="T1044" i="144"/>
  <c r="J1044" i="144"/>
  <c r="I445" i="144"/>
  <c r="J445" i="144"/>
  <c r="J539" i="144"/>
  <c r="I539" i="144"/>
  <c r="T530" i="144"/>
  <c r="J530" i="144"/>
  <c r="I530" i="144"/>
  <c r="T581" i="144"/>
  <c r="J581" i="144"/>
  <c r="I581" i="144"/>
  <c r="I1855" i="144"/>
  <c r="J1855" i="144"/>
  <c r="T1855" i="144"/>
  <c r="T1844" i="144"/>
  <c r="I1844" i="144"/>
  <c r="I1876" i="144"/>
  <c r="J1876" i="144"/>
  <c r="T1876" i="144"/>
  <c r="I1909" i="144"/>
  <c r="J1909" i="144"/>
  <c r="T1784" i="144"/>
  <c r="J1784" i="144"/>
  <c r="I1784" i="144"/>
  <c r="T1850" i="144"/>
  <c r="I1850" i="144"/>
  <c r="J1850" i="144"/>
  <c r="I1151" i="144"/>
  <c r="J1151" i="144"/>
  <c r="J1900" i="144"/>
  <c r="T1900" i="144"/>
  <c r="I1900" i="144"/>
  <c r="I2055" i="144"/>
  <c r="J2055" i="144"/>
  <c r="T658" i="144"/>
  <c r="I658" i="144"/>
  <c r="J658" i="144"/>
  <c r="T327" i="144"/>
  <c r="I327" i="144"/>
  <c r="I1585" i="144"/>
  <c r="J1585" i="144"/>
  <c r="I662" i="144"/>
  <c r="T662" i="144"/>
  <c r="J662" i="144"/>
  <c r="J859" i="144"/>
  <c r="I859" i="144"/>
  <c r="T859" i="144"/>
  <c r="T1604" i="144"/>
  <c r="I1604" i="144"/>
  <c r="J1604" i="144"/>
  <c r="T1088" i="144"/>
  <c r="I1088" i="144"/>
  <c r="I884" i="144"/>
  <c r="J884" i="144"/>
  <c r="T1143" i="144"/>
  <c r="J1143" i="144"/>
  <c r="I1445" i="144"/>
  <c r="T1445" i="144"/>
  <c r="T1768" i="144"/>
  <c r="J1768" i="144"/>
  <c r="I1768" i="144"/>
  <c r="I634" i="144"/>
  <c r="J634" i="144"/>
  <c r="T1723" i="144"/>
  <c r="J1723" i="144"/>
  <c r="I1746" i="144"/>
  <c r="T1746" i="144"/>
  <c r="J1746" i="144"/>
  <c r="J1312" i="144"/>
  <c r="T1312" i="144"/>
  <c r="J1202" i="144"/>
  <c r="T1202" i="144"/>
  <c r="I1202" i="144"/>
  <c r="T391" i="144"/>
  <c r="J391" i="144"/>
  <c r="J956" i="144"/>
  <c r="I956" i="144"/>
  <c r="T956" i="144"/>
  <c r="J1431" i="144"/>
  <c r="I1431" i="144"/>
  <c r="I1439" i="144"/>
  <c r="J1439" i="144"/>
  <c r="J1261" i="144"/>
  <c r="T1261" i="144"/>
  <c r="I465" i="144"/>
  <c r="T465" i="144"/>
  <c r="J1644" i="144"/>
  <c r="I1644" i="144"/>
  <c r="I1252" i="144"/>
  <c r="J1252" i="144"/>
  <c r="T1051" i="144"/>
  <c r="I1051" i="144"/>
  <c r="T1108" i="144"/>
  <c r="J1108" i="144"/>
  <c r="I1108" i="144"/>
  <c r="J1621" i="144"/>
  <c r="I1621" i="144"/>
  <c r="I1011" i="144"/>
  <c r="J1011" i="144"/>
  <c r="T1011" i="144"/>
  <c r="J1470" i="144"/>
  <c r="T1470" i="144"/>
  <c r="I1580" i="144"/>
  <c r="T1580" i="144"/>
  <c r="I307" i="144"/>
  <c r="J307" i="144"/>
  <c r="T307" i="144"/>
  <c r="I1792" i="144"/>
  <c r="T1792" i="144"/>
  <c r="J1792" i="144"/>
  <c r="I157" i="144"/>
  <c r="T157" i="144"/>
  <c r="I1513" i="144"/>
  <c r="J1513" i="144"/>
  <c r="T277" i="144"/>
  <c r="I277" i="144"/>
  <c r="J277" i="144"/>
  <c r="J1684" i="144"/>
  <c r="T1684" i="144"/>
  <c r="I371" i="144"/>
  <c r="J371" i="144"/>
  <c r="J1201" i="144"/>
  <c r="I1201" i="144"/>
  <c r="J76" i="144"/>
  <c r="I76" i="144"/>
  <c r="T76" i="144"/>
  <c r="I236" i="144"/>
  <c r="T236" i="144"/>
  <c r="J236" i="144"/>
  <c r="I120" i="144"/>
  <c r="J120" i="144"/>
  <c r="I574" i="144"/>
  <c r="J574" i="144"/>
  <c r="J1858" i="144"/>
  <c r="I1858" i="144"/>
  <c r="J1993" i="144"/>
  <c r="I1993" i="144"/>
  <c r="T1993" i="144"/>
  <c r="J2030" i="144"/>
  <c r="I2030" i="144"/>
  <c r="I1937" i="144"/>
  <c r="J1937" i="144"/>
  <c r="J1362" i="144"/>
  <c r="T1362" i="144"/>
  <c r="I1362" i="144"/>
  <c r="J1408" i="144"/>
  <c r="I1408" i="144"/>
  <c r="J1030" i="144"/>
  <c r="I1030" i="144"/>
  <c r="T1030" i="144"/>
  <c r="J1274" i="144"/>
  <c r="I1274" i="144"/>
  <c r="T1274" i="144"/>
  <c r="J1967" i="144"/>
  <c r="T1967" i="144"/>
  <c r="I1967" i="144"/>
  <c r="J54" i="144"/>
  <c r="I54" i="144"/>
  <c r="I1328" i="144"/>
  <c r="J1328" i="144"/>
  <c r="I184" i="144"/>
  <c r="J184" i="144"/>
  <c r="T184" i="144"/>
  <c r="I1665" i="144"/>
  <c r="J1665" i="144"/>
  <c r="J1594" i="144"/>
  <c r="T1594" i="144"/>
  <c r="I1594" i="144"/>
  <c r="I704" i="144"/>
  <c r="J704" i="144"/>
  <c r="T704" i="144"/>
  <c r="J1206" i="144"/>
  <c r="T1206" i="144"/>
  <c r="I1206" i="144"/>
  <c r="J602" i="144"/>
  <c r="I602" i="144"/>
  <c r="I494" i="144"/>
  <c r="J494" i="144"/>
  <c r="I1565" i="144"/>
  <c r="J1565" i="144"/>
  <c r="T1565" i="144"/>
  <c r="T220" i="144"/>
  <c r="I220" i="144"/>
  <c r="J220" i="144"/>
  <c r="I1006" i="144"/>
  <c r="J1006" i="144"/>
  <c r="T1006" i="144"/>
  <c r="T720" i="144"/>
  <c r="I720" i="144"/>
  <c r="J720" i="144"/>
  <c r="J266" i="144"/>
  <c r="I266" i="144"/>
  <c r="T266" i="144"/>
  <c r="T1934" i="144"/>
  <c r="J1934" i="144"/>
  <c r="I1934" i="144"/>
  <c r="T1299" i="144"/>
  <c r="I1299" i="144"/>
  <c r="J1299" i="144"/>
  <c r="T1120" i="144"/>
  <c r="I1120" i="144"/>
  <c r="J1120" i="144"/>
  <c r="I1648" i="144"/>
  <c r="J1648" i="144"/>
  <c r="T1648" i="144"/>
  <c r="J1764" i="144"/>
  <c r="T1764" i="144"/>
  <c r="I1764" i="144"/>
  <c r="I1548" i="144"/>
  <c r="J1548" i="144"/>
  <c r="T1548" i="144"/>
  <c r="I748" i="144"/>
  <c r="T748" i="144"/>
  <c r="J748" i="144"/>
  <c r="J303" i="144"/>
  <c r="T303" i="144"/>
  <c r="I303" i="144"/>
  <c r="I2045" i="144"/>
  <c r="J2045" i="144"/>
  <c r="J1462" i="144"/>
  <c r="I1462" i="144"/>
  <c r="T1462" i="144"/>
  <c r="T544" i="144"/>
  <c r="J544" i="144"/>
  <c r="I544" i="144"/>
  <c r="I400" i="144"/>
  <c r="J400" i="144"/>
  <c r="I75" i="144"/>
  <c r="J75" i="144"/>
  <c r="I1702" i="144"/>
  <c r="J1702" i="144"/>
  <c r="T1702" i="144"/>
  <c r="I1297" i="144"/>
  <c r="J1297" i="144"/>
  <c r="I1935" i="144"/>
  <c r="J1935" i="144"/>
  <c r="J714" i="144"/>
  <c r="T714" i="144"/>
  <c r="I714" i="144"/>
  <c r="T134" i="144"/>
  <c r="J134" i="144"/>
  <c r="I134" i="144"/>
  <c r="I260" i="144"/>
  <c r="J260" i="144"/>
  <c r="I2072" i="144"/>
  <c r="J2072" i="144"/>
  <c r="T2072" i="144"/>
  <c r="T2017" i="144"/>
  <c r="J2017" i="144"/>
  <c r="I2017" i="144"/>
  <c r="J1882" i="144"/>
  <c r="T1882" i="144"/>
  <c r="T491" i="144"/>
  <c r="I491" i="144"/>
  <c r="J491" i="144"/>
  <c r="T226" i="144"/>
  <c r="I226" i="144"/>
  <c r="I1699" i="144"/>
  <c r="T1699" i="144"/>
  <c r="J1699" i="144"/>
  <c r="J1477" i="144"/>
  <c r="I1477" i="144"/>
  <c r="T1477" i="144"/>
  <c r="T387" i="144"/>
  <c r="I387" i="144"/>
  <c r="I703" i="144"/>
  <c r="J703" i="144"/>
  <c r="T703" i="144"/>
  <c r="J124" i="144"/>
  <c r="T124" i="144"/>
  <c r="J396" i="144"/>
  <c r="I396" i="144"/>
  <c r="I1750" i="144"/>
  <c r="T1750" i="144"/>
  <c r="J1750" i="144"/>
  <c r="I885" i="144"/>
  <c r="J885" i="144"/>
  <c r="T885" i="144"/>
  <c r="T452" i="144"/>
  <c r="J452" i="144"/>
  <c r="I452" i="144"/>
  <c r="J710" i="144"/>
  <c r="T710" i="144"/>
  <c r="I710" i="144"/>
  <c r="J102" i="144"/>
  <c r="I102" i="144"/>
  <c r="T102" i="144"/>
  <c r="I2238" i="144"/>
  <c r="T2238" i="144"/>
  <c r="J2238" i="144"/>
  <c r="J455" i="144"/>
  <c r="I455" i="144"/>
  <c r="J1295" i="144"/>
  <c r="T1295" i="144"/>
  <c r="I1622" i="144"/>
  <c r="J1622" i="144"/>
  <c r="J668" i="144"/>
  <c r="T668" i="144"/>
  <c r="I668" i="144"/>
  <c r="I408" i="144"/>
  <c r="J408" i="144"/>
  <c r="J1534" i="144"/>
  <c r="I1534" i="144"/>
  <c r="I2041" i="144"/>
  <c r="J2041" i="144"/>
  <c r="I471" i="144"/>
  <c r="T471" i="144"/>
  <c r="J471" i="144"/>
  <c r="I2004" i="144"/>
  <c r="J2004" i="144"/>
  <c r="T528" i="144"/>
  <c r="I528" i="144"/>
  <c r="J528" i="144"/>
  <c r="I702" i="144"/>
  <c r="J702" i="144"/>
  <c r="T702" i="144"/>
  <c r="I1831" i="144"/>
  <c r="J1831" i="144"/>
  <c r="T1831" i="144"/>
  <c r="J1043" i="144"/>
  <c r="I1043" i="144"/>
  <c r="T1043" i="144"/>
  <c r="J2058" i="144"/>
  <c r="I2058" i="144"/>
  <c r="T2058" i="144"/>
  <c r="I1969" i="144"/>
  <c r="J1969" i="144"/>
  <c r="I1697" i="144"/>
  <c r="J1697" i="144"/>
  <c r="J1811" i="144"/>
  <c r="I1811" i="144"/>
  <c r="J962" i="144"/>
  <c r="T962" i="144"/>
  <c r="I962" i="144"/>
  <c r="J1931" i="144"/>
  <c r="I1931" i="144"/>
  <c r="J2164" i="144"/>
  <c r="T2164" i="144"/>
  <c r="J2251" i="144"/>
  <c r="I2251" i="144"/>
  <c r="T2251" i="144"/>
  <c r="I206" i="144"/>
  <c r="J206" i="144"/>
  <c r="I1809" i="144"/>
  <c r="J1809" i="144"/>
  <c r="J1631" i="144"/>
  <c r="I1631" i="144"/>
  <c r="J309" i="144"/>
  <c r="T309" i="144"/>
  <c r="I309" i="144"/>
  <c r="I167" i="144"/>
  <c r="J167" i="144"/>
  <c r="T167" i="144"/>
  <c r="I158" i="144"/>
  <c r="J158" i="144"/>
  <c r="T881" i="144"/>
  <c r="J881" i="144"/>
  <c r="I881" i="144"/>
  <c r="J2071" i="144"/>
  <c r="I2071" i="144"/>
  <c r="T2012" i="144"/>
  <c r="I2012" i="144"/>
  <c r="I470" i="144"/>
  <c r="J470" i="144"/>
  <c r="J1769" i="144"/>
  <c r="T1769" i="144"/>
  <c r="I1769" i="144"/>
  <c r="J26" i="144"/>
  <c r="I26" i="144"/>
  <c r="T26" i="144"/>
  <c r="J2146" i="144"/>
  <c r="I2146" i="144"/>
  <c r="T2146" i="144"/>
  <c r="J2144" i="144"/>
  <c r="I2144" i="144"/>
  <c r="J2190" i="144"/>
  <c r="I2190" i="144"/>
  <c r="I503" i="144"/>
  <c r="J503" i="144"/>
  <c r="T1330" i="144"/>
  <c r="J1330" i="144"/>
  <c r="I354" i="144"/>
  <c r="T354" i="144"/>
  <c r="I1914" i="144"/>
  <c r="J1914" i="144"/>
  <c r="T176" i="144"/>
  <c r="J176" i="144"/>
  <c r="I176" i="144"/>
  <c r="I1849" i="144"/>
  <c r="J1849" i="144"/>
  <c r="T1800" i="144"/>
  <c r="J1800" i="144"/>
  <c r="J70" i="144"/>
  <c r="I70" i="144"/>
  <c r="I2070" i="144"/>
  <c r="T2070" i="144"/>
  <c r="I1406" i="144"/>
  <c r="J1406" i="144"/>
  <c r="J796" i="144"/>
  <c r="I796" i="144"/>
  <c r="T1073" i="144"/>
  <c r="J1073" i="144"/>
  <c r="J1170" i="144"/>
  <c r="I1170" i="144"/>
  <c r="T1742" i="144"/>
  <c r="J1742" i="144"/>
  <c r="I1742" i="144"/>
  <c r="T593" i="144"/>
  <c r="J593" i="144"/>
  <c r="I593" i="144"/>
  <c r="J259" i="144"/>
  <c r="I259" i="144"/>
  <c r="I1347" i="144"/>
  <c r="T1347" i="144"/>
  <c r="J1347" i="144"/>
  <c r="T2178" i="144"/>
  <c r="I2178" i="144"/>
  <c r="J2178" i="144"/>
  <c r="T2177" i="144"/>
  <c r="J2177" i="144"/>
  <c r="I2177" i="144"/>
  <c r="T2107" i="144"/>
  <c r="I2107" i="144"/>
  <c r="J2246" i="144"/>
  <c r="T2246" i="144"/>
  <c r="I2246" i="144"/>
  <c r="T2126" i="144"/>
  <c r="J2126" i="144"/>
  <c r="I2126" i="144"/>
  <c r="J2223" i="144"/>
  <c r="T2223" i="144"/>
  <c r="I2223" i="144"/>
  <c r="I2304" i="144"/>
  <c r="J2304" i="144"/>
  <c r="J2209" i="144"/>
  <c r="I2209" i="144"/>
  <c r="T2209" i="144"/>
  <c r="J2288" i="144"/>
  <c r="T2288" i="144"/>
  <c r="T2110" i="144"/>
  <c r="I2110" i="144"/>
  <c r="J2110" i="144"/>
  <c r="I2224" i="144"/>
  <c r="J2224" i="144"/>
  <c r="T2224" i="144"/>
  <c r="I2222" i="144"/>
  <c r="J2222" i="144"/>
  <c r="J2258" i="144"/>
  <c r="I2258" i="144"/>
  <c r="I2078" i="144"/>
  <c r="J2078" i="144"/>
  <c r="T2078" i="144"/>
  <c r="J2247" i="144"/>
  <c r="I2247" i="144"/>
  <c r="T2247" i="144"/>
  <c r="J2265" i="144"/>
  <c r="T2265" i="144"/>
  <c r="I2265" i="144"/>
  <c r="I2245" i="144"/>
  <c r="T2245" i="144"/>
  <c r="J2257" i="144"/>
  <c r="T2257" i="144"/>
  <c r="I2257" i="144"/>
  <c r="J2197" i="144"/>
  <c r="I2197" i="144"/>
  <c r="T2197" i="144"/>
  <c r="J2259" i="144"/>
  <c r="T2259" i="144"/>
  <c r="I2259" i="144"/>
  <c r="I2077" i="144"/>
  <c r="J2077" i="144"/>
  <c r="T2195" i="144"/>
  <c r="J2195" i="144"/>
  <c r="I2195" i="144"/>
  <c r="T2213" i="144"/>
  <c r="J2213" i="144"/>
  <c r="I2213" i="144"/>
  <c r="J2286" i="144"/>
  <c r="T2286" i="144"/>
  <c r="J2151" i="144"/>
  <c r="T2151" i="144"/>
  <c r="I2151" i="144"/>
  <c r="T2210" i="144"/>
  <c r="J2210" i="144"/>
  <c r="I2210" i="144"/>
  <c r="I2143" i="144"/>
  <c r="T2143" i="144"/>
  <c r="J2143" i="144"/>
  <c r="I2099" i="144"/>
  <c r="T2099" i="144"/>
  <c r="J2099" i="144"/>
  <c r="I2198" i="144"/>
  <c r="T2198" i="144"/>
  <c r="J2198" i="144"/>
  <c r="J1662" i="144"/>
  <c r="J689" i="144"/>
  <c r="J672" i="144"/>
  <c r="T2032" i="144"/>
  <c r="T56" i="144"/>
  <c r="T154" i="144"/>
  <c r="T219" i="144"/>
  <c r="T259" i="144"/>
  <c r="T306" i="144"/>
  <c r="T507" i="144"/>
  <c r="T727" i="144"/>
  <c r="T876" i="144"/>
  <c r="T1170" i="144"/>
  <c r="T1631" i="144"/>
  <c r="T1682" i="144"/>
  <c r="T1785" i="144"/>
  <c r="T232" i="144"/>
  <c r="I555" i="144"/>
  <c r="J945" i="144"/>
  <c r="T573" i="144"/>
  <c r="J13" i="144"/>
  <c r="T1109" i="144"/>
  <c r="T2060" i="144"/>
  <c r="J1962" i="144"/>
  <c r="T1393" i="144"/>
  <c r="I2015" i="144"/>
  <c r="I960" i="144"/>
  <c r="J1562" i="144"/>
  <c r="I1072" i="144"/>
  <c r="T532" i="144"/>
  <c r="J550" i="144"/>
  <c r="I175" i="144"/>
  <c r="T1623" i="144"/>
  <c r="J1179" i="144"/>
  <c r="T158" i="144"/>
  <c r="T180" i="144"/>
  <c r="T384" i="144"/>
  <c r="T441" i="144"/>
  <c r="T511" i="144"/>
  <c r="T583" i="144"/>
  <c r="T686" i="144"/>
  <c r="T771" i="144"/>
  <c r="T830" i="144"/>
  <c r="T957" i="144"/>
  <c r="T1201" i="144"/>
  <c r="T1267" i="144"/>
  <c r="T1337" i="144"/>
  <c r="T1927" i="144"/>
  <c r="T1974" i="144"/>
  <c r="T420" i="144"/>
  <c r="T796" i="144"/>
  <c r="T1505" i="144"/>
  <c r="T1010" i="144"/>
  <c r="T1672" i="144"/>
  <c r="I1672" i="144"/>
  <c r="I2010" i="144"/>
  <c r="T2010" i="144"/>
  <c r="I562" i="144"/>
  <c r="J562" i="144"/>
  <c r="T562" i="144"/>
  <c r="T557" i="144"/>
  <c r="J557" i="144"/>
  <c r="T1995" i="144"/>
  <c r="J1995" i="144"/>
  <c r="T98" i="144"/>
  <c r="J98" i="144"/>
  <c r="I1734" i="144"/>
  <c r="J1734" i="144"/>
  <c r="T1734" i="144"/>
  <c r="I2228" i="144"/>
  <c r="J2228" i="144"/>
  <c r="T2228" i="144"/>
  <c r="I1383" i="144"/>
  <c r="J1383" i="144"/>
  <c r="T1383" i="144"/>
  <c r="J178" i="144"/>
  <c r="I178" i="144"/>
  <c r="T178" i="144"/>
  <c r="I2000" i="144"/>
  <c r="T2000" i="144"/>
  <c r="J2000" i="144"/>
  <c r="I609" i="144"/>
  <c r="T609" i="144"/>
  <c r="T2150" i="144"/>
  <c r="I2150" i="144"/>
  <c r="T1399" i="144"/>
  <c r="I1399" i="144"/>
  <c r="I2005" i="144"/>
  <c r="T2005" i="144"/>
  <c r="I1668" i="144"/>
  <c r="T1668" i="144"/>
  <c r="T1384" i="144"/>
  <c r="J1384" i="144"/>
  <c r="T2007" i="144"/>
  <c r="J2007" i="144"/>
  <c r="I2135" i="144"/>
  <c r="T2135" i="144"/>
  <c r="J2135" i="144"/>
  <c r="I174" i="144"/>
  <c r="J174" i="144"/>
  <c r="T174" i="144"/>
  <c r="I1736" i="144"/>
  <c r="T1736" i="144"/>
  <c r="J1736" i="144"/>
  <c r="I585" i="144"/>
  <c r="T585" i="144"/>
  <c r="J585" i="144"/>
  <c r="I2001" i="144"/>
  <c r="T2001" i="144"/>
  <c r="J2001" i="144"/>
  <c r="I377" i="144"/>
  <c r="J377" i="144"/>
  <c r="T377" i="144"/>
  <c r="J84" i="144"/>
  <c r="T356" i="144"/>
  <c r="I1285" i="144"/>
  <c r="I1777" i="144"/>
  <c r="T696" i="144"/>
  <c r="I696" i="144"/>
  <c r="T365" i="144"/>
  <c r="I365" i="144"/>
  <c r="I1554" i="144"/>
  <c r="T1554" i="144"/>
  <c r="I1404" i="144"/>
  <c r="T1404" i="144"/>
  <c r="T1126" i="144"/>
  <c r="J1126" i="144"/>
  <c r="T195" i="144"/>
  <c r="J195" i="144"/>
  <c r="I622" i="144"/>
  <c r="T622" i="144"/>
  <c r="J622" i="144"/>
  <c r="I431" i="144"/>
  <c r="J431" i="144"/>
  <c r="T431" i="144"/>
  <c r="I1838" i="144"/>
  <c r="J1838" i="144"/>
  <c r="T1838" i="144"/>
  <c r="I600" i="144"/>
  <c r="T600" i="144"/>
  <c r="J600" i="144"/>
  <c r="J1986" i="144"/>
  <c r="I1986" i="144"/>
  <c r="T1986" i="144"/>
  <c r="I679" i="144"/>
  <c r="T679" i="144"/>
  <c r="T1171" i="144"/>
  <c r="I1171" i="144"/>
  <c r="T2244" i="144"/>
  <c r="I2244" i="144"/>
  <c r="T582" i="144"/>
  <c r="I582" i="144"/>
  <c r="I272" i="144"/>
  <c r="T272" i="144"/>
  <c r="T2214" i="144"/>
  <c r="J2214" i="144"/>
  <c r="T351" i="144"/>
  <c r="J351" i="144"/>
  <c r="T1305" i="144"/>
  <c r="J1305" i="144"/>
  <c r="I446" i="144"/>
  <c r="T446" i="144"/>
  <c r="J446" i="144"/>
  <c r="I2308" i="144"/>
  <c r="T2308" i="144"/>
  <c r="J2308" i="144"/>
  <c r="I1247" i="144"/>
  <c r="T1247" i="144"/>
  <c r="J1247" i="144"/>
  <c r="I939" i="144"/>
  <c r="T939" i="144"/>
  <c r="J939" i="144"/>
  <c r="I1994" i="144"/>
  <c r="J1994" i="144"/>
  <c r="T1994" i="144"/>
  <c r="I1053" i="144"/>
  <c r="J1053" i="144"/>
  <c r="T1053" i="144"/>
  <c r="J2307" i="144"/>
  <c r="T386" i="144"/>
  <c r="T1955" i="144"/>
  <c r="I605" i="144"/>
  <c r="T2105" i="144"/>
  <c r="T2188" i="144"/>
  <c r="T601" i="144"/>
  <c r="J1785" i="144"/>
  <c r="I1512" i="144"/>
  <c r="T1110" i="144"/>
  <c r="J135" i="144"/>
  <c r="T1021" i="144"/>
  <c r="J700" i="144"/>
  <c r="I1118" i="144"/>
  <c r="J1659" i="144"/>
  <c r="T1409" i="144"/>
  <c r="I435" i="144"/>
  <c r="J233" i="144"/>
  <c r="T355" i="144"/>
  <c r="T144" i="144"/>
  <c r="I144" i="144"/>
  <c r="I1721" i="144"/>
  <c r="I2225" i="144"/>
  <c r="I1340" i="144"/>
  <c r="I428" i="144"/>
  <c r="T173" i="144"/>
  <c r="J1285" i="144"/>
  <c r="J919" i="144"/>
  <c r="T1946" i="144"/>
  <c r="J583" i="144"/>
  <c r="I728" i="144"/>
  <c r="J1512" i="144"/>
  <c r="T73" i="144"/>
  <c r="J276" i="144"/>
  <c r="I237" i="144"/>
  <c r="I1122" i="144"/>
  <c r="I1767" i="144"/>
  <c r="I2221" i="144"/>
  <c r="J2260" i="144"/>
  <c r="J439" i="144"/>
  <c r="I1409" i="144"/>
  <c r="T1463" i="144"/>
  <c r="T1056" i="144"/>
  <c r="T915" i="144"/>
  <c r="T1122" i="144"/>
  <c r="I1187" i="144"/>
  <c r="J1008" i="144"/>
  <c r="J613" i="144"/>
  <c r="I613" i="144"/>
  <c r="I73" i="144"/>
  <c r="I276" i="144"/>
  <c r="T1487" i="144"/>
  <c r="I2243" i="144"/>
  <c r="I457" i="144"/>
  <c r="I436" i="144"/>
  <c r="J2154" i="144"/>
  <c r="J127" i="144"/>
  <c r="J204" i="144"/>
  <c r="J249" i="144"/>
  <c r="J1672" i="144"/>
  <c r="J2287" i="144"/>
  <c r="J2027" i="144"/>
  <c r="J1985" i="144"/>
  <c r="I813" i="144"/>
  <c r="I1624" i="144"/>
  <c r="J582" i="144"/>
  <c r="I1987" i="144"/>
  <c r="I2006" i="144"/>
  <c r="I1305" i="144"/>
  <c r="J609" i="144"/>
  <c r="J2236" i="144"/>
  <c r="T69" i="144"/>
  <c r="J69" i="144"/>
  <c r="I69" i="144"/>
  <c r="T2237" i="144"/>
  <c r="J2220" i="144"/>
  <c r="I2085" i="144"/>
  <c r="T2108" i="144"/>
  <c r="J2104" i="144"/>
  <c r="J2185" i="144"/>
  <c r="J424" i="144"/>
  <c r="I326" i="144"/>
  <c r="T181" i="144"/>
  <c r="T1452" i="144"/>
  <c r="I809" i="144"/>
  <c r="T454" i="144"/>
  <c r="T523" i="144"/>
  <c r="J1982" i="144"/>
  <c r="J1720" i="144"/>
  <c r="I479" i="144"/>
  <c r="J1907" i="144"/>
  <c r="T1777" i="144"/>
  <c r="J1799" i="144"/>
  <c r="J1135" i="144"/>
  <c r="I1789" i="144"/>
  <c r="T379" i="144"/>
  <c r="T964" i="144"/>
  <c r="I252" i="144"/>
  <c r="J1128" i="144"/>
  <c r="T1104" i="144"/>
  <c r="T1807" i="144"/>
  <c r="T1599" i="144"/>
  <c r="I1640" i="144"/>
  <c r="T23" i="144"/>
  <c r="J258" i="144"/>
  <c r="I2032" i="144"/>
  <c r="T1738" i="144"/>
  <c r="T801" i="144"/>
  <c r="T1582" i="144"/>
  <c r="I323" i="144"/>
  <c r="J1293" i="144"/>
  <c r="J12" i="144"/>
  <c r="J580" i="144"/>
  <c r="T904" i="144"/>
  <c r="I942" i="144"/>
  <c r="J789" i="144"/>
  <c r="J382" i="144"/>
  <c r="J435" i="144"/>
  <c r="I701" i="144"/>
  <c r="T832" i="144"/>
  <c r="I1220" i="144"/>
  <c r="I1463" i="144"/>
  <c r="J1494" i="144"/>
  <c r="I1923" i="144"/>
  <c r="I572" i="144"/>
  <c r="J937" i="144"/>
  <c r="J1041" i="144"/>
  <c r="T1250" i="144"/>
  <c r="I1508" i="144"/>
  <c r="T2047" i="144"/>
  <c r="J791" i="144"/>
  <c r="I791" i="144"/>
  <c r="T302" i="144"/>
  <c r="T848" i="144"/>
  <c r="T1099" i="144"/>
  <c r="T1444" i="144"/>
  <c r="T1472" i="144"/>
  <c r="T1538" i="144"/>
  <c r="T1559" i="144"/>
  <c r="T1583" i="144"/>
  <c r="I629" i="144"/>
  <c r="J629" i="144"/>
  <c r="I857" i="144"/>
  <c r="J857" i="144"/>
  <c r="I1060" i="144"/>
  <c r="J1060" i="144"/>
  <c r="T1060" i="144"/>
  <c r="T1975" i="144"/>
  <c r="I1975" i="144"/>
  <c r="J1975" i="144"/>
  <c r="I24" i="144"/>
  <c r="T24" i="144"/>
  <c r="J24" i="144"/>
  <c r="J1970" i="144"/>
  <c r="I1970" i="144"/>
  <c r="T1970" i="144"/>
  <c r="I1142" i="144"/>
  <c r="J1142" i="144"/>
  <c r="J1468" i="144"/>
  <c r="I1468" i="144"/>
  <c r="I936" i="144"/>
  <c r="J936" i="144"/>
  <c r="T389" i="144"/>
  <c r="J389" i="144"/>
  <c r="I389" i="144"/>
  <c r="J125" i="144"/>
  <c r="I125" i="144"/>
  <c r="I1569" i="144"/>
  <c r="T1569" i="144"/>
  <c r="J1569" i="144"/>
  <c r="I1963" i="144"/>
  <c r="J1963" i="144"/>
  <c r="T1963" i="144"/>
  <c r="J1917" i="144"/>
  <c r="I1917" i="144"/>
  <c r="T1917" i="144"/>
  <c r="I179" i="144"/>
  <c r="J179" i="144"/>
  <c r="T179" i="144"/>
  <c r="T1649" i="144"/>
  <c r="J1649" i="144"/>
  <c r="I1649" i="144"/>
  <c r="J1137" i="144"/>
  <c r="I1137" i="144"/>
  <c r="T1533" i="144"/>
  <c r="J1533" i="144"/>
  <c r="I1533" i="144"/>
  <c r="I819" i="144"/>
  <c r="T819" i="144"/>
  <c r="I1486" i="144"/>
  <c r="T1486" i="144"/>
  <c r="J1486" i="144"/>
  <c r="J1209" i="144"/>
  <c r="I1209" i="144"/>
  <c r="J1033" i="144"/>
  <c r="T1033" i="144"/>
  <c r="I1033" i="144"/>
  <c r="I731" i="144"/>
  <c r="J731" i="144"/>
  <c r="J1744" i="144"/>
  <c r="I1744" i="144"/>
  <c r="J335" i="144"/>
  <c r="T335" i="144"/>
  <c r="I335" i="144"/>
  <c r="T2035" i="144"/>
  <c r="I2035" i="144"/>
  <c r="J2035" i="144"/>
  <c r="J1920" i="144"/>
  <c r="T1920" i="144"/>
  <c r="I1920" i="144"/>
  <c r="J837" i="144"/>
  <c r="T837" i="144"/>
  <c r="I837" i="144"/>
  <c r="T1786" i="144"/>
  <c r="I1786" i="144"/>
  <c r="J1786" i="144"/>
  <c r="T349" i="144"/>
  <c r="J349" i="144"/>
  <c r="I349" i="144"/>
  <c r="T1469" i="144"/>
  <c r="I1469" i="144"/>
  <c r="I1227" i="144"/>
  <c r="J1227" i="144"/>
  <c r="T1227" i="144"/>
  <c r="I812" i="144"/>
  <c r="J812" i="144"/>
  <c r="J1573" i="144"/>
  <c r="T1573" i="144"/>
  <c r="T660" i="144"/>
  <c r="I660" i="144"/>
  <c r="J660" i="144"/>
  <c r="I1027" i="144"/>
  <c r="T1027" i="144"/>
  <c r="J1027" i="144"/>
  <c r="T1256" i="144"/>
  <c r="I1256" i="144"/>
  <c r="J1256" i="144"/>
  <c r="I1460" i="144"/>
  <c r="J1460" i="144"/>
  <c r="T1382" i="144"/>
  <c r="J1382" i="144"/>
  <c r="T718" i="144"/>
  <c r="J718" i="144"/>
  <c r="I718" i="144"/>
  <c r="J1691" i="144"/>
  <c r="I1691" i="144"/>
  <c r="I1560" i="144"/>
  <c r="T1560" i="144"/>
  <c r="J1560" i="144"/>
  <c r="I1853" i="144"/>
  <c r="J1853" i="144"/>
  <c r="T59" i="144"/>
  <c r="J59" i="144"/>
  <c r="J1042" i="144"/>
  <c r="I1042" i="144"/>
  <c r="I1956" i="144"/>
  <c r="T1956" i="144"/>
  <c r="J1956" i="144"/>
  <c r="T1514" i="144"/>
  <c r="I1514" i="144"/>
  <c r="J1514" i="144"/>
  <c r="I1977" i="144"/>
  <c r="J1977" i="144"/>
  <c r="T1977" i="144"/>
  <c r="I248" i="144"/>
  <c r="J248" i="144"/>
  <c r="T248" i="144"/>
  <c r="I2003" i="144"/>
  <c r="T2003" i="144"/>
  <c r="I1989" i="144"/>
  <c r="J1989" i="144"/>
  <c r="T82" i="144"/>
  <c r="I82" i="144"/>
  <c r="J931" i="144"/>
  <c r="I931" i="144"/>
  <c r="I109" i="144"/>
  <c r="J109" i="144"/>
  <c r="J953" i="144"/>
  <c r="I953" i="144"/>
  <c r="T1481" i="144"/>
  <c r="J1481" i="144"/>
  <c r="I1481" i="144"/>
  <c r="T368" i="144"/>
  <c r="I368" i="144"/>
  <c r="J368" i="144"/>
  <c r="I1610" i="144"/>
  <c r="T1610" i="144"/>
  <c r="J1610" i="144"/>
  <c r="T1168" i="144"/>
  <c r="J1168" i="144"/>
  <c r="I1168" i="144"/>
  <c r="I774" i="144"/>
  <c r="T774" i="144"/>
  <c r="J774" i="144"/>
  <c r="J1105" i="144"/>
  <c r="I1105" i="144"/>
  <c r="T1105" i="144"/>
  <c r="J159" i="144"/>
  <c r="T159" i="144"/>
  <c r="I159" i="144"/>
  <c r="I1163" i="144"/>
  <c r="J1163" i="144"/>
  <c r="I1839" i="144"/>
  <c r="J1839" i="144"/>
  <c r="J19" i="144"/>
  <c r="I19" i="144"/>
  <c r="T996" i="144"/>
  <c r="J996" i="144"/>
  <c r="I284" i="144"/>
  <c r="J284" i="144"/>
  <c r="T284" i="144"/>
  <c r="T1760" i="144"/>
  <c r="J1760" i="144"/>
  <c r="J2056" i="144"/>
  <c r="T2056" i="144"/>
  <c r="I2056" i="144"/>
  <c r="I288" i="144"/>
  <c r="J288" i="144"/>
  <c r="T288" i="144"/>
  <c r="T1603" i="144"/>
  <c r="J1603" i="144"/>
  <c r="I1603" i="144"/>
  <c r="I444" i="144"/>
  <c r="T444" i="144"/>
  <c r="J444" i="144"/>
  <c r="I1806" i="144"/>
  <c r="T1806" i="144"/>
  <c r="J1806" i="144"/>
  <c r="T968" i="144"/>
  <c r="I968" i="144"/>
  <c r="J968" i="144"/>
  <c r="J1641" i="144"/>
  <c r="T1641" i="144"/>
  <c r="I1641" i="144"/>
  <c r="I693" i="144"/>
  <c r="J693" i="144"/>
  <c r="T693" i="144"/>
  <c r="I1506" i="144"/>
  <c r="J1506" i="144"/>
  <c r="T1506" i="144"/>
  <c r="I1980" i="144"/>
  <c r="J1980" i="144"/>
  <c r="T1980" i="144"/>
  <c r="J2014" i="144"/>
  <c r="T2014" i="144"/>
  <c r="I2014" i="144"/>
  <c r="J1411" i="144"/>
  <c r="T1411" i="144"/>
  <c r="J2008" i="144"/>
  <c r="T2008" i="144"/>
  <c r="J1563" i="144"/>
  <c r="I1563" i="144"/>
  <c r="I161" i="144"/>
  <c r="T161" i="144"/>
  <c r="J161" i="144"/>
  <c r="J366" i="144"/>
  <c r="I366" i="144"/>
  <c r="J607" i="144"/>
  <c r="T607" i="144"/>
  <c r="J722" i="144"/>
  <c r="T722" i="144"/>
  <c r="I722" i="144"/>
  <c r="J1311" i="144"/>
  <c r="T1311" i="144"/>
  <c r="I1311" i="144"/>
  <c r="I44" i="144"/>
  <c r="J44" i="144"/>
  <c r="T1968" i="144"/>
  <c r="I1968" i="144"/>
  <c r="J997" i="144"/>
  <c r="I997" i="144"/>
  <c r="J571" i="144"/>
  <c r="T571" i="144"/>
  <c r="I571" i="144"/>
  <c r="T1964" i="144"/>
  <c r="I1964" i="144"/>
  <c r="I1065" i="144"/>
  <c r="J1065" i="144"/>
  <c r="T1065" i="144"/>
  <c r="I478" i="144"/>
  <c r="J478" i="144"/>
  <c r="T185" i="144"/>
  <c r="I185" i="144"/>
  <c r="J185" i="144"/>
  <c r="J8" i="144"/>
  <c r="T8" i="144"/>
  <c r="I8" i="144"/>
  <c r="T290" i="144"/>
  <c r="I290" i="144"/>
  <c r="J290" i="144"/>
  <c r="I1501" i="144"/>
  <c r="J1501" i="144"/>
  <c r="T1501" i="144"/>
  <c r="T976" i="144"/>
  <c r="I976" i="144"/>
  <c r="J976" i="144"/>
  <c r="J1363" i="144"/>
  <c r="I1363" i="144"/>
  <c r="T1363" i="144"/>
  <c r="J1055" i="144"/>
  <c r="I1055" i="144"/>
  <c r="T1872" i="144"/>
  <c r="I1872" i="144"/>
  <c r="T1887" i="144"/>
  <c r="J1887" i="144"/>
  <c r="I1887" i="144"/>
  <c r="J2061" i="144"/>
  <c r="I2061" i="144"/>
  <c r="J1753" i="144"/>
  <c r="T1753" i="144"/>
  <c r="T502" i="144"/>
  <c r="J502" i="144"/>
  <c r="J715" i="144"/>
  <c r="I715" i="144"/>
  <c r="I879" i="144"/>
  <c r="J879" i="144"/>
  <c r="J322" i="144"/>
  <c r="I322" i="144"/>
  <c r="I477" i="144"/>
  <c r="J477" i="144"/>
  <c r="T20" i="144"/>
  <c r="I20" i="144"/>
  <c r="T1432" i="144"/>
  <c r="I1432" i="144"/>
  <c r="J1432" i="144"/>
  <c r="T1329" i="144"/>
  <c r="I1329" i="144"/>
  <c r="J1173" i="144"/>
  <c r="T1173" i="144"/>
  <c r="T1211" i="144"/>
  <c r="I1211" i="144"/>
  <c r="I1638" i="144"/>
  <c r="J1638" i="144"/>
  <c r="T1638" i="144"/>
  <c r="I901" i="144"/>
  <c r="J901" i="144"/>
  <c r="J1827" i="144"/>
  <c r="T1827" i="144"/>
  <c r="I1827" i="144"/>
  <c r="J1553" i="144"/>
  <c r="I1553" i="144"/>
  <c r="J1521" i="144"/>
  <c r="I1521" i="144"/>
  <c r="T1843" i="144"/>
  <c r="J1843" i="144"/>
  <c r="T238" i="144"/>
  <c r="I238" i="144"/>
  <c r="J238" i="144"/>
  <c r="I1226" i="144"/>
  <c r="J1226" i="144"/>
  <c r="J223" i="144"/>
  <c r="I223" i="144"/>
  <c r="J1427" i="144"/>
  <c r="I1427" i="144"/>
  <c r="J726" i="144"/>
  <c r="I726" i="144"/>
  <c r="T1450" i="144"/>
  <c r="I1450" i="144"/>
  <c r="J1450" i="144"/>
  <c r="T1346" i="144"/>
  <c r="J1346" i="144"/>
  <c r="I508" i="144"/>
  <c r="J508" i="144"/>
  <c r="J553" i="144"/>
  <c r="I553" i="144"/>
  <c r="I429" i="144"/>
  <c r="T429" i="144"/>
  <c r="J429" i="144"/>
  <c r="J804" i="144"/>
  <c r="I804" i="144"/>
  <c r="T998" i="144"/>
  <c r="J998" i="144"/>
  <c r="I998" i="144"/>
  <c r="J1124" i="144"/>
  <c r="T1124" i="144"/>
  <c r="J653" i="144"/>
  <c r="T653" i="144"/>
  <c r="I1801" i="144"/>
  <c r="T1801" i="144"/>
  <c r="J337" i="144"/>
  <c r="I337" i="144"/>
  <c r="T1817" i="144"/>
  <c r="I1817" i="144"/>
  <c r="J1817" i="144"/>
  <c r="J2075" i="144"/>
  <c r="I2075" i="144"/>
  <c r="I1474" i="144"/>
  <c r="J1474" i="144"/>
  <c r="T1474" i="144"/>
  <c r="T1308" i="144"/>
  <c r="I1308" i="144"/>
  <c r="J1308" i="144"/>
  <c r="J892" i="144"/>
  <c r="I892" i="144"/>
  <c r="T892" i="144"/>
  <c r="T1147" i="144"/>
  <c r="I1147" i="144"/>
  <c r="J1147" i="144"/>
  <c r="J495" i="144"/>
  <c r="I495" i="144"/>
  <c r="T495" i="144"/>
  <c r="I1350" i="144"/>
  <c r="J1350" i="144"/>
  <c r="J1255" i="144"/>
  <c r="I1255" i="144"/>
  <c r="T145" i="144"/>
  <c r="J145" i="144"/>
  <c r="I145" i="144"/>
  <c r="T1676" i="144"/>
  <c r="I1676" i="144"/>
  <c r="J1676" i="144"/>
  <c r="J520" i="144"/>
  <c r="T520" i="144"/>
  <c r="I520" i="144"/>
  <c r="J894" i="144"/>
  <c r="I894" i="144"/>
  <c r="I1361" i="144"/>
  <c r="J1361" i="144"/>
  <c r="I1014" i="144"/>
  <c r="J1014" i="144"/>
  <c r="I921" i="144"/>
  <c r="J921" i="144"/>
  <c r="T921" i="144"/>
  <c r="I1722" i="144"/>
  <c r="J1722" i="144"/>
  <c r="J1896" i="144"/>
  <c r="T1896" i="144"/>
  <c r="I1896" i="144"/>
  <c r="T475" i="144"/>
  <c r="J475" i="144"/>
  <c r="I475" i="144"/>
  <c r="J497" i="144"/>
  <c r="I497" i="144"/>
  <c r="J264" i="144"/>
  <c r="T264" i="144"/>
  <c r="I264" i="144"/>
  <c r="J2063" i="144"/>
  <c r="I2063" i="144"/>
  <c r="T512" i="144"/>
  <c r="I512" i="144"/>
  <c r="J512" i="144"/>
  <c r="I275" i="144"/>
  <c r="J275" i="144"/>
  <c r="T275" i="144"/>
  <c r="J2043" i="144"/>
  <c r="I2043" i="144"/>
  <c r="I1779" i="144"/>
  <c r="T1779" i="144"/>
  <c r="J1779" i="144"/>
  <c r="T1808" i="144"/>
  <c r="I1808" i="144"/>
  <c r="J1808" i="144"/>
  <c r="J1751" i="144"/>
  <c r="I1751" i="144"/>
  <c r="I2205" i="144"/>
  <c r="J2205" i="144"/>
  <c r="T2205" i="144"/>
  <c r="T843" i="144"/>
  <c r="J843" i="144"/>
  <c r="I843" i="144"/>
  <c r="J1435" i="144"/>
  <c r="I1435" i="144"/>
  <c r="T458" i="144"/>
  <c r="J458" i="144"/>
  <c r="I458" i="144"/>
  <c r="J1335" i="144"/>
  <c r="T1335" i="144"/>
  <c r="I1335" i="144"/>
  <c r="T1116" i="144"/>
  <c r="I1116" i="144"/>
  <c r="I966" i="144"/>
  <c r="J966" i="144"/>
  <c r="T966" i="144"/>
  <c r="J661" i="144"/>
  <c r="I661" i="144"/>
  <c r="T1709" i="144"/>
  <c r="I1709" i="144"/>
  <c r="J1709" i="144"/>
  <c r="J1428" i="144"/>
  <c r="T1428" i="144"/>
  <c r="I1428" i="144"/>
  <c r="T1952" i="144"/>
  <c r="J1952" i="144"/>
  <c r="I1952" i="144"/>
  <c r="J1708" i="144"/>
  <c r="I1708" i="144"/>
  <c r="J1177" i="144"/>
  <c r="T1177" i="144"/>
  <c r="J681" i="144"/>
  <c r="I681" i="144"/>
  <c r="T681" i="144"/>
  <c r="I1134" i="144"/>
  <c r="J1134" i="144"/>
  <c r="T1134" i="144"/>
  <c r="I888" i="144"/>
  <c r="J888" i="144"/>
  <c r="T888" i="144"/>
  <c r="T1846" i="144"/>
  <c r="J1846" i="144"/>
  <c r="I1846" i="144"/>
  <c r="I1851" i="144"/>
  <c r="J1851" i="144"/>
  <c r="T1851" i="144"/>
  <c r="I1728" i="144"/>
  <c r="J1728" i="144"/>
  <c r="T1728" i="144"/>
  <c r="I758" i="144"/>
  <c r="T758" i="144"/>
  <c r="J758" i="144"/>
  <c r="T256" i="144"/>
  <c r="J256" i="144"/>
  <c r="I695" i="144"/>
  <c r="J695" i="144"/>
  <c r="T695" i="144"/>
  <c r="J1673" i="144"/>
  <c r="I1673" i="144"/>
  <c r="J965" i="144"/>
  <c r="I965" i="144"/>
  <c r="J870" i="144"/>
  <c r="I870" i="144"/>
  <c r="I1144" i="144"/>
  <c r="T1144" i="144"/>
  <c r="J1144" i="144"/>
  <c r="I1611" i="144"/>
  <c r="J1611" i="144"/>
  <c r="T1611" i="144"/>
  <c r="I1705" i="144"/>
  <c r="J1705" i="144"/>
  <c r="J317" i="144"/>
  <c r="T317" i="144"/>
  <c r="I317" i="144"/>
  <c r="I1243" i="144"/>
  <c r="T1243" i="144"/>
  <c r="J1243" i="144"/>
  <c r="I755" i="144"/>
  <c r="J755" i="144"/>
  <c r="I934" i="144"/>
  <c r="T934" i="144"/>
  <c r="T569" i="144"/>
  <c r="J569" i="144"/>
  <c r="I569" i="144"/>
  <c r="T315" i="144"/>
  <c r="I315" i="144"/>
  <c r="J315" i="144"/>
  <c r="I1511" i="144"/>
  <c r="J1511" i="144"/>
  <c r="T1511" i="144"/>
  <c r="J961" i="144"/>
  <c r="I961" i="144"/>
  <c r="J928" i="144"/>
  <c r="T928" i="144"/>
  <c r="J1529" i="144"/>
  <c r="I1529" i="144"/>
  <c r="I980" i="144"/>
  <c r="T980" i="144"/>
  <c r="J980" i="144"/>
  <c r="J1034" i="144"/>
  <c r="I1034" i="144"/>
  <c r="J2064" i="144"/>
  <c r="T2064" i="144"/>
  <c r="I2064" i="144"/>
  <c r="J856" i="144"/>
  <c r="I856" i="144"/>
  <c r="I35" i="144"/>
  <c r="T35" i="144"/>
  <c r="J35" i="144"/>
  <c r="T504" i="144"/>
  <c r="J504" i="144"/>
  <c r="I504" i="144"/>
  <c r="T1860" i="144"/>
  <c r="J1860" i="144"/>
  <c r="I1860" i="144"/>
  <c r="T1029" i="144"/>
  <c r="J1029" i="144"/>
  <c r="I1029" i="144"/>
  <c r="I270" i="144"/>
  <c r="J270" i="144"/>
  <c r="I1852" i="144"/>
  <c r="J1852" i="144"/>
  <c r="T1852" i="144"/>
  <c r="T1790" i="144"/>
  <c r="I1790" i="144"/>
  <c r="J1790" i="144"/>
  <c r="J627" i="144"/>
  <c r="T627" i="144"/>
  <c r="I1698" i="144"/>
  <c r="J1698" i="144"/>
  <c r="J163" i="144"/>
  <c r="I163" i="144"/>
  <c r="I122" i="144"/>
  <c r="T122" i="144"/>
  <c r="J122" i="144"/>
  <c r="I170" i="144"/>
  <c r="J170" i="144"/>
  <c r="J79" i="144"/>
  <c r="I79" i="144"/>
  <c r="J1017" i="144"/>
  <c r="T1017" i="144"/>
  <c r="J395" i="144"/>
  <c r="I395" i="144"/>
  <c r="T395" i="144"/>
  <c r="I760" i="144"/>
  <c r="T760" i="144"/>
  <c r="T917" i="144"/>
  <c r="I917" i="144"/>
  <c r="I1692" i="144"/>
  <c r="J1692" i="144"/>
  <c r="T1692" i="144"/>
  <c r="J578" i="144"/>
  <c r="I578" i="144"/>
  <c r="J487" i="144"/>
  <c r="T487" i="144"/>
  <c r="T754" i="144"/>
  <c r="I754" i="144"/>
  <c r="J754" i="144"/>
  <c r="I1619" i="144"/>
  <c r="T1619" i="144"/>
  <c r="J1619" i="144"/>
  <c r="J116" i="144"/>
  <c r="I116" i="144"/>
  <c r="I1997" i="144"/>
  <c r="T1997" i="144"/>
  <c r="J1997" i="144"/>
  <c r="J977" i="144"/>
  <c r="I977" i="144"/>
  <c r="J1125" i="144"/>
  <c r="I1125" i="144"/>
  <c r="I49" i="144"/>
  <c r="T49" i="144"/>
  <c r="J49" i="144"/>
  <c r="T1155" i="144"/>
  <c r="J1155" i="144"/>
  <c r="I1881" i="144"/>
  <c r="J1881" i="144"/>
  <c r="J146" i="144"/>
  <c r="I146" i="144"/>
  <c r="J1796" i="144"/>
  <c r="I1796" i="144"/>
  <c r="T1892" i="144"/>
  <c r="J1892" i="144"/>
  <c r="T1828" i="144"/>
  <c r="I1828" i="144"/>
  <c r="J1828" i="144"/>
  <c r="I746" i="144"/>
  <c r="J746" i="144"/>
  <c r="J922" i="144"/>
  <c r="I922" i="144"/>
  <c r="I558" i="144"/>
  <c r="T558" i="144"/>
  <c r="J558" i="144"/>
  <c r="T1457" i="144"/>
  <c r="J1457" i="144"/>
  <c r="I1457" i="144"/>
  <c r="I1386" i="144"/>
  <c r="J1386" i="144"/>
  <c r="T1386" i="144"/>
  <c r="J1877" i="144"/>
  <c r="I1877" i="144"/>
  <c r="T1837" i="144"/>
  <c r="J1837" i="144"/>
  <c r="I589" i="144"/>
  <c r="J589" i="144"/>
  <c r="T589" i="144"/>
  <c r="J1845" i="144"/>
  <c r="I1845" i="144"/>
  <c r="T2048" i="144"/>
  <c r="J2048" i="144"/>
  <c r="I2048" i="144"/>
  <c r="I552" i="144"/>
  <c r="J552" i="144"/>
  <c r="I434" i="144"/>
  <c r="J434" i="144"/>
  <c r="T434" i="144"/>
  <c r="I36" i="144"/>
  <c r="J36" i="144"/>
  <c r="I151" i="144"/>
  <c r="T151" i="144"/>
  <c r="J151" i="144"/>
  <c r="J469" i="144"/>
  <c r="T469" i="144"/>
  <c r="I469" i="144"/>
  <c r="T1795" i="144"/>
  <c r="J1795" i="144"/>
  <c r="I1795" i="144"/>
  <c r="I1825" i="144"/>
  <c r="J1825" i="144"/>
  <c r="T1825" i="144"/>
  <c r="I750" i="144"/>
  <c r="J750" i="144"/>
  <c r="T750" i="144"/>
  <c r="I1805" i="144"/>
  <c r="J1805" i="144"/>
  <c r="J130" i="144"/>
  <c r="T130" i="144"/>
  <c r="I1787" i="144"/>
  <c r="T1787" i="144"/>
  <c r="J1787" i="144"/>
  <c r="T867" i="144"/>
  <c r="I867" i="144"/>
  <c r="J1712" i="144"/>
  <c r="I1712" i="144"/>
  <c r="T899" i="144"/>
  <c r="I899" i="144"/>
  <c r="J899" i="144"/>
  <c r="I1873" i="144"/>
  <c r="J1873" i="144"/>
  <c r="J1965" i="144"/>
  <c r="I1965" i="144"/>
  <c r="T216" i="144"/>
  <c r="J216" i="144"/>
  <c r="T1637" i="144"/>
  <c r="J1637" i="144"/>
  <c r="J198" i="144"/>
  <c r="I198" i="144"/>
  <c r="I519" i="144"/>
  <c r="J519" i="144"/>
  <c r="T1549" i="144"/>
  <c r="I1549" i="144"/>
  <c r="J1549" i="144"/>
  <c r="I2024" i="144"/>
  <c r="T2024" i="144"/>
  <c r="I142" i="144"/>
  <c r="T142" i="144"/>
  <c r="J142" i="144"/>
  <c r="T462" i="144"/>
  <c r="I462" i="144"/>
  <c r="J96" i="144"/>
  <c r="T96" i="144"/>
  <c r="I96" i="144"/>
  <c r="T1167" i="144"/>
  <c r="J1167" i="144"/>
  <c r="I1167" i="144"/>
  <c r="I844" i="144"/>
  <c r="J844" i="144"/>
  <c r="J202" i="144"/>
  <c r="I202" i="144"/>
  <c r="J162" i="144"/>
  <c r="I162" i="144"/>
  <c r="J2173" i="144"/>
  <c r="I2173" i="144"/>
  <c r="T2173" i="144"/>
  <c r="T1745" i="144"/>
  <c r="I1745" i="144"/>
  <c r="J1745" i="144"/>
  <c r="J37" i="144"/>
  <c r="T37" i="144"/>
  <c r="I37" i="144"/>
  <c r="J383" i="144"/>
  <c r="T383" i="144"/>
  <c r="I383" i="144"/>
  <c r="T1981" i="144"/>
  <c r="J1981" i="144"/>
  <c r="I1981" i="144"/>
  <c r="J466" i="144"/>
  <c r="I466" i="144"/>
  <c r="J64" i="144"/>
  <c r="I64" i="144"/>
  <c r="T64" i="144"/>
  <c r="J1947" i="144"/>
  <c r="I1947" i="144"/>
  <c r="I318" i="144"/>
  <c r="J318" i="144"/>
  <c r="T2187" i="144"/>
  <c r="J2187" i="144"/>
  <c r="I2187" i="144"/>
  <c r="J2241" i="144"/>
  <c r="I2241" i="144"/>
  <c r="T2241" i="144"/>
  <c r="T2082" i="144"/>
  <c r="I2082" i="144"/>
  <c r="J2082" i="144"/>
  <c r="J2091" i="144"/>
  <c r="T2091" i="144"/>
  <c r="J403" i="144"/>
  <c r="I403" i="144"/>
  <c r="T403" i="144"/>
  <c r="J1938" i="144"/>
  <c r="I1938" i="144"/>
  <c r="T1938" i="144"/>
  <c r="I222" i="144"/>
  <c r="J222" i="144"/>
  <c r="T222" i="144"/>
  <c r="J1729" i="144"/>
  <c r="I1729" i="144"/>
  <c r="T1729" i="144"/>
  <c r="I1961" i="144"/>
  <c r="J1961" i="144"/>
  <c r="T1961" i="144"/>
  <c r="I376" i="144"/>
  <c r="T376" i="144"/>
  <c r="J376" i="144"/>
  <c r="I41" i="144"/>
  <c r="T41" i="144"/>
  <c r="J41" i="144"/>
  <c r="J1657" i="144"/>
  <c r="T1657" i="144"/>
  <c r="I2053" i="144"/>
  <c r="J2053" i="144"/>
  <c r="T1281" i="144"/>
  <c r="J1281" i="144"/>
  <c r="I1281" i="144"/>
  <c r="I474" i="144"/>
  <c r="J474" i="144"/>
  <c r="J821" i="144"/>
  <c r="T821" i="144"/>
  <c r="I821" i="144"/>
  <c r="I1075" i="144"/>
  <c r="J1075" i="144"/>
  <c r="I2023" i="144"/>
  <c r="T2023" i="144"/>
  <c r="J2023" i="144"/>
  <c r="J361" i="144"/>
  <c r="I361" i="144"/>
  <c r="T1788" i="144"/>
  <c r="J1788" i="144"/>
  <c r="I1788" i="144"/>
  <c r="I1537" i="144"/>
  <c r="T1537" i="144"/>
  <c r="J1537" i="144"/>
  <c r="T10" i="144"/>
  <c r="J10" i="144"/>
  <c r="I10" i="144"/>
  <c r="I1461" i="144"/>
  <c r="J1461" i="144"/>
  <c r="T1461" i="144"/>
  <c r="T2112" i="144"/>
  <c r="I2112" i="144"/>
  <c r="J2112" i="144"/>
  <c r="I2132" i="144"/>
  <c r="J2132" i="144"/>
  <c r="T2132" i="144"/>
  <c r="I2130" i="144"/>
  <c r="J2130" i="144"/>
  <c r="T2130" i="144"/>
  <c r="J2327" i="144"/>
  <c r="I2327" i="144"/>
  <c r="T2202" i="144"/>
  <c r="J2202" i="144"/>
  <c r="I2202" i="144"/>
  <c r="I2182" i="144"/>
  <c r="T2182" i="144"/>
  <c r="J2182" i="144"/>
  <c r="T2171" i="144"/>
  <c r="J2171" i="144"/>
  <c r="I2171" i="144"/>
  <c r="I2123" i="144"/>
  <c r="T2123" i="144"/>
  <c r="J2123" i="144"/>
  <c r="T2183" i="144"/>
  <c r="I2183" i="144"/>
  <c r="J2183" i="144"/>
  <c r="J2215" i="144"/>
  <c r="T2215" i="144"/>
  <c r="I2215" i="144"/>
  <c r="T2203" i="144"/>
  <c r="I2203" i="144"/>
  <c r="J2203" i="144"/>
  <c r="I2229" i="144"/>
  <c r="T2229" i="144"/>
  <c r="J2229" i="144"/>
  <c r="I2201" i="144"/>
  <c r="J2201" i="144"/>
  <c r="T2201" i="144"/>
  <c r="I2254" i="144"/>
  <c r="T2254" i="144"/>
  <c r="J2254" i="144"/>
  <c r="T2322" i="144"/>
  <c r="J2322" i="144"/>
  <c r="T2216" i="144"/>
  <c r="J2216" i="144"/>
  <c r="I2216" i="144"/>
  <c r="J2181" i="144"/>
  <c r="T2181" i="144"/>
  <c r="I2181" i="144"/>
  <c r="I2250" i="144"/>
  <c r="J2250" i="144"/>
  <c r="T2250" i="144"/>
  <c r="T2162" i="144"/>
  <c r="I2162" i="144"/>
  <c r="J2162" i="144"/>
  <c r="I2262" i="144"/>
  <c r="T2262" i="144"/>
  <c r="I2253" i="144"/>
  <c r="J2253" i="144"/>
  <c r="T2253" i="144"/>
  <c r="T2114" i="144"/>
  <c r="I2114" i="144"/>
  <c r="J2114" i="144"/>
  <c r="T2232" i="144"/>
  <c r="I2232" i="144"/>
  <c r="T2175" i="144"/>
  <c r="I2175" i="144"/>
  <c r="J2175" i="144"/>
  <c r="J2189" i="144"/>
  <c r="I2189" i="144"/>
  <c r="T2189" i="144"/>
  <c r="T2166" i="144"/>
  <c r="I2166" i="144"/>
  <c r="J2166" i="144"/>
  <c r="I1046" i="144"/>
  <c r="J1046" i="144"/>
  <c r="T2061" i="144"/>
  <c r="T2015" i="144"/>
  <c r="T48" i="144"/>
  <c r="T83" i="144"/>
  <c r="T95" i="144"/>
  <c r="T125" i="144"/>
  <c r="T314" i="144"/>
  <c r="T451" i="144"/>
  <c r="T543" i="144"/>
  <c r="T826" i="144"/>
  <c r="T894" i="144"/>
  <c r="T1046" i="144"/>
  <c r="T1107" i="144"/>
  <c r="T1651" i="144"/>
  <c r="T1686" i="144"/>
  <c r="T1704" i="144"/>
  <c r="T1740" i="144"/>
  <c r="T1849" i="144"/>
  <c r="T1931" i="144"/>
  <c r="J1083" i="144"/>
  <c r="I232" i="144"/>
  <c r="T2025" i="144"/>
  <c r="I945" i="144"/>
  <c r="J1388" i="144"/>
  <c r="T427" i="144"/>
  <c r="J648" i="144"/>
  <c r="T319" i="144"/>
  <c r="I1962" i="144"/>
  <c r="I639" i="144"/>
  <c r="I686" i="144"/>
  <c r="I1562" i="144"/>
  <c r="T281" i="144"/>
  <c r="J532" i="144"/>
  <c r="J1229" i="144"/>
  <c r="T2039" i="144"/>
  <c r="T396" i="144"/>
  <c r="T470" i="144"/>
  <c r="T527" i="144"/>
  <c r="T844" i="144"/>
  <c r="T969" i="144"/>
  <c r="T1026" i="144"/>
  <c r="T1091" i="144"/>
  <c r="T1154" i="144"/>
  <c r="T1209" i="144"/>
  <c r="T1229" i="144"/>
  <c r="T1349" i="144"/>
  <c r="T1752" i="144"/>
  <c r="T1935" i="144"/>
  <c r="T1982" i="144"/>
  <c r="T566" i="144"/>
  <c r="T1115" i="144"/>
  <c r="T1809" i="144"/>
  <c r="T455" i="144"/>
  <c r="T935" i="144"/>
  <c r="T1853" i="144"/>
  <c r="I188" i="146"/>
  <c r="J188" i="146"/>
  <c r="J2005" i="144"/>
  <c r="T1536" i="144"/>
  <c r="I1536" i="144"/>
  <c r="I797" i="144"/>
  <c r="T797" i="144"/>
  <c r="J797" i="144"/>
  <c r="J1111" i="144"/>
  <c r="I1111" i="144"/>
  <c r="J1531" i="144"/>
  <c r="I1531" i="144"/>
  <c r="T268" i="144"/>
  <c r="J268" i="144"/>
  <c r="I268" i="144"/>
  <c r="I1763" i="144"/>
  <c r="J1763" i="144"/>
  <c r="T1763" i="144"/>
  <c r="T1715" i="144"/>
  <c r="I1715" i="144"/>
  <c r="I620" i="144"/>
  <c r="T620" i="144"/>
  <c r="I1976" i="144"/>
  <c r="J1976" i="144"/>
  <c r="T1976" i="144"/>
  <c r="T1634" i="144"/>
  <c r="J1634" i="144"/>
  <c r="I1634" i="144"/>
  <c r="T2068" i="144"/>
  <c r="J2068" i="144"/>
  <c r="I2068" i="144"/>
  <c r="T1645" i="144"/>
  <c r="I1645" i="144"/>
  <c r="J1645" i="144"/>
  <c r="T1420" i="144"/>
  <c r="I1420" i="144"/>
  <c r="J1420" i="144"/>
  <c r="T742" i="144"/>
  <c r="I742" i="144"/>
  <c r="J742" i="144"/>
  <c r="I2029" i="144"/>
  <c r="T2029" i="144"/>
  <c r="J2029" i="144"/>
  <c r="J643" i="144"/>
  <c r="I643" i="144"/>
  <c r="T643" i="144"/>
  <c r="J526" i="144"/>
  <c r="I526" i="144"/>
  <c r="T526" i="144"/>
  <c r="J805" i="144"/>
  <c r="T805" i="144"/>
  <c r="I805" i="144"/>
  <c r="T1954" i="144"/>
  <c r="J1954" i="144"/>
  <c r="I1954" i="144"/>
  <c r="J1392" i="144"/>
  <c r="I1392" i="144"/>
  <c r="I1581" i="144"/>
  <c r="J1581" i="144"/>
  <c r="T1581" i="144"/>
  <c r="T25" i="144"/>
  <c r="J25" i="144"/>
  <c r="T1576" i="144"/>
  <c r="J1576" i="144"/>
  <c r="I1576" i="144"/>
  <c r="J1696" i="144"/>
  <c r="I1696" i="144"/>
  <c r="T1696" i="144"/>
  <c r="I1192" i="144"/>
  <c r="J1192" i="144"/>
  <c r="I224" i="144"/>
  <c r="J224" i="144"/>
  <c r="I450" i="144"/>
  <c r="J450" i="144"/>
  <c r="T450" i="144"/>
  <c r="T784" i="144"/>
  <c r="T949" i="144"/>
  <c r="T1609" i="144"/>
  <c r="T1694" i="144"/>
  <c r="T1772" i="144"/>
  <c r="J1345" i="144"/>
  <c r="I1345" i="144"/>
  <c r="I319" i="144"/>
  <c r="T428" i="144"/>
  <c r="T1128" i="144"/>
  <c r="F46" i="175"/>
  <c r="J34" i="144"/>
  <c r="K14" i="170"/>
  <c r="K8" i="170"/>
  <c r="T2289" i="144"/>
  <c r="I601" i="144"/>
  <c r="T1923" i="144"/>
  <c r="T2287" i="144"/>
  <c r="I2287" i="144"/>
  <c r="T212" i="144"/>
  <c r="I212" i="144"/>
  <c r="I1503" i="144"/>
  <c r="J1503" i="144"/>
  <c r="T1503" i="144"/>
  <c r="T813" i="144"/>
  <c r="J813" i="144"/>
  <c r="T551" i="144"/>
  <c r="J551" i="144"/>
  <c r="T633" i="144"/>
  <c r="J633" i="144"/>
  <c r="I817" i="144"/>
  <c r="J817" i="144"/>
  <c r="T817" i="144"/>
  <c r="J644" i="144"/>
  <c r="I644" i="144"/>
  <c r="T644" i="144"/>
  <c r="J1530" i="144"/>
  <c r="I1530" i="144"/>
  <c r="T1530" i="144"/>
  <c r="J461" i="144"/>
  <c r="I461" i="144"/>
  <c r="T461" i="144"/>
  <c r="J2090" i="144"/>
  <c r="I2090" i="144"/>
  <c r="T2090" i="144"/>
  <c r="T68" i="144"/>
  <c r="I68" i="144"/>
  <c r="T2026" i="144"/>
  <c r="I2026" i="144"/>
  <c r="T2016" i="144"/>
  <c r="I2016" i="144"/>
  <c r="T871" i="144"/>
  <c r="I871" i="144"/>
  <c r="I874" i="144"/>
  <c r="T874" i="144"/>
  <c r="T1624" i="144"/>
  <c r="J1624" i="144"/>
  <c r="T1584" i="144"/>
  <c r="J1584" i="144"/>
  <c r="I596" i="144"/>
  <c r="T596" i="144"/>
  <c r="J596" i="144"/>
  <c r="I893" i="144"/>
  <c r="T893" i="144"/>
  <c r="J893" i="144"/>
  <c r="I2037" i="144"/>
  <c r="T2037" i="144"/>
  <c r="J2037" i="144"/>
  <c r="I948" i="144"/>
  <c r="T948" i="144"/>
  <c r="J948" i="144"/>
  <c r="I1272" i="144"/>
  <c r="T1272" i="144"/>
  <c r="J1272" i="144"/>
  <c r="I1725" i="144"/>
  <c r="J1725" i="144"/>
  <c r="T1725" i="144"/>
  <c r="I1766" i="144"/>
  <c r="J1766" i="144"/>
  <c r="T1766" i="144"/>
  <c r="T2307" i="144"/>
  <c r="T2154" i="144"/>
  <c r="T1080" i="144"/>
  <c r="J767" i="144"/>
  <c r="I370" i="144"/>
  <c r="J2080" i="144"/>
  <c r="T265" i="144"/>
  <c r="I1076" i="144"/>
  <c r="J1915" i="144"/>
  <c r="J510" i="144"/>
  <c r="I875" i="144"/>
  <c r="I173" i="144"/>
  <c r="I1145" i="144"/>
  <c r="I919" i="144"/>
  <c r="J1946" i="144"/>
  <c r="I663" i="144"/>
  <c r="J1260" i="144"/>
  <c r="T488" i="144"/>
  <c r="I249" i="144"/>
  <c r="J1485" i="144"/>
  <c r="T2019" i="144"/>
  <c r="T753" i="144"/>
  <c r="I1100" i="144"/>
  <c r="T204" i="144"/>
  <c r="I127" i="144"/>
  <c r="J787" i="144"/>
  <c r="I379" i="144"/>
  <c r="I999" i="144"/>
  <c r="T217" i="144"/>
  <c r="T286" i="144"/>
  <c r="T1499" i="144"/>
  <c r="I77" i="144"/>
  <c r="J286" i="144"/>
  <c r="I355" i="144"/>
  <c r="J1171" i="144"/>
  <c r="J2150" i="144"/>
  <c r="I98" i="144"/>
  <c r="J2141" i="144"/>
  <c r="J874" i="144"/>
  <c r="I1911" i="144"/>
  <c r="I630" i="144"/>
  <c r="I1995" i="144"/>
  <c r="J2244" i="144"/>
  <c r="J1399" i="144"/>
  <c r="I195" i="144"/>
  <c r="J365" i="144"/>
  <c r="J2010" i="144"/>
  <c r="J679" i="144"/>
  <c r="I2086" i="144"/>
  <c r="I2301" i="144"/>
  <c r="T2106" i="144"/>
  <c r="J2316" i="144"/>
  <c r="T2094" i="144"/>
  <c r="T2104" i="144"/>
  <c r="J2289" i="144"/>
  <c r="I2185" i="144"/>
  <c r="J1615" i="144"/>
  <c r="J2021" i="144"/>
  <c r="I1559" i="144"/>
  <c r="I566" i="144"/>
  <c r="T1260" i="144"/>
  <c r="J1609" i="144"/>
  <c r="T1401" i="144"/>
  <c r="J126" i="144"/>
  <c r="J153" i="144"/>
  <c r="J1783" i="144"/>
  <c r="I1884" i="144"/>
  <c r="I347" i="144"/>
  <c r="I595" i="144"/>
  <c r="T1531" i="144"/>
  <c r="J895" i="144"/>
  <c r="J28" i="144"/>
  <c r="T1234" i="144"/>
  <c r="J1574" i="144"/>
  <c r="I356" i="144"/>
  <c r="T1223" i="144"/>
  <c r="T1780" i="144"/>
  <c r="T2042" i="144"/>
  <c r="T993" i="144"/>
  <c r="J1472" i="144"/>
  <c r="J297" i="144"/>
  <c r="I1402" i="144"/>
  <c r="J1679" i="144"/>
  <c r="I1680" i="144"/>
  <c r="J488" i="144"/>
  <c r="B45" i="175"/>
  <c r="T352" i="144"/>
  <c r="J66" i="144"/>
  <c r="T1906" i="144"/>
  <c r="I1864" i="144"/>
  <c r="T2316" i="144"/>
  <c r="T2022" i="144"/>
  <c r="T2034" i="144"/>
  <c r="T673" i="144"/>
  <c r="T755" i="144"/>
  <c r="T800" i="144"/>
  <c r="T856" i="144"/>
  <c r="T910" i="144"/>
  <c r="T977" i="144"/>
  <c r="T1388" i="144"/>
  <c r="T1427" i="144"/>
  <c r="T1448" i="144"/>
  <c r="T1480" i="144"/>
  <c r="T1546" i="144"/>
  <c r="T1563" i="144"/>
  <c r="I1700" i="144"/>
  <c r="T1700" i="144"/>
  <c r="T990" i="144"/>
  <c r="J990" i="144"/>
  <c r="I990" i="144"/>
  <c r="T1747" i="144"/>
  <c r="J1747" i="144"/>
  <c r="I1747" i="144"/>
  <c r="J437" i="144"/>
  <c r="I437" i="144"/>
  <c r="J1490" i="144"/>
  <c r="T1490" i="144"/>
  <c r="I1490" i="144"/>
  <c r="J1182" i="144"/>
  <c r="I1182" i="144"/>
  <c r="T1182" i="144"/>
  <c r="T829" i="144"/>
  <c r="J829" i="144"/>
  <c r="J380" i="144"/>
  <c r="I380" i="144"/>
  <c r="I677" i="144"/>
  <c r="J677" i="144"/>
  <c r="I381" i="144"/>
  <c r="J381" i="144"/>
  <c r="J974" i="144"/>
  <c r="I974" i="144"/>
  <c r="T974" i="144"/>
  <c r="I1526" i="144"/>
  <c r="J1526" i="144"/>
  <c r="T1526" i="144"/>
  <c r="T1194" i="144"/>
  <c r="J1194" i="144"/>
  <c r="I1194" i="144"/>
  <c r="I651" i="144"/>
  <c r="T651" i="144"/>
  <c r="J651" i="144"/>
  <c r="J1259" i="144"/>
  <c r="I1259" i="144"/>
  <c r="J584" i="144"/>
  <c r="I584" i="144"/>
  <c r="T584" i="144"/>
  <c r="T1235" i="144"/>
  <c r="I1235" i="144"/>
  <c r="T637" i="144"/>
  <c r="J637" i="144"/>
  <c r="I637" i="144"/>
  <c r="J1670" i="144"/>
  <c r="T1670" i="144"/>
  <c r="I1613" i="144"/>
  <c r="J1613" i="144"/>
  <c r="T1916" i="144"/>
  <c r="I1916" i="144"/>
  <c r="J1916" i="144"/>
  <c r="T415" i="144"/>
  <c r="J415" i="144"/>
  <c r="I415" i="144"/>
  <c r="J1379" i="144"/>
  <c r="I1379" i="144"/>
  <c r="T1379" i="144"/>
  <c r="J2013" i="144"/>
  <c r="I2013" i="144"/>
  <c r="T835" i="144"/>
  <c r="J835" i="144"/>
  <c r="I835" i="144"/>
  <c r="T1950" i="144"/>
  <c r="I1950" i="144"/>
  <c r="J1950" i="144"/>
  <c r="I1551" i="144"/>
  <c r="J1551" i="144"/>
  <c r="T1551" i="144"/>
  <c r="I1561" i="144"/>
  <c r="J1561" i="144"/>
  <c r="T1561" i="144"/>
  <c r="J763" i="144"/>
  <c r="I763" i="144"/>
  <c r="J992" i="144"/>
  <c r="I992" i="144"/>
  <c r="T992" i="144"/>
  <c r="I1478" i="144"/>
  <c r="J1478" i="144"/>
  <c r="T1478" i="144"/>
  <c r="I1663" i="144"/>
  <c r="J1663" i="144"/>
  <c r="T1663" i="144"/>
  <c r="T372" i="144"/>
  <c r="J372" i="144"/>
  <c r="I723" i="144"/>
  <c r="J723" i="144"/>
  <c r="T1282" i="144"/>
  <c r="J1282" i="144"/>
  <c r="I1282" i="144"/>
  <c r="J1492" i="144"/>
  <c r="I1492" i="144"/>
  <c r="I255" i="144"/>
  <c r="J255" i="144"/>
  <c r="J852" i="144"/>
  <c r="I852" i="144"/>
  <c r="J747" i="144"/>
  <c r="I747" i="144"/>
  <c r="T1458" i="144"/>
  <c r="I1458" i="144"/>
  <c r="J1458" i="144"/>
  <c r="J1263" i="144"/>
  <c r="I1263" i="144"/>
  <c r="J1629" i="144"/>
  <c r="T1629" i="144"/>
  <c r="I1629" i="144"/>
  <c r="I1146" i="144"/>
  <c r="J1146" i="144"/>
  <c r="J87" i="144"/>
  <c r="I87" i="144"/>
  <c r="T1286" i="144"/>
  <c r="J1286" i="144"/>
  <c r="I1351" i="144"/>
  <c r="T1351" i="144"/>
  <c r="I104" i="144"/>
  <c r="J104" i="144"/>
  <c r="T104" i="144"/>
  <c r="I1717" i="144"/>
  <c r="J1717" i="144"/>
  <c r="T1717" i="144"/>
  <c r="J1566" i="144"/>
  <c r="I1566" i="144"/>
  <c r="T1566" i="144"/>
  <c r="J2038" i="144"/>
  <c r="T2038" i="144"/>
  <c r="I2038" i="144"/>
  <c r="J325" i="144"/>
  <c r="T325" i="144"/>
  <c r="I325" i="144"/>
  <c r="I1953" i="144"/>
  <c r="T1953" i="144"/>
  <c r="I739" i="144"/>
  <c r="J739" i="144"/>
  <c r="I1291" i="144"/>
  <c r="T1291" i="144"/>
  <c r="J1291" i="144"/>
  <c r="I1921" i="144"/>
  <c r="T1921" i="144"/>
  <c r="I1898" i="144"/>
  <c r="T1898" i="144"/>
  <c r="J1898" i="144"/>
  <c r="I1926" i="144"/>
  <c r="J1926" i="144"/>
  <c r="T1926" i="144"/>
  <c r="T897" i="144"/>
  <c r="I897" i="144"/>
  <c r="J1690" i="144"/>
  <c r="I1690" i="144"/>
  <c r="I128" i="144"/>
  <c r="J128" i="144"/>
  <c r="I561" i="144"/>
  <c r="J561" i="144"/>
  <c r="J1614" i="144"/>
  <c r="I1614" i="144"/>
  <c r="T1614" i="144"/>
  <c r="J2066" i="144"/>
  <c r="T2066" i="144"/>
  <c r="I2066" i="144"/>
  <c r="T1547" i="144"/>
  <c r="I1547" i="144"/>
  <c r="J1547" i="144"/>
  <c r="J1449" i="144"/>
  <c r="I1449" i="144"/>
  <c r="T1449" i="144"/>
  <c r="J1319" i="144"/>
  <c r="I1319" i="144"/>
  <c r="I1353" i="144"/>
  <c r="J1353" i="144"/>
  <c r="J1741" i="144"/>
  <c r="T1741" i="144"/>
  <c r="I1741" i="144"/>
  <c r="J1025" i="144"/>
  <c r="T1025" i="144"/>
  <c r="I1025" i="144"/>
  <c r="J1497" i="144"/>
  <c r="I1497" i="144"/>
  <c r="I1077" i="144"/>
  <c r="J1077" i="144"/>
  <c r="I1059" i="144"/>
  <c r="J1059" i="144"/>
  <c r="J1210" i="144"/>
  <c r="T1210" i="144"/>
  <c r="I1210" i="144"/>
  <c r="J664" i="144"/>
  <c r="T664" i="144"/>
  <c r="I664" i="144"/>
  <c r="T567" i="144"/>
  <c r="J567" i="144"/>
  <c r="I567" i="144"/>
  <c r="I978" i="144"/>
  <c r="T978" i="144"/>
  <c r="J978" i="144"/>
  <c r="I227" i="144"/>
  <c r="J227" i="144"/>
  <c r="J1301" i="144"/>
  <c r="I1301" i="144"/>
  <c r="I1607" i="144"/>
  <c r="J1607" i="144"/>
  <c r="T1607" i="144"/>
  <c r="I1793" i="144"/>
  <c r="J1793" i="144"/>
  <c r="T674" i="144"/>
  <c r="J674" i="144"/>
  <c r="I674" i="144"/>
  <c r="I1866" i="144"/>
  <c r="T1866" i="144"/>
  <c r="J489" i="144"/>
  <c r="T489" i="144"/>
  <c r="I489" i="144"/>
  <c r="T405" i="144"/>
  <c r="J405" i="144"/>
  <c r="I405" i="144"/>
  <c r="J1084" i="144"/>
  <c r="T1084" i="144"/>
  <c r="I683" i="144"/>
  <c r="T683" i="144"/>
  <c r="J683" i="144"/>
  <c r="J657" i="144"/>
  <c r="I657" i="144"/>
  <c r="I1047" i="144"/>
  <c r="T1047" i="144"/>
  <c r="J1047" i="144"/>
  <c r="J86" i="144"/>
  <c r="I86" i="144"/>
  <c r="T86" i="144"/>
  <c r="J1761" i="144"/>
  <c r="I1761" i="144"/>
  <c r="J560" i="144"/>
  <c r="T560" i="144"/>
  <c r="I560" i="144"/>
  <c r="I1732" i="144"/>
  <c r="J1732" i="144"/>
  <c r="T1732" i="144"/>
  <c r="J1484" i="144"/>
  <c r="I1484" i="144"/>
  <c r="T1342" i="144"/>
  <c r="J1342" i="144"/>
  <c r="I1342" i="144"/>
  <c r="J914" i="144"/>
  <c r="I914" i="144"/>
  <c r="J1528" i="144"/>
  <c r="I1528" i="144"/>
  <c r="T1528" i="144"/>
  <c r="T88" i="144"/>
  <c r="I88" i="144"/>
  <c r="J88" i="144"/>
  <c r="J1184" i="144"/>
  <c r="I1184" i="144"/>
  <c r="J541" i="144"/>
  <c r="T541" i="144"/>
  <c r="J129" i="144"/>
  <c r="I129" i="144"/>
  <c r="T129" i="144"/>
  <c r="I743" i="144"/>
  <c r="J743" i="144"/>
  <c r="I1241" i="144"/>
  <c r="J1241" i="144"/>
  <c r="I1730" i="144"/>
  <c r="J1730" i="144"/>
  <c r="J1880" i="144"/>
  <c r="I1880" i="144"/>
  <c r="I902" i="144"/>
  <c r="J902" i="144"/>
  <c r="J1713" i="144"/>
  <c r="T1713" i="144"/>
  <c r="I421" i="144"/>
  <c r="J421" i="144"/>
  <c r="T421" i="144"/>
  <c r="I1875" i="144"/>
  <c r="T1875" i="144"/>
  <c r="J1875" i="144"/>
  <c r="T625" i="144"/>
  <c r="I625" i="144"/>
  <c r="J625" i="144"/>
  <c r="J762" i="144"/>
  <c r="I762" i="144"/>
  <c r="T762" i="144"/>
  <c r="J1271" i="144"/>
  <c r="I1271" i="144"/>
  <c r="I2052" i="144"/>
  <c r="J2052" i="144"/>
  <c r="T2052" i="144"/>
  <c r="J818" i="144"/>
  <c r="I818" i="144"/>
  <c r="J30" i="144"/>
  <c r="I30" i="144"/>
  <c r="T1912" i="144"/>
  <c r="I1912" i="144"/>
  <c r="I1355" i="144"/>
  <c r="T1355" i="144"/>
  <c r="J1355" i="144"/>
  <c r="J1343" i="144"/>
  <c r="T1343" i="144"/>
  <c r="J1205" i="144"/>
  <c r="I1205" i="144"/>
  <c r="J1456" i="144"/>
  <c r="I1456" i="144"/>
  <c r="I598" i="144"/>
  <c r="J598" i="144"/>
  <c r="T598" i="144"/>
  <c r="T795" i="144"/>
  <c r="J795" i="144"/>
  <c r="T1465" i="144"/>
  <c r="J1465" i="144"/>
  <c r="T618" i="144"/>
  <c r="I618" i="144"/>
  <c r="J618" i="144"/>
  <c r="I793" i="144"/>
  <c r="T793" i="144"/>
  <c r="J793" i="144"/>
  <c r="J235" i="144"/>
  <c r="I235" i="144"/>
  <c r="T1242" i="144"/>
  <c r="J1242" i="144"/>
  <c r="I1306" i="144"/>
  <c r="J1306" i="144"/>
  <c r="T1466" i="144"/>
  <c r="J1466" i="144"/>
  <c r="I1532" i="144"/>
  <c r="T1532" i="144"/>
  <c r="J1532" i="144"/>
  <c r="J1675" i="144"/>
  <c r="I1675" i="144"/>
  <c r="T1675" i="144"/>
  <c r="T1048" i="144"/>
  <c r="J1048" i="144"/>
  <c r="T1883" i="144"/>
  <c r="I1883" i="144"/>
  <c r="J1883" i="144"/>
  <c r="T1407" i="144"/>
  <c r="I1407" i="144"/>
  <c r="J1407" i="144"/>
  <c r="J1905" i="144"/>
  <c r="I1905" i="144"/>
  <c r="T938" i="144"/>
  <c r="I938" i="144"/>
  <c r="I192" i="144"/>
  <c r="J192" i="144"/>
  <c r="T192" i="144"/>
  <c r="I1733" i="144"/>
  <c r="J1733" i="144"/>
  <c r="T1733" i="144"/>
  <c r="T1739" i="144"/>
  <c r="I1739" i="144"/>
  <c r="J1739" i="144"/>
  <c r="J1687" i="144"/>
  <c r="I1687" i="144"/>
  <c r="T1687" i="144"/>
  <c r="I1949" i="144"/>
  <c r="T1949" i="144"/>
  <c r="I90" i="144"/>
  <c r="T90" i="144"/>
  <c r="T522" i="144"/>
  <c r="I522" i="144"/>
  <c r="J522" i="144"/>
  <c r="T1879" i="144"/>
  <c r="I1879" i="144"/>
  <c r="J1018" i="144"/>
  <c r="I1018" i="144"/>
  <c r="I2002" i="144"/>
  <c r="J2002" i="144"/>
  <c r="T136" i="144"/>
  <c r="I136" i="144"/>
  <c r="J136" i="144"/>
  <c r="J518" i="144"/>
  <c r="T518" i="144"/>
  <c r="I518" i="144"/>
  <c r="I1038" i="144"/>
  <c r="J1038" i="144"/>
  <c r="T687" i="144"/>
  <c r="I687" i="144"/>
  <c r="J687" i="144"/>
  <c r="I1473" i="144"/>
  <c r="J1473" i="144"/>
  <c r="T1473" i="144"/>
  <c r="J534" i="144"/>
  <c r="I534" i="144"/>
  <c r="T534" i="144"/>
  <c r="I1278" i="144"/>
  <c r="J1278" i="144"/>
  <c r="T1278" i="144"/>
  <c r="J1861" i="144"/>
  <c r="I1861" i="144"/>
  <c r="T1823" i="144"/>
  <c r="J1823" i="144"/>
  <c r="J623" i="144"/>
  <c r="I623" i="144"/>
  <c r="T623" i="144"/>
  <c r="I409" i="144"/>
  <c r="J409" i="144"/>
  <c r="J1213" i="144"/>
  <c r="I1213" i="144"/>
  <c r="I1339" i="144"/>
  <c r="T1339" i="144"/>
  <c r="J2273" i="144"/>
  <c r="I2273" i="144"/>
  <c r="T2273" i="144"/>
  <c r="J218" i="144"/>
  <c r="T218" i="144"/>
  <c r="I218" i="144"/>
  <c r="T913" i="144"/>
  <c r="J913" i="144"/>
  <c r="I913" i="144"/>
  <c r="J1338" i="144"/>
  <c r="T1338" i="144"/>
  <c r="T1932" i="144"/>
  <c r="I1932" i="144"/>
  <c r="J1932" i="144"/>
  <c r="T1498" i="144"/>
  <c r="J1498" i="144"/>
  <c r="I1148" i="144"/>
  <c r="J1148" i="144"/>
  <c r="T1148" i="144"/>
  <c r="J341" i="144"/>
  <c r="I341" i="144"/>
  <c r="T341" i="144"/>
  <c r="T1367" i="144"/>
  <c r="J1367" i="144"/>
  <c r="I1367" i="144"/>
  <c r="J330" i="144"/>
  <c r="I330" i="144"/>
  <c r="T330" i="144"/>
  <c r="I1859" i="144"/>
  <c r="J1859" i="144"/>
  <c r="T1859" i="144"/>
  <c r="T1706" i="144"/>
  <c r="J1706" i="144"/>
  <c r="T926" i="144"/>
  <c r="I926" i="144"/>
  <c r="J1653" i="144"/>
  <c r="T1653" i="144"/>
  <c r="I1653" i="144"/>
  <c r="T1979" i="144"/>
  <c r="I1979" i="144"/>
  <c r="J1979" i="144"/>
  <c r="I273" i="144"/>
  <c r="T273" i="144"/>
  <c r="J273" i="144"/>
  <c r="I1791" i="144"/>
  <c r="T1791" i="144"/>
  <c r="I1264" i="144"/>
  <c r="J1264" i="144"/>
  <c r="T1264" i="144"/>
  <c r="I1253" i="144"/>
  <c r="T1253" i="144"/>
  <c r="I2046" i="144"/>
  <c r="T2046" i="144"/>
  <c r="I1276" i="144"/>
  <c r="J1276" i="144"/>
  <c r="J1093" i="144"/>
  <c r="I1093" i="144"/>
  <c r="T1093" i="144"/>
  <c r="I669" i="144"/>
  <c r="J669" i="144"/>
  <c r="T716" i="144"/>
  <c r="I716" i="144"/>
  <c r="T1540" i="144"/>
  <c r="J1540" i="144"/>
  <c r="I1540" i="144"/>
  <c r="J1812" i="144"/>
  <c r="I1812" i="144"/>
  <c r="T155" i="144"/>
  <c r="I155" i="144"/>
  <c r="I1929" i="144"/>
  <c r="J1929" i="144"/>
  <c r="T1929" i="144"/>
  <c r="I1525" i="144"/>
  <c r="J1525" i="144"/>
  <c r="I1178" i="144"/>
  <c r="J1178" i="144"/>
  <c r="T1178" i="144"/>
  <c r="I1394" i="144"/>
  <c r="T1394" i="144"/>
  <c r="J1394" i="144"/>
  <c r="J110" i="144"/>
  <c r="T110" i="144"/>
  <c r="I110" i="144"/>
  <c r="I1397" i="144"/>
  <c r="T1397" i="144"/>
  <c r="J1397" i="144"/>
  <c r="J1707" i="144"/>
  <c r="I1707" i="144"/>
  <c r="I1590" i="144"/>
  <c r="T1590" i="144"/>
  <c r="J1590" i="144"/>
  <c r="I1656" i="144"/>
  <c r="J1656" i="144"/>
  <c r="T1656" i="144"/>
  <c r="T807" i="144"/>
  <c r="I807" i="144"/>
  <c r="J807" i="144"/>
  <c r="J1019" i="144"/>
  <c r="I1019" i="144"/>
  <c r="T1019" i="144"/>
  <c r="I267" i="144"/>
  <c r="J267" i="144"/>
  <c r="J1022" i="144"/>
  <c r="I1022" i="144"/>
  <c r="I1564" i="144"/>
  <c r="J1564" i="144"/>
  <c r="T1564" i="144"/>
  <c r="I1436" i="144"/>
  <c r="J1436" i="144"/>
  <c r="T1436" i="144"/>
  <c r="I587" i="144"/>
  <c r="J587" i="144"/>
  <c r="T587" i="144"/>
  <c r="J1423" i="144"/>
  <c r="I1423" i="144"/>
  <c r="I1586" i="144"/>
  <c r="T1586" i="144"/>
  <c r="J1586" i="144"/>
  <c r="T111" i="144"/>
  <c r="I111" i="144"/>
  <c r="J984" i="144"/>
  <c r="T984" i="144"/>
  <c r="I984" i="144"/>
  <c r="J1918" i="144"/>
  <c r="I1918" i="144"/>
  <c r="I923" i="144"/>
  <c r="T923" i="144"/>
  <c r="J923" i="144"/>
  <c r="T1064" i="144"/>
  <c r="J1064" i="144"/>
  <c r="T1770" i="144"/>
  <c r="I1770" i="144"/>
  <c r="J1770" i="144"/>
  <c r="I1541" i="144"/>
  <c r="J1541" i="144"/>
  <c r="T1541" i="144"/>
  <c r="I670" i="144"/>
  <c r="T670" i="144"/>
  <c r="J670" i="144"/>
  <c r="J1654" i="144"/>
  <c r="I1654" i="144"/>
  <c r="T1654" i="144"/>
  <c r="T1596" i="144"/>
  <c r="I1596" i="144"/>
  <c r="J1596" i="144"/>
  <c r="I825" i="144"/>
  <c r="T825" i="144"/>
  <c r="J685" i="144"/>
  <c r="I685" i="144"/>
  <c r="I231" i="144"/>
  <c r="J231" i="144"/>
  <c r="T305" i="144"/>
  <c r="I305" i="144"/>
  <c r="T1626" i="144"/>
  <c r="J1626" i="144"/>
  <c r="I1626" i="144"/>
  <c r="I1375" i="144"/>
  <c r="T1375" i="144"/>
  <c r="J1375" i="144"/>
  <c r="T1359" i="144"/>
  <c r="I1359" i="144"/>
  <c r="J1359" i="144"/>
  <c r="T279" i="144"/>
  <c r="J279" i="144"/>
  <c r="I279" i="144"/>
  <c r="I1052" i="144"/>
  <c r="J1052" i="144"/>
  <c r="T1052" i="144"/>
  <c r="T1815" i="144"/>
  <c r="I1815" i="144"/>
  <c r="J1815" i="144"/>
  <c r="I2044" i="144"/>
  <c r="T2044" i="144"/>
  <c r="J2044" i="144"/>
  <c r="J1219" i="144"/>
  <c r="T1219" i="144"/>
  <c r="I1219" i="144"/>
  <c r="J353" i="144"/>
  <c r="I353" i="144"/>
  <c r="J783" i="144"/>
  <c r="I783" i="144"/>
  <c r="T783" i="144"/>
  <c r="J849" i="144"/>
  <c r="T849" i="144"/>
  <c r="I849" i="144"/>
  <c r="I905" i="144"/>
  <c r="J905" i="144"/>
  <c r="T905" i="144"/>
  <c r="J1079" i="144"/>
  <c r="I1079" i="144"/>
  <c r="J1421" i="144"/>
  <c r="T1421" i="144"/>
  <c r="I1421" i="144"/>
  <c r="J433" i="144"/>
  <c r="I433" i="144"/>
  <c r="J768" i="144"/>
  <c r="T768" i="144"/>
  <c r="I768" i="144"/>
  <c r="T1904" i="144"/>
  <c r="J1904" i="144"/>
  <c r="I1904" i="144"/>
  <c r="J280" i="144"/>
  <c r="I280" i="144"/>
  <c r="J1152" i="144"/>
  <c r="I1152" i="144"/>
  <c r="T1152" i="144"/>
  <c r="J1945" i="144"/>
  <c r="T1945" i="144"/>
  <c r="I1945" i="144"/>
  <c r="I1608" i="144"/>
  <c r="T1608" i="144"/>
  <c r="J1608" i="144"/>
  <c r="T1214" i="144"/>
  <c r="I1214" i="144"/>
  <c r="J1214" i="144"/>
  <c r="J1856" i="144"/>
  <c r="I1856" i="144"/>
  <c r="T1856" i="144"/>
  <c r="J855" i="144"/>
  <c r="T855" i="144"/>
  <c r="I855" i="144"/>
  <c r="T331" i="144"/>
  <c r="I331" i="144"/>
  <c r="J331" i="144"/>
  <c r="I1289" i="144"/>
  <c r="J1289" i="144"/>
  <c r="T1924" i="144"/>
  <c r="I1924" i="144"/>
  <c r="J1924" i="144"/>
  <c r="I1913" i="144"/>
  <c r="J1913" i="144"/>
  <c r="T1913" i="144"/>
  <c r="I1719" i="144"/>
  <c r="J1719" i="144"/>
  <c r="T1719" i="144"/>
  <c r="I1822" i="144"/>
  <c r="J1822" i="144"/>
  <c r="J57" i="144"/>
  <c r="I57" i="144"/>
  <c r="T57" i="144"/>
  <c r="J506" i="144"/>
  <c r="I506" i="144"/>
  <c r="T506" i="144"/>
  <c r="I1695" i="144"/>
  <c r="J1695" i="144"/>
  <c r="J1358" i="144"/>
  <c r="I1358" i="144"/>
  <c r="T1358" i="144"/>
  <c r="J1901" i="144"/>
  <c r="I1901" i="144"/>
  <c r="I616" i="144"/>
  <c r="J616" i="144"/>
  <c r="T616" i="144"/>
  <c r="J1693" i="144"/>
  <c r="T1693" i="144"/>
  <c r="I1693" i="144"/>
  <c r="J1948" i="144"/>
  <c r="T1948" i="144"/>
  <c r="I1948" i="144"/>
  <c r="I1797" i="144"/>
  <c r="J1797" i="144"/>
  <c r="J92" i="144"/>
  <c r="T92" i="144"/>
  <c r="I92" i="144"/>
  <c r="T2283" i="144"/>
  <c r="J2283" i="144"/>
  <c r="I105" i="144"/>
  <c r="J105" i="144"/>
  <c r="I1268" i="144"/>
  <c r="J1268" i="144"/>
  <c r="T485" i="144"/>
  <c r="J485" i="144"/>
  <c r="I485" i="144"/>
  <c r="J635" i="144"/>
  <c r="I635" i="144"/>
  <c r="T635" i="144"/>
  <c r="J14" i="144"/>
  <c r="T14" i="144"/>
  <c r="I14" i="144"/>
  <c r="J239" i="144"/>
  <c r="I239" i="144"/>
  <c r="J1302" i="144"/>
  <c r="I1302" i="144"/>
  <c r="J766" i="144"/>
  <c r="I766" i="144"/>
  <c r="T766" i="144"/>
  <c r="J329" i="144"/>
  <c r="T329" i="144"/>
  <c r="I329" i="144"/>
  <c r="J1544" i="144"/>
  <c r="T1544" i="144"/>
  <c r="I1544" i="144"/>
  <c r="J2028" i="144"/>
  <c r="I2028" i="144"/>
  <c r="T1756" i="144"/>
  <c r="J1756" i="144"/>
  <c r="J898" i="144"/>
  <c r="I898" i="144"/>
  <c r="J78" i="144"/>
  <c r="I78" i="144"/>
  <c r="J345" i="144"/>
  <c r="T345" i="144"/>
  <c r="I345" i="144"/>
  <c r="J803" i="144"/>
  <c r="T803" i="144"/>
  <c r="I803" i="144"/>
  <c r="I401" i="144"/>
  <c r="J401" i="144"/>
  <c r="T401" i="144"/>
  <c r="T2103" i="144"/>
  <c r="J2103" i="144"/>
  <c r="I2103" i="144"/>
  <c r="J201" i="144"/>
  <c r="I201" i="144"/>
  <c r="T201" i="144"/>
  <c r="I985" i="144"/>
  <c r="J985" i="144"/>
  <c r="J775" i="144"/>
  <c r="I775" i="144"/>
  <c r="I1996" i="144"/>
  <c r="J1996" i="144"/>
  <c r="I183" i="144"/>
  <c r="J183" i="144"/>
  <c r="T183" i="144"/>
  <c r="J1775" i="144"/>
  <c r="T1775" i="144"/>
  <c r="I1775" i="144"/>
  <c r="I779" i="144"/>
  <c r="J779" i="144"/>
  <c r="I2020" i="144"/>
  <c r="J2020" i="144"/>
  <c r="I113" i="144"/>
  <c r="J113" i="144"/>
  <c r="J299" i="144"/>
  <c r="I299" i="144"/>
  <c r="T299" i="144"/>
  <c r="J2194" i="144"/>
  <c r="T2194" i="144"/>
  <c r="I2194" i="144"/>
  <c r="T2142" i="144"/>
  <c r="I2142" i="144"/>
  <c r="T2158" i="144"/>
  <c r="J2158" i="144"/>
  <c r="I2158" i="144"/>
  <c r="I432" i="144"/>
  <c r="J432" i="144"/>
  <c r="T432" i="144"/>
  <c r="T827" i="144"/>
  <c r="J827" i="144"/>
  <c r="I827" i="144"/>
  <c r="J1067" i="144"/>
  <c r="I1067" i="144"/>
  <c r="J80" i="144"/>
  <c r="I80" i="144"/>
  <c r="T80" i="144"/>
  <c r="J1527" i="144"/>
  <c r="I1527" i="144"/>
  <c r="T1527" i="144"/>
  <c r="J756" i="144"/>
  <c r="T756" i="144"/>
  <c r="I1517" i="144"/>
  <c r="J1517" i="144"/>
  <c r="J228" i="144"/>
  <c r="T228" i="144"/>
  <c r="J271" i="144"/>
  <c r="I271" i="144"/>
  <c r="J943" i="144"/>
  <c r="T943" i="144"/>
  <c r="I943" i="144"/>
  <c r="T234" i="144"/>
  <c r="J234" i="144"/>
  <c r="J1966" i="144"/>
  <c r="I1966" i="144"/>
  <c r="I2069" i="144"/>
  <c r="J2069" i="144"/>
  <c r="I203" i="144"/>
  <c r="T203" i="144"/>
  <c r="T118" i="144"/>
  <c r="I118" i="144"/>
  <c r="J118" i="144"/>
  <c r="J591" i="144"/>
  <c r="T591" i="144"/>
  <c r="I591" i="144"/>
  <c r="J2326" i="144"/>
  <c r="I2326" i="144"/>
  <c r="T2083" i="144"/>
  <c r="I2083" i="144"/>
  <c r="J2083" i="144"/>
  <c r="J2269" i="144"/>
  <c r="T2269" i="144"/>
  <c r="I2269" i="144"/>
  <c r="J2089" i="144"/>
  <c r="T2089" i="144"/>
  <c r="I2089" i="144"/>
  <c r="T2284" i="144"/>
  <c r="I2284" i="144"/>
  <c r="T2096" i="144"/>
  <c r="I2096" i="144"/>
  <c r="J2096" i="144"/>
  <c r="T2137" i="144"/>
  <c r="J2137" i="144"/>
  <c r="I2137" i="144"/>
  <c r="J2116" i="144"/>
  <c r="T2116" i="144"/>
  <c r="I2116" i="144"/>
  <c r="I2303" i="144"/>
  <c r="T2303" i="144"/>
  <c r="I2174" i="144"/>
  <c r="T2174" i="144"/>
  <c r="J2174" i="144"/>
  <c r="J2153" i="144"/>
  <c r="I2153" i="144"/>
  <c r="T2153" i="144"/>
  <c r="I2115" i="144"/>
  <c r="T2115" i="144"/>
  <c r="J2115" i="144"/>
  <c r="T2167" i="144"/>
  <c r="I2167" i="144"/>
  <c r="J2167" i="144"/>
  <c r="J2206" i="144"/>
  <c r="T2206" i="144"/>
  <c r="I2206" i="144"/>
  <c r="I2124" i="144"/>
  <c r="J2124" i="144"/>
  <c r="T2124" i="144"/>
  <c r="I2218" i="144"/>
  <c r="J2218" i="144"/>
  <c r="T2218" i="144"/>
  <c r="T2081" i="144"/>
  <c r="J2081" i="144"/>
  <c r="I2081" i="144"/>
  <c r="I2118" i="144"/>
  <c r="T2118" i="144"/>
  <c r="J2118" i="144"/>
  <c r="J2276" i="144"/>
  <c r="I2276" i="144"/>
  <c r="T2276" i="144"/>
  <c r="I2139" i="144"/>
  <c r="T2139" i="144"/>
  <c r="J2139" i="144"/>
  <c r="I2102" i="144"/>
  <c r="J2102" i="144"/>
  <c r="T2102" i="144"/>
  <c r="T2266" i="144"/>
  <c r="I2266" i="144"/>
  <c r="J2266" i="144"/>
  <c r="I2127" i="144"/>
  <c r="T2127" i="144"/>
  <c r="J2127" i="144"/>
  <c r="J1990" i="144"/>
  <c r="J1251" i="144"/>
  <c r="I732" i="144"/>
  <c r="T2053" i="144"/>
  <c r="T1992" i="144"/>
  <c r="T11" i="144"/>
  <c r="T31" i="144"/>
  <c r="T52" i="144"/>
  <c r="T70" i="144"/>
  <c r="T87" i="144"/>
  <c r="T101" i="144"/>
  <c r="T137" i="144"/>
  <c r="T193" i="144"/>
  <c r="T235" i="144"/>
  <c r="T271" i="144"/>
  <c r="T322" i="144"/>
  <c r="T400" i="144"/>
  <c r="T474" i="144"/>
  <c r="T574" i="144"/>
  <c r="T763" i="144"/>
  <c r="T839" i="144"/>
  <c r="T931" i="144"/>
  <c r="T985" i="144"/>
  <c r="T1067" i="144"/>
  <c r="T1137" i="144"/>
  <c r="T1196" i="144"/>
  <c r="T1664" i="144"/>
  <c r="T1690" i="144"/>
  <c r="T1712" i="144"/>
  <c r="T1748" i="144"/>
  <c r="T1813" i="144"/>
  <c r="T1865" i="144"/>
  <c r="T1905" i="144"/>
  <c r="T1965" i="144"/>
  <c r="I1833" i="144"/>
  <c r="J1377" i="144"/>
  <c r="T2073" i="144"/>
  <c r="T2030" i="144"/>
  <c r="T105" i="144"/>
  <c r="T162" i="144"/>
  <c r="T202" i="144"/>
  <c r="T357" i="144"/>
  <c r="T408" i="144"/>
  <c r="T539" i="144"/>
  <c r="T615" i="144"/>
  <c r="T711" i="144"/>
  <c r="T808" i="144"/>
  <c r="T852" i="144"/>
  <c r="T922" i="144"/>
  <c r="T981" i="144"/>
  <c r="T1042" i="144"/>
  <c r="T1111" i="144"/>
  <c r="T1276" i="144"/>
  <c r="T1310" i="144"/>
  <c r="T1781" i="144"/>
  <c r="T1869" i="144"/>
  <c r="T1947" i="144"/>
  <c r="J47" i="144"/>
  <c r="T669" i="144"/>
  <c r="T1361" i="144"/>
  <c r="T75" i="144"/>
  <c r="T699" i="144"/>
  <c r="T1034" i="144"/>
  <c r="T1943" i="144"/>
  <c r="I261" i="149"/>
  <c r="K7" i="175"/>
  <c r="J262" i="149"/>
  <c r="L229" i="146" s="1"/>
  <c r="C12" i="167"/>
  <c r="I262" i="149"/>
  <c r="K229" i="146" s="1"/>
  <c r="I263" i="149"/>
  <c r="K230" i="146" s="1"/>
  <c r="K22" i="170"/>
  <c r="N7" i="71"/>
  <c r="O7" i="71" s="1"/>
  <c r="AS7" i="71"/>
  <c r="AR7" i="71"/>
  <c r="N20" i="102"/>
  <c r="Q168" i="1"/>
  <c r="R168" i="1" s="1"/>
  <c r="H168" i="1"/>
  <c r="Q95" i="1"/>
  <c r="R95" i="1" s="1"/>
  <c r="H95" i="1"/>
  <c r="M16" i="102"/>
  <c r="P16" i="102" s="1"/>
  <c r="N16" i="102"/>
  <c r="J188" i="75"/>
  <c r="I188" i="75"/>
  <c r="I320" i="75"/>
  <c r="J320" i="75"/>
  <c r="J388" i="75"/>
  <c r="I388" i="75"/>
  <c r="J1885" i="144"/>
  <c r="T1885" i="144"/>
  <c r="I1885" i="144"/>
  <c r="AR39" i="71"/>
  <c r="N39" i="71"/>
  <c r="AS39" i="71"/>
  <c r="AQ39" i="71"/>
  <c r="J253" i="144"/>
  <c r="I253" i="144"/>
  <c r="T253" i="144"/>
  <c r="J322" i="75"/>
  <c r="I322" i="75"/>
  <c r="J313" i="75"/>
  <c r="I313" i="75"/>
  <c r="I283" i="75"/>
  <c r="J283" i="75"/>
  <c r="AQ7" i="71"/>
  <c r="M20" i="102"/>
  <c r="P20" i="102" s="1"/>
  <c r="I361" i="75"/>
  <c r="J361" i="75"/>
  <c r="I287" i="75"/>
  <c r="J287" i="75"/>
  <c r="J59" i="75"/>
  <c r="I59" i="75"/>
  <c r="J182" i="75"/>
  <c r="I182" i="75"/>
  <c r="J57" i="101"/>
  <c r="I57" i="101"/>
  <c r="K57" i="101"/>
  <c r="I318" i="75"/>
  <c r="J318" i="75"/>
  <c r="I124" i="75"/>
  <c r="J124" i="75"/>
  <c r="Z41" i="71"/>
  <c r="O456" i="187"/>
  <c r="Z42" i="71" s="1"/>
  <c r="AQ48" i="71"/>
  <c r="AR48" i="71"/>
  <c r="AS48" i="71"/>
  <c r="N48" i="71"/>
  <c r="O48" i="71" s="1"/>
  <c r="C32" i="169"/>
  <c r="F120" i="75"/>
  <c r="J861" i="144"/>
  <c r="T861" i="144"/>
  <c r="I861" i="144"/>
  <c r="J150" i="75"/>
  <c r="I150" i="75"/>
  <c r="J31" i="101"/>
  <c r="I31" i="101"/>
  <c r="J169" i="75"/>
  <c r="K31" i="101"/>
  <c r="I169" i="75"/>
  <c r="H92" i="1"/>
  <c r="Q92" i="1"/>
  <c r="R92" i="1" s="1"/>
  <c r="Q156" i="1"/>
  <c r="R156" i="1" s="1"/>
  <c r="H156" i="1"/>
  <c r="N12" i="102"/>
  <c r="M12" i="102"/>
  <c r="P12" i="102" s="1"/>
  <c r="J129" i="75"/>
  <c r="I129" i="75"/>
  <c r="AS47" i="71"/>
  <c r="AQ47" i="71"/>
  <c r="N47" i="71"/>
  <c r="O47" i="71" s="1"/>
  <c r="AR47" i="71"/>
  <c r="J309" i="149"/>
  <c r="L266" i="146" s="1"/>
  <c r="J300" i="149"/>
  <c r="I302" i="149"/>
  <c r="K261" i="146" s="1"/>
  <c r="K40" i="175"/>
  <c r="J305" i="149"/>
  <c r="L264" i="146" s="1"/>
  <c r="I309" i="149"/>
  <c r="K266" i="146" s="1"/>
  <c r="K16" i="170"/>
  <c r="Q119" i="1"/>
  <c r="R119" i="1" s="1"/>
  <c r="H119" i="1"/>
  <c r="T1630" i="144"/>
  <c r="I1630" i="144"/>
  <c r="J1630" i="144"/>
  <c r="J565" i="144"/>
  <c r="T565" i="144"/>
  <c r="I565" i="144"/>
  <c r="T628" i="144"/>
  <c r="I628" i="144"/>
  <c r="J628" i="144"/>
  <c r="I303" i="149"/>
  <c r="K262" i="146" s="1"/>
  <c r="I305" i="149"/>
  <c r="K264" i="146" s="1"/>
  <c r="J308" i="149"/>
  <c r="L265" i="146" s="1"/>
  <c r="I304" i="149"/>
  <c r="K263" i="146" s="1"/>
  <c r="J301" i="149"/>
  <c r="J304" i="149"/>
  <c r="L263" i="146" s="1"/>
  <c r="I300" i="149"/>
  <c r="I308" i="149"/>
  <c r="K265" i="146" s="1"/>
  <c r="J306" i="149"/>
  <c r="I307" i="149"/>
  <c r="I306" i="149"/>
  <c r="J303" i="149"/>
  <c r="L262" i="146" s="1"/>
  <c r="J302" i="149"/>
  <c r="L261" i="146" s="1"/>
  <c r="I301" i="149"/>
  <c r="Q33" i="75"/>
  <c r="O33" i="187"/>
  <c r="Q34" i="75" s="1"/>
  <c r="O34" i="187"/>
  <c r="Q35" i="75" s="1"/>
  <c r="T2274" i="144"/>
  <c r="I2274" i="144"/>
  <c r="J2274" i="144"/>
  <c r="T1983" i="144"/>
  <c r="I1983" i="144"/>
  <c r="J1983" i="144"/>
  <c r="T1841" i="144"/>
  <c r="I1841" i="144"/>
  <c r="J1841" i="144"/>
  <c r="T1755" i="144"/>
  <c r="I1755" i="144"/>
  <c r="J1755" i="144"/>
  <c r="T1620" i="144"/>
  <c r="I1620" i="144"/>
  <c r="J1620" i="144"/>
  <c r="T1316" i="144"/>
  <c r="I1316" i="144"/>
  <c r="J1316" i="144"/>
  <c r="T925" i="144"/>
  <c r="I925" i="144"/>
  <c r="J925" i="144"/>
  <c r="T838" i="144"/>
  <c r="I838" i="144"/>
  <c r="J838" i="144"/>
  <c r="T463" i="144"/>
  <c r="I463" i="144"/>
  <c r="J463" i="144"/>
  <c r="T2321" i="144"/>
  <c r="I2321" i="144"/>
  <c r="J2321" i="144"/>
  <c r="T2138" i="144"/>
  <c r="I2138" i="144"/>
  <c r="J2138" i="144"/>
  <c r="T1959" i="144"/>
  <c r="I1959" i="144"/>
  <c r="J1959" i="144"/>
  <c r="T1771" i="144"/>
  <c r="I1771" i="144"/>
  <c r="J1771" i="144"/>
  <c r="T1701" i="144"/>
  <c r="I1701" i="144"/>
  <c r="J1701" i="144"/>
  <c r="T1332" i="144"/>
  <c r="I1332" i="144"/>
  <c r="J1332" i="144"/>
  <c r="T1130" i="144"/>
  <c r="I1130" i="144"/>
  <c r="J1130" i="144"/>
  <c r="T842" i="144"/>
  <c r="I842" i="144"/>
  <c r="J842" i="144"/>
  <c r="T498" i="144"/>
  <c r="I498" i="144"/>
  <c r="J498" i="144"/>
  <c r="T348" i="144"/>
  <c r="I348" i="144"/>
  <c r="J348" i="144"/>
  <c r="T296" i="144"/>
  <c r="I296" i="144"/>
  <c r="J296" i="144"/>
  <c r="T191" i="144"/>
  <c r="I191" i="144"/>
  <c r="J191" i="144"/>
  <c r="T97" i="144"/>
  <c r="I97" i="144"/>
  <c r="J97" i="144"/>
  <c r="T60" i="144"/>
  <c r="I60" i="144"/>
  <c r="J60" i="144"/>
  <c r="O98" i="101"/>
  <c r="O92" i="101"/>
  <c r="T1886" i="144"/>
  <c r="J1886" i="144"/>
  <c r="I1886" i="144"/>
  <c r="J1890" i="144"/>
  <c r="I1890" i="144"/>
  <c r="T1890" i="144"/>
  <c r="T744" i="144"/>
  <c r="I744" i="144"/>
  <c r="J744" i="144"/>
  <c r="J1893" i="144"/>
  <c r="I1893" i="144"/>
  <c r="T1893" i="144"/>
  <c r="T1891" i="144"/>
  <c r="I1891" i="144"/>
  <c r="J1891" i="144"/>
  <c r="O96" i="101"/>
  <c r="AQ51" i="71"/>
  <c r="N51" i="71"/>
  <c r="AS51" i="71"/>
  <c r="AR51" i="71"/>
  <c r="J212" i="75"/>
  <c r="I212" i="75"/>
  <c r="O99" i="101"/>
  <c r="I41" i="101"/>
  <c r="J41" i="101"/>
  <c r="I173" i="75"/>
  <c r="K41" i="101"/>
  <c r="J173" i="75"/>
  <c r="S139" i="71"/>
  <c r="J178" i="75"/>
  <c r="I178" i="75"/>
  <c r="Q9" i="1"/>
  <c r="R9" i="1" s="1"/>
  <c r="H9" i="1"/>
  <c r="Q79" i="1"/>
  <c r="R79" i="1" s="1"/>
  <c r="H79" i="1"/>
  <c r="B45" i="174"/>
  <c r="H9" i="170"/>
  <c r="F250" i="144"/>
  <c r="H29" i="170"/>
  <c r="F1897" i="144"/>
  <c r="F213" i="144"/>
  <c r="C39" i="175" a="1"/>
  <c r="C39" i="175" s="1"/>
  <c r="D39" i="175" s="1"/>
  <c r="C28" i="175" a="1"/>
  <c r="C28" i="175" s="1"/>
  <c r="D28" i="175" s="1"/>
  <c r="C18" i="175" a="1"/>
  <c r="C18" i="175" s="1"/>
  <c r="D18" i="175" s="1"/>
  <c r="D9" i="167" a="1"/>
  <c r="D9" i="167" s="1"/>
  <c r="E9" i="167" s="1"/>
  <c r="C35" i="175" a="1"/>
  <c r="C35" i="175" s="1"/>
  <c r="D35" i="175" s="1"/>
  <c r="D7" i="167" a="1"/>
  <c r="D7" i="167" s="1"/>
  <c r="E7" i="167" s="1"/>
  <c r="C16" i="175" a="1"/>
  <c r="C16" i="175" s="1"/>
  <c r="D16" i="175" s="1"/>
  <c r="C10" i="175" a="1"/>
  <c r="C10" i="175" s="1"/>
  <c r="D10" i="175" s="1"/>
  <c r="C26" i="175" a="1"/>
  <c r="C26" i="175" s="1"/>
  <c r="D26" i="175" s="1"/>
  <c r="C8" i="175" a="1"/>
  <c r="C8" i="175" s="1"/>
  <c r="D8" i="175" s="1"/>
  <c r="C45" i="175" a="1"/>
  <c r="C45" i="175" s="1"/>
  <c r="C7" i="175" a="1"/>
  <c r="C7" i="175" s="1"/>
  <c r="D7" i="175" s="1"/>
  <c r="C38" i="175" a="1"/>
  <c r="C38" i="175" s="1"/>
  <c r="D38" i="175" s="1"/>
  <c r="C27" i="175" a="1"/>
  <c r="C27" i="175" s="1"/>
  <c r="D27" i="175" s="1"/>
  <c r="C11" i="175" a="1"/>
  <c r="C11" i="175" s="1"/>
  <c r="D11" i="175" s="1"/>
  <c r="C21" i="175" a="1"/>
  <c r="C21" i="175" s="1"/>
  <c r="D21" i="175" s="1"/>
  <c r="C31" i="175" a="1"/>
  <c r="C31" i="175" s="1"/>
  <c r="D31" i="175" s="1"/>
  <c r="C25" i="175" a="1"/>
  <c r="C25" i="175" s="1"/>
  <c r="D25" i="175" s="1"/>
  <c r="C14" i="175" a="1"/>
  <c r="C14" i="175" s="1"/>
  <c r="D14" i="175" s="1"/>
  <c r="C20" i="175" a="1"/>
  <c r="C20" i="175" s="1"/>
  <c r="D20" i="175" s="1"/>
  <c r="C41" i="175" a="1"/>
  <c r="C41" i="175" s="1"/>
  <c r="D41" i="175" s="1"/>
  <c r="D8" i="167" a="1"/>
  <c r="D8" i="167" s="1"/>
  <c r="E8" i="167" s="1"/>
  <c r="C8" i="174" a="1"/>
  <c r="C8" i="174" s="1"/>
  <c r="D8" i="174" s="1"/>
  <c r="E8" i="174" s="1"/>
  <c r="C21" i="174" a="1"/>
  <c r="C21" i="174" s="1"/>
  <c r="D21" i="174" s="1"/>
  <c r="E21" i="174" s="1"/>
  <c r="C26" i="174" a="1"/>
  <c r="C26" i="174" s="1"/>
  <c r="D26" i="174" s="1"/>
  <c r="E26" i="174" s="1"/>
  <c r="C25" i="174" a="1"/>
  <c r="C25" i="174" s="1"/>
  <c r="D25" i="174" s="1"/>
  <c r="E25" i="174" s="1"/>
  <c r="C23" i="174" a="1"/>
  <c r="C23" i="174" s="1"/>
  <c r="D23" i="174" s="1"/>
  <c r="E23" i="174" s="1"/>
  <c r="C33" i="174" a="1"/>
  <c r="C33" i="174" s="1"/>
  <c r="D33" i="174" s="1"/>
  <c r="E33" i="174" s="1"/>
  <c r="D9" i="169" a="1"/>
  <c r="D9" i="169" s="1"/>
  <c r="E9" i="169" s="1"/>
  <c r="F9" i="169" s="1"/>
  <c r="H9" i="167" s="1"/>
  <c r="D8" i="169" a="1"/>
  <c r="D8" i="169" s="1"/>
  <c r="E8" i="169" s="1"/>
  <c r="F8" i="169" s="1"/>
  <c r="H8" i="167" s="1"/>
  <c r="C9" i="174" a="1"/>
  <c r="C9" i="174" s="1"/>
  <c r="D9" i="174" s="1"/>
  <c r="E9" i="174" s="1"/>
  <c r="C44" i="174" a="1"/>
  <c r="C44" i="174" s="1"/>
  <c r="D44" i="174" s="1"/>
  <c r="E44" i="174" s="1"/>
  <c r="C17" i="174" a="1"/>
  <c r="C17" i="174" s="1"/>
  <c r="D17" i="174" s="1"/>
  <c r="E17" i="174" s="1"/>
  <c r="C36" i="174" a="1"/>
  <c r="C36" i="174" s="1"/>
  <c r="D36" i="174" s="1"/>
  <c r="E36" i="174" s="1"/>
  <c r="C24" i="174" a="1"/>
  <c r="C24" i="174" s="1"/>
  <c r="D24" i="174" s="1"/>
  <c r="E24" i="174" s="1"/>
  <c r="C39" i="174" a="1"/>
  <c r="C39" i="174" s="1"/>
  <c r="D39" i="174" s="1"/>
  <c r="E39" i="174" s="1"/>
  <c r="C27" i="174" a="1"/>
  <c r="C27" i="174" s="1"/>
  <c r="D27" i="174" s="1"/>
  <c r="E27" i="174" s="1"/>
  <c r="C32" i="174" a="1"/>
  <c r="C32" i="174" s="1"/>
  <c r="D32" i="174" s="1"/>
  <c r="E32" i="174" s="1"/>
  <c r="D12" i="169" a="1"/>
  <c r="D12" i="169" s="1"/>
  <c r="C11" i="174" a="1"/>
  <c r="C11" i="174" s="1"/>
  <c r="D11" i="174" s="1"/>
  <c r="E11" i="174" s="1"/>
  <c r="C46" i="174" a="1"/>
  <c r="C46" i="174" s="1"/>
  <c r="D46" i="174" s="1"/>
  <c r="E46" i="174" s="1"/>
  <c r="C15" i="174" a="1"/>
  <c r="C15" i="174" s="1"/>
  <c r="D15" i="174" s="1"/>
  <c r="E15" i="174" s="1"/>
  <c r="D11" i="169" a="1"/>
  <c r="D11" i="169" s="1"/>
  <c r="E11" i="169" s="1"/>
  <c r="F11" i="169" s="1"/>
  <c r="H11" i="167" s="1"/>
  <c r="D12" i="167" a="1"/>
  <c r="D12" i="167" s="1"/>
  <c r="C44" i="175" a="1"/>
  <c r="C44" i="175" s="1"/>
  <c r="D44" i="175" s="1"/>
  <c r="C34" i="175" a="1"/>
  <c r="C34" i="175" s="1"/>
  <c r="D34" i="175" s="1"/>
  <c r="C23" i="175" a="1"/>
  <c r="C23" i="175" s="1"/>
  <c r="D23" i="175" s="1"/>
  <c r="C12" i="175" a="1"/>
  <c r="C12" i="175" s="1"/>
  <c r="D12" i="175" s="1"/>
  <c r="C40" i="175" a="1"/>
  <c r="C40" i="175" s="1"/>
  <c r="D40" i="175" s="1"/>
  <c r="D11" i="167" a="1"/>
  <c r="D11" i="167" s="1"/>
  <c r="E11" i="167" s="1"/>
  <c r="C33" i="175" a="1"/>
  <c r="C33" i="175" s="1"/>
  <c r="D33" i="175" s="1"/>
  <c r="C17" i="175" a="1"/>
  <c r="C17" i="175" s="1"/>
  <c r="D17" i="175" s="1"/>
  <c r="D10" i="167" a="1"/>
  <c r="D10" i="167" s="1"/>
  <c r="E10" i="167" s="1"/>
  <c r="C42" i="175" a="1"/>
  <c r="C42" i="175" s="1"/>
  <c r="D42" i="175" s="1"/>
  <c r="C15" i="175" a="1"/>
  <c r="C15" i="175" s="1"/>
  <c r="D15" i="175" s="1"/>
  <c r="C30" i="175" a="1"/>
  <c r="C30" i="175" s="1"/>
  <c r="D30" i="175" s="1"/>
  <c r="C43" i="175" a="1"/>
  <c r="C43" i="175" s="1"/>
  <c r="D43" i="175" s="1"/>
  <c r="C32" i="175" a="1"/>
  <c r="C32" i="175" s="1"/>
  <c r="D32" i="175" s="1"/>
  <c r="C22" i="175" a="1"/>
  <c r="C22" i="175" s="1"/>
  <c r="D22" i="175" s="1"/>
  <c r="C37" i="175" a="1"/>
  <c r="C37" i="175" s="1"/>
  <c r="D37" i="175" s="1"/>
  <c r="C36" i="175" a="1"/>
  <c r="C36" i="175" s="1"/>
  <c r="D36" i="175" s="1"/>
  <c r="C9" i="175" a="1"/>
  <c r="C9" i="175" s="1"/>
  <c r="D9" i="175" s="1"/>
  <c r="C24" i="175" a="1"/>
  <c r="C24" i="175" s="1"/>
  <c r="D24" i="175" s="1"/>
  <c r="C29" i="175" a="1"/>
  <c r="C29" i="175" s="1"/>
  <c r="D29" i="175" s="1"/>
  <c r="C47" i="175" a="1"/>
  <c r="C47" i="175" s="1"/>
  <c r="D47" i="175" s="1"/>
  <c r="C19" i="175" a="1"/>
  <c r="C19" i="175" s="1"/>
  <c r="D19" i="175" s="1"/>
  <c r="C13" i="175" a="1"/>
  <c r="C13" i="175" s="1"/>
  <c r="D13" i="175" s="1"/>
  <c r="C12" i="174" a="1"/>
  <c r="C12" i="174" s="1"/>
  <c r="D12" i="174" s="1"/>
  <c r="E12" i="174" s="1"/>
  <c r="D7" i="169" a="1"/>
  <c r="D7" i="169" s="1"/>
  <c r="E7" i="169" s="1"/>
  <c r="F7" i="169" s="1"/>
  <c r="H7" i="167" s="1"/>
  <c r="C7" i="174" a="1"/>
  <c r="C7" i="174" s="1"/>
  <c r="D7" i="174" s="1"/>
  <c r="E7" i="174" s="1"/>
  <c r="H7" i="174" s="1"/>
  <c r="G7" i="175" s="1"/>
  <c r="C18" i="174" a="1"/>
  <c r="C18" i="174" s="1"/>
  <c r="D18" i="174" s="1"/>
  <c r="E18" i="174" s="1"/>
  <c r="C41" i="174" a="1"/>
  <c r="C41" i="174" s="1"/>
  <c r="D41" i="174" s="1"/>
  <c r="E41" i="174" s="1"/>
  <c r="H41" i="174" s="1"/>
  <c r="G41" i="175" s="1"/>
  <c r="C38" i="174" a="1"/>
  <c r="C38" i="174" s="1"/>
  <c r="D38" i="174" s="1"/>
  <c r="E38" i="174" s="1"/>
  <c r="C40" i="174" a="1"/>
  <c r="C40" i="174" s="1"/>
  <c r="D40" i="174" s="1"/>
  <c r="E40" i="174" s="1"/>
  <c r="H40" i="174" s="1"/>
  <c r="G40" i="175" s="1"/>
  <c r="C13" i="174" a="1"/>
  <c r="C13" i="174" s="1"/>
  <c r="D13" i="174" s="1"/>
  <c r="E13" i="174" s="1"/>
  <c r="C22" i="174" a="1"/>
  <c r="C22" i="174" s="1"/>
  <c r="D22" i="174" s="1"/>
  <c r="E22" i="174" s="1"/>
  <c r="C20" i="174" a="1"/>
  <c r="C20" i="174" s="1"/>
  <c r="D20" i="174" s="1"/>
  <c r="E20" i="174" s="1"/>
  <c r="C34" i="174" a="1"/>
  <c r="C34" i="174" s="1"/>
  <c r="D34" i="174" s="1"/>
  <c r="E34" i="174" s="1"/>
  <c r="C47" i="174" a="1"/>
  <c r="C47" i="174" s="1"/>
  <c r="D47" i="174" s="1"/>
  <c r="E47" i="174" s="1"/>
  <c r="C37" i="174" a="1"/>
  <c r="C37" i="174" s="1"/>
  <c r="D37" i="174" s="1"/>
  <c r="E37" i="174" s="1"/>
  <c r="C28" i="174" a="1"/>
  <c r="C28" i="174" s="1"/>
  <c r="D28" i="174" s="1"/>
  <c r="E28" i="174" s="1"/>
  <c r="C19" i="174" a="1"/>
  <c r="C19" i="174" s="1"/>
  <c r="D19" i="174" s="1"/>
  <c r="E19" i="174" s="1"/>
  <c r="C30" i="174" a="1"/>
  <c r="C30" i="174" s="1"/>
  <c r="D30" i="174" s="1"/>
  <c r="E30" i="174" s="1"/>
  <c r="C35" i="174" a="1"/>
  <c r="C35" i="174" s="1"/>
  <c r="D35" i="174" s="1"/>
  <c r="E35" i="174" s="1"/>
  <c r="C42" i="174" a="1"/>
  <c r="C42" i="174" s="1"/>
  <c r="D42" i="174" s="1"/>
  <c r="E42" i="174" s="1"/>
  <c r="C31" i="174" a="1"/>
  <c r="C31" i="174" s="1"/>
  <c r="D31" i="174" s="1"/>
  <c r="E31" i="174" s="1"/>
  <c r="C29" i="174" a="1"/>
  <c r="C29" i="174" s="1"/>
  <c r="D29" i="174" s="1"/>
  <c r="E29" i="174" s="1"/>
  <c r="D10" i="169" a="1"/>
  <c r="D10" i="169" s="1"/>
  <c r="E10" i="169" s="1"/>
  <c r="C10" i="174" a="1"/>
  <c r="C10" i="174" s="1"/>
  <c r="D10" i="174" s="1"/>
  <c r="E10" i="174" s="1"/>
  <c r="C14" i="174" a="1"/>
  <c r="C14" i="174" s="1"/>
  <c r="D14" i="174" s="1"/>
  <c r="E14" i="174" s="1"/>
  <c r="C43" i="174" a="1"/>
  <c r="C43" i="174" s="1"/>
  <c r="D43" i="174" s="1"/>
  <c r="E43" i="174" s="1"/>
  <c r="C16" i="174" a="1"/>
  <c r="C16" i="174" s="1"/>
  <c r="D16" i="174" s="1"/>
  <c r="E16" i="174" s="1"/>
  <c r="J632" i="56"/>
  <c r="C3" i="27" s="1"/>
  <c r="K10" i="170"/>
  <c r="K13" i="170"/>
  <c r="T2155" i="144"/>
  <c r="I2155" i="144"/>
  <c r="J2155" i="144"/>
  <c r="T1960" i="144"/>
  <c r="I1960" i="144"/>
  <c r="J1960" i="144"/>
  <c r="T1814" i="144"/>
  <c r="I1814" i="144"/>
  <c r="J1814" i="144"/>
  <c r="T1703" i="144"/>
  <c r="I1703" i="144"/>
  <c r="J1703" i="144"/>
  <c r="T1385" i="144"/>
  <c r="I1385" i="144"/>
  <c r="J1385" i="144"/>
  <c r="T1140" i="144"/>
  <c r="I1140" i="144"/>
  <c r="J1140" i="144"/>
  <c r="T864" i="144"/>
  <c r="I864" i="144"/>
  <c r="J864" i="144"/>
  <c r="T646" i="144"/>
  <c r="I646" i="144"/>
  <c r="J646" i="144"/>
  <c r="T364" i="144"/>
  <c r="I364" i="144"/>
  <c r="J364" i="144"/>
  <c r="T2227" i="144"/>
  <c r="I2227" i="144"/>
  <c r="J2227" i="144"/>
  <c r="T1973" i="144"/>
  <c r="I1973" i="144"/>
  <c r="J1973" i="144"/>
  <c r="T1840" i="144"/>
  <c r="I1840" i="144"/>
  <c r="J1840" i="144"/>
  <c r="T1718" i="144"/>
  <c r="I1718" i="144"/>
  <c r="J1718" i="144"/>
  <c r="T1418" i="144"/>
  <c r="I1418" i="144"/>
  <c r="J1418" i="144"/>
  <c r="T1174" i="144"/>
  <c r="I1174" i="144"/>
  <c r="J1174" i="144"/>
  <c r="T866" i="144"/>
  <c r="I866" i="144"/>
  <c r="J866" i="144"/>
  <c r="T656" i="144"/>
  <c r="I656" i="144"/>
  <c r="J656" i="144"/>
  <c r="T449" i="144"/>
  <c r="I449" i="144"/>
  <c r="J449" i="144"/>
  <c r="T346" i="144"/>
  <c r="I346" i="144"/>
  <c r="J346" i="144"/>
  <c r="T287" i="144"/>
  <c r="I287" i="144"/>
  <c r="J287" i="144"/>
  <c r="T143" i="144"/>
  <c r="I143" i="144"/>
  <c r="J143" i="144"/>
  <c r="T71" i="144"/>
  <c r="I71" i="144"/>
  <c r="J71" i="144"/>
  <c r="T34" i="144"/>
  <c r="I34" i="144"/>
  <c r="T1895" i="144"/>
  <c r="J1895" i="144"/>
  <c r="I1895" i="144"/>
  <c r="J1176" i="144"/>
  <c r="T1176" i="144"/>
  <c r="I1176" i="144"/>
  <c r="I1888" i="144"/>
  <c r="J1888" i="144"/>
  <c r="T1888" i="144"/>
  <c r="T1894" i="144"/>
  <c r="I1894" i="144"/>
  <c r="J1894" i="144"/>
  <c r="I1889" i="144"/>
  <c r="J1889" i="144"/>
  <c r="T1889" i="144"/>
  <c r="I251" i="144"/>
  <c r="T251" i="144"/>
  <c r="J251" i="144"/>
  <c r="AS52" i="71"/>
  <c r="AQ52" i="71"/>
  <c r="N52" i="71"/>
  <c r="O52" i="71" s="1"/>
  <c r="AR52" i="71"/>
  <c r="J286" i="149"/>
  <c r="L249" i="146" s="1"/>
  <c r="I289" i="149"/>
  <c r="K251" i="146" s="1"/>
  <c r="J284" i="149"/>
  <c r="L247" i="146" s="1"/>
  <c r="J288" i="149"/>
  <c r="J285" i="149"/>
  <c r="L248" i="146" s="1"/>
  <c r="J289" i="149"/>
  <c r="L251" i="146" s="1"/>
  <c r="I283" i="149"/>
  <c r="I286" i="149"/>
  <c r="K249" i="146" s="1"/>
  <c r="J291" i="149"/>
  <c r="L252" i="146" s="1"/>
  <c r="J287" i="149"/>
  <c r="L250" i="146" s="1"/>
  <c r="I288" i="149"/>
  <c r="I291" i="149"/>
  <c r="K252" i="146" s="1"/>
  <c r="J283" i="149"/>
  <c r="J290" i="149"/>
  <c r="I284" i="149"/>
  <c r="K247" i="146" s="1"/>
  <c r="I287" i="149"/>
  <c r="K250" i="146" s="1"/>
  <c r="J282" i="149"/>
  <c r="I285" i="149"/>
  <c r="K248" i="146" s="1"/>
  <c r="I290" i="149"/>
  <c r="I282" i="149"/>
  <c r="B9" i="28" l="1"/>
  <c r="B20" i="28" s="1"/>
  <c r="AK162" i="71"/>
  <c r="AK39" i="71"/>
  <c r="AK55" i="71"/>
  <c r="J196" i="75"/>
  <c r="I23" i="75"/>
  <c r="I249" i="75"/>
  <c r="AM136" i="71"/>
  <c r="I208" i="75"/>
  <c r="B12" i="28"/>
  <c r="B23" i="28" s="1"/>
  <c r="J211" i="75"/>
  <c r="AK56" i="71"/>
  <c r="AK9" i="71"/>
  <c r="AK110" i="71"/>
  <c r="AK123" i="71"/>
  <c r="AK101" i="71"/>
  <c r="AK131" i="71"/>
  <c r="AK98" i="71"/>
  <c r="AK111" i="71"/>
  <c r="AK168" i="71"/>
  <c r="AK170" i="71"/>
  <c r="AK104" i="71"/>
  <c r="AK137" i="71"/>
  <c r="AK127" i="71"/>
  <c r="AK152" i="71"/>
  <c r="AK109" i="71"/>
  <c r="AK71" i="71"/>
  <c r="AK72" i="71"/>
  <c r="AK8" i="71"/>
  <c r="AK126" i="71"/>
  <c r="I340" i="75"/>
  <c r="M19" i="64"/>
  <c r="J36" i="101"/>
  <c r="R39" i="1"/>
  <c r="AM158" i="71"/>
  <c r="AK23" i="71"/>
  <c r="AK112" i="71"/>
  <c r="AK31" i="71"/>
  <c r="AK41" i="71"/>
  <c r="AK165" i="71"/>
  <c r="AK83" i="71"/>
  <c r="AK82" i="71"/>
  <c r="AK61" i="71"/>
  <c r="I23" i="101"/>
  <c r="J66" i="101"/>
  <c r="AK14" i="71"/>
  <c r="AK99" i="71"/>
  <c r="AK22" i="71"/>
  <c r="AK157" i="71"/>
  <c r="AK115" i="71"/>
  <c r="AK154" i="71"/>
  <c r="AK60" i="71"/>
  <c r="AK46" i="71"/>
  <c r="I336" i="75"/>
  <c r="AK89" i="71"/>
  <c r="AK42" i="71"/>
  <c r="AK120" i="71"/>
  <c r="AK163" i="71"/>
  <c r="AK153" i="71"/>
  <c r="AK139" i="71"/>
  <c r="AK106" i="71"/>
  <c r="AK97" i="71"/>
  <c r="AK136" i="71"/>
  <c r="AK100" i="71"/>
  <c r="AK114" i="71"/>
  <c r="AK141" i="71"/>
  <c r="AK13" i="71"/>
  <c r="AK167" i="71"/>
  <c r="AK25" i="71"/>
  <c r="AK172" i="71"/>
  <c r="AK116" i="71"/>
  <c r="AK50" i="71"/>
  <c r="AK26" i="71"/>
  <c r="AK36" i="71"/>
  <c r="AK148" i="71"/>
  <c r="AK57" i="71"/>
  <c r="AM52" i="71"/>
  <c r="J192" i="75"/>
  <c r="J417" i="75"/>
  <c r="J172" i="75"/>
  <c r="I144" i="75"/>
  <c r="J136" i="75"/>
  <c r="I40" i="101"/>
  <c r="I369" i="75"/>
  <c r="I295" i="75"/>
  <c r="I174" i="75"/>
  <c r="I298" i="75"/>
  <c r="F11" i="167"/>
  <c r="I11" i="167" s="1"/>
  <c r="I52" i="101"/>
  <c r="R101" i="1"/>
  <c r="J265" i="75"/>
  <c r="I285" i="75"/>
  <c r="AL34" i="71"/>
  <c r="AP93" i="71"/>
  <c r="I143" i="75"/>
  <c r="AK49" i="71"/>
  <c r="AK150" i="71"/>
  <c r="AK18" i="71"/>
  <c r="AK29" i="71"/>
  <c r="AK102" i="71"/>
  <c r="AK161" i="71"/>
  <c r="AK80" i="71"/>
  <c r="AK158" i="71"/>
  <c r="AK133" i="71"/>
  <c r="AK146" i="71"/>
  <c r="AK142" i="71"/>
  <c r="AK70" i="71"/>
  <c r="AK69" i="71"/>
  <c r="AK59" i="71"/>
  <c r="AK125" i="71"/>
  <c r="AK93" i="71"/>
  <c r="AK63" i="71"/>
  <c r="AK105" i="71"/>
  <c r="AK38" i="71"/>
  <c r="AK124" i="71"/>
  <c r="AP52" i="71"/>
  <c r="K36" i="101"/>
  <c r="J301" i="75"/>
  <c r="AK16" i="71"/>
  <c r="AK34" i="71"/>
  <c r="AK132" i="71"/>
  <c r="AK86" i="71"/>
  <c r="AK164" i="71"/>
  <c r="AK103" i="71"/>
  <c r="I158" i="75"/>
  <c r="I16" i="75"/>
  <c r="J392" i="75"/>
  <c r="AK144" i="71"/>
  <c r="AK107" i="71"/>
  <c r="AK85" i="71"/>
  <c r="AK45" i="71"/>
  <c r="AK48" i="71"/>
  <c r="AK90" i="71"/>
  <c r="AK166" i="71"/>
  <c r="AK160" i="71"/>
  <c r="AK118" i="71"/>
  <c r="AK84" i="71"/>
  <c r="AK130" i="71"/>
  <c r="AK77" i="71"/>
  <c r="AK140" i="71"/>
  <c r="AK156" i="71"/>
  <c r="AK30" i="71"/>
  <c r="AK95" i="71"/>
  <c r="AK35" i="71"/>
  <c r="AK20" i="71"/>
  <c r="AK67" i="71"/>
  <c r="AK76" i="71"/>
  <c r="AK52" i="71"/>
  <c r="AK40" i="71"/>
  <c r="AK88" i="71"/>
  <c r="AK12" i="71"/>
  <c r="AK117" i="71"/>
  <c r="AK129" i="71"/>
  <c r="AK19" i="71"/>
  <c r="AK37" i="71"/>
  <c r="AK10" i="71"/>
  <c r="AK33" i="71"/>
  <c r="AK79" i="71"/>
  <c r="AK147" i="71"/>
  <c r="AK113" i="71"/>
  <c r="AK171" i="71"/>
  <c r="AK108" i="71"/>
  <c r="AK44" i="71"/>
  <c r="AK143" i="71"/>
  <c r="AK74" i="71"/>
  <c r="AK159" i="71"/>
  <c r="AK119" i="71"/>
  <c r="AK21" i="71"/>
  <c r="AK138" i="71"/>
  <c r="AK121" i="71"/>
  <c r="AK75" i="71"/>
  <c r="AK73" i="71"/>
  <c r="AK58" i="71"/>
  <c r="AK68" i="71"/>
  <c r="AK64" i="71"/>
  <c r="J294" i="75"/>
  <c r="AK51" i="71"/>
  <c r="I264" i="75"/>
  <c r="J252" i="75"/>
  <c r="AK17" i="71"/>
  <c r="AK135" i="71"/>
  <c r="AK81" i="71"/>
  <c r="AK91" i="71"/>
  <c r="AK92" i="71"/>
  <c r="AK53" i="71"/>
  <c r="AK151" i="71"/>
  <c r="AK65" i="71"/>
  <c r="AK43" i="71"/>
  <c r="AK122" i="71"/>
  <c r="AK54" i="71"/>
  <c r="AK87" i="71"/>
  <c r="AK149" i="71"/>
  <c r="AK28" i="71"/>
  <c r="AK24" i="71"/>
  <c r="AK11" i="71"/>
  <c r="AK169" i="71"/>
  <c r="AK78" i="71"/>
  <c r="AK32" i="71"/>
  <c r="AK62" i="71"/>
  <c r="AK134" i="71"/>
  <c r="AK15" i="71"/>
  <c r="AK128" i="71"/>
  <c r="AK66" i="71"/>
  <c r="AK155" i="71"/>
  <c r="AK96" i="71"/>
  <c r="AK94" i="71"/>
  <c r="AK145" i="71"/>
  <c r="AK47" i="71"/>
  <c r="AL51" i="71"/>
  <c r="AL7" i="71"/>
  <c r="AM48" i="71"/>
  <c r="I263" i="75"/>
  <c r="I66" i="101"/>
  <c r="AM47" i="71"/>
  <c r="AM21" i="71"/>
  <c r="J122" i="75"/>
  <c r="AM84" i="71"/>
  <c r="I167" i="75"/>
  <c r="I417" i="75"/>
  <c r="AM39" i="71"/>
  <c r="AM49" i="71"/>
  <c r="AM64" i="71"/>
  <c r="AN66" i="71"/>
  <c r="J44" i="101"/>
  <c r="J174" i="75"/>
  <c r="J56" i="101"/>
  <c r="J397" i="75"/>
  <c r="I108" i="75"/>
  <c r="I227" i="75"/>
  <c r="H100" i="1"/>
  <c r="J52" i="101"/>
  <c r="AM51" i="71"/>
  <c r="J254" i="75"/>
  <c r="I362" i="75"/>
  <c r="K60" i="101"/>
  <c r="J240" i="75"/>
  <c r="J337" i="75"/>
  <c r="J40" i="101"/>
  <c r="I125" i="75"/>
  <c r="K40" i="101"/>
  <c r="I170" i="75"/>
  <c r="J137" i="75"/>
  <c r="I246" i="75"/>
  <c r="L14" i="64"/>
  <c r="J131" i="75"/>
  <c r="J61" i="101"/>
  <c r="I337" i="75"/>
  <c r="K68" i="101"/>
  <c r="J296" i="75"/>
  <c r="AG51" i="71"/>
  <c r="AG48" i="71"/>
  <c r="I245" i="75"/>
  <c r="I68" i="101"/>
  <c r="I94" i="75"/>
  <c r="K32" i="101"/>
  <c r="J275" i="75"/>
  <c r="J255" i="75"/>
  <c r="AN62" i="71"/>
  <c r="I61" i="101"/>
  <c r="J345" i="75"/>
  <c r="J295" i="75"/>
  <c r="J32" i="101"/>
  <c r="AO52" i="71"/>
  <c r="AG39" i="71"/>
  <c r="AN88" i="71"/>
  <c r="J245" i="75"/>
  <c r="J60" i="101"/>
  <c r="AM53" i="71"/>
  <c r="I32" i="101"/>
  <c r="AN108" i="71"/>
  <c r="I189" i="75"/>
  <c r="K36" i="64"/>
  <c r="I401" i="75"/>
  <c r="AG7" i="71"/>
  <c r="J17" i="101"/>
  <c r="M13" i="64"/>
  <c r="J43" i="101"/>
  <c r="I24" i="75"/>
  <c r="I371" i="75"/>
  <c r="J227" i="75"/>
  <c r="AM89" i="71"/>
  <c r="J272" i="75"/>
  <c r="AN153" i="71"/>
  <c r="J117" i="75"/>
  <c r="I293" i="75"/>
  <c r="J336" i="75"/>
  <c r="I26" i="75"/>
  <c r="AM110" i="71"/>
  <c r="I272" i="75"/>
  <c r="AN163" i="71"/>
  <c r="I25" i="75"/>
  <c r="AL92" i="71"/>
  <c r="AP102" i="71"/>
  <c r="AL118" i="71"/>
  <c r="R100" i="1"/>
  <c r="I133" i="75"/>
  <c r="I319" i="75"/>
  <c r="K34" i="101"/>
  <c r="AL96" i="71"/>
  <c r="AP58" i="71"/>
  <c r="J67" i="75"/>
  <c r="I67" i="75"/>
  <c r="J158" i="75"/>
  <c r="I233" i="75"/>
  <c r="AL39" i="71"/>
  <c r="J315" i="75"/>
  <c r="J184" i="75"/>
  <c r="AL128" i="71"/>
  <c r="AP145" i="71"/>
  <c r="I187" i="75"/>
  <c r="F50" i="75"/>
  <c r="J12" i="101" s="1"/>
  <c r="J340" i="75"/>
  <c r="AG52" i="71"/>
  <c r="M10" i="64"/>
  <c r="I288" i="75"/>
  <c r="J185" i="75"/>
  <c r="J168" i="75"/>
  <c r="AL48" i="71"/>
  <c r="J310" i="75"/>
  <c r="I17" i="75"/>
  <c r="J67" i="101"/>
  <c r="J280" i="75"/>
  <c r="I153" i="75"/>
  <c r="AL108" i="71"/>
  <c r="AL160" i="71"/>
  <c r="AP20" i="71"/>
  <c r="I59" i="101"/>
  <c r="I126" i="75"/>
  <c r="J126" i="75"/>
  <c r="I56" i="101"/>
  <c r="J291" i="75"/>
  <c r="AL164" i="71"/>
  <c r="AP15" i="71"/>
  <c r="I216" i="75"/>
  <c r="F52" i="75"/>
  <c r="J52" i="75" s="1"/>
  <c r="AL52" i="71"/>
  <c r="B37" i="170"/>
  <c r="L10" i="64"/>
  <c r="I185" i="75"/>
  <c r="I354" i="75"/>
  <c r="J311" i="75"/>
  <c r="J101" i="75"/>
  <c r="J241" i="75"/>
  <c r="J63" i="101"/>
  <c r="AL44" i="71"/>
  <c r="I186" i="75"/>
  <c r="AP12" i="71"/>
  <c r="J42" i="101"/>
  <c r="I115" i="75"/>
  <c r="J396" i="75"/>
  <c r="J34" i="101"/>
  <c r="J289" i="75"/>
  <c r="AP7" i="71"/>
  <c r="I106" i="75"/>
  <c r="I22" i="101"/>
  <c r="AP37" i="71"/>
  <c r="I268" i="75"/>
  <c r="I166" i="75"/>
  <c r="I218" i="75"/>
  <c r="I206" i="75"/>
  <c r="I97" i="75"/>
  <c r="J19" i="75"/>
  <c r="K59" i="101"/>
  <c r="I222" i="75"/>
  <c r="R144" i="1"/>
  <c r="J194" i="75"/>
  <c r="M78" i="101"/>
  <c r="J351" i="75"/>
  <c r="I279" i="75"/>
  <c r="J95" i="75"/>
  <c r="I284" i="75"/>
  <c r="J219" i="75"/>
  <c r="I260" i="75"/>
  <c r="J216" i="75"/>
  <c r="F57" i="75"/>
  <c r="I57" i="75" s="1"/>
  <c r="I51" i="101"/>
  <c r="I330" i="75"/>
  <c r="J220" i="75"/>
  <c r="I220" i="75"/>
  <c r="I116" i="75"/>
  <c r="J116" i="75"/>
  <c r="J159" i="75"/>
  <c r="F55" i="75"/>
  <c r="J55" i="75" s="1"/>
  <c r="I376" i="75"/>
  <c r="J312" i="75"/>
  <c r="I311" i="75"/>
  <c r="AN122" i="71"/>
  <c r="I343" i="75"/>
  <c r="K54" i="101"/>
  <c r="AN21" i="71"/>
  <c r="AN24" i="71"/>
  <c r="I34" i="101"/>
  <c r="I367" i="75"/>
  <c r="J367" i="75"/>
  <c r="L20" i="64"/>
  <c r="J341" i="75"/>
  <c r="I341" i="75"/>
  <c r="M20" i="64"/>
  <c r="I80" i="75"/>
  <c r="J156" i="75"/>
  <c r="I67" i="101"/>
  <c r="AN143" i="71"/>
  <c r="J248" i="75"/>
  <c r="R172" i="1"/>
  <c r="J343" i="75"/>
  <c r="J161" i="75"/>
  <c r="AN68" i="71"/>
  <c r="AN131" i="71"/>
  <c r="M79" i="101"/>
  <c r="J121" i="75"/>
  <c r="I273" i="75"/>
  <c r="J273" i="75"/>
  <c r="AL68" i="71"/>
  <c r="AL152" i="71"/>
  <c r="AL45" i="71"/>
  <c r="AL103" i="71"/>
  <c r="AL132" i="71"/>
  <c r="AL82" i="71"/>
  <c r="AL83" i="71"/>
  <c r="AL124" i="71"/>
  <c r="AL133" i="71"/>
  <c r="AL150" i="71"/>
  <c r="AL139" i="71"/>
  <c r="AL61" i="71"/>
  <c r="AL74" i="71"/>
  <c r="AL136" i="71"/>
  <c r="AL15" i="71"/>
  <c r="AL106" i="71"/>
  <c r="AL110" i="71"/>
  <c r="AL100" i="71"/>
  <c r="AL98" i="71"/>
  <c r="AL43" i="71"/>
  <c r="AL111" i="71"/>
  <c r="AL89" i="71"/>
  <c r="AL54" i="71"/>
  <c r="AL115" i="71"/>
  <c r="AL53" i="71"/>
  <c r="AL66" i="71"/>
  <c r="AL167" i="71"/>
  <c r="AL19" i="71"/>
  <c r="AL85" i="71"/>
  <c r="AL141" i="71"/>
  <c r="AL140" i="71"/>
  <c r="AL13" i="71"/>
  <c r="AL161" i="71"/>
  <c r="AL57" i="71"/>
  <c r="AL119" i="71"/>
  <c r="AL50" i="71"/>
  <c r="AL80" i="71"/>
  <c r="AL40" i="71"/>
  <c r="AL16" i="71"/>
  <c r="AL64" i="71"/>
  <c r="AL62" i="71"/>
  <c r="AL143" i="71"/>
  <c r="AL126" i="71"/>
  <c r="AL78" i="71"/>
  <c r="AL165" i="71"/>
  <c r="AL148" i="71"/>
  <c r="AL24" i="71"/>
  <c r="AL131" i="71"/>
  <c r="AL159" i="71"/>
  <c r="AL77" i="71"/>
  <c r="AL99" i="71"/>
  <c r="AL97" i="71"/>
  <c r="AL107" i="71"/>
  <c r="AL14" i="71"/>
  <c r="AL122" i="71"/>
  <c r="AL153" i="71"/>
  <c r="AL26" i="71"/>
  <c r="AL28" i="71"/>
  <c r="AL171" i="71"/>
  <c r="AL116" i="71"/>
  <c r="AL18" i="71"/>
  <c r="AL46" i="71"/>
  <c r="AL145" i="71"/>
  <c r="AL81" i="71"/>
  <c r="AL29" i="71"/>
  <c r="AL172" i="71"/>
  <c r="AL101" i="71"/>
  <c r="AL22" i="71"/>
  <c r="AL32" i="71"/>
  <c r="AL130" i="71"/>
  <c r="AL109" i="71"/>
  <c r="AL11" i="71"/>
  <c r="AL114" i="71"/>
  <c r="AL169" i="71"/>
  <c r="AL75" i="71"/>
  <c r="AL149" i="71"/>
  <c r="AL59" i="71"/>
  <c r="AL79" i="71"/>
  <c r="AL35" i="71"/>
  <c r="AL70" i="71"/>
  <c r="AL37" i="71"/>
  <c r="AL151" i="71"/>
  <c r="AL91" i="71"/>
  <c r="AL73" i="71"/>
  <c r="AL154" i="71"/>
  <c r="AL9" i="71"/>
  <c r="AL158" i="71"/>
  <c r="AL31" i="71"/>
  <c r="AL63" i="71"/>
  <c r="AL121" i="71"/>
  <c r="AL12" i="71"/>
  <c r="AL168" i="71"/>
  <c r="AL21" i="71"/>
  <c r="AL84" i="71"/>
  <c r="AL170" i="71"/>
  <c r="AL67" i="71"/>
  <c r="AL30" i="71"/>
  <c r="AL71" i="71"/>
  <c r="AL129" i="71"/>
  <c r="AL33" i="71"/>
  <c r="AL144" i="71"/>
  <c r="AL123" i="71"/>
  <c r="AL162" i="71"/>
  <c r="AL72" i="71"/>
  <c r="AL27" i="71"/>
  <c r="AL20" i="71"/>
  <c r="AL88" i="71"/>
  <c r="AL157" i="71"/>
  <c r="AL25" i="71"/>
  <c r="AL125" i="71"/>
  <c r="AL137" i="71"/>
  <c r="AL87" i="71"/>
  <c r="AL90" i="71"/>
  <c r="AL104" i="71"/>
  <c r="AL120" i="71"/>
  <c r="AL94" i="71"/>
  <c r="AL138" i="71"/>
  <c r="AL10" i="71"/>
  <c r="AL147" i="71"/>
  <c r="AL56" i="71"/>
  <c r="AL65" i="71"/>
  <c r="AL112" i="71"/>
  <c r="AL17" i="71"/>
  <c r="AL49" i="71"/>
  <c r="AL163" i="71"/>
  <c r="AL93" i="71"/>
  <c r="AL102" i="71"/>
  <c r="AL36" i="71"/>
  <c r="AL23" i="71"/>
  <c r="AL38" i="71"/>
  <c r="AL146" i="71"/>
  <c r="AL135" i="71"/>
  <c r="AL105" i="71"/>
  <c r="AL69" i="71"/>
  <c r="AL8" i="71"/>
  <c r="J217" i="75"/>
  <c r="I217" i="75"/>
  <c r="J386" i="75"/>
  <c r="I386" i="75"/>
  <c r="K44" i="101"/>
  <c r="H16" i="69"/>
  <c r="K16" i="69" s="1"/>
  <c r="AH126" i="71" s="1"/>
  <c r="AP51" i="71"/>
  <c r="M35" i="64"/>
  <c r="I55" i="101"/>
  <c r="I17" i="101"/>
  <c r="J243" i="75"/>
  <c r="J256" i="75"/>
  <c r="AN78" i="71"/>
  <c r="M23" i="64"/>
  <c r="I83" i="75"/>
  <c r="I161" i="75"/>
  <c r="AL86" i="71"/>
  <c r="AL76" i="71"/>
  <c r="AL156" i="71"/>
  <c r="AN12" i="71"/>
  <c r="AN135" i="71"/>
  <c r="AP11" i="71"/>
  <c r="AP116" i="71"/>
  <c r="J28" i="101"/>
  <c r="I230" i="75"/>
  <c r="J230" i="75"/>
  <c r="AL47" i="71"/>
  <c r="I156" i="75"/>
  <c r="K17" i="101"/>
  <c r="J193" i="75"/>
  <c r="AP90" i="71"/>
  <c r="AN161" i="71"/>
  <c r="AL95" i="71"/>
  <c r="J54" i="101"/>
  <c r="AL117" i="71"/>
  <c r="AL113" i="71"/>
  <c r="AL60" i="71"/>
  <c r="I267" i="75"/>
  <c r="AN145" i="71"/>
  <c r="AN106" i="71"/>
  <c r="AP79" i="71"/>
  <c r="AP108" i="71"/>
  <c r="I28" i="101"/>
  <c r="J21" i="75"/>
  <c r="J213" i="75"/>
  <c r="M87" i="101"/>
  <c r="J278" i="75"/>
  <c r="I278" i="75"/>
  <c r="I307" i="75"/>
  <c r="J307" i="75"/>
  <c r="I130" i="75"/>
  <c r="J130" i="75"/>
  <c r="AD7" i="71"/>
  <c r="I48" i="101"/>
  <c r="J274" i="75"/>
  <c r="J48" i="101"/>
  <c r="F54" i="75"/>
  <c r="K13" i="101" s="1"/>
  <c r="I159" i="75"/>
  <c r="K48" i="101"/>
  <c r="F56" i="75"/>
  <c r="I56" i="75" s="1"/>
  <c r="I335" i="75"/>
  <c r="K55" i="101"/>
  <c r="I84" i="75"/>
  <c r="AP157" i="71"/>
  <c r="R150" i="1"/>
  <c r="AN130" i="71"/>
  <c r="L24" i="64"/>
  <c r="I102" i="75"/>
  <c r="AL134" i="71"/>
  <c r="I152" i="75"/>
  <c r="K63" i="101"/>
  <c r="AL58" i="71"/>
  <c r="AL55" i="71"/>
  <c r="AL127" i="71"/>
  <c r="J267" i="75"/>
  <c r="AN26" i="71"/>
  <c r="AN160" i="71"/>
  <c r="AN57" i="71"/>
  <c r="AP57" i="71"/>
  <c r="AP73" i="71"/>
  <c r="I121" i="75"/>
  <c r="I389" i="75"/>
  <c r="J389" i="75"/>
  <c r="I286" i="75"/>
  <c r="J286" i="75"/>
  <c r="I157" i="75"/>
  <c r="AK7" i="71"/>
  <c r="AN152" i="71"/>
  <c r="M24" i="64"/>
  <c r="AL155" i="71"/>
  <c r="AL142" i="71"/>
  <c r="AN91" i="71"/>
  <c r="AN70" i="71"/>
  <c r="AN40" i="71"/>
  <c r="AP167" i="71"/>
  <c r="J308" i="75"/>
  <c r="I308" i="75"/>
  <c r="M17" i="64"/>
  <c r="I339" i="75"/>
  <c r="L17" i="64"/>
  <c r="J339" i="75"/>
  <c r="J226" i="75"/>
  <c r="I226" i="75"/>
  <c r="J90" i="75"/>
  <c r="I90" i="75"/>
  <c r="J303" i="75"/>
  <c r="I303" i="75"/>
  <c r="I154" i="75"/>
  <c r="J154" i="75"/>
  <c r="AP9" i="71"/>
  <c r="AP71" i="71"/>
  <c r="AP161" i="71"/>
  <c r="AP136" i="71"/>
  <c r="AP85" i="71"/>
  <c r="AP45" i="71"/>
  <c r="AP165" i="71"/>
  <c r="AP133" i="71"/>
  <c r="AP140" i="71"/>
  <c r="AP130" i="71"/>
  <c r="AP137" i="71"/>
  <c r="AP135" i="71"/>
  <c r="AP24" i="71"/>
  <c r="AP120" i="71"/>
  <c r="AP65" i="71"/>
  <c r="AP169" i="71"/>
  <c r="AP105" i="71"/>
  <c r="AP33" i="71"/>
  <c r="AP147" i="71"/>
  <c r="AP98" i="71"/>
  <c r="AP106" i="71"/>
  <c r="AP32" i="71"/>
  <c r="AP132" i="71"/>
  <c r="AP50" i="71"/>
  <c r="AP91" i="71"/>
  <c r="AP67" i="71"/>
  <c r="AP43" i="71"/>
  <c r="AP19" i="71"/>
  <c r="AP94" i="71"/>
  <c r="AP70" i="71"/>
  <c r="AP8" i="71"/>
  <c r="AP89" i="71"/>
  <c r="AP36" i="71"/>
  <c r="AP78" i="71"/>
  <c r="AP44" i="71"/>
  <c r="AP97" i="71"/>
  <c r="AP26" i="71"/>
  <c r="AP96" i="71"/>
  <c r="AP170" i="71"/>
  <c r="AP160" i="71"/>
  <c r="AP143" i="71"/>
  <c r="AP88" i="71"/>
  <c r="AP75" i="71"/>
  <c r="AP139" i="71"/>
  <c r="AP49" i="71"/>
  <c r="AP126" i="71"/>
  <c r="AP81" i="71"/>
  <c r="AP72" i="71"/>
  <c r="AP162" i="71"/>
  <c r="AP29" i="71"/>
  <c r="AP80" i="71"/>
  <c r="AP104" i="71"/>
  <c r="AP83" i="71"/>
  <c r="AP101" i="71"/>
  <c r="AP154" i="71"/>
  <c r="AP146" i="71"/>
  <c r="AP68" i="71"/>
  <c r="AP127" i="71"/>
  <c r="AP86" i="71"/>
  <c r="AP31" i="71"/>
  <c r="AP10" i="71"/>
  <c r="AP163" i="71"/>
  <c r="AP119" i="71"/>
  <c r="AP168" i="71"/>
  <c r="AP171" i="71"/>
  <c r="AP21" i="71"/>
  <c r="AP150" i="71"/>
  <c r="AP114" i="71"/>
  <c r="AP62" i="71"/>
  <c r="AP40" i="71"/>
  <c r="AP74" i="71"/>
  <c r="AP158" i="71"/>
  <c r="AP122" i="71"/>
  <c r="AP151" i="71"/>
  <c r="AP14" i="71"/>
  <c r="AP35" i="71"/>
  <c r="AP18" i="71"/>
  <c r="AP66" i="71"/>
  <c r="AP95" i="71"/>
  <c r="AP53" i="71"/>
  <c r="AP64" i="71"/>
  <c r="AP77" i="71"/>
  <c r="AP30" i="71"/>
  <c r="J45" i="101"/>
  <c r="AP27" i="71"/>
  <c r="AP84" i="71"/>
  <c r="M8" i="64"/>
  <c r="AN96" i="71"/>
  <c r="AN55" i="71"/>
  <c r="AN17" i="71"/>
  <c r="AN125" i="71"/>
  <c r="AN31" i="71"/>
  <c r="AN74" i="71"/>
  <c r="AN43" i="71"/>
  <c r="AN79" i="71"/>
  <c r="AN27" i="71"/>
  <c r="AN84" i="71"/>
  <c r="AN73" i="71"/>
  <c r="AN119" i="71"/>
  <c r="AP113" i="71"/>
  <c r="AP115" i="71"/>
  <c r="AP117" i="71"/>
  <c r="AP22" i="71"/>
  <c r="AP123" i="71"/>
  <c r="AP149" i="71"/>
  <c r="AP82" i="71"/>
  <c r="J74" i="101"/>
  <c r="J384" i="75"/>
  <c r="K74" i="101"/>
  <c r="O152" i="71"/>
  <c r="M91" i="101"/>
  <c r="AD52" i="71"/>
  <c r="M83" i="101"/>
  <c r="AD47" i="71"/>
  <c r="I270" i="75"/>
  <c r="AN39" i="71"/>
  <c r="AD39" i="71"/>
  <c r="I155" i="75"/>
  <c r="AP25" i="71"/>
  <c r="AP46" i="71"/>
  <c r="I107" i="75"/>
  <c r="AN90" i="71"/>
  <c r="AN82" i="71"/>
  <c r="AN114" i="71"/>
  <c r="M80" i="101"/>
  <c r="AN7" i="71"/>
  <c r="AN148" i="71"/>
  <c r="AN33" i="71"/>
  <c r="AN69" i="71"/>
  <c r="AN37" i="71"/>
  <c r="AN112" i="71"/>
  <c r="AN133" i="71"/>
  <c r="AN151" i="71"/>
  <c r="AP63" i="71"/>
  <c r="AP152" i="71"/>
  <c r="AP125" i="71"/>
  <c r="AP107" i="71"/>
  <c r="AP164" i="71"/>
  <c r="AP56" i="71"/>
  <c r="AP128" i="71"/>
  <c r="I20" i="75"/>
  <c r="J97" i="75"/>
  <c r="K21" i="101"/>
  <c r="I21" i="101"/>
  <c r="K42" i="101"/>
  <c r="I200" i="75"/>
  <c r="I91" i="75"/>
  <c r="J91" i="75"/>
  <c r="J266" i="75"/>
  <c r="I266" i="75"/>
  <c r="AN47" i="71"/>
  <c r="AC48" i="71"/>
  <c r="K51" i="101"/>
  <c r="AC7" i="71"/>
  <c r="J155" i="75"/>
  <c r="AP109" i="71"/>
  <c r="AP55" i="71"/>
  <c r="J107" i="75"/>
  <c r="AN156" i="71"/>
  <c r="AN110" i="71"/>
  <c r="AN77" i="71"/>
  <c r="AN92" i="71"/>
  <c r="AN35" i="71"/>
  <c r="AN155" i="71"/>
  <c r="AN75" i="71"/>
  <c r="AN16" i="71"/>
  <c r="AN102" i="71"/>
  <c r="AN120" i="71"/>
  <c r="AN157" i="71"/>
  <c r="AN97" i="71"/>
  <c r="AP155" i="71"/>
  <c r="AP129" i="71"/>
  <c r="AP110" i="71"/>
  <c r="AP118" i="71"/>
  <c r="AP99" i="71"/>
  <c r="AP87" i="71"/>
  <c r="AP156" i="71"/>
  <c r="M84" i="101"/>
  <c r="I384" i="75"/>
  <c r="I75" i="101"/>
  <c r="J250" i="75"/>
  <c r="I250" i="75"/>
  <c r="J119" i="75"/>
  <c r="I119" i="75"/>
  <c r="AM101" i="71"/>
  <c r="AM106" i="71"/>
  <c r="AM86" i="71"/>
  <c r="AM20" i="71"/>
  <c r="AM107" i="71"/>
  <c r="AM34" i="71"/>
  <c r="AM70" i="71"/>
  <c r="AM114" i="71"/>
  <c r="AM96" i="71"/>
  <c r="AM44" i="71"/>
  <c r="AM77" i="71"/>
  <c r="AM165" i="71"/>
  <c r="AM22" i="71"/>
  <c r="AM9" i="71"/>
  <c r="AM91" i="71"/>
  <c r="AM82" i="71"/>
  <c r="AM153" i="71"/>
  <c r="AM124" i="71"/>
  <c r="AM132" i="71"/>
  <c r="AM79" i="71"/>
  <c r="AM163" i="71"/>
  <c r="AM72" i="71"/>
  <c r="AM76" i="71"/>
  <c r="AM167" i="71"/>
  <c r="AM123" i="71"/>
  <c r="AM14" i="71"/>
  <c r="AM160" i="71"/>
  <c r="AM97" i="71"/>
  <c r="AM74" i="71"/>
  <c r="AM135" i="71"/>
  <c r="AM139" i="71"/>
  <c r="AM18" i="71"/>
  <c r="AM95" i="71"/>
  <c r="AM88" i="71"/>
  <c r="AM126" i="71"/>
  <c r="AM149" i="71"/>
  <c r="AM32" i="71"/>
  <c r="AM67" i="71"/>
  <c r="AM50" i="71"/>
  <c r="AM156" i="71"/>
  <c r="AM60" i="71"/>
  <c r="AM85" i="71"/>
  <c r="AM117" i="71"/>
  <c r="AM157" i="71"/>
  <c r="AM115" i="71"/>
  <c r="AM103" i="71"/>
  <c r="AM143" i="71"/>
  <c r="AM144" i="71"/>
  <c r="AM93" i="71"/>
  <c r="AM15" i="71"/>
  <c r="AM78" i="71"/>
  <c r="AM128" i="71"/>
  <c r="AM55" i="71"/>
  <c r="AM142" i="71"/>
  <c r="AM171" i="71"/>
  <c r="AM112" i="71"/>
  <c r="AM125" i="71"/>
  <c r="AM145" i="71"/>
  <c r="AM87" i="71"/>
  <c r="AM33" i="71"/>
  <c r="AM35" i="71"/>
  <c r="AM170" i="71"/>
  <c r="AM138" i="71"/>
  <c r="AM127" i="71"/>
  <c r="AM155" i="71"/>
  <c r="AM36" i="71"/>
  <c r="AM27" i="71"/>
  <c r="AM40" i="71"/>
  <c r="AM172" i="71"/>
  <c r="AM38" i="71"/>
  <c r="AM109" i="71"/>
  <c r="AM133" i="71"/>
  <c r="AM116" i="71"/>
  <c r="AM75" i="71"/>
  <c r="AM166" i="71"/>
  <c r="AM19" i="71"/>
  <c r="AM108" i="71"/>
  <c r="AM56" i="71"/>
  <c r="AM122" i="71"/>
  <c r="AM24" i="71"/>
  <c r="AM104" i="71"/>
  <c r="AM129" i="71"/>
  <c r="AM100" i="71"/>
  <c r="AM28" i="71"/>
  <c r="AM45" i="71"/>
  <c r="AM169" i="71"/>
  <c r="AM16" i="71"/>
  <c r="AM111" i="71"/>
  <c r="AM134" i="71"/>
  <c r="AM65" i="71"/>
  <c r="AM63" i="71"/>
  <c r="AM119" i="71"/>
  <c r="AM147" i="71"/>
  <c r="AM140" i="71"/>
  <c r="AM81" i="71"/>
  <c r="AM57" i="71"/>
  <c r="AM113" i="71"/>
  <c r="AM17" i="71"/>
  <c r="AM12" i="71"/>
  <c r="AM159" i="71"/>
  <c r="AM152" i="71"/>
  <c r="AM10" i="71"/>
  <c r="AM7" i="71"/>
  <c r="AM29" i="71"/>
  <c r="AM80" i="71"/>
  <c r="AM92" i="71"/>
  <c r="AM73" i="71"/>
  <c r="AM58" i="71"/>
  <c r="AM23" i="71"/>
  <c r="AM31" i="71"/>
  <c r="AM141" i="71"/>
  <c r="AM118" i="71"/>
  <c r="AM94" i="71"/>
  <c r="AM68" i="71"/>
  <c r="AM11" i="71"/>
  <c r="AM121" i="71"/>
  <c r="AM83" i="71"/>
  <c r="AM148" i="71"/>
  <c r="AM99" i="71"/>
  <c r="AM46" i="71"/>
  <c r="AM130" i="71"/>
  <c r="AM154" i="71"/>
  <c r="AM151" i="71"/>
  <c r="AM161" i="71"/>
  <c r="AM30" i="71"/>
  <c r="AM62" i="71"/>
  <c r="AM71" i="71"/>
  <c r="AM162" i="71"/>
  <c r="AM105" i="71"/>
  <c r="AM120" i="71"/>
  <c r="AM54" i="71"/>
  <c r="AM90" i="71"/>
  <c r="AM37" i="71"/>
  <c r="AM43" i="71"/>
  <c r="AM8" i="71"/>
  <c r="AM59" i="71"/>
  <c r="AM69" i="71"/>
  <c r="AM131" i="71"/>
  <c r="AM168" i="71"/>
  <c r="AM150" i="71"/>
  <c r="AM146" i="71"/>
  <c r="AM13" i="71"/>
  <c r="AM98" i="71"/>
  <c r="AM102" i="71"/>
  <c r="AM137" i="71"/>
  <c r="AM61" i="71"/>
  <c r="J138" i="75"/>
  <c r="AP47" i="71"/>
  <c r="J51" i="101"/>
  <c r="AP39" i="71"/>
  <c r="K45" i="101"/>
  <c r="AP59" i="71"/>
  <c r="AP172" i="71"/>
  <c r="AN101" i="71"/>
  <c r="AN89" i="71"/>
  <c r="AN99" i="71"/>
  <c r="I101" i="75"/>
  <c r="AM66" i="71"/>
  <c r="AN124" i="71"/>
  <c r="AN28" i="71"/>
  <c r="AN142" i="71"/>
  <c r="AN87" i="71"/>
  <c r="AN65" i="71"/>
  <c r="AN9" i="71"/>
  <c r="AN94" i="71"/>
  <c r="AN14" i="71"/>
  <c r="AN109" i="71"/>
  <c r="AP103" i="71"/>
  <c r="AP34" i="71"/>
  <c r="AP28" i="71"/>
  <c r="AP23" i="71"/>
  <c r="AP138" i="71"/>
  <c r="AP134" i="71"/>
  <c r="AP61" i="71"/>
  <c r="AP144" i="71"/>
  <c r="J75" i="101"/>
  <c r="J251" i="75"/>
  <c r="I251" i="75"/>
  <c r="I128" i="75"/>
  <c r="J128" i="75"/>
  <c r="J49" i="101"/>
  <c r="I142" i="75"/>
  <c r="I49" i="101"/>
  <c r="J142" i="75"/>
  <c r="K49" i="101"/>
  <c r="O154" i="71"/>
  <c r="M89" i="101"/>
  <c r="I292" i="75"/>
  <c r="J292" i="75"/>
  <c r="AC52" i="71"/>
  <c r="H144" i="1"/>
  <c r="AN48" i="71"/>
  <c r="AP48" i="71"/>
  <c r="I171" i="75"/>
  <c r="AP112" i="71"/>
  <c r="AP13" i="71"/>
  <c r="J22" i="102"/>
  <c r="J276" i="75"/>
  <c r="AN98" i="71"/>
  <c r="AN45" i="71"/>
  <c r="AN100" i="71"/>
  <c r="K22" i="101"/>
  <c r="I381" i="75"/>
  <c r="AM164" i="71"/>
  <c r="AN15" i="71"/>
  <c r="AN38" i="71"/>
  <c r="AN13" i="71"/>
  <c r="AN167" i="71"/>
  <c r="AN60" i="71"/>
  <c r="AN115" i="71"/>
  <c r="AN36" i="71"/>
  <c r="AN30" i="71"/>
  <c r="AN162" i="71"/>
  <c r="AP153" i="71"/>
  <c r="AP131" i="71"/>
  <c r="AP141" i="71"/>
  <c r="AP92" i="71"/>
  <c r="AP166" i="71"/>
  <c r="AP148" i="71"/>
  <c r="AP142" i="71"/>
  <c r="AP121" i="71"/>
  <c r="AM26" i="71"/>
  <c r="I118" i="75"/>
  <c r="J20" i="75"/>
  <c r="I383" i="75"/>
  <c r="J383" i="75"/>
  <c r="AN52" i="71"/>
  <c r="M82" i="101"/>
  <c r="AN51" i="71"/>
  <c r="J234" i="75"/>
  <c r="AP159" i="71"/>
  <c r="AP60" i="71"/>
  <c r="AN49" i="71"/>
  <c r="AN54" i="71"/>
  <c r="AN144" i="71"/>
  <c r="AN58" i="71"/>
  <c r="AN20" i="71"/>
  <c r="AN136" i="71"/>
  <c r="AN166" i="71"/>
  <c r="AN121" i="71"/>
  <c r="AN105" i="71"/>
  <c r="AN134" i="71"/>
  <c r="AN72" i="71"/>
  <c r="AP124" i="71"/>
  <c r="AP17" i="71"/>
  <c r="AP38" i="71"/>
  <c r="AP76" i="71"/>
  <c r="AP69" i="71"/>
  <c r="AP16" i="71"/>
  <c r="AP54" i="71"/>
  <c r="AP100" i="71"/>
  <c r="J200" i="75"/>
  <c r="M81" i="101"/>
  <c r="I199" i="75"/>
  <c r="J199" i="75"/>
  <c r="I317" i="75"/>
  <c r="J317" i="75"/>
  <c r="O21" i="71"/>
  <c r="P27" i="140" s="1"/>
  <c r="M88" i="101"/>
  <c r="J368" i="75"/>
  <c r="I368" i="75"/>
  <c r="I277" i="75"/>
  <c r="J277" i="75"/>
  <c r="K29" i="101"/>
  <c r="I140" i="75"/>
  <c r="J140" i="75"/>
  <c r="J29" i="101"/>
  <c r="I29" i="101"/>
  <c r="K16" i="101"/>
  <c r="I16" i="101"/>
  <c r="J16" i="101"/>
  <c r="J85" i="75"/>
  <c r="I85" i="75"/>
  <c r="J235" i="75"/>
  <c r="I235" i="75"/>
  <c r="I82" i="75"/>
  <c r="J82" i="75"/>
  <c r="M7" i="64"/>
  <c r="L7" i="64"/>
  <c r="I176" i="75"/>
  <c r="J176" i="75"/>
  <c r="J357" i="75"/>
  <c r="I357" i="75"/>
  <c r="AB47" i="71"/>
  <c r="J40" i="75"/>
  <c r="J87" i="75"/>
  <c r="I87" i="75"/>
  <c r="J262" i="75"/>
  <c r="I262" i="75"/>
  <c r="I353" i="75"/>
  <c r="J353" i="75"/>
  <c r="I86" i="75"/>
  <c r="J86" i="75"/>
  <c r="J229" i="75"/>
  <c r="I229" i="75"/>
  <c r="J175" i="75"/>
  <c r="I175" i="75"/>
  <c r="J70" i="101"/>
  <c r="J355" i="75"/>
  <c r="J71" i="101"/>
  <c r="I355" i="75"/>
  <c r="I70" i="101"/>
  <c r="K70" i="101"/>
  <c r="K71" i="101"/>
  <c r="I71" i="101"/>
  <c r="I261" i="75"/>
  <c r="J261" i="75"/>
  <c r="I242" i="75"/>
  <c r="J242" i="75"/>
  <c r="I177" i="75"/>
  <c r="J177" i="75"/>
  <c r="J350" i="75"/>
  <c r="I350" i="75"/>
  <c r="I89" i="75"/>
  <c r="J89" i="75"/>
  <c r="J372" i="75"/>
  <c r="I372" i="75"/>
  <c r="F46" i="75"/>
  <c r="J46" i="75" s="1"/>
  <c r="J271" i="75"/>
  <c r="I271" i="75"/>
  <c r="J390" i="75"/>
  <c r="I390" i="75"/>
  <c r="J352" i="75"/>
  <c r="I352" i="75"/>
  <c r="I232" i="75"/>
  <c r="J232" i="75"/>
  <c r="J99" i="75"/>
  <c r="I99" i="75"/>
  <c r="I190" i="75"/>
  <c r="J190" i="75"/>
  <c r="AG64" i="71"/>
  <c r="AG145" i="71"/>
  <c r="AG69" i="71"/>
  <c r="AG151" i="71"/>
  <c r="AG127" i="71"/>
  <c r="AG38" i="71"/>
  <c r="AG36" i="71"/>
  <c r="AG147" i="71"/>
  <c r="AG87" i="71"/>
  <c r="AG94" i="71"/>
  <c r="AG160" i="71"/>
  <c r="AG134" i="71"/>
  <c r="AG31" i="71"/>
  <c r="AG166" i="71"/>
  <c r="AG56" i="71"/>
  <c r="AG153" i="71"/>
  <c r="AG45" i="71"/>
  <c r="AG110" i="71"/>
  <c r="AG130" i="71"/>
  <c r="AG132" i="71"/>
  <c r="AG150" i="71"/>
  <c r="AG74" i="71"/>
  <c r="AG78" i="71"/>
  <c r="AG21" i="71"/>
  <c r="AG133" i="71"/>
  <c r="AG155" i="71"/>
  <c r="AG124" i="71"/>
  <c r="AG46" i="71"/>
  <c r="AG33" i="71"/>
  <c r="AG136" i="71"/>
  <c r="AG148" i="71"/>
  <c r="AG8" i="71"/>
  <c r="AG109" i="71"/>
  <c r="AG60" i="71"/>
  <c r="AG49" i="71"/>
  <c r="AG17" i="71"/>
  <c r="AG18" i="71"/>
  <c r="AG121" i="71"/>
  <c r="AG112" i="71"/>
  <c r="AG88" i="71"/>
  <c r="AG96" i="71"/>
  <c r="AG103" i="71"/>
  <c r="AG139" i="71"/>
  <c r="AG113" i="71"/>
  <c r="AG30" i="71"/>
  <c r="AG62" i="71"/>
  <c r="AG9" i="71"/>
  <c r="AG23" i="71"/>
  <c r="AG149" i="71"/>
  <c r="AG141" i="71"/>
  <c r="AG116" i="71"/>
  <c r="AG34" i="71"/>
  <c r="AG123" i="71"/>
  <c r="AG90" i="71"/>
  <c r="AG61" i="71"/>
  <c r="AG14" i="71"/>
  <c r="AG15" i="71"/>
  <c r="AG58" i="71"/>
  <c r="AG92" i="71"/>
  <c r="AG22" i="71"/>
  <c r="AG102" i="71"/>
  <c r="AG126" i="71"/>
  <c r="AG170" i="71"/>
  <c r="AG68" i="71"/>
  <c r="AG163" i="71"/>
  <c r="AG63" i="71"/>
  <c r="AG100" i="71"/>
  <c r="AG168" i="71"/>
  <c r="AG101" i="71"/>
  <c r="AG137" i="71"/>
  <c r="AG81" i="71"/>
  <c r="AG55" i="71"/>
  <c r="AG152" i="71"/>
  <c r="AG16" i="71"/>
  <c r="AG72" i="71"/>
  <c r="AG129" i="71"/>
  <c r="AG159" i="71"/>
  <c r="AG66" i="71"/>
  <c r="AG13" i="71"/>
  <c r="AG54" i="71"/>
  <c r="AG53" i="71"/>
  <c r="AG24" i="71"/>
  <c r="AG77" i="71"/>
  <c r="AG119" i="71"/>
  <c r="AG142" i="71"/>
  <c r="AG172" i="71"/>
  <c r="AG20" i="71"/>
  <c r="AG171" i="71"/>
  <c r="AG11" i="71"/>
  <c r="AG105" i="71"/>
  <c r="AG71" i="71"/>
  <c r="AG158" i="71"/>
  <c r="AG59" i="71"/>
  <c r="AG162" i="71"/>
  <c r="AG111" i="71"/>
  <c r="AG140" i="71"/>
  <c r="AG161" i="71"/>
  <c r="AG114" i="71"/>
  <c r="AG115" i="71"/>
  <c r="AG120" i="71"/>
  <c r="AG35" i="71"/>
  <c r="AG19" i="71"/>
  <c r="AG138" i="71"/>
  <c r="AG89" i="71"/>
  <c r="AG29" i="71"/>
  <c r="AG32" i="71"/>
  <c r="AG10" i="71"/>
  <c r="AG67" i="71"/>
  <c r="AG25" i="71"/>
  <c r="AG165" i="71"/>
  <c r="AG70" i="71"/>
  <c r="AG28" i="71"/>
  <c r="AG156" i="71"/>
  <c r="AG125" i="71"/>
  <c r="AG40" i="71"/>
  <c r="AG75" i="71"/>
  <c r="AG164" i="71"/>
  <c r="AG107" i="71"/>
  <c r="AG157" i="71"/>
  <c r="AG79" i="71"/>
  <c r="AG82" i="71"/>
  <c r="AG73" i="71"/>
  <c r="AG85" i="71"/>
  <c r="AG80" i="71"/>
  <c r="AG117" i="71"/>
  <c r="AG169" i="71"/>
  <c r="AG108" i="71"/>
  <c r="AG86" i="71"/>
  <c r="AG91" i="71"/>
  <c r="AG26" i="71"/>
  <c r="AG98" i="71"/>
  <c r="AG104" i="71"/>
  <c r="AG167" i="71"/>
  <c r="AG84" i="71"/>
  <c r="AG154" i="71"/>
  <c r="AG57" i="71"/>
  <c r="AG44" i="71"/>
  <c r="AG12" i="71"/>
  <c r="AG95" i="71"/>
  <c r="AG99" i="71"/>
  <c r="AG118" i="71"/>
  <c r="AG65" i="71"/>
  <c r="AG50" i="71"/>
  <c r="AG93" i="71"/>
  <c r="AG76" i="71"/>
  <c r="AG135" i="71"/>
  <c r="AG143" i="71"/>
  <c r="AG106" i="71"/>
  <c r="AG146" i="71"/>
  <c r="AG83" i="71"/>
  <c r="AG97" i="71"/>
  <c r="AG122" i="71"/>
  <c r="AG131" i="71"/>
  <c r="AG144" i="71"/>
  <c r="AG128" i="71"/>
  <c r="AG27" i="71"/>
  <c r="AG43" i="71"/>
  <c r="AG37" i="71"/>
  <c r="J259" i="75"/>
  <c r="I259" i="75"/>
  <c r="J356" i="75"/>
  <c r="I356" i="75"/>
  <c r="I162" i="75"/>
  <c r="J162" i="75"/>
  <c r="I215" i="75"/>
  <c r="J215" i="75"/>
  <c r="AB52" i="71"/>
  <c r="H15" i="69"/>
  <c r="K15" i="69" s="1"/>
  <c r="AJ52" i="71" s="1"/>
  <c r="K43" i="101"/>
  <c r="J110" i="75"/>
  <c r="K38" i="101"/>
  <c r="J38" i="101"/>
  <c r="I141" i="75"/>
  <c r="J141" i="75"/>
  <c r="I38" i="101"/>
  <c r="J269" i="75"/>
  <c r="I269" i="75"/>
  <c r="I61" i="75"/>
  <c r="J61" i="75"/>
  <c r="I314" i="75"/>
  <c r="J314" i="75"/>
  <c r="J221" i="75"/>
  <c r="I221" i="75"/>
  <c r="I60" i="75"/>
  <c r="J60" i="75"/>
  <c r="I360" i="75"/>
  <c r="J360" i="75"/>
  <c r="J111" i="75"/>
  <c r="I26" i="101"/>
  <c r="K26" i="101"/>
  <c r="I111" i="75"/>
  <c r="J26" i="101"/>
  <c r="E41" i="175"/>
  <c r="J41" i="175" s="1"/>
  <c r="G284" i="149" s="1"/>
  <c r="F247" i="146" s="1"/>
  <c r="J247" i="146" s="1"/>
  <c r="F45" i="75"/>
  <c r="J45" i="75" s="1"/>
  <c r="I160" i="75"/>
  <c r="I145" i="75"/>
  <c r="J145" i="75"/>
  <c r="I228" i="75"/>
  <c r="J228" i="75"/>
  <c r="I53" i="101"/>
  <c r="J201" i="75"/>
  <c r="K53" i="101"/>
  <c r="I201" i="75"/>
  <c r="J53" i="101"/>
  <c r="J209" i="75"/>
  <c r="I209" i="75"/>
  <c r="J306" i="75"/>
  <c r="I306" i="75"/>
  <c r="J385" i="75"/>
  <c r="I385" i="75"/>
  <c r="AD104" i="71"/>
  <c r="AD30" i="71"/>
  <c r="AD70" i="71"/>
  <c r="AD40" i="71"/>
  <c r="AD22" i="71"/>
  <c r="AD129" i="71"/>
  <c r="AD84" i="71"/>
  <c r="AD89" i="71"/>
  <c r="AD13" i="71"/>
  <c r="AD94" i="71"/>
  <c r="AD171" i="71"/>
  <c r="AD170" i="71"/>
  <c r="AD126" i="71"/>
  <c r="AD117" i="71"/>
  <c r="AD140" i="71"/>
  <c r="AD155" i="71"/>
  <c r="AD160" i="71"/>
  <c r="AD11" i="71"/>
  <c r="AD65" i="71"/>
  <c r="AD25" i="71"/>
  <c r="AD91" i="71"/>
  <c r="AD130" i="71"/>
  <c r="AD164" i="71"/>
  <c r="AD162" i="71"/>
  <c r="AD79" i="71"/>
  <c r="AD112" i="71"/>
  <c r="AD49" i="71"/>
  <c r="AD138" i="71"/>
  <c r="AD61" i="71"/>
  <c r="AD73" i="71"/>
  <c r="AD168" i="71"/>
  <c r="AD88" i="71"/>
  <c r="AD69" i="71"/>
  <c r="AD87" i="71"/>
  <c r="AD108" i="71"/>
  <c r="AD149" i="71"/>
  <c r="AD134" i="71"/>
  <c r="AD107" i="71"/>
  <c r="AD100" i="71"/>
  <c r="AD76" i="71"/>
  <c r="AD102" i="71"/>
  <c r="AD114" i="71"/>
  <c r="AD116" i="71"/>
  <c r="AD72" i="71"/>
  <c r="AD119" i="71"/>
  <c r="AD75" i="71"/>
  <c r="AD26" i="71"/>
  <c r="AD54" i="71"/>
  <c r="AD35" i="71"/>
  <c r="AD97" i="71"/>
  <c r="AD8" i="71"/>
  <c r="AD71" i="71"/>
  <c r="AD115" i="71"/>
  <c r="AD74" i="71"/>
  <c r="AD133" i="71"/>
  <c r="AD150" i="71"/>
  <c r="AD92" i="71"/>
  <c r="AD139" i="71"/>
  <c r="AD99" i="71"/>
  <c r="AD37" i="71"/>
  <c r="AD27" i="71"/>
  <c r="AD64" i="71"/>
  <c r="AD137" i="71"/>
  <c r="AD86" i="71"/>
  <c r="AD62" i="71"/>
  <c r="AD172" i="71"/>
  <c r="AD85" i="71"/>
  <c r="AD156" i="71"/>
  <c r="AD142" i="71"/>
  <c r="AD17" i="71"/>
  <c r="AD57" i="71"/>
  <c r="AD53" i="71"/>
  <c r="AD45" i="71"/>
  <c r="AD165" i="71"/>
  <c r="AD166" i="71"/>
  <c r="AD153" i="71"/>
  <c r="AD21" i="71"/>
  <c r="AD118" i="71"/>
  <c r="AD147" i="71"/>
  <c r="AD16" i="71"/>
  <c r="AD43" i="71"/>
  <c r="AD60" i="71"/>
  <c r="AD68" i="71"/>
  <c r="AD82" i="71"/>
  <c r="AD109" i="71"/>
  <c r="AD9" i="71"/>
  <c r="AD105" i="71"/>
  <c r="AD81" i="71"/>
  <c r="AD125" i="71"/>
  <c r="AD113" i="71"/>
  <c r="AD18" i="71"/>
  <c r="AD103" i="71"/>
  <c r="AD146" i="71"/>
  <c r="AD163" i="71"/>
  <c r="AD120" i="71"/>
  <c r="AD136" i="71"/>
  <c r="AD20" i="71"/>
  <c r="AD122" i="71"/>
  <c r="AD135" i="71"/>
  <c r="AD36" i="71"/>
  <c r="AD15" i="71"/>
  <c r="AD50" i="71"/>
  <c r="AD127" i="71"/>
  <c r="AD148" i="71"/>
  <c r="AD58" i="71"/>
  <c r="AD158" i="71"/>
  <c r="AD128" i="71"/>
  <c r="AD110" i="71"/>
  <c r="AD106" i="71"/>
  <c r="AD169" i="71"/>
  <c r="AD131" i="71"/>
  <c r="AD154" i="71"/>
  <c r="AD10" i="71"/>
  <c r="AD157" i="71"/>
  <c r="AD93" i="71"/>
  <c r="AD33" i="71"/>
  <c r="AD144" i="71"/>
  <c r="AD63" i="71"/>
  <c r="AD90" i="71"/>
  <c r="AD121" i="71"/>
  <c r="AD34" i="71"/>
  <c r="AD111" i="71"/>
  <c r="AD167" i="71"/>
  <c r="AD78" i="71"/>
  <c r="AD12" i="71"/>
  <c r="AD55" i="71"/>
  <c r="AD32" i="71"/>
  <c r="AD123" i="71"/>
  <c r="AD24" i="71"/>
  <c r="AD80" i="71"/>
  <c r="AD101" i="71"/>
  <c r="AD159" i="71"/>
  <c r="AD151" i="71"/>
  <c r="AD145" i="71"/>
  <c r="AD141" i="71"/>
  <c r="AD96" i="71"/>
  <c r="AD38" i="71"/>
  <c r="AD161" i="71"/>
  <c r="AD59" i="71"/>
  <c r="AD83" i="71"/>
  <c r="AD48" i="71"/>
  <c r="AD29" i="71"/>
  <c r="AD23" i="71"/>
  <c r="AD132" i="71"/>
  <c r="AD66" i="71"/>
  <c r="AD28" i="71"/>
  <c r="AD152" i="71"/>
  <c r="AD31" i="71"/>
  <c r="AD56" i="71"/>
  <c r="AD124" i="71"/>
  <c r="AD95" i="71"/>
  <c r="AD67" i="71"/>
  <c r="AD143" i="71"/>
  <c r="AD19" i="71"/>
  <c r="AD77" i="71"/>
  <c r="AD98" i="71"/>
  <c r="AD46" i="71"/>
  <c r="AD44" i="71"/>
  <c r="AD14" i="71"/>
  <c r="J197" i="75"/>
  <c r="I197" i="75"/>
  <c r="J281" i="75"/>
  <c r="I281" i="75"/>
  <c r="J62" i="101"/>
  <c r="I62" i="101"/>
  <c r="J258" i="75"/>
  <c r="K62" i="101"/>
  <c r="I258" i="75"/>
  <c r="I58" i="75"/>
  <c r="J58" i="75"/>
  <c r="J81" i="75"/>
  <c r="I81" i="75"/>
  <c r="J123" i="75"/>
  <c r="I123" i="75"/>
  <c r="F44" i="75"/>
  <c r="K10" i="101" s="1"/>
  <c r="I43" i="101"/>
  <c r="I112" i="75"/>
  <c r="J112" i="75"/>
  <c r="AC94" i="71"/>
  <c r="AC69" i="71"/>
  <c r="AC127" i="71"/>
  <c r="AC59" i="71"/>
  <c r="AC150" i="71"/>
  <c r="AC74" i="71"/>
  <c r="AC144" i="71"/>
  <c r="AC78" i="71"/>
  <c r="AC107" i="71"/>
  <c r="AC58" i="71"/>
  <c r="AC86" i="71"/>
  <c r="AC167" i="71"/>
  <c r="AC91" i="71"/>
  <c r="AC154" i="71"/>
  <c r="AC165" i="71"/>
  <c r="AC115" i="71"/>
  <c r="AC71" i="71"/>
  <c r="AC79" i="71"/>
  <c r="AC77" i="71"/>
  <c r="AC53" i="71"/>
  <c r="AC90" i="71"/>
  <c r="AC168" i="71"/>
  <c r="AC169" i="71"/>
  <c r="AC87" i="71"/>
  <c r="AC161" i="71"/>
  <c r="AC75" i="71"/>
  <c r="AC118" i="71"/>
  <c r="AC12" i="71"/>
  <c r="AC60" i="71"/>
  <c r="AC110" i="71"/>
  <c r="AC37" i="71"/>
  <c r="AC100" i="71"/>
  <c r="AC65" i="71"/>
  <c r="AC130" i="71"/>
  <c r="AC138" i="71"/>
  <c r="AC125" i="71"/>
  <c r="AC164" i="71"/>
  <c r="AC158" i="71"/>
  <c r="AC10" i="71"/>
  <c r="AC122" i="71"/>
  <c r="AC63" i="71"/>
  <c r="AC54" i="71"/>
  <c r="AC17" i="71"/>
  <c r="AC139" i="71"/>
  <c r="AC146" i="71"/>
  <c r="AC83" i="71"/>
  <c r="AC14" i="71"/>
  <c r="AC92" i="71"/>
  <c r="AC133" i="71"/>
  <c r="AC35" i="71"/>
  <c r="AC39" i="71"/>
  <c r="AC43" i="71"/>
  <c r="AC72" i="71"/>
  <c r="AC33" i="71"/>
  <c r="AC31" i="71"/>
  <c r="AC18" i="71"/>
  <c r="AC13" i="71"/>
  <c r="AC21" i="71"/>
  <c r="AC22" i="71"/>
  <c r="AC142" i="71"/>
  <c r="AC47" i="71"/>
  <c r="AC156" i="71"/>
  <c r="AC112" i="71"/>
  <c r="AC117" i="71"/>
  <c r="AC81" i="71"/>
  <c r="AC162" i="71"/>
  <c r="AC84" i="71"/>
  <c r="AC157" i="71"/>
  <c r="AC103" i="71"/>
  <c r="AC73" i="71"/>
  <c r="AC145" i="71"/>
  <c r="AC155" i="71"/>
  <c r="AC135" i="71"/>
  <c r="AC170" i="71"/>
  <c r="AC56" i="71"/>
  <c r="AC171" i="71"/>
  <c r="AC98" i="71"/>
  <c r="AC57" i="71"/>
  <c r="AC101" i="71"/>
  <c r="AC16" i="71"/>
  <c r="AC66" i="71"/>
  <c r="AC151" i="71"/>
  <c r="AC147" i="71"/>
  <c r="AC50" i="71"/>
  <c r="AC129" i="71"/>
  <c r="AC159" i="71"/>
  <c r="AC96" i="71"/>
  <c r="AC61" i="71"/>
  <c r="AC68" i="71"/>
  <c r="AC136" i="71"/>
  <c r="AC123" i="71"/>
  <c r="AC97" i="71"/>
  <c r="AC108" i="71"/>
  <c r="AC140" i="71"/>
  <c r="AC8" i="71"/>
  <c r="AC141" i="71"/>
  <c r="AC105" i="71"/>
  <c r="AC120" i="71"/>
  <c r="AC30" i="71"/>
  <c r="AC70" i="71"/>
  <c r="AC46" i="71"/>
  <c r="AC126" i="71"/>
  <c r="AC153" i="71"/>
  <c r="AC80" i="71"/>
  <c r="AC102" i="71"/>
  <c r="AC40" i="71"/>
  <c r="AC116" i="71"/>
  <c r="AC134" i="71"/>
  <c r="AC132" i="71"/>
  <c r="AC34" i="71"/>
  <c r="AC160" i="71"/>
  <c r="AC85" i="71"/>
  <c r="AC124" i="71"/>
  <c r="AC152" i="71"/>
  <c r="AC121" i="71"/>
  <c r="AC88" i="71"/>
  <c r="AC32" i="71"/>
  <c r="AC111" i="71"/>
  <c r="AC137" i="71"/>
  <c r="AC44" i="71"/>
  <c r="AC15" i="71"/>
  <c r="AC20" i="71"/>
  <c r="AC26" i="71"/>
  <c r="AC114" i="71"/>
  <c r="AC148" i="71"/>
  <c r="AC24" i="71"/>
  <c r="AC95" i="71"/>
  <c r="AC89" i="71"/>
  <c r="AC62" i="71"/>
  <c r="AC166" i="71"/>
  <c r="AC82" i="71"/>
  <c r="AC64" i="71"/>
  <c r="AC131" i="71"/>
  <c r="AC113" i="71"/>
  <c r="AC29" i="71"/>
  <c r="AC36" i="71"/>
  <c r="AC163" i="71"/>
  <c r="AC49" i="71"/>
  <c r="AC23" i="71"/>
  <c r="AC109" i="71"/>
  <c r="AC25" i="71"/>
  <c r="AC55" i="71"/>
  <c r="AC172" i="71"/>
  <c r="AC45" i="71"/>
  <c r="AC67" i="71"/>
  <c r="AC99" i="71"/>
  <c r="AC11" i="71"/>
  <c r="AC38" i="71"/>
  <c r="AC28" i="71"/>
  <c r="AC76" i="71"/>
  <c r="AC93" i="71"/>
  <c r="AC19" i="71"/>
  <c r="AC149" i="71"/>
  <c r="AC143" i="71"/>
  <c r="AC106" i="71"/>
  <c r="AC27" i="71"/>
  <c r="AC9" i="71"/>
  <c r="AC104" i="71"/>
  <c r="AC128" i="71"/>
  <c r="AC119" i="71"/>
  <c r="J179" i="75"/>
  <c r="I179" i="75"/>
  <c r="I297" i="75"/>
  <c r="J297" i="75"/>
  <c r="K37" i="101"/>
  <c r="I207" i="75"/>
  <c r="J207" i="75"/>
  <c r="I37" i="101"/>
  <c r="J37" i="101"/>
  <c r="J380" i="75"/>
  <c r="K73" i="101"/>
  <c r="J73" i="101"/>
  <c r="I73" i="101"/>
  <c r="I380" i="75"/>
  <c r="J305" i="75"/>
  <c r="I305" i="75"/>
  <c r="AN61" i="71"/>
  <c r="AN164" i="71"/>
  <c r="AN127" i="71"/>
  <c r="AN169" i="71"/>
  <c r="AN34" i="71"/>
  <c r="AN126" i="71"/>
  <c r="AN118" i="71"/>
  <c r="AN63" i="71"/>
  <c r="AN18" i="71"/>
  <c r="AN116" i="71"/>
  <c r="AN117" i="71"/>
  <c r="AN53" i="71"/>
  <c r="AN107" i="71"/>
  <c r="AN171" i="71"/>
  <c r="AN80" i="71"/>
  <c r="AN23" i="71"/>
  <c r="AN128" i="71"/>
  <c r="AN50" i="71"/>
  <c r="AN76" i="71"/>
  <c r="AN11" i="71"/>
  <c r="AN149" i="71"/>
  <c r="AN139" i="71"/>
  <c r="AN46" i="71"/>
  <c r="AN95" i="71"/>
  <c r="AN150" i="71"/>
  <c r="AN104" i="71"/>
  <c r="AN19" i="71"/>
  <c r="AN32" i="71"/>
  <c r="AN159" i="71"/>
  <c r="AN81" i="71"/>
  <c r="AN140" i="71"/>
  <c r="AN132" i="71"/>
  <c r="AN56" i="71"/>
  <c r="AN10" i="71"/>
  <c r="AN111" i="71"/>
  <c r="AN170" i="71"/>
  <c r="AN165" i="71"/>
  <c r="AN158" i="71"/>
  <c r="AN8" i="71"/>
  <c r="AN113" i="71"/>
  <c r="AN154" i="71"/>
  <c r="AN64" i="71"/>
  <c r="AN147" i="71"/>
  <c r="AN44" i="71"/>
  <c r="AN123" i="71"/>
  <c r="AN85" i="71"/>
  <c r="AN86" i="71"/>
  <c r="AN168" i="71"/>
  <c r="AN25" i="71"/>
  <c r="AN71" i="71"/>
  <c r="AN29" i="71"/>
  <c r="AN172" i="71"/>
  <c r="AN137" i="71"/>
  <c r="AN67" i="71"/>
  <c r="AN146" i="71"/>
  <c r="AN141" i="71"/>
  <c r="AN103" i="71"/>
  <c r="AN59" i="71"/>
  <c r="AN93" i="71"/>
  <c r="AN129" i="71"/>
  <c r="AN138" i="71"/>
  <c r="AN22" i="71"/>
  <c r="J195" i="75"/>
  <c r="I195" i="75"/>
  <c r="I359" i="75"/>
  <c r="J359" i="75"/>
  <c r="I114" i="75"/>
  <c r="J114" i="75"/>
  <c r="F7" i="167"/>
  <c r="I7" i="167" s="1"/>
  <c r="J299" i="75"/>
  <c r="I299" i="75"/>
  <c r="I364" i="75"/>
  <c r="J364" i="75"/>
  <c r="K33" i="101"/>
  <c r="J33" i="101"/>
  <c r="I33" i="101"/>
  <c r="J198" i="75"/>
  <c r="I198" i="75"/>
  <c r="I304" i="75"/>
  <c r="J304" i="75"/>
  <c r="J164" i="75"/>
  <c r="I164" i="75"/>
  <c r="J358" i="75"/>
  <c r="I358" i="75"/>
  <c r="J100" i="75"/>
  <c r="R108" i="1"/>
  <c r="R62" i="1"/>
  <c r="J64" i="101"/>
  <c r="D3" i="26"/>
  <c r="D5" i="26" s="1"/>
  <c r="C37" i="26" s="1"/>
  <c r="K23" i="101"/>
  <c r="K64" i="101"/>
  <c r="C3" i="26"/>
  <c r="C5" i="26" s="1"/>
  <c r="I64" i="101"/>
  <c r="I374" i="75"/>
  <c r="J374" i="75"/>
  <c r="I100" i="75"/>
  <c r="I10" i="75"/>
  <c r="J10" i="75"/>
  <c r="F12" i="75"/>
  <c r="J12" i="75" s="1"/>
  <c r="R181" i="1"/>
  <c r="J29" i="75"/>
  <c r="I29" i="75"/>
  <c r="I231" i="75"/>
  <c r="J231" i="75"/>
  <c r="I20" i="101"/>
  <c r="J96" i="75"/>
  <c r="J20" i="101"/>
  <c r="K20" i="101"/>
  <c r="I96" i="75"/>
  <c r="J43" i="75"/>
  <c r="I43" i="75"/>
  <c r="J203" i="75"/>
  <c r="I203" i="75"/>
  <c r="F35" i="75"/>
  <c r="J35" i="75" s="1"/>
  <c r="F34" i="75"/>
  <c r="I34" i="75" s="1"/>
  <c r="F30" i="75"/>
  <c r="I37" i="75"/>
  <c r="J37" i="75"/>
  <c r="AB45" i="71"/>
  <c r="AB77" i="71"/>
  <c r="AB53" i="71"/>
  <c r="AB163" i="71"/>
  <c r="H163" i="71" s="1"/>
  <c r="AB72" i="71"/>
  <c r="AB40" i="71"/>
  <c r="AB26" i="71"/>
  <c r="AB28" i="71"/>
  <c r="AB100" i="71"/>
  <c r="AB150" i="71"/>
  <c r="H150" i="71" s="1"/>
  <c r="AA150" i="71" s="1"/>
  <c r="AB38" i="71"/>
  <c r="AB9" i="71"/>
  <c r="AB166" i="71"/>
  <c r="H166" i="71" s="1"/>
  <c r="AB111" i="71"/>
  <c r="AB102" i="71"/>
  <c r="AB137" i="71"/>
  <c r="AB151" i="71"/>
  <c r="H151" i="71" s="1"/>
  <c r="AB156" i="71"/>
  <c r="H156" i="71" s="1"/>
  <c r="AB24" i="71"/>
  <c r="AB146" i="71"/>
  <c r="H146" i="71" s="1"/>
  <c r="AB143" i="71"/>
  <c r="AB99" i="71"/>
  <c r="AB57" i="71"/>
  <c r="AB55" i="71"/>
  <c r="AB23" i="71"/>
  <c r="AB71" i="71"/>
  <c r="AB54" i="71"/>
  <c r="AB81" i="71"/>
  <c r="H81" i="71" s="1"/>
  <c r="AB117" i="71"/>
  <c r="AB132" i="71"/>
  <c r="AB11" i="71"/>
  <c r="AB35" i="71"/>
  <c r="AB49" i="71"/>
  <c r="AB16" i="71"/>
  <c r="AB170" i="71"/>
  <c r="H170" i="71" s="1"/>
  <c r="I170" i="71" s="1"/>
  <c r="AB8" i="71"/>
  <c r="H8" i="71" s="1"/>
  <c r="AB94" i="71"/>
  <c r="AB78" i="71"/>
  <c r="AB123" i="71"/>
  <c r="AB160" i="71"/>
  <c r="H160" i="71" s="1"/>
  <c r="AB14" i="71"/>
  <c r="AB88" i="71"/>
  <c r="AB59" i="71"/>
  <c r="AB82" i="71"/>
  <c r="H82" i="71" s="1"/>
  <c r="AA82" i="71" s="1"/>
  <c r="AB126" i="71"/>
  <c r="AB43" i="71"/>
  <c r="AB74" i="71"/>
  <c r="AB159" i="71"/>
  <c r="H159" i="71" s="1"/>
  <c r="AB73" i="71"/>
  <c r="AB115" i="71"/>
  <c r="AB32" i="71"/>
  <c r="AB145" i="71"/>
  <c r="H145" i="71" s="1"/>
  <c r="AA145" i="71" s="1"/>
  <c r="AB124" i="71"/>
  <c r="AB62" i="71"/>
  <c r="AB131" i="71"/>
  <c r="AB96" i="71"/>
  <c r="AB168" i="71"/>
  <c r="H168" i="71" s="1"/>
  <c r="AB171" i="71"/>
  <c r="H171" i="71" s="1"/>
  <c r="AA171" i="71" s="1"/>
  <c r="AB86" i="71"/>
  <c r="AB89" i="71"/>
  <c r="AB87" i="71"/>
  <c r="AB10" i="71"/>
  <c r="AB113" i="71"/>
  <c r="AB152" i="71"/>
  <c r="H152" i="71" s="1"/>
  <c r="AA152" i="71" s="1"/>
  <c r="AB58" i="71"/>
  <c r="AB148" i="71"/>
  <c r="H148" i="71" s="1"/>
  <c r="I148" i="71" s="1"/>
  <c r="AB139" i="71"/>
  <c r="AB112" i="71"/>
  <c r="AB46" i="71"/>
  <c r="AB76" i="71"/>
  <c r="AB154" i="71"/>
  <c r="H154" i="71" s="1"/>
  <c r="AB130" i="71"/>
  <c r="AB116" i="71"/>
  <c r="AB68" i="71"/>
  <c r="AB114" i="71"/>
  <c r="AB138" i="71"/>
  <c r="AB105" i="71"/>
  <c r="AB56" i="71"/>
  <c r="H56" i="71" s="1"/>
  <c r="AB83" i="71"/>
  <c r="H83" i="71" s="1"/>
  <c r="AB103" i="71"/>
  <c r="AB70" i="71"/>
  <c r="AB141" i="71"/>
  <c r="AB135" i="71"/>
  <c r="AB79" i="71"/>
  <c r="AB18" i="71"/>
  <c r="AB15" i="71"/>
  <c r="AB136" i="71"/>
  <c r="AB172" i="71"/>
  <c r="H172" i="71" s="1"/>
  <c r="AB101" i="71"/>
  <c r="AB108" i="71"/>
  <c r="H108" i="71" s="1"/>
  <c r="AA108" i="71" s="1"/>
  <c r="AB17" i="71"/>
  <c r="AB158" i="71"/>
  <c r="H158" i="71" s="1"/>
  <c r="I158" i="71" s="1"/>
  <c r="AB110" i="71"/>
  <c r="AB63" i="71"/>
  <c r="AB144" i="71"/>
  <c r="H144" i="71" s="1"/>
  <c r="AA144" i="71" s="1"/>
  <c r="AB92" i="71"/>
  <c r="AB64" i="71"/>
  <c r="AB118" i="71"/>
  <c r="AB85" i="71"/>
  <c r="AB165" i="71"/>
  <c r="H165" i="71" s="1"/>
  <c r="AA165" i="71" s="1"/>
  <c r="AB107" i="71"/>
  <c r="AB125" i="71"/>
  <c r="AB19" i="71"/>
  <c r="AB91" i="71"/>
  <c r="AB34" i="71"/>
  <c r="AB109" i="71"/>
  <c r="H109" i="71" s="1"/>
  <c r="AB95" i="71"/>
  <c r="AB161" i="71"/>
  <c r="H161" i="71" s="1"/>
  <c r="AA161" i="71" s="1"/>
  <c r="AB30" i="71"/>
  <c r="AB33" i="71"/>
  <c r="AB140" i="71"/>
  <c r="AB61" i="71"/>
  <c r="AB50" i="71"/>
  <c r="H50" i="71" s="1"/>
  <c r="AA50" i="71" s="1"/>
  <c r="AB75" i="71"/>
  <c r="H75" i="71" s="1"/>
  <c r="I75" i="71" s="1"/>
  <c r="AB84" i="71"/>
  <c r="AB167" i="71"/>
  <c r="H167" i="71" s="1"/>
  <c r="AA167" i="71" s="1"/>
  <c r="AB104" i="71"/>
  <c r="AB69" i="71"/>
  <c r="AB12" i="71"/>
  <c r="AB128" i="71"/>
  <c r="AB90" i="71"/>
  <c r="AB127" i="71"/>
  <c r="AB162" i="71"/>
  <c r="H162" i="71" s="1"/>
  <c r="AA162" i="71" s="1"/>
  <c r="AB21" i="71"/>
  <c r="AB36" i="71"/>
  <c r="AB27" i="71"/>
  <c r="AB93" i="71"/>
  <c r="AB22" i="71"/>
  <c r="AB25" i="71"/>
  <c r="AB169" i="71"/>
  <c r="H169" i="71" s="1"/>
  <c r="AA169" i="71" s="1"/>
  <c r="AB121" i="71"/>
  <c r="H121" i="71" s="1"/>
  <c r="I121" i="71" s="1"/>
  <c r="AB153" i="71"/>
  <c r="H153" i="71" s="1"/>
  <c r="I153" i="71" s="1"/>
  <c r="AB164" i="71"/>
  <c r="H164" i="71" s="1"/>
  <c r="AA164" i="71" s="1"/>
  <c r="AB147" i="71"/>
  <c r="H147" i="71" s="1"/>
  <c r="AB44" i="71"/>
  <c r="AB155" i="71"/>
  <c r="H155" i="71" s="1"/>
  <c r="I155" i="71" s="1"/>
  <c r="AB37" i="71"/>
  <c r="AB97" i="71"/>
  <c r="AB29" i="71"/>
  <c r="AB134" i="71"/>
  <c r="AB98" i="71"/>
  <c r="AB20" i="71"/>
  <c r="AB122" i="71"/>
  <c r="AB129" i="71"/>
  <c r="AB13" i="71"/>
  <c r="AB157" i="71"/>
  <c r="H157" i="71" s="1"/>
  <c r="AA157" i="71" s="1"/>
  <c r="AB67" i="71"/>
  <c r="AB142" i="71"/>
  <c r="AB66" i="71"/>
  <c r="AB31" i="71"/>
  <c r="AB106" i="71"/>
  <c r="AB65" i="71"/>
  <c r="AB60" i="71"/>
  <c r="AB133" i="71"/>
  <c r="AB80" i="71"/>
  <c r="H80" i="71" s="1"/>
  <c r="I80" i="71" s="1"/>
  <c r="AB119" i="71"/>
  <c r="AB120" i="71"/>
  <c r="H120" i="71" s="1"/>
  <c r="AB149" i="71"/>
  <c r="H149" i="71" s="1"/>
  <c r="AA149" i="71" s="1"/>
  <c r="F8" i="167"/>
  <c r="I8" i="167" s="1"/>
  <c r="F33" i="75"/>
  <c r="I33" i="75" s="1"/>
  <c r="J109" i="75"/>
  <c r="I109" i="75"/>
  <c r="J9" i="101"/>
  <c r="J36" i="75"/>
  <c r="I9" i="101"/>
  <c r="I36" i="75"/>
  <c r="K9" i="101"/>
  <c r="AB51" i="71"/>
  <c r="AB48" i="71"/>
  <c r="I349" i="75"/>
  <c r="J349" i="75"/>
  <c r="L28" i="64"/>
  <c r="M28" i="64"/>
  <c r="K25" i="101"/>
  <c r="J103" i="75"/>
  <c r="I103" i="75"/>
  <c r="I25" i="101"/>
  <c r="J25" i="101"/>
  <c r="J202" i="75"/>
  <c r="I202" i="75"/>
  <c r="AO99" i="71"/>
  <c r="AO37" i="71"/>
  <c r="AO25" i="71"/>
  <c r="AO153" i="71"/>
  <c r="AO91" i="71"/>
  <c r="AO170" i="71"/>
  <c r="AO11" i="71"/>
  <c r="AO129" i="71"/>
  <c r="AO163" i="71"/>
  <c r="AO155" i="71"/>
  <c r="AO50" i="71"/>
  <c r="AO111" i="71"/>
  <c r="AO58" i="71"/>
  <c r="AO69" i="71"/>
  <c r="AO10" i="71"/>
  <c r="AO144" i="71"/>
  <c r="AO112" i="71"/>
  <c r="AO118" i="71"/>
  <c r="AO146" i="71"/>
  <c r="AO150" i="71"/>
  <c r="AO62" i="71"/>
  <c r="AO100" i="71"/>
  <c r="AO60" i="71"/>
  <c r="AO13" i="71"/>
  <c r="AO133" i="71"/>
  <c r="AO125" i="71"/>
  <c r="AO29" i="71"/>
  <c r="AO76" i="71"/>
  <c r="AO139" i="71"/>
  <c r="AO142" i="71"/>
  <c r="AO8" i="71"/>
  <c r="AO161" i="71"/>
  <c r="AO49" i="71"/>
  <c r="AO80" i="71"/>
  <c r="AO32" i="71"/>
  <c r="AO65" i="71"/>
  <c r="AO63" i="71"/>
  <c r="AO54" i="71"/>
  <c r="AO128" i="71"/>
  <c r="AO28" i="71"/>
  <c r="AO31" i="71"/>
  <c r="AO130" i="71"/>
  <c r="AO156" i="71"/>
  <c r="AO123" i="71"/>
  <c r="AO114" i="71"/>
  <c r="AO73" i="71"/>
  <c r="AO96" i="71"/>
  <c r="AO132" i="71"/>
  <c r="AO121" i="71"/>
  <c r="AO18" i="71"/>
  <c r="AO12" i="71"/>
  <c r="AO169" i="71"/>
  <c r="AO79" i="71"/>
  <c r="AO68" i="71"/>
  <c r="AO94" i="71"/>
  <c r="AO72" i="71"/>
  <c r="AO162" i="71"/>
  <c r="AO83" i="71"/>
  <c r="AO108" i="71"/>
  <c r="AO46" i="71"/>
  <c r="AO137" i="71"/>
  <c r="AO117" i="71"/>
  <c r="AO23" i="71"/>
  <c r="AO148" i="71"/>
  <c r="AO39" i="71"/>
  <c r="AO57" i="71"/>
  <c r="AO45" i="71"/>
  <c r="AO157" i="71"/>
  <c r="AO106" i="71"/>
  <c r="AO172" i="71"/>
  <c r="AO90" i="71"/>
  <c r="AO86" i="71"/>
  <c r="AO55" i="71"/>
  <c r="AO59" i="71"/>
  <c r="AO71" i="71"/>
  <c r="AO26" i="71"/>
  <c r="AO82" i="71"/>
  <c r="AO107" i="71"/>
  <c r="AO20" i="71"/>
  <c r="AO66" i="71"/>
  <c r="AO152" i="71"/>
  <c r="AO119" i="71"/>
  <c r="AO98" i="71"/>
  <c r="AO165" i="71"/>
  <c r="AO22" i="71"/>
  <c r="AO141" i="71"/>
  <c r="AO74" i="71"/>
  <c r="AO35" i="71"/>
  <c r="AO40" i="71"/>
  <c r="AO81" i="71"/>
  <c r="AO166" i="71"/>
  <c r="AO143" i="71"/>
  <c r="AO87" i="71"/>
  <c r="AO36" i="71"/>
  <c r="AO154" i="71"/>
  <c r="AO93" i="71"/>
  <c r="AO14" i="71"/>
  <c r="AO122" i="71"/>
  <c r="AO24" i="71"/>
  <c r="AO105" i="71"/>
  <c r="AO124" i="71"/>
  <c r="AO149" i="71"/>
  <c r="AO33" i="71"/>
  <c r="AO158" i="71"/>
  <c r="AO151" i="71"/>
  <c r="AO38" i="71"/>
  <c r="AO85" i="71"/>
  <c r="AO109" i="71"/>
  <c r="AO56" i="71"/>
  <c r="AO101" i="71"/>
  <c r="AO134" i="71"/>
  <c r="AO89" i="71"/>
  <c r="AO64" i="71"/>
  <c r="AO136" i="71"/>
  <c r="AO30" i="71"/>
  <c r="AO102" i="71"/>
  <c r="AO9" i="71"/>
  <c r="AO61" i="71"/>
  <c r="AO116" i="71"/>
  <c r="AO171" i="71"/>
  <c r="AO115" i="71"/>
  <c r="AO110" i="71"/>
  <c r="AO15" i="71"/>
  <c r="AO168" i="71"/>
  <c r="AO53" i="71"/>
  <c r="AO44" i="71"/>
  <c r="AO48" i="71"/>
  <c r="AO104" i="71"/>
  <c r="AO84" i="71"/>
  <c r="AO95" i="71"/>
  <c r="AO147" i="71"/>
  <c r="AO127" i="71"/>
  <c r="AO120" i="71"/>
  <c r="AO103" i="71"/>
  <c r="AO135" i="71"/>
  <c r="AO159" i="71"/>
  <c r="AO145" i="71"/>
  <c r="AO70" i="71"/>
  <c r="AO17" i="71"/>
  <c r="AO16" i="71"/>
  <c r="AO140" i="71"/>
  <c r="AO67" i="71"/>
  <c r="AO138" i="71"/>
  <c r="AO43" i="71"/>
  <c r="AO19" i="71"/>
  <c r="AO21" i="71"/>
  <c r="AO164" i="71"/>
  <c r="AO131" i="71"/>
  <c r="AO126" i="71"/>
  <c r="AO77" i="71"/>
  <c r="AO160" i="71"/>
  <c r="AO34" i="71"/>
  <c r="AO47" i="71"/>
  <c r="AO27" i="71"/>
  <c r="AO78" i="71"/>
  <c r="AO88" i="71"/>
  <c r="AO75" i="71"/>
  <c r="AO113" i="71"/>
  <c r="AO167" i="71"/>
  <c r="AO97" i="71"/>
  <c r="AO92" i="71"/>
  <c r="J41" i="75"/>
  <c r="I41" i="75"/>
  <c r="I225" i="75"/>
  <c r="J225" i="75"/>
  <c r="E7" i="175"/>
  <c r="J7" i="175" s="1"/>
  <c r="F9" i="167"/>
  <c r="I9" i="167" s="1"/>
  <c r="AO7" i="71"/>
  <c r="J257" i="75"/>
  <c r="I257" i="75"/>
  <c r="J65" i="101"/>
  <c r="I65" i="101"/>
  <c r="K65" i="101"/>
  <c r="J38" i="75"/>
  <c r="I38" i="75"/>
  <c r="AB39" i="71"/>
  <c r="R19" i="1"/>
  <c r="B10" i="158"/>
  <c r="J58" i="101"/>
  <c r="I39" i="75"/>
  <c r="K58" i="101"/>
  <c r="I58" i="101"/>
  <c r="J39" i="75"/>
  <c r="I204" i="75"/>
  <c r="J204" i="75"/>
  <c r="N22" i="102"/>
  <c r="B9" i="157" s="1"/>
  <c r="L22" i="102"/>
  <c r="B7" i="157" s="1"/>
  <c r="H181" i="1"/>
  <c r="F9" i="75"/>
  <c r="F8" i="75"/>
  <c r="F13" i="75"/>
  <c r="F7" i="75"/>
  <c r="F27" i="75"/>
  <c r="F408" i="75"/>
  <c r="F14" i="75"/>
  <c r="H21" i="69"/>
  <c r="K21" i="69" s="1"/>
  <c r="AE42" i="71" s="1"/>
  <c r="F11" i="75"/>
  <c r="C29" i="169"/>
  <c r="A36" i="169" s="1"/>
  <c r="B36" i="169" s="1"/>
  <c r="H62" i="1"/>
  <c r="F64" i="75"/>
  <c r="F62" i="75"/>
  <c r="F63" i="75"/>
  <c r="F68" i="75"/>
  <c r="F70" i="75"/>
  <c r="F73" i="75"/>
  <c r="H101" i="1"/>
  <c r="F69" i="75"/>
  <c r="H108" i="1"/>
  <c r="F49" i="75"/>
  <c r="H10" i="69"/>
  <c r="K10" i="69" s="1"/>
  <c r="AI42" i="71" s="1"/>
  <c r="F48" i="75"/>
  <c r="F47" i="75"/>
  <c r="F32" i="75"/>
  <c r="H7" i="69"/>
  <c r="K7" i="69" s="1"/>
  <c r="AF41" i="71" s="1"/>
  <c r="H19" i="1"/>
  <c r="F28" i="75"/>
  <c r="F31" i="75"/>
  <c r="F75" i="75"/>
  <c r="F74" i="75"/>
  <c r="F76" i="75"/>
  <c r="H39" i="1"/>
  <c r="F71" i="75"/>
  <c r="F65" i="75"/>
  <c r="H172" i="1"/>
  <c r="B11" i="158"/>
  <c r="P22" i="102"/>
  <c r="C8" i="157" s="1"/>
  <c r="E12" i="167"/>
  <c r="AG42" i="71"/>
  <c r="AO42" i="71"/>
  <c r="AN42" i="71"/>
  <c r="AP42" i="71"/>
  <c r="AL42" i="71"/>
  <c r="AC42" i="71"/>
  <c r="AM42" i="71"/>
  <c r="AR42" i="71"/>
  <c r="AD42" i="71"/>
  <c r="AQ42" i="71"/>
  <c r="N42" i="71"/>
  <c r="O42" i="71" s="1"/>
  <c r="AB42" i="71"/>
  <c r="AS42" i="71"/>
  <c r="AG41" i="71"/>
  <c r="AS41" i="71"/>
  <c r="AN41" i="71"/>
  <c r="AP41" i="71"/>
  <c r="AB41" i="71"/>
  <c r="AM41" i="71"/>
  <c r="AD41" i="71"/>
  <c r="AR41" i="71"/>
  <c r="AL41" i="71"/>
  <c r="AQ41" i="71"/>
  <c r="N41" i="71"/>
  <c r="AC41" i="71"/>
  <c r="AO41" i="71"/>
  <c r="M86" i="101"/>
  <c r="O39" i="71"/>
  <c r="M22" i="102"/>
  <c r="B8" i="157" s="1"/>
  <c r="I120" i="75"/>
  <c r="J120" i="75"/>
  <c r="F286" i="149"/>
  <c r="E249" i="146" s="1"/>
  <c r="I249" i="146" s="1"/>
  <c r="F287" i="149"/>
  <c r="E250" i="146" s="1"/>
  <c r="I250" i="146" s="1"/>
  <c r="F285" i="149"/>
  <c r="E248" i="146" s="1"/>
  <c r="I248" i="146" s="1"/>
  <c r="F283" i="149"/>
  <c r="F282" i="149"/>
  <c r="F291" i="149"/>
  <c r="E252" i="146" s="1"/>
  <c r="I252" i="146" s="1"/>
  <c r="F288" i="149"/>
  <c r="F289" i="149"/>
  <c r="E251" i="146" s="1"/>
  <c r="I251" i="146" s="1"/>
  <c r="F284" i="149"/>
  <c r="E247" i="146" s="1"/>
  <c r="I247" i="146" s="1"/>
  <c r="F290" i="149"/>
  <c r="J51" i="75"/>
  <c r="I51" i="75"/>
  <c r="C7" i="27"/>
  <c r="E12" i="169"/>
  <c r="F12" i="169" s="1"/>
  <c r="F10" i="169"/>
  <c r="H10" i="167" s="1"/>
  <c r="H12" i="167" s="1"/>
  <c r="F305" i="149"/>
  <c r="E264" i="146" s="1"/>
  <c r="I264" i="146" s="1"/>
  <c r="F308" i="149"/>
  <c r="E265" i="146" s="1"/>
  <c r="I265" i="146" s="1"/>
  <c r="F300" i="149"/>
  <c r="F304" i="149"/>
  <c r="E263" i="146" s="1"/>
  <c r="I263" i="146" s="1"/>
  <c r="F303" i="149"/>
  <c r="E262" i="146" s="1"/>
  <c r="I262" i="146" s="1"/>
  <c r="F307" i="149"/>
  <c r="F301" i="149"/>
  <c r="F302" i="149"/>
  <c r="E261" i="146" s="1"/>
  <c r="I261" i="146" s="1"/>
  <c r="F306" i="149"/>
  <c r="F309" i="149"/>
  <c r="E266" i="146" s="1"/>
  <c r="I266" i="146" s="1"/>
  <c r="F261" i="149"/>
  <c r="F262" i="149"/>
  <c r="E229" i="146" s="1"/>
  <c r="I229" i="146" s="1"/>
  <c r="F263" i="149"/>
  <c r="E230" i="146" s="1"/>
  <c r="I230" i="146" s="1"/>
  <c r="J213" i="144"/>
  <c r="T213" i="144"/>
  <c r="I213" i="144"/>
  <c r="O93" i="101"/>
  <c r="J29" i="170"/>
  <c r="E36" i="170" s="1"/>
  <c r="K29" i="170"/>
  <c r="F36" i="170" s="1"/>
  <c r="H36" i="170" s="1"/>
  <c r="B16" i="169" s="1"/>
  <c r="J9" i="170"/>
  <c r="E35" i="170" s="1"/>
  <c r="K9" i="170"/>
  <c r="E40" i="175"/>
  <c r="J40" i="175" s="1"/>
  <c r="T1897" i="144"/>
  <c r="I1897" i="144"/>
  <c r="J1897" i="144"/>
  <c r="J250" i="144"/>
  <c r="I250" i="144"/>
  <c r="T250" i="144"/>
  <c r="O94" i="101"/>
  <c r="O51" i="71"/>
  <c r="M90" i="101"/>
  <c r="D8" i="203" l="1"/>
  <c r="D11" i="203"/>
  <c r="AH48" i="71"/>
  <c r="J56" i="75"/>
  <c r="I52" i="75"/>
  <c r="J13" i="101"/>
  <c r="I54" i="75"/>
  <c r="AH58" i="71"/>
  <c r="AH131" i="71"/>
  <c r="J33" i="75"/>
  <c r="J54" i="75"/>
  <c r="I13" i="101"/>
  <c r="I45" i="75"/>
  <c r="I50" i="75"/>
  <c r="J57" i="75"/>
  <c r="J50" i="75"/>
  <c r="I10" i="101"/>
  <c r="G291" i="149"/>
  <c r="F252" i="146" s="1"/>
  <c r="J252" i="146" s="1"/>
  <c r="F9" i="28"/>
  <c r="F20" i="28" s="1"/>
  <c r="G282" i="149"/>
  <c r="AH38" i="71"/>
  <c r="G288" i="149"/>
  <c r="J44" i="75"/>
  <c r="AH156" i="71"/>
  <c r="I149" i="71"/>
  <c r="G290" i="149"/>
  <c r="G285" i="149"/>
  <c r="F248" i="146" s="1"/>
  <c r="J248" i="146" s="1"/>
  <c r="AH150" i="71"/>
  <c r="G286" i="149"/>
  <c r="F249" i="146" s="1"/>
  <c r="J249" i="146" s="1"/>
  <c r="G283" i="149"/>
  <c r="I44" i="75"/>
  <c r="AH22" i="71"/>
  <c r="AH107" i="71"/>
  <c r="G289" i="149"/>
  <c r="F251" i="146" s="1"/>
  <c r="J251" i="146" s="1"/>
  <c r="G287" i="149"/>
  <c r="F250" i="146" s="1"/>
  <c r="J250" i="146" s="1"/>
  <c r="J10" i="101"/>
  <c r="AH18" i="71"/>
  <c r="AH34" i="71"/>
  <c r="AH171" i="71"/>
  <c r="AH85" i="71"/>
  <c r="AH31" i="71"/>
  <c r="AH96" i="71"/>
  <c r="AH148" i="71"/>
  <c r="AH67" i="71"/>
  <c r="AH64" i="71"/>
  <c r="AH166" i="71"/>
  <c r="AH114" i="71"/>
  <c r="AH43" i="71"/>
  <c r="AH113" i="71"/>
  <c r="AH86" i="71"/>
  <c r="AH20" i="71"/>
  <c r="AH59" i="71"/>
  <c r="AH101" i="71"/>
  <c r="AH62" i="71"/>
  <c r="AH159" i="71"/>
  <c r="AH69" i="71"/>
  <c r="I165" i="71"/>
  <c r="AJ147" i="71"/>
  <c r="AH76" i="71"/>
  <c r="AH116" i="71"/>
  <c r="AH77" i="71"/>
  <c r="AH29" i="71"/>
  <c r="AH10" i="71"/>
  <c r="AH144" i="71"/>
  <c r="AH95" i="71"/>
  <c r="AH37" i="71"/>
  <c r="AH25" i="71"/>
  <c r="I46" i="75"/>
  <c r="AH15" i="71"/>
  <c r="AH40" i="71"/>
  <c r="AH130" i="71"/>
  <c r="AH92" i="71"/>
  <c r="AH169" i="71"/>
  <c r="AH61" i="71"/>
  <c r="AH82" i="71"/>
  <c r="AH11" i="71"/>
  <c r="AH138" i="71"/>
  <c r="AH80" i="71"/>
  <c r="AH26" i="71"/>
  <c r="AA158" i="71"/>
  <c r="AH16" i="71"/>
  <c r="AH41" i="71"/>
  <c r="AH151" i="71"/>
  <c r="AH133" i="71"/>
  <c r="AH137" i="71"/>
  <c r="AJ94" i="71"/>
  <c r="I161" i="71"/>
  <c r="AA148" i="71"/>
  <c r="AH124" i="71"/>
  <c r="AH165" i="71"/>
  <c r="AH78" i="71"/>
  <c r="AH122" i="71"/>
  <c r="AH162" i="71"/>
  <c r="AH42" i="71"/>
  <c r="AH139" i="71"/>
  <c r="AH33" i="71"/>
  <c r="AH24" i="71"/>
  <c r="AH88" i="71"/>
  <c r="AH35" i="71"/>
  <c r="AH39" i="71"/>
  <c r="AH19" i="71"/>
  <c r="AH112" i="71"/>
  <c r="AH152" i="71"/>
  <c r="AH160" i="71"/>
  <c r="AH9" i="71"/>
  <c r="AH157" i="71"/>
  <c r="AH120" i="71"/>
  <c r="AH54" i="71"/>
  <c r="I12" i="101"/>
  <c r="AH49" i="71"/>
  <c r="AH100" i="71"/>
  <c r="AH57" i="71"/>
  <c r="AH149" i="71"/>
  <c r="AH134" i="71"/>
  <c r="AH32" i="71"/>
  <c r="AH142" i="71"/>
  <c r="AH75" i="71"/>
  <c r="AH52" i="71"/>
  <c r="AH71" i="71"/>
  <c r="AH47" i="71"/>
  <c r="AH102" i="71"/>
  <c r="AH136" i="71"/>
  <c r="AH168" i="71"/>
  <c r="AH55" i="71"/>
  <c r="AJ98" i="71"/>
  <c r="AJ129" i="71"/>
  <c r="AH89" i="71"/>
  <c r="AH94" i="71"/>
  <c r="AH118" i="71"/>
  <c r="AH155" i="71"/>
  <c r="AH84" i="71"/>
  <c r="AH110" i="71"/>
  <c r="AH53" i="71"/>
  <c r="AH66" i="71"/>
  <c r="AH140" i="71"/>
  <c r="AH141" i="71"/>
  <c r="AH115" i="71"/>
  <c r="AH111" i="71"/>
  <c r="AJ96" i="71"/>
  <c r="AH65" i="71"/>
  <c r="AH98" i="71"/>
  <c r="AH36" i="71"/>
  <c r="AH99" i="71"/>
  <c r="AH12" i="71"/>
  <c r="AH44" i="71"/>
  <c r="AH164" i="71"/>
  <c r="AH51" i="71"/>
  <c r="AJ143" i="71"/>
  <c r="I55" i="75"/>
  <c r="AH63" i="71"/>
  <c r="AH68" i="71"/>
  <c r="AH132" i="71"/>
  <c r="AH145" i="71"/>
  <c r="AH8" i="71"/>
  <c r="AH7" i="71"/>
  <c r="AH17" i="71"/>
  <c r="AH158" i="71"/>
  <c r="AH27" i="71"/>
  <c r="AH154" i="71"/>
  <c r="AH97" i="71"/>
  <c r="AH60" i="71"/>
  <c r="AH125" i="71"/>
  <c r="AH72" i="71"/>
  <c r="AH117" i="71"/>
  <c r="AH45" i="71"/>
  <c r="AH56" i="71"/>
  <c r="AH167" i="71"/>
  <c r="AH70" i="71"/>
  <c r="AH81" i="71"/>
  <c r="K12" i="101"/>
  <c r="AA153" i="71"/>
  <c r="I82" i="71"/>
  <c r="AH74" i="71"/>
  <c r="AH28" i="71"/>
  <c r="AH79" i="71"/>
  <c r="AH119" i="71"/>
  <c r="AH170" i="71"/>
  <c r="AH147" i="71"/>
  <c r="AH23" i="71"/>
  <c r="AH163" i="71"/>
  <c r="AH73" i="71"/>
  <c r="AH127" i="71"/>
  <c r="AH50" i="71"/>
  <c r="I145" i="71"/>
  <c r="AH129" i="71"/>
  <c r="AH93" i="71"/>
  <c r="AH143" i="71"/>
  <c r="AH172" i="71"/>
  <c r="AH105" i="71"/>
  <c r="AH87" i="71"/>
  <c r="AH128" i="71"/>
  <c r="AJ154" i="71"/>
  <c r="AH106" i="71"/>
  <c r="AH21" i="71"/>
  <c r="AH146" i="71"/>
  <c r="AH30" i="71"/>
  <c r="AH161" i="71"/>
  <c r="AH46" i="71"/>
  <c r="AH91" i="71"/>
  <c r="AH90" i="71"/>
  <c r="AH13" i="71"/>
  <c r="AH153" i="71"/>
  <c r="AH104" i="71"/>
  <c r="AH103" i="71"/>
  <c r="AH123" i="71"/>
  <c r="AH135" i="71"/>
  <c r="AH14" i="71"/>
  <c r="AH121" i="71"/>
  <c r="AH108" i="71"/>
  <c r="AH109" i="71"/>
  <c r="AH83" i="71"/>
  <c r="AJ148" i="71"/>
  <c r="AJ119" i="71"/>
  <c r="AJ47" i="71"/>
  <c r="AJ150" i="71"/>
  <c r="AJ55" i="71"/>
  <c r="AJ36" i="71"/>
  <c r="AJ32" i="71"/>
  <c r="AJ84" i="71"/>
  <c r="AJ117" i="71"/>
  <c r="AJ7" i="71"/>
  <c r="AJ33" i="71"/>
  <c r="AJ93" i="71"/>
  <c r="AJ63" i="71"/>
  <c r="AJ73" i="71"/>
  <c r="AJ89" i="71"/>
  <c r="F12" i="167"/>
  <c r="I12" i="167" s="1"/>
  <c r="AA170" i="71"/>
  <c r="AJ120" i="71"/>
  <c r="AJ107" i="71"/>
  <c r="AJ158" i="71"/>
  <c r="AJ37" i="71"/>
  <c r="AJ124" i="71"/>
  <c r="AJ40" i="71"/>
  <c r="AJ104" i="71"/>
  <c r="AJ161" i="71"/>
  <c r="AJ113" i="71"/>
  <c r="AJ136" i="71"/>
  <c r="AJ21" i="71"/>
  <c r="F10" i="167"/>
  <c r="I10" i="167" s="1"/>
  <c r="R185" i="1"/>
  <c r="D7" i="31" s="1"/>
  <c r="C3" i="32" s="1"/>
  <c r="F3" i="32" s="1"/>
  <c r="AJ122" i="71"/>
  <c r="AJ90" i="71"/>
  <c r="AJ68" i="71"/>
  <c r="AJ17" i="71"/>
  <c r="AJ91" i="71"/>
  <c r="J34" i="75"/>
  <c r="AJ51" i="71"/>
  <c r="AJ27" i="71"/>
  <c r="AJ18" i="71"/>
  <c r="AJ15" i="71"/>
  <c r="AJ171" i="71"/>
  <c r="AJ61" i="71"/>
  <c r="AJ12" i="71"/>
  <c r="AJ8" i="71"/>
  <c r="AJ10" i="71"/>
  <c r="AJ116" i="71"/>
  <c r="AJ103" i="71"/>
  <c r="AJ82" i="71"/>
  <c r="AJ172" i="71"/>
  <c r="AJ95" i="71"/>
  <c r="AJ34" i="71"/>
  <c r="AJ128" i="71"/>
  <c r="AJ26" i="71"/>
  <c r="AJ60" i="71"/>
  <c r="AJ139" i="71"/>
  <c r="AJ140" i="71"/>
  <c r="AJ109" i="71"/>
  <c r="AJ105" i="71"/>
  <c r="E5" i="26"/>
  <c r="H9" i="28" s="1"/>
  <c r="AJ43" i="71"/>
  <c r="AJ138" i="71"/>
  <c r="AJ76" i="71"/>
  <c r="AJ118" i="71"/>
  <c r="AJ62" i="71"/>
  <c r="AJ25" i="71"/>
  <c r="AJ102" i="71"/>
  <c r="AJ125" i="71"/>
  <c r="AJ126" i="71"/>
  <c r="AJ106" i="71"/>
  <c r="AJ151" i="71"/>
  <c r="AJ101" i="71"/>
  <c r="AJ23" i="71"/>
  <c r="AJ92" i="71"/>
  <c r="AJ134" i="71"/>
  <c r="AJ70" i="71"/>
  <c r="AJ20" i="71"/>
  <c r="AJ49" i="71"/>
  <c r="AJ56" i="71"/>
  <c r="AJ133" i="71"/>
  <c r="AJ135" i="71"/>
  <c r="AJ54" i="71"/>
  <c r="AJ57" i="71"/>
  <c r="AJ9" i="71"/>
  <c r="AA155" i="71"/>
  <c r="C7" i="31"/>
  <c r="AJ14" i="71"/>
  <c r="AJ77" i="71"/>
  <c r="AJ137" i="71"/>
  <c r="AJ38" i="71"/>
  <c r="AJ11" i="71"/>
  <c r="AJ155" i="71"/>
  <c r="AJ169" i="71"/>
  <c r="AJ13" i="71"/>
  <c r="AJ162" i="71"/>
  <c r="AJ29" i="71"/>
  <c r="AJ42" i="71"/>
  <c r="AJ165" i="71"/>
  <c r="AJ130" i="71"/>
  <c r="AJ121" i="71"/>
  <c r="AJ166" i="71"/>
  <c r="AJ99" i="71"/>
  <c r="AJ170" i="71"/>
  <c r="AJ149" i="71"/>
  <c r="AJ66" i="71"/>
  <c r="AJ97" i="71"/>
  <c r="AJ80" i="71"/>
  <c r="AJ168" i="71"/>
  <c r="AJ72" i="71"/>
  <c r="AJ46" i="71"/>
  <c r="AJ78" i="71"/>
  <c r="AJ83" i="71"/>
  <c r="AJ41" i="71"/>
  <c r="AJ111" i="71"/>
  <c r="AJ156" i="71"/>
  <c r="AJ79" i="71"/>
  <c r="AJ74" i="71"/>
  <c r="AJ110" i="71"/>
  <c r="AJ53" i="71"/>
  <c r="AJ132" i="71"/>
  <c r="AJ50" i="71"/>
  <c r="AJ114" i="71"/>
  <c r="AJ87" i="71"/>
  <c r="AJ16" i="71"/>
  <c r="AJ69" i="71"/>
  <c r="AJ58" i="71"/>
  <c r="AJ108" i="71"/>
  <c r="AJ123" i="71"/>
  <c r="AJ19" i="71"/>
  <c r="AJ100" i="71"/>
  <c r="AJ145" i="71"/>
  <c r="AJ146" i="71"/>
  <c r="AJ28" i="71"/>
  <c r="AJ64" i="71"/>
  <c r="AJ67" i="71"/>
  <c r="AJ44" i="71"/>
  <c r="AJ167" i="71"/>
  <c r="AJ75" i="71"/>
  <c r="AJ45" i="71"/>
  <c r="AJ141" i="71"/>
  <c r="I167" i="71"/>
  <c r="I152" i="71"/>
  <c r="AJ71" i="71"/>
  <c r="AJ88" i="71"/>
  <c r="AJ65" i="71"/>
  <c r="AJ86" i="71"/>
  <c r="AJ131" i="71"/>
  <c r="AJ81" i="71"/>
  <c r="AJ35" i="71"/>
  <c r="AJ85" i="71"/>
  <c r="AJ163" i="71"/>
  <c r="AJ115" i="71"/>
  <c r="AJ59" i="71"/>
  <c r="AJ48" i="71"/>
  <c r="AJ112" i="71"/>
  <c r="AJ164" i="71"/>
  <c r="AJ160" i="71"/>
  <c r="AJ159" i="71"/>
  <c r="AJ39" i="71"/>
  <c r="AJ152" i="71"/>
  <c r="AJ31" i="71"/>
  <c r="AJ22" i="71"/>
  <c r="AJ142" i="71"/>
  <c r="AJ144" i="71"/>
  <c r="AJ24" i="71"/>
  <c r="AJ157" i="71"/>
  <c r="AJ127" i="71"/>
  <c r="AJ153" i="71"/>
  <c r="AJ30" i="71"/>
  <c r="I35" i="75"/>
  <c r="AA80" i="71"/>
  <c r="AA75" i="71"/>
  <c r="I157" i="71"/>
  <c r="AI41" i="71"/>
  <c r="AA121" i="71"/>
  <c r="I150" i="71"/>
  <c r="I169" i="71"/>
  <c r="I171" i="71"/>
  <c r="I108" i="71"/>
  <c r="I162" i="71"/>
  <c r="I12" i="75"/>
  <c r="E3" i="26"/>
  <c r="I144" i="71"/>
  <c r="AF42" i="71"/>
  <c r="I164" i="71"/>
  <c r="AA172" i="71"/>
  <c r="I172" i="71"/>
  <c r="I159" i="71"/>
  <c r="AA159" i="71"/>
  <c r="AA160" i="71"/>
  <c r="I160" i="71"/>
  <c r="AA168" i="71"/>
  <c r="I168" i="71"/>
  <c r="I83" i="71"/>
  <c r="AA83" i="71"/>
  <c r="I154" i="71"/>
  <c r="AA154" i="71"/>
  <c r="AA151" i="71"/>
  <c r="I151" i="71"/>
  <c r="G36" i="170"/>
  <c r="D16" i="167" s="1"/>
  <c r="B12" i="158"/>
  <c r="D12" i="158" s="1"/>
  <c r="L90" i="101" s="1"/>
  <c r="N90" i="101" s="1"/>
  <c r="AA147" i="71"/>
  <c r="I147" i="71"/>
  <c r="I56" i="71"/>
  <c r="AA56" i="71"/>
  <c r="I30" i="75"/>
  <c r="J30" i="75"/>
  <c r="AA166" i="71"/>
  <c r="I166" i="71"/>
  <c r="I120" i="71"/>
  <c r="AA120" i="71"/>
  <c r="I50" i="71"/>
  <c r="AA8" i="71"/>
  <c r="I8" i="71"/>
  <c r="I81" i="71"/>
  <c r="AA81" i="71"/>
  <c r="AA146" i="71"/>
  <c r="I146" i="71"/>
  <c r="I163" i="71"/>
  <c r="AA163" i="71"/>
  <c r="I109" i="71"/>
  <c r="AA109" i="71"/>
  <c r="I156" i="71"/>
  <c r="AA156" i="71"/>
  <c r="A37" i="26"/>
  <c r="D9" i="28"/>
  <c r="I24" i="173"/>
  <c r="I24" i="174" s="1"/>
  <c r="K24" i="175" s="1"/>
  <c r="I29" i="173"/>
  <c r="I29" i="174" s="1"/>
  <c r="J223" i="149" s="1"/>
  <c r="L196" i="146" s="1"/>
  <c r="I42" i="173"/>
  <c r="I42" i="174" s="1"/>
  <c r="K42" i="175" s="1"/>
  <c r="I39" i="173"/>
  <c r="I39" i="174" s="1"/>
  <c r="J9" i="149" s="1"/>
  <c r="L9" i="146" s="1"/>
  <c r="I8" i="173"/>
  <c r="I8" i="174" s="1"/>
  <c r="J32" i="149" s="1"/>
  <c r="L31" i="146" s="1"/>
  <c r="I25" i="173"/>
  <c r="I25" i="174" s="1"/>
  <c r="I161" i="149" s="1"/>
  <c r="K139" i="146" s="1"/>
  <c r="I11" i="173"/>
  <c r="I11" i="174" s="1"/>
  <c r="J50" i="149" s="1"/>
  <c r="I26" i="173"/>
  <c r="I26" i="174" s="1"/>
  <c r="I213" i="149" s="1"/>
  <c r="I22" i="173"/>
  <c r="I22" i="174" s="1"/>
  <c r="J167" i="149" s="1"/>
  <c r="L145" i="146" s="1"/>
  <c r="I10" i="173"/>
  <c r="I10" i="174" s="1"/>
  <c r="I33" i="149" s="1"/>
  <c r="K32" i="146" s="1"/>
  <c r="I19" i="173"/>
  <c r="I19" i="174" s="1"/>
  <c r="J125" i="149" s="1"/>
  <c r="I31" i="173"/>
  <c r="I31" i="174" s="1"/>
  <c r="J247" i="149" s="1"/>
  <c r="L216" i="146" s="1"/>
  <c r="I27" i="173"/>
  <c r="I27" i="174" s="1"/>
  <c r="I171" i="149" s="1"/>
  <c r="K150" i="146" s="1"/>
  <c r="I21" i="173"/>
  <c r="I21" i="174" s="1"/>
  <c r="J135" i="149" s="1"/>
  <c r="L116" i="146" s="1"/>
  <c r="I46" i="173"/>
  <c r="K47" i="175" s="1"/>
  <c r="I17" i="173"/>
  <c r="I17" i="174" s="1"/>
  <c r="I93" i="149" s="1"/>
  <c r="K83" i="146" s="1"/>
  <c r="I36" i="173"/>
  <c r="I36" i="174" s="1"/>
  <c r="J276" i="149" s="1"/>
  <c r="L240" i="146" s="1"/>
  <c r="I13" i="173"/>
  <c r="I13" i="174" s="1"/>
  <c r="K13" i="175" s="1"/>
  <c r="I38" i="173"/>
  <c r="I38" i="174" s="1"/>
  <c r="J316" i="149" s="1"/>
  <c r="L272" i="146" s="1"/>
  <c r="I12" i="173"/>
  <c r="I12" i="174" s="1"/>
  <c r="J61" i="149" s="1"/>
  <c r="L55" i="146" s="1"/>
  <c r="I14" i="173"/>
  <c r="I14" i="174" s="1"/>
  <c r="J69" i="149" s="1"/>
  <c r="L63" i="146" s="1"/>
  <c r="I28" i="173"/>
  <c r="I28" i="174" s="1"/>
  <c r="I216" i="149" s="1"/>
  <c r="I37" i="173"/>
  <c r="I37" i="174" s="1"/>
  <c r="J192" i="149" s="1"/>
  <c r="L170" i="146" s="1"/>
  <c r="I44" i="173"/>
  <c r="I44" i="174" s="1"/>
  <c r="J87" i="149" s="1"/>
  <c r="L79" i="146" s="1"/>
  <c r="I23" i="173"/>
  <c r="I23" i="174" s="1"/>
  <c r="I234" i="149" s="1"/>
  <c r="K206" i="146" s="1"/>
  <c r="I33" i="173"/>
  <c r="I33" i="174" s="1"/>
  <c r="K33" i="175" s="1"/>
  <c r="I16" i="173"/>
  <c r="I16" i="174" s="1"/>
  <c r="I266" i="149" s="1"/>
  <c r="K233" i="146" s="1"/>
  <c r="I45" i="173"/>
  <c r="K46" i="175" s="1"/>
  <c r="I18" i="173"/>
  <c r="I18" i="174" s="1"/>
  <c r="J120" i="149" s="1"/>
  <c r="L105" i="146" s="1"/>
  <c r="I20" i="173"/>
  <c r="I20" i="174" s="1"/>
  <c r="I129" i="149" s="1"/>
  <c r="I15" i="173"/>
  <c r="I15" i="174" s="1"/>
  <c r="J74" i="149" s="1"/>
  <c r="L69" i="146" s="1"/>
  <c r="I34" i="173"/>
  <c r="I34" i="174" s="1"/>
  <c r="K34" i="175" s="1"/>
  <c r="I9" i="173"/>
  <c r="I9" i="174" s="1"/>
  <c r="J22" i="149" s="1"/>
  <c r="L22" i="146" s="1"/>
  <c r="I30" i="173"/>
  <c r="I30" i="174" s="1"/>
  <c r="I238" i="149" s="1"/>
  <c r="K209" i="146" s="1"/>
  <c r="I43" i="173"/>
  <c r="I43" i="174" s="1"/>
  <c r="I226" i="149" s="1"/>
  <c r="K157" i="146" s="1"/>
  <c r="I32" i="173"/>
  <c r="I32" i="174" s="1"/>
  <c r="J257" i="149" s="1"/>
  <c r="L225" i="146" s="1"/>
  <c r="I35" i="173"/>
  <c r="I35" i="174" s="1"/>
  <c r="J268" i="149" s="1"/>
  <c r="L235" i="146" s="1"/>
  <c r="I14" i="101"/>
  <c r="J14" i="101"/>
  <c r="I71" i="75"/>
  <c r="K14" i="101"/>
  <c r="J71" i="75"/>
  <c r="AI149" i="71"/>
  <c r="AI148" i="71"/>
  <c r="AI152" i="71"/>
  <c r="AI143" i="71"/>
  <c r="AI73" i="71"/>
  <c r="AI108" i="71"/>
  <c r="AI140" i="71"/>
  <c r="AI74" i="71"/>
  <c r="AI86" i="71"/>
  <c r="AI77" i="71"/>
  <c r="AI33" i="71"/>
  <c r="AI110" i="71"/>
  <c r="AI141" i="71"/>
  <c r="AI171" i="71"/>
  <c r="AI59" i="71"/>
  <c r="AI131" i="71"/>
  <c r="AI24" i="71"/>
  <c r="AI168" i="71"/>
  <c r="AI128" i="71"/>
  <c r="AI14" i="71"/>
  <c r="AI136" i="71"/>
  <c r="AI139" i="71"/>
  <c r="AI69" i="71"/>
  <c r="AI137" i="71"/>
  <c r="AI34" i="71"/>
  <c r="AI20" i="71"/>
  <c r="AI115" i="71"/>
  <c r="AI129" i="71"/>
  <c r="AI57" i="71"/>
  <c r="AI146" i="71"/>
  <c r="AI125" i="71"/>
  <c r="AI124" i="71"/>
  <c r="AI29" i="71"/>
  <c r="AI157" i="71"/>
  <c r="AI28" i="71"/>
  <c r="AI65" i="71"/>
  <c r="AI71" i="71"/>
  <c r="AI161" i="71"/>
  <c r="AI150" i="71"/>
  <c r="AI9" i="71"/>
  <c r="AI96" i="71"/>
  <c r="AI16" i="71"/>
  <c r="AI113" i="71"/>
  <c r="AI159" i="71"/>
  <c r="AI15" i="71"/>
  <c r="AI169" i="71"/>
  <c r="AI75" i="71"/>
  <c r="AI117" i="71"/>
  <c r="AI58" i="71"/>
  <c r="AI100" i="71"/>
  <c r="AI134" i="71"/>
  <c r="AI79" i="71"/>
  <c r="AI114" i="71"/>
  <c r="AI147" i="71"/>
  <c r="AI95" i="71"/>
  <c r="AI118" i="71"/>
  <c r="AI130" i="71"/>
  <c r="AI18" i="71"/>
  <c r="AI103" i="71"/>
  <c r="AI111" i="71"/>
  <c r="AI84" i="71"/>
  <c r="AI166" i="71"/>
  <c r="AI101" i="71"/>
  <c r="AI83" i="71"/>
  <c r="AI160" i="71"/>
  <c r="AI93" i="71"/>
  <c r="AI88" i="71"/>
  <c r="AI142" i="71"/>
  <c r="AI40" i="71"/>
  <c r="AI53" i="71"/>
  <c r="AI99" i="71"/>
  <c r="AI11" i="71"/>
  <c r="AI19" i="71"/>
  <c r="AI102" i="71"/>
  <c r="AI43" i="71"/>
  <c r="AI72" i="71"/>
  <c r="AI82" i="71"/>
  <c r="AI90" i="71"/>
  <c r="AI50" i="71"/>
  <c r="AI164" i="71"/>
  <c r="AI70" i="71"/>
  <c r="AI60" i="71"/>
  <c r="AI76" i="71"/>
  <c r="AI158" i="71"/>
  <c r="AI94" i="71"/>
  <c r="AI91" i="71"/>
  <c r="AI80" i="71"/>
  <c r="AI155" i="71"/>
  <c r="AI154" i="71"/>
  <c r="AI13" i="71"/>
  <c r="AI55" i="71"/>
  <c r="AI97" i="71"/>
  <c r="AI121" i="71"/>
  <c r="AI54" i="71"/>
  <c r="AI61" i="71"/>
  <c r="AI81" i="71"/>
  <c r="AI27" i="71"/>
  <c r="AI109" i="71"/>
  <c r="AI8" i="71"/>
  <c r="AI138" i="71"/>
  <c r="AI56" i="71"/>
  <c r="AI26" i="71"/>
  <c r="AI105" i="71"/>
  <c r="AI23" i="71"/>
  <c r="AI144" i="71"/>
  <c r="AI63" i="71"/>
  <c r="AI126" i="71"/>
  <c r="AI78" i="71"/>
  <c r="AI165" i="71"/>
  <c r="AI17" i="71"/>
  <c r="AI167" i="71"/>
  <c r="AI68" i="71"/>
  <c r="AI46" i="71"/>
  <c r="AI112" i="71"/>
  <c r="AI12" i="71"/>
  <c r="AI163" i="71"/>
  <c r="AI133" i="71"/>
  <c r="AI120" i="71"/>
  <c r="AI127" i="71"/>
  <c r="AI153" i="71"/>
  <c r="AI98" i="71"/>
  <c r="AI32" i="71"/>
  <c r="AI49" i="71"/>
  <c r="AI64" i="71"/>
  <c r="AI145" i="71"/>
  <c r="AI45" i="71"/>
  <c r="AI92" i="71"/>
  <c r="AI67" i="71"/>
  <c r="AI123" i="71"/>
  <c r="AI37" i="71"/>
  <c r="AI35" i="71"/>
  <c r="AI151" i="71"/>
  <c r="AI85" i="71"/>
  <c r="AI62" i="71"/>
  <c r="AI66" i="71"/>
  <c r="AI135" i="71"/>
  <c r="AI39" i="71"/>
  <c r="AI106" i="71"/>
  <c r="AI132" i="71"/>
  <c r="AI21" i="71"/>
  <c r="AI36" i="71"/>
  <c r="AI122" i="71"/>
  <c r="AI172" i="71"/>
  <c r="AI162" i="71"/>
  <c r="AI87" i="71"/>
  <c r="AI10" i="71"/>
  <c r="AI31" i="71"/>
  <c r="AI104" i="71"/>
  <c r="AI44" i="71"/>
  <c r="AI107" i="71"/>
  <c r="AI22" i="71"/>
  <c r="AI170" i="71"/>
  <c r="AI116" i="71"/>
  <c r="AI89" i="71"/>
  <c r="AI156" i="71"/>
  <c r="AI38" i="71"/>
  <c r="AI30" i="71"/>
  <c r="AI25" i="71"/>
  <c r="AI119" i="71"/>
  <c r="AI51" i="71"/>
  <c r="AI47" i="71"/>
  <c r="AI52" i="71"/>
  <c r="AI48" i="71"/>
  <c r="AI7" i="71"/>
  <c r="I49" i="75"/>
  <c r="J49" i="75"/>
  <c r="J11" i="75"/>
  <c r="I11" i="75"/>
  <c r="I76" i="75"/>
  <c r="J76" i="75"/>
  <c r="AE157" i="71"/>
  <c r="AE114" i="71"/>
  <c r="AE67" i="71"/>
  <c r="AE55" i="71"/>
  <c r="AE171" i="71"/>
  <c r="AE40" i="71"/>
  <c r="AE46" i="71"/>
  <c r="AE71" i="71"/>
  <c r="AE170" i="71"/>
  <c r="AE128" i="71"/>
  <c r="AE9" i="71"/>
  <c r="AE140" i="71"/>
  <c r="AE54" i="71"/>
  <c r="AE36" i="71"/>
  <c r="AE76" i="71"/>
  <c r="AE87" i="71"/>
  <c r="AE88" i="71"/>
  <c r="AE80" i="71"/>
  <c r="AE31" i="71"/>
  <c r="AE108" i="71"/>
  <c r="AE65" i="71"/>
  <c r="AE110" i="71"/>
  <c r="AE109" i="71"/>
  <c r="AE12" i="71"/>
  <c r="AE165" i="71"/>
  <c r="AE126" i="71"/>
  <c r="AE22" i="71"/>
  <c r="AE79" i="71"/>
  <c r="AE60" i="71"/>
  <c r="AE99" i="71"/>
  <c r="AE161" i="71"/>
  <c r="AE102" i="71"/>
  <c r="AE155" i="71"/>
  <c r="AE142" i="71"/>
  <c r="AE116" i="71"/>
  <c r="AE83" i="71"/>
  <c r="AE57" i="71"/>
  <c r="AE85" i="71"/>
  <c r="AE92" i="71"/>
  <c r="AE72" i="71"/>
  <c r="AE147" i="71"/>
  <c r="AE50" i="71"/>
  <c r="AE94" i="71"/>
  <c r="AE34" i="71"/>
  <c r="AE132" i="71"/>
  <c r="AE8" i="71"/>
  <c r="AE98" i="71"/>
  <c r="AE159" i="71"/>
  <c r="AE29" i="71"/>
  <c r="AE63" i="71"/>
  <c r="AE48" i="71"/>
  <c r="AE101" i="71"/>
  <c r="AE18" i="71"/>
  <c r="AE131" i="71"/>
  <c r="AE134" i="71"/>
  <c r="AE156" i="71"/>
  <c r="AE26" i="71"/>
  <c r="AE64" i="71"/>
  <c r="AE100" i="71"/>
  <c r="AE162" i="71"/>
  <c r="AE133" i="71"/>
  <c r="AE172" i="71"/>
  <c r="AE120" i="71"/>
  <c r="AE45" i="71"/>
  <c r="AE106" i="71"/>
  <c r="AE107" i="71"/>
  <c r="AE74" i="71"/>
  <c r="AE56" i="71"/>
  <c r="AE144" i="71"/>
  <c r="AE84" i="71"/>
  <c r="AE69" i="71"/>
  <c r="AE21" i="71"/>
  <c r="AE124" i="71"/>
  <c r="AE28" i="71"/>
  <c r="AE90" i="71"/>
  <c r="AE122" i="71"/>
  <c r="AE113" i="71"/>
  <c r="AE160" i="71"/>
  <c r="AE95" i="71"/>
  <c r="AE44" i="71"/>
  <c r="AE96" i="71"/>
  <c r="AE15" i="71"/>
  <c r="AE14" i="71"/>
  <c r="AE30" i="71"/>
  <c r="AE104" i="71"/>
  <c r="AE130" i="71"/>
  <c r="AE103" i="71"/>
  <c r="AE51" i="71"/>
  <c r="AE86" i="71"/>
  <c r="AE164" i="71"/>
  <c r="AE152" i="71"/>
  <c r="AE20" i="71"/>
  <c r="AE168" i="71"/>
  <c r="AE150" i="71"/>
  <c r="AE154" i="71"/>
  <c r="AE37" i="71"/>
  <c r="AE66" i="71"/>
  <c r="AE17" i="71"/>
  <c r="AE11" i="71"/>
  <c r="AE78" i="71"/>
  <c r="AE61" i="71"/>
  <c r="AE153" i="71"/>
  <c r="AE23" i="71"/>
  <c r="AE68" i="71"/>
  <c r="AE27" i="71"/>
  <c r="AE89" i="71"/>
  <c r="AE119" i="71"/>
  <c r="AE141" i="71"/>
  <c r="AE58" i="71"/>
  <c r="AE123" i="71"/>
  <c r="AE91" i="71"/>
  <c r="AE97" i="71"/>
  <c r="AE93" i="71"/>
  <c r="AE149" i="71"/>
  <c r="AE121" i="71"/>
  <c r="AE117" i="71"/>
  <c r="AE19" i="71"/>
  <c r="AE111" i="71"/>
  <c r="AE118" i="71"/>
  <c r="AE62" i="71"/>
  <c r="AE77" i="71"/>
  <c r="AE75" i="71"/>
  <c r="AE33" i="71"/>
  <c r="AE49" i="71"/>
  <c r="AE166" i="71"/>
  <c r="AE167" i="71"/>
  <c r="AE137" i="71"/>
  <c r="AE7" i="71"/>
  <c r="AE115" i="71"/>
  <c r="AE25" i="71"/>
  <c r="AE143" i="71"/>
  <c r="AE158" i="71"/>
  <c r="AE169" i="71"/>
  <c r="AE105" i="71"/>
  <c r="AE148" i="71"/>
  <c r="AE125" i="71"/>
  <c r="AE73" i="71"/>
  <c r="AE13" i="71"/>
  <c r="AE163" i="71"/>
  <c r="AE135" i="71"/>
  <c r="AE81" i="71"/>
  <c r="AE139" i="71"/>
  <c r="AE16" i="71"/>
  <c r="AE53" i="71"/>
  <c r="AE59" i="71"/>
  <c r="AE129" i="71"/>
  <c r="AE112" i="71"/>
  <c r="AE10" i="71"/>
  <c r="AE52" i="71"/>
  <c r="AE39" i="71"/>
  <c r="AE70" i="71"/>
  <c r="AE43" i="71"/>
  <c r="AE82" i="71"/>
  <c r="AE145" i="71"/>
  <c r="AE35" i="71"/>
  <c r="AE136" i="71"/>
  <c r="AE47" i="71"/>
  <c r="AE138" i="71"/>
  <c r="AE146" i="71"/>
  <c r="AE24" i="71"/>
  <c r="AE32" i="71"/>
  <c r="AE151" i="71"/>
  <c r="AE38" i="71"/>
  <c r="AE127" i="71"/>
  <c r="J74" i="75"/>
  <c r="I74" i="75"/>
  <c r="J69" i="75"/>
  <c r="I69" i="75"/>
  <c r="I14" i="75"/>
  <c r="J14" i="75"/>
  <c r="J75" i="75"/>
  <c r="I75" i="75"/>
  <c r="J408" i="75"/>
  <c r="M30" i="64"/>
  <c r="M36" i="64" s="1"/>
  <c r="L30" i="64"/>
  <c r="L36" i="64" s="1"/>
  <c r="I408" i="75"/>
  <c r="I31" i="75"/>
  <c r="J31" i="75"/>
  <c r="J73" i="75"/>
  <c r="I73" i="75"/>
  <c r="J27" i="75"/>
  <c r="I27" i="75"/>
  <c r="I8" i="101"/>
  <c r="K8" i="101"/>
  <c r="J8" i="101"/>
  <c r="I28" i="75"/>
  <c r="J28" i="75"/>
  <c r="J70" i="75"/>
  <c r="I70" i="75"/>
  <c r="J7" i="75"/>
  <c r="K7" i="101"/>
  <c r="J7" i="101"/>
  <c r="I7" i="101"/>
  <c r="I7" i="75"/>
  <c r="I68" i="75"/>
  <c r="J68" i="75"/>
  <c r="I13" i="75"/>
  <c r="J13" i="75"/>
  <c r="AF44" i="71"/>
  <c r="AF34" i="71"/>
  <c r="AF45" i="71"/>
  <c r="AF93" i="71"/>
  <c r="AF107" i="71"/>
  <c r="AF20" i="71"/>
  <c r="AF64" i="71"/>
  <c r="AF21" i="71"/>
  <c r="AF114" i="71"/>
  <c r="AF83" i="71"/>
  <c r="AF147" i="71"/>
  <c r="AF164" i="71"/>
  <c r="AF154" i="71"/>
  <c r="AF110" i="71"/>
  <c r="AF129" i="71"/>
  <c r="AF27" i="71"/>
  <c r="AF26" i="71"/>
  <c r="AF36" i="71"/>
  <c r="AF103" i="71"/>
  <c r="AF46" i="71"/>
  <c r="AF161" i="71"/>
  <c r="AF89" i="71"/>
  <c r="AF68" i="71"/>
  <c r="AF159" i="71"/>
  <c r="AF62" i="71"/>
  <c r="AF30" i="71"/>
  <c r="AF172" i="71"/>
  <c r="AF69" i="71"/>
  <c r="AF28" i="71"/>
  <c r="AF119" i="71"/>
  <c r="AF15" i="71"/>
  <c r="AF59" i="71"/>
  <c r="AF145" i="71"/>
  <c r="AF67" i="71"/>
  <c r="AF134" i="71"/>
  <c r="AF131" i="71"/>
  <c r="AF101" i="71"/>
  <c r="AF156" i="71"/>
  <c r="AF8" i="71"/>
  <c r="AF118" i="71"/>
  <c r="AF84" i="71"/>
  <c r="AF152" i="71"/>
  <c r="AF146" i="71"/>
  <c r="AF10" i="71"/>
  <c r="AF77" i="71"/>
  <c r="AF170" i="71"/>
  <c r="AF124" i="71"/>
  <c r="AF82" i="71"/>
  <c r="AF95" i="71"/>
  <c r="AF55" i="71"/>
  <c r="AF98" i="71"/>
  <c r="AF87" i="71"/>
  <c r="AF16" i="71"/>
  <c r="AF126" i="71"/>
  <c r="AF97" i="71"/>
  <c r="AF163" i="71"/>
  <c r="AF121" i="71"/>
  <c r="AF54" i="71"/>
  <c r="AF144" i="71"/>
  <c r="AF150" i="71"/>
  <c r="AF166" i="71"/>
  <c r="AF57" i="71"/>
  <c r="AF149" i="71"/>
  <c r="AF162" i="71"/>
  <c r="AF80" i="71"/>
  <c r="AF92" i="71"/>
  <c r="AF127" i="71"/>
  <c r="AF168" i="71"/>
  <c r="AF137" i="71"/>
  <c r="AF65" i="71"/>
  <c r="AF56" i="71"/>
  <c r="AF71" i="71"/>
  <c r="AF81" i="71"/>
  <c r="AF17" i="71"/>
  <c r="AF72" i="71"/>
  <c r="AF29" i="71"/>
  <c r="AF99" i="71"/>
  <c r="AF130" i="71"/>
  <c r="AF167" i="71"/>
  <c r="AF50" i="71"/>
  <c r="AF31" i="71"/>
  <c r="AF91" i="71"/>
  <c r="AF123" i="71"/>
  <c r="AF104" i="71"/>
  <c r="AF38" i="71"/>
  <c r="AF136" i="71"/>
  <c r="AF70" i="71"/>
  <c r="AF88" i="71"/>
  <c r="AF25" i="71"/>
  <c r="AF78" i="71"/>
  <c r="AF122" i="71"/>
  <c r="AF85" i="71"/>
  <c r="AF86" i="71"/>
  <c r="AF148" i="71"/>
  <c r="AF63" i="71"/>
  <c r="AF24" i="71"/>
  <c r="AF113" i="71"/>
  <c r="AF60" i="71"/>
  <c r="AF169" i="71"/>
  <c r="AF53" i="71"/>
  <c r="AF171" i="71"/>
  <c r="AF143" i="71"/>
  <c r="AF74" i="71"/>
  <c r="AF94" i="71"/>
  <c r="AF139" i="71"/>
  <c r="AF153" i="71"/>
  <c r="AF49" i="71"/>
  <c r="AF96" i="71"/>
  <c r="AF9" i="71"/>
  <c r="AF120" i="71"/>
  <c r="AF61" i="71"/>
  <c r="AF12" i="71"/>
  <c r="AF76" i="71"/>
  <c r="AF165" i="71"/>
  <c r="AF112" i="71"/>
  <c r="AF79" i="71"/>
  <c r="AF106" i="71"/>
  <c r="AF138" i="71"/>
  <c r="AF157" i="71"/>
  <c r="AF128" i="71"/>
  <c r="AF18" i="71"/>
  <c r="AF102" i="71"/>
  <c r="AF43" i="71"/>
  <c r="AF90" i="71"/>
  <c r="AF160" i="71"/>
  <c r="AF73" i="71"/>
  <c r="AF116" i="71"/>
  <c r="AF111" i="71"/>
  <c r="AF158" i="71"/>
  <c r="AF135" i="71"/>
  <c r="AF14" i="71"/>
  <c r="AF13" i="71"/>
  <c r="AF141" i="71"/>
  <c r="AF125" i="71"/>
  <c r="AF33" i="71"/>
  <c r="AF155" i="71"/>
  <c r="AF140" i="71"/>
  <c r="AF66" i="71"/>
  <c r="AF58" i="71"/>
  <c r="AF132" i="71"/>
  <c r="AF100" i="71"/>
  <c r="AF19" i="71"/>
  <c r="AF40" i="71"/>
  <c r="AF105" i="71"/>
  <c r="AF37" i="71"/>
  <c r="AF142" i="71"/>
  <c r="AF22" i="71"/>
  <c r="AF23" i="71"/>
  <c r="AF115" i="71"/>
  <c r="AF133" i="71"/>
  <c r="AF151" i="71"/>
  <c r="AF11" i="71"/>
  <c r="AF35" i="71"/>
  <c r="AF117" i="71"/>
  <c r="AF32" i="71"/>
  <c r="AF75" i="71"/>
  <c r="AF109" i="71"/>
  <c r="AF108" i="71"/>
  <c r="AF51" i="71"/>
  <c r="AF39" i="71"/>
  <c r="AF7" i="71"/>
  <c r="AF52" i="71"/>
  <c r="AF48" i="71"/>
  <c r="AF47" i="71"/>
  <c r="J63" i="75"/>
  <c r="I63" i="75"/>
  <c r="J8" i="75"/>
  <c r="I8" i="75"/>
  <c r="I65" i="75"/>
  <c r="J65" i="75"/>
  <c r="J32" i="75"/>
  <c r="I32" i="75"/>
  <c r="I62" i="75"/>
  <c r="J62" i="75"/>
  <c r="I9" i="75"/>
  <c r="J9" i="75"/>
  <c r="AE41" i="71"/>
  <c r="J11" i="101"/>
  <c r="J47" i="75"/>
  <c r="I11" i="101"/>
  <c r="I47" i="75"/>
  <c r="K11" i="101"/>
  <c r="I64" i="75"/>
  <c r="J64" i="75"/>
  <c r="I48" i="75"/>
  <c r="J48" i="75"/>
  <c r="I63" i="149"/>
  <c r="K57" i="146" s="1"/>
  <c r="O41" i="71"/>
  <c r="C4" i="110" s="1"/>
  <c r="C5" i="110" s="1"/>
  <c r="M85" i="101"/>
  <c r="I188" i="149"/>
  <c r="K166" i="146" s="1"/>
  <c r="B16" i="167"/>
  <c r="G309" i="149"/>
  <c r="F266" i="146" s="1"/>
  <c r="J266" i="146" s="1"/>
  <c r="G301" i="149"/>
  <c r="G305" i="149"/>
  <c r="F264" i="146" s="1"/>
  <c r="J264" i="146" s="1"/>
  <c r="G306" i="149"/>
  <c r="G302" i="149"/>
  <c r="F261" i="146" s="1"/>
  <c r="J261" i="146" s="1"/>
  <c r="G307" i="149"/>
  <c r="G304" i="149"/>
  <c r="F263" i="146" s="1"/>
  <c r="J263" i="146" s="1"/>
  <c r="G308" i="149"/>
  <c r="F265" i="146" s="1"/>
  <c r="J265" i="146" s="1"/>
  <c r="G300" i="149"/>
  <c r="G303" i="149"/>
  <c r="F262" i="146" s="1"/>
  <c r="J262" i="146" s="1"/>
  <c r="F35" i="170"/>
  <c r="H35" i="170" s="1"/>
  <c r="B17" i="169" s="1"/>
  <c r="B17" i="167" s="1"/>
  <c r="F37" i="170"/>
  <c r="E37" i="170" s="1"/>
  <c r="G37" i="170" s="1"/>
  <c r="E45" i="175" s="1"/>
  <c r="C6" i="53"/>
  <c r="G263" i="149"/>
  <c r="F230" i="146" s="1"/>
  <c r="J230" i="146" s="1"/>
  <c r="G261" i="149"/>
  <c r="G262" i="149"/>
  <c r="F229" i="146" s="1"/>
  <c r="J229" i="146" s="1"/>
  <c r="B3" i="53"/>
  <c r="E3" i="53" s="1"/>
  <c r="B4" i="53"/>
  <c r="E4" i="53" s="1"/>
  <c r="A40" i="27"/>
  <c r="D12" i="28"/>
  <c r="K8" i="175" l="1"/>
  <c r="I91" i="149"/>
  <c r="J158" i="149"/>
  <c r="L136" i="146" s="1"/>
  <c r="J240" i="149"/>
  <c r="L211" i="146" s="1"/>
  <c r="K26" i="175"/>
  <c r="J229" i="149"/>
  <c r="L201" i="146" s="1"/>
  <c r="J295" i="149"/>
  <c r="L256" i="146" s="1"/>
  <c r="I186" i="149"/>
  <c r="K164" i="146" s="1"/>
  <c r="I258" i="149"/>
  <c r="K226" i="146" s="1"/>
  <c r="I27" i="149"/>
  <c r="K26" i="146" s="1"/>
  <c r="J211" i="149"/>
  <c r="L186" i="146" s="1"/>
  <c r="J270" i="149"/>
  <c r="L236" i="146" s="1"/>
  <c r="I210" i="149"/>
  <c r="K185" i="146" s="1"/>
  <c r="I212" i="149"/>
  <c r="K187" i="146" s="1"/>
  <c r="K18" i="175"/>
  <c r="J18" i="149"/>
  <c r="L18" i="146" s="1"/>
  <c r="J212" i="149"/>
  <c r="L187" i="146" s="1"/>
  <c r="K14" i="175"/>
  <c r="I26" i="149"/>
  <c r="K25" i="146" s="1"/>
  <c r="I120" i="149"/>
  <c r="K105" i="146" s="1"/>
  <c r="I32" i="149"/>
  <c r="K31" i="146" s="1"/>
  <c r="J70" i="149"/>
  <c r="L64" i="146" s="1"/>
  <c r="I321" i="149"/>
  <c r="K277" i="146" s="1"/>
  <c r="J17" i="149"/>
  <c r="L17" i="146" s="1"/>
  <c r="I71" i="149"/>
  <c r="K65" i="146" s="1"/>
  <c r="I64" i="149"/>
  <c r="K58" i="146" s="1"/>
  <c r="I172" i="149"/>
  <c r="K151" i="146" s="1"/>
  <c r="J30" i="149"/>
  <c r="L29" i="146" s="1"/>
  <c r="J27" i="149"/>
  <c r="L26" i="146" s="1"/>
  <c r="J71" i="149"/>
  <c r="L65" i="146" s="1"/>
  <c r="I271" i="149"/>
  <c r="J173" i="149"/>
  <c r="L149" i="146" s="1"/>
  <c r="F8" i="203"/>
  <c r="J64" i="149"/>
  <c r="L58" i="146" s="1"/>
  <c r="J278" i="149"/>
  <c r="L243" i="146" s="1"/>
  <c r="I278" i="149"/>
  <c r="K243" i="146" s="1"/>
  <c r="I269" i="149"/>
  <c r="I174" i="149"/>
  <c r="K152" i="146" s="1"/>
  <c r="J241" i="149"/>
  <c r="I236" i="149"/>
  <c r="K207" i="146" s="1"/>
  <c r="I179" i="149"/>
  <c r="K156" i="146" s="1"/>
  <c r="I39" i="149"/>
  <c r="K38" i="146" s="1"/>
  <c r="J88" i="149"/>
  <c r="L80" i="146" s="1"/>
  <c r="I241" i="149"/>
  <c r="J188" i="149"/>
  <c r="L166" i="146" s="1"/>
  <c r="J244" i="149"/>
  <c r="L213" i="146" s="1"/>
  <c r="I55" i="149"/>
  <c r="K51" i="146" s="1"/>
  <c r="I228" i="149"/>
  <c r="K200" i="146" s="1"/>
  <c r="J320" i="149"/>
  <c r="L276" i="146" s="1"/>
  <c r="J166" i="149"/>
  <c r="L144" i="146" s="1"/>
  <c r="I164" i="149"/>
  <c r="K141" i="146" s="1"/>
  <c r="J227" i="149"/>
  <c r="L199" i="146" s="1"/>
  <c r="I166" i="149"/>
  <c r="K144" i="146" s="1"/>
  <c r="J39" i="149"/>
  <c r="L38" i="146" s="1"/>
  <c r="I299" i="149"/>
  <c r="K260" i="146" s="1"/>
  <c r="J91" i="149"/>
  <c r="I158" i="149"/>
  <c r="K136" i="146" s="1"/>
  <c r="I194" i="149"/>
  <c r="J92" i="149"/>
  <c r="L82" i="146" s="1"/>
  <c r="I113" i="149"/>
  <c r="K93" i="146" s="1"/>
  <c r="J165" i="149"/>
  <c r="L143" i="146" s="1"/>
  <c r="J37" i="149"/>
  <c r="L36" i="146" s="1"/>
  <c r="H88" i="71"/>
  <c r="I88" i="71" s="1"/>
  <c r="I157" i="149"/>
  <c r="K135" i="146" s="1"/>
  <c r="J274" i="149"/>
  <c r="L238" i="146" s="1"/>
  <c r="K39" i="175"/>
  <c r="J204" i="149"/>
  <c r="L182" i="146" s="1"/>
  <c r="I317" i="149"/>
  <c r="K273" i="146" s="1"/>
  <c r="I235" i="149"/>
  <c r="I35" i="149"/>
  <c r="K34" i="146" s="1"/>
  <c r="J260" i="149"/>
  <c r="L228" i="146" s="1"/>
  <c r="I204" i="149"/>
  <c r="K182" i="146" s="1"/>
  <c r="J279" i="149"/>
  <c r="L244" i="146" s="1"/>
  <c r="L78" i="101"/>
  <c r="N78" i="101" s="1"/>
  <c r="J235" i="149"/>
  <c r="K29" i="175"/>
  <c r="J56" i="149"/>
  <c r="L52" i="146" s="1"/>
  <c r="J29" i="149"/>
  <c r="L28" i="146" s="1"/>
  <c r="I203" i="149"/>
  <c r="K179" i="146" s="1"/>
  <c r="J221" i="149"/>
  <c r="L194" i="146" s="1"/>
  <c r="J222" i="149"/>
  <c r="L195" i="146" s="1"/>
  <c r="L84" i="101"/>
  <c r="N84" i="101" s="1"/>
  <c r="I255" i="149"/>
  <c r="K223" i="146" s="1"/>
  <c r="J66" i="149"/>
  <c r="L60" i="146" s="1"/>
  <c r="I24" i="149"/>
  <c r="L85" i="101"/>
  <c r="N85" i="101" s="1"/>
  <c r="C36" i="26"/>
  <c r="B36" i="26" s="1"/>
  <c r="B37" i="26" s="1"/>
  <c r="B38" i="26" s="1"/>
  <c r="I119" i="149"/>
  <c r="K104" i="146" s="1"/>
  <c r="I18" i="149"/>
  <c r="K18" i="146" s="1"/>
  <c r="I114" i="149"/>
  <c r="K242" i="146" s="1"/>
  <c r="I17" i="149"/>
  <c r="K17" i="146" s="1"/>
  <c r="J114" i="149"/>
  <c r="L242" i="146" s="1"/>
  <c r="I67" i="149"/>
  <c r="K61" i="146" s="1"/>
  <c r="J210" i="149"/>
  <c r="L185" i="146" s="1"/>
  <c r="I272" i="149"/>
  <c r="I173" i="149"/>
  <c r="K149" i="146" s="1"/>
  <c r="J119" i="149"/>
  <c r="L104" i="146" s="1"/>
  <c r="J31" i="149"/>
  <c r="L30" i="146" s="1"/>
  <c r="K37" i="175"/>
  <c r="J271" i="149"/>
  <c r="J65" i="149"/>
  <c r="L59" i="146" s="1"/>
  <c r="J209" i="149"/>
  <c r="L184" i="146" s="1"/>
  <c r="J172" i="149"/>
  <c r="L151" i="146" s="1"/>
  <c r="J26" i="149"/>
  <c r="L25" i="146" s="1"/>
  <c r="J112" i="149"/>
  <c r="L99" i="146" s="1"/>
  <c r="I211" i="149"/>
  <c r="K186" i="146" s="1"/>
  <c r="J322" i="149"/>
  <c r="L278" i="146" s="1"/>
  <c r="J321" i="149"/>
  <c r="L277" i="146" s="1"/>
  <c r="I112" i="149"/>
  <c r="K99" i="146" s="1"/>
  <c r="I70" i="149"/>
  <c r="K64" i="146" s="1"/>
  <c r="I208" i="149"/>
  <c r="K183" i="146" s="1"/>
  <c r="I65" i="149"/>
  <c r="K59" i="146" s="1"/>
  <c r="J272" i="149"/>
  <c r="K27" i="175"/>
  <c r="J171" i="149"/>
  <c r="L150" i="146" s="1"/>
  <c r="J63" i="149"/>
  <c r="L57" i="146" s="1"/>
  <c r="H57" i="71"/>
  <c r="AA57" i="71" s="1"/>
  <c r="H54" i="71"/>
  <c r="O8" i="102" s="1"/>
  <c r="H127" i="71"/>
  <c r="AA127" i="71" s="1"/>
  <c r="I209" i="149"/>
  <c r="K184" i="146" s="1"/>
  <c r="J208" i="149"/>
  <c r="L183" i="146" s="1"/>
  <c r="K35" i="175"/>
  <c r="I322" i="149"/>
  <c r="K278" i="146" s="1"/>
  <c r="I31" i="149"/>
  <c r="K30" i="146" s="1"/>
  <c r="I30" i="149"/>
  <c r="K29" i="146" s="1"/>
  <c r="J67" i="149"/>
  <c r="L61" i="146" s="1"/>
  <c r="I270" i="149"/>
  <c r="K236" i="146" s="1"/>
  <c r="J269" i="149"/>
  <c r="J174" i="149"/>
  <c r="L152" i="146" s="1"/>
  <c r="I268" i="149"/>
  <c r="K235" i="146" s="1"/>
  <c r="H49" i="71"/>
  <c r="I49" i="71" s="1"/>
  <c r="J38" i="149"/>
  <c r="L37" i="146" s="1"/>
  <c r="I189" i="149"/>
  <c r="K167" i="146" s="1"/>
  <c r="I137" i="149"/>
  <c r="K118" i="146" s="1"/>
  <c r="J93" i="149"/>
  <c r="L83" i="146" s="1"/>
  <c r="J242" i="149"/>
  <c r="L212" i="146" s="1"/>
  <c r="J186" i="149"/>
  <c r="L164" i="146" s="1"/>
  <c r="I191" i="149"/>
  <c r="K168" i="146" s="1"/>
  <c r="J185" i="149"/>
  <c r="L163" i="146" s="1"/>
  <c r="I41" i="149"/>
  <c r="K40" i="146" s="1"/>
  <c r="I227" i="149"/>
  <c r="K199" i="146" s="1"/>
  <c r="K17" i="175"/>
  <c r="J90" i="149"/>
  <c r="J77" i="149"/>
  <c r="L68" i="146" s="1"/>
  <c r="J243" i="149"/>
  <c r="I50" i="149"/>
  <c r="I165" i="149"/>
  <c r="K143" i="146" s="1"/>
  <c r="I319" i="149"/>
  <c r="K275" i="146" s="1"/>
  <c r="I140" i="149"/>
  <c r="K121" i="146" s="1"/>
  <c r="I294" i="149"/>
  <c r="K255" i="146" s="1"/>
  <c r="J195" i="149"/>
  <c r="J190" i="149"/>
  <c r="L169" i="146" s="1"/>
  <c r="J191" i="149"/>
  <c r="L168" i="146" s="1"/>
  <c r="I320" i="149"/>
  <c r="K276" i="146" s="1"/>
  <c r="J140" i="149"/>
  <c r="L121" i="146" s="1"/>
  <c r="I190" i="149"/>
  <c r="K169" i="146" s="1"/>
  <c r="I88" i="149"/>
  <c r="K80" i="146" s="1"/>
  <c r="J20" i="149"/>
  <c r="L20" i="146" s="1"/>
  <c r="I92" i="149"/>
  <c r="K82" i="146" s="1"/>
  <c r="I240" i="149"/>
  <c r="K211" i="146" s="1"/>
  <c r="J297" i="149"/>
  <c r="L258" i="146" s="1"/>
  <c r="J294" i="149"/>
  <c r="L255" i="146" s="1"/>
  <c r="I292" i="149"/>
  <c r="K253" i="146" s="1"/>
  <c r="I87" i="149"/>
  <c r="K79" i="146" s="1"/>
  <c r="H141" i="71"/>
  <c r="I141" i="71" s="1"/>
  <c r="I185" i="149"/>
  <c r="K163" i="146" s="1"/>
  <c r="I20" i="149"/>
  <c r="K20" i="146" s="1"/>
  <c r="H10" i="71"/>
  <c r="I10" i="71" s="1"/>
  <c r="J94" i="149"/>
  <c r="L84" i="146" s="1"/>
  <c r="I94" i="149"/>
  <c r="K84" i="146" s="1"/>
  <c r="I77" i="149"/>
  <c r="K68" i="146" s="1"/>
  <c r="I239" i="149"/>
  <c r="K210" i="146" s="1"/>
  <c r="K11" i="175"/>
  <c r="J299" i="149"/>
  <c r="L260" i="146" s="1"/>
  <c r="J113" i="149"/>
  <c r="L93" i="146" s="1"/>
  <c r="I231" i="149"/>
  <c r="K203" i="146" s="1"/>
  <c r="I296" i="149"/>
  <c r="K257" i="146" s="1"/>
  <c r="I54" i="149"/>
  <c r="K50" i="146" s="1"/>
  <c r="J293" i="149"/>
  <c r="L254" i="146" s="1"/>
  <c r="J194" i="149"/>
  <c r="J319" i="149"/>
  <c r="L275" i="146" s="1"/>
  <c r="J179" i="149"/>
  <c r="L156" i="146" s="1"/>
  <c r="J258" i="149"/>
  <c r="L226" i="146" s="1"/>
  <c r="J228" i="149"/>
  <c r="L200" i="146" s="1"/>
  <c r="J137" i="149"/>
  <c r="L118" i="146" s="1"/>
  <c r="H55" i="71"/>
  <c r="AA55" i="71" s="1"/>
  <c r="J54" i="149"/>
  <c r="L50" i="146" s="1"/>
  <c r="I244" i="149"/>
  <c r="K213" i="146" s="1"/>
  <c r="I243" i="149"/>
  <c r="J189" i="149"/>
  <c r="L167" i="146" s="1"/>
  <c r="J141" i="149"/>
  <c r="L122" i="146" s="1"/>
  <c r="J164" i="149"/>
  <c r="L141" i="146" s="1"/>
  <c r="I89" i="149"/>
  <c r="K81" i="146" s="1"/>
  <c r="J239" i="149"/>
  <c r="L210" i="146" s="1"/>
  <c r="J53" i="149"/>
  <c r="L49" i="146" s="1"/>
  <c r="J213" i="149"/>
  <c r="I295" i="149"/>
  <c r="K256" i="146" s="1"/>
  <c r="I197" i="149"/>
  <c r="K173" i="146" s="1"/>
  <c r="J41" i="149"/>
  <c r="L40" i="146" s="1"/>
  <c r="J196" i="149"/>
  <c r="L172" i="146" s="1"/>
  <c r="I195" i="149"/>
  <c r="J292" i="149"/>
  <c r="L253" i="146" s="1"/>
  <c r="I180" i="149"/>
  <c r="K158" i="146" s="1"/>
  <c r="I298" i="149"/>
  <c r="K259" i="146" s="1"/>
  <c r="J180" i="149"/>
  <c r="L158" i="146" s="1"/>
  <c r="J230" i="149"/>
  <c r="L202" i="146" s="1"/>
  <c r="I229" i="149"/>
  <c r="K201" i="146" s="1"/>
  <c r="H41" i="71"/>
  <c r="I41" i="71" s="1"/>
  <c r="H31" i="71"/>
  <c r="I31" i="71" s="1"/>
  <c r="H26" i="71"/>
  <c r="I26" i="71" s="1"/>
  <c r="H118" i="71"/>
  <c r="AA118" i="71" s="1"/>
  <c r="H134" i="71"/>
  <c r="I134" i="71" s="1"/>
  <c r="H98" i="71"/>
  <c r="I98" i="71" s="1"/>
  <c r="I90" i="149"/>
  <c r="I242" i="149"/>
  <c r="K212" i="146" s="1"/>
  <c r="I230" i="149"/>
  <c r="K202" i="146" s="1"/>
  <c r="I40" i="149"/>
  <c r="K39" i="146" s="1"/>
  <c r="J187" i="149"/>
  <c r="L165" i="146" s="1"/>
  <c r="J89" i="149"/>
  <c r="L81" i="146" s="1"/>
  <c r="J298" i="149"/>
  <c r="L259" i="146" s="1"/>
  <c r="I297" i="149"/>
  <c r="K258" i="146" s="1"/>
  <c r="I187" i="149"/>
  <c r="K165" i="146" s="1"/>
  <c r="H93" i="71"/>
  <c r="I93" i="71" s="1"/>
  <c r="I38" i="149"/>
  <c r="K37" i="146" s="1"/>
  <c r="K44" i="175"/>
  <c r="J40" i="149"/>
  <c r="L39" i="146" s="1"/>
  <c r="J55" i="149"/>
  <c r="L51" i="146" s="1"/>
  <c r="I293" i="149"/>
  <c r="K254" i="146" s="1"/>
  <c r="I196" i="149"/>
  <c r="K172" i="146" s="1"/>
  <c r="J296" i="149"/>
  <c r="L257" i="146" s="1"/>
  <c r="I141" i="149"/>
  <c r="K122" i="146" s="1"/>
  <c r="J231" i="149"/>
  <c r="L203" i="146" s="1"/>
  <c r="J197" i="149"/>
  <c r="L173" i="146" s="1"/>
  <c r="D12" i="31"/>
  <c r="C7" i="45" s="1"/>
  <c r="F7" i="45" s="1"/>
  <c r="B3" i="46" s="1"/>
  <c r="J233" i="149"/>
  <c r="L205" i="146" s="1"/>
  <c r="J19" i="149"/>
  <c r="L19" i="146" s="1"/>
  <c r="H58" i="71"/>
  <c r="I58" i="71" s="1"/>
  <c r="K19" i="175"/>
  <c r="H27" i="71"/>
  <c r="I27" i="71" s="1"/>
  <c r="H139" i="71"/>
  <c r="I139" i="71" s="1"/>
  <c r="H123" i="71"/>
  <c r="I123" i="71" s="1"/>
  <c r="H42" i="71"/>
  <c r="AA42" i="71" s="1"/>
  <c r="H122" i="71"/>
  <c r="AA122" i="71" s="1"/>
  <c r="J170" i="149"/>
  <c r="L148" i="146" s="1"/>
  <c r="I233" i="149"/>
  <c r="K205" i="146" s="1"/>
  <c r="J168" i="149"/>
  <c r="L146" i="146" s="1"/>
  <c r="K36" i="175"/>
  <c r="I170" i="149"/>
  <c r="K148" i="146" s="1"/>
  <c r="I168" i="149"/>
  <c r="K146" i="146" s="1"/>
  <c r="I316" i="149"/>
  <c r="K272" i="146" s="1"/>
  <c r="I152" i="149"/>
  <c r="J267" i="149"/>
  <c r="L234" i="146" s="1"/>
  <c r="J232" i="149"/>
  <c r="L204" i="146" s="1"/>
  <c r="H53" i="71"/>
  <c r="I53" i="71" s="1"/>
  <c r="J182" i="149"/>
  <c r="L160" i="146" s="1"/>
  <c r="I311" i="149"/>
  <c r="K268" i="146" s="1"/>
  <c r="I153" i="149"/>
  <c r="K131" i="146" s="1"/>
  <c r="I265" i="149"/>
  <c r="K232" i="146" s="1"/>
  <c r="I19" i="149"/>
  <c r="K19" i="146" s="1"/>
  <c r="I155" i="149"/>
  <c r="K133" i="146" s="1"/>
  <c r="I82" i="149"/>
  <c r="I314" i="149"/>
  <c r="I66" i="149"/>
  <c r="K60" i="146" s="1"/>
  <c r="J310" i="149"/>
  <c r="L267" i="146" s="1"/>
  <c r="J312" i="149"/>
  <c r="L269" i="146" s="1"/>
  <c r="K30" i="175"/>
  <c r="I219" i="149"/>
  <c r="K192" i="146" s="1"/>
  <c r="I206" i="149"/>
  <c r="K181" i="146" s="1"/>
  <c r="J275" i="149"/>
  <c r="L239" i="146" s="1"/>
  <c r="I36" i="149"/>
  <c r="K35" i="146" s="1"/>
  <c r="I273" i="149"/>
  <c r="K237" i="146" s="1"/>
  <c r="I274" i="149"/>
  <c r="K238" i="146" s="1"/>
  <c r="I81" i="149"/>
  <c r="K75" i="146" s="1"/>
  <c r="I222" i="149"/>
  <c r="K195" i="146" s="1"/>
  <c r="I184" i="149"/>
  <c r="K162" i="146" s="1"/>
  <c r="J80" i="149"/>
  <c r="L74" i="146" s="1"/>
  <c r="J85" i="149"/>
  <c r="L77" i="146" s="1"/>
  <c r="H40" i="71"/>
  <c r="AA40" i="71" s="1"/>
  <c r="H70" i="71"/>
  <c r="AA70" i="71" s="1"/>
  <c r="H124" i="71"/>
  <c r="AA124" i="71" s="1"/>
  <c r="H19" i="71"/>
  <c r="I19" i="71" s="1"/>
  <c r="H61" i="71"/>
  <c r="I61" i="71" s="1"/>
  <c r="H113" i="71"/>
  <c r="AA113" i="71" s="1"/>
  <c r="H105" i="71"/>
  <c r="I105" i="71" s="1"/>
  <c r="H95" i="71"/>
  <c r="I95" i="71" s="1"/>
  <c r="H59" i="71"/>
  <c r="AA59" i="71" s="1"/>
  <c r="H140" i="71"/>
  <c r="AA140" i="71" s="1"/>
  <c r="I315" i="149"/>
  <c r="K271" i="146" s="1"/>
  <c r="J314" i="149"/>
  <c r="J220" i="149"/>
  <c r="L193" i="146" s="1"/>
  <c r="J23" i="149"/>
  <c r="L23" i="146" s="1"/>
  <c r="J237" i="149"/>
  <c r="L208" i="146" s="1"/>
  <c r="J236" i="149"/>
  <c r="L207" i="146" s="1"/>
  <c r="J36" i="149"/>
  <c r="L35" i="146" s="1"/>
  <c r="I318" i="149"/>
  <c r="K274" i="146" s="1"/>
  <c r="J82" i="149"/>
  <c r="I223" i="149"/>
  <c r="K196" i="146" s="1"/>
  <c r="I182" i="149"/>
  <c r="K160" i="146" s="1"/>
  <c r="J266" i="149"/>
  <c r="L233" i="146" s="1"/>
  <c r="J78" i="149"/>
  <c r="L72" i="146" s="1"/>
  <c r="H130" i="71"/>
  <c r="AA130" i="71" s="1"/>
  <c r="K16" i="175"/>
  <c r="I267" i="149"/>
  <c r="K234" i="146" s="1"/>
  <c r="J313" i="149"/>
  <c r="L270" i="146" s="1"/>
  <c r="J311" i="149"/>
  <c r="L268" i="146" s="1"/>
  <c r="I221" i="149"/>
  <c r="K194" i="146" s="1"/>
  <c r="I23" i="149"/>
  <c r="K23" i="146" s="1"/>
  <c r="I275" i="149"/>
  <c r="K239" i="146" s="1"/>
  <c r="I237" i="149"/>
  <c r="K208" i="146" s="1"/>
  <c r="K10" i="175"/>
  <c r="I37" i="149"/>
  <c r="K36" i="146" s="1"/>
  <c r="J318" i="149"/>
  <c r="L274" i="146" s="1"/>
  <c r="I84" i="149"/>
  <c r="K76" i="146" s="1"/>
  <c r="J265" i="149"/>
  <c r="L232" i="146" s="1"/>
  <c r="J72" i="149"/>
  <c r="L66" i="146" s="1"/>
  <c r="H115" i="71"/>
  <c r="AA115" i="71" s="1"/>
  <c r="H86" i="71"/>
  <c r="AA86" i="71" s="1"/>
  <c r="H99" i="71"/>
  <c r="I99" i="71" s="1"/>
  <c r="H137" i="71"/>
  <c r="I137" i="71" s="1"/>
  <c r="H77" i="71"/>
  <c r="AA77" i="71" s="1"/>
  <c r="H101" i="71"/>
  <c r="I101" i="71" s="1"/>
  <c r="H35" i="71"/>
  <c r="I35" i="71" s="1"/>
  <c r="H119" i="71"/>
  <c r="AA119" i="71" s="1"/>
  <c r="H74" i="71"/>
  <c r="I74" i="71" s="1"/>
  <c r="H94" i="71"/>
  <c r="AA94" i="71" s="1"/>
  <c r="H116" i="71"/>
  <c r="AA116" i="71" s="1"/>
  <c r="H9" i="71"/>
  <c r="O10" i="102" s="1"/>
  <c r="H84" i="71"/>
  <c r="I84" i="71" s="1"/>
  <c r="H136" i="71"/>
  <c r="I136" i="71" s="1"/>
  <c r="I313" i="149"/>
  <c r="K270" i="146" s="1"/>
  <c r="J184" i="149"/>
  <c r="L162" i="146" s="1"/>
  <c r="J315" i="149"/>
  <c r="L271" i="146" s="1"/>
  <c r="J238" i="149"/>
  <c r="L209" i="146" s="1"/>
  <c r="I205" i="149"/>
  <c r="K180" i="146" s="1"/>
  <c r="I207" i="149"/>
  <c r="K142" i="146" s="1"/>
  <c r="J219" i="149"/>
  <c r="L192" i="146" s="1"/>
  <c r="J35" i="149"/>
  <c r="L34" i="146" s="1"/>
  <c r="J34" i="149"/>
  <c r="L33" i="146" s="1"/>
  <c r="J273" i="149"/>
  <c r="L237" i="146" s="1"/>
  <c r="J264" i="149"/>
  <c r="L231" i="146" s="1"/>
  <c r="J84" i="149"/>
  <c r="L76" i="146" s="1"/>
  <c r="J183" i="149"/>
  <c r="L161" i="146" s="1"/>
  <c r="J79" i="149"/>
  <c r="L73" i="146" s="1"/>
  <c r="I72" i="149"/>
  <c r="K66" i="146" s="1"/>
  <c r="H23" i="71"/>
  <c r="I23" i="71" s="1"/>
  <c r="H96" i="71"/>
  <c r="AA96" i="71" s="1"/>
  <c r="H29" i="71"/>
  <c r="AA29" i="71" s="1"/>
  <c r="H87" i="71"/>
  <c r="I87" i="71" s="1"/>
  <c r="H131" i="71"/>
  <c r="AA131" i="71" s="1"/>
  <c r="H89" i="71"/>
  <c r="AA89" i="71" s="1"/>
  <c r="I79" i="149"/>
  <c r="K73" i="146" s="1"/>
  <c r="K38" i="175"/>
  <c r="I312" i="149"/>
  <c r="K269" i="146" s="1"/>
  <c r="J205" i="149"/>
  <c r="L180" i="146" s="1"/>
  <c r="I25" i="149"/>
  <c r="K24" i="146" s="1"/>
  <c r="J24" i="149"/>
  <c r="J25" i="149"/>
  <c r="L24" i="146" s="1"/>
  <c r="J33" i="149"/>
  <c r="L32" i="146" s="1"/>
  <c r="I34" i="149"/>
  <c r="K33" i="146" s="1"/>
  <c r="J317" i="149"/>
  <c r="L273" i="146" s="1"/>
  <c r="I264" i="149"/>
  <c r="K231" i="146" s="1"/>
  <c r="I83" i="149"/>
  <c r="I183" i="149"/>
  <c r="K161" i="146" s="1"/>
  <c r="I78" i="149"/>
  <c r="K72" i="146" s="1"/>
  <c r="I80" i="149"/>
  <c r="K74" i="146" s="1"/>
  <c r="I310" i="149"/>
  <c r="K267" i="146" s="1"/>
  <c r="I220" i="149"/>
  <c r="K193" i="146" s="1"/>
  <c r="J206" i="149"/>
  <c r="L181" i="146" s="1"/>
  <c r="J207" i="149"/>
  <c r="L142" i="146" s="1"/>
  <c r="J83" i="149"/>
  <c r="J81" i="149"/>
  <c r="L75" i="146" s="1"/>
  <c r="I85" i="149"/>
  <c r="K77" i="146" s="1"/>
  <c r="H117" i="71"/>
  <c r="I117" i="71" s="1"/>
  <c r="H135" i="71"/>
  <c r="AA135" i="71" s="1"/>
  <c r="H34" i="71"/>
  <c r="I34" i="71" s="1"/>
  <c r="L83" i="101"/>
  <c r="N83" i="101" s="1"/>
  <c r="I277" i="149"/>
  <c r="K241" i="146" s="1"/>
  <c r="I76" i="149"/>
  <c r="K71" i="146" s="1"/>
  <c r="J52" i="149"/>
  <c r="L48" i="146" s="1"/>
  <c r="I22" i="149"/>
  <c r="K22" i="146" s="1"/>
  <c r="K22" i="175"/>
  <c r="J234" i="149"/>
  <c r="L206" i="146" s="1"/>
  <c r="I151" i="149"/>
  <c r="J152" i="149"/>
  <c r="I232" i="149"/>
  <c r="K204" i="146" s="1"/>
  <c r="I167" i="149"/>
  <c r="K145" i="146" s="1"/>
  <c r="L89" i="101"/>
  <c r="N89" i="101" s="1"/>
  <c r="H133" i="71"/>
  <c r="AA133" i="71" s="1"/>
  <c r="B3" i="110"/>
  <c r="J151" i="149"/>
  <c r="I139" i="149"/>
  <c r="K120" i="146" s="1"/>
  <c r="J147" i="149"/>
  <c r="L127" i="146" s="1"/>
  <c r="L81" i="101"/>
  <c r="N81" i="101" s="1"/>
  <c r="H132" i="71"/>
  <c r="O16" i="102" s="1"/>
  <c r="H79" i="71"/>
  <c r="I79" i="71" s="1"/>
  <c r="H85" i="71"/>
  <c r="AA85" i="71" s="1"/>
  <c r="H104" i="71"/>
  <c r="I104" i="71" s="1"/>
  <c r="H69" i="71"/>
  <c r="I69" i="71" s="1"/>
  <c r="H129" i="71"/>
  <c r="AA129" i="71" s="1"/>
  <c r="H13" i="71"/>
  <c r="I13" i="71" s="1"/>
  <c r="H15" i="71"/>
  <c r="AA15" i="71" s="1"/>
  <c r="H28" i="71"/>
  <c r="AA28" i="71" s="1"/>
  <c r="H64" i="71"/>
  <c r="AA64" i="71" s="1"/>
  <c r="H142" i="71"/>
  <c r="O17" i="102" s="1"/>
  <c r="H111" i="71"/>
  <c r="AA111" i="71" s="1"/>
  <c r="L91" i="101"/>
  <c r="N91" i="101" s="1"/>
  <c r="I49" i="149"/>
  <c r="I52" i="149"/>
  <c r="K48" i="146" s="1"/>
  <c r="I276" i="149"/>
  <c r="K240" i="146" s="1"/>
  <c r="J76" i="149"/>
  <c r="L71" i="146" s="1"/>
  <c r="J49" i="149"/>
  <c r="I51" i="149"/>
  <c r="K47" i="146" s="1"/>
  <c r="K9" i="175"/>
  <c r="J149" i="149"/>
  <c r="L129" i="146" s="1"/>
  <c r="J139" i="149"/>
  <c r="L120" i="146" s="1"/>
  <c r="I138" i="149"/>
  <c r="K119" i="146" s="1"/>
  <c r="I74" i="149"/>
  <c r="K69" i="146" s="1"/>
  <c r="J148" i="149"/>
  <c r="L128" i="146" s="1"/>
  <c r="L79" i="101"/>
  <c r="N79" i="101" s="1"/>
  <c r="L86" i="101"/>
  <c r="N86" i="101" s="1"/>
  <c r="L87" i="101"/>
  <c r="N87" i="101" s="1"/>
  <c r="J277" i="149"/>
  <c r="L241" i="146" s="1"/>
  <c r="J51" i="149"/>
  <c r="L47" i="146" s="1"/>
  <c r="J21" i="149"/>
  <c r="L21" i="146" s="1"/>
  <c r="I149" i="149"/>
  <c r="K129" i="146" s="1"/>
  <c r="J169" i="149"/>
  <c r="L147" i="146" s="1"/>
  <c r="J155" i="149"/>
  <c r="L133" i="146" s="1"/>
  <c r="J153" i="149"/>
  <c r="L131" i="146" s="1"/>
  <c r="J75" i="149"/>
  <c r="L70" i="146" s="1"/>
  <c r="I147" i="149"/>
  <c r="K127" i="146" s="1"/>
  <c r="L80" i="101"/>
  <c r="N80" i="101" s="1"/>
  <c r="H52" i="71"/>
  <c r="AA52" i="71" s="1"/>
  <c r="H66" i="71"/>
  <c r="I66" i="71" s="1"/>
  <c r="H60" i="71"/>
  <c r="I60" i="71" s="1"/>
  <c r="H92" i="71"/>
  <c r="AA92" i="71" s="1"/>
  <c r="H30" i="71"/>
  <c r="I30" i="71" s="1"/>
  <c r="H36" i="71"/>
  <c r="AA36" i="71" s="1"/>
  <c r="H43" i="71"/>
  <c r="I43" i="71" s="1"/>
  <c r="H97" i="71"/>
  <c r="I97" i="71" s="1"/>
  <c r="H12" i="71"/>
  <c r="AA12" i="71" s="1"/>
  <c r="H71" i="71"/>
  <c r="AA71" i="71" s="1"/>
  <c r="H18" i="71"/>
  <c r="I18" i="71" s="1"/>
  <c r="H100" i="71"/>
  <c r="I100" i="71" s="1"/>
  <c r="J73" i="149"/>
  <c r="L67" i="146" s="1"/>
  <c r="J146" i="149"/>
  <c r="L126" i="146" s="1"/>
  <c r="K15" i="175"/>
  <c r="I53" i="149"/>
  <c r="K49" i="146" s="1"/>
  <c r="I21" i="149"/>
  <c r="K21" i="146" s="1"/>
  <c r="I169" i="149"/>
  <c r="K147" i="146" s="1"/>
  <c r="I146" i="149"/>
  <c r="K126" i="146" s="1"/>
  <c r="K23" i="175"/>
  <c r="I154" i="149"/>
  <c r="K132" i="146" s="1"/>
  <c r="J154" i="149"/>
  <c r="L132" i="146" s="1"/>
  <c r="I75" i="149"/>
  <c r="K70" i="146" s="1"/>
  <c r="I148" i="149"/>
  <c r="K128" i="146" s="1"/>
  <c r="L88" i="101"/>
  <c r="N88" i="101" s="1"/>
  <c r="I73" i="149"/>
  <c r="K67" i="146" s="1"/>
  <c r="J150" i="149"/>
  <c r="L130" i="146" s="1"/>
  <c r="I150" i="149"/>
  <c r="K130" i="146" s="1"/>
  <c r="J138" i="149"/>
  <c r="L119" i="146" s="1"/>
  <c r="L82" i="101"/>
  <c r="N82" i="101" s="1"/>
  <c r="J259" i="149"/>
  <c r="L227" i="146" s="1"/>
  <c r="F16" i="167"/>
  <c r="I159" i="149"/>
  <c r="J129" i="149"/>
  <c r="J161" i="149"/>
  <c r="L139" i="146" s="1"/>
  <c r="J157" i="149"/>
  <c r="L135" i="146" s="1"/>
  <c r="K12" i="175"/>
  <c r="I133" i="149"/>
  <c r="K114" i="146" s="1"/>
  <c r="I86" i="149"/>
  <c r="K78" i="146" s="1"/>
  <c r="I46" i="149"/>
  <c r="K44" i="146" s="1"/>
  <c r="I58" i="149"/>
  <c r="J62" i="149"/>
  <c r="L56" i="146" s="1"/>
  <c r="J217" i="149"/>
  <c r="L190" i="146" s="1"/>
  <c r="J132" i="149"/>
  <c r="I69" i="149"/>
  <c r="K63" i="146" s="1"/>
  <c r="J128" i="149"/>
  <c r="L111" i="146" s="1"/>
  <c r="I62" i="149"/>
  <c r="K56" i="146" s="1"/>
  <c r="I217" i="149"/>
  <c r="K190" i="146" s="1"/>
  <c r="J249" i="149"/>
  <c r="K21" i="175"/>
  <c r="I68" i="149"/>
  <c r="K62" i="146" s="1"/>
  <c r="I254" i="149"/>
  <c r="K222" i="146" s="1"/>
  <c r="I60" i="149"/>
  <c r="K54" i="146" s="1"/>
  <c r="J68" i="149"/>
  <c r="L62" i="146" s="1"/>
  <c r="H73" i="71"/>
  <c r="AA73" i="71" s="1"/>
  <c r="I202" i="149"/>
  <c r="K178" i="146" s="1"/>
  <c r="J118" i="149"/>
  <c r="L103" i="146" s="1"/>
  <c r="I248" i="149"/>
  <c r="K217" i="146" s="1"/>
  <c r="J281" i="149"/>
  <c r="L246" i="146" s="1"/>
  <c r="H25" i="71"/>
  <c r="AA25" i="71" s="1"/>
  <c r="H17" i="71"/>
  <c r="AA17" i="71" s="1"/>
  <c r="H107" i="71"/>
  <c r="I107" i="71" s="1"/>
  <c r="H63" i="71"/>
  <c r="I63" i="71" s="1"/>
  <c r="H128" i="71"/>
  <c r="AA128" i="71" s="1"/>
  <c r="H38" i="71"/>
  <c r="I38" i="71" s="1"/>
  <c r="H138" i="71"/>
  <c r="I138" i="71" s="1"/>
  <c r="H65" i="71"/>
  <c r="I65" i="71" s="1"/>
  <c r="H14" i="71"/>
  <c r="AA14" i="71" s="1"/>
  <c r="H110" i="71"/>
  <c r="I110" i="71" s="1"/>
  <c r="H125" i="71"/>
  <c r="I125" i="71" s="1"/>
  <c r="H7" i="71"/>
  <c r="I7" i="71" s="1"/>
  <c r="H62" i="71"/>
  <c r="I62" i="71" s="1"/>
  <c r="H68" i="71"/>
  <c r="I68" i="71" s="1"/>
  <c r="H37" i="71"/>
  <c r="AA37" i="71" s="1"/>
  <c r="H51" i="71"/>
  <c r="AA51" i="71" s="1"/>
  <c r="H21" i="71"/>
  <c r="I21" i="71" s="1"/>
  <c r="H45" i="71"/>
  <c r="I45" i="71" s="1"/>
  <c r="H72" i="71"/>
  <c r="AA72" i="71" s="1"/>
  <c r="H102" i="71"/>
  <c r="O11" i="102" s="1"/>
  <c r="H106" i="71"/>
  <c r="I106" i="71" s="1"/>
  <c r="H32" i="71"/>
  <c r="I32" i="71" s="1"/>
  <c r="H16" i="71"/>
  <c r="I16" i="71" s="1"/>
  <c r="I45" i="149"/>
  <c r="K43" i="146" s="1"/>
  <c r="I7" i="149"/>
  <c r="K7" i="146" s="1"/>
  <c r="I11" i="149"/>
  <c r="K11" i="146" s="1"/>
  <c r="J10" i="149"/>
  <c r="L10" i="146" s="1"/>
  <c r="I127" i="149"/>
  <c r="K110" i="146" s="1"/>
  <c r="I163" i="149"/>
  <c r="K140" i="146" s="1"/>
  <c r="J117" i="149"/>
  <c r="L102" i="146" s="1"/>
  <c r="I16" i="149"/>
  <c r="K16" i="146" s="1"/>
  <c r="I116" i="149"/>
  <c r="K101" i="146" s="1"/>
  <c r="J28" i="149"/>
  <c r="L27" i="146" s="1"/>
  <c r="I56" i="149"/>
  <c r="K52" i="146" s="1"/>
  <c r="I29" i="149"/>
  <c r="K28" i="146" s="1"/>
  <c r="K28" i="175"/>
  <c r="I215" i="149"/>
  <c r="K189" i="146" s="1"/>
  <c r="I257" i="149"/>
  <c r="K225" i="146" s="1"/>
  <c r="J248" i="149"/>
  <c r="L217" i="146" s="1"/>
  <c r="I135" i="149"/>
  <c r="K116" i="146" s="1"/>
  <c r="I131" i="149"/>
  <c r="K113" i="146" s="1"/>
  <c r="J280" i="149"/>
  <c r="L245" i="146" s="1"/>
  <c r="I8" i="149"/>
  <c r="K8" i="146" s="1"/>
  <c r="I103" i="101"/>
  <c r="B4" i="30" s="1"/>
  <c r="I10" i="149"/>
  <c r="K10" i="146" s="1"/>
  <c r="J255" i="149"/>
  <c r="L223" i="146" s="1"/>
  <c r="I201" i="149"/>
  <c r="K177" i="146" s="1"/>
  <c r="J46" i="149"/>
  <c r="L44" i="146" s="1"/>
  <c r="K20" i="175"/>
  <c r="J127" i="149"/>
  <c r="L110" i="146" s="1"/>
  <c r="I162" i="149"/>
  <c r="K137" i="146" s="1"/>
  <c r="I115" i="149"/>
  <c r="K100" i="146" s="1"/>
  <c r="J58" i="149"/>
  <c r="I118" i="149"/>
  <c r="K103" i="146" s="1"/>
  <c r="I15" i="149"/>
  <c r="K15" i="146" s="1"/>
  <c r="J60" i="149"/>
  <c r="L54" i="146" s="1"/>
  <c r="J215" i="149"/>
  <c r="L189" i="146" s="1"/>
  <c r="I256" i="149"/>
  <c r="K224" i="146" s="1"/>
  <c r="J246" i="149"/>
  <c r="L215" i="146" s="1"/>
  <c r="J134" i="149"/>
  <c r="L115" i="146" s="1"/>
  <c r="J131" i="149"/>
  <c r="L113" i="146" s="1"/>
  <c r="I281" i="149"/>
  <c r="K246" i="146" s="1"/>
  <c r="I48" i="149"/>
  <c r="K46" i="146" s="1"/>
  <c r="J86" i="149"/>
  <c r="L78" i="146" s="1"/>
  <c r="K103" i="101"/>
  <c r="D4" i="30" s="1"/>
  <c r="D3" i="30" s="1"/>
  <c r="H91" i="71"/>
  <c r="AA91" i="71" s="1"/>
  <c r="H103" i="71"/>
  <c r="I103" i="71" s="1"/>
  <c r="H76" i="71"/>
  <c r="AA76" i="71" s="1"/>
  <c r="H47" i="71"/>
  <c r="AA47" i="71" s="1"/>
  <c r="H39" i="71"/>
  <c r="AA39" i="71" s="1"/>
  <c r="H46" i="71"/>
  <c r="I46" i="71" s="1"/>
  <c r="H24" i="71"/>
  <c r="I24" i="71" s="1"/>
  <c r="J103" i="101"/>
  <c r="C4" i="30" s="1"/>
  <c r="C3" i="30" s="1"/>
  <c r="J45" i="149"/>
  <c r="L43" i="146" s="1"/>
  <c r="I181" i="149"/>
  <c r="K159" i="146" s="1"/>
  <c r="J203" i="149"/>
  <c r="L179" i="146" s="1"/>
  <c r="J181" i="149"/>
  <c r="L159" i="146" s="1"/>
  <c r="I126" i="149"/>
  <c r="K109" i="146" s="1"/>
  <c r="J163" i="149"/>
  <c r="L140" i="146" s="1"/>
  <c r="J13" i="149"/>
  <c r="L13" i="146" s="1"/>
  <c r="I61" i="149"/>
  <c r="K55" i="146" s="1"/>
  <c r="I28" i="149"/>
  <c r="K27" i="146" s="1"/>
  <c r="J59" i="149"/>
  <c r="J198" i="149"/>
  <c r="L174" i="146" s="1"/>
  <c r="J216" i="149"/>
  <c r="I249" i="149"/>
  <c r="K31" i="175"/>
  <c r="J133" i="149"/>
  <c r="L114" i="146" s="1"/>
  <c r="I136" i="149"/>
  <c r="K117" i="146" s="1"/>
  <c r="J245" i="149"/>
  <c r="L214" i="146" s="1"/>
  <c r="J8" i="149"/>
  <c r="L8" i="146" s="1"/>
  <c r="I259" i="149"/>
  <c r="K227" i="146" s="1"/>
  <c r="J160" i="149"/>
  <c r="L138" i="146" s="1"/>
  <c r="H78" i="71"/>
  <c r="AA78" i="71" s="1"/>
  <c r="J254" i="149"/>
  <c r="L222" i="146" s="1"/>
  <c r="J201" i="149"/>
  <c r="L177" i="146" s="1"/>
  <c r="J7" i="149"/>
  <c r="L7" i="146" s="1"/>
  <c r="J202" i="149"/>
  <c r="L178" i="146" s="1"/>
  <c r="I128" i="149"/>
  <c r="K111" i="146" s="1"/>
  <c r="K25" i="175"/>
  <c r="I57" i="149"/>
  <c r="K53" i="146" s="1"/>
  <c r="J199" i="149"/>
  <c r="L175" i="146" s="1"/>
  <c r="I14" i="149"/>
  <c r="K14" i="146" s="1"/>
  <c r="I199" i="149"/>
  <c r="K175" i="146" s="1"/>
  <c r="J14" i="149"/>
  <c r="L14" i="146" s="1"/>
  <c r="I218" i="149"/>
  <c r="K191" i="146" s="1"/>
  <c r="J256" i="149"/>
  <c r="L224" i="146" s="1"/>
  <c r="I247" i="149"/>
  <c r="K216" i="146" s="1"/>
  <c r="J130" i="149"/>
  <c r="L112" i="146" s="1"/>
  <c r="J136" i="149"/>
  <c r="L117" i="146" s="1"/>
  <c r="I245" i="149"/>
  <c r="K214" i="146" s="1"/>
  <c r="I280" i="149"/>
  <c r="K245" i="146" s="1"/>
  <c r="J200" i="149"/>
  <c r="L176" i="146" s="1"/>
  <c r="I160" i="149"/>
  <c r="K138" i="146" s="1"/>
  <c r="J11" i="149"/>
  <c r="L11" i="146" s="1"/>
  <c r="J253" i="149"/>
  <c r="L221" i="146" s="1"/>
  <c r="I253" i="149"/>
  <c r="K221" i="146" s="1"/>
  <c r="J126" i="149"/>
  <c r="L109" i="146" s="1"/>
  <c r="J162" i="149"/>
  <c r="L137" i="146" s="1"/>
  <c r="J115" i="149"/>
  <c r="L100" i="146" s="1"/>
  <c r="I13" i="149"/>
  <c r="K13" i="146" s="1"/>
  <c r="I198" i="149"/>
  <c r="K174" i="146" s="1"/>
  <c r="J16" i="149"/>
  <c r="L16" i="146" s="1"/>
  <c r="J15" i="149"/>
  <c r="L15" i="146" s="1"/>
  <c r="J218" i="149"/>
  <c r="L191" i="146" s="1"/>
  <c r="K32" i="175"/>
  <c r="I246" i="149"/>
  <c r="K215" i="146" s="1"/>
  <c r="I134" i="149"/>
  <c r="K115" i="146" s="1"/>
  <c r="I132" i="149"/>
  <c r="I200" i="149"/>
  <c r="K176" i="146" s="1"/>
  <c r="J48" i="149"/>
  <c r="L46" i="146" s="1"/>
  <c r="I279" i="149"/>
  <c r="K244" i="146" s="1"/>
  <c r="H143" i="71"/>
  <c r="AA143" i="71" s="1"/>
  <c r="H126" i="71"/>
  <c r="AA126" i="71" s="1"/>
  <c r="H20" i="71"/>
  <c r="AA20" i="71" s="1"/>
  <c r="D20" i="28"/>
  <c r="E8" i="203"/>
  <c r="I47" i="149"/>
  <c r="K45" i="146" s="1"/>
  <c r="J47" i="149"/>
  <c r="L45" i="146" s="1"/>
  <c r="J159" i="149"/>
  <c r="J116" i="149"/>
  <c r="L101" i="146" s="1"/>
  <c r="J57" i="149"/>
  <c r="L53" i="146" s="1"/>
  <c r="I117" i="149"/>
  <c r="K102" i="146" s="1"/>
  <c r="I59" i="149"/>
  <c r="I130" i="149"/>
  <c r="K112" i="146" s="1"/>
  <c r="I9" i="149"/>
  <c r="K9" i="146" s="1"/>
  <c r="I260" i="149"/>
  <c r="K228" i="146" s="1"/>
  <c r="H112" i="71"/>
  <c r="O12" i="102" s="1"/>
  <c r="H33" i="71"/>
  <c r="AA33" i="71" s="1"/>
  <c r="H11" i="71"/>
  <c r="AA11" i="71" s="1"/>
  <c r="H90" i="71"/>
  <c r="I90" i="71" s="1"/>
  <c r="H48" i="71"/>
  <c r="AA48" i="71" s="1"/>
  <c r="H22" i="71"/>
  <c r="I22" i="71" s="1"/>
  <c r="H67" i="71"/>
  <c r="I67" i="71" s="1"/>
  <c r="H44" i="71"/>
  <c r="I44" i="71" s="1"/>
  <c r="H114" i="71"/>
  <c r="I114" i="71" s="1"/>
  <c r="H20" i="28"/>
  <c r="G8" i="203"/>
  <c r="D23" i="28"/>
  <c r="E11" i="203"/>
  <c r="I192" i="149"/>
  <c r="K170" i="146" s="1"/>
  <c r="I124" i="149"/>
  <c r="I193" i="149"/>
  <c r="K171" i="146" s="1"/>
  <c r="I123" i="149"/>
  <c r="K108" i="146" s="1"/>
  <c r="J193" i="149"/>
  <c r="L171" i="146" s="1"/>
  <c r="J121" i="149"/>
  <c r="L106" i="146" s="1"/>
  <c r="I121" i="149"/>
  <c r="K106" i="146" s="1"/>
  <c r="J226" i="149"/>
  <c r="L157" i="146" s="1"/>
  <c r="I122" i="149"/>
  <c r="K107" i="146" s="1"/>
  <c r="K43" i="175"/>
  <c r="J123" i="149"/>
  <c r="L108" i="146" s="1"/>
  <c r="I125" i="149"/>
  <c r="J124" i="149"/>
  <c r="C9" i="158"/>
  <c r="J122" i="149"/>
  <c r="L107" i="146" s="1"/>
  <c r="J7" i="28"/>
  <c r="J18" i="28" s="1"/>
  <c r="C6" i="203"/>
  <c r="A12" i="110"/>
  <c r="D8" i="28"/>
  <c r="M103" i="101"/>
  <c r="G35" i="170"/>
  <c r="D17" i="167" s="1"/>
  <c r="F17" i="167" s="1"/>
  <c r="A21" i="167" s="1"/>
  <c r="AA84" i="71"/>
  <c r="AA35" i="71"/>
  <c r="D45" i="174"/>
  <c r="E45" i="174" s="1"/>
  <c r="H45" i="174" s="1"/>
  <c r="G45" i="175" s="1"/>
  <c r="J45" i="175" s="1"/>
  <c r="H37" i="170"/>
  <c r="A21" i="169"/>
  <c r="AA41" i="71" l="1"/>
  <c r="AA13" i="71"/>
  <c r="I77" i="71"/>
  <c r="I12" i="71"/>
  <c r="AA139" i="71"/>
  <c r="AA88" i="71"/>
  <c r="I70" i="71"/>
  <c r="AA63" i="71"/>
  <c r="AA62" i="71"/>
  <c r="AA93" i="71"/>
  <c r="I127" i="71"/>
  <c r="AA27" i="71"/>
  <c r="I128" i="71"/>
  <c r="AA31" i="71"/>
  <c r="I9" i="71"/>
  <c r="AA99" i="71"/>
  <c r="O9" i="102"/>
  <c r="AA43" i="71"/>
  <c r="I85" i="71"/>
  <c r="I115" i="71"/>
  <c r="I40" i="71"/>
  <c r="AA69" i="71"/>
  <c r="I142" i="71"/>
  <c r="H17" i="140" s="1"/>
  <c r="AA49" i="71"/>
  <c r="I133" i="71"/>
  <c r="H9" i="140" s="1"/>
  <c r="AA105" i="71"/>
  <c r="AA142" i="71"/>
  <c r="AA134" i="71"/>
  <c r="AA58" i="71"/>
  <c r="AA98" i="71"/>
  <c r="I130" i="71"/>
  <c r="H7" i="140" s="1"/>
  <c r="I135" i="71"/>
  <c r="I59" i="71"/>
  <c r="H20" i="140" s="1"/>
  <c r="I57" i="71"/>
  <c r="I54" i="71"/>
  <c r="H8" i="140" s="1"/>
  <c r="I89" i="71"/>
  <c r="H19" i="140" s="1"/>
  <c r="AA107" i="71"/>
  <c r="AA53" i="71"/>
  <c r="O18" i="102"/>
  <c r="AA87" i="71"/>
  <c r="I55" i="71"/>
  <c r="AA138" i="71"/>
  <c r="AA54" i="71"/>
  <c r="I116" i="71"/>
  <c r="O19" i="102"/>
  <c r="AA30" i="71"/>
  <c r="AA141" i="71"/>
  <c r="O20" i="102"/>
  <c r="AA103" i="71"/>
  <c r="AA74" i="71"/>
  <c r="I72" i="71"/>
  <c r="I14" i="71"/>
  <c r="I28" i="71"/>
  <c r="I132" i="71"/>
  <c r="H16" i="140" s="1"/>
  <c r="AA106" i="71"/>
  <c r="I47" i="71"/>
  <c r="C8" i="32"/>
  <c r="F8" i="32" s="1"/>
  <c r="J11" i="28" s="1"/>
  <c r="J22" i="28" s="1"/>
  <c r="J24" i="28" s="1"/>
  <c r="E28" i="28" s="1"/>
  <c r="AA46" i="71"/>
  <c r="I37" i="71"/>
  <c r="AA132" i="71"/>
  <c r="AA10" i="71"/>
  <c r="AA61" i="71"/>
  <c r="AA24" i="71"/>
  <c r="I42" i="71"/>
  <c r="AA18" i="71"/>
  <c r="AA38" i="71"/>
  <c r="I11" i="71"/>
  <c r="I124" i="71"/>
  <c r="AA60" i="71"/>
  <c r="I118" i="71"/>
  <c r="H21" i="140" s="1"/>
  <c r="AA26" i="71"/>
  <c r="AA16" i="71"/>
  <c r="I96" i="71"/>
  <c r="O14" i="102"/>
  <c r="O21" i="102"/>
  <c r="I52" i="71"/>
  <c r="AA68" i="71"/>
  <c r="AA136" i="71"/>
  <c r="AA101" i="71"/>
  <c r="I39" i="71"/>
  <c r="AA66" i="71"/>
  <c r="I140" i="71"/>
  <c r="I126" i="71"/>
  <c r="I15" i="71"/>
  <c r="AA102" i="71"/>
  <c r="AA123" i="71"/>
  <c r="AA137" i="71"/>
  <c r="I78" i="71"/>
  <c r="AA19" i="71"/>
  <c r="O15" i="102"/>
  <c r="I71" i="71"/>
  <c r="I129" i="71"/>
  <c r="AA32" i="71"/>
  <c r="AA34" i="71"/>
  <c r="I112" i="71"/>
  <c r="H12" i="140" s="1"/>
  <c r="AA7" i="71"/>
  <c r="AA9" i="71"/>
  <c r="AA23" i="71"/>
  <c r="I113" i="71"/>
  <c r="I131" i="71"/>
  <c r="I122" i="71"/>
  <c r="H29" i="140" s="1"/>
  <c r="N103" i="101"/>
  <c r="AA79" i="71"/>
  <c r="I119" i="71"/>
  <c r="AA65" i="71"/>
  <c r="I94" i="71"/>
  <c r="I92" i="71"/>
  <c r="I86" i="71"/>
  <c r="AA104" i="71"/>
  <c r="I29" i="71"/>
  <c r="AA95" i="71"/>
  <c r="AA100" i="71"/>
  <c r="I64" i="71"/>
  <c r="O7" i="102"/>
  <c r="AA117" i="71"/>
  <c r="I51" i="71"/>
  <c r="B3" i="30"/>
  <c r="E3" i="30" s="1"/>
  <c r="E4" i="30"/>
  <c r="AA67" i="71"/>
  <c r="I102" i="71"/>
  <c r="H11" i="140" s="1"/>
  <c r="I73" i="71"/>
  <c r="B5" i="110"/>
  <c r="E3" i="110"/>
  <c r="I36" i="71"/>
  <c r="I76" i="71"/>
  <c r="AA45" i="71"/>
  <c r="C7" i="158"/>
  <c r="I111" i="71"/>
  <c r="I17" i="71"/>
  <c r="AA110" i="71"/>
  <c r="I48" i="71"/>
  <c r="AA114" i="71"/>
  <c r="AA97" i="71"/>
  <c r="AA112" i="71"/>
  <c r="O13" i="102"/>
  <c r="L103" i="101"/>
  <c r="AA44" i="71"/>
  <c r="AA125" i="71"/>
  <c r="I91" i="71"/>
  <c r="AA21" i="71"/>
  <c r="I25" i="71"/>
  <c r="AA22" i="71"/>
  <c r="AA90" i="71"/>
  <c r="I143" i="71"/>
  <c r="I33" i="71"/>
  <c r="C6" i="30"/>
  <c r="D6" i="30"/>
  <c r="I20" i="71"/>
  <c r="D19" i="28"/>
  <c r="E7" i="203"/>
  <c r="C10" i="158"/>
  <c r="D7" i="157" s="1"/>
  <c r="C21" i="167"/>
  <c r="A24" i="167"/>
  <c r="C24" i="167" s="1"/>
  <c r="G156" i="149"/>
  <c r="F134" i="146" s="1"/>
  <c r="J134" i="146" s="1"/>
  <c r="G106" i="149"/>
  <c r="F94" i="146" s="1"/>
  <c r="J94" i="146" s="1"/>
  <c r="G99" i="149"/>
  <c r="F87" i="146" s="1"/>
  <c r="J87" i="146" s="1"/>
  <c r="H25" i="140"/>
  <c r="C21" i="169"/>
  <c r="A24" i="169"/>
  <c r="C24" i="169" s="1"/>
  <c r="B4" i="46"/>
  <c r="E3" i="46"/>
  <c r="F99" i="149"/>
  <c r="E87" i="146" s="1"/>
  <c r="I87" i="146" s="1"/>
  <c r="F156" i="149"/>
  <c r="E134" i="146" s="1"/>
  <c r="I134" i="146" s="1"/>
  <c r="F106" i="149"/>
  <c r="H15" i="140"/>
  <c r="H26" i="140"/>
  <c r="H10" i="140"/>
  <c r="H27" i="140"/>
  <c r="H18" i="140"/>
  <c r="H14" i="140"/>
  <c r="H28" i="140"/>
  <c r="H13" i="140"/>
  <c r="D7" i="158" l="1"/>
  <c r="D10" i="158" s="1"/>
  <c r="D8" i="157" s="1"/>
  <c r="E8" i="157" s="1"/>
  <c r="N16" i="140" s="1"/>
  <c r="Q16" i="140" s="1"/>
  <c r="P132" i="71" s="1"/>
  <c r="C10" i="203"/>
  <c r="O22" i="102"/>
  <c r="C7" i="157" s="1"/>
  <c r="E7" i="157" s="1"/>
  <c r="F10" i="140" s="1"/>
  <c r="I10" i="140" s="1"/>
  <c r="C6" i="107"/>
  <c r="C8" i="107" s="1"/>
  <c r="B7" i="30"/>
  <c r="A12" i="30" s="1"/>
  <c r="B8" i="28"/>
  <c r="A11" i="110"/>
  <c r="C5" i="30"/>
  <c r="D6" i="107" s="1"/>
  <c r="D8" i="107" s="1"/>
  <c r="E7" i="107" s="1"/>
  <c r="E6" i="30"/>
  <c r="J13" i="28"/>
  <c r="C28" i="28" s="1"/>
  <c r="O100" i="101"/>
  <c r="E94" i="146"/>
  <c r="I94" i="146" s="1"/>
  <c r="E4" i="46"/>
  <c r="H11" i="28" s="1"/>
  <c r="B11" i="28"/>
  <c r="F45" i="173"/>
  <c r="H45" i="173" s="1"/>
  <c r="G46" i="174" s="1"/>
  <c r="H46" i="174" s="1"/>
  <c r="G46" i="175" s="1"/>
  <c r="K22" i="69"/>
  <c r="F21" i="173"/>
  <c r="H21" i="173" s="1"/>
  <c r="G21" i="174" s="1"/>
  <c r="H21" i="174" s="1"/>
  <c r="G21" i="175" s="1"/>
  <c r="E21" i="175" s="1"/>
  <c r="F44" i="173"/>
  <c r="H44" i="173" s="1"/>
  <c r="G44" i="174" s="1"/>
  <c r="H44" i="174" s="1"/>
  <c r="G44" i="175" s="1"/>
  <c r="E44" i="175" s="1"/>
  <c r="F35" i="173"/>
  <c r="H35" i="173" s="1"/>
  <c r="G35" i="174" s="1"/>
  <c r="H35" i="174" s="1"/>
  <c r="G35" i="175" s="1"/>
  <c r="E35" i="175" s="1"/>
  <c r="F39" i="173"/>
  <c r="H39" i="173" s="1"/>
  <c r="G39" i="174" s="1"/>
  <c r="H39" i="174" s="1"/>
  <c r="G39" i="175" s="1"/>
  <c r="E39" i="175" s="1"/>
  <c r="F12" i="173"/>
  <c r="H12" i="173" s="1"/>
  <c r="G12" i="174" s="1"/>
  <c r="H12" i="174" s="1"/>
  <c r="G12" i="175" s="1"/>
  <c r="F24" i="173"/>
  <c r="H24" i="173" s="1"/>
  <c r="G24" i="174" s="1"/>
  <c r="H24" i="174" s="1"/>
  <c r="G24" i="175" s="1"/>
  <c r="E24" i="175" s="1"/>
  <c r="F17" i="173"/>
  <c r="H17" i="173" s="1"/>
  <c r="G17" i="174" s="1"/>
  <c r="H17" i="174" s="1"/>
  <c r="G17" i="175" s="1"/>
  <c r="E17" i="175" s="1"/>
  <c r="F38" i="173"/>
  <c r="H38" i="173" s="1"/>
  <c r="G38" i="174" s="1"/>
  <c r="H38" i="174" s="1"/>
  <c r="G38" i="175" s="1"/>
  <c r="F25" i="173"/>
  <c r="H25" i="173" s="1"/>
  <c r="G25" i="174" s="1"/>
  <c r="H25" i="174" s="1"/>
  <c r="G25" i="175" s="1"/>
  <c r="F160" i="149" s="1"/>
  <c r="E138" i="146" s="1"/>
  <c r="I138" i="146" s="1"/>
  <c r="F20" i="173"/>
  <c r="H20" i="173" s="1"/>
  <c r="G20" i="174" s="1"/>
  <c r="H20" i="174" s="1"/>
  <c r="G20" i="175" s="1"/>
  <c r="E20" i="175" s="1"/>
  <c r="F11" i="173"/>
  <c r="H11" i="173" s="1"/>
  <c r="G11" i="174" s="1"/>
  <c r="H11" i="174" s="1"/>
  <c r="G11" i="175" s="1"/>
  <c r="F15" i="173"/>
  <c r="H15" i="173" s="1"/>
  <c r="G15" i="174" s="1"/>
  <c r="H15" i="174" s="1"/>
  <c r="G15" i="175" s="1"/>
  <c r="E15" i="175" s="1"/>
  <c r="F9" i="173"/>
  <c r="H9" i="173" s="1"/>
  <c r="G9" i="174" s="1"/>
  <c r="H9" i="174" s="1"/>
  <c r="G9" i="175" s="1"/>
  <c r="E9" i="175" s="1"/>
  <c r="F36" i="173"/>
  <c r="H36" i="173" s="1"/>
  <c r="G36" i="174" s="1"/>
  <c r="H36" i="174" s="1"/>
  <c r="G36" i="175" s="1"/>
  <c r="E36" i="175" s="1"/>
  <c r="F29" i="173"/>
  <c r="H29" i="173" s="1"/>
  <c r="G29" i="174" s="1"/>
  <c r="H29" i="174" s="1"/>
  <c r="G29" i="175" s="1"/>
  <c r="F28" i="173"/>
  <c r="H28" i="173" s="1"/>
  <c r="G28" i="174" s="1"/>
  <c r="H28" i="174" s="1"/>
  <c r="G28" i="175" s="1"/>
  <c r="E28" i="175" s="1"/>
  <c r="F18" i="173"/>
  <c r="H18" i="173" s="1"/>
  <c r="G18" i="174" s="1"/>
  <c r="H18" i="174" s="1"/>
  <c r="G18" i="175" s="1"/>
  <c r="F31" i="173"/>
  <c r="H31" i="173" s="1"/>
  <c r="G31" i="174" s="1"/>
  <c r="H31" i="174" s="1"/>
  <c r="G31" i="175" s="1"/>
  <c r="F16" i="173"/>
  <c r="H16" i="173" s="1"/>
  <c r="G16" i="174" s="1"/>
  <c r="H16" i="174" s="1"/>
  <c r="G16" i="175" s="1"/>
  <c r="E16" i="175" s="1"/>
  <c r="F34" i="173"/>
  <c r="H34" i="173" s="1"/>
  <c r="G34" i="174" s="1"/>
  <c r="H34" i="174" s="1"/>
  <c r="G34" i="175" s="1"/>
  <c r="E34" i="175" s="1"/>
  <c r="F42" i="173"/>
  <c r="H42" i="173" s="1"/>
  <c r="G42" i="174" s="1"/>
  <c r="H42" i="174" s="1"/>
  <c r="G42" i="175" s="1"/>
  <c r="F23" i="173"/>
  <c r="H23" i="173" s="1"/>
  <c r="G23" i="174" s="1"/>
  <c r="H23" i="174" s="1"/>
  <c r="G23" i="175" s="1"/>
  <c r="F232" i="149" s="1"/>
  <c r="E204" i="146" s="1"/>
  <c r="I204" i="146" s="1"/>
  <c r="F37" i="173"/>
  <c r="H37" i="173" s="1"/>
  <c r="G37" i="174" s="1"/>
  <c r="H37" i="174" s="1"/>
  <c r="G37" i="175" s="1"/>
  <c r="F13" i="173"/>
  <c r="H13" i="173" s="1"/>
  <c r="G13" i="174" s="1"/>
  <c r="H13" i="174" s="1"/>
  <c r="G13" i="175" s="1"/>
  <c r="E13" i="175" s="1"/>
  <c r="F33" i="173"/>
  <c r="H33" i="173" s="1"/>
  <c r="G33" i="174" s="1"/>
  <c r="H33" i="174" s="1"/>
  <c r="G33" i="175" s="1"/>
  <c r="E33" i="175" s="1"/>
  <c r="F43" i="173"/>
  <c r="H43" i="173" s="1"/>
  <c r="G43" i="174" s="1"/>
  <c r="H43" i="174" s="1"/>
  <c r="G43" i="175" s="1"/>
  <c r="E43" i="175" s="1"/>
  <c r="F8" i="173"/>
  <c r="H8" i="173" s="1"/>
  <c r="G8" i="174" s="1"/>
  <c r="H8" i="174" s="1"/>
  <c r="G8" i="175" s="1"/>
  <c r="F30" i="173"/>
  <c r="H30" i="173" s="1"/>
  <c r="G30" i="174" s="1"/>
  <c r="H30" i="174" s="1"/>
  <c r="G30" i="175" s="1"/>
  <c r="E30" i="175" s="1"/>
  <c r="F22" i="173"/>
  <c r="H22" i="173" s="1"/>
  <c r="G22" i="174" s="1"/>
  <c r="H22" i="174" s="1"/>
  <c r="G22" i="175" s="1"/>
  <c r="E22" i="175" s="1"/>
  <c r="F19" i="173"/>
  <c r="H19" i="173" s="1"/>
  <c r="G19" i="174" s="1"/>
  <c r="H19" i="174" s="1"/>
  <c r="G19" i="175" s="1"/>
  <c r="F46" i="173"/>
  <c r="H46" i="173" s="1"/>
  <c r="G47" i="174" s="1"/>
  <c r="H47" i="174" s="1"/>
  <c r="G47" i="175" s="1"/>
  <c r="E47" i="175" s="1"/>
  <c r="F32" i="173"/>
  <c r="H32" i="173" s="1"/>
  <c r="G32" i="174" s="1"/>
  <c r="H32" i="174" s="1"/>
  <c r="G32" i="175" s="1"/>
  <c r="F27" i="173"/>
  <c r="H27" i="173" s="1"/>
  <c r="G27" i="174" s="1"/>
  <c r="H27" i="174" s="1"/>
  <c r="G27" i="175" s="1"/>
  <c r="F171" i="149" s="1"/>
  <c r="E150" i="146" s="1"/>
  <c r="I150" i="146" s="1"/>
  <c r="F14" i="173"/>
  <c r="H14" i="173" s="1"/>
  <c r="G14" i="174" s="1"/>
  <c r="H14" i="174" s="1"/>
  <c r="G14" i="175" s="1"/>
  <c r="E14" i="175" s="1"/>
  <c r="F10" i="173"/>
  <c r="H10" i="173" s="1"/>
  <c r="G10" i="174" s="1"/>
  <c r="H10" i="174" s="1"/>
  <c r="G10" i="175" s="1"/>
  <c r="E10" i="175" s="1"/>
  <c r="F26" i="173"/>
  <c r="H26" i="173" s="1"/>
  <c r="G26" i="174" s="1"/>
  <c r="H26" i="174" s="1"/>
  <c r="G26" i="175" s="1"/>
  <c r="E26" i="175" s="1"/>
  <c r="E45" i="173"/>
  <c r="G45" i="173" s="1"/>
  <c r="I46" i="175" s="1"/>
  <c r="E24" i="173"/>
  <c r="G24" i="173" s="1"/>
  <c r="I24" i="175" s="1"/>
  <c r="E17" i="173"/>
  <c r="G17" i="173" s="1"/>
  <c r="I17" i="175" s="1"/>
  <c r="E25" i="173"/>
  <c r="G25" i="173" s="1"/>
  <c r="I25" i="175" s="1"/>
  <c r="E29" i="173"/>
  <c r="G29" i="173" s="1"/>
  <c r="I29" i="175" s="1"/>
  <c r="E27" i="173"/>
  <c r="G27" i="173" s="1"/>
  <c r="I27" i="175" s="1"/>
  <c r="E22" i="173"/>
  <c r="G22" i="173" s="1"/>
  <c r="I22" i="175" s="1"/>
  <c r="E14" i="173"/>
  <c r="G14" i="173" s="1"/>
  <c r="I14" i="175" s="1"/>
  <c r="E34" i="173"/>
  <c r="G34" i="173" s="1"/>
  <c r="I34" i="175" s="1"/>
  <c r="E26" i="173"/>
  <c r="G26" i="173" s="1"/>
  <c r="I26" i="175" s="1"/>
  <c r="E44" i="173"/>
  <c r="G44" i="173" s="1"/>
  <c r="I44" i="175" s="1"/>
  <c r="E39" i="173"/>
  <c r="G39" i="173" s="1"/>
  <c r="I39" i="175" s="1"/>
  <c r="E8" i="173"/>
  <c r="G8" i="173" s="1"/>
  <c r="I8" i="175" s="1"/>
  <c r="E38" i="173"/>
  <c r="G38" i="173" s="1"/>
  <c r="I38" i="175" s="1"/>
  <c r="E20" i="173"/>
  <c r="G20" i="173" s="1"/>
  <c r="I20" i="175" s="1"/>
  <c r="E15" i="173"/>
  <c r="G15" i="173" s="1"/>
  <c r="I15" i="175" s="1"/>
  <c r="E36" i="173"/>
  <c r="G36" i="173" s="1"/>
  <c r="I36" i="175" s="1"/>
  <c r="E19" i="173"/>
  <c r="G19" i="173" s="1"/>
  <c r="I19" i="175" s="1"/>
  <c r="E37" i="173"/>
  <c r="G37" i="173" s="1"/>
  <c r="I37" i="175" s="1"/>
  <c r="E46" i="173"/>
  <c r="G46" i="173" s="1"/>
  <c r="I47" i="175" s="1"/>
  <c r="O102" i="101"/>
  <c r="E21" i="173"/>
  <c r="G21" i="173" s="1"/>
  <c r="I21" i="175" s="1"/>
  <c r="E35" i="173"/>
  <c r="G35" i="173" s="1"/>
  <c r="I35" i="175" s="1"/>
  <c r="E12" i="173"/>
  <c r="G12" i="173" s="1"/>
  <c r="I12" i="175" s="1"/>
  <c r="E32" i="173"/>
  <c r="G32" i="173" s="1"/>
  <c r="I32" i="175" s="1"/>
  <c r="E30" i="173"/>
  <c r="G30" i="173" s="1"/>
  <c r="I30" i="175" s="1"/>
  <c r="E11" i="173"/>
  <c r="G11" i="173" s="1"/>
  <c r="I11" i="175" s="1"/>
  <c r="E9" i="173"/>
  <c r="G9" i="173" s="1"/>
  <c r="I9" i="175" s="1"/>
  <c r="E28" i="173"/>
  <c r="G28" i="173" s="1"/>
  <c r="I28" i="175" s="1"/>
  <c r="E18" i="173"/>
  <c r="G18" i="173" s="1"/>
  <c r="I18" i="175" s="1"/>
  <c r="E31" i="173"/>
  <c r="G31" i="173" s="1"/>
  <c r="I31" i="175" s="1"/>
  <c r="E16" i="173"/>
  <c r="G16" i="173" s="1"/>
  <c r="I16" i="175" s="1"/>
  <c r="E10" i="173"/>
  <c r="G10" i="173" s="1"/>
  <c r="I10" i="175" s="1"/>
  <c r="E42" i="173"/>
  <c r="G42" i="173" s="1"/>
  <c r="I42" i="175" s="1"/>
  <c r="E23" i="173"/>
  <c r="G23" i="173" s="1"/>
  <c r="I23" i="175" s="1"/>
  <c r="E13" i="173"/>
  <c r="G13" i="173" s="1"/>
  <c r="I13" i="175" s="1"/>
  <c r="E33" i="173"/>
  <c r="G33" i="173" s="1"/>
  <c r="I33" i="175" s="1"/>
  <c r="E43" i="173"/>
  <c r="G43" i="173" s="1"/>
  <c r="I43" i="175" s="1"/>
  <c r="N17" i="140" l="1"/>
  <c r="Q17" i="140" s="1"/>
  <c r="P142" i="71" s="1"/>
  <c r="N15" i="140"/>
  <c r="Q15" i="140" s="1"/>
  <c r="N18" i="140"/>
  <c r="Q18" i="140" s="1"/>
  <c r="P141" i="71" s="1"/>
  <c r="N14" i="140"/>
  <c r="Q14" i="140" s="1"/>
  <c r="N12" i="140"/>
  <c r="Q12" i="140" s="1"/>
  <c r="N9" i="140"/>
  <c r="Q9" i="140" s="1"/>
  <c r="P135" i="71" s="1"/>
  <c r="N11" i="140"/>
  <c r="Q11" i="140" s="1"/>
  <c r="P103" i="71" s="1"/>
  <c r="B7" i="28"/>
  <c r="B18" i="28" s="1"/>
  <c r="N13" i="140"/>
  <c r="Q13" i="140" s="1"/>
  <c r="P114" i="71" s="1"/>
  <c r="N20" i="140"/>
  <c r="Q20" i="140" s="1"/>
  <c r="P60" i="71" s="1"/>
  <c r="N10" i="140"/>
  <c r="Q10" i="140" s="1"/>
  <c r="P49" i="71" s="1"/>
  <c r="N19" i="140"/>
  <c r="Q19" i="140" s="1"/>
  <c r="P90" i="71" s="1"/>
  <c r="N8" i="140"/>
  <c r="Q8" i="140" s="1"/>
  <c r="P55" i="71" s="1"/>
  <c r="N21" i="140"/>
  <c r="Q21" i="140" s="1"/>
  <c r="P119" i="71" s="1"/>
  <c r="N7" i="140"/>
  <c r="Q7" i="140" s="1"/>
  <c r="P131" i="71" s="1"/>
  <c r="N25" i="140"/>
  <c r="Q25" i="140" s="1"/>
  <c r="P67" i="71" s="1"/>
  <c r="N27" i="140"/>
  <c r="Q27" i="140" s="1"/>
  <c r="P28" i="71" s="1"/>
  <c r="N26" i="140"/>
  <c r="Q26" i="140" s="1"/>
  <c r="P65" i="71" s="1"/>
  <c r="N28" i="140"/>
  <c r="Q28" i="140" s="1"/>
  <c r="P107" i="71" s="1"/>
  <c r="B4" i="110"/>
  <c r="N29" i="140"/>
  <c r="Q29" i="140" s="1"/>
  <c r="P122" i="71" s="1"/>
  <c r="C7" i="30"/>
  <c r="A13" i="30" s="1"/>
  <c r="F19" i="140"/>
  <c r="I19" i="140" s="1"/>
  <c r="J98" i="71" s="1"/>
  <c r="F13" i="140"/>
  <c r="I13" i="140" s="1"/>
  <c r="J115" i="71" s="1"/>
  <c r="F15" i="140"/>
  <c r="I15" i="140" s="1"/>
  <c r="J125" i="71" s="1"/>
  <c r="B19" i="28"/>
  <c r="D7" i="203"/>
  <c r="F72" i="149"/>
  <c r="E66" i="146" s="1"/>
  <c r="I66" i="146" s="1"/>
  <c r="E42" i="175"/>
  <c r="J42" i="175" s="1"/>
  <c r="G72" i="149" s="1"/>
  <c r="F66" i="146" s="1"/>
  <c r="J66" i="146" s="1"/>
  <c r="F86" i="149"/>
  <c r="E78" i="146" s="1"/>
  <c r="I78" i="146" s="1"/>
  <c r="E12" i="175"/>
  <c r="J12" i="175" s="1"/>
  <c r="G86" i="149" s="1"/>
  <c r="F78" i="146" s="1"/>
  <c r="J78" i="146" s="1"/>
  <c r="F245" i="149"/>
  <c r="E214" i="146" s="1"/>
  <c r="I214" i="146" s="1"/>
  <c r="E31" i="175"/>
  <c r="J31" i="175" s="1"/>
  <c r="G245" i="149" s="1"/>
  <c r="F214" i="146" s="1"/>
  <c r="J214" i="146" s="1"/>
  <c r="F17" i="140"/>
  <c r="I17" i="140" s="1"/>
  <c r="J142" i="71" s="1"/>
  <c r="F25" i="140"/>
  <c r="I25" i="140" s="1"/>
  <c r="J68" i="71" s="1"/>
  <c r="F18" i="140"/>
  <c r="I18" i="140" s="1"/>
  <c r="J141" i="71" s="1"/>
  <c r="F9" i="140"/>
  <c r="I9" i="140" s="1"/>
  <c r="J143" i="71" s="1"/>
  <c r="F11" i="140"/>
  <c r="I11" i="140" s="1"/>
  <c r="J102" i="71" s="1"/>
  <c r="F16" i="140"/>
  <c r="I16" i="140" s="1"/>
  <c r="J132" i="71" s="1"/>
  <c r="F20" i="140"/>
  <c r="I20" i="140" s="1"/>
  <c r="J69" i="71" s="1"/>
  <c r="F8" i="140"/>
  <c r="I8" i="140" s="1"/>
  <c r="J58" i="71" s="1"/>
  <c r="F27" i="140"/>
  <c r="I27" i="140" s="1"/>
  <c r="J21" i="71" s="1"/>
  <c r="F7" i="140"/>
  <c r="I7" i="140" s="1"/>
  <c r="J131" i="71" s="1"/>
  <c r="F21" i="140"/>
  <c r="I21" i="140" s="1"/>
  <c r="J119" i="71" s="1"/>
  <c r="F12" i="140"/>
  <c r="I12" i="140" s="1"/>
  <c r="J117" i="71" s="1"/>
  <c r="F26" i="140"/>
  <c r="I26" i="140" s="1"/>
  <c r="J64" i="71" s="1"/>
  <c r="F29" i="140"/>
  <c r="I29" i="140" s="1"/>
  <c r="J122" i="71" s="1"/>
  <c r="F28" i="140"/>
  <c r="I28" i="140" s="1"/>
  <c r="J107" i="71" s="1"/>
  <c r="F14" i="140"/>
  <c r="I14" i="140" s="1"/>
  <c r="J84" i="71" s="1"/>
  <c r="B22" i="28"/>
  <c r="D10" i="203"/>
  <c r="H22" i="28"/>
  <c r="G10" i="203"/>
  <c r="F78" i="149"/>
  <c r="E72" i="146" s="1"/>
  <c r="I72" i="146" s="1"/>
  <c r="F85" i="149"/>
  <c r="E77" i="146" s="1"/>
  <c r="I77" i="146" s="1"/>
  <c r="F79" i="149"/>
  <c r="E73" i="146" s="1"/>
  <c r="I73" i="146" s="1"/>
  <c r="F265" i="149"/>
  <c r="E232" i="146" s="1"/>
  <c r="I232" i="146" s="1"/>
  <c r="F266" i="149"/>
  <c r="E233" i="146" s="1"/>
  <c r="I233" i="146" s="1"/>
  <c r="F80" i="149"/>
  <c r="E74" i="146" s="1"/>
  <c r="I74" i="146" s="1"/>
  <c r="F267" i="149"/>
  <c r="E234" i="146" s="1"/>
  <c r="I234" i="146" s="1"/>
  <c r="F63" i="149"/>
  <c r="E57" i="146" s="1"/>
  <c r="I57" i="146" s="1"/>
  <c r="F268" i="149"/>
  <c r="E235" i="146" s="1"/>
  <c r="I235" i="146" s="1"/>
  <c r="F144" i="149"/>
  <c r="E124" i="146" s="1"/>
  <c r="I124" i="146" s="1"/>
  <c r="F145" i="149"/>
  <c r="E125" i="146" s="1"/>
  <c r="I125" i="146" s="1"/>
  <c r="F102" i="149"/>
  <c r="E90" i="146" s="1"/>
  <c r="I90" i="146" s="1"/>
  <c r="F101" i="149"/>
  <c r="E89" i="146" s="1"/>
  <c r="I89" i="146" s="1"/>
  <c r="F9" i="149"/>
  <c r="E9" i="146" s="1"/>
  <c r="I9" i="146" s="1"/>
  <c r="F200" i="149"/>
  <c r="E176" i="146" s="1"/>
  <c r="I176" i="146" s="1"/>
  <c r="F279" i="149"/>
  <c r="E244" i="146" s="1"/>
  <c r="I244" i="146" s="1"/>
  <c r="F259" i="149"/>
  <c r="E227" i="146" s="1"/>
  <c r="I227" i="146" s="1"/>
  <c r="F48" i="149"/>
  <c r="E46" i="146" s="1"/>
  <c r="I46" i="146" s="1"/>
  <c r="F8" i="149"/>
  <c r="E8" i="146" s="1"/>
  <c r="I8" i="146" s="1"/>
  <c r="F260" i="149"/>
  <c r="E228" i="146" s="1"/>
  <c r="I228" i="146" s="1"/>
  <c r="F280" i="149"/>
  <c r="E245" i="146" s="1"/>
  <c r="I245" i="146" s="1"/>
  <c r="F281" i="149"/>
  <c r="E246" i="146" s="1"/>
  <c r="I246" i="146" s="1"/>
  <c r="F69" i="149"/>
  <c r="E63" i="146" s="1"/>
  <c r="I63" i="146" s="1"/>
  <c r="F68" i="149"/>
  <c r="E62" i="146" s="1"/>
  <c r="I62" i="146" s="1"/>
  <c r="F137" i="149"/>
  <c r="E118" i="146" s="1"/>
  <c r="I118" i="146" s="1"/>
  <c r="F20" i="149"/>
  <c r="E20" i="146" s="1"/>
  <c r="I20" i="146" s="1"/>
  <c r="F227" i="149"/>
  <c r="E199" i="146" s="1"/>
  <c r="I199" i="146" s="1"/>
  <c r="F87" i="149"/>
  <c r="E79" i="146" s="1"/>
  <c r="I79" i="146" s="1"/>
  <c r="F228" i="149"/>
  <c r="E200" i="146" s="1"/>
  <c r="I200" i="146" s="1"/>
  <c r="F88" i="149"/>
  <c r="E80" i="146" s="1"/>
  <c r="I80" i="146" s="1"/>
  <c r="F229" i="149"/>
  <c r="E201" i="146" s="1"/>
  <c r="I201" i="146" s="1"/>
  <c r="F74" i="149"/>
  <c r="E69" i="146" s="1"/>
  <c r="I69" i="146" s="1"/>
  <c r="F75" i="149"/>
  <c r="E70" i="146" s="1"/>
  <c r="I70" i="146" s="1"/>
  <c r="F168" i="149"/>
  <c r="E146" i="146" s="1"/>
  <c r="I146" i="146" s="1"/>
  <c r="F167" i="149"/>
  <c r="E145" i="146" s="1"/>
  <c r="I145" i="146" s="1"/>
  <c r="F148" i="149"/>
  <c r="E128" i="146" s="1"/>
  <c r="I128" i="146" s="1"/>
  <c r="F147" i="149"/>
  <c r="E127" i="146" s="1"/>
  <c r="I127" i="146" s="1"/>
  <c r="F213" i="149"/>
  <c r="J26" i="175"/>
  <c r="G213" i="149" s="1"/>
  <c r="F70" i="149"/>
  <c r="E64" i="146" s="1"/>
  <c r="I64" i="146" s="1"/>
  <c r="F71" i="149"/>
  <c r="E65" i="146" s="1"/>
  <c r="I65" i="146" s="1"/>
  <c r="F67" i="149"/>
  <c r="E61" i="146" s="1"/>
  <c r="I61" i="146" s="1"/>
  <c r="J14" i="175"/>
  <c r="F256" i="149"/>
  <c r="E224" i="146" s="1"/>
  <c r="I224" i="146" s="1"/>
  <c r="F249" i="149"/>
  <c r="F257" i="149"/>
  <c r="E225" i="146" s="1"/>
  <c r="I225" i="146" s="1"/>
  <c r="E32" i="175"/>
  <c r="J32" i="175" s="1"/>
  <c r="E19" i="175"/>
  <c r="J19" i="175" s="1"/>
  <c r="F125" i="149"/>
  <c r="F123" i="149"/>
  <c r="E108" i="146" s="1"/>
  <c r="I108" i="146" s="1"/>
  <c r="F124" i="149"/>
  <c r="F122" i="149"/>
  <c r="E107" i="146" s="1"/>
  <c r="I107" i="146" s="1"/>
  <c r="F121" i="149"/>
  <c r="E106" i="146" s="1"/>
  <c r="I106" i="146" s="1"/>
  <c r="F25" i="149"/>
  <c r="E24" i="146" s="1"/>
  <c r="I24" i="146" s="1"/>
  <c r="F220" i="149"/>
  <c r="E193" i="146" s="1"/>
  <c r="I193" i="146" s="1"/>
  <c r="F204" i="149"/>
  <c r="E182" i="146" s="1"/>
  <c r="I182" i="146" s="1"/>
  <c r="F235" i="149"/>
  <c r="F207" i="149"/>
  <c r="E142" i="146" s="1"/>
  <c r="I142" i="146" s="1"/>
  <c r="F24" i="149"/>
  <c r="F275" i="149"/>
  <c r="E239" i="146" s="1"/>
  <c r="I239" i="146" s="1"/>
  <c r="F219" i="149"/>
  <c r="E192" i="146" s="1"/>
  <c r="I192" i="146" s="1"/>
  <c r="F23" i="149"/>
  <c r="E23" i="146" s="1"/>
  <c r="I23" i="146" s="1"/>
  <c r="F206" i="149"/>
  <c r="E181" i="146" s="1"/>
  <c r="I181" i="146" s="1"/>
  <c r="F205" i="149"/>
  <c r="E180" i="146" s="1"/>
  <c r="I180" i="146" s="1"/>
  <c r="F237" i="149"/>
  <c r="E208" i="146" s="1"/>
  <c r="I208" i="146" s="1"/>
  <c r="F238" i="149"/>
  <c r="E209" i="146" s="1"/>
  <c r="I209" i="146" s="1"/>
  <c r="F221" i="149"/>
  <c r="E194" i="146" s="1"/>
  <c r="I194" i="146" s="1"/>
  <c r="F236" i="149"/>
  <c r="E207" i="146" s="1"/>
  <c r="I207" i="146" s="1"/>
  <c r="J30" i="175"/>
  <c r="F226" i="149"/>
  <c r="E157" i="146" s="1"/>
  <c r="I157" i="146" s="1"/>
  <c r="J43" i="175"/>
  <c r="G226" i="149" s="1"/>
  <c r="F157" i="146" s="1"/>
  <c r="J157" i="146" s="1"/>
  <c r="F66" i="149"/>
  <c r="E60" i="146" s="1"/>
  <c r="I60" i="146" s="1"/>
  <c r="J13" i="175"/>
  <c r="G66" i="149" s="1"/>
  <c r="F60" i="146" s="1"/>
  <c r="J60" i="146" s="1"/>
  <c r="E23" i="175"/>
  <c r="J23" i="175" s="1"/>
  <c r="G232" i="149" s="1"/>
  <c r="F204" i="146" s="1"/>
  <c r="J204" i="146" s="1"/>
  <c r="F234" i="149"/>
  <c r="E206" i="146" s="1"/>
  <c r="I206" i="146" s="1"/>
  <c r="F233" i="149"/>
  <c r="E205" i="146" s="1"/>
  <c r="I205" i="146" s="1"/>
  <c r="F240" i="149"/>
  <c r="E211" i="146" s="1"/>
  <c r="I211" i="146" s="1"/>
  <c r="F243" i="149"/>
  <c r="F239" i="149"/>
  <c r="E210" i="146" s="1"/>
  <c r="I210" i="146" s="1"/>
  <c r="F242" i="149"/>
  <c r="E212" i="146" s="1"/>
  <c r="I212" i="146" s="1"/>
  <c r="F241" i="149"/>
  <c r="J34" i="175"/>
  <c r="F248" i="149"/>
  <c r="E217" i="146" s="1"/>
  <c r="I217" i="146" s="1"/>
  <c r="F247" i="149"/>
  <c r="E216" i="146" s="1"/>
  <c r="I216" i="146" s="1"/>
  <c r="F246" i="149"/>
  <c r="E215" i="146" s="1"/>
  <c r="I215" i="146" s="1"/>
  <c r="F218" i="149"/>
  <c r="E191" i="146" s="1"/>
  <c r="I191" i="146" s="1"/>
  <c r="F217" i="149"/>
  <c r="E190" i="146" s="1"/>
  <c r="I190" i="146" s="1"/>
  <c r="J28" i="175"/>
  <c r="F216" i="149"/>
  <c r="F215" i="149"/>
  <c r="E189" i="146" s="1"/>
  <c r="I189" i="146" s="1"/>
  <c r="F277" i="149"/>
  <c r="E241" i="146" s="1"/>
  <c r="I241" i="146" s="1"/>
  <c r="F276" i="149"/>
  <c r="E240" i="146" s="1"/>
  <c r="I240" i="146" s="1"/>
  <c r="J36" i="175"/>
  <c r="F76" i="149"/>
  <c r="E71" i="146" s="1"/>
  <c r="I71" i="146" s="1"/>
  <c r="F73" i="149"/>
  <c r="E67" i="146" s="1"/>
  <c r="I67" i="146" s="1"/>
  <c r="F77" i="149"/>
  <c r="E68" i="146" s="1"/>
  <c r="I68" i="146" s="1"/>
  <c r="J15" i="175"/>
  <c r="F129" i="149"/>
  <c r="F127" i="149"/>
  <c r="E110" i="146" s="1"/>
  <c r="I110" i="146" s="1"/>
  <c r="F126" i="149"/>
  <c r="E109" i="146" s="1"/>
  <c r="I109" i="146" s="1"/>
  <c r="J20" i="175"/>
  <c r="F128" i="149"/>
  <c r="E111" i="146" s="1"/>
  <c r="I111" i="146" s="1"/>
  <c r="F314" i="149"/>
  <c r="F310" i="149"/>
  <c r="E267" i="146" s="1"/>
  <c r="I267" i="146" s="1"/>
  <c r="F313" i="149"/>
  <c r="E270" i="146" s="1"/>
  <c r="I270" i="146" s="1"/>
  <c r="F315" i="149"/>
  <c r="E271" i="146" s="1"/>
  <c r="I271" i="146" s="1"/>
  <c r="F312" i="149"/>
  <c r="E269" i="146" s="1"/>
  <c r="I269" i="146" s="1"/>
  <c r="E38" i="175"/>
  <c r="J38" i="175" s="1"/>
  <c r="F311" i="149"/>
  <c r="E268" i="146" s="1"/>
  <c r="I268" i="146" s="1"/>
  <c r="F316" i="149"/>
  <c r="E272" i="146" s="1"/>
  <c r="I272" i="146" s="1"/>
  <c r="F151" i="149"/>
  <c r="F154" i="149"/>
  <c r="E132" i="146" s="1"/>
  <c r="I132" i="146" s="1"/>
  <c r="F155" i="149"/>
  <c r="E133" i="146" s="1"/>
  <c r="I133" i="146" s="1"/>
  <c r="F153" i="149"/>
  <c r="E131" i="146" s="1"/>
  <c r="I131" i="146" s="1"/>
  <c r="F139" i="149"/>
  <c r="E120" i="146" s="1"/>
  <c r="I120" i="146" s="1"/>
  <c r="F138" i="149"/>
  <c r="E119" i="146" s="1"/>
  <c r="I119" i="146" s="1"/>
  <c r="F152" i="149"/>
  <c r="J24" i="175"/>
  <c r="J39" i="175"/>
  <c r="F202" i="149"/>
  <c r="E178" i="146" s="1"/>
  <c r="I178" i="146" s="1"/>
  <c r="F47" i="149"/>
  <c r="E45" i="146" s="1"/>
  <c r="I45" i="146" s="1"/>
  <c r="F7" i="149"/>
  <c r="E7" i="146" s="1"/>
  <c r="I7" i="146" s="1"/>
  <c r="F203" i="149"/>
  <c r="E179" i="146" s="1"/>
  <c r="I179" i="146" s="1"/>
  <c r="F254" i="149"/>
  <c r="E222" i="146" s="1"/>
  <c r="I222" i="146" s="1"/>
  <c r="F45" i="149"/>
  <c r="E43" i="146" s="1"/>
  <c r="I43" i="146" s="1"/>
  <c r="F253" i="149"/>
  <c r="E221" i="146" s="1"/>
  <c r="I221" i="146" s="1"/>
  <c r="F181" i="149"/>
  <c r="E159" i="146" s="1"/>
  <c r="I159" i="146" s="1"/>
  <c r="F11" i="149"/>
  <c r="E11" i="146" s="1"/>
  <c r="I11" i="146" s="1"/>
  <c r="F46" i="149"/>
  <c r="E44" i="146" s="1"/>
  <c r="I44" i="146" s="1"/>
  <c r="F159" i="149"/>
  <c r="F10" i="149"/>
  <c r="E10" i="146" s="1"/>
  <c r="I10" i="146" s="1"/>
  <c r="F201" i="149"/>
  <c r="E177" i="146" s="1"/>
  <c r="I177" i="146" s="1"/>
  <c r="F255" i="149"/>
  <c r="E223" i="146" s="1"/>
  <c r="I223" i="146" s="1"/>
  <c r="F165" i="149"/>
  <c r="E143" i="146" s="1"/>
  <c r="I143" i="146" s="1"/>
  <c r="F293" i="149"/>
  <c r="E254" i="146" s="1"/>
  <c r="I254" i="146" s="1"/>
  <c r="F319" i="149"/>
  <c r="E275" i="146" s="1"/>
  <c r="I275" i="146" s="1"/>
  <c r="F196" i="149"/>
  <c r="E172" i="146" s="1"/>
  <c r="I172" i="146" s="1"/>
  <c r="F164" i="149"/>
  <c r="E141" i="146" s="1"/>
  <c r="I141" i="146" s="1"/>
  <c r="F190" i="149"/>
  <c r="E169" i="146" s="1"/>
  <c r="I169" i="146" s="1"/>
  <c r="F55" i="149"/>
  <c r="E51" i="146" s="1"/>
  <c r="I51" i="146" s="1"/>
  <c r="F141" i="149"/>
  <c r="E122" i="146" s="1"/>
  <c r="I122" i="146" s="1"/>
  <c r="F320" i="149"/>
  <c r="E276" i="146" s="1"/>
  <c r="I276" i="146" s="1"/>
  <c r="F191" i="149"/>
  <c r="E168" i="146" s="1"/>
  <c r="I168" i="146" s="1"/>
  <c r="F295" i="149"/>
  <c r="E256" i="146" s="1"/>
  <c r="I256" i="146" s="1"/>
  <c r="F297" i="149"/>
  <c r="E258" i="146" s="1"/>
  <c r="I258" i="146" s="1"/>
  <c r="F40" i="149"/>
  <c r="E39" i="146" s="1"/>
  <c r="I39" i="146" s="1"/>
  <c r="F188" i="149"/>
  <c r="E166" i="146" s="1"/>
  <c r="I166" i="146" s="1"/>
  <c r="F244" i="149"/>
  <c r="E213" i="146" s="1"/>
  <c r="I213" i="146" s="1"/>
  <c r="F194" i="149"/>
  <c r="F140" i="149"/>
  <c r="E121" i="146" s="1"/>
  <c r="I121" i="146" s="1"/>
  <c r="F179" i="149"/>
  <c r="E156" i="146" s="1"/>
  <c r="I156" i="146" s="1"/>
  <c r="F195" i="149"/>
  <c r="F41" i="149"/>
  <c r="E40" i="146" s="1"/>
  <c r="I40" i="146" s="1"/>
  <c r="F292" i="149"/>
  <c r="E253" i="146" s="1"/>
  <c r="I253" i="146" s="1"/>
  <c r="F230" i="149"/>
  <c r="E202" i="146" s="1"/>
  <c r="I202" i="146" s="1"/>
  <c r="F54" i="149"/>
  <c r="E50" i="146" s="1"/>
  <c r="I50" i="146" s="1"/>
  <c r="F231" i="149"/>
  <c r="E203" i="146" s="1"/>
  <c r="I203" i="146" s="1"/>
  <c r="F113" i="149"/>
  <c r="E93" i="146" s="1"/>
  <c r="I93" i="146" s="1"/>
  <c r="F299" i="149"/>
  <c r="E260" i="146" s="1"/>
  <c r="I260" i="146" s="1"/>
  <c r="F186" i="149"/>
  <c r="E164" i="146" s="1"/>
  <c r="I164" i="146" s="1"/>
  <c r="F298" i="149"/>
  <c r="E259" i="146" s="1"/>
  <c r="I259" i="146" s="1"/>
  <c r="F197" i="149"/>
  <c r="E173" i="146" s="1"/>
  <c r="I173" i="146" s="1"/>
  <c r="F38" i="149"/>
  <c r="E37" i="146" s="1"/>
  <c r="I37" i="146" s="1"/>
  <c r="F187" i="149"/>
  <c r="E165" i="146" s="1"/>
  <c r="I165" i="146" s="1"/>
  <c r="F294" i="149"/>
  <c r="E255" i="146" s="1"/>
  <c r="I255" i="146" s="1"/>
  <c r="F185" i="149"/>
  <c r="E163" i="146" s="1"/>
  <c r="I163" i="146" s="1"/>
  <c r="F189" i="149"/>
  <c r="E167" i="146" s="1"/>
  <c r="I167" i="146" s="1"/>
  <c r="F166" i="149"/>
  <c r="E144" i="146" s="1"/>
  <c r="I144" i="146" s="1"/>
  <c r="F158" i="149"/>
  <c r="E136" i="146" s="1"/>
  <c r="I136" i="146" s="1"/>
  <c r="F296" i="149"/>
  <c r="E257" i="146" s="1"/>
  <c r="I257" i="146" s="1"/>
  <c r="F258" i="149"/>
  <c r="E226" i="146" s="1"/>
  <c r="I226" i="146" s="1"/>
  <c r="F180" i="149"/>
  <c r="E158" i="146" s="1"/>
  <c r="I158" i="146" s="1"/>
  <c r="F39" i="149"/>
  <c r="E38" i="146" s="1"/>
  <c r="I38" i="146" s="1"/>
  <c r="J44" i="175"/>
  <c r="K91" i="71"/>
  <c r="L91" i="71" s="1"/>
  <c r="R91" i="71" s="1"/>
  <c r="K94" i="71"/>
  <c r="L94" i="71" s="1"/>
  <c r="R94" i="71" s="1"/>
  <c r="K96" i="71"/>
  <c r="L96" i="71" s="1"/>
  <c r="R96" i="71" s="1"/>
  <c r="K98" i="71"/>
  <c r="L98" i="71" s="1"/>
  <c r="R98" i="71" s="1"/>
  <c r="K100" i="71"/>
  <c r="L100" i="71" s="1"/>
  <c r="R100" i="71" s="1"/>
  <c r="K102" i="71"/>
  <c r="K104" i="71"/>
  <c r="L104" i="71" s="1"/>
  <c r="R104" i="71" s="1"/>
  <c r="K106" i="71"/>
  <c r="L106" i="71" s="1"/>
  <c r="R106" i="71" s="1"/>
  <c r="K108" i="71"/>
  <c r="L108" i="71" s="1"/>
  <c r="R108" i="71" s="1"/>
  <c r="K110" i="71"/>
  <c r="L110" i="71" s="1"/>
  <c r="R110" i="71" s="1"/>
  <c r="K112" i="71"/>
  <c r="K114" i="71"/>
  <c r="K116" i="71"/>
  <c r="L116" i="71" s="1"/>
  <c r="R116" i="71" s="1"/>
  <c r="K118" i="71"/>
  <c r="K120" i="71"/>
  <c r="L120" i="71" s="1"/>
  <c r="R120" i="71" s="1"/>
  <c r="K122" i="71"/>
  <c r="L122" i="71" s="1"/>
  <c r="K124" i="71"/>
  <c r="L124" i="71" s="1"/>
  <c r="R124" i="71" s="1"/>
  <c r="K126" i="71"/>
  <c r="L126" i="71" s="1"/>
  <c r="R126" i="71" s="1"/>
  <c r="K128" i="71"/>
  <c r="L128" i="71" s="1"/>
  <c r="R128" i="71" s="1"/>
  <c r="K130" i="71"/>
  <c r="K132" i="71"/>
  <c r="K134" i="71"/>
  <c r="L134" i="71" s="1"/>
  <c r="R134" i="71" s="1"/>
  <c r="K136" i="71"/>
  <c r="L136" i="71" s="1"/>
  <c r="R136" i="71" s="1"/>
  <c r="K138" i="71"/>
  <c r="L138" i="71" s="1"/>
  <c r="R138" i="71" s="1"/>
  <c r="K140" i="71"/>
  <c r="L140" i="71" s="1"/>
  <c r="R140" i="71" s="1"/>
  <c r="K142" i="71"/>
  <c r="K144" i="71"/>
  <c r="L144" i="71" s="1"/>
  <c r="R144" i="71" s="1"/>
  <c r="K146" i="71"/>
  <c r="L146" i="71" s="1"/>
  <c r="R146" i="71" s="1"/>
  <c r="K148" i="71"/>
  <c r="L148" i="71" s="1"/>
  <c r="R148" i="71" s="1"/>
  <c r="K150" i="71"/>
  <c r="L150" i="71" s="1"/>
  <c r="R150" i="71" s="1"/>
  <c r="K152" i="71"/>
  <c r="L152" i="71" s="1"/>
  <c r="R152" i="71" s="1"/>
  <c r="K154" i="71"/>
  <c r="L154" i="71" s="1"/>
  <c r="R154" i="71" s="1"/>
  <c r="K156" i="71"/>
  <c r="L156" i="71" s="1"/>
  <c r="R156" i="71" s="1"/>
  <c r="K158" i="71"/>
  <c r="L158" i="71" s="1"/>
  <c r="R158" i="71" s="1"/>
  <c r="K160" i="71"/>
  <c r="L160" i="71" s="1"/>
  <c r="R160" i="71" s="1"/>
  <c r="K162" i="71"/>
  <c r="L162" i="71" s="1"/>
  <c r="R162" i="71" s="1"/>
  <c r="K164" i="71"/>
  <c r="L164" i="71" s="1"/>
  <c r="R164" i="71" s="1"/>
  <c r="K166" i="71"/>
  <c r="L166" i="71" s="1"/>
  <c r="R166" i="71" s="1"/>
  <c r="K168" i="71"/>
  <c r="L168" i="71" s="1"/>
  <c r="R168" i="71" s="1"/>
  <c r="K170" i="71"/>
  <c r="L170" i="71" s="1"/>
  <c r="R170" i="71" s="1"/>
  <c r="K172" i="71"/>
  <c r="L172" i="71" s="1"/>
  <c r="R172" i="71" s="1"/>
  <c r="K7" i="71"/>
  <c r="L7" i="71" s="1"/>
  <c r="K8" i="71"/>
  <c r="L8" i="71" s="1"/>
  <c r="R8" i="71" s="1"/>
  <c r="K9" i="71"/>
  <c r="K10" i="71"/>
  <c r="L10" i="71" s="1"/>
  <c r="R10" i="71" s="1"/>
  <c r="K11" i="71"/>
  <c r="L11" i="71" s="1"/>
  <c r="R11" i="71" s="1"/>
  <c r="K12" i="71"/>
  <c r="L12" i="71" s="1"/>
  <c r="R12" i="71" s="1"/>
  <c r="K13" i="71"/>
  <c r="L13" i="71" s="1"/>
  <c r="R13" i="71" s="1"/>
  <c r="K14" i="71"/>
  <c r="L14" i="71" s="1"/>
  <c r="R14" i="71" s="1"/>
  <c r="K15" i="71"/>
  <c r="L15" i="71" s="1"/>
  <c r="R15" i="71" s="1"/>
  <c r="K16" i="71"/>
  <c r="L16" i="71" s="1"/>
  <c r="R16" i="71" s="1"/>
  <c r="K17" i="71"/>
  <c r="L17" i="71" s="1"/>
  <c r="R17" i="71" s="1"/>
  <c r="K18" i="71"/>
  <c r="L18" i="71" s="1"/>
  <c r="R18" i="71" s="1"/>
  <c r="K19" i="71"/>
  <c r="L19" i="71" s="1"/>
  <c r="R19" i="71" s="1"/>
  <c r="K20" i="71"/>
  <c r="L20" i="71" s="1"/>
  <c r="R20" i="71" s="1"/>
  <c r="K21" i="71"/>
  <c r="L21" i="71" s="1"/>
  <c r="K22" i="71"/>
  <c r="L22" i="71" s="1"/>
  <c r="R22" i="71" s="1"/>
  <c r="K23" i="71"/>
  <c r="L23" i="71" s="1"/>
  <c r="R23" i="71" s="1"/>
  <c r="K24" i="71"/>
  <c r="L24" i="71" s="1"/>
  <c r="R24" i="71" s="1"/>
  <c r="K25" i="71"/>
  <c r="L25" i="71" s="1"/>
  <c r="R25" i="71" s="1"/>
  <c r="K26" i="71"/>
  <c r="L26" i="71" s="1"/>
  <c r="R26" i="71" s="1"/>
  <c r="K27" i="71"/>
  <c r="L27" i="71" s="1"/>
  <c r="R27" i="71" s="1"/>
  <c r="K28" i="71"/>
  <c r="L28" i="71" s="1"/>
  <c r="R28" i="71" s="1"/>
  <c r="K29" i="71"/>
  <c r="L29" i="71" s="1"/>
  <c r="R29" i="71" s="1"/>
  <c r="K30" i="71"/>
  <c r="L30" i="71" s="1"/>
  <c r="R30" i="71" s="1"/>
  <c r="K31" i="71"/>
  <c r="L31" i="71" s="1"/>
  <c r="R31" i="71" s="1"/>
  <c r="K32" i="71"/>
  <c r="L32" i="71" s="1"/>
  <c r="R32" i="71" s="1"/>
  <c r="K33" i="71"/>
  <c r="L33" i="71" s="1"/>
  <c r="R33" i="71" s="1"/>
  <c r="K34" i="71"/>
  <c r="L34" i="71" s="1"/>
  <c r="R34" i="71" s="1"/>
  <c r="K35" i="71"/>
  <c r="L35" i="71" s="1"/>
  <c r="R35" i="71" s="1"/>
  <c r="K36" i="71"/>
  <c r="L36" i="71" s="1"/>
  <c r="R36" i="71" s="1"/>
  <c r="K37" i="71"/>
  <c r="L37" i="71" s="1"/>
  <c r="R37" i="71" s="1"/>
  <c r="K38" i="71"/>
  <c r="L38" i="71" s="1"/>
  <c r="R38" i="71" s="1"/>
  <c r="K39" i="71"/>
  <c r="L39" i="71" s="1"/>
  <c r="R39" i="71" s="1"/>
  <c r="K40" i="71"/>
  <c r="L40" i="71" s="1"/>
  <c r="R40" i="71" s="1"/>
  <c r="K41" i="71"/>
  <c r="L41" i="71" s="1"/>
  <c r="R41" i="71" s="1"/>
  <c r="K42" i="71"/>
  <c r="L42" i="71" s="1"/>
  <c r="R42" i="71" s="1"/>
  <c r="K43" i="71"/>
  <c r="L43" i="71" s="1"/>
  <c r="R43" i="71" s="1"/>
  <c r="K44" i="71"/>
  <c r="L44" i="71" s="1"/>
  <c r="R44" i="71" s="1"/>
  <c r="K45" i="71"/>
  <c r="L45" i="71" s="1"/>
  <c r="R45" i="71" s="1"/>
  <c r="K46" i="71"/>
  <c r="L46" i="71" s="1"/>
  <c r="R46" i="71" s="1"/>
  <c r="K47" i="71"/>
  <c r="L47" i="71" s="1"/>
  <c r="R47" i="71" s="1"/>
  <c r="K48" i="71"/>
  <c r="L48" i="71" s="1"/>
  <c r="R48" i="71" s="1"/>
  <c r="K49" i="71"/>
  <c r="L49" i="71" s="1"/>
  <c r="R49" i="71" s="1"/>
  <c r="K50" i="71"/>
  <c r="L50" i="71" s="1"/>
  <c r="R50" i="71" s="1"/>
  <c r="K53" i="71"/>
  <c r="L53" i="71" s="1"/>
  <c r="R53" i="71" s="1"/>
  <c r="K54" i="71"/>
  <c r="K55" i="71"/>
  <c r="L55" i="71" s="1"/>
  <c r="R55" i="71" s="1"/>
  <c r="K56" i="71"/>
  <c r="L56" i="71" s="1"/>
  <c r="R56" i="71" s="1"/>
  <c r="K57" i="71"/>
  <c r="L57" i="71" s="1"/>
  <c r="R57" i="71" s="1"/>
  <c r="K58" i="71"/>
  <c r="L58" i="71" s="1"/>
  <c r="R58" i="71" s="1"/>
  <c r="K59" i="71"/>
  <c r="K60" i="71"/>
  <c r="L60" i="71" s="1"/>
  <c r="R60" i="71" s="1"/>
  <c r="K61" i="71"/>
  <c r="L61" i="71" s="1"/>
  <c r="R61" i="71" s="1"/>
  <c r="K62" i="71"/>
  <c r="L62" i="71" s="1"/>
  <c r="R62" i="71" s="1"/>
  <c r="K63" i="71"/>
  <c r="L63" i="71" s="1"/>
  <c r="K64" i="71"/>
  <c r="L64" i="71" s="1"/>
  <c r="R64" i="71" s="1"/>
  <c r="K65" i="71"/>
  <c r="L65" i="71" s="1"/>
  <c r="R65" i="71" s="1"/>
  <c r="K66" i="71"/>
  <c r="L66" i="71" s="1"/>
  <c r="K67" i="71"/>
  <c r="L67" i="71" s="1"/>
  <c r="R67" i="71" s="1"/>
  <c r="K68" i="71"/>
  <c r="L68" i="71" s="1"/>
  <c r="R68" i="71" s="1"/>
  <c r="K69" i="71"/>
  <c r="L69" i="71" s="1"/>
  <c r="R69" i="71" s="1"/>
  <c r="K70" i="71"/>
  <c r="L70" i="71" s="1"/>
  <c r="R70" i="71" s="1"/>
  <c r="K71" i="71"/>
  <c r="L71" i="71" s="1"/>
  <c r="R71" i="71" s="1"/>
  <c r="K72" i="71"/>
  <c r="L72" i="71" s="1"/>
  <c r="R72" i="71" s="1"/>
  <c r="K73" i="71"/>
  <c r="L73" i="71" s="1"/>
  <c r="R73" i="71" s="1"/>
  <c r="K74" i="71"/>
  <c r="L74" i="71" s="1"/>
  <c r="R74" i="71" s="1"/>
  <c r="K75" i="71"/>
  <c r="L75" i="71" s="1"/>
  <c r="R75" i="71" s="1"/>
  <c r="K76" i="71"/>
  <c r="L76" i="71" s="1"/>
  <c r="R76" i="71" s="1"/>
  <c r="K77" i="71"/>
  <c r="K78" i="71"/>
  <c r="L78" i="71" s="1"/>
  <c r="R78" i="71" s="1"/>
  <c r="K79" i="71"/>
  <c r="L79" i="71" s="1"/>
  <c r="R79" i="71" s="1"/>
  <c r="K80" i="71"/>
  <c r="L80" i="71" s="1"/>
  <c r="R80" i="71" s="1"/>
  <c r="K81" i="71"/>
  <c r="L81" i="71" s="1"/>
  <c r="R81" i="71" s="1"/>
  <c r="K82" i="71"/>
  <c r="L82" i="71" s="1"/>
  <c r="R82" i="71" s="1"/>
  <c r="K83" i="71"/>
  <c r="L83" i="71" s="1"/>
  <c r="R83" i="71" s="1"/>
  <c r="K84" i="71"/>
  <c r="L84" i="71" s="1"/>
  <c r="R84" i="71" s="1"/>
  <c r="K85" i="71"/>
  <c r="L85" i="71" s="1"/>
  <c r="R85" i="71" s="1"/>
  <c r="K86" i="71"/>
  <c r="L86" i="71" s="1"/>
  <c r="R86" i="71" s="1"/>
  <c r="K87" i="71"/>
  <c r="L87" i="71" s="1"/>
  <c r="R87" i="71" s="1"/>
  <c r="K88" i="71"/>
  <c r="L88" i="71" s="1"/>
  <c r="R88" i="71" s="1"/>
  <c r="K89" i="71"/>
  <c r="K90" i="71"/>
  <c r="L90" i="71" s="1"/>
  <c r="R90" i="71" s="1"/>
  <c r="K92" i="71"/>
  <c r="L92" i="71" s="1"/>
  <c r="R92" i="71" s="1"/>
  <c r="K93" i="71"/>
  <c r="L93" i="71" s="1"/>
  <c r="R93" i="71" s="1"/>
  <c r="K95" i="71"/>
  <c r="L95" i="71" s="1"/>
  <c r="R95" i="71" s="1"/>
  <c r="K97" i="71"/>
  <c r="L97" i="71" s="1"/>
  <c r="R97" i="71" s="1"/>
  <c r="K99" i="71"/>
  <c r="L99" i="71" s="1"/>
  <c r="R99" i="71" s="1"/>
  <c r="K101" i="71"/>
  <c r="L101" i="71" s="1"/>
  <c r="R101" i="71" s="1"/>
  <c r="K103" i="71"/>
  <c r="L103" i="71" s="1"/>
  <c r="R103" i="71" s="1"/>
  <c r="K105" i="71"/>
  <c r="L105" i="71" s="1"/>
  <c r="R105" i="71" s="1"/>
  <c r="K107" i="71"/>
  <c r="L107" i="71" s="1"/>
  <c r="K109" i="71"/>
  <c r="L109" i="71" s="1"/>
  <c r="R109" i="71" s="1"/>
  <c r="K111" i="71"/>
  <c r="L111" i="71" s="1"/>
  <c r="R111" i="71" s="1"/>
  <c r="K113" i="71"/>
  <c r="L113" i="71" s="1"/>
  <c r="R113" i="71" s="1"/>
  <c r="K115" i="71"/>
  <c r="L115" i="71" s="1"/>
  <c r="R115" i="71" s="1"/>
  <c r="K117" i="71"/>
  <c r="L117" i="71" s="1"/>
  <c r="R117" i="71" s="1"/>
  <c r="K119" i="71"/>
  <c r="L119" i="71" s="1"/>
  <c r="R119" i="71" s="1"/>
  <c r="K121" i="71"/>
  <c r="L121" i="71" s="1"/>
  <c r="R121" i="71" s="1"/>
  <c r="K123" i="71"/>
  <c r="K125" i="71"/>
  <c r="L125" i="71" s="1"/>
  <c r="R125" i="71" s="1"/>
  <c r="K127" i="71"/>
  <c r="L127" i="71" s="1"/>
  <c r="R127" i="71" s="1"/>
  <c r="K129" i="71"/>
  <c r="L129" i="71" s="1"/>
  <c r="R129" i="71" s="1"/>
  <c r="K131" i="71"/>
  <c r="L131" i="71" s="1"/>
  <c r="R131" i="71" s="1"/>
  <c r="K133" i="71"/>
  <c r="K135" i="71"/>
  <c r="L135" i="71" s="1"/>
  <c r="R135" i="71" s="1"/>
  <c r="K137" i="71"/>
  <c r="L137" i="71" s="1"/>
  <c r="R137" i="71" s="1"/>
  <c r="K139" i="71"/>
  <c r="L139" i="71" s="1"/>
  <c r="R139" i="71" s="1"/>
  <c r="K141" i="71"/>
  <c r="K143" i="71"/>
  <c r="L143" i="71" s="1"/>
  <c r="R143" i="71" s="1"/>
  <c r="K145" i="71"/>
  <c r="L145" i="71" s="1"/>
  <c r="R145" i="71" s="1"/>
  <c r="K147" i="71"/>
  <c r="L147" i="71" s="1"/>
  <c r="R147" i="71" s="1"/>
  <c r="K149" i="71"/>
  <c r="L149" i="71" s="1"/>
  <c r="R149" i="71" s="1"/>
  <c r="K151" i="71"/>
  <c r="L151" i="71" s="1"/>
  <c r="R151" i="71" s="1"/>
  <c r="K153" i="71"/>
  <c r="L153" i="71" s="1"/>
  <c r="R153" i="71" s="1"/>
  <c r="K155" i="71"/>
  <c r="L155" i="71" s="1"/>
  <c r="R155" i="71" s="1"/>
  <c r="K157" i="71"/>
  <c r="L157" i="71" s="1"/>
  <c r="R157" i="71" s="1"/>
  <c r="K159" i="71"/>
  <c r="L159" i="71" s="1"/>
  <c r="R159" i="71" s="1"/>
  <c r="K161" i="71"/>
  <c r="L161" i="71" s="1"/>
  <c r="R161" i="71" s="1"/>
  <c r="K163" i="71"/>
  <c r="L163" i="71" s="1"/>
  <c r="R163" i="71" s="1"/>
  <c r="K165" i="71"/>
  <c r="L165" i="71" s="1"/>
  <c r="R165" i="71" s="1"/>
  <c r="K167" i="71"/>
  <c r="L167" i="71" s="1"/>
  <c r="R167" i="71" s="1"/>
  <c r="K169" i="71"/>
  <c r="L169" i="71" s="1"/>
  <c r="R169" i="71" s="1"/>
  <c r="K171" i="71"/>
  <c r="L171" i="71" s="1"/>
  <c r="R171" i="71" s="1"/>
  <c r="K51" i="71"/>
  <c r="L51" i="71" s="1"/>
  <c r="R51" i="71" s="1"/>
  <c r="K52" i="71"/>
  <c r="L52" i="71" s="1"/>
  <c r="R52" i="71" s="1"/>
  <c r="P88" i="71"/>
  <c r="P78" i="71"/>
  <c r="P77" i="71"/>
  <c r="P79" i="71"/>
  <c r="P87" i="71"/>
  <c r="P86" i="71"/>
  <c r="P85" i="71"/>
  <c r="P84" i="71"/>
  <c r="F35" i="149"/>
  <c r="E34" i="146" s="1"/>
  <c r="I34" i="146" s="1"/>
  <c r="F33" i="149"/>
  <c r="E32" i="146" s="1"/>
  <c r="I32" i="146" s="1"/>
  <c r="F36" i="149"/>
  <c r="E35" i="146" s="1"/>
  <c r="I35" i="146" s="1"/>
  <c r="F37" i="149"/>
  <c r="E36" i="146" s="1"/>
  <c r="I36" i="146" s="1"/>
  <c r="F34" i="149"/>
  <c r="E33" i="146" s="1"/>
  <c r="I33" i="146" s="1"/>
  <c r="J10" i="175"/>
  <c r="F173" i="149"/>
  <c r="E149" i="146" s="1"/>
  <c r="I149" i="146" s="1"/>
  <c r="F174" i="149"/>
  <c r="E152" i="146" s="1"/>
  <c r="I152" i="146" s="1"/>
  <c r="F172" i="149"/>
  <c r="E151" i="146" s="1"/>
  <c r="I151" i="146" s="1"/>
  <c r="E27" i="175"/>
  <c r="J27" i="175" s="1"/>
  <c r="G171" i="149" s="1"/>
  <c r="F150" i="146" s="1"/>
  <c r="J150" i="146" s="1"/>
  <c r="J47" i="175"/>
  <c r="F146" i="149"/>
  <c r="E126" i="146" s="1"/>
  <c r="I126" i="146" s="1"/>
  <c r="J22" i="175"/>
  <c r="F150" i="149"/>
  <c r="E130" i="146" s="1"/>
  <c r="I130" i="146" s="1"/>
  <c r="F149" i="149"/>
  <c r="E129" i="146" s="1"/>
  <c r="I129" i="146" s="1"/>
  <c r="F170" i="149"/>
  <c r="E148" i="146" s="1"/>
  <c r="I148" i="146" s="1"/>
  <c r="F169" i="149"/>
  <c r="E147" i="146" s="1"/>
  <c r="I147" i="146" s="1"/>
  <c r="F321" i="149"/>
  <c r="E277" i="146" s="1"/>
  <c r="I277" i="146" s="1"/>
  <c r="F32" i="149"/>
  <c r="E31" i="146" s="1"/>
  <c r="I31" i="146" s="1"/>
  <c r="F211" i="149"/>
  <c r="E186" i="146" s="1"/>
  <c r="I186" i="146" s="1"/>
  <c r="F26" i="149"/>
  <c r="E25" i="146" s="1"/>
  <c r="I25" i="146" s="1"/>
  <c r="F27" i="149"/>
  <c r="E26" i="146" s="1"/>
  <c r="I26" i="146" s="1"/>
  <c r="F112" i="149"/>
  <c r="E99" i="146" s="1"/>
  <c r="I99" i="146" s="1"/>
  <c r="F17" i="149"/>
  <c r="E17" i="146" s="1"/>
  <c r="I17" i="146" s="1"/>
  <c r="F18" i="149"/>
  <c r="E18" i="146" s="1"/>
  <c r="I18" i="146" s="1"/>
  <c r="F322" i="149"/>
  <c r="E278" i="146" s="1"/>
  <c r="I278" i="146" s="1"/>
  <c r="F212" i="149"/>
  <c r="E187" i="146" s="1"/>
  <c r="I187" i="146" s="1"/>
  <c r="F114" i="149"/>
  <c r="E242" i="146" s="1"/>
  <c r="I242" i="146" s="1"/>
  <c r="F31" i="149"/>
  <c r="E30" i="146" s="1"/>
  <c r="I30" i="146" s="1"/>
  <c r="F278" i="149"/>
  <c r="E243" i="146" s="1"/>
  <c r="I243" i="146" s="1"/>
  <c r="F30" i="149"/>
  <c r="E29" i="146" s="1"/>
  <c r="I29" i="146" s="1"/>
  <c r="E8" i="175"/>
  <c r="J8" i="175" s="1"/>
  <c r="J33" i="175"/>
  <c r="F318" i="149"/>
  <c r="E274" i="146" s="1"/>
  <c r="I274" i="146" s="1"/>
  <c r="F317" i="149"/>
  <c r="E273" i="146" s="1"/>
  <c r="I273" i="146" s="1"/>
  <c r="F273" i="149"/>
  <c r="E237" i="146" s="1"/>
  <c r="I237" i="146" s="1"/>
  <c r="F274" i="149"/>
  <c r="E238" i="146" s="1"/>
  <c r="I238" i="146" s="1"/>
  <c r="F193" i="149"/>
  <c r="E171" i="146" s="1"/>
  <c r="I171" i="146" s="1"/>
  <c r="F192" i="149"/>
  <c r="E170" i="146" s="1"/>
  <c r="I170" i="146" s="1"/>
  <c r="E37" i="175"/>
  <c r="J37" i="175" s="1"/>
  <c r="F182" i="149"/>
  <c r="E160" i="146" s="1"/>
  <c r="I160" i="146" s="1"/>
  <c r="F184" i="149"/>
  <c r="E162" i="146" s="1"/>
  <c r="I162" i="146" s="1"/>
  <c r="F183" i="149"/>
  <c r="E161" i="146" s="1"/>
  <c r="I161" i="146" s="1"/>
  <c r="F82" i="149"/>
  <c r="F264" i="149"/>
  <c r="E231" i="146" s="1"/>
  <c r="I231" i="146" s="1"/>
  <c r="J16" i="175"/>
  <c r="F84" i="149"/>
  <c r="E76" i="146" s="1"/>
  <c r="I76" i="146" s="1"/>
  <c r="F81" i="149"/>
  <c r="E75" i="146" s="1"/>
  <c r="I75" i="146" s="1"/>
  <c r="F83" i="149"/>
  <c r="F119" i="149"/>
  <c r="E104" i="146" s="1"/>
  <c r="I104" i="146" s="1"/>
  <c r="F120" i="149"/>
  <c r="E105" i="146" s="1"/>
  <c r="I105" i="146" s="1"/>
  <c r="E18" i="175"/>
  <c r="J18" i="175" s="1"/>
  <c r="F222" i="149"/>
  <c r="E195" i="146" s="1"/>
  <c r="I195" i="146" s="1"/>
  <c r="F223" i="149"/>
  <c r="E196" i="146" s="1"/>
  <c r="I196" i="146" s="1"/>
  <c r="E29" i="175"/>
  <c r="J29" i="175" s="1"/>
  <c r="F19" i="149"/>
  <c r="E19" i="146" s="1"/>
  <c r="I19" i="146" s="1"/>
  <c r="F22" i="149"/>
  <c r="E22" i="146" s="1"/>
  <c r="I22" i="146" s="1"/>
  <c r="F21" i="149"/>
  <c r="E21" i="146" s="1"/>
  <c r="I21" i="146" s="1"/>
  <c r="J9" i="175"/>
  <c r="F53" i="149"/>
  <c r="E49" i="146" s="1"/>
  <c r="I49" i="146" s="1"/>
  <c r="F51" i="149"/>
  <c r="E47" i="146" s="1"/>
  <c r="I47" i="146" s="1"/>
  <c r="F49" i="149"/>
  <c r="F50" i="149"/>
  <c r="F52" i="149"/>
  <c r="E48" i="146" s="1"/>
  <c r="I48" i="146" s="1"/>
  <c r="E11" i="175"/>
  <c r="J11" i="175" s="1"/>
  <c r="F163" i="149"/>
  <c r="E140" i="146" s="1"/>
  <c r="I140" i="146" s="1"/>
  <c r="F161" i="149"/>
  <c r="E139" i="146" s="1"/>
  <c r="I139" i="146" s="1"/>
  <c r="F162" i="149"/>
  <c r="E137" i="146" s="1"/>
  <c r="I137" i="146" s="1"/>
  <c r="E25" i="175"/>
  <c r="J25" i="175" s="1"/>
  <c r="G160" i="149" s="1"/>
  <c r="F138" i="146" s="1"/>
  <c r="J138" i="146" s="1"/>
  <c r="J17" i="175"/>
  <c r="F91" i="149"/>
  <c r="F94" i="149"/>
  <c r="E84" i="146" s="1"/>
  <c r="I84" i="146" s="1"/>
  <c r="F93" i="149"/>
  <c r="E83" i="146" s="1"/>
  <c r="I83" i="146" s="1"/>
  <c r="F89" i="149"/>
  <c r="E81" i="146" s="1"/>
  <c r="I81" i="146" s="1"/>
  <c r="F90" i="149"/>
  <c r="F92" i="149"/>
  <c r="E82" i="146" s="1"/>
  <c r="I82" i="146" s="1"/>
  <c r="F61" i="149"/>
  <c r="E55" i="146" s="1"/>
  <c r="I55" i="146" s="1"/>
  <c r="F59" i="149"/>
  <c r="F198" i="149"/>
  <c r="E174" i="146" s="1"/>
  <c r="I174" i="146" s="1"/>
  <c r="F116" i="149"/>
  <c r="E101" i="146" s="1"/>
  <c r="I101" i="146" s="1"/>
  <c r="F118" i="149"/>
  <c r="E103" i="146" s="1"/>
  <c r="I103" i="146" s="1"/>
  <c r="F29" i="149"/>
  <c r="E28" i="146" s="1"/>
  <c r="I28" i="146" s="1"/>
  <c r="F14" i="149"/>
  <c r="E14" i="146" s="1"/>
  <c r="I14" i="146" s="1"/>
  <c r="F117" i="149"/>
  <c r="E102" i="146" s="1"/>
  <c r="I102" i="146" s="1"/>
  <c r="F115" i="149"/>
  <c r="E100" i="146" s="1"/>
  <c r="I100" i="146" s="1"/>
  <c r="F28" i="149"/>
  <c r="E27" i="146" s="1"/>
  <c r="I27" i="146" s="1"/>
  <c r="F199" i="149"/>
  <c r="E175" i="146" s="1"/>
  <c r="I175" i="146" s="1"/>
  <c r="F60" i="149"/>
  <c r="E54" i="146" s="1"/>
  <c r="I54" i="146" s="1"/>
  <c r="F15" i="149"/>
  <c r="E15" i="146" s="1"/>
  <c r="I15" i="146" s="1"/>
  <c r="F13" i="149"/>
  <c r="E13" i="146" s="1"/>
  <c r="I13" i="146" s="1"/>
  <c r="F62" i="149"/>
  <c r="E56" i="146" s="1"/>
  <c r="I56" i="146" s="1"/>
  <c r="F157" i="149"/>
  <c r="E135" i="146" s="1"/>
  <c r="I135" i="146" s="1"/>
  <c r="F56" i="149"/>
  <c r="E52" i="146" s="1"/>
  <c r="I52" i="146" s="1"/>
  <c r="F57" i="149"/>
  <c r="E53" i="146" s="1"/>
  <c r="I53" i="146" s="1"/>
  <c r="F58" i="149"/>
  <c r="F16" i="149"/>
  <c r="E16" i="146" s="1"/>
  <c r="I16" i="146" s="1"/>
  <c r="F208" i="149"/>
  <c r="E183" i="146" s="1"/>
  <c r="I183" i="146" s="1"/>
  <c r="F65" i="149"/>
  <c r="E59" i="146" s="1"/>
  <c r="I59" i="146" s="1"/>
  <c r="F210" i="149"/>
  <c r="E185" i="146" s="1"/>
  <c r="I185" i="146" s="1"/>
  <c r="F271" i="149"/>
  <c r="F269" i="149"/>
  <c r="F270" i="149"/>
  <c r="E236" i="146" s="1"/>
  <c r="I236" i="146" s="1"/>
  <c r="F64" i="149"/>
  <c r="E58" i="146" s="1"/>
  <c r="I58" i="146" s="1"/>
  <c r="F272" i="149"/>
  <c r="F209" i="149"/>
  <c r="E184" i="146" s="1"/>
  <c r="I184" i="146" s="1"/>
  <c r="J35" i="175"/>
  <c r="J21" i="175"/>
  <c r="F132" i="149"/>
  <c r="F136" i="149"/>
  <c r="E117" i="146" s="1"/>
  <c r="I117" i="146" s="1"/>
  <c r="F133" i="149"/>
  <c r="E114" i="146" s="1"/>
  <c r="I114" i="146" s="1"/>
  <c r="F131" i="149"/>
  <c r="E113" i="146" s="1"/>
  <c r="I113" i="146" s="1"/>
  <c r="F130" i="149"/>
  <c r="E112" i="146" s="1"/>
  <c r="I112" i="146" s="1"/>
  <c r="F134" i="149"/>
  <c r="E115" i="146" s="1"/>
  <c r="I115" i="146" s="1"/>
  <c r="F135" i="149"/>
  <c r="E116" i="146" s="1"/>
  <c r="I116" i="146" s="1"/>
  <c r="F108" i="149"/>
  <c r="F178" i="149"/>
  <c r="E155" i="146" s="1"/>
  <c r="I155" i="146" s="1"/>
  <c r="F143" i="149"/>
  <c r="E123" i="146" s="1"/>
  <c r="I123" i="146" s="1"/>
  <c r="F142" i="149"/>
  <c r="F224" i="149"/>
  <c r="E197" i="146" s="1"/>
  <c r="I197" i="146" s="1"/>
  <c r="F176" i="149"/>
  <c r="F43" i="149"/>
  <c r="E46" i="175"/>
  <c r="J46" i="175" s="1"/>
  <c r="F96" i="149"/>
  <c r="E85" i="146" s="1"/>
  <c r="I85" i="146" s="1"/>
  <c r="F42" i="149"/>
  <c r="E41" i="146" s="1"/>
  <c r="I41" i="146" s="1"/>
  <c r="F104" i="149"/>
  <c r="F105" i="149"/>
  <c r="E92" i="146" s="1"/>
  <c r="I92" i="146" s="1"/>
  <c r="F177" i="149"/>
  <c r="E154" i="146" s="1"/>
  <c r="I154" i="146" s="1"/>
  <c r="F98" i="149"/>
  <c r="E86" i="146" s="1"/>
  <c r="I86" i="146" s="1"/>
  <c r="F95" i="149"/>
  <c r="F107" i="149"/>
  <c r="E95" i="146" s="1"/>
  <c r="I95" i="146" s="1"/>
  <c r="F100" i="149"/>
  <c r="E88" i="146" s="1"/>
  <c r="I88" i="146" s="1"/>
  <c r="F44" i="149"/>
  <c r="E42" i="146" s="1"/>
  <c r="I42" i="146" s="1"/>
  <c r="F97" i="149"/>
  <c r="F225" i="149"/>
  <c r="E198" i="146" s="1"/>
  <c r="I198" i="146" s="1"/>
  <c r="F103" i="149"/>
  <c r="E91" i="146" s="1"/>
  <c r="I91" i="146" s="1"/>
  <c r="F111" i="149"/>
  <c r="J14" i="71"/>
  <c r="J49" i="71"/>
  <c r="J19" i="71"/>
  <c r="J16" i="71"/>
  <c r="J9" i="71"/>
  <c r="J17" i="71"/>
  <c r="J47" i="71"/>
  <c r="J46" i="71"/>
  <c r="J13" i="71"/>
  <c r="J11" i="71"/>
  <c r="J10" i="71"/>
  <c r="J12" i="71"/>
  <c r="J15" i="71"/>
  <c r="J18" i="71"/>
  <c r="J20" i="71"/>
  <c r="J48" i="71"/>
  <c r="J53" i="71"/>
  <c r="J51" i="71"/>
  <c r="J52" i="71"/>
  <c r="P46" i="71"/>
  <c r="P53" i="71"/>
  <c r="P47" i="71"/>
  <c r="P126" i="71"/>
  <c r="P123" i="71"/>
  <c r="P127" i="71"/>
  <c r="P124" i="71"/>
  <c r="P125" i="71"/>
  <c r="P128" i="71"/>
  <c r="P129" i="71"/>
  <c r="P112" i="71"/>
  <c r="P113" i="71"/>
  <c r="P117" i="71"/>
  <c r="P105" i="71" l="1"/>
  <c r="P102" i="71"/>
  <c r="P133" i="71"/>
  <c r="P136" i="71"/>
  <c r="P143" i="71"/>
  <c r="P137" i="71"/>
  <c r="P134" i="71"/>
  <c r="P111" i="71"/>
  <c r="P104" i="71"/>
  <c r="P106" i="71"/>
  <c r="P110" i="71"/>
  <c r="P45" i="71"/>
  <c r="P43" i="71"/>
  <c r="J126" i="71"/>
  <c r="P25" i="71"/>
  <c r="P31" i="71"/>
  <c r="P23" i="71"/>
  <c r="P37" i="71"/>
  <c r="P34" i="71"/>
  <c r="P14" i="71"/>
  <c r="J128" i="71"/>
  <c r="P35" i="71"/>
  <c r="P24" i="71"/>
  <c r="P38" i="71"/>
  <c r="P44" i="71"/>
  <c r="P39" i="71"/>
  <c r="P29" i="71"/>
  <c r="P22" i="71"/>
  <c r="J124" i="71"/>
  <c r="P40" i="71"/>
  <c r="P32" i="71"/>
  <c r="P27" i="71"/>
  <c r="J127" i="71"/>
  <c r="P115" i="71"/>
  <c r="J129" i="71"/>
  <c r="P26" i="71"/>
  <c r="P42" i="71"/>
  <c r="P21" i="71"/>
  <c r="P116" i="71"/>
  <c r="J123" i="71"/>
  <c r="P33" i="71"/>
  <c r="P41" i="71"/>
  <c r="P30" i="71"/>
  <c r="P36" i="71"/>
  <c r="P7" i="71"/>
  <c r="D6" i="203"/>
  <c r="P64" i="71"/>
  <c r="P69" i="71"/>
  <c r="P62" i="71"/>
  <c r="P59" i="71"/>
  <c r="P51" i="71"/>
  <c r="P19" i="71"/>
  <c r="P13" i="71"/>
  <c r="P99" i="71"/>
  <c r="P48" i="71"/>
  <c r="P20" i="71"/>
  <c r="P12" i="71"/>
  <c r="P72" i="71"/>
  <c r="J25" i="71"/>
  <c r="P63" i="71"/>
  <c r="P61" i="71"/>
  <c r="P73" i="71"/>
  <c r="P71" i="71"/>
  <c r="P70" i="71"/>
  <c r="P97" i="71"/>
  <c r="P96" i="71"/>
  <c r="P10" i="71"/>
  <c r="P100" i="71"/>
  <c r="P15" i="71"/>
  <c r="P9" i="71"/>
  <c r="P18" i="71"/>
  <c r="P95" i="71"/>
  <c r="P16" i="71"/>
  <c r="P101" i="71"/>
  <c r="P17" i="71"/>
  <c r="P94" i="71"/>
  <c r="P52" i="71"/>
  <c r="P11" i="71"/>
  <c r="J92" i="71"/>
  <c r="J93" i="71"/>
  <c r="P93" i="71"/>
  <c r="P89" i="71"/>
  <c r="P92" i="71"/>
  <c r="P130" i="71"/>
  <c r="J94" i="71"/>
  <c r="J89" i="71"/>
  <c r="P98" i="71"/>
  <c r="P91" i="71"/>
  <c r="P54" i="71"/>
  <c r="P58" i="71"/>
  <c r="P118" i="71"/>
  <c r="J101" i="71"/>
  <c r="J97" i="71"/>
  <c r="J95" i="71"/>
  <c r="J100" i="71"/>
  <c r="P74" i="71"/>
  <c r="J96" i="71"/>
  <c r="J90" i="71"/>
  <c r="J72" i="71"/>
  <c r="J99" i="71"/>
  <c r="J61" i="71"/>
  <c r="J91" i="71"/>
  <c r="J62" i="71"/>
  <c r="P57" i="71"/>
  <c r="P68" i="71"/>
  <c r="D7" i="28"/>
  <c r="E6" i="203" s="1"/>
  <c r="P76" i="71"/>
  <c r="J114" i="71"/>
  <c r="P66" i="71"/>
  <c r="J116" i="71"/>
  <c r="J31" i="71"/>
  <c r="J112" i="71"/>
  <c r="J113" i="71"/>
  <c r="J133" i="71"/>
  <c r="J135" i="71"/>
  <c r="J63" i="71"/>
  <c r="J137" i="71"/>
  <c r="J103" i="71"/>
  <c r="J104" i="71"/>
  <c r="J65" i="71"/>
  <c r="J106" i="71"/>
  <c r="J118" i="71"/>
  <c r="J70" i="71"/>
  <c r="J71" i="71"/>
  <c r="J60" i="71"/>
  <c r="J59" i="71"/>
  <c r="J73" i="71"/>
  <c r="J110" i="71"/>
  <c r="J105" i="71"/>
  <c r="J111" i="71"/>
  <c r="J55" i="71"/>
  <c r="J30" i="71"/>
  <c r="J37" i="71"/>
  <c r="J42" i="71"/>
  <c r="J54" i="71"/>
  <c r="J57" i="71"/>
  <c r="J28" i="71"/>
  <c r="J29" i="71"/>
  <c r="J33" i="71"/>
  <c r="J41" i="71"/>
  <c r="J23" i="71"/>
  <c r="J44" i="71"/>
  <c r="J86" i="71"/>
  <c r="J66" i="71"/>
  <c r="J43" i="71"/>
  <c r="J34" i="71"/>
  <c r="J38" i="71"/>
  <c r="J22" i="71"/>
  <c r="J76" i="71"/>
  <c r="J40" i="71"/>
  <c r="J27" i="71"/>
  <c r="J35" i="71"/>
  <c r="J74" i="71"/>
  <c r="J7" i="71"/>
  <c r="J32" i="71"/>
  <c r="J36" i="71"/>
  <c r="J45" i="71"/>
  <c r="J67" i="71"/>
  <c r="J39" i="71"/>
  <c r="J24" i="71"/>
  <c r="J26" i="71"/>
  <c r="J78" i="71"/>
  <c r="J87" i="71"/>
  <c r="J130" i="71"/>
  <c r="J88" i="71"/>
  <c r="J85" i="71"/>
  <c r="J79" i="71"/>
  <c r="J134" i="71"/>
  <c r="J77" i="71"/>
  <c r="J136" i="71"/>
  <c r="G280" i="149"/>
  <c r="F245" i="146" s="1"/>
  <c r="J245" i="146" s="1"/>
  <c r="G281" i="149"/>
  <c r="F246" i="146" s="1"/>
  <c r="J246" i="146" s="1"/>
  <c r="G9" i="149"/>
  <c r="F9" i="146" s="1"/>
  <c r="J9" i="146" s="1"/>
  <c r="G200" i="149"/>
  <c r="F176" i="146" s="1"/>
  <c r="J176" i="146" s="1"/>
  <c r="G279" i="149"/>
  <c r="F244" i="146" s="1"/>
  <c r="J244" i="146" s="1"/>
  <c r="G259" i="149"/>
  <c r="F227" i="146" s="1"/>
  <c r="J227" i="146" s="1"/>
  <c r="G48" i="149"/>
  <c r="F46" i="146" s="1"/>
  <c r="J46" i="146" s="1"/>
  <c r="G8" i="149"/>
  <c r="F8" i="146" s="1"/>
  <c r="J8" i="146" s="1"/>
  <c r="G260" i="149"/>
  <c r="F228" i="146" s="1"/>
  <c r="J228" i="146" s="1"/>
  <c r="G101" i="149"/>
  <c r="F89" i="146" s="1"/>
  <c r="J89" i="146" s="1"/>
  <c r="G102" i="149"/>
  <c r="F90" i="146" s="1"/>
  <c r="J90" i="146" s="1"/>
  <c r="G144" i="149"/>
  <c r="F124" i="146" s="1"/>
  <c r="J124" i="146" s="1"/>
  <c r="G145" i="149"/>
  <c r="F125" i="146" s="1"/>
  <c r="J125" i="146" s="1"/>
  <c r="G63" i="149"/>
  <c r="F57" i="146" s="1"/>
  <c r="J57" i="146" s="1"/>
  <c r="G268" i="149"/>
  <c r="F235" i="146" s="1"/>
  <c r="J235" i="146" s="1"/>
  <c r="G229" i="149"/>
  <c r="F201" i="146" s="1"/>
  <c r="J201" i="146" s="1"/>
  <c r="G88" i="149"/>
  <c r="F80" i="146" s="1"/>
  <c r="J80" i="146" s="1"/>
  <c r="G137" i="149"/>
  <c r="F118" i="146" s="1"/>
  <c r="J118" i="146" s="1"/>
  <c r="G20" i="149"/>
  <c r="F20" i="146" s="1"/>
  <c r="J20" i="146" s="1"/>
  <c r="G227" i="149"/>
  <c r="F199" i="146" s="1"/>
  <c r="J199" i="146" s="1"/>
  <c r="G87" i="149"/>
  <c r="F79" i="146" s="1"/>
  <c r="J79" i="146" s="1"/>
  <c r="G228" i="149"/>
  <c r="F200" i="146" s="1"/>
  <c r="J200" i="146" s="1"/>
  <c r="G69" i="149"/>
  <c r="F63" i="146" s="1"/>
  <c r="J63" i="146" s="1"/>
  <c r="G68" i="149"/>
  <c r="F62" i="146" s="1"/>
  <c r="J62" i="146" s="1"/>
  <c r="G148" i="149"/>
  <c r="F128" i="146" s="1"/>
  <c r="J128" i="146" s="1"/>
  <c r="G147" i="149"/>
  <c r="F127" i="146" s="1"/>
  <c r="J127" i="146" s="1"/>
  <c r="G168" i="149"/>
  <c r="F146" i="146" s="1"/>
  <c r="J146" i="146" s="1"/>
  <c r="G167" i="149"/>
  <c r="F145" i="146" s="1"/>
  <c r="J145" i="146" s="1"/>
  <c r="G267" i="149"/>
  <c r="F234" i="146" s="1"/>
  <c r="J234" i="146" s="1"/>
  <c r="G78" i="149"/>
  <c r="F72" i="146" s="1"/>
  <c r="J72" i="146" s="1"/>
  <c r="G85" i="149"/>
  <c r="F77" i="146" s="1"/>
  <c r="J77" i="146" s="1"/>
  <c r="G79" i="149"/>
  <c r="F73" i="146" s="1"/>
  <c r="J73" i="146" s="1"/>
  <c r="G266" i="149"/>
  <c r="F233" i="146" s="1"/>
  <c r="J233" i="146" s="1"/>
  <c r="G265" i="149"/>
  <c r="F232" i="146" s="1"/>
  <c r="J232" i="146" s="1"/>
  <c r="G80" i="149"/>
  <c r="F74" i="146" s="1"/>
  <c r="J74" i="146" s="1"/>
  <c r="G75" i="149"/>
  <c r="F70" i="146" s="1"/>
  <c r="J70" i="146" s="1"/>
  <c r="G74" i="149"/>
  <c r="F69" i="146" s="1"/>
  <c r="J69" i="146" s="1"/>
  <c r="O101" i="101"/>
  <c r="O103" i="101" s="1"/>
  <c r="E7" i="158" s="1"/>
  <c r="E96" i="146"/>
  <c r="I96" i="146" s="1"/>
  <c r="G131" i="149"/>
  <c r="F113" i="146" s="1"/>
  <c r="J113" i="146" s="1"/>
  <c r="G133" i="149"/>
  <c r="F114" i="146" s="1"/>
  <c r="J114" i="146" s="1"/>
  <c r="G136" i="149"/>
  <c r="F117" i="146" s="1"/>
  <c r="J117" i="146" s="1"/>
  <c r="G132" i="149"/>
  <c r="G130" i="149"/>
  <c r="F112" i="146" s="1"/>
  <c r="J112" i="146" s="1"/>
  <c r="G134" i="149"/>
  <c r="F115" i="146" s="1"/>
  <c r="J115" i="146" s="1"/>
  <c r="G135" i="149"/>
  <c r="F116" i="146" s="1"/>
  <c r="J116" i="146" s="1"/>
  <c r="G92" i="149"/>
  <c r="F82" i="146" s="1"/>
  <c r="J82" i="146" s="1"/>
  <c r="G90" i="149"/>
  <c r="G89" i="149"/>
  <c r="F81" i="146" s="1"/>
  <c r="J81" i="146" s="1"/>
  <c r="G93" i="149"/>
  <c r="F83" i="146" s="1"/>
  <c r="J83" i="146" s="1"/>
  <c r="G94" i="149"/>
  <c r="F84" i="146" s="1"/>
  <c r="J84" i="146" s="1"/>
  <c r="G91" i="149"/>
  <c r="G120" i="149"/>
  <c r="F105" i="146" s="1"/>
  <c r="J105" i="146" s="1"/>
  <c r="G119" i="149"/>
  <c r="F104" i="146" s="1"/>
  <c r="J104" i="146" s="1"/>
  <c r="G84" i="149"/>
  <c r="F76" i="146" s="1"/>
  <c r="J76" i="146" s="1"/>
  <c r="G82" i="149"/>
  <c r="G83" i="149"/>
  <c r="G264" i="149"/>
  <c r="F231" i="146" s="1"/>
  <c r="J231" i="146" s="1"/>
  <c r="G81" i="149"/>
  <c r="F75" i="146" s="1"/>
  <c r="J75" i="146" s="1"/>
  <c r="G273" i="149"/>
  <c r="F237" i="146" s="1"/>
  <c r="J237" i="146" s="1"/>
  <c r="G274" i="149"/>
  <c r="F238" i="146" s="1"/>
  <c r="J238" i="146" s="1"/>
  <c r="G317" i="149"/>
  <c r="F273" i="146" s="1"/>
  <c r="J273" i="146" s="1"/>
  <c r="G318" i="149"/>
  <c r="F274" i="146" s="1"/>
  <c r="J274" i="146" s="1"/>
  <c r="G170" i="149"/>
  <c r="F148" i="146" s="1"/>
  <c r="J148" i="146" s="1"/>
  <c r="G169" i="149"/>
  <c r="F147" i="146" s="1"/>
  <c r="J147" i="146" s="1"/>
  <c r="G150" i="149"/>
  <c r="F130" i="146" s="1"/>
  <c r="J130" i="146" s="1"/>
  <c r="G149" i="149"/>
  <c r="F129" i="146" s="1"/>
  <c r="J129" i="146" s="1"/>
  <c r="G146" i="149"/>
  <c r="F126" i="146" s="1"/>
  <c r="J126" i="146" s="1"/>
  <c r="L123" i="71"/>
  <c r="Q15" i="102"/>
  <c r="L28" i="140"/>
  <c r="R107" i="71"/>
  <c r="L89" i="71"/>
  <c r="Q19" i="102"/>
  <c r="L77" i="71"/>
  <c r="Q14" i="102"/>
  <c r="L26" i="140"/>
  <c r="R63" i="71"/>
  <c r="L59" i="71"/>
  <c r="Q20" i="102"/>
  <c r="L27" i="140"/>
  <c r="R21" i="71"/>
  <c r="L9" i="71"/>
  <c r="Q10" i="102"/>
  <c r="R7" i="71"/>
  <c r="L142" i="71"/>
  <c r="Q17" i="102"/>
  <c r="L130" i="71"/>
  <c r="Q7" i="102"/>
  <c r="L29" i="140"/>
  <c r="R122" i="71"/>
  <c r="L118" i="71"/>
  <c r="Q21" i="102"/>
  <c r="L114" i="71"/>
  <c r="Q13" i="102"/>
  <c r="L102" i="71"/>
  <c r="Q11" i="102"/>
  <c r="G258" i="149"/>
  <c r="F226" i="146" s="1"/>
  <c r="J226" i="146" s="1"/>
  <c r="G164" i="149"/>
  <c r="F141" i="146" s="1"/>
  <c r="J141" i="146" s="1"/>
  <c r="G294" i="149"/>
  <c r="F255" i="146" s="1"/>
  <c r="J255" i="146" s="1"/>
  <c r="G140" i="149"/>
  <c r="F121" i="146" s="1"/>
  <c r="J121" i="146" s="1"/>
  <c r="G165" i="149"/>
  <c r="F143" i="146" s="1"/>
  <c r="J143" i="146" s="1"/>
  <c r="G158" i="149"/>
  <c r="F136" i="146" s="1"/>
  <c r="J136" i="146" s="1"/>
  <c r="G196" i="149"/>
  <c r="F172" i="146" s="1"/>
  <c r="J172" i="146" s="1"/>
  <c r="G180" i="149"/>
  <c r="F158" i="146" s="1"/>
  <c r="J158" i="146" s="1"/>
  <c r="G189" i="149"/>
  <c r="F167" i="146" s="1"/>
  <c r="J167" i="146" s="1"/>
  <c r="G197" i="149"/>
  <c r="F173" i="146" s="1"/>
  <c r="J173" i="146" s="1"/>
  <c r="G188" i="149"/>
  <c r="F166" i="146" s="1"/>
  <c r="J166" i="146" s="1"/>
  <c r="G319" i="149"/>
  <c r="F275" i="146" s="1"/>
  <c r="J275" i="146" s="1"/>
  <c r="G191" i="149"/>
  <c r="F168" i="146" s="1"/>
  <c r="J168" i="146" s="1"/>
  <c r="G293" i="149"/>
  <c r="F254" i="146" s="1"/>
  <c r="J254" i="146" s="1"/>
  <c r="G141" i="149"/>
  <c r="F122" i="146" s="1"/>
  <c r="J122" i="146" s="1"/>
  <c r="G297" i="149"/>
  <c r="F258" i="146" s="1"/>
  <c r="J258" i="146" s="1"/>
  <c r="G41" i="149"/>
  <c r="F40" i="146" s="1"/>
  <c r="J40" i="146" s="1"/>
  <c r="G292" i="149"/>
  <c r="F253" i="146" s="1"/>
  <c r="J253" i="146" s="1"/>
  <c r="G230" i="149"/>
  <c r="F202" i="146" s="1"/>
  <c r="J202" i="146" s="1"/>
  <c r="G194" i="149"/>
  <c r="G113" i="149"/>
  <c r="F93" i="146" s="1"/>
  <c r="J93" i="146" s="1"/>
  <c r="G295" i="149"/>
  <c r="F256" i="146" s="1"/>
  <c r="J256" i="146" s="1"/>
  <c r="G185" i="149"/>
  <c r="F163" i="146" s="1"/>
  <c r="J163" i="146" s="1"/>
  <c r="G298" i="149"/>
  <c r="F259" i="146" s="1"/>
  <c r="J259" i="146" s="1"/>
  <c r="G190" i="149"/>
  <c r="F169" i="146" s="1"/>
  <c r="J169" i="146" s="1"/>
  <c r="G179" i="149"/>
  <c r="F156" i="146" s="1"/>
  <c r="J156" i="146" s="1"/>
  <c r="G320" i="149"/>
  <c r="F276" i="146" s="1"/>
  <c r="J276" i="146" s="1"/>
  <c r="G166" i="149"/>
  <c r="F144" i="146" s="1"/>
  <c r="J144" i="146" s="1"/>
  <c r="G40" i="149"/>
  <c r="F39" i="146" s="1"/>
  <c r="J39" i="146" s="1"/>
  <c r="G296" i="149"/>
  <c r="F257" i="146" s="1"/>
  <c r="J257" i="146" s="1"/>
  <c r="G38" i="149"/>
  <c r="F37" i="146" s="1"/>
  <c r="J37" i="146" s="1"/>
  <c r="G231" i="149"/>
  <c r="F203" i="146" s="1"/>
  <c r="J203" i="146" s="1"/>
  <c r="G54" i="149"/>
  <c r="F50" i="146" s="1"/>
  <c r="J50" i="146" s="1"/>
  <c r="G244" i="149"/>
  <c r="F213" i="146" s="1"/>
  <c r="J213" i="146" s="1"/>
  <c r="G187" i="149"/>
  <c r="F165" i="146" s="1"/>
  <c r="J165" i="146" s="1"/>
  <c r="G186" i="149"/>
  <c r="F164" i="146" s="1"/>
  <c r="J164" i="146" s="1"/>
  <c r="G39" i="149"/>
  <c r="F38" i="146" s="1"/>
  <c r="J38" i="146" s="1"/>
  <c r="G299" i="149"/>
  <c r="F260" i="146" s="1"/>
  <c r="J260" i="146" s="1"/>
  <c r="G55" i="149"/>
  <c r="F51" i="146" s="1"/>
  <c r="J51" i="146" s="1"/>
  <c r="G195" i="149"/>
  <c r="G152" i="149"/>
  <c r="G155" i="149"/>
  <c r="F133" i="146" s="1"/>
  <c r="J133" i="146" s="1"/>
  <c r="G151" i="149"/>
  <c r="G154" i="149"/>
  <c r="F132" i="146" s="1"/>
  <c r="J132" i="146" s="1"/>
  <c r="G153" i="149"/>
  <c r="F131" i="146" s="1"/>
  <c r="J131" i="146" s="1"/>
  <c r="G138" i="149"/>
  <c r="F119" i="146" s="1"/>
  <c r="J119" i="146" s="1"/>
  <c r="G139" i="149"/>
  <c r="F120" i="146" s="1"/>
  <c r="J120" i="146" s="1"/>
  <c r="G313" i="149"/>
  <c r="F270" i="146" s="1"/>
  <c r="J270" i="146" s="1"/>
  <c r="G316" i="149"/>
  <c r="F272" i="146" s="1"/>
  <c r="J272" i="146" s="1"/>
  <c r="G311" i="149"/>
  <c r="F268" i="146" s="1"/>
  <c r="J268" i="146" s="1"/>
  <c r="G315" i="149"/>
  <c r="F271" i="146" s="1"/>
  <c r="J271" i="146" s="1"/>
  <c r="G312" i="149"/>
  <c r="F269" i="146" s="1"/>
  <c r="J269" i="146" s="1"/>
  <c r="G314" i="149"/>
  <c r="G310" i="149"/>
  <c r="F267" i="146" s="1"/>
  <c r="J267" i="146" s="1"/>
  <c r="G216" i="149"/>
  <c r="G215" i="149"/>
  <c r="F189" i="146" s="1"/>
  <c r="J189" i="146" s="1"/>
  <c r="G218" i="149"/>
  <c r="F191" i="146" s="1"/>
  <c r="J191" i="146" s="1"/>
  <c r="G217" i="149"/>
  <c r="F190" i="146" s="1"/>
  <c r="J190" i="146" s="1"/>
  <c r="G24" i="149"/>
  <c r="G207" i="149"/>
  <c r="F142" i="146" s="1"/>
  <c r="J142" i="146" s="1"/>
  <c r="G238" i="149"/>
  <c r="F209" i="146" s="1"/>
  <c r="J209" i="146" s="1"/>
  <c r="G237" i="149"/>
  <c r="F208" i="146" s="1"/>
  <c r="J208" i="146" s="1"/>
  <c r="G204" i="149"/>
  <c r="F182" i="146" s="1"/>
  <c r="J182" i="146" s="1"/>
  <c r="G23" i="149"/>
  <c r="F23" i="146" s="1"/>
  <c r="J23" i="146" s="1"/>
  <c r="G220" i="149"/>
  <c r="F193" i="146" s="1"/>
  <c r="J193" i="146" s="1"/>
  <c r="G236" i="149"/>
  <c r="F207" i="146" s="1"/>
  <c r="J207" i="146" s="1"/>
  <c r="G205" i="149"/>
  <c r="F180" i="146" s="1"/>
  <c r="J180" i="146" s="1"/>
  <c r="G219" i="149"/>
  <c r="F192" i="146" s="1"/>
  <c r="J192" i="146" s="1"/>
  <c r="G25" i="149"/>
  <c r="F24" i="146" s="1"/>
  <c r="J24" i="146" s="1"/>
  <c r="G221" i="149"/>
  <c r="F194" i="146" s="1"/>
  <c r="J194" i="146" s="1"/>
  <c r="G206" i="149"/>
  <c r="F181" i="146" s="1"/>
  <c r="J181" i="146" s="1"/>
  <c r="G235" i="149"/>
  <c r="G275" i="149"/>
  <c r="F239" i="146" s="1"/>
  <c r="J239" i="146" s="1"/>
  <c r="G257" i="149"/>
  <c r="F225" i="146" s="1"/>
  <c r="J225" i="146" s="1"/>
  <c r="G256" i="149"/>
  <c r="F224" i="146" s="1"/>
  <c r="J224" i="146" s="1"/>
  <c r="G249" i="149"/>
  <c r="G70" i="149"/>
  <c r="F64" i="146" s="1"/>
  <c r="J64" i="146" s="1"/>
  <c r="G67" i="149"/>
  <c r="F61" i="146" s="1"/>
  <c r="J61" i="146" s="1"/>
  <c r="G71" i="149"/>
  <c r="F65" i="146" s="1"/>
  <c r="J65" i="146" s="1"/>
  <c r="G98" i="149"/>
  <c r="F86" i="146" s="1"/>
  <c r="J86" i="146" s="1"/>
  <c r="G111" i="149"/>
  <c r="G44" i="149"/>
  <c r="F42" i="146" s="1"/>
  <c r="J42" i="146" s="1"/>
  <c r="G107" i="149"/>
  <c r="F95" i="146" s="1"/>
  <c r="J95" i="146" s="1"/>
  <c r="G100" i="149"/>
  <c r="F88" i="146" s="1"/>
  <c r="J88" i="146" s="1"/>
  <c r="G104" i="149"/>
  <c r="G225" i="149"/>
  <c r="F198" i="146" s="1"/>
  <c r="J198" i="146" s="1"/>
  <c r="G143" i="149"/>
  <c r="F123" i="146" s="1"/>
  <c r="J123" i="146" s="1"/>
  <c r="G142" i="149"/>
  <c r="G96" i="149"/>
  <c r="F85" i="146" s="1"/>
  <c r="J85" i="146" s="1"/>
  <c r="G176" i="149"/>
  <c r="G178" i="149"/>
  <c r="F155" i="146" s="1"/>
  <c r="J155" i="146" s="1"/>
  <c r="G105" i="149"/>
  <c r="F92" i="146" s="1"/>
  <c r="J92" i="146" s="1"/>
  <c r="G224" i="149"/>
  <c r="F197" i="146" s="1"/>
  <c r="J197" i="146" s="1"/>
  <c r="G177" i="149"/>
  <c r="F154" i="146" s="1"/>
  <c r="J154" i="146" s="1"/>
  <c r="G103" i="149"/>
  <c r="F91" i="146" s="1"/>
  <c r="J91" i="146" s="1"/>
  <c r="G42" i="149"/>
  <c r="F41" i="146" s="1"/>
  <c r="J41" i="146" s="1"/>
  <c r="G97" i="149"/>
  <c r="G43" i="149"/>
  <c r="G108" i="149"/>
  <c r="F96" i="146" s="1"/>
  <c r="J96" i="146" s="1"/>
  <c r="G95" i="149"/>
  <c r="G208" i="149"/>
  <c r="F183" i="146" s="1"/>
  <c r="J183" i="146" s="1"/>
  <c r="G270" i="149"/>
  <c r="F236" i="146" s="1"/>
  <c r="J236" i="146" s="1"/>
  <c r="G65" i="149"/>
  <c r="F59" i="146" s="1"/>
  <c r="J59" i="146" s="1"/>
  <c r="G64" i="149"/>
  <c r="F58" i="146" s="1"/>
  <c r="J58" i="146" s="1"/>
  <c r="G210" i="149"/>
  <c r="F185" i="146" s="1"/>
  <c r="J185" i="146" s="1"/>
  <c r="G272" i="149"/>
  <c r="G269" i="149"/>
  <c r="G271" i="149"/>
  <c r="G209" i="149"/>
  <c r="F184" i="146" s="1"/>
  <c r="J184" i="146" s="1"/>
  <c r="G56" i="149"/>
  <c r="F52" i="146" s="1"/>
  <c r="J52" i="146" s="1"/>
  <c r="G29" i="149"/>
  <c r="F28" i="146" s="1"/>
  <c r="J28" i="146" s="1"/>
  <c r="G198" i="149"/>
  <c r="F174" i="146" s="1"/>
  <c r="J174" i="146" s="1"/>
  <c r="G116" i="149"/>
  <c r="F101" i="146" s="1"/>
  <c r="J101" i="146" s="1"/>
  <c r="G28" i="149"/>
  <c r="F27" i="146" s="1"/>
  <c r="J27" i="146" s="1"/>
  <c r="G14" i="149"/>
  <c r="F14" i="146" s="1"/>
  <c r="J14" i="146" s="1"/>
  <c r="G16" i="149"/>
  <c r="F16" i="146" s="1"/>
  <c r="J16" i="146" s="1"/>
  <c r="G199" i="149"/>
  <c r="F175" i="146" s="1"/>
  <c r="J175" i="146" s="1"/>
  <c r="G59" i="149"/>
  <c r="G61" i="149"/>
  <c r="F55" i="146" s="1"/>
  <c r="J55" i="146" s="1"/>
  <c r="G15" i="149"/>
  <c r="F15" i="146" s="1"/>
  <c r="J15" i="146" s="1"/>
  <c r="G115" i="149"/>
  <c r="F100" i="146" s="1"/>
  <c r="J100" i="146" s="1"/>
  <c r="G58" i="149"/>
  <c r="G57" i="149"/>
  <c r="F53" i="146" s="1"/>
  <c r="J53" i="146" s="1"/>
  <c r="G117" i="149"/>
  <c r="F102" i="146" s="1"/>
  <c r="J102" i="146" s="1"/>
  <c r="G13" i="149"/>
  <c r="F13" i="146" s="1"/>
  <c r="J13" i="146" s="1"/>
  <c r="G157" i="149"/>
  <c r="F135" i="146" s="1"/>
  <c r="J135" i="146" s="1"/>
  <c r="G60" i="149"/>
  <c r="F54" i="146" s="1"/>
  <c r="J54" i="146" s="1"/>
  <c r="G118" i="149"/>
  <c r="F103" i="146" s="1"/>
  <c r="J103" i="146" s="1"/>
  <c r="G62" i="149"/>
  <c r="F56" i="146" s="1"/>
  <c r="J56" i="146" s="1"/>
  <c r="G162" i="149"/>
  <c r="F137" i="146" s="1"/>
  <c r="J137" i="146" s="1"/>
  <c r="G161" i="149"/>
  <c r="F139" i="146" s="1"/>
  <c r="J139" i="146" s="1"/>
  <c r="G163" i="149"/>
  <c r="F140" i="146" s="1"/>
  <c r="J140" i="146" s="1"/>
  <c r="G53" i="149"/>
  <c r="F49" i="146" s="1"/>
  <c r="J49" i="146" s="1"/>
  <c r="G51" i="149"/>
  <c r="F47" i="146" s="1"/>
  <c r="J47" i="146" s="1"/>
  <c r="G50" i="149"/>
  <c r="G52" i="149"/>
  <c r="F48" i="146" s="1"/>
  <c r="J48" i="146" s="1"/>
  <c r="G49" i="149"/>
  <c r="G21" i="149"/>
  <c r="F21" i="146" s="1"/>
  <c r="J21" i="146" s="1"/>
  <c r="G22" i="149"/>
  <c r="F22" i="146" s="1"/>
  <c r="J22" i="146" s="1"/>
  <c r="G19" i="149"/>
  <c r="F19" i="146" s="1"/>
  <c r="J19" i="146" s="1"/>
  <c r="G223" i="149"/>
  <c r="F196" i="146" s="1"/>
  <c r="J196" i="146" s="1"/>
  <c r="G222" i="149"/>
  <c r="F195" i="146" s="1"/>
  <c r="J195" i="146" s="1"/>
  <c r="G184" i="149"/>
  <c r="F162" i="146" s="1"/>
  <c r="J162" i="146" s="1"/>
  <c r="G182" i="149"/>
  <c r="F160" i="146" s="1"/>
  <c r="J160" i="146" s="1"/>
  <c r="G183" i="149"/>
  <c r="F161" i="146" s="1"/>
  <c r="J161" i="146" s="1"/>
  <c r="G193" i="149"/>
  <c r="F171" i="146" s="1"/>
  <c r="J171" i="146" s="1"/>
  <c r="G192" i="149"/>
  <c r="F170" i="146" s="1"/>
  <c r="J170" i="146" s="1"/>
  <c r="G211" i="149"/>
  <c r="F186" i="146" s="1"/>
  <c r="J186" i="146" s="1"/>
  <c r="G18" i="149"/>
  <c r="F18" i="146" s="1"/>
  <c r="J18" i="146" s="1"/>
  <c r="G321" i="149"/>
  <c r="F277" i="146" s="1"/>
  <c r="J277" i="146" s="1"/>
  <c r="G31" i="149"/>
  <c r="F30" i="146" s="1"/>
  <c r="J30" i="146" s="1"/>
  <c r="G30" i="149"/>
  <c r="F29" i="146" s="1"/>
  <c r="J29" i="146" s="1"/>
  <c r="G322" i="149"/>
  <c r="F278" i="146" s="1"/>
  <c r="J278" i="146" s="1"/>
  <c r="G114" i="149"/>
  <c r="F242" i="146" s="1"/>
  <c r="J242" i="146" s="1"/>
  <c r="G17" i="149"/>
  <c r="F17" i="146" s="1"/>
  <c r="J17" i="146" s="1"/>
  <c r="G26" i="149"/>
  <c r="F25" i="146" s="1"/>
  <c r="J25" i="146" s="1"/>
  <c r="G27" i="149"/>
  <c r="F26" i="146" s="1"/>
  <c r="J26" i="146" s="1"/>
  <c r="G112" i="149"/>
  <c r="F99" i="146" s="1"/>
  <c r="J99" i="146" s="1"/>
  <c r="G212" i="149"/>
  <c r="F187" i="146" s="1"/>
  <c r="J187" i="146" s="1"/>
  <c r="G278" i="149"/>
  <c r="F243" i="146" s="1"/>
  <c r="J243" i="146" s="1"/>
  <c r="G32" i="149"/>
  <c r="F31" i="146" s="1"/>
  <c r="J31" i="146" s="1"/>
  <c r="G172" i="149"/>
  <c r="F151" i="146" s="1"/>
  <c r="J151" i="146" s="1"/>
  <c r="G173" i="149"/>
  <c r="F149" i="146" s="1"/>
  <c r="J149" i="146" s="1"/>
  <c r="G174" i="149"/>
  <c r="F152" i="146" s="1"/>
  <c r="J152" i="146" s="1"/>
  <c r="G37" i="149"/>
  <c r="F36" i="146" s="1"/>
  <c r="J36" i="146" s="1"/>
  <c r="G34" i="149"/>
  <c r="F33" i="146" s="1"/>
  <c r="J33" i="146" s="1"/>
  <c r="G35" i="149"/>
  <c r="F34" i="146" s="1"/>
  <c r="J34" i="146" s="1"/>
  <c r="G36" i="149"/>
  <c r="F35" i="146" s="1"/>
  <c r="J35" i="146" s="1"/>
  <c r="G33" i="149"/>
  <c r="F32" i="146" s="1"/>
  <c r="J32" i="146" s="1"/>
  <c r="L141" i="71"/>
  <c r="Q18" i="102"/>
  <c r="L133" i="71"/>
  <c r="Q9" i="102"/>
  <c r="L25" i="140"/>
  <c r="R66" i="71"/>
  <c r="L54" i="71"/>
  <c r="Q8" i="102"/>
  <c r="L132" i="71"/>
  <c r="Q16" i="102"/>
  <c r="L112" i="71"/>
  <c r="Q12" i="102"/>
  <c r="G45" i="149"/>
  <c r="F43" i="146" s="1"/>
  <c r="J43" i="146" s="1"/>
  <c r="G255" i="149"/>
  <c r="F223" i="146" s="1"/>
  <c r="J223" i="146" s="1"/>
  <c r="G47" i="149"/>
  <c r="F45" i="146" s="1"/>
  <c r="J45" i="146" s="1"/>
  <c r="G253" i="149"/>
  <c r="F221" i="146" s="1"/>
  <c r="J221" i="146" s="1"/>
  <c r="G7" i="149"/>
  <c r="F7" i="146" s="1"/>
  <c r="J7" i="146" s="1"/>
  <c r="G181" i="149"/>
  <c r="F159" i="146" s="1"/>
  <c r="J159" i="146" s="1"/>
  <c r="G46" i="149"/>
  <c r="F44" i="146" s="1"/>
  <c r="J44" i="146" s="1"/>
  <c r="G254" i="149"/>
  <c r="F222" i="146" s="1"/>
  <c r="J222" i="146" s="1"/>
  <c r="G159" i="149"/>
  <c r="G10" i="149"/>
  <c r="F10" i="146" s="1"/>
  <c r="J10" i="146" s="1"/>
  <c r="G11" i="149"/>
  <c r="F11" i="146" s="1"/>
  <c r="J11" i="146" s="1"/>
  <c r="G203" i="149"/>
  <c r="F179" i="146" s="1"/>
  <c r="J179" i="146" s="1"/>
  <c r="G201" i="149"/>
  <c r="F177" i="146" s="1"/>
  <c r="J177" i="146" s="1"/>
  <c r="G202" i="149"/>
  <c r="F178" i="146" s="1"/>
  <c r="J178" i="146" s="1"/>
  <c r="G129" i="149"/>
  <c r="G128" i="149"/>
  <c r="F111" i="146" s="1"/>
  <c r="J111" i="146" s="1"/>
  <c r="G127" i="149"/>
  <c r="F110" i="146" s="1"/>
  <c r="J110" i="146" s="1"/>
  <c r="G126" i="149"/>
  <c r="F109" i="146" s="1"/>
  <c r="J109" i="146" s="1"/>
  <c r="G76" i="149"/>
  <c r="F71" i="146" s="1"/>
  <c r="J71" i="146" s="1"/>
  <c r="G73" i="149"/>
  <c r="F67" i="146" s="1"/>
  <c r="J67" i="146" s="1"/>
  <c r="G77" i="149"/>
  <c r="F68" i="146" s="1"/>
  <c r="J68" i="146" s="1"/>
  <c r="G277" i="149"/>
  <c r="F241" i="146" s="1"/>
  <c r="J241" i="146" s="1"/>
  <c r="G276" i="149"/>
  <c r="F240" i="146" s="1"/>
  <c r="J240" i="146" s="1"/>
  <c r="G246" i="149"/>
  <c r="F215" i="146" s="1"/>
  <c r="J215" i="146" s="1"/>
  <c r="G248" i="149"/>
  <c r="F217" i="146" s="1"/>
  <c r="J217" i="146" s="1"/>
  <c r="G247" i="149"/>
  <c r="F216" i="146" s="1"/>
  <c r="J216" i="146" s="1"/>
  <c r="G240" i="149"/>
  <c r="F211" i="146" s="1"/>
  <c r="J211" i="146" s="1"/>
  <c r="G241" i="149"/>
  <c r="G242" i="149"/>
  <c r="F212" i="146" s="1"/>
  <c r="J212" i="146" s="1"/>
  <c r="G239" i="149"/>
  <c r="F210" i="146" s="1"/>
  <c r="J210" i="146" s="1"/>
  <c r="G243" i="149"/>
  <c r="G233" i="149"/>
  <c r="F205" i="146" s="1"/>
  <c r="J205" i="146" s="1"/>
  <c r="G234" i="149"/>
  <c r="F206" i="146" s="1"/>
  <c r="J206" i="146" s="1"/>
  <c r="G123" i="149"/>
  <c r="F108" i="146" s="1"/>
  <c r="J108" i="146" s="1"/>
  <c r="G124" i="149"/>
  <c r="G121" i="149"/>
  <c r="F106" i="146" s="1"/>
  <c r="J106" i="146" s="1"/>
  <c r="G125" i="149"/>
  <c r="G122" i="149"/>
  <c r="F107" i="146" s="1"/>
  <c r="J107" i="146" s="1"/>
  <c r="D18" i="28" l="1"/>
  <c r="D4" i="110"/>
  <c r="E4" i="110" s="1"/>
  <c r="D5" i="30"/>
  <c r="E6" i="107" s="1"/>
  <c r="E8" i="107" s="1"/>
  <c r="C5" i="53"/>
  <c r="C7" i="53" s="1"/>
  <c r="D10" i="28" s="1"/>
  <c r="E9" i="203" s="1"/>
  <c r="L11" i="140"/>
  <c r="R102" i="71"/>
  <c r="L13" i="140"/>
  <c r="R114" i="71"/>
  <c r="L21" i="140"/>
  <c r="R118" i="71"/>
  <c r="L7" i="140"/>
  <c r="R130" i="71"/>
  <c r="L17" i="140"/>
  <c r="R142" i="71"/>
  <c r="L10" i="140"/>
  <c r="R9" i="71"/>
  <c r="L20" i="140"/>
  <c r="R59" i="71"/>
  <c r="L14" i="140"/>
  <c r="R77" i="71"/>
  <c r="L19" i="140"/>
  <c r="R89" i="71"/>
  <c r="L15" i="140"/>
  <c r="R123" i="71"/>
  <c r="L12" i="140"/>
  <c r="R112" i="71"/>
  <c r="L16" i="140"/>
  <c r="R132" i="71"/>
  <c r="L8" i="140"/>
  <c r="R54" i="71"/>
  <c r="L9" i="140"/>
  <c r="R133" i="71"/>
  <c r="L18" i="140"/>
  <c r="R141" i="71"/>
  <c r="Q22" i="102"/>
  <c r="C9" i="157" s="1"/>
  <c r="E10" i="158"/>
  <c r="B5" i="53" s="1"/>
  <c r="B7" i="53" s="1"/>
  <c r="D9" i="157"/>
  <c r="D5" i="110" l="1"/>
  <c r="C12" i="110" s="1"/>
  <c r="E5" i="30"/>
  <c r="D7" i="30"/>
  <c r="F7" i="28" s="1"/>
  <c r="E9" i="157"/>
  <c r="J11" i="140" s="1"/>
  <c r="M11" i="140" s="1"/>
  <c r="A39" i="53"/>
  <c r="A38" i="53"/>
  <c r="B10" i="28"/>
  <c r="D9" i="203" s="1"/>
  <c r="D6" i="53"/>
  <c r="E6" i="53" s="1"/>
  <c r="D21" i="28"/>
  <c r="D24" i="28" s="1"/>
  <c r="D13" i="28"/>
  <c r="J7" i="140" l="1"/>
  <c r="M7" i="140" s="1"/>
  <c r="M131" i="71" s="1"/>
  <c r="S131" i="71" s="1"/>
  <c r="E5" i="110"/>
  <c r="H8" i="28" s="1"/>
  <c r="F8" i="28"/>
  <c r="F7" i="203" s="1"/>
  <c r="C13" i="30"/>
  <c r="E7" i="30"/>
  <c r="C12" i="30" s="1"/>
  <c r="B12" i="30" s="1"/>
  <c r="B13" i="30" s="1"/>
  <c r="B14" i="30" s="1"/>
  <c r="J20" i="140"/>
  <c r="M20" i="140" s="1"/>
  <c r="M59" i="71" s="1"/>
  <c r="S59" i="71" s="1"/>
  <c r="J13" i="140"/>
  <c r="M13" i="140" s="1"/>
  <c r="M115" i="71" s="1"/>
  <c r="S115" i="71" s="1"/>
  <c r="J25" i="140"/>
  <c r="M25" i="140" s="1"/>
  <c r="M68" i="71" s="1"/>
  <c r="S68" i="71" s="1"/>
  <c r="F18" i="28"/>
  <c r="F6" i="203"/>
  <c r="F19" i="28"/>
  <c r="J28" i="140"/>
  <c r="M28" i="140" s="1"/>
  <c r="M107" i="71" s="1"/>
  <c r="S107" i="71" s="1"/>
  <c r="J19" i="140"/>
  <c r="M19" i="140" s="1"/>
  <c r="M100" i="71" s="1"/>
  <c r="S100" i="71" s="1"/>
  <c r="J16" i="140"/>
  <c r="M16" i="140" s="1"/>
  <c r="M132" i="71" s="1"/>
  <c r="S132" i="71" s="1"/>
  <c r="J12" i="140"/>
  <c r="M12" i="140" s="1"/>
  <c r="M113" i="71" s="1"/>
  <c r="S113" i="71" s="1"/>
  <c r="J29" i="140"/>
  <c r="M29" i="140" s="1"/>
  <c r="M122" i="71" s="1"/>
  <c r="S122" i="71" s="1"/>
  <c r="J9" i="140"/>
  <c r="M9" i="140" s="1"/>
  <c r="M143" i="71" s="1"/>
  <c r="S143" i="71" s="1"/>
  <c r="J10" i="140"/>
  <c r="M10" i="140" s="1"/>
  <c r="M13" i="71" s="1"/>
  <c r="S13" i="71" s="1"/>
  <c r="J14" i="140"/>
  <c r="M14" i="140" s="1"/>
  <c r="M84" i="71" s="1"/>
  <c r="S84" i="71" s="1"/>
  <c r="J17" i="140"/>
  <c r="M17" i="140" s="1"/>
  <c r="M142" i="71" s="1"/>
  <c r="S142" i="71" s="1"/>
  <c r="J8" i="140"/>
  <c r="M8" i="140" s="1"/>
  <c r="M58" i="71" s="1"/>
  <c r="S58" i="71" s="1"/>
  <c r="J18" i="140"/>
  <c r="M18" i="140" s="1"/>
  <c r="M141" i="71" s="1"/>
  <c r="S141" i="71" s="1"/>
  <c r="J21" i="140"/>
  <c r="M21" i="140" s="1"/>
  <c r="M119" i="71" s="1"/>
  <c r="S119" i="71" s="1"/>
  <c r="J15" i="140"/>
  <c r="M15" i="140" s="1"/>
  <c r="M123" i="71" s="1"/>
  <c r="S123" i="71" s="1"/>
  <c r="J26" i="140"/>
  <c r="M26" i="140" s="1"/>
  <c r="M65" i="71" s="1"/>
  <c r="S65" i="71" s="1"/>
  <c r="J27" i="140"/>
  <c r="M27" i="140" s="1"/>
  <c r="M26" i="71" s="1"/>
  <c r="S26" i="71" s="1"/>
  <c r="M110" i="71"/>
  <c r="S110" i="71" s="1"/>
  <c r="M102" i="71"/>
  <c r="S102" i="71" s="1"/>
  <c r="M106" i="71"/>
  <c r="S106" i="71" s="1"/>
  <c r="M103" i="71"/>
  <c r="S103" i="71" s="1"/>
  <c r="M111" i="71"/>
  <c r="S111" i="71" s="1"/>
  <c r="M104" i="71"/>
  <c r="S104" i="71" s="1"/>
  <c r="M105" i="71"/>
  <c r="S105" i="71" s="1"/>
  <c r="B13" i="28"/>
  <c r="B21" i="28"/>
  <c r="B24" i="28" s="1"/>
  <c r="E29" i="28" s="1"/>
  <c r="E32" i="28" s="1"/>
  <c r="M130" i="71" l="1"/>
  <c r="S130" i="71" s="1"/>
  <c r="H7" i="28"/>
  <c r="M99" i="71"/>
  <c r="S99" i="71" s="1"/>
  <c r="C11" i="110"/>
  <c r="B11" i="110" s="1"/>
  <c r="B12" i="110" s="1"/>
  <c r="B13" i="110" s="1"/>
  <c r="M116" i="71"/>
  <c r="S116" i="71" s="1"/>
  <c r="M114" i="71"/>
  <c r="S114" i="71" s="1"/>
  <c r="M66" i="71"/>
  <c r="S66" i="71" s="1"/>
  <c r="M62" i="71"/>
  <c r="S62" i="71" s="1"/>
  <c r="M72" i="71"/>
  <c r="S72" i="71" s="1"/>
  <c r="M71" i="71"/>
  <c r="S71" i="71" s="1"/>
  <c r="M54" i="71"/>
  <c r="S54" i="71" s="1"/>
  <c r="M91" i="71"/>
  <c r="S91" i="71" s="1"/>
  <c r="M60" i="71"/>
  <c r="S60" i="71" s="1"/>
  <c r="M61" i="71"/>
  <c r="S61" i="71" s="1"/>
  <c r="M95" i="71"/>
  <c r="S95" i="71" s="1"/>
  <c r="M73" i="71"/>
  <c r="S73" i="71" s="1"/>
  <c r="M69" i="71"/>
  <c r="S69" i="71" s="1"/>
  <c r="M70" i="71"/>
  <c r="S70" i="71" s="1"/>
  <c r="M96" i="71"/>
  <c r="S96" i="71" s="1"/>
  <c r="M94" i="71"/>
  <c r="S94" i="71" s="1"/>
  <c r="M93" i="71"/>
  <c r="S93" i="71" s="1"/>
  <c r="M67" i="71"/>
  <c r="S67" i="71" s="1"/>
  <c r="M74" i="71"/>
  <c r="S74" i="71" s="1"/>
  <c r="M76" i="71"/>
  <c r="S76" i="71" s="1"/>
  <c r="H18" i="28"/>
  <c r="G6" i="203"/>
  <c r="H19" i="28"/>
  <c r="G7" i="203"/>
  <c r="M101" i="71"/>
  <c r="S101" i="71" s="1"/>
  <c r="M90" i="71"/>
  <c r="S90" i="71" s="1"/>
  <c r="M98" i="71"/>
  <c r="S98" i="71" s="1"/>
  <c r="M92" i="71"/>
  <c r="S92" i="71" s="1"/>
  <c r="M97" i="71"/>
  <c r="S97" i="71" s="1"/>
  <c r="M89" i="71"/>
  <c r="S89" i="71" s="1"/>
  <c r="M117" i="71"/>
  <c r="S117" i="71" s="1"/>
  <c r="M112" i="71"/>
  <c r="S112" i="71" s="1"/>
  <c r="M79" i="71"/>
  <c r="S79" i="71" s="1"/>
  <c r="M78" i="71"/>
  <c r="S78" i="71" s="1"/>
  <c r="M64" i="71"/>
  <c r="S64" i="71" s="1"/>
  <c r="M136" i="71"/>
  <c r="S136" i="71" s="1"/>
  <c r="M137" i="71"/>
  <c r="S137" i="71" s="1"/>
  <c r="M133" i="71"/>
  <c r="S133" i="71" s="1"/>
  <c r="M55" i="71"/>
  <c r="S55" i="71" s="1"/>
  <c r="M12" i="71"/>
  <c r="S12" i="71" s="1"/>
  <c r="M63" i="71"/>
  <c r="S63" i="71" s="1"/>
  <c r="M134" i="71"/>
  <c r="S134" i="71" s="1"/>
  <c r="M48" i="71"/>
  <c r="S48" i="71" s="1"/>
  <c r="M7" i="71"/>
  <c r="S7" i="71" s="1"/>
  <c r="M53" i="71"/>
  <c r="S53" i="71" s="1"/>
  <c r="M135" i="71"/>
  <c r="S135" i="71" s="1"/>
  <c r="M47" i="71"/>
  <c r="S47" i="71" s="1"/>
  <c r="M49" i="71"/>
  <c r="S49" i="71" s="1"/>
  <c r="M41" i="71"/>
  <c r="S41" i="71" s="1"/>
  <c r="M14" i="71"/>
  <c r="S14" i="71" s="1"/>
  <c r="M52" i="71"/>
  <c r="S52" i="71" s="1"/>
  <c r="M51" i="71"/>
  <c r="S51" i="71" s="1"/>
  <c r="M19" i="71"/>
  <c r="S19" i="71" s="1"/>
  <c r="M16" i="71"/>
  <c r="S16" i="71" s="1"/>
  <c r="M30" i="71"/>
  <c r="S30" i="71" s="1"/>
  <c r="M44" i="71"/>
  <c r="S44" i="71" s="1"/>
  <c r="M18" i="71"/>
  <c r="S18" i="71" s="1"/>
  <c r="M46" i="71"/>
  <c r="S46" i="71" s="1"/>
  <c r="M10" i="71"/>
  <c r="S10" i="71" s="1"/>
  <c r="M20" i="71"/>
  <c r="S20" i="71" s="1"/>
  <c r="M31" i="71"/>
  <c r="S31" i="71" s="1"/>
  <c r="M45" i="71"/>
  <c r="S45" i="71" s="1"/>
  <c r="M11" i="71"/>
  <c r="S11" i="71" s="1"/>
  <c r="M9" i="71"/>
  <c r="S9" i="71" s="1"/>
  <c r="M15" i="71"/>
  <c r="S15" i="71" s="1"/>
  <c r="M17" i="71"/>
  <c r="S17" i="71" s="1"/>
  <c r="M28" i="71"/>
  <c r="S28" i="71" s="1"/>
  <c r="M24" i="71"/>
  <c r="S24" i="71" s="1"/>
  <c r="M57" i="71"/>
  <c r="S57" i="71" s="1"/>
  <c r="M36" i="71"/>
  <c r="S36" i="71" s="1"/>
  <c r="M22" i="71"/>
  <c r="S22" i="71" s="1"/>
  <c r="M34" i="71"/>
  <c r="S34" i="71" s="1"/>
  <c r="M23" i="71"/>
  <c r="S23" i="71" s="1"/>
  <c r="M35" i="71"/>
  <c r="S35" i="71" s="1"/>
  <c r="M29" i="71"/>
  <c r="S29" i="71" s="1"/>
  <c r="M25" i="71"/>
  <c r="S25" i="71" s="1"/>
  <c r="M38" i="71"/>
  <c r="S38" i="71" s="1"/>
  <c r="M77" i="71"/>
  <c r="S77" i="71" s="1"/>
  <c r="M88" i="71"/>
  <c r="S88" i="71" s="1"/>
  <c r="M87" i="71"/>
  <c r="S87" i="71" s="1"/>
  <c r="M85" i="71"/>
  <c r="S85" i="71" s="1"/>
  <c r="M86" i="71"/>
  <c r="S86" i="71" s="1"/>
  <c r="M118" i="71"/>
  <c r="S118" i="71" s="1"/>
  <c r="M39" i="71"/>
  <c r="S39" i="71" s="1"/>
  <c r="M42" i="71"/>
  <c r="S42" i="71" s="1"/>
  <c r="M33" i="71"/>
  <c r="S33" i="71" s="1"/>
  <c r="M40" i="71"/>
  <c r="S40" i="71" s="1"/>
  <c r="M126" i="71"/>
  <c r="S126" i="71" s="1"/>
  <c r="M125" i="71"/>
  <c r="S125" i="71" s="1"/>
  <c r="M124" i="71"/>
  <c r="S124" i="71" s="1"/>
  <c r="M128" i="71"/>
  <c r="S128" i="71" s="1"/>
  <c r="M129" i="71"/>
  <c r="S129" i="71" s="1"/>
  <c r="M127" i="71"/>
  <c r="S127" i="71" s="1"/>
  <c r="M37" i="71"/>
  <c r="S37" i="71" s="1"/>
  <c r="M21" i="71"/>
  <c r="S21" i="71" s="1"/>
  <c r="M27" i="71"/>
  <c r="S27" i="71" s="1"/>
  <c r="M32" i="71"/>
  <c r="S32" i="71" s="1"/>
  <c r="M43" i="71"/>
  <c r="S43" i="71" s="1"/>
  <c r="C29" i="28"/>
  <c r="C32" i="28" s="1"/>
  <c r="D5" i="53" l="1"/>
  <c r="D7" i="53" s="1"/>
  <c r="E5" i="53" l="1"/>
  <c r="F10" i="28"/>
  <c r="F9" i="203" s="1"/>
  <c r="C39" i="53"/>
  <c r="E7" i="53"/>
  <c r="H10" i="28" l="1"/>
  <c r="G9" i="203" s="1"/>
  <c r="C38" i="53"/>
  <c r="B38" i="53" s="1"/>
  <c r="B39" i="53" s="1"/>
  <c r="B40" i="53" s="1"/>
  <c r="F21" i="28"/>
  <c r="H21" i="28" l="1"/>
  <c r="B8" i="182"/>
  <c r="C9" i="182" s="1"/>
  <c r="I17" i="56" s="1"/>
  <c r="K17" i="56" s="1"/>
  <c r="I89" i="56"/>
  <c r="K89" i="56" s="1"/>
  <c r="I121" i="56"/>
  <c r="K121" i="56" s="1"/>
  <c r="I219" i="56"/>
  <c r="K219" i="56" s="1"/>
  <c r="I225" i="56"/>
  <c r="K225" i="56" s="1"/>
  <c r="I229" i="56"/>
  <c r="K229" i="56" s="1"/>
  <c r="I230" i="56"/>
  <c r="K230" i="56" s="1"/>
  <c r="I258" i="56"/>
  <c r="K258" i="56" s="1"/>
  <c r="I264" i="56"/>
  <c r="K264" i="56" s="1"/>
  <c r="I268" i="56"/>
  <c r="K268" i="56" s="1"/>
  <c r="I269" i="56"/>
  <c r="K269" i="56" s="1"/>
  <c r="I275" i="56"/>
  <c r="K275" i="56" s="1"/>
  <c r="I284" i="56"/>
  <c r="K284" i="56" s="1"/>
  <c r="I288" i="56"/>
  <c r="K288" i="56" s="1"/>
  <c r="I292" i="56"/>
  <c r="K292" i="56" s="1"/>
  <c r="I293" i="56"/>
  <c r="K293" i="56" s="1"/>
  <c r="I294" i="56"/>
  <c r="K294" i="56" s="1"/>
  <c r="I298" i="56"/>
  <c r="K298" i="56" s="1"/>
  <c r="I304" i="56"/>
  <c r="K304" i="56" s="1"/>
  <c r="I307" i="56"/>
  <c r="K307" i="56" s="1"/>
  <c r="I311" i="56"/>
  <c r="K311" i="56" s="1"/>
  <c r="I317" i="56"/>
  <c r="K317" i="56" s="1"/>
  <c r="I321" i="56"/>
  <c r="K321" i="56" s="1"/>
  <c r="I324" i="56"/>
  <c r="K324" i="56" s="1"/>
  <c r="I326" i="56"/>
  <c r="K326" i="56" s="1"/>
  <c r="I327" i="56"/>
  <c r="K327" i="56" s="1"/>
  <c r="I331" i="56"/>
  <c r="K331" i="56" s="1"/>
  <c r="I334" i="56"/>
  <c r="K334" i="56" s="1"/>
  <c r="I341" i="56"/>
  <c r="K341" i="56" s="1"/>
  <c r="I344" i="56"/>
  <c r="K344" i="56" s="1"/>
  <c r="I346" i="56"/>
  <c r="K346" i="56" s="1"/>
  <c r="I347" i="56"/>
  <c r="K347" i="56" s="1"/>
  <c r="I352" i="56"/>
  <c r="K352" i="56" s="1"/>
  <c r="I353" i="56"/>
  <c r="K353" i="56" s="1"/>
  <c r="I355" i="56"/>
  <c r="K355" i="56" s="1"/>
  <c r="I357" i="56"/>
  <c r="K357" i="56" s="1"/>
  <c r="I359" i="56"/>
  <c r="K359" i="56" s="1"/>
  <c r="I361" i="56"/>
  <c r="K361" i="56" s="1"/>
  <c r="I362" i="56"/>
  <c r="K362" i="56" s="1"/>
  <c r="I363" i="56"/>
  <c r="K363" i="56" s="1"/>
  <c r="I366" i="56"/>
  <c r="K366" i="56" s="1"/>
  <c r="I367" i="56"/>
  <c r="K367" i="56" s="1"/>
  <c r="I370" i="56"/>
  <c r="K370" i="56" s="1"/>
  <c r="I371" i="56"/>
  <c r="K371" i="56" s="1"/>
  <c r="I373" i="56"/>
  <c r="K373" i="56" s="1"/>
  <c r="I374" i="56"/>
  <c r="K374" i="56" s="1"/>
  <c r="I377" i="56"/>
  <c r="K377" i="56" s="1"/>
  <c r="I378" i="56"/>
  <c r="K378" i="56" s="1"/>
  <c r="I381" i="56"/>
  <c r="K381" i="56" s="1"/>
  <c r="I382" i="56"/>
  <c r="K382" i="56" s="1"/>
  <c r="I383" i="56"/>
  <c r="K383" i="56" s="1"/>
  <c r="I385" i="56"/>
  <c r="K385" i="56" s="1"/>
  <c r="I387" i="56"/>
  <c r="K387" i="56" s="1"/>
  <c r="I389" i="56"/>
  <c r="K389" i="56" s="1"/>
  <c r="I391" i="56"/>
  <c r="K391" i="56" s="1"/>
  <c r="I393" i="56"/>
  <c r="K393" i="56" s="1"/>
  <c r="I394" i="56"/>
  <c r="K394" i="56" s="1"/>
  <c r="I395" i="56"/>
  <c r="K395" i="56" s="1"/>
  <c r="I398" i="56"/>
  <c r="K398" i="56" s="1"/>
  <c r="I399" i="56"/>
  <c r="K399" i="56" s="1"/>
  <c r="I402" i="56"/>
  <c r="K402" i="56" s="1"/>
  <c r="I403" i="56"/>
  <c r="K403" i="56" s="1"/>
  <c r="I405" i="56"/>
  <c r="K405" i="56" s="1"/>
  <c r="I406" i="56"/>
  <c r="K406" i="56" s="1"/>
  <c r="I409" i="56"/>
  <c r="K409" i="56" s="1"/>
  <c r="I410" i="56"/>
  <c r="K410" i="56" s="1"/>
  <c r="I413" i="56"/>
  <c r="K413" i="56" s="1"/>
  <c r="I414" i="56"/>
  <c r="K414" i="56" s="1"/>
  <c r="I415" i="56"/>
  <c r="K415" i="56" s="1"/>
  <c r="I417" i="56"/>
  <c r="K417" i="56" s="1"/>
  <c r="I419" i="56"/>
  <c r="K419" i="56" s="1"/>
  <c r="I421" i="56"/>
  <c r="K421" i="56" s="1"/>
  <c r="I423" i="56"/>
  <c r="K423" i="56" s="1"/>
  <c r="I425" i="56"/>
  <c r="K425" i="56" s="1"/>
  <c r="I426" i="56"/>
  <c r="K426" i="56" s="1"/>
  <c r="I427" i="56"/>
  <c r="K427" i="56" s="1"/>
  <c r="I430" i="56"/>
  <c r="K430" i="56" s="1"/>
  <c r="I431" i="56"/>
  <c r="K431" i="56" s="1"/>
  <c r="I434" i="56"/>
  <c r="K434" i="56" s="1"/>
  <c r="I435" i="56"/>
  <c r="K435" i="56" s="1"/>
  <c r="I437" i="56"/>
  <c r="K437" i="56" s="1"/>
  <c r="I438" i="56"/>
  <c r="K438" i="56" s="1"/>
  <c r="I441" i="56"/>
  <c r="K441" i="56" s="1"/>
  <c r="I442" i="56"/>
  <c r="K442" i="56" s="1"/>
  <c r="I445" i="56"/>
  <c r="K445" i="56" s="1"/>
  <c r="I446" i="56"/>
  <c r="K446" i="56" s="1"/>
  <c r="I447" i="56"/>
  <c r="K447" i="56" s="1"/>
  <c r="I449" i="56"/>
  <c r="K449" i="56" s="1"/>
  <c r="I451" i="56"/>
  <c r="K451" i="56" s="1"/>
  <c r="I453" i="56"/>
  <c r="K453" i="56" s="1"/>
  <c r="I455" i="56"/>
  <c r="K455" i="56" s="1"/>
  <c r="I457" i="56"/>
  <c r="K457" i="56" s="1"/>
  <c r="I458" i="56"/>
  <c r="K458" i="56" s="1"/>
  <c r="I459" i="56"/>
  <c r="K459" i="56" s="1"/>
  <c r="I462" i="56"/>
  <c r="K462" i="56" s="1"/>
  <c r="I463" i="56"/>
  <c r="K463" i="56" s="1"/>
  <c r="I466" i="56"/>
  <c r="K466" i="56" s="1"/>
  <c r="I467" i="56"/>
  <c r="K467" i="56" s="1"/>
  <c r="I468" i="56"/>
  <c r="K468" i="56" s="1"/>
  <c r="I469" i="56"/>
  <c r="K469" i="56" s="1"/>
  <c r="I471" i="56"/>
  <c r="K471" i="56" s="1"/>
  <c r="I474" i="56"/>
  <c r="K474" i="56" s="1"/>
  <c r="I475" i="56"/>
  <c r="K475" i="56" s="1"/>
  <c r="I476" i="56"/>
  <c r="K476" i="56" s="1"/>
  <c r="I478" i="56"/>
  <c r="K478" i="56"/>
  <c r="I481" i="56"/>
  <c r="K481" i="56"/>
  <c r="I482" i="56"/>
  <c r="K482" i="56" s="1"/>
  <c r="I483" i="56"/>
  <c r="K483" i="56" s="1"/>
  <c r="I485" i="56"/>
  <c r="K485" i="56" s="1"/>
  <c r="I486" i="56"/>
  <c r="K486" i="56" s="1"/>
  <c r="I487" i="56"/>
  <c r="K487" i="56" s="1"/>
  <c r="I489" i="56"/>
  <c r="K489" i="56" s="1"/>
  <c r="I490" i="56"/>
  <c r="K490" i="56" s="1"/>
  <c r="I492" i="56"/>
  <c r="K492" i="56" s="1"/>
  <c r="I493" i="56"/>
  <c r="K493" i="56" s="1"/>
  <c r="I495" i="56"/>
  <c r="K495" i="56" s="1"/>
  <c r="I497" i="56"/>
  <c r="K497" i="56"/>
  <c r="I499" i="56"/>
  <c r="K499" i="56" s="1"/>
  <c r="I500" i="56"/>
  <c r="K500" i="56" s="1"/>
  <c r="I502" i="56"/>
  <c r="K502" i="56"/>
  <c r="I503" i="56"/>
  <c r="K503" i="56" s="1"/>
  <c r="I505" i="56"/>
  <c r="K505" i="56" s="1"/>
  <c r="I506" i="56"/>
  <c r="K506" i="56" s="1"/>
  <c r="I507" i="56"/>
  <c r="K507" i="56" s="1"/>
  <c r="I509" i="56"/>
  <c r="K509" i="56" s="1"/>
  <c r="I510" i="56"/>
  <c r="K510" i="56" s="1"/>
  <c r="I511" i="56"/>
  <c r="K511" i="56" s="1"/>
  <c r="I514" i="56"/>
  <c r="K514" i="56" s="1"/>
  <c r="I516" i="56"/>
  <c r="K516" i="56" s="1"/>
  <c r="I517" i="56"/>
  <c r="K517" i="56" s="1"/>
  <c r="I518" i="56"/>
  <c r="K518" i="56"/>
  <c r="I521" i="56"/>
  <c r="K521" i="56"/>
  <c r="I523" i="56"/>
  <c r="K523" i="56" s="1"/>
  <c r="I524" i="56"/>
  <c r="K524" i="56" s="1"/>
  <c r="I525" i="56"/>
  <c r="K525" i="56" s="1"/>
  <c r="I526" i="56"/>
  <c r="K526" i="56" s="1"/>
  <c r="I527" i="56"/>
  <c r="K527" i="56" s="1"/>
  <c r="I529" i="56"/>
  <c r="K529" i="56" s="1"/>
  <c r="I530" i="56"/>
  <c r="K530" i="56" s="1"/>
  <c r="I531" i="56"/>
  <c r="K531" i="56" s="1"/>
  <c r="I532" i="56"/>
  <c r="K532" i="56" s="1"/>
  <c r="I533" i="56"/>
  <c r="K533" i="56" s="1"/>
  <c r="I535" i="56"/>
  <c r="K535" i="56" s="1"/>
  <c r="I538" i="56"/>
  <c r="K538" i="56" s="1"/>
  <c r="I539" i="56"/>
  <c r="K539" i="56" s="1"/>
  <c r="I540" i="56"/>
  <c r="K540" i="56" s="1"/>
  <c r="I542" i="56"/>
  <c r="K542" i="56"/>
  <c r="I545" i="56"/>
  <c r="K545" i="56"/>
  <c r="I546" i="56"/>
  <c r="K546" i="56" s="1"/>
  <c r="I547" i="56"/>
  <c r="K547" i="56" s="1"/>
  <c r="I549" i="56"/>
  <c r="K549" i="56" s="1"/>
  <c r="I550" i="56"/>
  <c r="K550" i="56" s="1"/>
  <c r="I551" i="56"/>
  <c r="K551" i="56" s="1"/>
  <c r="I553" i="56"/>
  <c r="K553" i="56" s="1"/>
  <c r="I554" i="56"/>
  <c r="K554" i="56" s="1"/>
  <c r="I556" i="56"/>
  <c r="K556" i="56" s="1"/>
  <c r="I557" i="56"/>
  <c r="K557" i="56" s="1"/>
  <c r="I559" i="56"/>
  <c r="K559" i="56" s="1"/>
  <c r="I561" i="56"/>
  <c r="K561" i="56"/>
  <c r="I563" i="56"/>
  <c r="K563" i="56" s="1"/>
  <c r="I564" i="56"/>
  <c r="K564" i="56" s="1"/>
  <c r="I566" i="56"/>
  <c r="K566" i="56"/>
  <c r="I567" i="56"/>
  <c r="K567" i="56" s="1"/>
  <c r="I569" i="56"/>
  <c r="K569" i="56" s="1"/>
  <c r="I570" i="56"/>
  <c r="K570" i="56" s="1"/>
  <c r="I572" i="56"/>
  <c r="K572" i="56" s="1"/>
  <c r="I575" i="56"/>
  <c r="K575" i="56" s="1"/>
  <c r="I576" i="56"/>
  <c r="K576" i="56" s="1"/>
  <c r="I578" i="56"/>
  <c r="K578" i="56"/>
  <c r="I581" i="56"/>
  <c r="K581" i="56"/>
  <c r="I583" i="56"/>
  <c r="K583" i="56" s="1"/>
  <c r="I586" i="56"/>
  <c r="K586" i="56" s="1"/>
  <c r="I589" i="56"/>
  <c r="K589" i="56"/>
  <c r="I590" i="56"/>
  <c r="K590" i="56" s="1"/>
  <c r="I591" i="56"/>
  <c r="K591" i="56" s="1"/>
  <c r="I593" i="56"/>
  <c r="K593" i="56" s="1"/>
  <c r="I594" i="56"/>
  <c r="K594" i="56" s="1"/>
  <c r="I595" i="56"/>
  <c r="K595" i="56" s="1"/>
  <c r="I597" i="56"/>
  <c r="K597" i="56" s="1"/>
  <c r="I598" i="56"/>
  <c r="K598" i="56" s="1"/>
  <c r="I600" i="56"/>
  <c r="K600" i="56" s="1"/>
  <c r="I601" i="56"/>
  <c r="K601" i="56" s="1"/>
  <c r="I603" i="56"/>
  <c r="K603" i="56" s="1"/>
  <c r="I604" i="56"/>
  <c r="K604" i="56" s="1"/>
  <c r="I606" i="56"/>
  <c r="K606" i="56" s="1"/>
  <c r="I608" i="56"/>
  <c r="K608" i="56"/>
  <c r="I610" i="56"/>
  <c r="K610" i="56"/>
  <c r="I611" i="56"/>
  <c r="K611" i="56" s="1"/>
  <c r="I612" i="56"/>
  <c r="K612" i="56" s="1"/>
  <c r="I613" i="56"/>
  <c r="K613" i="56"/>
  <c r="I615" i="56"/>
  <c r="K615" i="56" s="1"/>
  <c r="I616" i="56"/>
  <c r="K616" i="56"/>
  <c r="I618" i="56"/>
  <c r="K618" i="56" s="1"/>
  <c r="I619" i="56"/>
  <c r="K619" i="56" s="1"/>
  <c r="I620" i="56"/>
  <c r="K620" i="56" s="1"/>
  <c r="I621" i="56"/>
  <c r="K621" i="56" s="1"/>
  <c r="I622" i="56"/>
  <c r="K622" i="56"/>
  <c r="I624" i="56"/>
  <c r="K624" i="56"/>
  <c r="I625" i="56"/>
  <c r="K625" i="56"/>
  <c r="I627" i="56"/>
  <c r="K627" i="56" s="1"/>
  <c r="I629" i="56"/>
  <c r="K629" i="56" s="1"/>
  <c r="I630" i="56"/>
  <c r="K630" i="56" s="1"/>
  <c r="I631" i="56"/>
  <c r="K631" i="56" s="1"/>
  <c r="C8" i="182"/>
  <c r="I340" i="56" l="1"/>
  <c r="K340" i="56" s="1"/>
  <c r="I330" i="56"/>
  <c r="K330" i="56" s="1"/>
  <c r="I320" i="56"/>
  <c r="K320" i="56" s="1"/>
  <c r="I310" i="56"/>
  <c r="K310" i="56" s="1"/>
  <c r="I279" i="56"/>
  <c r="K279" i="56" s="1"/>
  <c r="I243" i="56"/>
  <c r="K243" i="56" s="1"/>
  <c r="I224" i="56"/>
  <c r="K224" i="56" s="1"/>
  <c r="I189" i="56"/>
  <c r="K189" i="56" s="1"/>
  <c r="I81" i="56"/>
  <c r="K81" i="56" s="1"/>
  <c r="I628" i="56"/>
  <c r="K628" i="56" s="1"/>
  <c r="I623" i="56"/>
  <c r="K623" i="56" s="1"/>
  <c r="I614" i="56"/>
  <c r="K614" i="56" s="1"/>
  <c r="I609" i="56"/>
  <c r="K609" i="56" s="1"/>
  <c r="I602" i="56"/>
  <c r="K602" i="56" s="1"/>
  <c r="I587" i="56"/>
  <c r="K587" i="56" s="1"/>
  <c r="I580" i="56"/>
  <c r="K580" i="56" s="1"/>
  <c r="I573" i="56"/>
  <c r="K573" i="56" s="1"/>
  <c r="I565" i="56"/>
  <c r="K565" i="56" s="1"/>
  <c r="I558" i="56"/>
  <c r="K558" i="56" s="1"/>
  <c r="I543" i="56"/>
  <c r="K543" i="56" s="1"/>
  <c r="I537" i="56"/>
  <c r="K537" i="56" s="1"/>
  <c r="I522" i="56"/>
  <c r="K522" i="56" s="1"/>
  <c r="I515" i="56"/>
  <c r="K515" i="56" s="1"/>
  <c r="I508" i="56"/>
  <c r="K508" i="56" s="1"/>
  <c r="I501" i="56"/>
  <c r="K501" i="56" s="1"/>
  <c r="I494" i="56"/>
  <c r="K494" i="56" s="1"/>
  <c r="I479" i="56"/>
  <c r="K479" i="56" s="1"/>
  <c r="I473" i="56"/>
  <c r="K473" i="56" s="1"/>
  <c r="I465" i="56"/>
  <c r="K465" i="56" s="1"/>
  <c r="I454" i="56"/>
  <c r="K454" i="56" s="1"/>
  <c r="I443" i="56"/>
  <c r="K443" i="56" s="1"/>
  <c r="I433" i="56"/>
  <c r="K433" i="56" s="1"/>
  <c r="I422" i="56"/>
  <c r="K422" i="56" s="1"/>
  <c r="I411" i="56"/>
  <c r="K411" i="56" s="1"/>
  <c r="I401" i="56"/>
  <c r="K401" i="56" s="1"/>
  <c r="I390" i="56"/>
  <c r="K390" i="56" s="1"/>
  <c r="I379" i="56"/>
  <c r="K379" i="56" s="1"/>
  <c r="I369" i="56"/>
  <c r="K369" i="56" s="1"/>
  <c r="I358" i="56"/>
  <c r="K358" i="56" s="1"/>
  <c r="I299" i="56"/>
  <c r="K299" i="56" s="1"/>
  <c r="I289" i="56"/>
  <c r="K289" i="56" s="1"/>
  <c r="I278" i="56"/>
  <c r="K278" i="56" s="1"/>
  <c r="I259" i="56"/>
  <c r="K259" i="56" s="1"/>
  <c r="I240" i="56"/>
  <c r="K240" i="56" s="1"/>
  <c r="I173" i="56"/>
  <c r="K173" i="56" s="1"/>
  <c r="I57" i="56"/>
  <c r="K57" i="56" s="1"/>
  <c r="I169" i="56"/>
  <c r="K169" i="56" s="1"/>
  <c r="I49" i="56"/>
  <c r="K49" i="56" s="1"/>
  <c r="I216" i="56"/>
  <c r="K216" i="56" s="1"/>
  <c r="I316" i="56"/>
  <c r="K316" i="56" s="1"/>
  <c r="I306" i="56"/>
  <c r="K306" i="56" s="1"/>
  <c r="I274" i="56"/>
  <c r="K274" i="56" s="1"/>
  <c r="I254" i="56"/>
  <c r="K254" i="56" s="1"/>
  <c r="I235" i="56"/>
  <c r="K235" i="56" s="1"/>
  <c r="I153" i="56"/>
  <c r="K153" i="56" s="1"/>
  <c r="I25" i="56"/>
  <c r="K25" i="56" s="1"/>
  <c r="I626" i="56"/>
  <c r="K626" i="56" s="1"/>
  <c r="I617" i="56"/>
  <c r="K617" i="56" s="1"/>
  <c r="I599" i="56"/>
  <c r="K599" i="56" s="1"/>
  <c r="I592" i="56"/>
  <c r="K592" i="56" s="1"/>
  <c r="I584" i="56"/>
  <c r="K584" i="56" s="1"/>
  <c r="I562" i="56"/>
  <c r="K562" i="56" s="1"/>
  <c r="I555" i="56"/>
  <c r="K555" i="56" s="1"/>
  <c r="I548" i="56"/>
  <c r="K548" i="56" s="1"/>
  <c r="I541" i="56"/>
  <c r="K541" i="56" s="1"/>
  <c r="I534" i="56"/>
  <c r="K534" i="56" s="1"/>
  <c r="I519" i="56"/>
  <c r="K519" i="56" s="1"/>
  <c r="I513" i="56"/>
  <c r="K513" i="56" s="1"/>
  <c r="I498" i="56"/>
  <c r="K498" i="56" s="1"/>
  <c r="I491" i="56"/>
  <c r="K491" i="56" s="1"/>
  <c r="I484" i="56"/>
  <c r="K484" i="56" s="1"/>
  <c r="I477" i="56"/>
  <c r="K477" i="56" s="1"/>
  <c r="I470" i="56"/>
  <c r="K470" i="56" s="1"/>
  <c r="I461" i="56"/>
  <c r="K461" i="56" s="1"/>
  <c r="I450" i="56"/>
  <c r="K450" i="56" s="1"/>
  <c r="I439" i="56"/>
  <c r="K439" i="56" s="1"/>
  <c r="I429" i="56"/>
  <c r="K429" i="56" s="1"/>
  <c r="I418" i="56"/>
  <c r="K418" i="56" s="1"/>
  <c r="I407" i="56"/>
  <c r="K407" i="56" s="1"/>
  <c r="I397" i="56"/>
  <c r="K397" i="56" s="1"/>
  <c r="I386" i="56"/>
  <c r="K386" i="56" s="1"/>
  <c r="I375" i="56"/>
  <c r="K375" i="56" s="1"/>
  <c r="I365" i="56"/>
  <c r="K365" i="56" s="1"/>
  <c r="I354" i="56"/>
  <c r="K354" i="56" s="1"/>
  <c r="I345" i="56"/>
  <c r="K345" i="56" s="1"/>
  <c r="I335" i="56"/>
  <c r="K335" i="56" s="1"/>
  <c r="I325" i="56"/>
  <c r="K325" i="56" s="1"/>
  <c r="I305" i="56"/>
  <c r="K305" i="56" s="1"/>
  <c r="I295" i="56"/>
  <c r="K295" i="56" s="1"/>
  <c r="I285" i="56"/>
  <c r="K285" i="56" s="1"/>
  <c r="I273" i="56"/>
  <c r="K273" i="56" s="1"/>
  <c r="I253" i="56"/>
  <c r="K253" i="56" s="1"/>
  <c r="I234" i="56"/>
  <c r="K234" i="56" s="1"/>
  <c r="I145" i="56"/>
  <c r="K145" i="56" s="1"/>
  <c r="I10" i="56"/>
  <c r="K10" i="56" s="1"/>
  <c r="I29" i="56"/>
  <c r="K29" i="56" s="1"/>
  <c r="I61" i="56"/>
  <c r="K61" i="56" s="1"/>
  <c r="I93" i="56"/>
  <c r="K93" i="56" s="1"/>
  <c r="I125" i="56"/>
  <c r="K125" i="56" s="1"/>
  <c r="I177" i="56"/>
  <c r="K177" i="56" s="1"/>
  <c r="I197" i="56"/>
  <c r="K197" i="56" s="1"/>
  <c r="I211" i="56"/>
  <c r="K211" i="56" s="1"/>
  <c r="I221" i="56"/>
  <c r="K221" i="56" s="1"/>
  <c r="I226" i="56"/>
  <c r="K226" i="56" s="1"/>
  <c r="I236" i="56"/>
  <c r="K236" i="56" s="1"/>
  <c r="I245" i="56"/>
  <c r="K245" i="56" s="1"/>
  <c r="I250" i="56"/>
  <c r="K250" i="56" s="1"/>
  <c r="I260" i="56"/>
  <c r="K260" i="56" s="1"/>
  <c r="I270" i="56"/>
  <c r="K270" i="56" s="1"/>
  <c r="I280" i="56"/>
  <c r="K280" i="56" s="1"/>
  <c r="I290" i="56"/>
  <c r="K290" i="56" s="1"/>
  <c r="I300" i="56"/>
  <c r="K300" i="56" s="1"/>
  <c r="I309" i="56"/>
  <c r="K309" i="56" s="1"/>
  <c r="I314" i="56"/>
  <c r="K314" i="56" s="1"/>
  <c r="I319" i="56"/>
  <c r="K319" i="56" s="1"/>
  <c r="I329" i="56"/>
  <c r="K329" i="56" s="1"/>
  <c r="I339" i="56"/>
  <c r="K339" i="56" s="1"/>
  <c r="I349" i="56"/>
  <c r="K349" i="56" s="1"/>
  <c r="I364" i="56"/>
  <c r="K364" i="56" s="1"/>
  <c r="I380" i="56"/>
  <c r="K380" i="56" s="1"/>
  <c r="I396" i="56"/>
  <c r="K396" i="56" s="1"/>
  <c r="I412" i="56"/>
  <c r="K412" i="56" s="1"/>
  <c r="I428" i="56"/>
  <c r="K428" i="56" s="1"/>
  <c r="I444" i="56"/>
  <c r="K444" i="56" s="1"/>
  <c r="I460" i="56"/>
  <c r="K460" i="56" s="1"/>
  <c r="I33" i="56"/>
  <c r="K33" i="56" s="1"/>
  <c r="I65" i="56"/>
  <c r="K65" i="56" s="1"/>
  <c r="I97" i="56"/>
  <c r="K97" i="56" s="1"/>
  <c r="I129" i="56"/>
  <c r="K129" i="56" s="1"/>
  <c r="I157" i="56"/>
  <c r="K157" i="56" s="1"/>
  <c r="I201" i="56"/>
  <c r="K201" i="56" s="1"/>
  <c r="I212" i="56"/>
  <c r="K212" i="56" s="1"/>
  <c r="I217" i="56"/>
  <c r="K217" i="56" s="1"/>
  <c r="I231" i="56"/>
  <c r="K231" i="56" s="1"/>
  <c r="I241" i="56"/>
  <c r="K241" i="56" s="1"/>
  <c r="I246" i="56"/>
  <c r="K246" i="56" s="1"/>
  <c r="I255" i="56"/>
  <c r="K255" i="56" s="1"/>
  <c r="I265" i="56"/>
  <c r="K265" i="56" s="1"/>
  <c r="I37" i="56"/>
  <c r="K37" i="56" s="1"/>
  <c r="I69" i="56"/>
  <c r="K69" i="56" s="1"/>
  <c r="I101" i="56"/>
  <c r="K101" i="56" s="1"/>
  <c r="I133" i="56"/>
  <c r="K133" i="56" s="1"/>
  <c r="I161" i="56"/>
  <c r="K161" i="56" s="1"/>
  <c r="I181" i="56"/>
  <c r="K181" i="56" s="1"/>
  <c r="I222" i="56"/>
  <c r="K222" i="56" s="1"/>
  <c r="I227" i="56"/>
  <c r="K227" i="56" s="1"/>
  <c r="I232" i="56"/>
  <c r="K232" i="56" s="1"/>
  <c r="I237" i="56"/>
  <c r="K237" i="56" s="1"/>
  <c r="I251" i="56"/>
  <c r="K251" i="56" s="1"/>
  <c r="I256" i="56"/>
  <c r="K256" i="56" s="1"/>
  <c r="I261" i="56"/>
  <c r="K261" i="56" s="1"/>
  <c r="I266" i="56"/>
  <c r="K266" i="56" s="1"/>
  <c r="I271" i="56"/>
  <c r="K271" i="56" s="1"/>
  <c r="I276" i="56"/>
  <c r="K276" i="56" s="1"/>
  <c r="I281" i="56"/>
  <c r="K281" i="56" s="1"/>
  <c r="I286" i="56"/>
  <c r="K286" i="56" s="1"/>
  <c r="I291" i="56"/>
  <c r="K291" i="56" s="1"/>
  <c r="I296" i="56"/>
  <c r="K296" i="56" s="1"/>
  <c r="I301" i="56"/>
  <c r="K301" i="56" s="1"/>
  <c r="I315" i="56"/>
  <c r="K315" i="56" s="1"/>
  <c r="I336" i="56"/>
  <c r="K336" i="56" s="1"/>
  <c r="I350" i="56"/>
  <c r="K350" i="56" s="1"/>
  <c r="I360" i="56"/>
  <c r="K360" i="56" s="1"/>
  <c r="I376" i="56"/>
  <c r="K376" i="56" s="1"/>
  <c r="I392" i="56"/>
  <c r="K392" i="56" s="1"/>
  <c r="I408" i="56"/>
  <c r="K408" i="56" s="1"/>
  <c r="I424" i="56"/>
  <c r="K424" i="56" s="1"/>
  <c r="I440" i="56"/>
  <c r="K440" i="56" s="1"/>
  <c r="I456" i="56"/>
  <c r="K456" i="56" s="1"/>
  <c r="I472" i="56"/>
  <c r="K472" i="56" s="1"/>
  <c r="I488" i="56"/>
  <c r="K488" i="56" s="1"/>
  <c r="I504" i="56"/>
  <c r="K504" i="56" s="1"/>
  <c r="I520" i="56"/>
  <c r="K520" i="56" s="1"/>
  <c r="I536" i="56"/>
  <c r="K536" i="56" s="1"/>
  <c r="I552" i="56"/>
  <c r="K552" i="56" s="1"/>
  <c r="I568" i="56"/>
  <c r="K568" i="56" s="1"/>
  <c r="I574" i="56"/>
  <c r="K574" i="56" s="1"/>
  <c r="I579" i="56"/>
  <c r="K579" i="56" s="1"/>
  <c r="I585" i="56"/>
  <c r="K585" i="56" s="1"/>
  <c r="I596" i="56"/>
  <c r="K596" i="56" s="1"/>
  <c r="I607" i="56"/>
  <c r="K607" i="56" s="1"/>
  <c r="I9" i="56"/>
  <c r="K9" i="56" s="1"/>
  <c r="I41" i="56"/>
  <c r="K41" i="56" s="1"/>
  <c r="I73" i="56"/>
  <c r="K73" i="56" s="1"/>
  <c r="I105" i="56"/>
  <c r="K105" i="56" s="1"/>
  <c r="I137" i="56"/>
  <c r="K137" i="56" s="1"/>
  <c r="I185" i="56"/>
  <c r="K185" i="56" s="1"/>
  <c r="I205" i="56"/>
  <c r="K205" i="56" s="1"/>
  <c r="I213" i="56"/>
  <c r="K213" i="56" s="1"/>
  <c r="I218" i="56"/>
  <c r="K218" i="56" s="1"/>
  <c r="I228" i="56"/>
  <c r="K228" i="56" s="1"/>
  <c r="I242" i="56"/>
  <c r="K242" i="56" s="1"/>
  <c r="I247" i="56"/>
  <c r="K247" i="56" s="1"/>
  <c r="I252" i="56"/>
  <c r="K252" i="56" s="1"/>
  <c r="I272" i="56"/>
  <c r="K272" i="56" s="1"/>
  <c r="I13" i="56"/>
  <c r="K13" i="56" s="1"/>
  <c r="I45" i="56"/>
  <c r="K45" i="56" s="1"/>
  <c r="I77" i="56"/>
  <c r="K77" i="56" s="1"/>
  <c r="I109" i="56"/>
  <c r="K109" i="56" s="1"/>
  <c r="I141" i="56"/>
  <c r="K141" i="56" s="1"/>
  <c r="I165" i="56"/>
  <c r="K165" i="56" s="1"/>
  <c r="I209" i="56"/>
  <c r="K209" i="56" s="1"/>
  <c r="I214" i="56"/>
  <c r="K214" i="56" s="1"/>
  <c r="I223" i="56"/>
  <c r="K223" i="56" s="1"/>
  <c r="I233" i="56"/>
  <c r="K233" i="56" s="1"/>
  <c r="I238" i="56"/>
  <c r="K238" i="56" s="1"/>
  <c r="I248" i="56"/>
  <c r="K248" i="56" s="1"/>
  <c r="I257" i="56"/>
  <c r="K257" i="56" s="1"/>
  <c r="I262" i="56"/>
  <c r="K262" i="56" s="1"/>
  <c r="I267" i="56"/>
  <c r="K267" i="56" s="1"/>
  <c r="I277" i="56"/>
  <c r="K277" i="56" s="1"/>
  <c r="I282" i="56"/>
  <c r="K282" i="56" s="1"/>
  <c r="I287" i="56"/>
  <c r="K287" i="56" s="1"/>
  <c r="I297" i="56"/>
  <c r="K297" i="56" s="1"/>
  <c r="I302" i="56"/>
  <c r="K302" i="56" s="1"/>
  <c r="I312" i="56"/>
  <c r="K312" i="56" s="1"/>
  <c r="I322" i="56"/>
  <c r="K322" i="56" s="1"/>
  <c r="I332" i="56"/>
  <c r="K332" i="56" s="1"/>
  <c r="I337" i="56"/>
  <c r="K337" i="56" s="1"/>
  <c r="I342" i="56"/>
  <c r="K342" i="56" s="1"/>
  <c r="I351" i="56"/>
  <c r="K351" i="56" s="1"/>
  <c r="I356" i="56"/>
  <c r="K356" i="56" s="1"/>
  <c r="I372" i="56"/>
  <c r="K372" i="56" s="1"/>
  <c r="I388" i="56"/>
  <c r="K388" i="56" s="1"/>
  <c r="I404" i="56"/>
  <c r="K404" i="56" s="1"/>
  <c r="I420" i="56"/>
  <c r="K420" i="56" s="1"/>
  <c r="I436" i="56"/>
  <c r="K436" i="56" s="1"/>
  <c r="I452" i="56"/>
  <c r="K452" i="56" s="1"/>
  <c r="I21" i="56"/>
  <c r="K21" i="56" s="1"/>
  <c r="I53" i="56"/>
  <c r="K53" i="56" s="1"/>
  <c r="I85" i="56"/>
  <c r="K85" i="56" s="1"/>
  <c r="I117" i="56"/>
  <c r="K117" i="56" s="1"/>
  <c r="I149" i="56"/>
  <c r="K149" i="56" s="1"/>
  <c r="I193" i="56"/>
  <c r="K193" i="56" s="1"/>
  <c r="I210" i="56"/>
  <c r="K210" i="56" s="1"/>
  <c r="I215" i="56"/>
  <c r="K215" i="56" s="1"/>
  <c r="I220" i="56"/>
  <c r="K220" i="56" s="1"/>
  <c r="I239" i="56"/>
  <c r="K239" i="56" s="1"/>
  <c r="I244" i="56"/>
  <c r="K244" i="56" s="1"/>
  <c r="I249" i="56"/>
  <c r="K249" i="56" s="1"/>
  <c r="I263" i="56"/>
  <c r="K263" i="56" s="1"/>
  <c r="I283" i="56"/>
  <c r="K283" i="56" s="1"/>
  <c r="I303" i="56"/>
  <c r="K303" i="56" s="1"/>
  <c r="I308" i="56"/>
  <c r="K308" i="56" s="1"/>
  <c r="I313" i="56"/>
  <c r="K313" i="56" s="1"/>
  <c r="I318" i="56"/>
  <c r="K318" i="56" s="1"/>
  <c r="I323" i="56"/>
  <c r="K323" i="56" s="1"/>
  <c r="I328" i="56"/>
  <c r="K328" i="56" s="1"/>
  <c r="I333" i="56"/>
  <c r="K333" i="56" s="1"/>
  <c r="I338" i="56"/>
  <c r="K338" i="56" s="1"/>
  <c r="I343" i="56"/>
  <c r="K343" i="56" s="1"/>
  <c r="I348" i="56"/>
  <c r="K348" i="56" s="1"/>
  <c r="I368" i="56"/>
  <c r="K368" i="56" s="1"/>
  <c r="I384" i="56"/>
  <c r="K384" i="56" s="1"/>
  <c r="I400" i="56"/>
  <c r="K400" i="56" s="1"/>
  <c r="I416" i="56"/>
  <c r="K416" i="56" s="1"/>
  <c r="I432" i="56"/>
  <c r="K432" i="56" s="1"/>
  <c r="I448" i="56"/>
  <c r="K448" i="56" s="1"/>
  <c r="I464" i="56"/>
  <c r="K464" i="56" s="1"/>
  <c r="I480" i="56"/>
  <c r="K480" i="56" s="1"/>
  <c r="I496" i="56"/>
  <c r="K496" i="56" s="1"/>
  <c r="I512" i="56"/>
  <c r="K512" i="56" s="1"/>
  <c r="I528" i="56"/>
  <c r="K528" i="56" s="1"/>
  <c r="I544" i="56"/>
  <c r="K544" i="56" s="1"/>
  <c r="I560" i="56"/>
  <c r="K560" i="56" s="1"/>
  <c r="I571" i="56"/>
  <c r="K571" i="56" s="1"/>
  <c r="I577" i="56"/>
  <c r="K577" i="56" s="1"/>
  <c r="I582" i="56"/>
  <c r="K582" i="56" s="1"/>
  <c r="I588" i="56"/>
  <c r="K588" i="56" s="1"/>
  <c r="I605" i="56"/>
  <c r="K605" i="56" s="1"/>
  <c r="I113" i="56"/>
  <c r="K113" i="56" s="1"/>
  <c r="I208" i="56"/>
  <c r="K208" i="56" s="1"/>
  <c r="I204" i="56"/>
  <c r="K204" i="56" s="1"/>
  <c r="I200" i="56"/>
  <c r="K200" i="56" s="1"/>
  <c r="I196" i="56"/>
  <c r="K196" i="56" s="1"/>
  <c r="I192" i="56"/>
  <c r="K192" i="56" s="1"/>
  <c r="I188" i="56"/>
  <c r="K188" i="56" s="1"/>
  <c r="I184" i="56"/>
  <c r="K184" i="56" s="1"/>
  <c r="I180" i="56"/>
  <c r="K180" i="56" s="1"/>
  <c r="I176" i="56"/>
  <c r="K176" i="56" s="1"/>
  <c r="I172" i="56"/>
  <c r="K172" i="56" s="1"/>
  <c r="I168" i="56"/>
  <c r="K168" i="56" s="1"/>
  <c r="I164" i="56"/>
  <c r="K164" i="56" s="1"/>
  <c r="I160" i="56"/>
  <c r="K160" i="56" s="1"/>
  <c r="I156" i="56"/>
  <c r="K156" i="56" s="1"/>
  <c r="I152" i="56"/>
  <c r="K152" i="56" s="1"/>
  <c r="I148" i="56"/>
  <c r="K148" i="56" s="1"/>
  <c r="I144" i="56"/>
  <c r="K144" i="56" s="1"/>
  <c r="I140" i="56"/>
  <c r="K140" i="56" s="1"/>
  <c r="I136" i="56"/>
  <c r="K136" i="56" s="1"/>
  <c r="I132" i="56"/>
  <c r="K132" i="56" s="1"/>
  <c r="I128" i="56"/>
  <c r="K128" i="56" s="1"/>
  <c r="I124" i="56"/>
  <c r="K124" i="56" s="1"/>
  <c r="I120" i="56"/>
  <c r="K120" i="56" s="1"/>
  <c r="I116" i="56"/>
  <c r="K116" i="56" s="1"/>
  <c r="I112" i="56"/>
  <c r="K112" i="56" s="1"/>
  <c r="I108" i="56"/>
  <c r="K108" i="56" s="1"/>
  <c r="I104" i="56"/>
  <c r="K104" i="56" s="1"/>
  <c r="I100" i="56"/>
  <c r="K100" i="56" s="1"/>
  <c r="I96" i="56"/>
  <c r="K96" i="56" s="1"/>
  <c r="I92" i="56"/>
  <c r="K92" i="56" s="1"/>
  <c r="I88" i="56"/>
  <c r="K88" i="56" s="1"/>
  <c r="I84" i="56"/>
  <c r="K84" i="56" s="1"/>
  <c r="I80" i="56"/>
  <c r="K80" i="56" s="1"/>
  <c r="I76" i="56"/>
  <c r="K76" i="56" s="1"/>
  <c r="I72" i="56"/>
  <c r="K72" i="56" s="1"/>
  <c r="I68" i="56"/>
  <c r="K68" i="56" s="1"/>
  <c r="I64" i="56"/>
  <c r="K64" i="56" s="1"/>
  <c r="I60" i="56"/>
  <c r="K60" i="56" s="1"/>
  <c r="I56" i="56"/>
  <c r="K56" i="56" s="1"/>
  <c r="I52" i="56"/>
  <c r="K52" i="56" s="1"/>
  <c r="I48" i="56"/>
  <c r="K48" i="56" s="1"/>
  <c r="I44" i="56"/>
  <c r="K44" i="56" s="1"/>
  <c r="I40" i="56"/>
  <c r="K40" i="56" s="1"/>
  <c r="I36" i="56"/>
  <c r="K36" i="56" s="1"/>
  <c r="I32" i="56"/>
  <c r="K32" i="56" s="1"/>
  <c r="I28" i="56"/>
  <c r="K28" i="56" s="1"/>
  <c r="I24" i="56"/>
  <c r="K24" i="56" s="1"/>
  <c r="I20" i="56"/>
  <c r="K20" i="56" s="1"/>
  <c r="I16" i="56"/>
  <c r="K16" i="56" s="1"/>
  <c r="I12" i="56"/>
  <c r="K12" i="56" s="1"/>
  <c r="I8" i="56"/>
  <c r="K8" i="56" s="1"/>
  <c r="I207" i="56"/>
  <c r="K207" i="56" s="1"/>
  <c r="I203" i="56"/>
  <c r="K203" i="56" s="1"/>
  <c r="I199" i="56"/>
  <c r="K199" i="56" s="1"/>
  <c r="I195" i="56"/>
  <c r="K195" i="56" s="1"/>
  <c r="I191" i="56"/>
  <c r="K191" i="56" s="1"/>
  <c r="I187" i="56"/>
  <c r="K187" i="56" s="1"/>
  <c r="I183" i="56"/>
  <c r="K183" i="56" s="1"/>
  <c r="I179" i="56"/>
  <c r="K179" i="56" s="1"/>
  <c r="I175" i="56"/>
  <c r="K175" i="56" s="1"/>
  <c r="I171" i="56"/>
  <c r="K171" i="56" s="1"/>
  <c r="I167" i="56"/>
  <c r="K167" i="56" s="1"/>
  <c r="I163" i="56"/>
  <c r="K163" i="56" s="1"/>
  <c r="I159" i="56"/>
  <c r="K159" i="56" s="1"/>
  <c r="I155" i="56"/>
  <c r="K155" i="56" s="1"/>
  <c r="I151" i="56"/>
  <c r="K151" i="56" s="1"/>
  <c r="I147" i="56"/>
  <c r="K147" i="56" s="1"/>
  <c r="I143" i="56"/>
  <c r="K143" i="56" s="1"/>
  <c r="I139" i="56"/>
  <c r="K139" i="56" s="1"/>
  <c r="I135" i="56"/>
  <c r="K135" i="56" s="1"/>
  <c r="I131" i="56"/>
  <c r="K131" i="56" s="1"/>
  <c r="I127" i="56"/>
  <c r="K127" i="56" s="1"/>
  <c r="I123" i="56"/>
  <c r="K123" i="56" s="1"/>
  <c r="I119" i="56"/>
  <c r="K119" i="56" s="1"/>
  <c r="I115" i="56"/>
  <c r="K115" i="56" s="1"/>
  <c r="I111" i="56"/>
  <c r="K111" i="56" s="1"/>
  <c r="I107" i="56"/>
  <c r="K107" i="56" s="1"/>
  <c r="I103" i="56"/>
  <c r="K103" i="56" s="1"/>
  <c r="I99" i="56"/>
  <c r="K99" i="56" s="1"/>
  <c r="I95" i="56"/>
  <c r="K95" i="56" s="1"/>
  <c r="I91" i="56"/>
  <c r="K91" i="56" s="1"/>
  <c r="I87" i="56"/>
  <c r="K87" i="56" s="1"/>
  <c r="I83" i="56"/>
  <c r="K83" i="56" s="1"/>
  <c r="I79" i="56"/>
  <c r="K79" i="56" s="1"/>
  <c r="I75" i="56"/>
  <c r="K75" i="56" s="1"/>
  <c r="I71" i="56"/>
  <c r="K71" i="56" s="1"/>
  <c r="I67" i="56"/>
  <c r="K67" i="56" s="1"/>
  <c r="I63" i="56"/>
  <c r="K63" i="56" s="1"/>
  <c r="I59" i="56"/>
  <c r="K59" i="56" s="1"/>
  <c r="I55" i="56"/>
  <c r="K55" i="56" s="1"/>
  <c r="I51" i="56"/>
  <c r="K51" i="56" s="1"/>
  <c r="I47" i="56"/>
  <c r="K47" i="56" s="1"/>
  <c r="I43" i="56"/>
  <c r="K43" i="56" s="1"/>
  <c r="I39" i="56"/>
  <c r="K39" i="56" s="1"/>
  <c r="I35" i="56"/>
  <c r="K35" i="56" s="1"/>
  <c r="I31" i="56"/>
  <c r="K31" i="56" s="1"/>
  <c r="I27" i="56"/>
  <c r="K27" i="56" s="1"/>
  <c r="I23" i="56"/>
  <c r="K23" i="56" s="1"/>
  <c r="I19" i="56"/>
  <c r="K19" i="56" s="1"/>
  <c r="I15" i="56"/>
  <c r="K15" i="56" s="1"/>
  <c r="I11" i="56"/>
  <c r="K11" i="56" s="1"/>
  <c r="I7" i="56"/>
  <c r="K7" i="56" s="1"/>
  <c r="I206" i="56"/>
  <c r="K206" i="56" s="1"/>
  <c r="I202" i="56"/>
  <c r="K202" i="56" s="1"/>
  <c r="I198" i="56"/>
  <c r="K198" i="56" s="1"/>
  <c r="I194" i="56"/>
  <c r="K194" i="56" s="1"/>
  <c r="I190" i="56"/>
  <c r="K190" i="56" s="1"/>
  <c r="I186" i="56"/>
  <c r="K186" i="56" s="1"/>
  <c r="I182" i="56"/>
  <c r="K182" i="56" s="1"/>
  <c r="I178" i="56"/>
  <c r="K178" i="56" s="1"/>
  <c r="I174" i="56"/>
  <c r="K174" i="56" s="1"/>
  <c r="I170" i="56"/>
  <c r="K170" i="56" s="1"/>
  <c r="I166" i="56"/>
  <c r="K166" i="56" s="1"/>
  <c r="I162" i="56"/>
  <c r="K162" i="56" s="1"/>
  <c r="I158" i="56"/>
  <c r="K158" i="56" s="1"/>
  <c r="I154" i="56"/>
  <c r="K154" i="56" s="1"/>
  <c r="I150" i="56"/>
  <c r="K150" i="56" s="1"/>
  <c r="I146" i="56"/>
  <c r="K146" i="56" s="1"/>
  <c r="I142" i="56"/>
  <c r="K142" i="56" s="1"/>
  <c r="I138" i="56"/>
  <c r="K138" i="56" s="1"/>
  <c r="I134" i="56"/>
  <c r="K134" i="56" s="1"/>
  <c r="I130" i="56"/>
  <c r="K130" i="56" s="1"/>
  <c r="I126" i="56"/>
  <c r="K126" i="56" s="1"/>
  <c r="I122" i="56"/>
  <c r="K122" i="56" s="1"/>
  <c r="I118" i="56"/>
  <c r="K118" i="56" s="1"/>
  <c r="I114" i="56"/>
  <c r="K114" i="56" s="1"/>
  <c r="I110" i="56"/>
  <c r="K110" i="56" s="1"/>
  <c r="I106" i="56"/>
  <c r="K106" i="56" s="1"/>
  <c r="I102" i="56"/>
  <c r="K102" i="56" s="1"/>
  <c r="I98" i="56"/>
  <c r="K98" i="56" s="1"/>
  <c r="I94" i="56"/>
  <c r="K94" i="56" s="1"/>
  <c r="I90" i="56"/>
  <c r="K90" i="56" s="1"/>
  <c r="I86" i="56"/>
  <c r="K86" i="56" s="1"/>
  <c r="I82" i="56"/>
  <c r="K82" i="56" s="1"/>
  <c r="I78" i="56"/>
  <c r="K78" i="56" s="1"/>
  <c r="I74" i="56"/>
  <c r="K74" i="56" s="1"/>
  <c r="I70" i="56"/>
  <c r="K70" i="56" s="1"/>
  <c r="I66" i="56"/>
  <c r="K66" i="56" s="1"/>
  <c r="I62" i="56"/>
  <c r="K62" i="56" s="1"/>
  <c r="I58" i="56"/>
  <c r="K58" i="56" s="1"/>
  <c r="I54" i="56"/>
  <c r="K54" i="56" s="1"/>
  <c r="I50" i="56"/>
  <c r="K50" i="56" s="1"/>
  <c r="I46" i="56"/>
  <c r="K46" i="56" s="1"/>
  <c r="I42" i="56"/>
  <c r="K42" i="56" s="1"/>
  <c r="I38" i="56"/>
  <c r="K38" i="56" s="1"/>
  <c r="I34" i="56"/>
  <c r="K34" i="56" s="1"/>
  <c r="I30" i="56"/>
  <c r="K30" i="56" s="1"/>
  <c r="I26" i="56"/>
  <c r="K26" i="56" s="1"/>
  <c r="I22" i="56"/>
  <c r="K22" i="56" s="1"/>
  <c r="I18" i="56"/>
  <c r="K18" i="56" s="1"/>
  <c r="I14" i="56"/>
  <c r="K14" i="56" s="1"/>
  <c r="K632" i="56" l="1"/>
  <c r="D3" i="27" s="1"/>
  <c r="E3" i="27" l="1"/>
  <c r="D7" i="27"/>
  <c r="F12" i="28" l="1"/>
  <c r="C40" i="27"/>
  <c r="E7" i="27"/>
  <c r="F11" i="203" l="1"/>
  <c r="F23" i="28"/>
  <c r="F24" i="28" s="1"/>
  <c r="E30" i="28" s="1"/>
  <c r="F13" i="28"/>
  <c r="C30" i="28" s="1"/>
  <c r="C39" i="27"/>
  <c r="H12" i="28"/>
  <c r="H13" i="28" l="1"/>
  <c r="C31" i="28" s="1"/>
  <c r="C33" i="28" s="1"/>
  <c r="G11" i="203"/>
  <c r="H23" i="28"/>
  <c r="H24" i="28" s="1"/>
  <c r="E31" i="28" s="1"/>
  <c r="B39" i="27"/>
  <c r="B40" i="27"/>
  <c r="B41" i="27" s="1"/>
  <c r="E33" i="28" l="1"/>
  <c r="K26"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Mikel Evans</author>
    <author>elias lazarus</author>
  </authors>
  <commentList>
    <comment ref="A3" authorId="0" shapeId="0" xr:uid="{00000000-0006-0000-0300-000001000000}">
      <text>
        <r>
          <rPr>
            <sz val="9"/>
            <color indexed="81"/>
            <rFont val="Tahoma"/>
            <family val="2"/>
          </rPr>
          <t>The values here represent only the footprint of crops directly used for human consumption.</t>
        </r>
      </text>
    </comment>
    <comment ref="A4" authorId="1" shapeId="0" xr:uid="{00000000-0006-0000-0300-000002000000}">
      <text>
        <r>
          <rPr>
            <sz val="8"/>
            <color indexed="81"/>
            <rFont val="Tahoma"/>
            <family val="2"/>
          </rPr>
          <t>Footprint of available crop feed  - domestic or from trade - for domestic livestock</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Reed</author>
    <author>david zimmerman</author>
  </authors>
  <commentList>
    <comment ref="D5" authorId="0" shapeId="0" xr:uid="{00000000-0006-0000-1000-000001000000}">
      <text>
        <r>
          <rPr>
            <sz val="8"/>
            <color indexed="81"/>
            <rFont val="Tahoma"/>
            <family val="2"/>
          </rPr>
          <t>Primary only; including secondary leads to double counting</t>
        </r>
      </text>
    </comment>
    <comment ref="K5" authorId="0" shapeId="0" xr:uid="{00000000-0006-0000-1000-000002000000}">
      <text>
        <r>
          <rPr>
            <sz val="8"/>
            <color indexed="81"/>
            <rFont val="Tahoma"/>
            <family val="2"/>
          </rPr>
          <t>Primary only; including secondary leads to double counting</t>
        </r>
      </text>
    </comment>
    <comment ref="R185" authorId="1" shapeId="0" xr:uid="{00000000-0006-0000-1000-000003000000}">
      <text>
        <r>
          <rPr>
            <sz val="9"/>
            <color indexed="81"/>
            <rFont val="Tahoma"/>
            <family val="2"/>
          </rPr>
          <t>This is the area-weighted average of yield.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JK</author>
    <author>elias lazarus</author>
  </authors>
  <commentList>
    <comment ref="Q6" authorId="0" shapeId="0" xr:uid="{00000000-0006-0000-1100-000001000000}">
      <text>
        <r>
          <rPr>
            <sz val="8"/>
            <color indexed="81"/>
            <rFont val="Tahoma"/>
            <family val="2"/>
          </rPr>
          <t>Tonnes derived product per tonne parent product.</t>
        </r>
      </text>
    </comment>
    <comment ref="I18" authorId="1" shapeId="0" xr:uid="{00000000-0006-0000-1100-000002000000}">
      <text>
        <r>
          <rPr>
            <b/>
            <sz val="9"/>
            <color indexed="81"/>
            <rFont val="Tahoma"/>
            <family val="2"/>
          </rPr>
          <t>elias lazarus:</t>
        </r>
        <r>
          <rPr>
            <sz val="9"/>
            <color indexed="81"/>
            <rFont val="Tahoma"/>
            <family val="2"/>
          </rPr>
          <t xml:space="preserve">
Only used if the sum of rice bran and milled/hisked rice is more than Total Rice</t>
        </r>
      </text>
    </comment>
    <comment ref="J18" authorId="1" shapeId="0" xr:uid="{00000000-0006-0000-1100-000003000000}">
      <text>
        <r>
          <rPr>
            <b/>
            <sz val="9"/>
            <color indexed="81"/>
            <rFont val="Tahoma"/>
            <family val="2"/>
          </rPr>
          <t>elias lazarus:</t>
        </r>
        <r>
          <rPr>
            <sz val="9"/>
            <color indexed="81"/>
            <rFont val="Tahoma"/>
            <family val="2"/>
          </rPr>
          <t xml:space="preserve">
Only used if the sum of rice bran and milled/hisked rice is more than Total Rice</t>
        </r>
      </text>
    </comment>
    <comment ref="I19" authorId="1" shapeId="0" xr:uid="{00000000-0006-0000-1100-000004000000}">
      <text>
        <r>
          <rPr>
            <b/>
            <sz val="9"/>
            <color indexed="81"/>
            <rFont val="Tahoma"/>
            <family val="2"/>
          </rPr>
          <t>elias lazarus:</t>
        </r>
        <r>
          <rPr>
            <sz val="9"/>
            <color indexed="81"/>
            <rFont val="Tahoma"/>
            <family val="2"/>
          </rPr>
          <t xml:space="preserve">
Only used if the sum of rice bran and milled/hisked rice is less than or equal to Total Rice</t>
        </r>
      </text>
    </comment>
    <comment ref="J19" authorId="1" shapeId="0" xr:uid="{00000000-0006-0000-1100-000005000000}">
      <text>
        <r>
          <rPr>
            <b/>
            <sz val="9"/>
            <color indexed="81"/>
            <rFont val="Tahoma"/>
            <family val="2"/>
          </rPr>
          <t>elias lazarus:</t>
        </r>
        <r>
          <rPr>
            <sz val="9"/>
            <color indexed="81"/>
            <rFont val="Tahoma"/>
            <family val="2"/>
          </rPr>
          <t xml:space="preserve">
Only used if the sum of rice bran and milled/hisked rice is less than or equal to Total Rice</t>
        </r>
      </text>
    </comment>
    <comment ref="I22" authorId="1" shapeId="0" xr:uid="{00000000-0006-0000-1100-000006000000}">
      <text>
        <r>
          <rPr>
            <b/>
            <sz val="9"/>
            <color indexed="81"/>
            <rFont val="Tahoma"/>
            <family val="2"/>
          </rPr>
          <t>elias lazarus:</t>
        </r>
        <r>
          <rPr>
            <sz val="9"/>
            <color indexed="81"/>
            <rFont val="Tahoma"/>
            <family val="2"/>
          </rPr>
          <t xml:space="preserve">
Only used if the sum of rice bran and milled/hisked rice is more than Total Rice</t>
        </r>
      </text>
    </comment>
    <comment ref="J22" authorId="1" shapeId="0" xr:uid="{00000000-0006-0000-1100-000007000000}">
      <text>
        <r>
          <rPr>
            <b/>
            <sz val="9"/>
            <color indexed="81"/>
            <rFont val="Tahoma"/>
            <family val="2"/>
          </rPr>
          <t>elias lazarus:</t>
        </r>
        <r>
          <rPr>
            <sz val="9"/>
            <color indexed="81"/>
            <rFont val="Tahoma"/>
            <family val="2"/>
          </rPr>
          <t xml:space="preserve">
Only used if the sum of rice bran and milled/hisked rice is more than Total Rice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JK</author>
    <author>Jon Martindill</author>
  </authors>
  <commentList>
    <comment ref="C18" authorId="0" shapeId="0" xr:uid="{00000000-0006-0000-1300-000001000000}">
      <text>
        <r>
          <rPr>
            <sz val="9"/>
            <color indexed="81"/>
            <rFont val="Tahoma"/>
            <family val="2"/>
          </rPr>
          <t>Assume same as Maize</t>
        </r>
      </text>
    </comment>
    <comment ref="C29" authorId="0" shapeId="0" xr:uid="{00000000-0006-0000-1300-000002000000}">
      <text>
        <r>
          <rPr>
            <sz val="9"/>
            <color indexed="81"/>
            <rFont val="Tahoma"/>
            <family val="2"/>
          </rPr>
          <t>Assume same as Millet</t>
        </r>
      </text>
    </comment>
    <comment ref="C146" authorId="1" shapeId="0" xr:uid="{00000000-0006-0000-1300-000003000000}">
      <text>
        <r>
          <rPr>
            <sz val="9"/>
            <color indexed="81"/>
            <rFont val="Tahoma"/>
            <family val="2"/>
          </rPr>
          <t>Average of Apples and Pears</t>
        </r>
      </text>
    </comment>
    <comment ref="C323" authorId="1" shapeId="0" xr:uid="{00000000-0006-0000-1300-000004000000}">
      <text>
        <r>
          <rPr>
            <sz val="9"/>
            <color indexed="81"/>
            <rFont val="Tahoma"/>
            <family val="2"/>
          </rPr>
          <t>From FAO - Fish Meal - http://www.fao.org/wairdocs/tan/x5926e/x5926e01.htm</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author>
    <author>Anders Reed</author>
  </authors>
  <commentList>
    <comment ref="C8" authorId="0" shapeId="0" xr:uid="{00000000-0006-0000-1400-000001000000}">
      <text>
        <r>
          <rPr>
            <sz val="8"/>
            <color indexed="81"/>
            <rFont val="Tahoma"/>
            <family val="2"/>
          </rPr>
          <t>Assumed negligable, i.e. Footprint Allocation Factor = 0</t>
        </r>
      </text>
    </comment>
    <comment ref="A11" authorId="1" shapeId="0" xr:uid="{00000000-0006-0000-1400-000002000000}">
      <text>
        <r>
          <rPr>
            <b/>
            <sz val="8"/>
            <color indexed="81"/>
            <rFont val="Tahoma"/>
            <family val="2"/>
          </rPr>
          <t>Anders Reed:</t>
        </r>
        <r>
          <rPr>
            <sz val="8"/>
            <color indexed="81"/>
            <rFont val="Tahoma"/>
            <family val="2"/>
          </rPr>
          <t xml:space="preserve">
Total amount which can be met with crop feed (i.e. not from animals consuming 100% grass)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author>
  </authors>
  <commentList>
    <comment ref="O5" authorId="0" shapeId="0" xr:uid="{00000000-0006-0000-1500-000001000000}">
      <text>
        <r>
          <rPr>
            <sz val="8"/>
            <color indexed="81"/>
            <rFont val="Tahoma"/>
            <family val="2"/>
          </rPr>
          <t>Expected crop * lifetime EF / lifetime feed qty</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alessandro galli</author>
    <author>elias lazarus</author>
    <author>Jon Martindill</author>
  </authors>
  <commentList>
    <comment ref="A5" authorId="0" shapeId="0" xr:uid="{00000000-0006-0000-1600-000001000000}">
      <text>
        <r>
          <rPr>
            <sz val="8"/>
            <color indexed="81"/>
            <rFont val="Tahoma"/>
            <family val="2"/>
          </rPr>
          <t>Feed list downloaded from SUA/FBS section of FAOSTAT:
http://faostat.fao.org/site/355/DesktopDefault.aspx?PageID=355#ancor
List combines crops from SUA and FBS</t>
        </r>
      </text>
    </comment>
    <comment ref="G5" authorId="1" shapeId="0" xr:uid="{00000000-0006-0000-1600-000002000000}">
      <text>
        <r>
          <rPr>
            <sz val="8"/>
            <color indexed="81"/>
            <rFont val="Tahoma"/>
            <family val="2"/>
          </rPr>
          <t xml:space="preserve">If feed amount is less than production+imports-exports, all 3 are reduced by that proportion in the EF calculation
</t>
        </r>
      </text>
    </comment>
    <comment ref="C48" authorId="2" shapeId="0" xr:uid="{00000000-0006-0000-1600-000003000000}">
      <text>
        <r>
          <rPr>
            <sz val="9"/>
            <color indexed="81"/>
            <rFont val="Tahoma"/>
            <family val="2"/>
          </rPr>
          <t>Assume Palm Oil</t>
        </r>
      </text>
    </comment>
    <comment ref="C57" authorId="2" shapeId="0" xr:uid="{00000000-0006-0000-1600-000004000000}">
      <text>
        <r>
          <rPr>
            <sz val="9"/>
            <color indexed="81"/>
            <rFont val="Tahoma"/>
            <family val="2"/>
          </rPr>
          <t>Assume Safflower</t>
        </r>
      </text>
    </comment>
    <comment ref="C58" authorId="2" shapeId="0" xr:uid="{00000000-0006-0000-1600-000005000000}">
      <text>
        <r>
          <rPr>
            <sz val="9"/>
            <color indexed="81"/>
            <rFont val="Tahoma"/>
            <family val="2"/>
          </rPr>
          <t>Assume maize bran</t>
        </r>
      </text>
    </comment>
    <comment ref="C74" authorId="2" shapeId="0" xr:uid="{00000000-0006-0000-1600-000006000000}">
      <text>
        <r>
          <rPr>
            <sz val="9"/>
            <color indexed="81"/>
            <rFont val="Tahoma"/>
            <family val="2"/>
          </rPr>
          <t>Assume flax fibre</t>
        </r>
      </text>
    </comment>
    <comment ref="O102" authorId="2" shapeId="0" xr:uid="{00000000-0006-0000-1600-000007000000}">
      <text>
        <r>
          <rPr>
            <sz val="9"/>
            <color indexed="81"/>
            <rFont val="Tahoma"/>
            <family val="2"/>
          </rPr>
          <t>Uses weighted average of world and national fishmeal intensity from fish_feed_group_yield_w and fish_feed_group_yield_n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JK</author>
    <author>alessandro galli</author>
  </authors>
  <commentList>
    <comment ref="E5" authorId="0" shapeId="0" xr:uid="{00000000-0006-0000-1800-000001000000}">
      <text>
        <r>
          <rPr>
            <sz val="8"/>
            <color indexed="81"/>
            <rFont val="Tahoma"/>
            <family val="2"/>
          </rPr>
          <t>Tonnes of crop residue used as feed per tonne of non-residue, primary crop material harvested.</t>
        </r>
      </text>
    </comment>
    <comment ref="A11" authorId="1" shapeId="0" xr:uid="{00000000-0006-0000-1800-000002000000}">
      <text>
        <r>
          <rPr>
            <sz val="8"/>
            <color indexed="81"/>
            <rFont val="Tahoma"/>
            <family val="2"/>
          </rPr>
          <t>Refers to the Macrocategory reported by FAOSTAT as Pulses + and contains all the crops listed below in italics.</t>
        </r>
      </text>
    </comment>
    <comment ref="A23" authorId="1" shapeId="0" xr:uid="{00000000-0006-0000-1800-000003000000}">
      <text>
        <r>
          <rPr>
            <sz val="8"/>
            <color indexed="81"/>
            <rFont val="Tahoma"/>
            <family val="2"/>
          </rPr>
          <t>Refers to the Macrocategory reported by FAOSTAT as "Oilcrops Primary +" and contains all the crops listed below in italics.
"Groundnuts in shell", "Soybeans" and "Oil palm fruit" are usually included in this macrocategory but have been omitted here to avoid double counting.</t>
        </r>
      </text>
    </comment>
    <comment ref="A41" authorId="1" shapeId="0" xr:uid="{00000000-0006-0000-1800-000004000000}">
      <text>
        <r>
          <rPr>
            <sz val="8"/>
            <color indexed="81"/>
            <rFont val="Tahoma"/>
            <family val="2"/>
          </rPr>
          <t>Refers to the Macrocategory reported by FAOSTAT as "Roots and Tubers, Total +" and contains all the crops listed below in italics.
"Cassava" is usually included in this macrocategory but has been omitted here to avoid double counting.</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author>
  </authors>
  <commentList>
    <comment ref="E9" authorId="0" shapeId="0" xr:uid="{00000000-0006-0000-1B00-000001000000}">
      <text>
        <r>
          <rPr>
            <sz val="8"/>
            <color indexed="81"/>
            <rFont val="Tahoma"/>
            <family val="2"/>
          </rPr>
          <t>Average live weight per head from FAOSTAT ProdSTAT database</t>
        </r>
      </text>
    </comment>
    <comment ref="F9" authorId="0" shapeId="0" xr:uid="{00000000-0006-0000-1B00-000002000000}">
      <text>
        <r>
          <rPr>
            <sz val="8"/>
            <color indexed="81"/>
            <rFont val="Tahoma"/>
            <family val="2"/>
          </rPr>
          <t>Average live weight per head from FAOSTAT ProdSTAT database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author>
  </authors>
  <commentList>
    <comment ref="E7" authorId="0" shapeId="0" xr:uid="{00000000-0006-0000-1D00-000001000000}">
      <text>
        <r>
          <rPr>
            <sz val="8"/>
            <color indexed="81"/>
            <rFont val="Tahoma"/>
            <family val="2"/>
          </rPr>
          <t>Assume that the intensity of the stock is proportional to the intensity of its feed that year.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alessandro galli</author>
  </authors>
  <commentList>
    <comment ref="A31" authorId="0" shapeId="0" xr:uid="{00000000-0006-0000-1E00-000001000000}">
      <text>
        <r>
          <rPr>
            <sz val="8"/>
            <color indexed="81"/>
            <rFont val="Tahoma"/>
            <family val="2"/>
          </rPr>
          <t>Assumed equal to Hen eggs.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elias lazarus</author>
  </authors>
  <commentList>
    <comment ref="B4" authorId="0" shapeId="0" xr:uid="{00000000-0006-0000-0400-000001000000}">
      <text>
        <r>
          <rPr>
            <sz val="9"/>
            <color indexed="81"/>
            <rFont val="Tahoma"/>
            <family val="2"/>
          </rPr>
          <t>Reference only. Represents livestock products already reported - including from trade - that are fed to domestic livestock. Not included in sum.</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JK</author>
  </authors>
  <commentList>
    <comment ref="G6" authorId="0" shapeId="0" xr:uid="{00000000-0006-0000-1F00-000001000000}">
      <text>
        <r>
          <rPr>
            <sz val="8"/>
            <color indexed="81"/>
            <rFont val="Tahoma"/>
            <family val="2"/>
          </rPr>
          <t>Tonnes derived product per tonne parent product.</t>
        </r>
      </text>
    </comment>
    <comment ref="K23" authorId="0" shapeId="0" xr:uid="{00000000-0006-0000-1F00-000002000000}">
      <text>
        <r>
          <rPr>
            <sz val="8"/>
            <color indexed="81"/>
            <rFont val="Tahoma"/>
            <family val="2"/>
          </rPr>
          <t>Not counted.</t>
        </r>
      </text>
    </comment>
    <comment ref="H24" authorId="0" shapeId="0" xr:uid="{00000000-0006-0000-1F00-000003000000}">
      <text>
        <r>
          <rPr>
            <sz val="8"/>
            <color indexed="81"/>
            <rFont val="Tahoma"/>
            <family val="2"/>
          </rPr>
          <t>World-average grazing land yield, t dm per ha.</t>
        </r>
      </text>
    </comment>
    <comment ref="K24" authorId="0" shapeId="0" xr:uid="{00000000-0006-0000-1F00-000004000000}">
      <text>
        <r>
          <rPr>
            <sz val="8"/>
            <color indexed="81"/>
            <rFont val="Tahoma"/>
            <family val="2"/>
          </rPr>
          <t>This intensity is based on world-average pasture grass.
Note that this equivalent to cropped grass yielding approx. 22 t dm per ha. Actual cropped grass yields are 6-30 t dm per ha.</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JK</author>
    <author>alessandro galli</author>
    <author>Brad Ewing</author>
  </authors>
  <commentList>
    <comment ref="I5" authorId="0" shapeId="0" xr:uid="{00000000-0006-0000-2000-000001000000}">
      <text>
        <r>
          <rPr>
            <sz val="8"/>
            <color indexed="81"/>
            <rFont val="Tahoma"/>
            <family val="2"/>
          </rPr>
          <t xml:space="preserve">Total Feed Requirement, in tonnes feed per tonnes live weight of parent animal of meat product. Edible weight percentages are taken into account in extraction rates used in livestock_intensity_w.
For products in italics, units refer to tonnes feed per tonne of product.
Source: </t>
        </r>
        <r>
          <rPr>
            <i/>
            <sz val="8"/>
            <color indexed="81"/>
            <rFont val="Tahoma"/>
            <family val="2"/>
          </rPr>
          <t>Feeding the World</t>
        </r>
        <r>
          <rPr>
            <sz val="8"/>
            <color indexed="81"/>
            <rFont val="Tahoma"/>
            <family val="2"/>
          </rPr>
          <t xml:space="preserve"> by Vaclav Smil, Chapter 5, Table 5.1 - "Efficiencies of Animal Food Production"</t>
        </r>
      </text>
    </comment>
    <comment ref="A7" authorId="0" shapeId="0" xr:uid="{00000000-0006-0000-2000-000002000000}">
      <text>
        <r>
          <rPr>
            <sz val="8"/>
            <color indexed="81"/>
            <rFont val="Tahoma"/>
            <family val="2"/>
          </rPr>
          <t>Assumed equal to cattle.</t>
        </r>
      </text>
    </comment>
    <comment ref="A10" authorId="1" shapeId="0" xr:uid="{00000000-0006-0000-2000-000003000000}">
      <text>
        <r>
          <rPr>
            <sz val="8"/>
            <color indexed="81"/>
            <rFont val="Tahoma"/>
            <family val="2"/>
          </rPr>
          <t>Assumed equal to Chickens.</t>
        </r>
      </text>
    </comment>
    <comment ref="A11" authorId="1" shapeId="0" xr:uid="{00000000-0006-0000-2000-000004000000}">
      <text>
        <r>
          <rPr>
            <sz val="8"/>
            <color indexed="81"/>
            <rFont val="Tahoma"/>
            <family val="2"/>
          </rPr>
          <t>Assumed equal to Chickens.</t>
        </r>
      </text>
    </comment>
    <comment ref="A12" authorId="1" shapeId="0" xr:uid="{00000000-0006-0000-2000-000005000000}">
      <text>
        <r>
          <rPr>
            <sz val="8"/>
            <color indexed="81"/>
            <rFont val="Tahoma"/>
            <family val="2"/>
          </rPr>
          <t>Assumed equal to Chickens.</t>
        </r>
      </text>
    </comment>
    <comment ref="A13" authorId="0" shapeId="0" xr:uid="{00000000-0006-0000-2000-000006000000}">
      <text>
        <r>
          <rPr>
            <sz val="8"/>
            <color indexed="81"/>
            <rFont val="Tahoma"/>
            <family val="2"/>
          </rPr>
          <t>Assumed equal to sheep.</t>
        </r>
      </text>
    </comment>
    <comment ref="AA13" authorId="0" shapeId="0" xr:uid="{00000000-0006-0000-2000-000007000000}">
      <text>
        <r>
          <rPr>
            <sz val="8"/>
            <color indexed="81"/>
            <rFont val="Tahoma"/>
            <family val="2"/>
          </rPr>
          <t>Without information on feed mix, assume goats eat 100% grass.</t>
        </r>
      </text>
    </comment>
    <comment ref="AA15" authorId="0" shapeId="0" xr:uid="{00000000-0006-0000-2000-000008000000}">
      <text>
        <r>
          <rPr>
            <sz val="8"/>
            <color indexed="81"/>
            <rFont val="Tahoma"/>
            <family val="2"/>
          </rPr>
          <t>Without information on feed mix, assume sheep eat 100% grass.</t>
        </r>
      </text>
    </comment>
    <comment ref="A16" authorId="1" shapeId="0" xr:uid="{00000000-0006-0000-2000-000009000000}">
      <text>
        <r>
          <rPr>
            <sz val="8"/>
            <color indexed="81"/>
            <rFont val="Tahoma"/>
            <family val="2"/>
          </rPr>
          <t>Assumed equal to Cattle.</t>
        </r>
      </text>
    </comment>
    <comment ref="A17" authorId="1" shapeId="0" xr:uid="{00000000-0006-0000-2000-00000A000000}">
      <text>
        <r>
          <rPr>
            <sz val="8"/>
            <color indexed="81"/>
            <rFont val="Tahoma"/>
            <family val="2"/>
          </rPr>
          <t>Assumed equal to Camels and therefore to Cattle.</t>
        </r>
      </text>
    </comment>
    <comment ref="A18" authorId="1" shapeId="0" xr:uid="{00000000-0006-0000-2000-00000B000000}">
      <text>
        <r>
          <rPr>
            <sz val="8"/>
            <color indexed="81"/>
            <rFont val="Tahoma"/>
            <family val="2"/>
          </rPr>
          <t>Assumed equal to Cattle</t>
        </r>
      </text>
    </comment>
    <comment ref="A19" authorId="1" shapeId="0" xr:uid="{00000000-0006-0000-2000-00000C000000}">
      <text>
        <r>
          <rPr>
            <sz val="8"/>
            <color indexed="81"/>
            <rFont val="Tahoma"/>
            <family val="2"/>
          </rPr>
          <t>Assumed equal to Horses and therefore to Cattle.</t>
        </r>
      </text>
    </comment>
    <comment ref="A20" authorId="1" shapeId="0" xr:uid="{00000000-0006-0000-2000-00000D000000}">
      <text>
        <r>
          <rPr>
            <sz val="8"/>
            <color indexed="81"/>
            <rFont val="Tahoma"/>
            <family val="2"/>
          </rPr>
          <t>Assumed equal to Horses and therefore to Cattle.</t>
        </r>
      </text>
    </comment>
    <comment ref="A21" authorId="1" shapeId="0" xr:uid="{00000000-0006-0000-2000-00000E000000}">
      <text>
        <r>
          <rPr>
            <sz val="8"/>
            <color indexed="81"/>
            <rFont val="Tahoma"/>
            <family val="2"/>
          </rPr>
          <t>No assumption has been made.</t>
        </r>
      </text>
    </comment>
    <comment ref="A22" authorId="1" shapeId="0" xr:uid="{00000000-0006-0000-2000-00000F000000}">
      <text>
        <r>
          <rPr>
            <sz val="8"/>
            <color indexed="81"/>
            <rFont val="Tahoma"/>
            <family val="2"/>
          </rPr>
          <t>No TFR has been assigned as assumed equal to Rabbits.</t>
        </r>
      </text>
    </comment>
    <comment ref="A25" authorId="1" shapeId="0" xr:uid="{00000000-0006-0000-2000-000010000000}">
      <text>
        <r>
          <rPr>
            <sz val="8"/>
            <color indexed="81"/>
            <rFont val="Tahoma"/>
            <family val="2"/>
          </rPr>
          <t>Assumed equal to Hen eggs.</t>
        </r>
      </text>
    </comment>
    <comment ref="A27" authorId="1" shapeId="0" xr:uid="{00000000-0006-0000-2000-000011000000}">
      <text>
        <r>
          <rPr>
            <sz val="8"/>
            <color indexed="81"/>
            <rFont val="Tahoma"/>
            <family val="2"/>
          </rPr>
          <t>Assumed equal to Sheep.</t>
        </r>
      </text>
    </comment>
    <comment ref="A28" authorId="2" shapeId="0" xr:uid="{00000000-0006-0000-2000-00001200000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 ref="AA28" authorId="0" shapeId="0" xr:uid="{00000000-0006-0000-2000-000013000000}">
      <text>
        <r>
          <rPr>
            <sz val="8"/>
            <color indexed="81"/>
            <rFont val="Tahoma"/>
            <family val="2"/>
          </rPr>
          <t>Without information on feed mix, assume sheep eat 100% grass.</t>
        </r>
      </text>
    </comment>
    <comment ref="A35" authorId="0" shapeId="0" xr:uid="{00000000-0006-0000-2000-000014000000}">
      <text>
        <r>
          <rPr>
            <sz val="8"/>
            <color indexed="81"/>
            <rFont val="Tahoma"/>
            <family val="2"/>
          </rPr>
          <t>Assumed equal to cattle.</t>
        </r>
      </text>
    </comment>
    <comment ref="A38" authorId="1" shapeId="0" xr:uid="{00000000-0006-0000-2000-000015000000}">
      <text>
        <r>
          <rPr>
            <sz val="8"/>
            <color indexed="81"/>
            <rFont val="Tahoma"/>
            <family val="2"/>
          </rPr>
          <t>Assumed equal to Chickens.</t>
        </r>
      </text>
    </comment>
    <comment ref="A39" authorId="1" shapeId="0" xr:uid="{00000000-0006-0000-2000-000016000000}">
      <text>
        <r>
          <rPr>
            <sz val="8"/>
            <color indexed="81"/>
            <rFont val="Tahoma"/>
            <family val="2"/>
          </rPr>
          <t>Assumed equal to Chickens.</t>
        </r>
      </text>
    </comment>
    <comment ref="A40" authorId="1" shapeId="0" xr:uid="{00000000-0006-0000-2000-000017000000}">
      <text>
        <r>
          <rPr>
            <sz val="8"/>
            <color indexed="81"/>
            <rFont val="Tahoma"/>
            <family val="2"/>
          </rPr>
          <t>Assumed equal to Chickens.</t>
        </r>
      </text>
    </comment>
    <comment ref="A41" authorId="0" shapeId="0" xr:uid="{00000000-0006-0000-2000-000018000000}">
      <text>
        <r>
          <rPr>
            <sz val="8"/>
            <color indexed="81"/>
            <rFont val="Tahoma"/>
            <family val="2"/>
          </rPr>
          <t>Assumed equal to sheep.</t>
        </r>
      </text>
    </comment>
    <comment ref="A44" authorId="1" shapeId="0" xr:uid="{00000000-0006-0000-2000-000019000000}">
      <text>
        <r>
          <rPr>
            <sz val="8"/>
            <color indexed="81"/>
            <rFont val="Tahoma"/>
            <family val="2"/>
          </rPr>
          <t>Assumed equal to Cattle.</t>
        </r>
      </text>
    </comment>
    <comment ref="A45" authorId="1" shapeId="0" xr:uid="{00000000-0006-0000-2000-00001A000000}">
      <text>
        <r>
          <rPr>
            <sz val="8"/>
            <color indexed="81"/>
            <rFont val="Tahoma"/>
            <family val="2"/>
          </rPr>
          <t>Assumed equal to Camels and therefore to Cattle.</t>
        </r>
      </text>
    </comment>
    <comment ref="A46" authorId="1" shapeId="0" xr:uid="{00000000-0006-0000-2000-00001B000000}">
      <text>
        <r>
          <rPr>
            <sz val="8"/>
            <color indexed="81"/>
            <rFont val="Tahoma"/>
            <family val="2"/>
          </rPr>
          <t>Assumed equal to Cattle</t>
        </r>
      </text>
    </comment>
    <comment ref="A47" authorId="1" shapeId="0" xr:uid="{00000000-0006-0000-2000-00001C000000}">
      <text>
        <r>
          <rPr>
            <sz val="8"/>
            <color indexed="81"/>
            <rFont val="Tahoma"/>
            <family val="2"/>
          </rPr>
          <t>Assumed equal to Horses and therefore to Cattle.</t>
        </r>
      </text>
    </comment>
    <comment ref="A48" authorId="1" shapeId="0" xr:uid="{00000000-0006-0000-2000-00001D000000}">
      <text>
        <r>
          <rPr>
            <sz val="8"/>
            <color indexed="81"/>
            <rFont val="Tahoma"/>
            <family val="2"/>
          </rPr>
          <t>Assumed equal to Horses and therefore to Cattle.</t>
        </r>
      </text>
    </comment>
    <comment ref="A49" authorId="1" shapeId="0" xr:uid="{00000000-0006-0000-2000-00001E000000}">
      <text>
        <r>
          <rPr>
            <sz val="8"/>
            <color indexed="81"/>
            <rFont val="Tahoma"/>
            <family val="2"/>
          </rPr>
          <t>No assumption has been made.</t>
        </r>
      </text>
    </comment>
    <comment ref="A50" authorId="1" shapeId="0" xr:uid="{00000000-0006-0000-2000-00001F000000}">
      <text>
        <r>
          <rPr>
            <sz val="8"/>
            <color indexed="81"/>
            <rFont val="Tahoma"/>
            <family val="2"/>
          </rPr>
          <t>No TFR has been assigned as assumed equal to Rabbits.</t>
        </r>
      </text>
    </comment>
    <comment ref="A53" authorId="1" shapeId="0" xr:uid="{00000000-0006-0000-2000-000020000000}">
      <text>
        <r>
          <rPr>
            <sz val="8"/>
            <color indexed="81"/>
            <rFont val="Tahoma"/>
            <family val="2"/>
          </rPr>
          <t>Assumed equal to Hen eggs.</t>
        </r>
      </text>
    </comment>
    <comment ref="A55" authorId="1" shapeId="0" xr:uid="{00000000-0006-0000-2000-000021000000}">
      <text>
        <r>
          <rPr>
            <sz val="8"/>
            <color indexed="81"/>
            <rFont val="Tahoma"/>
            <family val="2"/>
          </rPr>
          <t>Assumed equal to Cow milk.</t>
        </r>
      </text>
    </comment>
    <comment ref="A56" authorId="2" shapeId="0" xr:uid="{00000000-0006-0000-2000-00002200000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 ref="A62" authorId="0" shapeId="0" xr:uid="{00000000-0006-0000-2000-000023000000}">
      <text>
        <r>
          <rPr>
            <sz val="8"/>
            <color indexed="81"/>
            <rFont val="Tahoma"/>
            <family val="2"/>
          </rPr>
          <t>Assumed equal to cattle.</t>
        </r>
      </text>
    </comment>
    <comment ref="A65" authorId="1" shapeId="0" xr:uid="{00000000-0006-0000-2000-000024000000}">
      <text>
        <r>
          <rPr>
            <sz val="8"/>
            <color indexed="81"/>
            <rFont val="Tahoma"/>
            <family val="2"/>
          </rPr>
          <t>Assumed equal to Chickens.</t>
        </r>
      </text>
    </comment>
    <comment ref="A66" authorId="1" shapeId="0" xr:uid="{00000000-0006-0000-2000-000025000000}">
      <text>
        <r>
          <rPr>
            <sz val="8"/>
            <color indexed="81"/>
            <rFont val="Tahoma"/>
            <family val="2"/>
          </rPr>
          <t>Assumed equal to Chickens.</t>
        </r>
      </text>
    </comment>
    <comment ref="A67" authorId="1" shapeId="0" xr:uid="{00000000-0006-0000-2000-000026000000}">
      <text>
        <r>
          <rPr>
            <sz val="8"/>
            <color indexed="81"/>
            <rFont val="Tahoma"/>
            <family val="2"/>
          </rPr>
          <t>Assumed equal to Chickens.</t>
        </r>
      </text>
    </comment>
    <comment ref="A68" authorId="0" shapeId="0" xr:uid="{00000000-0006-0000-2000-000027000000}">
      <text>
        <r>
          <rPr>
            <sz val="8"/>
            <color indexed="81"/>
            <rFont val="Tahoma"/>
            <family val="2"/>
          </rPr>
          <t>Assumed equal to sheep.</t>
        </r>
      </text>
    </comment>
    <comment ref="A71" authorId="1" shapeId="0" xr:uid="{00000000-0006-0000-2000-000028000000}">
      <text>
        <r>
          <rPr>
            <sz val="8"/>
            <color indexed="81"/>
            <rFont val="Tahoma"/>
            <family val="2"/>
          </rPr>
          <t>Assumed equal to Cattle.</t>
        </r>
      </text>
    </comment>
    <comment ref="A72" authorId="1" shapeId="0" xr:uid="{00000000-0006-0000-2000-000029000000}">
      <text>
        <r>
          <rPr>
            <sz val="8"/>
            <color indexed="81"/>
            <rFont val="Tahoma"/>
            <family val="2"/>
          </rPr>
          <t>Assumed equal to Camels and therefore to Cattle.</t>
        </r>
      </text>
    </comment>
    <comment ref="A73" authorId="1" shapeId="0" xr:uid="{00000000-0006-0000-2000-00002A000000}">
      <text>
        <r>
          <rPr>
            <sz val="8"/>
            <color indexed="81"/>
            <rFont val="Tahoma"/>
            <family val="2"/>
          </rPr>
          <t>Assumed equal to Cattle</t>
        </r>
      </text>
    </comment>
    <comment ref="A74" authorId="1" shapeId="0" xr:uid="{00000000-0006-0000-2000-00002B000000}">
      <text>
        <r>
          <rPr>
            <sz val="8"/>
            <color indexed="81"/>
            <rFont val="Tahoma"/>
            <family val="2"/>
          </rPr>
          <t>Assumed equal to Horses and therefore to Cattle.</t>
        </r>
      </text>
    </comment>
    <comment ref="A75" authorId="1" shapeId="0" xr:uid="{00000000-0006-0000-2000-00002C000000}">
      <text>
        <r>
          <rPr>
            <sz val="8"/>
            <color indexed="81"/>
            <rFont val="Tahoma"/>
            <family val="2"/>
          </rPr>
          <t>Assumed equal to Horses and therefore to Cattle.</t>
        </r>
      </text>
    </comment>
    <comment ref="A76" authorId="1" shapeId="0" xr:uid="{00000000-0006-0000-2000-00002D000000}">
      <text>
        <r>
          <rPr>
            <sz val="8"/>
            <color indexed="81"/>
            <rFont val="Tahoma"/>
            <family val="2"/>
          </rPr>
          <t>No assumption has been made.</t>
        </r>
      </text>
    </comment>
    <comment ref="A77" authorId="1" shapeId="0" xr:uid="{00000000-0006-0000-2000-00002E000000}">
      <text>
        <r>
          <rPr>
            <sz val="8"/>
            <color indexed="81"/>
            <rFont val="Tahoma"/>
            <family val="2"/>
          </rPr>
          <t>No TFR has been assigned as assumed equal to Rabbits.</t>
        </r>
      </text>
    </comment>
    <comment ref="A80" authorId="1" shapeId="0" xr:uid="{00000000-0006-0000-2000-00002F000000}">
      <text>
        <r>
          <rPr>
            <sz val="8"/>
            <color indexed="81"/>
            <rFont val="Tahoma"/>
            <family val="2"/>
          </rPr>
          <t>Assumed equal to Hen eggs.</t>
        </r>
      </text>
    </comment>
    <comment ref="A82" authorId="1" shapeId="0" xr:uid="{00000000-0006-0000-2000-000030000000}">
      <text>
        <r>
          <rPr>
            <sz val="8"/>
            <color indexed="81"/>
            <rFont val="Tahoma"/>
            <family val="2"/>
          </rPr>
          <t>Assumed equal to Cow milk.</t>
        </r>
      </text>
    </comment>
    <comment ref="A83" authorId="2" shapeId="0" xr:uid="{00000000-0006-0000-2000-000031000000}">
      <text>
        <r>
          <rPr>
            <sz val="8"/>
            <color indexed="81"/>
            <rFont val="Tahoma"/>
            <family val="2"/>
          </rPr>
          <t xml:space="preserve">Related codes are currently not available in MySQL for this name </t>
        </r>
        <r>
          <rPr>
            <i/>
            <sz val="8"/>
            <color indexed="81"/>
            <rFont val="Tahoma"/>
            <family val="2"/>
          </rPr>
          <t xml:space="preserve">Wool, not carded or combed, degreased. </t>
        </r>
        <r>
          <rPr>
            <sz val="8"/>
            <color indexed="81"/>
            <rFont val="Tahoma"/>
            <family val="2"/>
          </rPr>
          <t>There are other wool items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elias lazarus</author>
  </authors>
  <commentList>
    <comment ref="D7" authorId="0" shapeId="0" xr:uid="{00000000-0006-0000-2100-000001000000}">
      <text>
        <r>
          <rPr>
            <sz val="9"/>
            <color indexed="81"/>
            <rFont val="Tahoma"/>
            <family val="2"/>
          </rPr>
          <t>see feed_intensity_w tab</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Jon Martindill</author>
  </authors>
  <commentList>
    <comment ref="J18" authorId="0" shapeId="0" xr:uid="{00000000-0006-0000-2200-000001000000}">
      <text>
        <r>
          <rPr>
            <sz val="9"/>
            <color indexed="81"/>
            <rFont val="Tahoma"/>
            <family val="2"/>
          </rPr>
          <t>Assumed same as Rice Milled</t>
        </r>
      </text>
    </comment>
    <comment ref="J69" authorId="0" shapeId="0" xr:uid="{00000000-0006-0000-2200-000002000000}">
      <text>
        <r>
          <rPr>
            <sz val="9"/>
            <color indexed="81"/>
            <rFont val="Tahoma"/>
            <family val="2"/>
          </rPr>
          <t>Assume TCF same as wheat flour to wafers</t>
        </r>
      </text>
    </comment>
    <comment ref="J106" authorId="0" shapeId="0" xr:uid="{00000000-0006-0000-2200-000003000000}">
      <text>
        <r>
          <rPr>
            <sz val="9"/>
            <color indexed="81"/>
            <rFont val="Tahoma"/>
            <family val="2"/>
          </rPr>
          <t>U.S. National Research Council, 1983. Underutilized resources as animal feedstuffs</t>
        </r>
      </text>
    </comment>
    <comment ref="J177" authorId="0" shapeId="0" xr:uid="{00000000-0006-0000-2200-000004000000}">
      <text>
        <r>
          <rPr>
            <sz val="9"/>
            <color indexed="81"/>
            <rFont val="Tahoma"/>
            <family val="2"/>
          </rPr>
          <t>Assume same TCF as sesame seed oil</t>
        </r>
      </text>
    </comment>
    <comment ref="J208" authorId="0" shapeId="0" xr:uid="{00000000-0006-0000-2200-000005000000}">
      <text>
        <r>
          <rPr>
            <sz val="9"/>
            <color indexed="81"/>
            <rFont val="Tahoma"/>
            <family val="2"/>
          </rPr>
          <t>Assume same TCF as from rapeseed</t>
        </r>
      </text>
    </comment>
    <comment ref="J209" authorId="0" shapeId="0" xr:uid="{00000000-0006-0000-2200-000006000000}">
      <text>
        <r>
          <rPr>
            <sz val="9"/>
            <color indexed="81"/>
            <rFont val="Tahoma"/>
            <family val="2"/>
          </rPr>
          <t>Assume same TCF as from rapeseed</t>
        </r>
      </text>
    </comment>
    <comment ref="J210" authorId="0" shapeId="0" xr:uid="{00000000-0006-0000-2200-000007000000}">
      <text>
        <r>
          <rPr>
            <sz val="9"/>
            <color indexed="81"/>
            <rFont val="Tahoma"/>
            <family val="2"/>
          </rPr>
          <t>Assume same TCF as from soybeans</t>
        </r>
      </text>
    </comment>
    <comment ref="J243" authorId="0" shapeId="0" xr:uid="{00000000-0006-0000-2200-000008000000}">
      <text>
        <r>
          <rPr>
            <sz val="9"/>
            <color indexed="81"/>
            <rFont val="Tahoma"/>
            <family val="2"/>
          </rPr>
          <t>Assume 1:1 extraction</t>
        </r>
      </text>
    </comment>
    <comment ref="J384" authorId="0" shapeId="0" xr:uid="{00000000-0006-0000-2200-000009000000}">
      <text>
        <r>
          <rPr>
            <sz val="9"/>
            <color indexed="81"/>
            <rFont val="Tahoma"/>
            <family val="2"/>
          </rPr>
          <t>Assume no loss from cotton lint</t>
        </r>
      </text>
    </comment>
    <comment ref="J387" authorId="0" shapeId="0" xr:uid="{00000000-0006-0000-2200-00000A000000}">
      <text>
        <r>
          <rPr>
            <sz val="9"/>
            <color indexed="81"/>
            <rFont val="Tahoma"/>
            <family val="2"/>
          </rPr>
          <t>Assume same TCF as cotton lint</t>
        </r>
      </text>
    </comment>
    <comment ref="J389" authorId="0" shapeId="0" xr:uid="{00000000-0006-0000-2200-00000B000000}">
      <text>
        <r>
          <rPr>
            <b/>
            <sz val="9"/>
            <color indexed="81"/>
            <rFont val="Tahoma"/>
            <family val="2"/>
          </rPr>
          <t>Jon Martindill:</t>
        </r>
        <r>
          <rPr>
            <sz val="9"/>
            <color indexed="81"/>
            <rFont val="Tahoma"/>
            <family val="2"/>
          </rPr>
          <t xml:space="preserve">
</t>
        </r>
      </text>
    </comment>
    <comment ref="J421" authorId="0" shapeId="0" xr:uid="{00000000-0006-0000-2200-00000C000000}">
      <text>
        <r>
          <rPr>
            <sz val="9"/>
            <color indexed="81"/>
            <rFont val="Tahoma"/>
            <family val="2"/>
          </rPr>
          <t>Assume no loss from parent</t>
        </r>
      </text>
    </comment>
    <comment ref="J479" authorId="0" shapeId="0" xr:uid="{00000000-0006-0000-2200-00000D000000}">
      <text>
        <r>
          <rPr>
            <b/>
            <sz val="9"/>
            <color indexed="81"/>
            <rFont val="Tahoma"/>
            <family val="2"/>
          </rPr>
          <t>Jon Martindill:</t>
        </r>
        <r>
          <rPr>
            <sz val="9"/>
            <color indexed="81"/>
            <rFont val="Tahoma"/>
            <family val="2"/>
          </rPr>
          <t xml:space="preserve">
Wool is 10-25% grease - USDA 1996, "Wool Gaining Favor Outside of Apparel Industry"</t>
        </r>
      </text>
    </comment>
    <comment ref="J480" authorId="0" shapeId="0" xr:uid="{00000000-0006-0000-2200-00000E000000}">
      <text>
        <r>
          <rPr>
            <b/>
            <sz val="9"/>
            <color indexed="81"/>
            <rFont val="Tahoma"/>
            <family val="2"/>
          </rPr>
          <t>Jon Martindill:</t>
        </r>
        <r>
          <rPr>
            <sz val="9"/>
            <color indexed="81"/>
            <rFont val="Tahoma"/>
            <family val="2"/>
          </rPr>
          <t xml:space="preserve">
Wool is 10-25% grease - USDA 1996, "Wool Gaining Favor Outside of Apparel Industry"</t>
        </r>
      </text>
    </comment>
    <comment ref="J487" authorId="0" shapeId="0" xr:uid="{00000000-0006-0000-2200-00000F000000}">
      <text>
        <r>
          <rPr>
            <sz val="9"/>
            <color indexed="81"/>
            <rFont val="Tahoma"/>
            <family val="2"/>
          </rPr>
          <t>Assume no loss from degrased wool</t>
        </r>
      </text>
    </comment>
    <comment ref="J489" authorId="0" shapeId="0" xr:uid="{00000000-0006-0000-2200-000010000000}">
      <text>
        <r>
          <rPr>
            <sz val="9"/>
            <color indexed="81"/>
            <rFont val="Tahoma"/>
            <family val="2"/>
          </rPr>
          <t>Assume no loss from degrased wool</t>
        </r>
      </text>
    </comment>
    <comment ref="J498" authorId="0" shapeId="0" xr:uid="{00000000-0006-0000-2200-000011000000}">
      <text>
        <r>
          <rPr>
            <sz val="9"/>
            <color indexed="81"/>
            <rFont val="Tahoma"/>
            <family val="2"/>
          </rPr>
          <t>Assumed TCF - essentially negligable</t>
        </r>
      </text>
    </comment>
    <comment ref="J499" authorId="0" shapeId="0" xr:uid="{00000000-0006-0000-2200-000012000000}">
      <text>
        <r>
          <rPr>
            <sz val="9"/>
            <color indexed="81"/>
            <rFont val="Tahoma"/>
            <family val="2"/>
          </rPr>
          <t>Assumed TCF - essentially negligable</t>
        </r>
      </text>
    </comment>
    <comment ref="J528" authorId="0" shapeId="0" xr:uid="{00000000-0006-0000-2200-000013000000}">
      <text>
        <r>
          <rPr>
            <sz val="9"/>
            <color indexed="81"/>
            <rFont val="Tahoma"/>
            <family val="2"/>
          </rPr>
          <t>Assumed same as Offals Liver Chicken</t>
        </r>
      </text>
    </comment>
    <comment ref="J529" authorId="0" shapeId="0" xr:uid="{00000000-0006-0000-2200-000014000000}">
      <text>
        <r>
          <rPr>
            <sz val="9"/>
            <color indexed="81"/>
            <rFont val="Tahoma"/>
            <family val="2"/>
          </rPr>
          <t>Assumed same as Offals Liver Chicken</t>
        </r>
      </text>
    </comment>
    <comment ref="J538" authorId="0" shapeId="0" xr:uid="{00000000-0006-0000-2200-000015000000}">
      <text>
        <r>
          <rPr>
            <sz val="9"/>
            <color indexed="81"/>
            <rFont val="Tahoma"/>
            <family val="2"/>
          </rPr>
          <t xml:space="preserve">Assumed essentially negligable </t>
        </r>
      </text>
    </comment>
    <comment ref="J543" authorId="0" shapeId="0" xr:uid="{00000000-0006-0000-2200-000016000000}">
      <text>
        <r>
          <rPr>
            <sz val="9"/>
            <color indexed="81"/>
            <rFont val="Tahoma"/>
            <family val="2"/>
          </rPr>
          <t>Assumed same as Horse Meat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elias lazarus</author>
  </authors>
  <commentList>
    <comment ref="B51" authorId="0" shapeId="0" xr:uid="{00000000-0006-0000-2300-000001000000}">
      <text>
        <r>
          <rPr>
            <b/>
            <sz val="9"/>
            <color indexed="81"/>
            <rFont val="Tahoma"/>
            <family val="2"/>
          </rPr>
          <t>elias lazarus:</t>
        </r>
        <r>
          <rPr>
            <sz val="9"/>
            <color indexed="81"/>
            <rFont val="Tahoma"/>
            <family val="2"/>
          </rPr>
          <t xml:space="preserve">
Assume same as China, mainland because no data on non-mainland China.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elias lazarus</author>
  </authors>
  <commentList>
    <comment ref="C9" authorId="0" shapeId="0" xr:uid="{00000000-0006-0000-2400-000001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2" authorId="0" shapeId="0" xr:uid="{00000000-0006-0000-2400-000002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3" authorId="0" shapeId="0" xr:uid="{00000000-0006-0000-2400-000003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 authorId="0" shapeId="0" xr:uid="{00000000-0006-0000-2400-000004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35" authorId="0" shapeId="0" xr:uid="{00000000-0006-0000-2400-000005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36" authorId="0" shapeId="0" xr:uid="{00000000-0006-0000-2400-000006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45" authorId="0" shapeId="0" xr:uid="{00000000-0006-0000-2400-000007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51" authorId="0" shapeId="0" xr:uid="{00000000-0006-0000-2400-000008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52" authorId="0" shapeId="0" xr:uid="{00000000-0006-0000-2400-000009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77" authorId="0" shapeId="0" xr:uid="{00000000-0006-0000-2400-00000A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83" authorId="0" shapeId="0" xr:uid="{00000000-0006-0000-2400-00000B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93" authorId="0" shapeId="0" xr:uid="{00000000-0006-0000-2400-00000C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94" authorId="0" shapeId="0" xr:uid="{00000000-0006-0000-2400-00000D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41" authorId="0" shapeId="0" xr:uid="{00000000-0006-0000-2400-00000E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44" authorId="0" shapeId="0" xr:uid="{00000000-0006-0000-2400-00000F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51" authorId="0" shapeId="0" xr:uid="{00000000-0006-0000-2400-000010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0" authorId="0" shapeId="0" xr:uid="{00000000-0006-0000-2400-000011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6" authorId="0" shapeId="0" xr:uid="{00000000-0006-0000-2400-000012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67" authorId="0" shapeId="0" xr:uid="{00000000-0006-0000-2400-000013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79" authorId="0" shapeId="0" xr:uid="{00000000-0006-0000-2400-000014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184" authorId="0" shapeId="0" xr:uid="{00000000-0006-0000-2400-000015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24" authorId="0" shapeId="0" xr:uid="{00000000-0006-0000-2400-000016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30" authorId="0" shapeId="0" xr:uid="{00000000-0006-0000-2400-000017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44" authorId="0" shapeId="0" xr:uid="{00000000-0006-0000-2400-000018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 ref="C245" authorId="0" shapeId="0" xr:uid="{00000000-0006-0000-2400-000019000000}">
      <text>
        <r>
          <rPr>
            <b/>
            <sz val="9"/>
            <color indexed="81"/>
            <rFont val="Tahoma"/>
            <family val="2"/>
          </rPr>
          <t>elias lazarus:</t>
        </r>
        <r>
          <rPr>
            <sz val="9"/>
            <color indexed="81"/>
            <rFont val="Tahoma"/>
            <family val="2"/>
          </rPr>
          <t xml:space="preserve">
Assume island nations similar to Latin America and the Carribean which includes some island nations.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JK</author>
  </authors>
  <commentList>
    <comment ref="D6" authorId="0" shapeId="0" xr:uid="{00000000-0006-0000-2700-000001000000}">
      <text>
        <r>
          <rPr>
            <sz val="8"/>
            <color indexed="81"/>
            <rFont val="Tahoma"/>
            <family val="2"/>
          </rPr>
          <t>ISSCAAP groups 61, 62, 63, and 73 are not included here, as they are reported in numbers instead of tonnes. These groups include marine mammals, among other species.</t>
        </r>
      </text>
    </comment>
    <comment ref="E6" authorId="0" shapeId="0" xr:uid="{00000000-0006-0000-2700-000002000000}">
      <text>
        <r>
          <rPr>
            <sz val="8"/>
            <color indexed="81"/>
            <rFont val="Tahoma"/>
            <family val="2"/>
          </rPr>
          <t>ISSCAAP groups 61, 62, 63, and 73 are not included here, as they are reported in numbers instead of tonnes. These groups include marine mammals, among other species.</t>
        </r>
      </text>
    </comment>
    <comment ref="L6" authorId="0" shapeId="0" xr:uid="{00000000-0006-0000-2700-000003000000}">
      <text>
        <r>
          <rPr>
            <sz val="8"/>
            <color indexed="81"/>
            <rFont val="Tahoma"/>
            <family val="2"/>
          </rPr>
          <t>ISSCAAP groups 61, 62, 63, and 73 are not included here, as they are reported in numbers instead of tonnes. These groups include marine mammals, among other species.</t>
        </r>
      </text>
    </comment>
    <comment ref="M6" authorId="0" shapeId="0" xr:uid="{00000000-0006-0000-2700-000004000000}">
      <text>
        <r>
          <rPr>
            <sz val="8"/>
            <color indexed="81"/>
            <rFont val="Tahoma"/>
            <family val="2"/>
          </rPr>
          <t>ISSCAAP groups 61, 62, 63, and 73 are not included here, as they are reported in numbers instead of tonnes. These groups include marine mammals, among other species.</t>
        </r>
      </text>
    </comment>
    <comment ref="P6" authorId="0" shapeId="0" xr:uid="{00000000-0006-0000-2700-000005000000}">
      <text>
        <r>
          <rPr>
            <sz val="8"/>
            <color indexed="81"/>
            <rFont val="Tahoma"/>
            <family val="2"/>
          </rPr>
          <t>ISSCAAP groups 61, 62, 63, and 73 are not included here, as they are reported in numbers instead of tonnes. These groups include marine mammals, among other species.</t>
        </r>
      </text>
    </comment>
    <comment ref="Q6" authorId="0" shapeId="0" xr:uid="{00000000-0006-0000-2700-000006000000}">
      <text>
        <r>
          <rPr>
            <sz val="8"/>
            <color indexed="81"/>
            <rFont val="Tahoma"/>
            <family val="2"/>
          </rPr>
          <t>ISSCAAP groups 61, 62, 63, and 73 are not included here, as they are reported in numbers instead of tonnes. These groups include marine mammals, among other species.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JK</author>
    <author>Anders</author>
  </authors>
  <commentList>
    <comment ref="E5" authorId="0" shapeId="0" xr:uid="{00000000-0006-0000-2900-000001000000}">
      <text>
        <r>
          <rPr>
            <sz val="8"/>
            <color indexed="81"/>
            <rFont val="Tahoma"/>
            <family val="2"/>
          </rPr>
          <t>Errors and blanks indicate products that are currently omitted due to lack of data or possible double counting of simultaneous secondary products.</t>
        </r>
      </text>
    </comment>
    <comment ref="F5" authorId="1" shapeId="0" xr:uid="{00000000-0006-0000-2900-000002000000}">
      <text>
        <r>
          <rPr>
            <sz val="8"/>
            <color indexed="81"/>
            <rFont val="Tahoma"/>
            <family val="2"/>
          </rPr>
          <t>World average</t>
        </r>
      </text>
    </comment>
    <comment ref="G5" authorId="1" shapeId="0" xr:uid="{00000000-0006-0000-2900-000003000000}">
      <text>
        <r>
          <rPr>
            <sz val="8"/>
            <color indexed="81"/>
            <rFont val="Tahoma"/>
            <family val="2"/>
          </rPr>
          <t>Weighted average of imports and national catch</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Reed</author>
  </authors>
  <commentList>
    <comment ref="K45" authorId="0" shapeId="0" xr:uid="{00000000-0006-0000-2A00-000001000000}">
      <text>
        <r>
          <rPr>
            <b/>
            <sz val="8"/>
            <color indexed="81"/>
            <rFont val="Tahoma"/>
            <family val="2"/>
          </rPr>
          <t>Anders Reed:</t>
        </r>
        <r>
          <rPr>
            <sz val="8"/>
            <color indexed="81"/>
            <rFont val="Tahoma"/>
            <family val="2"/>
          </rPr>
          <t xml:space="preserve">
We assume no farmed fish are turned into fishmeal</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Reed</author>
  </authors>
  <commentList>
    <comment ref="A7" authorId="0" shapeId="0" xr:uid="{00000000-0006-0000-2C00-000001000000}">
      <text>
        <r>
          <rPr>
            <b/>
            <sz val="8"/>
            <color indexed="81"/>
            <rFont val="Tahoma"/>
            <family val="2"/>
          </rPr>
          <t>Anders Reed:</t>
        </r>
        <r>
          <rPr>
            <sz val="8"/>
            <color indexed="81"/>
            <rFont val="Tahoma"/>
            <family val="2"/>
          </rPr>
          <t xml:space="preserve">
Farmed seweeds are given a zero footprint (assumes negligable inputs)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elias lazarus</author>
    <author>David Lin</author>
    <author>david lin</author>
  </authors>
  <commentList>
    <comment ref="B5" authorId="0" shapeId="0" xr:uid="{00000000-0006-0000-0500-000001000000}">
      <text>
        <r>
          <rPr>
            <sz val="9"/>
            <color indexed="81"/>
            <rFont val="Tahoma"/>
            <family val="2"/>
          </rPr>
          <t>Reference only. Represents fish products already reported - including from trade - that are fed to domestic livestock. Not included in sum.</t>
        </r>
      </text>
    </comment>
    <comment ref="D5" authorId="1" shapeId="0" xr:uid="{00000000-0006-0000-0500-000002000000}">
      <text>
        <r>
          <rPr>
            <b/>
            <sz val="9"/>
            <color indexed="81"/>
            <rFont val="Tahoma"/>
            <family val="2"/>
          </rPr>
          <t>Fish in Livestock is capped at the total EF of all Fish Feed.</t>
        </r>
        <r>
          <rPr>
            <sz val="9"/>
            <color indexed="81"/>
            <rFont val="Tahoma"/>
            <family val="2"/>
          </rPr>
          <t xml:space="preserve">
</t>
        </r>
      </text>
    </comment>
    <comment ref="B7" authorId="0" shapeId="0" xr:uid="{00000000-0006-0000-0500-000003000000}">
      <text>
        <r>
          <rPr>
            <sz val="9"/>
            <color indexed="81"/>
            <rFont val="Tahoma"/>
            <family val="2"/>
          </rPr>
          <t>Fish in Livestock subtacted from sum to prevent double counting</t>
        </r>
      </text>
    </comment>
    <comment ref="C7" authorId="2" shapeId="0" xr:uid="{00000000-0006-0000-0500-000004000000}">
      <text>
        <r>
          <rPr>
            <sz val="9"/>
            <color indexed="81"/>
            <rFont val="Tahoma"/>
            <family val="2"/>
          </rPr>
          <t>Total tons of Imports, uses (species distribution of) world fish production to calculate EFp.</t>
        </r>
      </text>
    </comment>
    <comment ref="D7" authorId="2" shapeId="0" xr:uid="{00000000-0006-0000-0500-000005000000}">
      <text>
        <r>
          <rPr>
            <sz val="9"/>
            <color indexed="81"/>
            <rFont val="Tahoma"/>
            <family val="2"/>
          </rPr>
          <t>Total tons of Exports, uses (species distribution of) national fish production to calculate EFp.</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David Lin</author>
    <author>Jon Martindill</author>
  </authors>
  <commentList>
    <comment ref="B21" authorId="0" shapeId="0" xr:uid="{00000000-0006-0000-2D00-000001000000}">
      <text>
        <r>
          <rPr>
            <b/>
            <sz val="9"/>
            <color indexed="81"/>
            <rFont val="Tahoma"/>
            <family val="2"/>
          </rPr>
          <t>David Lin:</t>
        </r>
        <r>
          <rPr>
            <sz val="9"/>
            <color indexed="81"/>
            <rFont val="Tahoma"/>
            <family val="2"/>
          </rPr>
          <t xml:space="preserve">
HS_Code 305.1 "Fish flours fit for human consumption"</t>
        </r>
      </text>
    </comment>
    <comment ref="C21" authorId="1" shapeId="0" xr:uid="{00000000-0006-0000-2D00-000002000000}">
      <text>
        <r>
          <rPr>
            <sz val="9"/>
            <color indexed="81"/>
            <rFont val="Tahoma"/>
            <family val="2"/>
          </rPr>
          <t>We assume about 15% of fishmeal comes from residual parts from other processed fish, which has a FAF of 0.</t>
        </r>
      </text>
    </comment>
    <comment ref="B24" authorId="0" shapeId="0" xr:uid="{00000000-0006-0000-2D00-000003000000}">
      <text>
        <r>
          <rPr>
            <b/>
            <sz val="9"/>
            <color indexed="81"/>
            <rFont val="Tahoma"/>
            <family val="2"/>
          </rPr>
          <t>David Lin:</t>
        </r>
        <r>
          <rPr>
            <sz val="9"/>
            <color indexed="81"/>
            <rFont val="Tahoma"/>
            <family val="2"/>
          </rPr>
          <t xml:space="preserve">
HS_Code 1504.2 "Fish oils, other than liver oils"</t>
        </r>
      </text>
    </comment>
    <comment ref="C24" authorId="1" shapeId="0" xr:uid="{00000000-0006-0000-2D00-000004000000}">
      <text>
        <r>
          <rPr>
            <sz val="9"/>
            <color indexed="81"/>
            <rFont val="Tahoma"/>
            <family val="2"/>
          </rPr>
          <t>We assume about 15% of fishmeal comes from residual parts from other processed fish, which has a FAF of 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David Lin</author>
    <author>Jon Martindill</author>
  </authors>
  <commentList>
    <comment ref="B21" authorId="0" shapeId="0" xr:uid="{00000000-0006-0000-2E00-000001000000}">
      <text>
        <r>
          <rPr>
            <b/>
            <sz val="9"/>
            <color indexed="81"/>
            <rFont val="Tahoma"/>
            <family val="2"/>
          </rPr>
          <t>David Lin:</t>
        </r>
        <r>
          <rPr>
            <sz val="9"/>
            <color indexed="81"/>
            <rFont val="Tahoma"/>
            <family val="2"/>
          </rPr>
          <t xml:space="preserve">
HS_Code 305.1 "Fish flours fit for human consumption"</t>
        </r>
      </text>
    </comment>
    <comment ref="C21" authorId="1" shapeId="0" xr:uid="{00000000-0006-0000-2E00-000002000000}">
      <text>
        <r>
          <rPr>
            <sz val="9"/>
            <color indexed="81"/>
            <rFont val="Tahoma"/>
            <family val="2"/>
          </rPr>
          <t>We assume about 15% of fishmeal comes from residual parts from other processed fish, which has a FAF of 0.</t>
        </r>
      </text>
    </comment>
    <comment ref="B24" authorId="0" shapeId="0" xr:uid="{00000000-0006-0000-2E00-000003000000}">
      <text>
        <r>
          <rPr>
            <b/>
            <sz val="9"/>
            <color indexed="81"/>
            <rFont val="Tahoma"/>
            <family val="2"/>
          </rPr>
          <t>David Lin:</t>
        </r>
        <r>
          <rPr>
            <sz val="9"/>
            <color indexed="81"/>
            <rFont val="Tahoma"/>
            <family val="2"/>
          </rPr>
          <t xml:space="preserve">
HS_Code 1504.2 "Fish oils, other than liver oils"</t>
        </r>
      </text>
    </comment>
    <comment ref="C24" authorId="1" shapeId="0" xr:uid="{00000000-0006-0000-2E00-000004000000}">
      <text>
        <r>
          <rPr>
            <sz val="9"/>
            <color indexed="81"/>
            <rFont val="Tahoma"/>
            <family val="2"/>
          </rPr>
          <t>We assume about 15% of fishmeal comes from residual parts from other processed fish, which has a FAF of 0.</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Reed</author>
  </authors>
  <commentList>
    <comment ref="E5" authorId="0" shapeId="0" xr:uid="{00000000-0006-0000-2F00-000001000000}">
      <text>
        <r>
          <rPr>
            <sz val="8"/>
            <color indexed="81"/>
            <rFont val="Tahoma"/>
            <family val="2"/>
          </rPr>
          <t>Total for inland and marine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JK</author>
  </authors>
  <commentList>
    <comment ref="A7" authorId="0" shapeId="0" xr:uid="{00000000-0006-0000-3200-000001000000}">
      <text>
        <r>
          <rPr>
            <sz val="8"/>
            <color indexed="81"/>
            <rFont val="Tahoma"/>
            <family val="2"/>
          </rPr>
          <t>Pauly and Christensen 1995.</t>
        </r>
      </text>
    </comment>
    <comment ref="A8" authorId="0" shapeId="0" xr:uid="{00000000-0006-0000-3200-000002000000}">
      <text>
        <r>
          <rPr>
            <sz val="8"/>
            <color indexed="81"/>
            <rFont val="Tahoma"/>
            <family val="2"/>
          </rPr>
          <t>Pauly and Christensen 1995.</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Laurel Hanscom</author>
  </authors>
  <commentList>
    <comment ref="C40" authorId="0" shapeId="0" xr:uid="{00000000-0006-0000-3400-000001000000}">
      <text>
        <r>
          <rPr>
            <b/>
            <sz val="9"/>
            <color indexed="81"/>
            <rFont val="Tahoma"/>
            <family val="2"/>
          </rPr>
          <t>Laurel Hanscom:</t>
        </r>
        <r>
          <rPr>
            <sz val="9"/>
            <color indexed="81"/>
            <rFont val="Tahoma"/>
            <family val="2"/>
          </rPr>
          <t xml:space="preserve">
Assumes average extraction rate of other commodities in parent category</t>
        </r>
      </text>
    </comment>
    <comment ref="C41" authorId="0" shapeId="0" xr:uid="{00000000-0006-0000-3400-000002000000}">
      <text>
        <r>
          <rPr>
            <b/>
            <sz val="9"/>
            <color indexed="81"/>
            <rFont val="Tahoma"/>
            <family val="2"/>
          </rPr>
          <t>Laurel Hanscom:</t>
        </r>
        <r>
          <rPr>
            <sz val="9"/>
            <color indexed="81"/>
            <rFont val="Tahoma"/>
            <family val="2"/>
          </rPr>
          <t xml:space="preserve">
Assumes average extraction rate of other commodities in parent category</t>
        </r>
      </text>
    </comment>
    <comment ref="C42" authorId="0" shapeId="0" xr:uid="{00000000-0006-0000-3400-000003000000}">
      <text>
        <r>
          <rPr>
            <b/>
            <sz val="9"/>
            <color indexed="81"/>
            <rFont val="Tahoma"/>
            <family val="2"/>
          </rPr>
          <t>Laurel Hanscom:</t>
        </r>
        <r>
          <rPr>
            <sz val="9"/>
            <color indexed="81"/>
            <rFont val="Tahoma"/>
            <family val="2"/>
          </rPr>
          <t xml:space="preserve">
Assumes average extraction rate of other commodities in parent category</t>
        </r>
      </text>
    </comment>
    <comment ref="C94" authorId="0" shapeId="0" xr:uid="{00000000-0006-0000-3400-000004000000}">
      <text>
        <r>
          <rPr>
            <b/>
            <sz val="9"/>
            <color indexed="81"/>
            <rFont val="Tahoma"/>
            <family val="2"/>
          </rPr>
          <t>Laurel Hanscom:</t>
        </r>
        <r>
          <rPr>
            <sz val="9"/>
            <color indexed="81"/>
            <rFont val="Tahoma"/>
            <family val="2"/>
          </rPr>
          <t xml:space="preserve">
Assumes same as fish fillets prepared similarly</t>
        </r>
      </text>
    </comment>
    <comment ref="C97" authorId="0" shapeId="0" xr:uid="{00000000-0006-0000-3400-000005000000}">
      <text>
        <r>
          <rPr>
            <b/>
            <sz val="9"/>
            <color indexed="81"/>
            <rFont val="Tahoma"/>
            <family val="2"/>
          </rPr>
          <t>Laurel Hanscom:</t>
        </r>
        <r>
          <rPr>
            <sz val="9"/>
            <color indexed="81"/>
            <rFont val="Tahoma"/>
            <family val="2"/>
          </rPr>
          <t xml:space="preserve">
Assumes same as fish fillets prepared similarly</t>
        </r>
      </text>
    </comment>
    <comment ref="C98" authorId="0" shapeId="0" xr:uid="{00000000-0006-0000-3400-000006000000}">
      <text>
        <r>
          <rPr>
            <b/>
            <sz val="9"/>
            <color indexed="81"/>
            <rFont val="Tahoma"/>
            <family val="2"/>
          </rPr>
          <t>Laurel Hanscom:</t>
        </r>
        <r>
          <rPr>
            <sz val="9"/>
            <color indexed="81"/>
            <rFont val="Tahoma"/>
            <family val="2"/>
          </rPr>
          <t xml:space="preserve">
Assumes same extraction rate as Frozen fish meat, nei</t>
        </r>
      </text>
    </comment>
    <comment ref="C133" authorId="0" shapeId="0" xr:uid="{00000000-0006-0000-3400-000007000000}">
      <text>
        <r>
          <rPr>
            <b/>
            <sz val="9"/>
            <color indexed="81"/>
            <rFont val="Tahoma"/>
            <family val="2"/>
          </rPr>
          <t>Laurel Hanscom:</t>
        </r>
        <r>
          <rPr>
            <sz val="9"/>
            <color indexed="81"/>
            <rFont val="Tahoma"/>
            <family val="2"/>
          </rPr>
          <t xml:space="preserve">
Assumes same extraction rate as prepared</t>
        </r>
      </text>
    </comment>
    <comment ref="C171" authorId="0" shapeId="0" xr:uid="{00000000-0006-0000-3400-000008000000}">
      <text>
        <r>
          <rPr>
            <b/>
            <sz val="9"/>
            <color indexed="81"/>
            <rFont val="Tahoma"/>
            <family val="2"/>
          </rPr>
          <t>Laurel Hanscom:</t>
        </r>
        <r>
          <rPr>
            <sz val="9"/>
            <color indexed="81"/>
            <rFont val="Tahoma"/>
            <family val="2"/>
          </rPr>
          <t xml:space="preserve">
Assumes same as fish fillets prepared similarly</t>
        </r>
      </text>
    </comment>
    <comment ref="C172" authorId="0" shapeId="0" xr:uid="{00000000-0006-0000-3400-000009000000}">
      <text>
        <r>
          <rPr>
            <b/>
            <sz val="9"/>
            <color indexed="81"/>
            <rFont val="Tahoma"/>
            <family val="2"/>
          </rPr>
          <t>Laurel Hanscom:</t>
        </r>
        <r>
          <rPr>
            <sz val="9"/>
            <color indexed="81"/>
            <rFont val="Tahoma"/>
            <family val="2"/>
          </rPr>
          <t xml:space="preserve">
Assumes same as fish fillets prepared similarly</t>
        </r>
      </text>
    </comment>
    <comment ref="C233" authorId="0" shapeId="0" xr:uid="{00000000-0006-0000-3400-00000A000000}">
      <text>
        <r>
          <rPr>
            <b/>
            <sz val="9"/>
            <color indexed="81"/>
            <rFont val="Tahoma"/>
            <family val="2"/>
          </rPr>
          <t>Laurel Hanscom:</t>
        </r>
        <r>
          <rPr>
            <sz val="9"/>
            <color indexed="81"/>
            <rFont val="Tahoma"/>
            <family val="2"/>
          </rPr>
          <t xml:space="preserve">
Assumes same extraction rate as fish flour</t>
        </r>
      </text>
    </comment>
    <comment ref="C251" authorId="0" shapeId="0" xr:uid="{00000000-0006-0000-3400-00000B000000}">
      <text>
        <r>
          <rPr>
            <b/>
            <sz val="9"/>
            <color indexed="81"/>
            <rFont val="Tahoma"/>
            <family val="2"/>
          </rPr>
          <t>Laurel Hanscom:</t>
        </r>
        <r>
          <rPr>
            <sz val="9"/>
            <color indexed="81"/>
            <rFont val="Tahoma"/>
            <family val="2"/>
          </rPr>
          <t xml:space="preserve">
Assumes same extraction rate as parent category</t>
        </r>
      </text>
    </comment>
    <comment ref="C252" authorId="0" shapeId="0" xr:uid="{00000000-0006-0000-3400-00000C000000}">
      <text>
        <r>
          <rPr>
            <b/>
            <sz val="9"/>
            <color indexed="81"/>
            <rFont val="Tahoma"/>
            <family val="2"/>
          </rPr>
          <t>Laurel Hanscom:</t>
        </r>
        <r>
          <rPr>
            <sz val="9"/>
            <color indexed="81"/>
            <rFont val="Tahoma"/>
            <family val="2"/>
          </rPr>
          <t xml:space="preserve">
Assumes same extraction rate as parent category</t>
        </r>
      </text>
    </comment>
    <comment ref="C253" authorId="0" shapeId="0" xr:uid="{00000000-0006-0000-3400-00000D000000}">
      <text>
        <r>
          <rPr>
            <b/>
            <sz val="9"/>
            <color indexed="81"/>
            <rFont val="Tahoma"/>
            <family val="2"/>
          </rPr>
          <t>Laurel Hanscom:</t>
        </r>
        <r>
          <rPr>
            <sz val="9"/>
            <color indexed="81"/>
            <rFont val="Tahoma"/>
            <family val="2"/>
          </rPr>
          <t xml:space="preserve">
Assumes same as fish fillets prepared similarly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Jon Martindill</author>
    <author>Adeline Murthy</author>
  </authors>
  <commentList>
    <comment ref="D46" authorId="0" shapeId="0" xr:uid="{00000000-0006-0000-3500-000001000000}">
      <text>
        <r>
          <rPr>
            <sz val="9"/>
            <color indexed="81"/>
            <rFont val="Tahoma"/>
            <family val="2"/>
          </rPr>
          <t>No value in FishBase, assumes average trophic level of genus</t>
        </r>
      </text>
    </comment>
    <comment ref="D61" authorId="0" shapeId="0" xr:uid="{00000000-0006-0000-3500-000002000000}">
      <text>
        <r>
          <rPr>
            <sz val="9"/>
            <color indexed="81"/>
            <rFont val="Tahoma"/>
            <family val="2"/>
          </rPr>
          <t>No value in FishBase, assumes average trophic level of genus</t>
        </r>
      </text>
    </comment>
    <comment ref="D66" authorId="0" shapeId="0" xr:uid="{00000000-0006-0000-3500-000003000000}">
      <text>
        <r>
          <rPr>
            <sz val="9"/>
            <color indexed="81"/>
            <rFont val="Tahoma"/>
            <family val="2"/>
          </rPr>
          <t>No value in FishBase, assumes average trophic level of genus</t>
        </r>
      </text>
    </comment>
    <comment ref="D84" authorId="0" shapeId="0" xr:uid="{00000000-0006-0000-3500-000004000000}">
      <text>
        <r>
          <rPr>
            <sz val="9"/>
            <color indexed="81"/>
            <rFont val="Tahoma"/>
            <family val="2"/>
          </rPr>
          <t>No value in FishBase, assumes average trophic level of genus</t>
        </r>
      </text>
    </comment>
    <comment ref="D88" authorId="0" shapeId="0" xr:uid="{00000000-0006-0000-3500-000005000000}">
      <text>
        <r>
          <rPr>
            <sz val="9"/>
            <color indexed="81"/>
            <rFont val="Tahoma"/>
            <family val="2"/>
          </rPr>
          <t>No value in FishBase, assumes average trophic level of genus</t>
        </r>
      </text>
    </comment>
    <comment ref="D98" authorId="0" shapeId="0" xr:uid="{00000000-0006-0000-3500-000006000000}">
      <text>
        <r>
          <rPr>
            <sz val="9"/>
            <color indexed="81"/>
            <rFont val="Tahoma"/>
            <family val="2"/>
          </rPr>
          <t>No value in FishBase, assumes average trophic level of genus</t>
        </r>
      </text>
    </comment>
    <comment ref="D108" authorId="0" shapeId="0" xr:uid="{00000000-0006-0000-3500-000007000000}">
      <text>
        <r>
          <rPr>
            <sz val="9"/>
            <color indexed="81"/>
            <rFont val="Tahoma"/>
            <family val="2"/>
          </rPr>
          <t>No value in FishBase, assumes average trophic level of genus</t>
        </r>
      </text>
    </comment>
    <comment ref="D110" authorId="0" shapeId="0" xr:uid="{00000000-0006-0000-3500-000008000000}">
      <text>
        <r>
          <rPr>
            <sz val="9"/>
            <color indexed="81"/>
            <rFont val="Tahoma"/>
            <family val="2"/>
          </rPr>
          <t>No value in FishBase, assumes average trophic level of genus</t>
        </r>
      </text>
    </comment>
    <comment ref="D122" authorId="0" shapeId="0" xr:uid="{00000000-0006-0000-3500-000009000000}">
      <text>
        <r>
          <rPr>
            <sz val="9"/>
            <color indexed="81"/>
            <rFont val="Tahoma"/>
            <family val="2"/>
          </rPr>
          <t>No value in FishBase, assumes average trophic level of genus</t>
        </r>
      </text>
    </comment>
    <comment ref="D124" authorId="0" shapeId="0" xr:uid="{00000000-0006-0000-3500-00000A000000}">
      <text>
        <r>
          <rPr>
            <sz val="9"/>
            <color indexed="81"/>
            <rFont val="Tahoma"/>
            <family val="2"/>
          </rPr>
          <t>No value in FishBase, assumes average trophic level of genus</t>
        </r>
      </text>
    </comment>
    <comment ref="D147" authorId="0" shapeId="0" xr:uid="{00000000-0006-0000-3500-00000B000000}">
      <text>
        <r>
          <rPr>
            <sz val="9"/>
            <color indexed="81"/>
            <rFont val="Tahoma"/>
            <family val="2"/>
          </rPr>
          <t>No value in FishBase, assumes average trophic level of genus</t>
        </r>
      </text>
    </comment>
    <comment ref="D149" authorId="0" shapeId="0" xr:uid="{00000000-0006-0000-3500-00000C000000}">
      <text>
        <r>
          <rPr>
            <sz val="9"/>
            <color indexed="81"/>
            <rFont val="Tahoma"/>
            <family val="2"/>
          </rPr>
          <t>No value in FishBase, assumes average trophic level of genus</t>
        </r>
      </text>
    </comment>
    <comment ref="D162" authorId="0" shapeId="0" xr:uid="{00000000-0006-0000-3500-00000D000000}">
      <text>
        <r>
          <rPr>
            <sz val="9"/>
            <color indexed="81"/>
            <rFont val="Tahoma"/>
            <family val="2"/>
          </rPr>
          <t>No value in FishBase, assumes average trophic level of genus</t>
        </r>
      </text>
    </comment>
    <comment ref="D167" authorId="0" shapeId="0" xr:uid="{00000000-0006-0000-3500-00000E000000}">
      <text>
        <r>
          <rPr>
            <sz val="9"/>
            <color indexed="81"/>
            <rFont val="Tahoma"/>
            <family val="2"/>
          </rPr>
          <t>No value in FishBase, assumes average trophic level of genus</t>
        </r>
      </text>
    </comment>
    <comment ref="D171" authorId="0" shapeId="0" xr:uid="{00000000-0006-0000-3500-00000F000000}">
      <text>
        <r>
          <rPr>
            <sz val="9"/>
            <color indexed="81"/>
            <rFont val="Tahoma"/>
            <family val="2"/>
          </rPr>
          <t>No value in FishBase, assumes average trophic level of genus</t>
        </r>
      </text>
    </comment>
    <comment ref="D186" authorId="0" shapeId="0" xr:uid="{00000000-0006-0000-3500-000010000000}">
      <text>
        <r>
          <rPr>
            <sz val="9"/>
            <color indexed="81"/>
            <rFont val="Tahoma"/>
            <family val="2"/>
          </rPr>
          <t>No value in FishBase, assumes average trophic level of genus</t>
        </r>
      </text>
    </comment>
    <comment ref="D214" authorId="0" shapeId="0" xr:uid="{00000000-0006-0000-3500-000011000000}">
      <text>
        <r>
          <rPr>
            <sz val="9"/>
            <color indexed="81"/>
            <rFont val="Tahoma"/>
            <family val="2"/>
          </rPr>
          <t>No value in FishBase, assumes average trophic level of genus</t>
        </r>
      </text>
    </comment>
    <comment ref="D218" authorId="0" shapeId="0" xr:uid="{00000000-0006-0000-3500-000012000000}">
      <text>
        <r>
          <rPr>
            <sz val="9"/>
            <color indexed="81"/>
            <rFont val="Tahoma"/>
            <family val="2"/>
          </rPr>
          <t>No value in FishBase, assumes average trophic level of genus</t>
        </r>
      </text>
    </comment>
    <comment ref="D239" authorId="0" shapeId="0" xr:uid="{00000000-0006-0000-3500-000013000000}">
      <text>
        <r>
          <rPr>
            <sz val="9"/>
            <color indexed="81"/>
            <rFont val="Tahoma"/>
            <family val="2"/>
          </rPr>
          <t>No value from FishBase, assume trophic level of 2</t>
        </r>
      </text>
    </comment>
    <comment ref="D249" authorId="0" shapeId="0" xr:uid="{00000000-0006-0000-3500-000014000000}">
      <text>
        <r>
          <rPr>
            <sz val="9"/>
            <color indexed="81"/>
            <rFont val="Tahoma"/>
            <family val="2"/>
          </rPr>
          <t>No value from FishBase, assume trophic level of 2</t>
        </r>
      </text>
    </comment>
    <comment ref="D262" authorId="0" shapeId="0" xr:uid="{00000000-0006-0000-3500-000015000000}">
      <text>
        <r>
          <rPr>
            <sz val="9"/>
            <color indexed="81"/>
            <rFont val="Tahoma"/>
            <family val="2"/>
          </rPr>
          <t>No value from FishBase, assume trophic level of 2</t>
        </r>
      </text>
    </comment>
    <comment ref="D264" authorId="0" shapeId="0" xr:uid="{00000000-0006-0000-3500-000016000000}">
      <text>
        <r>
          <rPr>
            <sz val="9"/>
            <color indexed="81"/>
            <rFont val="Tahoma"/>
            <family val="2"/>
          </rPr>
          <t>No value from FishBase, assume trophic level of 2</t>
        </r>
      </text>
    </comment>
    <comment ref="D276" authorId="0" shapeId="0" xr:uid="{00000000-0006-0000-3500-000017000000}">
      <text>
        <r>
          <rPr>
            <sz val="9"/>
            <color indexed="81"/>
            <rFont val="Tahoma"/>
            <family val="2"/>
          </rPr>
          <t>No value from FishBase, assume trophic level of 2</t>
        </r>
      </text>
    </comment>
    <comment ref="D296" authorId="0" shapeId="0" xr:uid="{00000000-0006-0000-3500-000018000000}">
      <text>
        <r>
          <rPr>
            <sz val="9"/>
            <color indexed="81"/>
            <rFont val="Tahoma"/>
            <family val="2"/>
          </rPr>
          <t>No value from FishBase, assume trophic level of 2</t>
        </r>
      </text>
    </comment>
    <comment ref="D342" authorId="0" shapeId="0" xr:uid="{00000000-0006-0000-3500-000019000000}">
      <text>
        <r>
          <rPr>
            <sz val="9"/>
            <color indexed="81"/>
            <rFont val="Tahoma"/>
            <family val="2"/>
          </rPr>
          <t>No value from FishBase, assume trophic level of 2</t>
        </r>
      </text>
    </comment>
    <comment ref="D364" authorId="1" shapeId="0" xr:uid="{00000000-0006-0000-3500-00001A000000}">
      <text>
        <r>
          <rPr>
            <b/>
            <sz val="9"/>
            <color indexed="81"/>
            <rFont val="Tahoma"/>
            <family val="2"/>
          </rPr>
          <t>Adeline Murthy:</t>
        </r>
        <r>
          <rPr>
            <sz val="9"/>
            <color indexed="81"/>
            <rFont val="Tahoma"/>
            <family val="2"/>
          </rPr>
          <t xml:space="preserve">
Estimated based on other jellyfish species in workbook</t>
        </r>
      </text>
    </comment>
    <comment ref="D388" authorId="0" shapeId="0" xr:uid="{00000000-0006-0000-3500-00001B000000}">
      <text>
        <r>
          <rPr>
            <sz val="9"/>
            <color indexed="81"/>
            <rFont val="Tahoma"/>
            <family val="2"/>
          </rPr>
          <t>No value from FishBase, assume trophic level of 2</t>
        </r>
      </text>
    </comment>
    <comment ref="D389" authorId="0" shapeId="0" xr:uid="{00000000-0006-0000-3500-00001C000000}">
      <text>
        <r>
          <rPr>
            <sz val="9"/>
            <color indexed="81"/>
            <rFont val="Tahoma"/>
            <family val="2"/>
          </rPr>
          <t>No value from FishBase, assume trophic level of 2</t>
        </r>
      </text>
    </comment>
    <comment ref="D390" authorId="0" shapeId="0" xr:uid="{00000000-0006-0000-3500-00001D000000}">
      <text>
        <r>
          <rPr>
            <sz val="9"/>
            <color indexed="81"/>
            <rFont val="Tahoma"/>
            <family val="2"/>
          </rPr>
          <t>No value from FishBase, assume trophic level of 2</t>
        </r>
      </text>
    </comment>
    <comment ref="D391" authorId="0" shapeId="0" xr:uid="{00000000-0006-0000-3500-00001E000000}">
      <text>
        <r>
          <rPr>
            <sz val="9"/>
            <color indexed="81"/>
            <rFont val="Tahoma"/>
            <family val="2"/>
          </rPr>
          <t>No value from FishBase, assume trophic level of 2</t>
        </r>
      </text>
    </comment>
    <comment ref="D392" authorId="0" shapeId="0" xr:uid="{00000000-0006-0000-3500-00001F000000}">
      <text>
        <r>
          <rPr>
            <sz val="9"/>
            <color indexed="81"/>
            <rFont val="Tahoma"/>
            <family val="2"/>
          </rPr>
          <t>No value from FishBase, assume trophic level of 2</t>
        </r>
      </text>
    </comment>
    <comment ref="D420" authorId="0" shapeId="0" xr:uid="{00000000-0006-0000-3500-000020000000}">
      <text>
        <r>
          <rPr>
            <sz val="9"/>
            <color indexed="81"/>
            <rFont val="Tahoma"/>
            <family val="2"/>
          </rPr>
          <t>No value from FishBase, assume trophic level of 2</t>
        </r>
      </text>
    </comment>
    <comment ref="D422" authorId="0" shapeId="0" xr:uid="{00000000-0006-0000-3500-000021000000}">
      <text>
        <r>
          <rPr>
            <sz val="9"/>
            <color indexed="81"/>
            <rFont val="Tahoma"/>
            <family val="2"/>
          </rPr>
          <t>No value from FishBase, assume trophic level of 2</t>
        </r>
      </text>
    </comment>
    <comment ref="D424" authorId="0" shapeId="0" xr:uid="{00000000-0006-0000-3500-000022000000}">
      <text>
        <r>
          <rPr>
            <sz val="9"/>
            <color indexed="81"/>
            <rFont val="Tahoma"/>
            <family val="2"/>
          </rPr>
          <t>No value from FishBase, assume trophic level of 2</t>
        </r>
      </text>
    </comment>
    <comment ref="D432" authorId="0" shapeId="0" xr:uid="{00000000-0006-0000-3500-000023000000}">
      <text>
        <r>
          <rPr>
            <sz val="9"/>
            <color indexed="81"/>
            <rFont val="Tahoma"/>
            <family val="2"/>
          </rPr>
          <t>No value from FishBase, assume trophic level of 2</t>
        </r>
      </text>
    </comment>
    <comment ref="D445" authorId="0" shapeId="0" xr:uid="{00000000-0006-0000-3500-000024000000}">
      <text>
        <r>
          <rPr>
            <sz val="9"/>
            <color indexed="81"/>
            <rFont val="Tahoma"/>
            <family val="2"/>
          </rPr>
          <t>No value from FishBase, assume trophic level of 2</t>
        </r>
      </text>
    </comment>
    <comment ref="D453" authorId="0" shapeId="0" xr:uid="{00000000-0006-0000-3500-000025000000}">
      <text>
        <r>
          <rPr>
            <sz val="9"/>
            <color indexed="81"/>
            <rFont val="Tahoma"/>
            <family val="2"/>
          </rPr>
          <t>No value from FishBase, assume trophic level of 2</t>
        </r>
      </text>
    </comment>
    <comment ref="D479" authorId="1" shapeId="0" xr:uid="{00000000-0006-0000-3500-000026000000}">
      <text>
        <r>
          <rPr>
            <b/>
            <sz val="9"/>
            <color indexed="81"/>
            <rFont val="Tahoma"/>
            <family val="2"/>
          </rPr>
          <t>Adeline Murthy:</t>
        </r>
        <r>
          <rPr>
            <sz val="9"/>
            <color indexed="81"/>
            <rFont val="Tahoma"/>
            <family val="2"/>
          </rPr>
          <t xml:space="preserve">
Estimated based on other jellyfish species in workbook</t>
        </r>
      </text>
    </comment>
    <comment ref="D485" authorId="0" shapeId="0" xr:uid="{00000000-0006-0000-3500-000027000000}">
      <text>
        <r>
          <rPr>
            <sz val="9"/>
            <color indexed="81"/>
            <rFont val="Tahoma"/>
            <family val="2"/>
          </rPr>
          <t>No value from FishBase, assume trophic level of 2</t>
        </r>
      </text>
    </comment>
    <comment ref="D510" authorId="0" shapeId="0" xr:uid="{00000000-0006-0000-3500-000028000000}">
      <text>
        <r>
          <rPr>
            <sz val="9"/>
            <color indexed="81"/>
            <rFont val="Tahoma"/>
            <family val="2"/>
          </rPr>
          <t>No value from FishBase, assume trophic level of 2</t>
        </r>
      </text>
    </comment>
    <comment ref="D514" authorId="1" shapeId="0" xr:uid="{00000000-0006-0000-3500-000029000000}">
      <text>
        <r>
          <rPr>
            <b/>
            <sz val="9"/>
            <color indexed="81"/>
            <rFont val="Tahoma"/>
            <family val="2"/>
          </rPr>
          <t>Adeline Murthy:</t>
        </r>
        <r>
          <rPr>
            <sz val="9"/>
            <color indexed="81"/>
            <rFont val="Tahoma"/>
            <family val="2"/>
          </rPr>
          <t xml:space="preserve">
Averaged based on members of the Clupeidae family in the workbook (herrings, sardines, shads &amp; menhadens)</t>
        </r>
      </text>
    </comment>
    <comment ref="D540" authorId="0" shapeId="0" xr:uid="{00000000-0006-0000-3500-00002A000000}">
      <text>
        <r>
          <rPr>
            <sz val="9"/>
            <color indexed="81"/>
            <rFont val="Tahoma"/>
            <family val="2"/>
          </rPr>
          <t>No value from FishBase, assume trophic level of 2</t>
        </r>
      </text>
    </comment>
    <comment ref="D541" authorId="0" shapeId="0" xr:uid="{00000000-0006-0000-3500-00002B000000}">
      <text>
        <r>
          <rPr>
            <sz val="9"/>
            <color indexed="81"/>
            <rFont val="Tahoma"/>
            <family val="2"/>
          </rPr>
          <t>No value from FishBase, assume trophic level of 2</t>
        </r>
      </text>
    </comment>
    <comment ref="D547" authorId="0" shapeId="0" xr:uid="{00000000-0006-0000-3500-00002C000000}">
      <text>
        <r>
          <rPr>
            <sz val="9"/>
            <color indexed="81"/>
            <rFont val="Tahoma"/>
            <family val="2"/>
          </rPr>
          <t>No value from FishBase, assume trophic level of 2</t>
        </r>
      </text>
    </comment>
    <comment ref="D554" authorId="0" shapeId="0" xr:uid="{00000000-0006-0000-3500-00002D000000}">
      <text>
        <r>
          <rPr>
            <sz val="9"/>
            <color indexed="81"/>
            <rFont val="Tahoma"/>
            <family val="2"/>
          </rPr>
          <t>No value from FishBase, assume trophic level of 2</t>
        </r>
      </text>
    </comment>
    <comment ref="D555" authorId="0" shapeId="0" xr:uid="{00000000-0006-0000-3500-00002E000000}">
      <text>
        <r>
          <rPr>
            <sz val="9"/>
            <color indexed="81"/>
            <rFont val="Tahoma"/>
            <family val="2"/>
          </rPr>
          <t>No value from FishBase, assume trophic level of 2</t>
        </r>
      </text>
    </comment>
    <comment ref="D556" authorId="0" shapeId="0" xr:uid="{00000000-0006-0000-3500-00002F000000}">
      <text>
        <r>
          <rPr>
            <sz val="9"/>
            <color indexed="81"/>
            <rFont val="Tahoma"/>
            <family val="2"/>
          </rPr>
          <t>No value from FishBase, assume trophic level of 2</t>
        </r>
      </text>
    </comment>
    <comment ref="D557" authorId="0" shapeId="0" xr:uid="{00000000-0006-0000-3500-000030000000}">
      <text>
        <r>
          <rPr>
            <sz val="9"/>
            <color indexed="81"/>
            <rFont val="Tahoma"/>
            <family val="2"/>
          </rPr>
          <t>No value from FishBase, assume trophic level of 2</t>
        </r>
      </text>
    </comment>
    <comment ref="D562" authorId="0" shapeId="0" xr:uid="{00000000-0006-0000-3500-000031000000}">
      <text>
        <r>
          <rPr>
            <sz val="9"/>
            <color indexed="81"/>
            <rFont val="Tahoma"/>
            <family val="2"/>
          </rPr>
          <t>No value from FishBase, assume trophic level of 2</t>
        </r>
      </text>
    </comment>
    <comment ref="D581" authorId="0" shapeId="0" xr:uid="{00000000-0006-0000-3500-000032000000}">
      <text>
        <r>
          <rPr>
            <sz val="9"/>
            <color indexed="81"/>
            <rFont val="Tahoma"/>
            <family val="2"/>
          </rPr>
          <t>No value from FishBase, assume trophic level of 2</t>
        </r>
      </text>
    </comment>
    <comment ref="D583" authorId="0" shapeId="0" xr:uid="{00000000-0006-0000-3500-000033000000}">
      <text>
        <r>
          <rPr>
            <sz val="9"/>
            <color indexed="81"/>
            <rFont val="Tahoma"/>
            <family val="2"/>
          </rPr>
          <t>No value from FishBase, assume trophic level of 2</t>
        </r>
      </text>
    </comment>
    <comment ref="D611" authorId="0" shapeId="0" xr:uid="{00000000-0006-0000-3500-000034000000}">
      <text>
        <r>
          <rPr>
            <sz val="9"/>
            <color indexed="81"/>
            <rFont val="Tahoma"/>
            <family val="2"/>
          </rPr>
          <t>No value from FishBase, assume trophic level of 2</t>
        </r>
      </text>
    </comment>
    <comment ref="D617" authorId="0" shapeId="0" xr:uid="{00000000-0006-0000-3500-000035000000}">
      <text>
        <r>
          <rPr>
            <sz val="9"/>
            <color indexed="81"/>
            <rFont val="Tahoma"/>
            <family val="2"/>
          </rPr>
          <t>No value from FishBase, assume trophic level of 2</t>
        </r>
      </text>
    </comment>
    <comment ref="D618" authorId="0" shapeId="0" xr:uid="{00000000-0006-0000-3500-000036000000}">
      <text>
        <r>
          <rPr>
            <sz val="9"/>
            <color indexed="81"/>
            <rFont val="Tahoma"/>
            <family val="2"/>
          </rPr>
          <t>No value from FishBase, assume trophic level of 2</t>
        </r>
      </text>
    </comment>
    <comment ref="D639" authorId="0" shapeId="0" xr:uid="{00000000-0006-0000-3500-000037000000}">
      <text>
        <r>
          <rPr>
            <sz val="9"/>
            <color indexed="81"/>
            <rFont val="Tahoma"/>
            <family val="2"/>
          </rPr>
          <t>No value from FishBase, assume trophic level of 2</t>
        </r>
      </text>
    </comment>
    <comment ref="D673" authorId="0" shapeId="0" xr:uid="{00000000-0006-0000-3500-000038000000}">
      <text>
        <r>
          <rPr>
            <sz val="9"/>
            <color indexed="81"/>
            <rFont val="Tahoma"/>
            <family val="2"/>
          </rPr>
          <t>No value from FishBase, assume trophic level of 2</t>
        </r>
      </text>
    </comment>
    <comment ref="D678" authorId="0" shapeId="0" xr:uid="{00000000-0006-0000-3500-000039000000}">
      <text>
        <r>
          <rPr>
            <sz val="9"/>
            <color indexed="81"/>
            <rFont val="Tahoma"/>
            <family val="2"/>
          </rPr>
          <t>No value from FishBase, assume trophic level of 2</t>
        </r>
      </text>
    </comment>
    <comment ref="D683" authorId="0" shapeId="0" xr:uid="{00000000-0006-0000-3500-00003A000000}">
      <text>
        <r>
          <rPr>
            <sz val="9"/>
            <color indexed="81"/>
            <rFont val="Tahoma"/>
            <family val="2"/>
          </rPr>
          <t>No value from FishBase, assume trophic level of 2</t>
        </r>
      </text>
    </comment>
    <comment ref="D687" authorId="0" shapeId="0" xr:uid="{00000000-0006-0000-3500-00003B000000}">
      <text>
        <r>
          <rPr>
            <sz val="9"/>
            <color indexed="81"/>
            <rFont val="Tahoma"/>
            <family val="2"/>
          </rPr>
          <t>No value from FishBase, assume trophic level of 2</t>
        </r>
      </text>
    </comment>
    <comment ref="D715" authorId="0" shapeId="0" xr:uid="{00000000-0006-0000-3500-00003C000000}">
      <text>
        <r>
          <rPr>
            <sz val="9"/>
            <color indexed="81"/>
            <rFont val="Tahoma"/>
            <family val="2"/>
          </rPr>
          <t>No value from FishBase, assume trophic level of 2</t>
        </r>
      </text>
    </comment>
    <comment ref="D729" authorId="0" shapeId="0" xr:uid="{00000000-0006-0000-3500-00003D000000}">
      <text>
        <r>
          <rPr>
            <sz val="9"/>
            <color indexed="81"/>
            <rFont val="Tahoma"/>
            <family val="2"/>
          </rPr>
          <t>No value from FishBase, assume trophic level of 2</t>
        </r>
      </text>
    </comment>
    <comment ref="D743" authorId="0" shapeId="0" xr:uid="{00000000-0006-0000-3500-00003E000000}">
      <text>
        <r>
          <rPr>
            <sz val="9"/>
            <color indexed="81"/>
            <rFont val="Tahoma"/>
            <family val="2"/>
          </rPr>
          <t>No value from FishBase, assume trophic level of 2</t>
        </r>
      </text>
    </comment>
    <comment ref="D746" authorId="0" shapeId="0" xr:uid="{00000000-0006-0000-3500-00003F000000}">
      <text>
        <r>
          <rPr>
            <sz val="9"/>
            <color indexed="81"/>
            <rFont val="Tahoma"/>
            <family val="2"/>
          </rPr>
          <t>No value from FishBase, assume trophic level of 2</t>
        </r>
      </text>
    </comment>
    <comment ref="D777" authorId="0" shapeId="0" xr:uid="{00000000-0006-0000-3500-000040000000}">
      <text>
        <r>
          <rPr>
            <sz val="9"/>
            <color indexed="81"/>
            <rFont val="Tahoma"/>
            <family val="2"/>
          </rPr>
          <t>No value from FishBase, assume trophic level of 2</t>
        </r>
      </text>
    </comment>
    <comment ref="D782" authorId="0" shapeId="0" xr:uid="{00000000-0006-0000-3500-000041000000}">
      <text>
        <r>
          <rPr>
            <sz val="9"/>
            <color indexed="81"/>
            <rFont val="Tahoma"/>
            <family val="2"/>
          </rPr>
          <t>No value from FishBase, assume trophic level of 2</t>
        </r>
      </text>
    </comment>
    <comment ref="D799" authorId="0" shapeId="0" xr:uid="{00000000-0006-0000-3500-000042000000}">
      <text>
        <r>
          <rPr>
            <sz val="9"/>
            <color indexed="81"/>
            <rFont val="Tahoma"/>
            <family val="2"/>
          </rPr>
          <t>No value from FishBase, assume trophic level of 2</t>
        </r>
      </text>
    </comment>
    <comment ref="D801" authorId="0" shapeId="0" xr:uid="{00000000-0006-0000-3500-000043000000}">
      <text>
        <r>
          <rPr>
            <sz val="9"/>
            <color indexed="81"/>
            <rFont val="Tahoma"/>
            <family val="2"/>
          </rPr>
          <t>No value from FishBase, assume trophic level of 2</t>
        </r>
      </text>
    </comment>
    <comment ref="D802" authorId="0" shapeId="0" xr:uid="{00000000-0006-0000-3500-000044000000}">
      <text>
        <r>
          <rPr>
            <sz val="9"/>
            <color indexed="81"/>
            <rFont val="Tahoma"/>
            <family val="2"/>
          </rPr>
          <t>No value from FishBase, assume trophic level of 2</t>
        </r>
      </text>
    </comment>
    <comment ref="D813" authorId="0" shapeId="0" xr:uid="{00000000-0006-0000-3500-000045000000}">
      <text>
        <r>
          <rPr>
            <sz val="9"/>
            <color indexed="81"/>
            <rFont val="Tahoma"/>
            <family val="2"/>
          </rPr>
          <t>No value from FishBase, assume trophic level of 2</t>
        </r>
      </text>
    </comment>
    <comment ref="D817" authorId="0" shapeId="0" xr:uid="{00000000-0006-0000-3500-000046000000}">
      <text>
        <r>
          <rPr>
            <sz val="9"/>
            <color indexed="81"/>
            <rFont val="Tahoma"/>
            <family val="2"/>
          </rPr>
          <t>No value from FishBase, assume trophic level of 2</t>
        </r>
      </text>
    </comment>
    <comment ref="D841" authorId="0" shapeId="0" xr:uid="{00000000-0006-0000-3500-000047000000}">
      <text>
        <r>
          <rPr>
            <sz val="9"/>
            <color indexed="81"/>
            <rFont val="Tahoma"/>
            <family val="2"/>
          </rPr>
          <t>No value from FishBase, assume trophic level of 2</t>
        </r>
      </text>
    </comment>
    <comment ref="D846" authorId="0" shapeId="0" xr:uid="{00000000-0006-0000-3500-000048000000}">
      <text>
        <r>
          <rPr>
            <sz val="9"/>
            <color indexed="81"/>
            <rFont val="Tahoma"/>
            <family val="2"/>
          </rPr>
          <t>No value from FishBase, assume trophic level of 2</t>
        </r>
      </text>
    </comment>
    <comment ref="D856" authorId="0" shapeId="0" xr:uid="{00000000-0006-0000-3500-000049000000}">
      <text>
        <r>
          <rPr>
            <sz val="9"/>
            <color indexed="81"/>
            <rFont val="Tahoma"/>
            <family val="2"/>
          </rPr>
          <t>No value from FishBase, assume trophic level of 2</t>
        </r>
      </text>
    </comment>
    <comment ref="D867" authorId="0" shapeId="0" xr:uid="{00000000-0006-0000-3500-00004A000000}">
      <text>
        <r>
          <rPr>
            <sz val="9"/>
            <color indexed="81"/>
            <rFont val="Tahoma"/>
            <family val="2"/>
          </rPr>
          <t>No value from FishBase, assume trophic level of 2</t>
        </r>
      </text>
    </comment>
    <comment ref="D878" authorId="0" shapeId="0" xr:uid="{00000000-0006-0000-3500-00004B000000}">
      <text>
        <r>
          <rPr>
            <sz val="9"/>
            <color indexed="81"/>
            <rFont val="Tahoma"/>
            <family val="2"/>
          </rPr>
          <t>No value from FishBase, assume trophic level of 2</t>
        </r>
      </text>
    </comment>
    <comment ref="D880" authorId="0" shapeId="0" xr:uid="{00000000-0006-0000-3500-00004C000000}">
      <text>
        <r>
          <rPr>
            <sz val="9"/>
            <color indexed="81"/>
            <rFont val="Tahoma"/>
            <family val="2"/>
          </rPr>
          <t>No value from FishBase, assume trophic level of 2</t>
        </r>
      </text>
    </comment>
    <comment ref="D888" authorId="0" shapeId="0" xr:uid="{00000000-0006-0000-3500-00004D000000}">
      <text>
        <r>
          <rPr>
            <sz val="9"/>
            <color indexed="81"/>
            <rFont val="Tahoma"/>
            <family val="2"/>
          </rPr>
          <t>No value from FishBase, assume trophic level of 2</t>
        </r>
      </text>
    </comment>
    <comment ref="D897" authorId="0" shapeId="0" xr:uid="{00000000-0006-0000-3500-00004E000000}">
      <text>
        <r>
          <rPr>
            <sz val="9"/>
            <color indexed="81"/>
            <rFont val="Tahoma"/>
            <family val="2"/>
          </rPr>
          <t>No value from FishBase, assume trophic level of 2</t>
        </r>
      </text>
    </comment>
    <comment ref="D923" authorId="0" shapeId="0" xr:uid="{00000000-0006-0000-3500-00004F000000}">
      <text>
        <r>
          <rPr>
            <sz val="9"/>
            <color indexed="81"/>
            <rFont val="Tahoma"/>
            <family val="2"/>
          </rPr>
          <t>No value from FishBase, assume trophic level of 2</t>
        </r>
      </text>
    </comment>
    <comment ref="D951" authorId="0" shapeId="0" xr:uid="{00000000-0006-0000-3500-000050000000}">
      <text>
        <r>
          <rPr>
            <sz val="9"/>
            <color indexed="81"/>
            <rFont val="Tahoma"/>
            <family val="2"/>
          </rPr>
          <t>No value from FishBase, assume trophic level of 2</t>
        </r>
      </text>
    </comment>
    <comment ref="D962" authorId="0" shapeId="0" xr:uid="{00000000-0006-0000-3500-000051000000}">
      <text>
        <r>
          <rPr>
            <sz val="9"/>
            <color indexed="81"/>
            <rFont val="Tahoma"/>
            <family val="2"/>
          </rPr>
          <t>No value from FishBase, assume trophic level of 2</t>
        </r>
      </text>
    </comment>
    <comment ref="D976" authorId="0" shapeId="0" xr:uid="{00000000-0006-0000-3500-000052000000}">
      <text>
        <r>
          <rPr>
            <sz val="9"/>
            <color indexed="81"/>
            <rFont val="Tahoma"/>
            <family val="2"/>
          </rPr>
          <t>No value from FishBase, assume trophic level of 2</t>
        </r>
      </text>
    </comment>
    <comment ref="D978" authorId="0" shapeId="0" xr:uid="{00000000-0006-0000-3500-000053000000}">
      <text>
        <r>
          <rPr>
            <sz val="9"/>
            <color indexed="81"/>
            <rFont val="Tahoma"/>
            <family val="2"/>
          </rPr>
          <t>No value from FishBase, assume trophic level of 2</t>
        </r>
      </text>
    </comment>
    <comment ref="D980" authorId="0" shapeId="0" xr:uid="{00000000-0006-0000-3500-000054000000}">
      <text>
        <r>
          <rPr>
            <sz val="9"/>
            <color indexed="81"/>
            <rFont val="Tahoma"/>
            <family val="2"/>
          </rPr>
          <t>No value from FishBase, assume trophic level of 2</t>
        </r>
      </text>
    </comment>
    <comment ref="D981" authorId="0" shapeId="0" xr:uid="{00000000-0006-0000-3500-000055000000}">
      <text>
        <r>
          <rPr>
            <sz val="9"/>
            <color indexed="81"/>
            <rFont val="Tahoma"/>
            <family val="2"/>
          </rPr>
          <t>No value from FishBase, assume trophic level of 2</t>
        </r>
      </text>
    </comment>
    <comment ref="D984" authorId="0" shapeId="0" xr:uid="{00000000-0006-0000-3500-000056000000}">
      <text>
        <r>
          <rPr>
            <sz val="9"/>
            <color indexed="81"/>
            <rFont val="Tahoma"/>
            <family val="2"/>
          </rPr>
          <t>No value from FishBase, assume trophic level of 2</t>
        </r>
      </text>
    </comment>
    <comment ref="D1001" authorId="0" shapeId="0" xr:uid="{00000000-0006-0000-3500-000057000000}">
      <text>
        <r>
          <rPr>
            <sz val="9"/>
            <color indexed="81"/>
            <rFont val="Tahoma"/>
            <family val="2"/>
          </rPr>
          <t>No value from FishBase, assume trophic level of 2</t>
        </r>
      </text>
    </comment>
    <comment ref="D1024" authorId="0" shapeId="0" xr:uid="{00000000-0006-0000-3500-000058000000}">
      <text>
        <r>
          <rPr>
            <sz val="9"/>
            <color indexed="81"/>
            <rFont val="Tahoma"/>
            <family val="2"/>
          </rPr>
          <t>No value from FishBase, assume trophic level of 2</t>
        </r>
      </text>
    </comment>
    <comment ref="D1038" authorId="0" shapeId="0" xr:uid="{00000000-0006-0000-3500-000059000000}">
      <text>
        <r>
          <rPr>
            <sz val="9"/>
            <color indexed="81"/>
            <rFont val="Tahoma"/>
            <family val="2"/>
          </rPr>
          <t>No value from FishBase, assume trophic level of 2</t>
        </r>
      </text>
    </comment>
    <comment ref="D1050" authorId="0" shapeId="0" xr:uid="{00000000-0006-0000-3500-00005A000000}">
      <text>
        <r>
          <rPr>
            <sz val="9"/>
            <color indexed="81"/>
            <rFont val="Tahoma"/>
            <family val="2"/>
          </rPr>
          <t>No value from FishBase, assume trophic level of 2</t>
        </r>
      </text>
    </comment>
    <comment ref="D1053" authorId="0" shapeId="0" xr:uid="{00000000-0006-0000-3500-00005B000000}">
      <text>
        <r>
          <rPr>
            <sz val="9"/>
            <color indexed="81"/>
            <rFont val="Tahoma"/>
            <family val="2"/>
          </rPr>
          <t>No value from FishBase, assume trophic level of 2</t>
        </r>
      </text>
    </comment>
    <comment ref="D1060" authorId="0" shapeId="0" xr:uid="{00000000-0006-0000-3500-00005C000000}">
      <text>
        <r>
          <rPr>
            <sz val="9"/>
            <color indexed="81"/>
            <rFont val="Tahoma"/>
            <family val="2"/>
          </rPr>
          <t>No value from FishBase, assume trophic level of 2</t>
        </r>
      </text>
    </comment>
    <comment ref="D1073" authorId="0" shapeId="0" xr:uid="{00000000-0006-0000-3500-00005D000000}">
      <text>
        <r>
          <rPr>
            <sz val="9"/>
            <color indexed="81"/>
            <rFont val="Tahoma"/>
            <family val="2"/>
          </rPr>
          <t>No value from FishBase, assume trophic level of 2</t>
        </r>
      </text>
    </comment>
    <comment ref="D1082" authorId="0" shapeId="0" xr:uid="{00000000-0006-0000-3500-00005E000000}">
      <text>
        <r>
          <rPr>
            <sz val="9"/>
            <color indexed="81"/>
            <rFont val="Tahoma"/>
            <family val="2"/>
          </rPr>
          <t>No value from FishBase, assume trophic level of 2</t>
        </r>
      </text>
    </comment>
    <comment ref="D1126" authorId="0" shapeId="0" xr:uid="{00000000-0006-0000-3500-00005F000000}">
      <text>
        <r>
          <rPr>
            <sz val="9"/>
            <color indexed="81"/>
            <rFont val="Tahoma"/>
            <family val="2"/>
          </rPr>
          <t>No value from FishBase, assume trophic level of 2</t>
        </r>
      </text>
    </comment>
    <comment ref="D1130" authorId="0" shapeId="0" xr:uid="{00000000-0006-0000-3500-000060000000}">
      <text>
        <r>
          <rPr>
            <sz val="9"/>
            <color indexed="81"/>
            <rFont val="Tahoma"/>
            <family val="2"/>
          </rPr>
          <t>No value from FishBase, assume trophic level of 2</t>
        </r>
      </text>
    </comment>
    <comment ref="D1167" authorId="0" shapeId="0" xr:uid="{00000000-0006-0000-3500-000061000000}">
      <text>
        <r>
          <rPr>
            <sz val="9"/>
            <color indexed="81"/>
            <rFont val="Tahoma"/>
            <family val="2"/>
          </rPr>
          <t>No value from FishBase, assume trophic level of 2</t>
        </r>
      </text>
    </comment>
    <comment ref="D1181" authorId="0" shapeId="0" xr:uid="{00000000-0006-0000-3500-000062000000}">
      <text>
        <r>
          <rPr>
            <sz val="9"/>
            <color indexed="81"/>
            <rFont val="Tahoma"/>
            <family val="2"/>
          </rPr>
          <t>No value from FishBase, assume trophic level of 2</t>
        </r>
      </text>
    </comment>
    <comment ref="D1188" authorId="1" shapeId="0" xr:uid="{00000000-0006-0000-3500-000063000000}">
      <text>
        <r>
          <rPr>
            <b/>
            <sz val="9"/>
            <color indexed="81"/>
            <rFont val="Tahoma"/>
            <family val="2"/>
          </rPr>
          <t>Adeline Murthy:</t>
        </r>
        <r>
          <rPr>
            <sz val="9"/>
            <color indexed="81"/>
            <rFont val="Tahoma"/>
            <family val="2"/>
          </rPr>
          <t xml:space="preserve">
Estimated based on other terrapins in workbook</t>
        </r>
      </text>
    </comment>
    <comment ref="D1197" authorId="0" shapeId="0" xr:uid="{00000000-0006-0000-3500-000064000000}">
      <text>
        <r>
          <rPr>
            <sz val="9"/>
            <color indexed="81"/>
            <rFont val="Tahoma"/>
            <family val="2"/>
          </rPr>
          <t>No value from FishBase, assume trophic level of 2</t>
        </r>
      </text>
    </comment>
    <comment ref="D1208" authorId="0" shapeId="0" xr:uid="{00000000-0006-0000-3500-000065000000}">
      <text>
        <r>
          <rPr>
            <sz val="9"/>
            <color indexed="81"/>
            <rFont val="Tahoma"/>
            <family val="2"/>
          </rPr>
          <t>No value from FishBase, assume trophic level of 2</t>
        </r>
      </text>
    </comment>
    <comment ref="D1215" authorId="0" shapeId="0" xr:uid="{00000000-0006-0000-3500-000066000000}">
      <text>
        <r>
          <rPr>
            <sz val="9"/>
            <color indexed="81"/>
            <rFont val="Tahoma"/>
            <family val="2"/>
          </rPr>
          <t>No value from FishBase, assume trophic level of 2</t>
        </r>
      </text>
    </comment>
    <comment ref="D1246" authorId="0" shapeId="0" xr:uid="{00000000-0006-0000-3500-000067000000}">
      <text>
        <r>
          <rPr>
            <sz val="9"/>
            <color indexed="81"/>
            <rFont val="Tahoma"/>
            <family val="2"/>
          </rPr>
          <t>No value from FishBase, assume trophic level of 2</t>
        </r>
      </text>
    </comment>
    <comment ref="D1332" authorId="0" shapeId="0" xr:uid="{00000000-0006-0000-3500-000068000000}">
      <text>
        <r>
          <rPr>
            <sz val="9"/>
            <color indexed="81"/>
            <rFont val="Tahoma"/>
            <family val="2"/>
          </rPr>
          <t>No value from FishBase, assume trophic level of 2</t>
        </r>
      </text>
    </comment>
    <comment ref="D1346" authorId="1" shapeId="0" xr:uid="{00000000-0006-0000-3500-000069000000}">
      <text>
        <r>
          <rPr>
            <b/>
            <sz val="9"/>
            <color indexed="81"/>
            <rFont val="Tahoma"/>
            <family val="2"/>
          </rPr>
          <t>Adeline Murthy:</t>
        </r>
        <r>
          <rPr>
            <sz val="9"/>
            <color indexed="81"/>
            <rFont val="Tahoma"/>
            <family val="2"/>
          </rPr>
          <t xml:space="preserve">
Estimated based on other snail species in workbook</t>
        </r>
      </text>
    </comment>
    <comment ref="D1381" authorId="0" shapeId="0" xr:uid="{00000000-0006-0000-3500-00006A000000}">
      <text>
        <r>
          <rPr>
            <sz val="9"/>
            <color indexed="81"/>
            <rFont val="Tahoma"/>
            <family val="2"/>
          </rPr>
          <t>No value from FishBase, assume trophic level of 2</t>
        </r>
      </text>
    </comment>
    <comment ref="D1401" authorId="0" shapeId="0" xr:uid="{00000000-0006-0000-3500-00006B000000}">
      <text>
        <r>
          <rPr>
            <sz val="9"/>
            <color indexed="81"/>
            <rFont val="Tahoma"/>
            <family val="2"/>
          </rPr>
          <t>No value from FishBase, assume trophic level of 2</t>
        </r>
      </text>
    </comment>
    <comment ref="D1425" authorId="0" shapeId="0" xr:uid="{00000000-0006-0000-3500-00006C000000}">
      <text>
        <r>
          <rPr>
            <sz val="9"/>
            <color indexed="81"/>
            <rFont val="Tahoma"/>
            <family val="2"/>
          </rPr>
          <t>No value from FishBase, assume trophic level of 2</t>
        </r>
      </text>
    </comment>
    <comment ref="D1436" authorId="0" shapeId="0" xr:uid="{00000000-0006-0000-3500-00006D000000}">
      <text>
        <r>
          <rPr>
            <sz val="9"/>
            <color indexed="81"/>
            <rFont val="Tahoma"/>
            <family val="2"/>
          </rPr>
          <t>No value from FishBase, assume trophic level of 2</t>
        </r>
      </text>
    </comment>
    <comment ref="D1444" authorId="0" shapeId="0" xr:uid="{00000000-0006-0000-3500-00006E000000}">
      <text>
        <r>
          <rPr>
            <sz val="9"/>
            <color indexed="81"/>
            <rFont val="Tahoma"/>
            <family val="2"/>
          </rPr>
          <t>No value from FishBase, assume trophic level of 2</t>
        </r>
      </text>
    </comment>
    <comment ref="D1474" authorId="0" shapeId="0" xr:uid="{00000000-0006-0000-3500-00006F000000}">
      <text>
        <r>
          <rPr>
            <sz val="9"/>
            <color indexed="81"/>
            <rFont val="Tahoma"/>
            <family val="2"/>
          </rPr>
          <t>No value from FishBase, assume trophic level of 2</t>
        </r>
      </text>
    </comment>
    <comment ref="D1490" authorId="0" shapeId="0" xr:uid="{00000000-0006-0000-3500-000070000000}">
      <text>
        <r>
          <rPr>
            <sz val="9"/>
            <color indexed="81"/>
            <rFont val="Tahoma"/>
            <family val="2"/>
          </rPr>
          <t>No value from FishBase, assume trophic level of 2</t>
        </r>
      </text>
    </comment>
    <comment ref="D1507" authorId="0" shapeId="0" xr:uid="{00000000-0006-0000-3500-000071000000}">
      <text>
        <r>
          <rPr>
            <sz val="9"/>
            <color indexed="81"/>
            <rFont val="Tahoma"/>
            <family val="2"/>
          </rPr>
          <t>No value from FishBase, assume trophic level of 2</t>
        </r>
      </text>
    </comment>
    <comment ref="D1537" authorId="0" shapeId="0" xr:uid="{00000000-0006-0000-3500-000072000000}">
      <text>
        <r>
          <rPr>
            <sz val="9"/>
            <color indexed="81"/>
            <rFont val="Tahoma"/>
            <family val="2"/>
          </rPr>
          <t>No value from FishBase, assume trophic level of 2</t>
        </r>
      </text>
    </comment>
    <comment ref="D1552" authorId="0" shapeId="0" xr:uid="{00000000-0006-0000-3500-000073000000}">
      <text>
        <r>
          <rPr>
            <sz val="9"/>
            <color indexed="81"/>
            <rFont val="Tahoma"/>
            <family val="2"/>
          </rPr>
          <t>No value from FishBase, assume trophic level of 2</t>
        </r>
      </text>
    </comment>
    <comment ref="D1559" authorId="0" shapeId="0" xr:uid="{00000000-0006-0000-3500-000074000000}">
      <text>
        <r>
          <rPr>
            <sz val="9"/>
            <color indexed="81"/>
            <rFont val="Tahoma"/>
            <family val="2"/>
          </rPr>
          <t>No value from FishBase, assume trophic level of 2</t>
        </r>
      </text>
    </comment>
    <comment ref="D1560" authorId="0" shapeId="0" xr:uid="{00000000-0006-0000-3500-000075000000}">
      <text>
        <r>
          <rPr>
            <sz val="9"/>
            <color indexed="81"/>
            <rFont val="Tahoma"/>
            <family val="2"/>
          </rPr>
          <t>No value from FishBase, assume trophic level of 2</t>
        </r>
      </text>
    </comment>
    <comment ref="D1561" authorId="0" shapeId="0" xr:uid="{00000000-0006-0000-3500-000076000000}">
      <text>
        <r>
          <rPr>
            <sz val="9"/>
            <color indexed="81"/>
            <rFont val="Tahoma"/>
            <family val="2"/>
          </rPr>
          <t>No value from FishBase, assume trophic level of 2</t>
        </r>
      </text>
    </comment>
    <comment ref="D1587" authorId="0" shapeId="0" xr:uid="{00000000-0006-0000-3500-000077000000}">
      <text>
        <r>
          <rPr>
            <sz val="9"/>
            <color indexed="81"/>
            <rFont val="Tahoma"/>
            <family val="2"/>
          </rPr>
          <t>No value from FishBase, assume trophic level of 2</t>
        </r>
      </text>
    </comment>
    <comment ref="D1607" authorId="0" shapeId="0" xr:uid="{00000000-0006-0000-3500-000078000000}">
      <text>
        <r>
          <rPr>
            <sz val="9"/>
            <color indexed="81"/>
            <rFont val="Tahoma"/>
            <family val="2"/>
          </rPr>
          <t>No value from FishBase, assume trophic level of 2</t>
        </r>
      </text>
    </comment>
    <comment ref="D1654" authorId="0" shapeId="0" xr:uid="{00000000-0006-0000-3500-000079000000}">
      <text>
        <r>
          <rPr>
            <sz val="9"/>
            <color indexed="81"/>
            <rFont val="Tahoma"/>
            <family val="2"/>
          </rPr>
          <t>No value from FishBase, assume trophic level of 2</t>
        </r>
      </text>
    </comment>
    <comment ref="D1678" authorId="0" shapeId="0" xr:uid="{00000000-0006-0000-3500-00007A000000}">
      <text>
        <r>
          <rPr>
            <sz val="9"/>
            <color indexed="81"/>
            <rFont val="Tahoma"/>
            <family val="2"/>
          </rPr>
          <t>No value from FishBase, assume trophic level of 2</t>
        </r>
      </text>
    </comment>
    <comment ref="D1681" authorId="0" shapeId="0" xr:uid="{00000000-0006-0000-3500-00007B000000}">
      <text>
        <r>
          <rPr>
            <sz val="9"/>
            <color indexed="81"/>
            <rFont val="Tahoma"/>
            <family val="2"/>
          </rPr>
          <t>No value from FishBase, assume trophic level of 2</t>
        </r>
      </text>
    </comment>
    <comment ref="D1705" authorId="0" shapeId="0" xr:uid="{00000000-0006-0000-3500-00007C000000}">
      <text>
        <r>
          <rPr>
            <sz val="9"/>
            <color indexed="81"/>
            <rFont val="Tahoma"/>
            <family val="2"/>
          </rPr>
          <t>No value from FishBase, assume trophic level of 2</t>
        </r>
      </text>
    </comment>
    <comment ref="D1706" authorId="0" shapeId="0" xr:uid="{00000000-0006-0000-3500-00007D000000}">
      <text>
        <r>
          <rPr>
            <sz val="9"/>
            <color indexed="81"/>
            <rFont val="Tahoma"/>
            <family val="2"/>
          </rPr>
          <t>No value from FishBase, assume trophic level of 2</t>
        </r>
      </text>
    </comment>
    <comment ref="D1709" authorId="0" shapeId="0" xr:uid="{00000000-0006-0000-3500-00007E000000}">
      <text>
        <r>
          <rPr>
            <sz val="9"/>
            <color indexed="81"/>
            <rFont val="Tahoma"/>
            <family val="2"/>
          </rPr>
          <t>No value from FishBase, assume trophic level of 2</t>
        </r>
      </text>
    </comment>
    <comment ref="D1712" authorId="0" shapeId="0" xr:uid="{00000000-0006-0000-3500-00007F000000}">
      <text>
        <r>
          <rPr>
            <sz val="9"/>
            <color indexed="81"/>
            <rFont val="Tahoma"/>
            <family val="2"/>
          </rPr>
          <t>No value from FishBase, assume trophic level of 2</t>
        </r>
      </text>
    </comment>
    <comment ref="D1713" authorId="0" shapeId="0" xr:uid="{00000000-0006-0000-3500-000080000000}">
      <text>
        <r>
          <rPr>
            <sz val="9"/>
            <color indexed="81"/>
            <rFont val="Tahoma"/>
            <family val="2"/>
          </rPr>
          <t>No value from FishBase, assume trophic level of 2</t>
        </r>
      </text>
    </comment>
    <comment ref="D1716" authorId="0" shapeId="0" xr:uid="{00000000-0006-0000-3500-000081000000}">
      <text>
        <r>
          <rPr>
            <sz val="9"/>
            <color indexed="81"/>
            <rFont val="Tahoma"/>
            <family val="2"/>
          </rPr>
          <t>No value from FishBase, assume trophic level of 2</t>
        </r>
      </text>
    </comment>
    <comment ref="D1721" authorId="0" shapeId="0" xr:uid="{00000000-0006-0000-3500-000082000000}">
      <text>
        <r>
          <rPr>
            <sz val="9"/>
            <color indexed="81"/>
            <rFont val="Tahoma"/>
            <family val="2"/>
          </rPr>
          <t>No value from FishBase, assume trophic level of 2</t>
        </r>
      </text>
    </comment>
    <comment ref="D1726" authorId="0" shapeId="0" xr:uid="{00000000-0006-0000-3500-000083000000}">
      <text>
        <r>
          <rPr>
            <sz val="9"/>
            <color indexed="81"/>
            <rFont val="Tahoma"/>
            <family val="2"/>
          </rPr>
          <t>No value from FishBase, assume trophic level of 2</t>
        </r>
      </text>
    </comment>
    <comment ref="D1730" authorId="0" shapeId="0" xr:uid="{00000000-0006-0000-3500-000084000000}">
      <text>
        <r>
          <rPr>
            <sz val="9"/>
            <color indexed="81"/>
            <rFont val="Tahoma"/>
            <family val="2"/>
          </rPr>
          <t>No value from FishBase, assume trophic level of 2</t>
        </r>
      </text>
    </comment>
    <comment ref="D1731" authorId="0" shapeId="0" xr:uid="{00000000-0006-0000-3500-000085000000}">
      <text>
        <r>
          <rPr>
            <sz val="9"/>
            <color indexed="81"/>
            <rFont val="Tahoma"/>
            <family val="2"/>
          </rPr>
          <t>No value from FishBase, assume trophic level of 2</t>
        </r>
      </text>
    </comment>
    <comment ref="D1758" authorId="0" shapeId="0" xr:uid="{00000000-0006-0000-3500-000086000000}">
      <text>
        <r>
          <rPr>
            <sz val="9"/>
            <color indexed="81"/>
            <rFont val="Tahoma"/>
            <family val="2"/>
          </rPr>
          <t>No value from FishBase, assume trophic level of 2</t>
        </r>
      </text>
    </comment>
    <comment ref="D1771" authorId="0" shapeId="0" xr:uid="{00000000-0006-0000-3500-000087000000}">
      <text>
        <r>
          <rPr>
            <sz val="9"/>
            <color indexed="81"/>
            <rFont val="Tahoma"/>
            <family val="2"/>
          </rPr>
          <t>No value from FishBase, assume trophic level of 2</t>
        </r>
      </text>
    </comment>
    <comment ref="D1774" authorId="0" shapeId="0" xr:uid="{00000000-0006-0000-3500-000088000000}">
      <text>
        <r>
          <rPr>
            <sz val="9"/>
            <color indexed="81"/>
            <rFont val="Tahoma"/>
            <family val="2"/>
          </rPr>
          <t>No value from FishBase, assume trophic level of 2</t>
        </r>
      </text>
    </comment>
    <comment ref="D1785" authorId="0" shapeId="0" xr:uid="{00000000-0006-0000-3500-000089000000}">
      <text>
        <r>
          <rPr>
            <sz val="9"/>
            <color indexed="81"/>
            <rFont val="Tahoma"/>
            <family val="2"/>
          </rPr>
          <t>No value from FishBase, assume trophic level of 2</t>
        </r>
      </text>
    </comment>
    <comment ref="D1799" authorId="0" shapeId="0" xr:uid="{00000000-0006-0000-3500-00008A000000}">
      <text>
        <r>
          <rPr>
            <sz val="9"/>
            <color indexed="81"/>
            <rFont val="Tahoma"/>
            <family val="2"/>
          </rPr>
          <t>No value from FishBase, assume trophic level of 2</t>
        </r>
      </text>
    </comment>
    <comment ref="D1821" authorId="0" shapeId="0" xr:uid="{00000000-0006-0000-3500-00008B000000}">
      <text>
        <r>
          <rPr>
            <sz val="9"/>
            <color indexed="81"/>
            <rFont val="Tahoma"/>
            <family val="2"/>
          </rPr>
          <t>No value from FishBase, assume trophic level of 2</t>
        </r>
      </text>
    </comment>
    <comment ref="D1827" authorId="1" shapeId="0" xr:uid="{00000000-0006-0000-3500-00008C000000}">
      <text>
        <r>
          <rPr>
            <b/>
            <sz val="9"/>
            <color indexed="81"/>
            <rFont val="Tahoma"/>
            <family val="2"/>
          </rPr>
          <t>Adeline Murthy:</t>
        </r>
        <r>
          <rPr>
            <sz val="9"/>
            <color indexed="81"/>
            <rFont val="Tahoma"/>
            <family val="2"/>
          </rPr>
          <t xml:space="preserve">
Estimated based on other snail species in workbook -- but I think this needs to be improved because Rapana is a genus of predatory (carnivorous) sea snails.</t>
        </r>
      </text>
    </comment>
    <comment ref="D1836" authorId="0" shapeId="0" xr:uid="{00000000-0006-0000-3500-00008D000000}">
      <text>
        <r>
          <rPr>
            <sz val="9"/>
            <color indexed="81"/>
            <rFont val="Tahoma"/>
            <family val="2"/>
          </rPr>
          <t>No value from FishBase, assume trophic level of 2</t>
        </r>
      </text>
    </comment>
    <comment ref="D1887" authorId="0" shapeId="0" xr:uid="{00000000-0006-0000-3500-00008E000000}">
      <text>
        <r>
          <rPr>
            <sz val="9"/>
            <color indexed="81"/>
            <rFont val="Tahoma"/>
            <family val="2"/>
          </rPr>
          <t>No value from FishBase, assume trophic level of 2</t>
        </r>
      </text>
    </comment>
    <comment ref="D1892" authorId="0" shapeId="0" xr:uid="{00000000-0006-0000-3500-00008F000000}">
      <text>
        <r>
          <rPr>
            <sz val="9"/>
            <color indexed="81"/>
            <rFont val="Tahoma"/>
            <family val="2"/>
          </rPr>
          <t>No value from FishBase, assume trophic level of 2</t>
        </r>
      </text>
    </comment>
    <comment ref="D1899" authorId="0" shapeId="0" xr:uid="{00000000-0006-0000-3500-000090000000}">
      <text>
        <r>
          <rPr>
            <sz val="9"/>
            <color indexed="81"/>
            <rFont val="Tahoma"/>
            <family val="2"/>
          </rPr>
          <t>No value from FishBase, assume trophic level of 2</t>
        </r>
      </text>
    </comment>
    <comment ref="D1917" authorId="0" shapeId="0" xr:uid="{00000000-0006-0000-3500-000091000000}">
      <text>
        <r>
          <rPr>
            <sz val="9"/>
            <color indexed="81"/>
            <rFont val="Tahoma"/>
            <family val="2"/>
          </rPr>
          <t>No value from FishBase, assume trophic level of 2</t>
        </r>
      </text>
    </comment>
    <comment ref="D1936" authorId="0" shapeId="0" xr:uid="{00000000-0006-0000-3500-000092000000}">
      <text>
        <r>
          <rPr>
            <sz val="9"/>
            <color indexed="81"/>
            <rFont val="Tahoma"/>
            <family val="2"/>
          </rPr>
          <t>No value from FishBase, assume trophic level of 2</t>
        </r>
      </text>
    </comment>
    <comment ref="D1939" authorId="0" shapeId="0" xr:uid="{00000000-0006-0000-3500-000093000000}">
      <text>
        <r>
          <rPr>
            <sz val="9"/>
            <color indexed="81"/>
            <rFont val="Tahoma"/>
            <family val="2"/>
          </rPr>
          <t>No value from FishBase, assume trophic level of 2</t>
        </r>
      </text>
    </comment>
    <comment ref="D1953" authorId="0" shapeId="0" xr:uid="{00000000-0006-0000-3500-000094000000}">
      <text>
        <r>
          <rPr>
            <sz val="9"/>
            <color indexed="81"/>
            <rFont val="Tahoma"/>
            <family val="2"/>
          </rPr>
          <t>No value from FishBase, assume trophic level of 2</t>
        </r>
      </text>
    </comment>
    <comment ref="D1986" authorId="1" shapeId="0" xr:uid="{00000000-0006-0000-3500-000095000000}">
      <text>
        <r>
          <rPr>
            <b/>
            <sz val="9"/>
            <color indexed="81"/>
            <rFont val="Tahoma"/>
            <family val="2"/>
          </rPr>
          <t>Adeline Murthy:</t>
        </r>
        <r>
          <rPr>
            <sz val="9"/>
            <color indexed="81"/>
            <rFont val="Tahoma"/>
            <family val="2"/>
          </rPr>
          <t xml:space="preserve">
Average of Syclla genus in workbook</t>
        </r>
      </text>
    </comment>
    <comment ref="D1995" authorId="0" shapeId="0" xr:uid="{00000000-0006-0000-3500-000096000000}">
      <text>
        <r>
          <rPr>
            <sz val="9"/>
            <color indexed="81"/>
            <rFont val="Tahoma"/>
            <family val="2"/>
          </rPr>
          <t>No value from FishBase, assume trophic level of 2</t>
        </r>
      </text>
    </comment>
    <comment ref="D2001" authorId="0" shapeId="0" xr:uid="{00000000-0006-0000-3500-000097000000}">
      <text>
        <r>
          <rPr>
            <sz val="9"/>
            <color indexed="81"/>
            <rFont val="Tahoma"/>
            <family val="2"/>
          </rPr>
          <t>No value from FishBase, assume trophic level of 2</t>
        </r>
      </text>
    </comment>
    <comment ref="D2002" authorId="0" shapeId="0" xr:uid="{00000000-0006-0000-3500-000098000000}">
      <text>
        <r>
          <rPr>
            <sz val="9"/>
            <color indexed="81"/>
            <rFont val="Tahoma"/>
            <family val="2"/>
          </rPr>
          <t>No value from FishBase, assume trophic level of 2</t>
        </r>
      </text>
    </comment>
    <comment ref="D2048" authorId="0" shapeId="0" xr:uid="{00000000-0006-0000-3500-000099000000}">
      <text>
        <r>
          <rPr>
            <sz val="9"/>
            <color indexed="81"/>
            <rFont val="Tahoma"/>
            <family val="2"/>
          </rPr>
          <t>No value from FishBase, assume trophic level of 2</t>
        </r>
      </text>
    </comment>
    <comment ref="D2070" authorId="0" shapeId="0" xr:uid="{00000000-0006-0000-3500-00009A000000}">
      <text>
        <r>
          <rPr>
            <sz val="9"/>
            <color indexed="81"/>
            <rFont val="Tahoma"/>
            <family val="2"/>
          </rPr>
          <t>No value from FishBase, assume trophic level of 2</t>
        </r>
      </text>
    </comment>
    <comment ref="D2104" authorId="0" shapeId="0" xr:uid="{00000000-0006-0000-3500-00009B000000}">
      <text>
        <r>
          <rPr>
            <sz val="9"/>
            <color indexed="81"/>
            <rFont val="Tahoma"/>
            <family val="2"/>
          </rPr>
          <t>No value from FishBase, assume trophic level of 2</t>
        </r>
      </text>
    </comment>
    <comment ref="D2124" authorId="0" shapeId="0" xr:uid="{00000000-0006-0000-3500-00009C000000}">
      <text>
        <r>
          <rPr>
            <sz val="9"/>
            <color indexed="81"/>
            <rFont val="Tahoma"/>
            <family val="2"/>
          </rPr>
          <t>No value from FishBase, assume trophic level of 2</t>
        </r>
      </text>
    </comment>
    <comment ref="D2170" authorId="0" shapeId="0" xr:uid="{00000000-0006-0000-3500-00009D000000}">
      <text>
        <r>
          <rPr>
            <sz val="9"/>
            <color indexed="81"/>
            <rFont val="Tahoma"/>
            <family val="2"/>
          </rPr>
          <t>No value from FishBase, assume trophic level of 2</t>
        </r>
      </text>
    </comment>
    <comment ref="D2181" authorId="0" shapeId="0" xr:uid="{00000000-0006-0000-3500-00009E000000}">
      <text>
        <r>
          <rPr>
            <sz val="9"/>
            <color indexed="81"/>
            <rFont val="Tahoma"/>
            <family val="2"/>
          </rPr>
          <t>No value from FishBase, assume trophic level of 2</t>
        </r>
      </text>
    </comment>
    <comment ref="D2191" authorId="0" shapeId="0" xr:uid="{00000000-0006-0000-3500-00009F000000}">
      <text>
        <r>
          <rPr>
            <sz val="9"/>
            <color indexed="81"/>
            <rFont val="Tahoma"/>
            <family val="2"/>
          </rPr>
          <t>No value from FishBase, assume trophic level of 2</t>
        </r>
      </text>
    </comment>
    <comment ref="D2199" authorId="0" shapeId="0" xr:uid="{00000000-0006-0000-3500-0000A0000000}">
      <text>
        <r>
          <rPr>
            <sz val="9"/>
            <color indexed="81"/>
            <rFont val="Tahoma"/>
            <family val="2"/>
          </rPr>
          <t>No value from FishBase, assume trophic level of 2</t>
        </r>
      </text>
    </comment>
    <comment ref="D2287" authorId="1" shapeId="0" xr:uid="{00000000-0006-0000-3500-0000A1000000}">
      <text>
        <r>
          <rPr>
            <b/>
            <sz val="9"/>
            <color indexed="81"/>
            <rFont val="Tahoma"/>
            <family val="2"/>
          </rPr>
          <t>Adeline Murthy:</t>
        </r>
        <r>
          <rPr>
            <sz val="9"/>
            <color indexed="81"/>
            <rFont val="Tahoma"/>
            <family val="2"/>
          </rPr>
          <t xml:space="preserve">
Estimated based on other snail species in workbook</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reed</author>
    <author>david zimmerman</author>
  </authors>
  <commentList>
    <comment ref="A7" authorId="0" shapeId="0" xr:uid="{00000000-0006-0000-3600-000001000000}">
      <text>
        <r>
          <rPr>
            <sz val="8"/>
            <color indexed="81"/>
            <rFont val="Tahoma"/>
            <family val="2"/>
          </rPr>
          <t xml:space="preserve">Fuel wood is separated from other timber here, as in the forest summary sheet
</t>
        </r>
      </text>
    </comment>
    <comment ref="H51" authorId="1" shapeId="0" xr:uid="{00000000-0006-0000-3600-000002000000}">
      <text>
        <r>
          <rPr>
            <sz val="9"/>
            <color indexed="81"/>
            <rFont val="Tahoma"/>
            <family val="2"/>
          </rPr>
          <t xml:space="preserve">Use max of 1676 + 1681 + 1683 vs. 1675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david zimmerman</author>
  </authors>
  <commentList>
    <comment ref="I51" authorId="0" shapeId="0" xr:uid="{00000000-0006-0000-3700-000001000000}">
      <text>
        <r>
          <rPr>
            <b/>
            <sz val="9"/>
            <color indexed="81"/>
            <rFont val="Tahoma"/>
            <family val="2"/>
          </rPr>
          <t>Use max of 1676 + 1681 + 1683 vs. 1675</t>
        </r>
        <r>
          <rPr>
            <sz val="9"/>
            <color indexed="81"/>
            <rFont val="Tahoma"/>
            <family val="2"/>
          </rPr>
          <t xml:space="preserve">
</t>
        </r>
      </text>
    </comment>
    <comment ref="J51" authorId="0" shapeId="0" xr:uid="{00000000-0006-0000-3700-000002000000}">
      <text>
        <r>
          <rPr>
            <b/>
            <sz val="9"/>
            <color indexed="81"/>
            <rFont val="Tahoma"/>
            <family val="2"/>
          </rPr>
          <t>Use max of 1676 + 1681 + 1683 vs. 1675</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JK</author>
    <author>David Moore</author>
  </authors>
  <commentList>
    <comment ref="A10" authorId="0" shapeId="0" xr:uid="{00000000-0006-0000-3B00-000001000000}">
      <text>
        <r>
          <rPr>
            <sz val="8"/>
            <color indexed="81"/>
            <rFont val="Tahoma"/>
            <family val="2"/>
          </rPr>
          <t>Yields in mgC m-² day</t>
        </r>
        <r>
          <rPr>
            <vertAlign val="superscript"/>
            <sz val="8"/>
            <color indexed="81"/>
            <rFont val="Tahoma"/>
            <family val="2"/>
          </rPr>
          <t>-1</t>
        </r>
        <r>
          <rPr>
            <sz val="8"/>
            <color indexed="81"/>
            <rFont val="Tahoma"/>
            <family val="2"/>
          </rPr>
          <t>.</t>
        </r>
      </text>
    </comment>
    <comment ref="B11" authorId="1" shapeId="0" xr:uid="{00000000-0006-0000-3B00-000002000000}">
      <text>
        <r>
          <rPr>
            <b/>
            <sz val="8"/>
            <color indexed="81"/>
            <rFont val="Tahoma"/>
            <family val="2"/>
          </rPr>
          <t>David Moore:</t>
        </r>
        <r>
          <rPr>
            <sz val="8"/>
            <color indexed="81"/>
            <rFont val="Tahoma"/>
            <family val="2"/>
          </rPr>
          <t xml:space="preserve">
Set equal to cropland</t>
        </r>
      </text>
    </comment>
    <comment ref="B12" authorId="0" shapeId="0" xr:uid="{00000000-0006-0000-3B00-000003000000}">
      <text>
        <r>
          <rPr>
            <sz val="8"/>
            <color indexed="81"/>
            <rFont val="Tahoma"/>
            <family val="2"/>
          </rPr>
          <t>Set equal to marine.</t>
        </r>
      </text>
    </comment>
    <comment ref="B13" authorId="0" shapeId="0" xr:uid="{00000000-0006-0000-3B00-000004000000}">
      <text>
        <r>
          <rPr>
            <sz val="8"/>
            <color indexed="81"/>
            <rFont val="Tahoma"/>
            <family val="2"/>
          </rPr>
          <t>Equal to forest.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JK</author>
    <author>David Moore</author>
  </authors>
  <commentList>
    <comment ref="A8" authorId="0" shapeId="0" xr:uid="{00000000-0006-0000-3C00-000001000000}">
      <text>
        <r>
          <rPr>
            <sz val="8"/>
            <color indexed="81"/>
            <rFont val="Tahoma"/>
            <family val="2"/>
          </rPr>
          <t>Yields in t dm  ha</t>
        </r>
        <r>
          <rPr>
            <vertAlign val="superscript"/>
            <sz val="8"/>
            <color indexed="81"/>
            <rFont val="Tahoma"/>
            <family val="2"/>
          </rPr>
          <t>-1</t>
        </r>
        <r>
          <rPr>
            <sz val="8"/>
            <color indexed="81"/>
            <rFont val="Tahoma"/>
            <family val="2"/>
          </rPr>
          <t xml:space="preserve"> yr</t>
        </r>
        <r>
          <rPr>
            <vertAlign val="superscript"/>
            <sz val="8"/>
            <color indexed="81"/>
            <rFont val="Tahoma"/>
            <family val="2"/>
          </rPr>
          <t>-1</t>
        </r>
        <r>
          <rPr>
            <sz val="8"/>
            <color indexed="81"/>
            <rFont val="Tahoma"/>
            <family val="2"/>
          </rPr>
          <t>.</t>
        </r>
      </text>
    </comment>
    <comment ref="A9" authorId="0" shapeId="0" xr:uid="{00000000-0006-0000-3C00-000002000000}">
      <text>
        <r>
          <rPr>
            <sz val="8"/>
            <color indexed="81"/>
            <rFont val="Tahoma"/>
            <family val="2"/>
          </rPr>
          <t>Yields in mgC m-² day</t>
        </r>
        <r>
          <rPr>
            <vertAlign val="superscript"/>
            <sz val="8"/>
            <color indexed="81"/>
            <rFont val="Tahoma"/>
            <family val="2"/>
          </rPr>
          <t>-1</t>
        </r>
        <r>
          <rPr>
            <sz val="8"/>
            <color indexed="81"/>
            <rFont val="Tahoma"/>
            <family val="2"/>
          </rPr>
          <t>.</t>
        </r>
      </text>
    </comment>
    <comment ref="D10" authorId="0" shapeId="0" xr:uid="{00000000-0006-0000-3C00-000003000000}">
      <text>
        <r>
          <rPr>
            <sz val="8"/>
            <color indexed="81"/>
            <rFont val="Tahoma"/>
            <family val="2"/>
          </rPr>
          <t>Set equal to 1.</t>
        </r>
      </text>
    </comment>
    <comment ref="A11" authorId="0" shapeId="0" xr:uid="{00000000-0006-0000-3C00-000004000000}">
      <text>
        <r>
          <rPr>
            <sz val="8"/>
            <color indexed="81"/>
            <rFont val="Tahoma"/>
            <family val="2"/>
          </rPr>
          <t>Yield refers to net annual increment expressed in cubic meters of underbark per hectare.
NAI's were calculated utilizing the Temperate and Boreal Forest Resource Assessment (TBFRA) and the Global Fibre Supply Model (GFSM).
Country NAI's were calculated as follows: Use TBFRA national NAI if available, then GFSM national NAI, then TBFRA/GFSM regional average, then world average NAI.</t>
        </r>
      </text>
    </comment>
    <comment ref="A12" authorId="0" shapeId="0" xr:uid="{00000000-0006-0000-3C00-000005000000}">
      <text>
        <r>
          <rPr>
            <sz val="8"/>
            <color indexed="81"/>
            <rFont val="Tahoma"/>
            <family val="2"/>
          </rPr>
          <t>Yield factor equal to cropland (assumes most built-land occupies former cropland).</t>
        </r>
      </text>
    </comment>
    <comment ref="D12" authorId="1" shapeId="0" xr:uid="{00000000-0006-0000-3C00-000006000000}">
      <text>
        <r>
          <rPr>
            <b/>
            <sz val="8"/>
            <color indexed="81"/>
            <rFont val="Tahoma"/>
            <family val="2"/>
          </rPr>
          <t>David Moore:</t>
        </r>
        <r>
          <rPr>
            <sz val="8"/>
            <color indexed="81"/>
            <rFont val="Tahoma"/>
            <family val="2"/>
          </rPr>
          <t xml:space="preserve">
Set equal to cropland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JK</author>
  </authors>
  <commentList>
    <comment ref="F7" authorId="0" shapeId="0" xr:uid="{00000000-0006-0000-0900-000001000000}">
      <text>
        <r>
          <rPr>
            <sz val="8"/>
            <color indexed="81"/>
            <rFont val="Tahoma"/>
            <family val="2"/>
          </rPr>
          <t>Removes percentage sequestered by oceans from total production.</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David Moore</author>
    <author>elias lazarus</author>
    <author>JK</author>
  </authors>
  <commentList>
    <comment ref="B7" authorId="0" shapeId="0" xr:uid="{00000000-0006-0000-3D00-000001000000}">
      <text>
        <r>
          <rPr>
            <b/>
            <sz val="8"/>
            <color indexed="81"/>
            <rFont val="Tahoma"/>
            <family val="2"/>
          </rPr>
          <t>David Moore:</t>
        </r>
        <r>
          <rPr>
            <sz val="8"/>
            <color indexed="81"/>
            <rFont val="Tahoma"/>
            <family val="2"/>
          </rPr>
          <t xml:space="preserve">
Equal to 1 in the base year (most recent year)</t>
        </r>
      </text>
    </comment>
    <comment ref="B8" authorId="0" shapeId="0" xr:uid="{00000000-0006-0000-3D00-000002000000}">
      <text>
        <r>
          <rPr>
            <b/>
            <sz val="8"/>
            <color indexed="81"/>
            <rFont val="Tahoma"/>
            <family val="2"/>
          </rPr>
          <t>David Moore:</t>
        </r>
        <r>
          <rPr>
            <sz val="8"/>
            <color indexed="81"/>
            <rFont val="Tahoma"/>
            <family val="2"/>
          </rPr>
          <t xml:space="preserve">
Currently, changes in yields are not measured for this land-use type</t>
        </r>
      </text>
    </comment>
    <comment ref="B9" authorId="1" shapeId="0" xr:uid="{00000000-0006-0000-3D00-000003000000}">
      <text>
        <r>
          <rPr>
            <b/>
            <sz val="9"/>
            <color indexed="81"/>
            <rFont val="Tahoma"/>
            <family val="2"/>
          </rPr>
          <t>Elias Lazarus:</t>
        </r>
        <r>
          <rPr>
            <sz val="9"/>
            <color indexed="81"/>
            <rFont val="Tahoma"/>
            <family val="2"/>
          </rPr>
          <t xml:space="preserve">
Equal to cropland as built is given the potential of cropland.</t>
        </r>
      </text>
    </comment>
    <comment ref="B10" authorId="0" shapeId="0" xr:uid="{00000000-0006-0000-3D00-000004000000}">
      <text>
        <r>
          <rPr>
            <b/>
            <sz val="8"/>
            <color indexed="81"/>
            <rFont val="Tahoma"/>
            <family val="2"/>
          </rPr>
          <t>David Moore:</t>
        </r>
        <r>
          <rPr>
            <sz val="8"/>
            <color indexed="81"/>
            <rFont val="Tahoma"/>
            <family val="2"/>
          </rPr>
          <t xml:space="preserve">
Currently, changes in yields are not measured for this land-use type</t>
        </r>
      </text>
    </comment>
    <comment ref="B11" authorId="0" shapeId="0" xr:uid="{00000000-0006-0000-3D00-000005000000}">
      <text>
        <r>
          <rPr>
            <b/>
            <sz val="8"/>
            <color indexed="81"/>
            <rFont val="Tahoma"/>
            <family val="2"/>
          </rPr>
          <t>David Moore:</t>
        </r>
        <r>
          <rPr>
            <sz val="8"/>
            <color indexed="81"/>
            <rFont val="Tahoma"/>
            <family val="2"/>
          </rPr>
          <t xml:space="preserve">
Currently, changes in yields are not measured for this land-use type</t>
        </r>
      </text>
    </comment>
    <comment ref="B12" authorId="2" shapeId="0" xr:uid="{00000000-0006-0000-3D00-000006000000}">
      <text>
        <r>
          <rPr>
            <sz val="8"/>
            <color indexed="81"/>
            <rFont val="Tahoma"/>
            <family val="2"/>
          </rPr>
          <t>Set equal to marine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JK</author>
    <author>Laurel Hanscom</author>
  </authors>
  <commentList>
    <comment ref="A5" authorId="0" shapeId="0" xr:uid="{00000000-0006-0000-3E00-000001000000}">
      <text>
        <r>
          <rPr>
            <u/>
            <sz val="8"/>
            <color indexed="81"/>
            <rFont val="Tahoma"/>
            <family val="2"/>
          </rPr>
          <t>Country Coverage and Base Year</t>
        </r>
        <r>
          <rPr>
            <sz val="8"/>
            <color indexed="81"/>
            <rFont val="Tahoma"/>
            <family val="2"/>
          </rPr>
          <t xml:space="preserve">
CORINE Land Cover - available only for Europe, year 1990 and 2000 (approximated from 1961-1989 and 2001-2006 using country-specific population and land area data from FAO and interpolated linearly from CLC 1990 to CLC 2000)
FAOSTAT - all countries, all years
GAEZ - all countries, year 2000 (approximated from 1961-1999 and 2001-2006 using country-specific population and land area data from FAO)
GLC - all countries, year 2000 (approximated from 1961-1999 and 2001-2006 using country-specific population and land area data from FAO)
SAGE - all countries, year 1992 (approximated from 1961-1991 and 1992-2006 using country-specific population and land area data from FAO)
SeaAroundUs - all countries, no change over time
WRI - all countries, 2000</t>
        </r>
      </text>
    </comment>
    <comment ref="C13" authorId="1" shapeId="0" xr:uid="{00000000-0006-0000-3E00-000002000000}">
      <text>
        <r>
          <rPr>
            <sz val="9"/>
            <color indexed="81"/>
            <rFont val="Tahoma"/>
            <family val="2"/>
          </rPr>
          <t>Does not include Temporary meadows and pastures</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elizabethpaulukonis</author>
    <author>elias lazarus</author>
  </authors>
  <commentList>
    <comment ref="B113" authorId="0" shapeId="0" xr:uid="{00000000-0006-0000-3F00-000001000000}">
      <text>
        <r>
          <rPr>
            <b/>
            <sz val="8"/>
            <color indexed="81"/>
            <rFont val="Tahoma"/>
            <family val="2"/>
          </rPr>
          <t>elizabethpaulukonis:</t>
        </r>
        <r>
          <rPr>
            <sz val="8"/>
            <color indexed="81"/>
            <rFont val="Tahoma"/>
            <family val="2"/>
          </rPr>
          <t xml:space="preserve">
note that Navassa Islands is listed in The Sea Around Us EEZ data under the jurisdiction of Haiti
</t>
        </r>
      </text>
    </comment>
    <comment ref="B229" authorId="1" shapeId="0" xr:uid="{00000000-0006-0000-3F00-000002000000}">
      <text>
        <r>
          <rPr>
            <b/>
            <sz val="9"/>
            <color indexed="81"/>
            <rFont val="Tahoma"/>
            <family val="2"/>
          </rPr>
          <t>elias lazarus:</t>
        </r>
        <r>
          <rPr>
            <sz val="9"/>
            <color indexed="81"/>
            <rFont val="Tahoma"/>
            <family val="2"/>
          </rPr>
          <t xml:space="preserve">
Assumed same as 'Sudan' from before split because South Sudan is landlocked.</t>
        </r>
      </text>
    </comment>
    <comment ref="B273" authorId="0" shapeId="0" xr:uid="{00000000-0006-0000-3F00-000003000000}">
      <text>
        <r>
          <rPr>
            <b/>
            <sz val="8"/>
            <color indexed="81"/>
            <rFont val="Tahoma"/>
            <family val="2"/>
          </rPr>
          <t>elizabethpaulukonis:</t>
        </r>
        <r>
          <rPr>
            <sz val="8"/>
            <color indexed="81"/>
            <rFont val="Tahoma"/>
            <family val="2"/>
          </rPr>
          <t xml:space="preserve">
Sum of data from Northwest Islands and Mainland
</t>
        </r>
      </text>
    </comment>
    <comment ref="B293" authorId="1" shapeId="0" xr:uid="{00000000-0006-0000-3F00-000004000000}">
      <text>
        <r>
          <rPr>
            <b/>
            <sz val="9"/>
            <color indexed="81"/>
            <rFont val="Tahoma"/>
            <family val="2"/>
          </rPr>
          <t>elias lazarus:</t>
        </r>
        <r>
          <rPr>
            <sz val="9"/>
            <color indexed="81"/>
            <rFont val="Tahoma"/>
            <family val="2"/>
          </rPr>
          <t xml:space="preserve">
Sudan (former) same values as Sudan (South Sudan is landlocked), here below 'World' to prevent double-counting in 'World' sum.</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JK</author>
    <author>Jon Martindill</author>
  </authors>
  <commentList>
    <comment ref="A6" authorId="0" shapeId="0" xr:uid="{00000000-0006-0000-0A00-000001000000}">
      <text>
        <r>
          <rPr>
            <sz val="8"/>
            <color indexed="81"/>
            <rFont val="Tahoma"/>
            <family val="2"/>
          </rPr>
          <t>Share of global fugitive emissions from fossil fuels</t>
        </r>
      </text>
    </comment>
    <comment ref="A7" authorId="1" shapeId="0" xr:uid="{00000000-0006-0000-0A00-000002000000}">
      <text>
        <r>
          <rPr>
            <sz val="9"/>
            <color indexed="81"/>
            <rFont val="Tahoma"/>
            <family val="2"/>
          </rPr>
          <t>CO2 emissions from the production of cement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JK</author>
    <author>Elias Lazarus</author>
    <author>Michael Borucke</author>
  </authors>
  <commentList>
    <comment ref="H5" authorId="0" shapeId="0" xr:uid="{00000000-0006-0000-0B00-000001000000}">
      <text>
        <r>
          <rPr>
            <sz val="8"/>
            <color indexed="81"/>
            <rFont val="Tahoma"/>
            <family val="2"/>
          </rPr>
          <t>Using world-average carbon intensity.</t>
        </r>
      </text>
    </comment>
    <comment ref="E189" authorId="1" shapeId="0" xr:uid="{00000000-0006-0000-0B00-000002000000}">
      <text>
        <r>
          <rPr>
            <b/>
            <sz val="8"/>
            <color indexed="81"/>
            <rFont val="Tahoma"/>
            <family val="2"/>
          </rPr>
          <t>Elias Lazarus:</t>
        </r>
        <r>
          <rPr>
            <sz val="8"/>
            <color indexed="81"/>
            <rFont val="Tahoma"/>
            <family val="2"/>
          </rPr>
          <t xml:space="preserve">
Value updated 2013 from Ecoinvent (via SimaPro)</t>
        </r>
      </text>
    </comment>
    <comment ref="E192" authorId="1" shapeId="0" xr:uid="{00000000-0006-0000-0B00-000003000000}">
      <text>
        <r>
          <rPr>
            <b/>
            <sz val="8"/>
            <color indexed="81"/>
            <rFont val="Tahoma"/>
            <family val="2"/>
          </rPr>
          <t>Elias Lazarus:</t>
        </r>
        <r>
          <rPr>
            <sz val="8"/>
            <color indexed="81"/>
            <rFont val="Tahoma"/>
            <family val="2"/>
          </rPr>
          <t xml:space="preserve">
Value updated 2013 from Ecoinvent (via SimaPro)</t>
        </r>
      </text>
    </comment>
    <comment ref="E193" authorId="2" shapeId="0" xr:uid="{00000000-0006-0000-0B00-000004000000}">
      <text>
        <r>
          <rPr>
            <b/>
            <sz val="8"/>
            <color indexed="81"/>
            <rFont val="Tahoma"/>
            <family val="2"/>
          </rPr>
          <t>Michael Borucke:</t>
        </r>
        <r>
          <rPr>
            <sz val="8"/>
            <color indexed="81"/>
            <rFont val="Tahoma"/>
            <family val="2"/>
          </rPr>
          <t xml:space="preserve">
Changed from 361 to 16.1. 16 GJ/t is from the ratio of 83 : 10.3 of nickel to copper from the table of Embodied Energy of mineral extraction in the cited paper referenced. The two values come from the same research source.</t>
        </r>
      </text>
    </comment>
    <comment ref="E194" authorId="1" shapeId="0" xr:uid="{00000000-0006-0000-0B00-000005000000}">
      <text>
        <r>
          <rPr>
            <b/>
            <sz val="8"/>
            <color indexed="81"/>
            <rFont val="Tahoma"/>
            <family val="2"/>
          </rPr>
          <t>Elias Lazarus:</t>
        </r>
        <r>
          <rPr>
            <sz val="8"/>
            <color indexed="81"/>
            <rFont val="Tahoma"/>
            <family val="2"/>
          </rPr>
          <t xml:space="preserve">
Value updated 2013 from Ecoinvent (via SimaPro)</t>
        </r>
      </text>
    </comment>
    <comment ref="E195" authorId="1" shapeId="0" xr:uid="{00000000-0006-0000-0B00-000006000000}">
      <text>
        <r>
          <rPr>
            <b/>
            <sz val="8"/>
            <color indexed="81"/>
            <rFont val="Tahoma"/>
            <family val="2"/>
          </rPr>
          <t>Elias Lazarus:</t>
        </r>
        <r>
          <rPr>
            <sz val="8"/>
            <color indexed="81"/>
            <rFont val="Tahoma"/>
            <family val="2"/>
          </rPr>
          <t xml:space="preserve">
Value updated 2013 from Ecoinvent (via SimaPro)</t>
        </r>
      </text>
    </comment>
    <comment ref="E196" authorId="1" shapeId="0" xr:uid="{00000000-0006-0000-0B00-000007000000}">
      <text>
        <r>
          <rPr>
            <b/>
            <sz val="8"/>
            <color indexed="81"/>
            <rFont val="Tahoma"/>
            <family val="2"/>
          </rPr>
          <t>Elias Lazarus:</t>
        </r>
        <r>
          <rPr>
            <sz val="8"/>
            <color indexed="81"/>
            <rFont val="Tahoma"/>
            <family val="2"/>
          </rPr>
          <t xml:space="preserve">
Value updated 2013 from Ecoinvent (via SimaPro)</t>
        </r>
      </text>
    </comment>
    <comment ref="E198" authorId="1" shapeId="0" xr:uid="{00000000-0006-0000-0B00-000008000000}">
      <text>
        <r>
          <rPr>
            <b/>
            <sz val="8"/>
            <color indexed="81"/>
            <rFont val="Tahoma"/>
            <family val="2"/>
          </rPr>
          <t>Elias Lazarus:</t>
        </r>
        <r>
          <rPr>
            <sz val="8"/>
            <color indexed="81"/>
            <rFont val="Tahoma"/>
            <family val="2"/>
          </rPr>
          <t xml:space="preserve">
Value updated 2013 from Ecoinvent (via SimaPro)</t>
        </r>
      </text>
    </comment>
    <comment ref="E214" authorId="0" shapeId="0" xr:uid="{00000000-0006-0000-0B00-000009000000}">
      <text>
        <r>
          <rPr>
            <sz val="8"/>
            <color indexed="81"/>
            <rFont val="Tahoma"/>
            <family val="2"/>
          </rPr>
          <t>Briquettes and are assigned the same value as raw coal, although this is almost certainly an underestimate. No specific data for briquettes is available at this time.</t>
        </r>
      </text>
    </comment>
    <comment ref="E417" authorId="1" shapeId="0" xr:uid="{00000000-0006-0000-0B00-00000A000000}">
      <text>
        <r>
          <rPr>
            <b/>
            <sz val="8"/>
            <color indexed="81"/>
            <rFont val="Tahoma"/>
            <family val="2"/>
          </rPr>
          <t>Elias Lazarus:</t>
        </r>
        <r>
          <rPr>
            <sz val="8"/>
            <color indexed="81"/>
            <rFont val="Tahoma"/>
            <family val="2"/>
          </rPr>
          <t xml:space="preserve">
Value updated 2013 from Ecoinvent (via SimaPro)</t>
        </r>
      </text>
    </comment>
    <comment ref="E419" authorId="1" shapeId="0" xr:uid="{00000000-0006-0000-0B00-00000B000000}">
      <text>
        <r>
          <rPr>
            <b/>
            <sz val="8"/>
            <color indexed="81"/>
            <rFont val="Tahoma"/>
            <family val="2"/>
          </rPr>
          <t>Elias Lazarus:</t>
        </r>
        <r>
          <rPr>
            <sz val="8"/>
            <color indexed="81"/>
            <rFont val="Tahoma"/>
            <family val="2"/>
          </rPr>
          <t xml:space="preserve">
Value updated 2013 from Ecoinvent (via SimaPro)</t>
        </r>
      </text>
    </comment>
    <comment ref="E449" authorId="1" shapeId="0" xr:uid="{00000000-0006-0000-0B00-00000C000000}">
      <text>
        <r>
          <rPr>
            <b/>
            <sz val="8"/>
            <color indexed="81"/>
            <rFont val="Tahoma"/>
            <family val="2"/>
          </rPr>
          <t>Elias Lazarus:</t>
        </r>
        <r>
          <rPr>
            <sz val="8"/>
            <color indexed="81"/>
            <rFont val="Tahoma"/>
            <family val="2"/>
          </rPr>
          <t xml:space="preserve">
Value updated 2013 from Ecoinvent (via SimaPro)</t>
        </r>
      </text>
    </comment>
    <comment ref="E450" authorId="1" shapeId="0" xr:uid="{00000000-0006-0000-0B00-00000D000000}">
      <text>
        <r>
          <rPr>
            <b/>
            <sz val="8"/>
            <color indexed="81"/>
            <rFont val="Tahoma"/>
            <family val="2"/>
          </rPr>
          <t>Elias Lazarus:</t>
        </r>
        <r>
          <rPr>
            <sz val="8"/>
            <color indexed="81"/>
            <rFont val="Tahoma"/>
            <family val="2"/>
          </rPr>
          <t xml:space="preserve">
Value updated 2013 from Ecoinvent (via SimaPro)</t>
        </r>
      </text>
    </comment>
    <comment ref="E451" authorId="1" shapeId="0" xr:uid="{00000000-0006-0000-0B00-00000E000000}">
      <text>
        <r>
          <rPr>
            <b/>
            <sz val="8"/>
            <color indexed="81"/>
            <rFont val="Tahoma"/>
            <family val="2"/>
          </rPr>
          <t>Elias Lazarus:</t>
        </r>
        <r>
          <rPr>
            <sz val="8"/>
            <color indexed="81"/>
            <rFont val="Tahoma"/>
            <family val="2"/>
          </rPr>
          <t xml:space="preserve">
Value updated 2013 from Ecoinvent (via SimaPro)</t>
        </r>
      </text>
    </comment>
    <comment ref="E452" authorId="1" shapeId="0" xr:uid="{00000000-0006-0000-0B00-00000F000000}">
      <text>
        <r>
          <rPr>
            <b/>
            <sz val="8"/>
            <color indexed="81"/>
            <rFont val="Tahoma"/>
            <family val="2"/>
          </rPr>
          <t>Elias Lazarus:</t>
        </r>
        <r>
          <rPr>
            <sz val="8"/>
            <color indexed="81"/>
            <rFont val="Tahoma"/>
            <family val="2"/>
          </rPr>
          <t xml:space="preserve">
Value updated 2013 from Ecoinvent (via SimaPro)</t>
        </r>
      </text>
    </comment>
    <comment ref="E453" authorId="1" shapeId="0" xr:uid="{00000000-0006-0000-0B00-000010000000}">
      <text>
        <r>
          <rPr>
            <b/>
            <sz val="8"/>
            <color indexed="81"/>
            <rFont val="Tahoma"/>
            <family val="2"/>
          </rPr>
          <t>Elias Lazarus:</t>
        </r>
        <r>
          <rPr>
            <sz val="8"/>
            <color indexed="81"/>
            <rFont val="Tahoma"/>
            <family val="2"/>
          </rPr>
          <t xml:space="preserve">
Value updated 2013 from Ecoinvent (via SimaPro)</t>
        </r>
      </text>
    </comment>
    <comment ref="E455" authorId="1" shapeId="0" xr:uid="{00000000-0006-0000-0B00-000011000000}">
      <text>
        <r>
          <rPr>
            <b/>
            <sz val="8"/>
            <color indexed="81"/>
            <rFont val="Tahoma"/>
            <family val="2"/>
          </rPr>
          <t>Elias Lazarus:</t>
        </r>
        <r>
          <rPr>
            <sz val="8"/>
            <color indexed="81"/>
            <rFont val="Tahoma"/>
            <family val="2"/>
          </rPr>
          <t xml:space="preserve">
Value updated 2013 from Ecoinvent (via SimaPro)</t>
        </r>
      </text>
    </comment>
    <comment ref="E456" authorId="1" shapeId="0" xr:uid="{00000000-0006-0000-0B00-000012000000}">
      <text>
        <r>
          <rPr>
            <b/>
            <sz val="8"/>
            <color indexed="81"/>
            <rFont val="Tahoma"/>
            <family val="2"/>
          </rPr>
          <t>Elias Lazarus:</t>
        </r>
        <r>
          <rPr>
            <sz val="8"/>
            <color indexed="81"/>
            <rFont val="Tahoma"/>
            <family val="2"/>
          </rPr>
          <t xml:space="preserve">
Value updated 2013 from Ecoinvent (via SimaPro)</t>
        </r>
      </text>
    </comment>
    <comment ref="E457" authorId="1" shapeId="0" xr:uid="{00000000-0006-0000-0B00-000013000000}">
      <text>
        <r>
          <rPr>
            <b/>
            <sz val="8"/>
            <color indexed="81"/>
            <rFont val="Tahoma"/>
            <family val="2"/>
          </rPr>
          <t>Elias Lazarus:</t>
        </r>
        <r>
          <rPr>
            <sz val="8"/>
            <color indexed="81"/>
            <rFont val="Tahoma"/>
            <family val="2"/>
          </rPr>
          <t xml:space="preserve">
Value updated 2013 from Ecoinvent (via SimaPro)</t>
        </r>
      </text>
    </comment>
    <comment ref="E458" authorId="1" shapeId="0" xr:uid="{00000000-0006-0000-0B00-000014000000}">
      <text>
        <r>
          <rPr>
            <b/>
            <sz val="8"/>
            <color indexed="81"/>
            <rFont val="Tahoma"/>
            <family val="2"/>
          </rPr>
          <t>Elias Lazarus:</t>
        </r>
        <r>
          <rPr>
            <sz val="8"/>
            <color indexed="81"/>
            <rFont val="Tahoma"/>
            <family val="2"/>
          </rPr>
          <t xml:space="preserve">
Value updated 2013 from Ecoinvent (via SimaPro)</t>
        </r>
      </text>
    </comment>
    <comment ref="E459" authorId="1" shapeId="0" xr:uid="{00000000-0006-0000-0B00-000015000000}">
      <text>
        <r>
          <rPr>
            <b/>
            <sz val="8"/>
            <color indexed="81"/>
            <rFont val="Tahoma"/>
            <family val="2"/>
          </rPr>
          <t>Elias Lazarus:</t>
        </r>
        <r>
          <rPr>
            <sz val="8"/>
            <color indexed="81"/>
            <rFont val="Tahoma"/>
            <family val="2"/>
          </rPr>
          <t xml:space="preserve">
Value updated 2013 from Ecoinvent (via SimaPro)</t>
        </r>
      </text>
    </comment>
    <comment ref="E460" authorId="1" shapeId="0" xr:uid="{00000000-0006-0000-0B00-000016000000}">
      <text>
        <r>
          <rPr>
            <b/>
            <sz val="8"/>
            <color indexed="81"/>
            <rFont val="Tahoma"/>
            <family val="2"/>
          </rPr>
          <t>Elias Lazarus:</t>
        </r>
        <r>
          <rPr>
            <sz val="8"/>
            <color indexed="81"/>
            <rFont val="Tahoma"/>
            <family val="2"/>
          </rPr>
          <t xml:space="preserve">
Value updated 2013 from Ecoinvent (via SimaPro)</t>
        </r>
      </text>
    </comment>
    <comment ref="E463" authorId="1" shapeId="0" xr:uid="{00000000-0006-0000-0B00-000017000000}">
      <text>
        <r>
          <rPr>
            <b/>
            <sz val="8"/>
            <color indexed="81"/>
            <rFont val="Tahoma"/>
            <family val="2"/>
          </rPr>
          <t>Elias Lazarus:</t>
        </r>
        <r>
          <rPr>
            <sz val="8"/>
            <color indexed="81"/>
            <rFont val="Tahoma"/>
            <family val="2"/>
          </rPr>
          <t xml:space="preserve">
Value updated 2013 from Ecoinvent (via SimaPro)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Reed</author>
  </authors>
  <commentList>
    <comment ref="B9" authorId="0" shapeId="0" xr:uid="{00000000-0006-0000-0D00-000001000000}">
      <text>
        <r>
          <rPr>
            <sz val="8"/>
            <color indexed="81"/>
            <rFont val="Tahoma"/>
            <family val="2"/>
          </rPr>
          <t>Total Net Production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David Moore</author>
    <author>Anders Reed</author>
  </authors>
  <commentList>
    <comment ref="A8" authorId="0" shapeId="0" xr:uid="{00000000-0006-0000-0E00-000001000000}">
      <text>
        <r>
          <rPr>
            <b/>
            <sz val="8"/>
            <color indexed="81"/>
            <rFont val="Tahoma"/>
            <family val="2"/>
          </rPr>
          <t>David Moore:</t>
        </r>
        <r>
          <rPr>
            <sz val="8"/>
            <color indexed="81"/>
            <rFont val="Tahoma"/>
            <family val="2"/>
          </rPr>
          <t xml:space="preserve">
Total Primary Energy Supply (TPES)</t>
        </r>
      </text>
    </comment>
    <comment ref="C8" authorId="1" shapeId="0" xr:uid="{00000000-0006-0000-0E00-000002000000}">
      <text>
        <r>
          <rPr>
            <b/>
            <sz val="8"/>
            <color indexed="81"/>
            <rFont val="Tahoma"/>
            <family val="2"/>
          </rPr>
          <t>Anders Reed:</t>
        </r>
        <r>
          <rPr>
            <sz val="8"/>
            <color indexed="81"/>
            <rFont val="Tahoma"/>
            <family val="2"/>
          </rPr>
          <t xml:space="preserve">
Use world average if no IEA values available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Evan Neill</author>
  </authors>
  <commentList>
    <comment ref="C6" authorId="0" shapeId="0" xr:uid="{00000000-0006-0000-0F00-000001000000}">
      <text>
        <r>
          <rPr>
            <sz val="9"/>
            <color indexed="81"/>
            <rFont val="Tahoma"/>
            <family val="2"/>
          </rPr>
          <t>Molar mass of Carbon: 12.01 g/mol
Molar mass of CO2: 44.01 g/mol</t>
        </r>
      </text>
    </comment>
  </commentList>
</comments>
</file>

<file path=xl/sharedStrings.xml><?xml version="1.0" encoding="utf-8"?>
<sst xmlns="http://schemas.openxmlformats.org/spreadsheetml/2006/main" count="30199" uniqueCount="9262">
  <si>
    <t>ef_crop</t>
  </si>
  <si>
    <t>[t d (t p)-1]</t>
  </si>
  <si>
    <t>market_feed_supply_n</t>
  </si>
  <si>
    <t>grass_supply_n</t>
  </si>
  <si>
    <t>residue_supply_n</t>
  </si>
  <si>
    <t>Other citrus fruit</t>
  </si>
  <si>
    <t>Bananas including plantains ,fresh</t>
  </si>
  <si>
    <t>Apples, fresh</t>
  </si>
  <si>
    <t>Grapes,fresh</t>
  </si>
  <si>
    <t>4101_l</t>
  </si>
  <si>
    <t>Goatskins</t>
  </si>
  <si>
    <t>4103.10_d</t>
  </si>
  <si>
    <t>Hen eggs, in shell (Number)</t>
  </si>
  <si>
    <t>0208.90ad</t>
  </si>
  <si>
    <t>0205_a</t>
  </si>
  <si>
    <t>Meat of Mules</t>
  </si>
  <si>
    <t>0205_b</t>
  </si>
  <si>
    <t>Meat of Other Rod</t>
  </si>
  <si>
    <t>0208.90_a</t>
  </si>
  <si>
    <t>Meat Oth Camelids</t>
  </si>
  <si>
    <t>0208.90_b</t>
  </si>
  <si>
    <t>0206_g</t>
  </si>
  <si>
    <t>Other bird eggs,in shell (Number)</t>
  </si>
  <si>
    <t>Blue swimming crab</t>
  </si>
  <si>
    <t>Croakers, drums nei</t>
  </si>
  <si>
    <t>Daggertooth pike conger</t>
  </si>
  <si>
    <t>Paralomis formosa</t>
  </si>
  <si>
    <t>0102_a</t>
  </si>
  <si>
    <t>Atlantic sabretooth anchovy</t>
  </si>
  <si>
    <t>White grunt</t>
  </si>
  <si>
    <t>Haemulon plumierii</t>
  </si>
  <si>
    <t>White margate</t>
  </si>
  <si>
    <t>Haemulon album</t>
  </si>
  <si>
    <t>White mullet</t>
  </si>
  <si>
    <t>Mugil curema</t>
  </si>
  <si>
    <t>White teatfish</t>
  </si>
  <si>
    <t>Holothuria fuscogilva</t>
  </si>
  <si>
    <t>Whitespotted wedgefish</t>
  </si>
  <si>
    <t>Rhynchobatus australiae</t>
  </si>
  <si>
    <t>Barbodes balleroides</t>
  </si>
  <si>
    <t>Mystacoleucus padangensis</t>
  </si>
  <si>
    <t>Mystus nigriceps</t>
  </si>
  <si>
    <t>Pangasius djambal</t>
  </si>
  <si>
    <t>Puntioplites waandersi</t>
  </si>
  <si>
    <t>Greater weever</t>
  </si>
  <si>
    <t>Tulle,lace,embroidery,ribbons etc.</t>
  </si>
  <si>
    <t>Sawlogs+Veneer Logs (NC)</t>
  </si>
  <si>
    <t>Pulpwood+Particles(C)</t>
  </si>
  <si>
    <t>Pulpwood+Particles(NC)</t>
  </si>
  <si>
    <t>Printing+Writing Paper</t>
  </si>
  <si>
    <t>Astronotus spp</t>
  </si>
  <si>
    <t>Brown smooth-hound</t>
  </si>
  <si>
    <t>Cabezon</t>
  </si>
  <si>
    <t>Calico scallop</t>
  </si>
  <si>
    <t>California flounder</t>
  </si>
  <si>
    <t>California sheephead</t>
  </si>
  <si>
    <t>Canary rockfish</t>
  </si>
  <si>
    <t>Carragheen (Irish) moss</t>
  </si>
  <si>
    <t>Chilipepper rockfish</t>
  </si>
  <si>
    <t>Crangonid shrimps nei</t>
  </si>
  <si>
    <t>Cunner</t>
  </si>
  <si>
    <t>Curlfin sole</t>
  </si>
  <si>
    <t>Dover sole</t>
  </si>
  <si>
    <t>Dusky smooth-hound</t>
  </si>
  <si>
    <t>Menticirrhus saxatilis</t>
  </si>
  <si>
    <t>Menticirrhus spp</t>
  </si>
  <si>
    <t>Micropogonias furnieri</t>
  </si>
  <si>
    <t>Greater forkbeard</t>
  </si>
  <si>
    <t>1207.9ag</t>
  </si>
  <si>
    <t>Hides Dry Slt Nes</t>
  </si>
  <si>
    <t>Hides Nes</t>
  </si>
  <si>
    <t>Ponyfishes(=Slipmouths)</t>
  </si>
  <si>
    <t>Silver-stripe round herring</t>
  </si>
  <si>
    <t>Little tunny(=Atl.black skipj)</t>
  </si>
  <si>
    <t>Pargo breams nei</t>
  </si>
  <si>
    <t>Plain bonito</t>
  </si>
  <si>
    <t>Thaleichthys pacificus</t>
  </si>
  <si>
    <t>Thymallus thymallus</t>
  </si>
  <si>
    <t>Alosa aestivalis</t>
  </si>
  <si>
    <t>Alosa alosa</t>
  </si>
  <si>
    <t>Alosa fallax</t>
  </si>
  <si>
    <t>Alosa mediocris</t>
  </si>
  <si>
    <t>Rajiformes</t>
  </si>
  <si>
    <t>Rhinobatidae</t>
  </si>
  <si>
    <t>Rhinobatos percellens</t>
  </si>
  <si>
    <t>Natural rubber and similar natural gums</t>
  </si>
  <si>
    <t>Sheeps and lambs wool, greasy or fleece washe</t>
  </si>
  <si>
    <t>Sheeps and lambs wool, degreased</t>
  </si>
  <si>
    <t>Fine animal hair, ex.wool not carded or combe</t>
  </si>
  <si>
    <t>Vegetable textile fibres,nes and waste</t>
  </si>
  <si>
    <t>2006.00</t>
  </si>
  <si>
    <t>1104.30_b</t>
  </si>
  <si>
    <t>Germ of Wheat</t>
  </si>
  <si>
    <t>1104.30_a</t>
  </si>
  <si>
    <t>Giant gourami</t>
  </si>
  <si>
    <t>Distillate fuels</t>
  </si>
  <si>
    <t>Residual fuel oils</t>
  </si>
  <si>
    <t>Sawlogs and veneer logs  conifer</t>
  </si>
  <si>
    <t>Pomacanthus maculosus</t>
  </si>
  <si>
    <t>Pomadasys argenteus</t>
  </si>
  <si>
    <t>Preparations of Beef Meat</t>
  </si>
  <si>
    <t>Pulses, nes</t>
  </si>
  <si>
    <t>Commodity Group</t>
  </si>
  <si>
    <t>Anchovies</t>
  </si>
  <si>
    <t>Butter of Karite Nuts</t>
  </si>
  <si>
    <t>Butter,Ghee of Sheep Milk</t>
  </si>
  <si>
    <t>Plesiopenaeus edwardsianus</t>
  </si>
  <si>
    <t>Sclerocrangon spp</t>
  </si>
  <si>
    <t>Sergestidae</t>
  </si>
  <si>
    <t>Sicyonia brevirostris</t>
  </si>
  <si>
    <t>Sicyonia ingentis</t>
  </si>
  <si>
    <t>1518.00</t>
  </si>
  <si>
    <t>Crustaceans Fresh</t>
  </si>
  <si>
    <t>Demersl Marine Fish Frsh</t>
  </si>
  <si>
    <t>Pelagic Marine Fish Frsh</t>
  </si>
  <si>
    <t>FAO Category</t>
  </si>
  <si>
    <t>Feed Category</t>
  </si>
  <si>
    <t>Blackbellied angler</t>
  </si>
  <si>
    <t>Hakes nei</t>
  </si>
  <si>
    <t>African moonfish</t>
  </si>
  <si>
    <t>African sicklefish</t>
  </si>
  <si>
    <t>Atlantic emperor</t>
  </si>
  <si>
    <t>Blue shark</t>
  </si>
  <si>
    <t>Boe drum</t>
  </si>
  <si>
    <t>Bonefish</t>
  </si>
  <si>
    <t>Giant African threadfin</t>
  </si>
  <si>
    <t>Hammerhead sharks, etc. nei</t>
  </si>
  <si>
    <t>Lesser African threadfin</t>
  </si>
  <si>
    <t>Royal threadfin</t>
  </si>
  <si>
    <t>Shortfin mako</t>
  </si>
  <si>
    <t>Spadefishes nei</t>
  </si>
  <si>
    <t>West African ilisha</t>
  </si>
  <si>
    <t>West African ladyfish</t>
  </si>
  <si>
    <t>1212.99_d</t>
  </si>
  <si>
    <t>Lutjanus kasmira</t>
  </si>
  <si>
    <t>Lutjanus malabaricus</t>
  </si>
  <si>
    <t>Gerres nigri</t>
  </si>
  <si>
    <t>Gerres oblongus</t>
  </si>
  <si>
    <t>0203_a</t>
  </si>
  <si>
    <t>Cine. Cameras, projectors, sound recorders et</t>
  </si>
  <si>
    <t>Photographic &amp; cinematographic equipment nes</t>
  </si>
  <si>
    <t>Medical instruments, nes</t>
  </si>
  <si>
    <t>Meters and counters,non electric</t>
  </si>
  <si>
    <t>Blanks for tubes and pipes</t>
  </si>
  <si>
    <t>Wire rod of iron or steel</t>
  </si>
  <si>
    <t>Bars and rods of iron or steel, ex wire rod</t>
  </si>
  <si>
    <t>Cake of Hempseed</t>
  </si>
  <si>
    <t>2306.90_g</t>
  </si>
  <si>
    <t>Cake of Kapok</t>
  </si>
  <si>
    <t>2306.90_f</t>
  </si>
  <si>
    <t>Cake of Mustard</t>
  </si>
  <si>
    <t>Angles etc. Of iron or steel, less than 80 mm</t>
  </si>
  <si>
    <t>Universals etc. Of iron or steel, over 4.75 m</t>
  </si>
  <si>
    <t>Alcohols,phenols,phenol alcohols,glycerine</t>
  </si>
  <si>
    <t>Mesodesma donacium</t>
  </si>
  <si>
    <t>Mulinia spp</t>
  </si>
  <si>
    <t>Grass Feed Demand</t>
  </si>
  <si>
    <t>Midway deep-sea coral</t>
  </si>
  <si>
    <t>Pacific saury</t>
  </si>
  <si>
    <t>Panga seabream</t>
  </si>
  <si>
    <t>Rock sole</t>
  </si>
  <si>
    <t>Shiro, white coral</t>
  </si>
  <si>
    <t>Tanner crabs nei</t>
  </si>
  <si>
    <t>Tarakihi</t>
  </si>
  <si>
    <t>Wellington flying squid</t>
  </si>
  <si>
    <t>Whip stingray</t>
  </si>
  <si>
    <t>White snake mackerel</t>
  </si>
  <si>
    <t>Yellowfin sole</t>
  </si>
  <si>
    <t>Opah</t>
  </si>
  <si>
    <t>Parrotfishes nei</t>
  </si>
  <si>
    <t>Pomfrets, ocean breams nei</t>
  </si>
  <si>
    <t>Squirrelfishes nei</t>
  </si>
  <si>
    <t>Surgeonfishes nei</t>
  </si>
  <si>
    <t>Portunus pelagicus</t>
  </si>
  <si>
    <t>Portunus spp</t>
  </si>
  <si>
    <t>Portunus trituberculatus</t>
  </si>
  <si>
    <t>Scylla serrata</t>
  </si>
  <si>
    <t>Callianassa spp</t>
  </si>
  <si>
    <t>Homarus americanus</t>
  </si>
  <si>
    <t>Meat Dried Nes</t>
  </si>
  <si>
    <t>Penaeus vannamei</t>
  </si>
  <si>
    <t>Pleoticus muelleri</t>
  </si>
  <si>
    <t>Pleoticus robustus</t>
  </si>
  <si>
    <t>Yellow snapper</t>
  </si>
  <si>
    <t>Indian mackerels nei</t>
  </si>
  <si>
    <t>Bearded brotula</t>
  </si>
  <si>
    <t>Madeiran sardinella</t>
  </si>
  <si>
    <t>Pleuronectiformes</t>
  </si>
  <si>
    <t>Pleuronichthys decurrens</t>
  </si>
  <si>
    <t>Psetta maxima</t>
  </si>
  <si>
    <t>Feed Name</t>
  </si>
  <si>
    <t>Market Feed</t>
  </si>
  <si>
    <t>Cropped Grass Feed</t>
  </si>
  <si>
    <t>Lemon sole</t>
  </si>
  <si>
    <t>Ling</t>
  </si>
  <si>
    <t>Picked dogfish</t>
  </si>
  <si>
    <t>Pollack</t>
  </si>
  <si>
    <t>Pouting(=Bib)</t>
  </si>
  <si>
    <t>Raja rays nei</t>
  </si>
  <si>
    <t>Red gurnard</t>
  </si>
  <si>
    <t>Cuttlefish, bobtail squids nei</t>
  </si>
  <si>
    <t>Darkblotched rockfish</t>
  </si>
  <si>
    <t>Sebastes crameri</t>
  </si>
  <si>
    <t>Dealfish</t>
  </si>
  <si>
    <t>Trachipterus arcticus</t>
  </si>
  <si>
    <t>Deep-sea red crab</t>
  </si>
  <si>
    <t>Chaceon affinis</t>
  </si>
  <si>
    <t>Dogtooth grouper</t>
  </si>
  <si>
    <t>Epinephelus caninus</t>
  </si>
  <si>
    <t>European barracuda</t>
  </si>
  <si>
    <t>Sphyraena sphyraena</t>
  </si>
  <si>
    <t>Auxis thazard, A. rochei</t>
  </si>
  <si>
    <t>Giant red shrimp</t>
  </si>
  <si>
    <t>Aristaeomorpha foliacea</t>
  </si>
  <si>
    <t>Giant stone crab</t>
  </si>
  <si>
    <t>Homalaspis plana</t>
  </si>
  <si>
    <t>Goldsinny-wrasse</t>
  </si>
  <si>
    <t>Ilisha africana</t>
  </si>
  <si>
    <t>Ilisha elongata</t>
  </si>
  <si>
    <t>Australian crayfish</t>
  </si>
  <si>
    <t>Black and Caspian Sea sprat</t>
  </si>
  <si>
    <t>Caspian shads</t>
  </si>
  <si>
    <t>Kutum</t>
  </si>
  <si>
    <t>Potatoes, fresh, not including sweet potatoes</t>
  </si>
  <si>
    <t>Beans,peas,lentils &amp; leguminous vegetab.,drie</t>
  </si>
  <si>
    <t>Tomatoes, fresh</t>
  </si>
  <si>
    <t>Clocks, clock movements and parts</t>
  </si>
  <si>
    <t>Phonographs, tape &amp; other sound recorders etc</t>
  </si>
  <si>
    <t>Comet grouper</t>
  </si>
  <si>
    <t>Common bluestripe snapper</t>
  </si>
  <si>
    <t>Common silver-biddy</t>
  </si>
  <si>
    <t>Coral hind</t>
  </si>
  <si>
    <t>Doublespotted queenfish</t>
  </si>
  <si>
    <t>Five-lined snapper</t>
  </si>
  <si>
    <t>Sillago sihama</t>
  </si>
  <si>
    <t>Sparidae</t>
  </si>
  <si>
    <t>Sparidentex hasta</t>
  </si>
  <si>
    <t>Sparisoma cretense</t>
  </si>
  <si>
    <t>Sparus aurata</t>
  </si>
  <si>
    <t>Sphoeroides maculatus</t>
  </si>
  <si>
    <t>Lycengraulis grossidens</t>
  </si>
  <si>
    <t>Chelidonichthys kumu</t>
  </si>
  <si>
    <t>Red sea squirt</t>
  </si>
  <si>
    <t>Skottsberg's gigartina</t>
  </si>
  <si>
    <t>Snake eels nei</t>
  </si>
  <si>
    <t>Seriolella caerulea</t>
  </si>
  <si>
    <t>Seriolella porosa</t>
  </si>
  <si>
    <t>Seriolella punctata</t>
  </si>
  <si>
    <t>Benthosema pterotum</t>
  </si>
  <si>
    <t>Beryx spp</t>
  </si>
  <si>
    <t>Branchiostegidae</t>
  </si>
  <si>
    <t>Brotula barbata</t>
  </si>
  <si>
    <t>Caproidae</t>
  </si>
  <si>
    <t>Milk Whole Evp</t>
  </si>
  <si>
    <t>Mixes and Doughs</t>
  </si>
  <si>
    <t>1901.20</t>
  </si>
  <si>
    <t>1703_a</t>
  </si>
  <si>
    <t>Oats Rolled</t>
  </si>
  <si>
    <t>1104.12</t>
  </si>
  <si>
    <t>Linseed</t>
  </si>
  <si>
    <t>Linseed oil</t>
  </si>
  <si>
    <t>Blacktip grouper</t>
  </si>
  <si>
    <t>Tristan da Cunha rock lobster</t>
  </si>
  <si>
    <t>White-clawed crayfish</t>
  </si>
  <si>
    <t>0802.32</t>
  </si>
  <si>
    <t>Waters,Ice Etc</t>
  </si>
  <si>
    <t>2201_a</t>
  </si>
  <si>
    <t>Waxes Vegetable</t>
  </si>
  <si>
    <t>1521.10</t>
  </si>
  <si>
    <t>Whey Cheese</t>
  </si>
  <si>
    <t>Whey Dry</t>
  </si>
  <si>
    <t>Wool Degreased</t>
  </si>
  <si>
    <t>5101.2</t>
  </si>
  <si>
    <t>Wool Shoddy</t>
  </si>
  <si>
    <t>Cereal Preparations, Nes</t>
  </si>
  <si>
    <t>Tilefishes nei</t>
  </si>
  <si>
    <t>Triangular tivela</t>
  </si>
  <si>
    <t>Weakfishes nei</t>
  </si>
  <si>
    <t>Yellowtail snapper</t>
  </si>
  <si>
    <t>Iron &amp; steel wire</t>
  </si>
  <si>
    <t>Tubes and pipes of cast iron</t>
  </si>
  <si>
    <t>Population-Estimates</t>
  </si>
  <si>
    <t>Sardines, sardinellas, brisling or sprats, fresh or chilled</t>
  </si>
  <si>
    <t>Martialia hyadesi</t>
  </si>
  <si>
    <t>Fruit Dried Nes</t>
  </si>
  <si>
    <t>0813.40_b</t>
  </si>
  <si>
    <t>Fruit Fresh Nes</t>
  </si>
  <si>
    <t>0810.90_d</t>
  </si>
  <si>
    <t>Muraenesox cinereus</t>
  </si>
  <si>
    <t>Perna viridis</t>
  </si>
  <si>
    <t>Aequipecten opercularis</t>
  </si>
  <si>
    <t>Argopecten gibbus</t>
  </si>
  <si>
    <t>Argopecten irradians</t>
  </si>
  <si>
    <t>Hides Nes Cattle</t>
  </si>
  <si>
    <t>Hides Wet Salted Cattle</t>
  </si>
  <si>
    <t>Hides Wet Salted Horses</t>
  </si>
  <si>
    <t>Hides Wet Salted Nes</t>
  </si>
  <si>
    <t>1207.10aa</t>
  </si>
  <si>
    <t>Palm oil</t>
  </si>
  <si>
    <t>Cromileptes altivelis</t>
  </si>
  <si>
    <t>Humphead wrasse</t>
  </si>
  <si>
    <t>Cheilinus undulatus</t>
  </si>
  <si>
    <t>Jobfishes nei</t>
  </si>
  <si>
    <t>Pristipomoides spp</t>
  </si>
  <si>
    <t>Leopard coralgrouper</t>
  </si>
  <si>
    <t>Plectropomus leopardus</t>
  </si>
  <si>
    <t>Pickhandle barracuda</t>
  </si>
  <si>
    <t>Blueback shad</t>
  </si>
  <si>
    <t>Parapenaeopsis atlantica</t>
  </si>
  <si>
    <t>Ictalurus punctatus</t>
  </si>
  <si>
    <t>Ictalurus spp</t>
  </si>
  <si>
    <t>Kryptopterus spp</t>
  </si>
  <si>
    <t>Lates niloticus</t>
  </si>
  <si>
    <t>Lates spp</t>
  </si>
  <si>
    <t>Lota lota</t>
  </si>
  <si>
    <t>Micropterus salmoides</t>
  </si>
  <si>
    <t>Optical glass &amp; elements thereof</t>
  </si>
  <si>
    <t>Drawn or blown glass, unworked, in rectangles</t>
  </si>
  <si>
    <t>Glass in rectangles surface ground or polishe</t>
  </si>
  <si>
    <t>Beer of Sorghum</t>
  </si>
  <si>
    <t>2206.00_f</t>
  </si>
  <si>
    <t>Brazil nuts, with shell</t>
  </si>
  <si>
    <t>0801.21</t>
  </si>
  <si>
    <t>Tetrapturus angustirostris</t>
  </si>
  <si>
    <t>Tetrapturus audax</t>
  </si>
  <si>
    <t>Cotton fabrics, woven, grey, not mercerized</t>
  </si>
  <si>
    <t>Cotton fabrics, woven, other than grey</t>
  </si>
  <si>
    <t>Silk fabrics, woven</t>
  </si>
  <si>
    <t>Daggerhead breams nei</t>
  </si>
  <si>
    <t>Dusky shark</t>
  </si>
  <si>
    <t>Mud sole</t>
  </si>
  <si>
    <t>Natal spiny lobster</t>
  </si>
  <si>
    <t>Peruvian calico scallop</t>
  </si>
  <si>
    <t>Nototheniops nybelini</t>
  </si>
  <si>
    <t>American yellow cockle</t>
  </si>
  <si>
    <t>Trachycardium muricatum</t>
  </si>
  <si>
    <t>Annular seabream</t>
  </si>
  <si>
    <t>Diplodus annularis</t>
  </si>
  <si>
    <t>Atlantic sharpnose shark</t>
  </si>
  <si>
    <t>Rhizoprionodon terraenovae</t>
  </si>
  <si>
    <t>Banded carpet shell</t>
  </si>
  <si>
    <t>Venerupis rhomboides</t>
  </si>
  <si>
    <t>Barrelfish</t>
  </si>
  <si>
    <t>Hyperoglyphe perciformis</t>
  </si>
  <si>
    <t>Bigfin reef squid</t>
  </si>
  <si>
    <t>Sepioteuthis lessoniana</t>
  </si>
  <si>
    <t>Black musselcracker</t>
  </si>
  <si>
    <t>Mechanical wood pulp</t>
  </si>
  <si>
    <t>Pulp other than wood pulp</t>
  </si>
  <si>
    <t>Scomberoides lysan</t>
  </si>
  <si>
    <t>Scomberoides spp</t>
  </si>
  <si>
    <t>Scomberoides tol</t>
  </si>
  <si>
    <t>Scombridae</t>
  </si>
  <si>
    <t>Groundnuts in shell</t>
  </si>
  <si>
    <t>Skins Nes Sheep</t>
  </si>
  <si>
    <t>Skins of Rabbits</t>
  </si>
  <si>
    <t>Skins Wet Salted Calves</t>
  </si>
  <si>
    <t>Skins Wet Salted Goats</t>
  </si>
  <si>
    <t>Skins With Wool Sheep</t>
  </si>
  <si>
    <t>4102.10</t>
  </si>
  <si>
    <t>Chemical products and preparations,nes</t>
  </si>
  <si>
    <t>Reconstituted and artificial leather</t>
  </si>
  <si>
    <t>Calf leather</t>
  </si>
  <si>
    <t>Jute &amp; waste</t>
  </si>
  <si>
    <t>Black-streaked monocle bream</t>
  </si>
  <si>
    <t>Lignite briquettes and lignite</t>
  </si>
  <si>
    <t>Peat briquettes &amp; peat</t>
  </si>
  <si>
    <t>African lungfishes</t>
  </si>
  <si>
    <t>Bonga shad</t>
  </si>
  <si>
    <t>Common mora</t>
  </si>
  <si>
    <t>Cuckoo ray</t>
  </si>
  <si>
    <t>Delta prawn</t>
  </si>
  <si>
    <t>Dusky grouper</t>
  </si>
  <si>
    <t>Haliotis tuberculata</t>
  </si>
  <si>
    <t>Littorina littorea</t>
  </si>
  <si>
    <t>Littorina spp</t>
  </si>
  <si>
    <t>Murex spp</t>
  </si>
  <si>
    <t>Rapana spp</t>
  </si>
  <si>
    <t>Strombus spp</t>
  </si>
  <si>
    <t>Maize (corn),unmilled</t>
  </si>
  <si>
    <t>Rye,unmilled</t>
  </si>
  <si>
    <t>Scomber spp</t>
  </si>
  <si>
    <t>Trochus niloticus</t>
  </si>
  <si>
    <t>Common European bittersweet</t>
  </si>
  <si>
    <t>Glycymeris glycymeris</t>
  </si>
  <si>
    <t>Common two-banded seabream</t>
  </si>
  <si>
    <t>Chemical wood pulp, dissolving grades</t>
  </si>
  <si>
    <t>Sulphate wood pulp</t>
  </si>
  <si>
    <t>Sulphite wood pulp</t>
  </si>
  <si>
    <t>Chelidonichthys lastoviza</t>
  </si>
  <si>
    <t>Chelidonichthys lucerna</t>
  </si>
  <si>
    <t>Chionodraco hamatus</t>
  </si>
  <si>
    <t>Chionodraco rastrospinosus</t>
  </si>
  <si>
    <t>Conger conger</t>
  </si>
  <si>
    <t>Conger myriaster</t>
  </si>
  <si>
    <t>Conger oceanicus</t>
  </si>
  <si>
    <t>Conger orbignyanus</t>
  </si>
  <si>
    <t>Congridae</t>
  </si>
  <si>
    <t>Devil fish</t>
  </si>
  <si>
    <t>Cotton yarn &amp; thread, bleached, dyed, mercerd</t>
  </si>
  <si>
    <t>Yarn and thread of flax, ramie and true hemp</t>
  </si>
  <si>
    <t>Ghee,Butteroil of Cow Milk</t>
  </si>
  <si>
    <t>Glucose and Dextrose</t>
  </si>
  <si>
    <t>1702.30_a</t>
  </si>
  <si>
    <t>Gluten Feed&amp;Meal</t>
  </si>
  <si>
    <t>2303.10</t>
  </si>
  <si>
    <t>Goats</t>
  </si>
  <si>
    <t>0104.20</t>
  </si>
  <si>
    <t>Grape Juice</t>
  </si>
  <si>
    <t>GLC</t>
  </si>
  <si>
    <t>Grasses nes for forage and silage</t>
  </si>
  <si>
    <t>1214.90_s</t>
  </si>
  <si>
    <t>Vermouths&amp;Similar</t>
  </si>
  <si>
    <t>P</t>
  </si>
  <si>
    <t>Sugar Cane</t>
  </si>
  <si>
    <t>Argentina silus</t>
  </si>
  <si>
    <t>Elongate ilisha</t>
  </si>
  <si>
    <t>Japanese anchovy</t>
  </si>
  <si>
    <t>Thynnichthys vaillanti</t>
  </si>
  <si>
    <t>Atractosteus spp</t>
  </si>
  <si>
    <t>Chirostoma spp</t>
  </si>
  <si>
    <t>Dorosoma spp</t>
  </si>
  <si>
    <t>Asian bonytongue</t>
  </si>
  <si>
    <t>Scleropages formosus</t>
  </si>
  <si>
    <t>Beardless barb</t>
  </si>
  <si>
    <t>Cyclocheilichthys apogon</t>
  </si>
  <si>
    <t>Bichique</t>
  </si>
  <si>
    <t>Chinese longsnout catfish</t>
  </si>
  <si>
    <t>Chinese mystery snail</t>
  </si>
  <si>
    <t>Cichlasoma nei</t>
  </si>
  <si>
    <t>Clearhead icefish</t>
  </si>
  <si>
    <t>Constricted tagelus</t>
  </si>
  <si>
    <t>Cortez oyster</t>
  </si>
  <si>
    <t>Crimson seabream</t>
  </si>
  <si>
    <t>Other FIsh</t>
  </si>
  <si>
    <t>Crocus giant clam</t>
  </si>
  <si>
    <t>Danube crayfish</t>
  </si>
  <si>
    <t>Dorada</t>
  </si>
  <si>
    <t>Drums nei</t>
  </si>
  <si>
    <t>Duckbill catfish</t>
  </si>
  <si>
    <t>Eastern king prawn</t>
  </si>
  <si>
    <t>Eastern pomfred</t>
  </si>
  <si>
    <t>Eastern school shrimp</t>
  </si>
  <si>
    <t>Elkhorn sea moss</t>
  </si>
  <si>
    <t>Elongate giant clam</t>
  </si>
  <si>
    <t>Flat and cupped oysters nei</t>
  </si>
  <si>
    <t>Flat oysters nei</t>
  </si>
  <si>
    <t>Fluted giant clam</t>
  </si>
  <si>
    <t>Fragile codium</t>
  </si>
  <si>
    <t>Gasar cupped oyster</t>
  </si>
  <si>
    <t>Giant clam</t>
  </si>
  <si>
    <t>Globose clam</t>
  </si>
  <si>
    <t>Lutjanus cyanopterus</t>
  </si>
  <si>
    <t>[GWh]</t>
  </si>
  <si>
    <r>
      <t>[Mt GWh</t>
    </r>
    <r>
      <rPr>
        <vertAlign val="superscript"/>
        <sz val="10"/>
        <color indexed="22"/>
        <rFont val="Arial"/>
        <family val="2"/>
      </rPr>
      <t>-1</t>
    </r>
    <r>
      <rPr>
        <sz val="10"/>
        <color indexed="22"/>
        <rFont val="Arial"/>
        <family val="2"/>
      </rPr>
      <t>]</t>
    </r>
  </si>
  <si>
    <t>Footprint</t>
  </si>
  <si>
    <t>Emissions</t>
  </si>
  <si>
    <t>Energy</t>
  </si>
  <si>
    <t>CO2 Energy Intensity</t>
  </si>
  <si>
    <t>Carbon Intensity</t>
  </si>
  <si>
    <t>Total Emissions</t>
  </si>
  <si>
    <t>[GJ]</t>
  </si>
  <si>
    <t>[Mt CO2 / GJ]</t>
  </si>
  <si>
    <t>carbon_intensity_n</t>
  </si>
  <si>
    <t xml:space="preserve"> </t>
  </si>
  <si>
    <t>Pig iron, including cast iron</t>
  </si>
  <si>
    <t>Iron and steel powders,shot and sponge</t>
  </si>
  <si>
    <t>Ferro manganese</t>
  </si>
  <si>
    <t>Other ferro alloys</t>
  </si>
  <si>
    <t>Puddled bars &amp; pilings &amp; sim.forms of iron/st</t>
  </si>
  <si>
    <t>Ingots of iron or steel</t>
  </si>
  <si>
    <t>Blooms, billets, slabs, etc. Of iron or steel</t>
  </si>
  <si>
    <t>Iron or steel coils for re rolling</t>
  </si>
  <si>
    <t>Shortspine African angler</t>
  </si>
  <si>
    <t>Ark clams nei</t>
  </si>
  <si>
    <t>0207.1_a</t>
  </si>
  <si>
    <t>Oil seed cake &amp; meal &amp; other veg. Oil residue</t>
  </si>
  <si>
    <t>0713.90ae</t>
  </si>
  <si>
    <t>Pumpkins, squash and gourds</t>
  </si>
  <si>
    <t>0709.90_b</t>
  </si>
  <si>
    <t>Quinces</t>
  </si>
  <si>
    <t>Red mullet</t>
  </si>
  <si>
    <t>Rocklings nei</t>
  </si>
  <si>
    <t>Ruffs, barrelfishes nei</t>
  </si>
  <si>
    <t>Sablefish</t>
  </si>
  <si>
    <t>Macrochirichthys macrochirus</t>
  </si>
  <si>
    <t>Ammoniacal gas liquors produced in gas purifi</t>
  </si>
  <si>
    <t>Oils &amp; other prod.of the  distillation/coal t</t>
  </si>
  <si>
    <t>Synthetic organic dyestuffs</t>
  </si>
  <si>
    <t>Arapaima</t>
  </si>
  <si>
    <t>Velvety cichlids</t>
  </si>
  <si>
    <t>Cotton seed oil</t>
  </si>
  <si>
    <t>Groundnut /peanut/ oil</t>
  </si>
  <si>
    <t>Olive oil</t>
  </si>
  <si>
    <t>Sunflower seed oil</t>
  </si>
  <si>
    <t>Rape,colza and mustard oils</t>
  </si>
  <si>
    <t>Coconut copra oil</t>
  </si>
  <si>
    <t>Castor oil</t>
  </si>
  <si>
    <t>Residue Feed Ratio</t>
  </si>
  <si>
    <t>Apparatus for electrical circuits</t>
  </si>
  <si>
    <t>Insulated wire and cable</t>
  </si>
  <si>
    <t>Electrical insulating equipment</t>
  </si>
  <si>
    <t>Japanese pilchard</t>
  </si>
  <si>
    <t>Mi-iuy (brown) croaker</t>
  </si>
  <si>
    <t>Oreo dories nei</t>
  </si>
  <si>
    <t>Pacific sandlance</t>
  </si>
  <si>
    <t>Pelagic armourhead</t>
  </si>
  <si>
    <t>Leather of other bovine cattle &amp; equine leath</t>
  </si>
  <si>
    <t>Metapenaeus joyneri</t>
  </si>
  <si>
    <t>HS Code</t>
  </si>
  <si>
    <t>2306.40</t>
  </si>
  <si>
    <t>5202.00</t>
  </si>
  <si>
    <t>4001.20</t>
  </si>
  <si>
    <t>Building and monumental stone,worked</t>
  </si>
  <si>
    <t>Mycteroperca phenax</t>
  </si>
  <si>
    <t>Muraenidae</t>
  </si>
  <si>
    <t>Mycteroperca bonaci</t>
  </si>
  <si>
    <t>Mycteroperca microlepis</t>
  </si>
  <si>
    <t>0810.90ac</t>
  </si>
  <si>
    <t>Strawberries</t>
  </si>
  <si>
    <t>0810.10</t>
  </si>
  <si>
    <t>String beans</t>
  </si>
  <si>
    <t>Ameiurus nebulosus</t>
  </si>
  <si>
    <t>Anabas testudineus</t>
  </si>
  <si>
    <t>Serranidae</t>
  </si>
  <si>
    <t>0709.70</t>
  </si>
  <si>
    <t>Florida pompano</t>
  </si>
  <si>
    <t>Mangrove red snapper</t>
  </si>
  <si>
    <t>Sobaity seabream</t>
  </si>
  <si>
    <t>Morone saxatilis</t>
  </si>
  <si>
    <t>Petromyzon marinus</t>
  </si>
  <si>
    <t>Petromyzontidae</t>
  </si>
  <si>
    <t>0106.90_f</t>
  </si>
  <si>
    <t>0101_b</t>
  </si>
  <si>
    <t>0210.1_a</t>
  </si>
  <si>
    <t>0405.10_a</t>
  </si>
  <si>
    <t>1502.00ab</t>
  </si>
  <si>
    <t>0406_d</t>
  </si>
  <si>
    <t>0406_c</t>
  </si>
  <si>
    <t>0714.90_ba</t>
  </si>
  <si>
    <t>Poppy Oil</t>
  </si>
  <si>
    <t>1515.90_c</t>
  </si>
  <si>
    <t>[-]</t>
  </si>
  <si>
    <t>Boreogadus saida</t>
  </si>
  <si>
    <t>Other Conc, Nes</t>
  </si>
  <si>
    <t>2309.90_h</t>
  </si>
  <si>
    <t>Other Fructose and Syrup</t>
  </si>
  <si>
    <t>Protrachypene precipua</t>
  </si>
  <si>
    <t>Transparent goby</t>
  </si>
  <si>
    <t>Aphia minuta</t>
  </si>
  <si>
    <t>Tsivakihini paste shrimp</t>
  </si>
  <si>
    <t>Acetes erythraeus</t>
  </si>
  <si>
    <t>Vadigo</t>
  </si>
  <si>
    <t>Campogramma glaycos</t>
  </si>
  <si>
    <t>Velvet swimcrab</t>
  </si>
  <si>
    <t>Necora puber</t>
  </si>
  <si>
    <t>Squilla mantis</t>
  </si>
  <si>
    <t>Squillidae</t>
  </si>
  <si>
    <t>Stomatopoda</t>
  </si>
  <si>
    <t>Domestic stoves, boilers, cookers, etc. Nes</t>
  </si>
  <si>
    <t>5303aa</t>
  </si>
  <si>
    <t>Kiwi fruit</t>
  </si>
  <si>
    <t>0810.50</t>
  </si>
  <si>
    <t>Kolanuts</t>
  </si>
  <si>
    <t>0802.90aa</t>
  </si>
  <si>
    <t>0703.90</t>
  </si>
  <si>
    <t>Lemons and limes</t>
  </si>
  <si>
    <t>Lentils</t>
  </si>
  <si>
    <t>0713.40</t>
  </si>
  <si>
    <t>Lettuce and chicory</t>
  </si>
  <si>
    <t>Zoarces viviparus</t>
  </si>
  <si>
    <t>Sphyraena obtusata</t>
  </si>
  <si>
    <t>Sphyraena spp</t>
  </si>
  <si>
    <t>Stromateidae</t>
  </si>
  <si>
    <t>Stromateus fiatola</t>
  </si>
  <si>
    <t>Trachinotus blochii</t>
  </si>
  <si>
    <t>Citrus juice, single strength</t>
  </si>
  <si>
    <t>Cranberries</t>
  </si>
  <si>
    <t>Flour of Cereals</t>
  </si>
  <si>
    <t>Flour of Pulses</t>
  </si>
  <si>
    <t>1106.10</t>
  </si>
  <si>
    <t>Flour of Roots and Tubers</t>
  </si>
  <si>
    <t>1106.20_a</t>
  </si>
  <si>
    <t>Suckerfishes, remoras nei</t>
  </si>
  <si>
    <t>Roughsnout grenadier</t>
  </si>
  <si>
    <t>Pacific sleeper shark</t>
  </si>
  <si>
    <t>Parore</t>
  </si>
  <si>
    <t>Wool;Hair Waste</t>
  </si>
  <si>
    <t>Yoghurt</t>
  </si>
  <si>
    <t>Above-ground NPP %</t>
  </si>
  <si>
    <t>Edible % of above-ground NPP</t>
  </si>
  <si>
    <t>Intensity</t>
  </si>
  <si>
    <t>soymeal</t>
  </si>
  <si>
    <t>rapemeal</t>
  </si>
  <si>
    <t>sunmeal</t>
  </si>
  <si>
    <t>Equivalence Factor</t>
  </si>
  <si>
    <t>Other Sources</t>
  </si>
  <si>
    <t>Macrourus whitsoni</t>
  </si>
  <si>
    <t>Macruronus magellanicus</t>
  </si>
  <si>
    <t>Macruronus novaezelandiae</t>
  </si>
  <si>
    <t>Melanogrammus aeglefinus</t>
  </si>
  <si>
    <t>Coffee,green or roasted</t>
  </si>
  <si>
    <t>Chilean sea urchin</t>
  </si>
  <si>
    <t>Agricultural machinery and appliances, nes</t>
  </si>
  <si>
    <t>Typewriters and cheque writing machines</t>
  </si>
  <si>
    <t>Calculating &amp; accounting machines etc</t>
  </si>
  <si>
    <t>Statistical machines cards or tapes</t>
  </si>
  <si>
    <t>Office machines, nes</t>
  </si>
  <si>
    <t>Seriolina nigrofasciata</t>
  </si>
  <si>
    <t>Channa striata</t>
  </si>
  <si>
    <t>Characidae</t>
  </si>
  <si>
    <t>electricity_trade</t>
  </si>
  <si>
    <t>Bambara beans</t>
  </si>
  <si>
    <t>0713.90ad</t>
  </si>
  <si>
    <t>Bananas</t>
  </si>
  <si>
    <t>Barley</t>
  </si>
  <si>
    <t>Crevalle jack</t>
  </si>
  <si>
    <t>Mojarras(=Silver-biddies) nei</t>
  </si>
  <si>
    <t>Oil Hydrogenated</t>
  </si>
  <si>
    <t>Oil of vegetable origin, nes</t>
  </si>
  <si>
    <t>Oils,Fats of Animal Nes</t>
  </si>
  <si>
    <t>Oilseeds, Nes</t>
  </si>
  <si>
    <t>Olive Residues</t>
  </si>
  <si>
    <t>Machine tools for working metals</t>
  </si>
  <si>
    <t>Other metalworking machinery</t>
  </si>
  <si>
    <t>Textile machinery</t>
  </si>
  <si>
    <t>Machinery ex.sewing mach. For working hides e</t>
  </si>
  <si>
    <t>Sewing machines</t>
  </si>
  <si>
    <t>Paper mill and pulp mill machinery, etc.</t>
  </si>
  <si>
    <t>Glossanodon semifasciatus</t>
  </si>
  <si>
    <t>Helicolenus dactylopterus</t>
  </si>
  <si>
    <t>Hoplostethus atlanticus</t>
  </si>
  <si>
    <t>Hyperoglyphe antarctica</t>
  </si>
  <si>
    <t>Hyperoglyphe bythites</t>
  </si>
  <si>
    <t>Kathetostoma giganteum</t>
  </si>
  <si>
    <t>Lampanyctodes hectoris</t>
  </si>
  <si>
    <t>WRI</t>
  </si>
  <si>
    <t>Continental shelf area</t>
  </si>
  <si>
    <t>Fish, salted, dried or smoked</t>
  </si>
  <si>
    <t>Piaractus brachypomus</t>
  </si>
  <si>
    <t>Prochilodus reticulatus</t>
  </si>
  <si>
    <t>Prochilodus spp</t>
  </si>
  <si>
    <t>Protopterus spp</t>
  </si>
  <si>
    <t>Other office and stationery supplies</t>
  </si>
  <si>
    <t>Brama brama</t>
  </si>
  <si>
    <t>Bramidae</t>
  </si>
  <si>
    <t>Carangidae</t>
  </si>
  <si>
    <t>Carangoides bajad</t>
  </si>
  <si>
    <t>Carangoides fulvoguttatus</t>
  </si>
  <si>
    <t>Aethaloperca rogaa</t>
  </si>
  <si>
    <t>Agonostomus monticola</t>
  </si>
  <si>
    <t>Albula vulpes</t>
  </si>
  <si>
    <t>Ambassidae</t>
  </si>
  <si>
    <t>Ammodytes personatus</t>
  </si>
  <si>
    <t>Ammodytes spp</t>
  </si>
  <si>
    <t>Aphareus rutilans</t>
  </si>
  <si>
    <t>Apogonidae</t>
  </si>
  <si>
    <t>Reconsti.Ted Milk</t>
  </si>
  <si>
    <t>Rice Milled</t>
  </si>
  <si>
    <t>Roots and Tubers Dried</t>
  </si>
  <si>
    <t>Roots and Tubers, nes</t>
  </si>
  <si>
    <t>Sheepskins</t>
  </si>
  <si>
    <t>Sisal</t>
  </si>
  <si>
    <t>Soya Curd</t>
  </si>
  <si>
    <t>Soya Paste</t>
  </si>
  <si>
    <t>Spices, nes</t>
  </si>
  <si>
    <t>Stone fruit, nes</t>
  </si>
  <si>
    <t>Sugar crops, nes</t>
  </si>
  <si>
    <t>Sugar Raw Centrifugal</t>
  </si>
  <si>
    <t>Sugar Refined</t>
  </si>
  <si>
    <t>Blue tilapia</t>
  </si>
  <si>
    <t>Fish in Livestock</t>
  </si>
  <si>
    <t>0207.3ab</t>
  </si>
  <si>
    <t>0207.3bb</t>
  </si>
  <si>
    <t>0206aa</t>
  </si>
  <si>
    <t>0206_e</t>
  </si>
  <si>
    <t>0206_c</t>
  </si>
  <si>
    <t>0206_d</t>
  </si>
  <si>
    <t>0209.00ab</t>
  </si>
  <si>
    <t>0106.90_b</t>
  </si>
  <si>
    <t>0203_b</t>
  </si>
  <si>
    <t>1602.4_a</t>
  </si>
  <si>
    <t>0406ad</t>
  </si>
  <si>
    <t>1522.00_b</t>
  </si>
  <si>
    <t>1601.00_b</t>
  </si>
  <si>
    <t>1601.00_a</t>
  </si>
  <si>
    <t>4103.90_b</t>
  </si>
  <si>
    <t>4102.2_c</t>
  </si>
  <si>
    <t>4101_e</t>
  </si>
  <si>
    <t>4103.10_a</t>
  </si>
  <si>
    <t>4101_f</t>
  </si>
  <si>
    <t>Sky emperor</t>
  </si>
  <si>
    <t>Slender silver-biddy</t>
  </si>
  <si>
    <t>Snubnose emperor</t>
  </si>
  <si>
    <t>Sohal surgeonfish</t>
  </si>
  <si>
    <t>Gnathanodon speciosus</t>
  </si>
  <si>
    <t>Hemiramphus brasiliensis</t>
  </si>
  <si>
    <t>Phyllophora nei</t>
  </si>
  <si>
    <t>Rudderfish</t>
  </si>
  <si>
    <t>Sandpaper fish</t>
  </si>
  <si>
    <t>Smooth oreo dory</t>
  </si>
  <si>
    <t>Spiky oreo</t>
  </si>
  <si>
    <t>Striped rockcod</t>
  </si>
  <si>
    <t>Striped-eyed rockcod</t>
  </si>
  <si>
    <t>Centroscyllium fabricii</t>
  </si>
  <si>
    <t>Centroscymnus coelolepis</t>
  </si>
  <si>
    <t>Centroscymnus crepidater</t>
  </si>
  <si>
    <t>Cetorhinus maximus</t>
  </si>
  <si>
    <t>Chimaera monstrosa</t>
  </si>
  <si>
    <t>0910.9aa</t>
  </si>
  <si>
    <t>Deep-sea smelt</t>
  </si>
  <si>
    <t>Cupped oysters nei</t>
  </si>
  <si>
    <t>Short-finned eel</t>
  </si>
  <si>
    <t>Sea cucumbers nei</t>
  </si>
  <si>
    <t>Stony sea urchin</t>
  </si>
  <si>
    <t>Green tiger prawn</t>
  </si>
  <si>
    <t>Paralabrax humeralis</t>
  </si>
  <si>
    <t>Dogtooth grenadier</t>
  </si>
  <si>
    <t>Cynomacrurus piriei</t>
  </si>
  <si>
    <t>Endeavour shrimp</t>
  </si>
  <si>
    <t>[gha]</t>
  </si>
  <si>
    <t>Ships,boats and other vessels for breaking up</t>
  </si>
  <si>
    <t>Special purpose ships and boats</t>
  </si>
  <si>
    <t>Central heating apparatus and parts</t>
  </si>
  <si>
    <t>Carcharhinus sorrah</t>
  </si>
  <si>
    <t>Carcharias taurus</t>
  </si>
  <si>
    <t>Carcharodon carcharias</t>
  </si>
  <si>
    <t>Centrophorus granulosus</t>
  </si>
  <si>
    <t>Centrophorus squamosus</t>
  </si>
  <si>
    <t>Taro (cocoyam)</t>
  </si>
  <si>
    <t>Slipper cupped oyster</t>
  </si>
  <si>
    <t>Brill</t>
  </si>
  <si>
    <t>Common cuttlefish</t>
  </si>
  <si>
    <t>Pullet carpet shell</t>
  </si>
  <si>
    <t>Razor clams nei</t>
  </si>
  <si>
    <t>Sargo breams nei</t>
  </si>
  <si>
    <t>Green turtle</t>
  </si>
  <si>
    <t>Brown-marbled grouper</t>
  </si>
  <si>
    <t>Measuring,controlling &amp; scientific instrument</t>
  </si>
  <si>
    <t>Chemical prods for photography, for retail sa</t>
  </si>
  <si>
    <t>Photo. Film etc &amp; develpd film other than cin</t>
  </si>
  <si>
    <t>Cinematographic film,developed</t>
  </si>
  <si>
    <t>Tubes and pipes of iron or steel, seamless</t>
  </si>
  <si>
    <t>Tubes and pipes of iron or steel, welded, etc</t>
  </si>
  <si>
    <t>High pressure hydro electric conduits, steel</t>
  </si>
  <si>
    <t>Three spot gourami</t>
  </si>
  <si>
    <t>Trichogaster trichopterus</t>
  </si>
  <si>
    <t>Tinfoil barb</t>
  </si>
  <si>
    <t>Barbonymus schwanenfeldii</t>
  </si>
  <si>
    <t>Hampala macrolepidota</t>
  </si>
  <si>
    <t>Moridae</t>
  </si>
  <si>
    <t>Muraenolepis microps</t>
  </si>
  <si>
    <t>Muraenolepis spp</t>
  </si>
  <si>
    <t>Nezumia aequalis</t>
  </si>
  <si>
    <t>1212.10</t>
  </si>
  <si>
    <t>Carrots and turnips</t>
  </si>
  <si>
    <t>[Mt CO2]</t>
  </si>
  <si>
    <t>Carcharhinus limbatus</t>
  </si>
  <si>
    <t>Carcharhinus longimanus</t>
  </si>
  <si>
    <t>Carcharhinus obscurus</t>
  </si>
  <si>
    <t>Carcharhinus plumbeus</t>
  </si>
  <si>
    <t>Plants used in dyeing &amp; tanning</t>
  </si>
  <si>
    <t>Natural gums,resins,balsam and lacs</t>
  </si>
  <si>
    <t>Vegetable materials used for plaiting</t>
  </si>
  <si>
    <t>Crangon crangon</t>
  </si>
  <si>
    <t>Crangonidae</t>
  </si>
  <si>
    <t>Haliporoides diomedeae</t>
  </si>
  <si>
    <t>Oats,unmilled</t>
  </si>
  <si>
    <t>Cereals,unmilled,nes</t>
  </si>
  <si>
    <t>Raw sugar,beet &amp; cane</t>
  </si>
  <si>
    <t>Refined sugar &amp; other prod.of refining,no syr</t>
  </si>
  <si>
    <t>Molasses</t>
  </si>
  <si>
    <t>Natural honey</t>
  </si>
  <si>
    <t>Anise, badian, fennel, corian.</t>
  </si>
  <si>
    <t>Apples</t>
  </si>
  <si>
    <t>Paper waste and old paper</t>
  </si>
  <si>
    <t>Hector's lanternfish</t>
  </si>
  <si>
    <t>Loggerhead turtle</t>
  </si>
  <si>
    <t>Food preparations,n.e.s.</t>
  </si>
  <si>
    <t>Non alcoholic beverages,n.e.s.</t>
  </si>
  <si>
    <t>Wine of fresh grapes including grape must</t>
  </si>
  <si>
    <t>Cider &amp; fermented beverages,nes</t>
  </si>
  <si>
    <t>Coated or impregnated textile fabrics &amp; prod.</t>
  </si>
  <si>
    <t>1008.90af</t>
  </si>
  <si>
    <t>Mushrooms and truffles</t>
  </si>
  <si>
    <t>Mustard oil</t>
  </si>
  <si>
    <t>1514_b</t>
  </si>
  <si>
    <t>Mustard seed</t>
  </si>
  <si>
    <t>1207.50</t>
  </si>
  <si>
    <t>Natural rubber</t>
  </si>
  <si>
    <t>Nutmeg, mace and cardamoms</t>
  </si>
  <si>
    <t>0802.90ac</t>
  </si>
  <si>
    <t>Oats</t>
  </si>
  <si>
    <t>Oil palm fruit</t>
  </si>
  <si>
    <t>1207.10ab</t>
  </si>
  <si>
    <t>Okra</t>
  </si>
  <si>
    <t>0709.90cb</t>
  </si>
  <si>
    <t>Pagellus bellottii</t>
  </si>
  <si>
    <t>Pagellus bogaraveo</t>
  </si>
  <si>
    <t>Pagellus erythrinus</t>
  </si>
  <si>
    <t>Fruit Prp Nes</t>
  </si>
  <si>
    <t>Fruit, tropical fresh nes</t>
  </si>
  <si>
    <t>Grapefruit juice, concentrated</t>
  </si>
  <si>
    <t>Isoglucose</t>
  </si>
  <si>
    <t>Jute</t>
  </si>
  <si>
    <t>Leguminous vegetables, nes</t>
  </si>
  <si>
    <t>Lemon juice, concentrated</t>
  </si>
  <si>
    <t>Currants</t>
  </si>
  <si>
    <t>0810.30_a</t>
  </si>
  <si>
    <t>Dates</t>
  </si>
  <si>
    <t>0804.10</t>
  </si>
  <si>
    <t>Eggplants (aubergines)</t>
  </si>
  <si>
    <t>0709.30</t>
  </si>
  <si>
    <t>Figs</t>
  </si>
  <si>
    <t>1214.90_n</t>
  </si>
  <si>
    <t>0706.10_a</t>
  </si>
  <si>
    <t>Metapenaeus shrimps nei</t>
  </si>
  <si>
    <t>Sandeels(=Sandlances) nei</t>
  </si>
  <si>
    <t>Machine leather belting &amp; other articles/leat</t>
  </si>
  <si>
    <t>Saddlery and other harness makers goods</t>
  </si>
  <si>
    <t>Uppers,legs &amp; other prepared parts of footwea</t>
  </si>
  <si>
    <t>Black stone crab</t>
  </si>
  <si>
    <t>Nassau grouper</t>
  </si>
  <si>
    <t>Batfishes</t>
  </si>
  <si>
    <t>West African goatfish</t>
  </si>
  <si>
    <t>West African Spanish mackerel</t>
  </si>
  <si>
    <t>West coast sole</t>
  </si>
  <si>
    <t>Caribbean spiny lobster</t>
  </si>
  <si>
    <t>Angelfishes nei</t>
  </si>
  <si>
    <t>Boxfishes nei</t>
  </si>
  <si>
    <t>Baby and invalid carriages not motorized</t>
  </si>
  <si>
    <t>Childrens toys, indoor games, etc.</t>
  </si>
  <si>
    <t>Non military arms</t>
  </si>
  <si>
    <t>Other sporting goods</t>
  </si>
  <si>
    <t>Fair ground amusements, etc.</t>
  </si>
  <si>
    <t>Paracentrotus lividus</t>
  </si>
  <si>
    <t>Stichopus japonicus</t>
  </si>
  <si>
    <t>Strongylocentrotus spp</t>
  </si>
  <si>
    <t>Invertebrata</t>
  </si>
  <si>
    <t>Feed Minerals</t>
  </si>
  <si>
    <t>2309.90_k</t>
  </si>
  <si>
    <t>0804.20_a</t>
  </si>
  <si>
    <t>Flour of Sorghum</t>
  </si>
  <si>
    <t>1102.90_c</t>
  </si>
  <si>
    <t>Amblygaster sirm</t>
  </si>
  <si>
    <t>Striped bonito</t>
  </si>
  <si>
    <t>Humpback grouper</t>
  </si>
  <si>
    <t>Prods of condensation, polycond. &amp; polyadditi</t>
  </si>
  <si>
    <t>Products of polymerization and copolymerizati</t>
  </si>
  <si>
    <t>Regen.cellulose and vulcanized fibre</t>
  </si>
  <si>
    <t>Ostrea lutaria</t>
  </si>
  <si>
    <t>Aulacomya ater</t>
  </si>
  <si>
    <t>Choromytilus chorus</t>
  </si>
  <si>
    <t>Steam generating boilers</t>
  </si>
  <si>
    <t>Raw cotton, other than linters</t>
  </si>
  <si>
    <t>Barracudas nei</t>
  </si>
  <si>
    <t>Carangoides malabaricus</t>
  </si>
  <si>
    <t>Caranx crysos</t>
  </si>
  <si>
    <t>Caranx hippos</t>
  </si>
  <si>
    <t>Caranx ignobilis</t>
  </si>
  <si>
    <t>Caranx melampygus</t>
  </si>
  <si>
    <t>Caranx rhonchus</t>
  </si>
  <si>
    <t>Caranx ruber</t>
  </si>
  <si>
    <t>Caranx sexfasciatus</t>
  </si>
  <si>
    <t>Konosirus punctatus</t>
  </si>
  <si>
    <t>Royal red shrimp</t>
  </si>
  <si>
    <t>Blonde ray</t>
  </si>
  <si>
    <t>Boarfishes nei</t>
  </si>
  <si>
    <t>Houting</t>
  </si>
  <si>
    <t>Ruffe</t>
  </si>
  <si>
    <t>Mountain mullet</t>
  </si>
  <si>
    <t>Lizardfishes nei</t>
  </si>
  <si>
    <t>Saddled seabream</t>
  </si>
  <si>
    <t>River lamprey</t>
  </si>
  <si>
    <t>Vendace</t>
  </si>
  <si>
    <t>Big-scale sand smelt</t>
  </si>
  <si>
    <t>Epinephelus flavolimbatus</t>
  </si>
  <si>
    <t>Anchovies, salted or in brine</t>
  </si>
  <si>
    <t>Dentex dentex</t>
  </si>
  <si>
    <t>Anchovies, etc. nei</t>
  </si>
  <si>
    <t>Building materials,unfired, nes</t>
  </si>
  <si>
    <t>Refractory bricks &amp; other ref.construction ma</t>
  </si>
  <si>
    <t>Coconuts</t>
  </si>
  <si>
    <t>Coffee, green</t>
  </si>
  <si>
    <t>Copra</t>
  </si>
  <si>
    <t>1203.00</t>
  </si>
  <si>
    <t>Cotton lint</t>
  </si>
  <si>
    <t>Cottonseed</t>
  </si>
  <si>
    <t>Grazing Land</t>
  </si>
  <si>
    <t>Giant guitarfish</t>
  </si>
  <si>
    <t>Giant trevally</t>
  </si>
  <si>
    <t>Gulf parrotfish</t>
  </si>
  <si>
    <t>Indian pompano</t>
  </si>
  <si>
    <t>Lamp oil and white spirit</t>
  </si>
  <si>
    <t>Must of Grapes</t>
  </si>
  <si>
    <t>Nuts, nes</t>
  </si>
  <si>
    <t>Offals Nes</t>
  </si>
  <si>
    <t>Offals of Horses</t>
  </si>
  <si>
    <t>Barbonymus gonionotus</t>
  </si>
  <si>
    <t>Japanese eel</t>
  </si>
  <si>
    <t>White hake</t>
  </si>
  <si>
    <t>Winter flounder</t>
  </si>
  <si>
    <t>Witch flounder</t>
  </si>
  <si>
    <t>Road tractors for tractor trailer combination</t>
  </si>
  <si>
    <t>Other chassis with engines mounted</t>
  </si>
  <si>
    <t>Chassis with engs. Mntd. For vehicles of 732.</t>
  </si>
  <si>
    <t>Bodies &amp; parts motor vehicles ex motorcycles</t>
  </si>
  <si>
    <t>Motorcycles, motorized cycles and their parts</t>
  </si>
  <si>
    <t>Grass-eaters nei</t>
  </si>
  <si>
    <t>Kafue pike</t>
  </si>
  <si>
    <t>Naked catfishes</t>
  </si>
  <si>
    <t>Nile perch</t>
  </si>
  <si>
    <t>Upsidedown catfishes</t>
  </si>
  <si>
    <t>Acipenser stellatus</t>
  </si>
  <si>
    <r>
      <t>[t CO</t>
    </r>
    <r>
      <rPr>
        <vertAlign val="subscript"/>
        <sz val="10"/>
        <color indexed="22"/>
        <rFont val="Arial"/>
        <family val="2"/>
      </rPr>
      <t>2</t>
    </r>
    <r>
      <rPr>
        <sz val="10"/>
        <color indexed="22"/>
        <rFont val="Arial"/>
        <family val="2"/>
      </rPr>
      <t xml:space="preserve"> wha</t>
    </r>
    <r>
      <rPr>
        <vertAlign val="subscript"/>
        <sz val="10"/>
        <color indexed="22"/>
        <rFont val="Arial"/>
        <family val="2"/>
      </rPr>
      <t>f</t>
    </r>
    <r>
      <rPr>
        <vertAlign val="superscript"/>
        <sz val="10"/>
        <color indexed="22"/>
        <rFont val="Arial"/>
        <family val="2"/>
      </rPr>
      <t>-1</t>
    </r>
    <r>
      <rPr>
        <sz val="10"/>
        <color indexed="22"/>
        <rFont val="Arial"/>
        <family val="2"/>
      </rPr>
      <t xml:space="preserve"> yr</t>
    </r>
    <r>
      <rPr>
        <vertAlign val="superscript"/>
        <sz val="10"/>
        <color indexed="22"/>
        <rFont val="Arial"/>
        <family val="2"/>
      </rPr>
      <t>-1</t>
    </r>
    <r>
      <rPr>
        <sz val="10"/>
        <color indexed="22"/>
        <rFont val="Arial"/>
        <family val="2"/>
      </rPr>
      <t>]</t>
    </r>
  </si>
  <si>
    <r>
      <t>[gha wha</t>
    </r>
    <r>
      <rPr>
        <vertAlign val="subscript"/>
        <sz val="10"/>
        <color indexed="22"/>
        <rFont val="Arial"/>
        <family val="2"/>
      </rPr>
      <t>f</t>
    </r>
    <r>
      <rPr>
        <vertAlign val="superscript"/>
        <sz val="10"/>
        <color indexed="22"/>
        <rFont val="Arial"/>
        <family val="2"/>
      </rPr>
      <t>-1</t>
    </r>
    <r>
      <rPr>
        <sz val="10"/>
        <color indexed="22"/>
        <rFont val="Arial"/>
        <family val="2"/>
      </rPr>
      <t>]</t>
    </r>
  </si>
  <si>
    <t>Oil of Jojoba</t>
  </si>
  <si>
    <t>1515.90_d</t>
  </si>
  <si>
    <t>Oil of Kapok</t>
  </si>
  <si>
    <t>Pseudophycis bachus</t>
  </si>
  <si>
    <t>Gulf menhaden</t>
  </si>
  <si>
    <t>Horseshoe crab</t>
  </si>
  <si>
    <t>Jonah crab</t>
  </si>
  <si>
    <t>Lemon shark</t>
  </si>
  <si>
    <t>Northern brown shrimp</t>
  </si>
  <si>
    <t>Crop Import Intensity</t>
  </si>
  <si>
    <t>Crop Export Intensity</t>
  </si>
  <si>
    <t>[gha / t]</t>
  </si>
  <si>
    <t>Papayas</t>
  </si>
  <si>
    <t>0807.20</t>
  </si>
  <si>
    <t>Sichel</t>
  </si>
  <si>
    <t>White bream</t>
  </si>
  <si>
    <t>Chubs nei</t>
  </si>
  <si>
    <t>Fuses,primers and detonators</t>
  </si>
  <si>
    <t>Pyrotechnical articles</t>
  </si>
  <si>
    <t>Cottonseed oil</t>
  </si>
  <si>
    <t>Ethers,epoxides,acetals</t>
  </si>
  <si>
    <t>White bass</t>
  </si>
  <si>
    <t>White perch</t>
  </si>
  <si>
    <t>Angelsharks, sand devils nei</t>
  </si>
  <si>
    <t>Angler(=Monk)</t>
  </si>
  <si>
    <t>Atlantic bonito</t>
  </si>
  <si>
    <t>Blue and red shrimp</t>
  </si>
  <si>
    <t>Blue whiting(=Poutassou)</t>
  </si>
  <si>
    <t>Bogue</t>
  </si>
  <si>
    <t>Catsharks, nursehounds nei</t>
  </si>
  <si>
    <t>Common octopus</t>
  </si>
  <si>
    <t>Common spiny lobster</t>
  </si>
  <si>
    <t>Common squids nei</t>
  </si>
  <si>
    <t>TFR</t>
  </si>
  <si>
    <t>Callorhinchidae</t>
  </si>
  <si>
    <t>0802.11_a</t>
  </si>
  <si>
    <t>0808.10_a</t>
  </si>
  <si>
    <t>0809.10_a</t>
  </si>
  <si>
    <t>0803.00aa</t>
  </si>
  <si>
    <t>1003.00_a</t>
  </si>
  <si>
    <t>Bran Buckwheat</t>
  </si>
  <si>
    <t>2302.40_f</t>
  </si>
  <si>
    <t>Bran of Barley</t>
  </si>
  <si>
    <t>2302.40_a</t>
  </si>
  <si>
    <t>Mytilus platensis</t>
  </si>
  <si>
    <t>Perna perna</t>
  </si>
  <si>
    <t>Shortspine thornyhead</t>
  </si>
  <si>
    <t>Silvery lightfish</t>
  </si>
  <si>
    <t>Herklotsichthys quadrimaculat.</t>
  </si>
  <si>
    <t>Opisthonema libertate</t>
  </si>
  <si>
    <t>Opisthonema oglinum</t>
  </si>
  <si>
    <t>Sardina pilchardus</t>
  </si>
  <si>
    <t>Thresher sharks nei</t>
  </si>
  <si>
    <t>Needlefishes nei</t>
  </si>
  <si>
    <t>Seeds,fruit &amp; spores for planting</t>
  </si>
  <si>
    <t>Bulbs,tubers,rhizomes and flowering plants</t>
  </si>
  <si>
    <t>Cut flowers &amp; foliage</t>
  </si>
  <si>
    <t>Micropogonias spp</t>
  </si>
  <si>
    <t>Micropogonias undulatus</t>
  </si>
  <si>
    <t>Miichthys miiuy</t>
  </si>
  <si>
    <t>Monacanthidae</t>
  </si>
  <si>
    <t>Own Use in Electricity, CHP and heat plants</t>
  </si>
  <si>
    <t xml:space="preserve">Unallocated Autoproducers </t>
  </si>
  <si>
    <t xml:space="preserve">Autoproducer Electricity Plants </t>
  </si>
  <si>
    <t>Autoproducer CHP Plants</t>
  </si>
  <si>
    <t>Autoproducer Heat Plants</t>
  </si>
  <si>
    <t>Chirocentrus spp</t>
  </si>
  <si>
    <t>Clupea harengus</t>
  </si>
  <si>
    <t>Clupea pallasii</t>
  </si>
  <si>
    <t>Refers to:</t>
  </si>
  <si>
    <t>Referenced by:</t>
  </si>
  <si>
    <t>ef_carbon</t>
  </si>
  <si>
    <t>cnst_carbon</t>
  </si>
  <si>
    <r>
      <t>[gha (t CO</t>
    </r>
    <r>
      <rPr>
        <vertAlign val="subscript"/>
        <sz val="10"/>
        <color indexed="23"/>
        <rFont val="Arial"/>
        <family val="2"/>
      </rPr>
      <t>2</t>
    </r>
    <r>
      <rPr>
        <sz val="10"/>
        <color indexed="23"/>
        <rFont val="Arial"/>
        <family val="2"/>
      </rPr>
      <t>)</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</si>
  <si>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Gold silver plat. Etc jewellery ex watchcases</t>
  </si>
  <si>
    <t>Imitation jewellery</t>
  </si>
  <si>
    <t>Art.&amp; manuf. Of carving or moulding material</t>
  </si>
  <si>
    <t>Basketwork &amp; art. Of plaiting materials, nes</t>
  </si>
  <si>
    <t>Candles,matches,smokers requisites</t>
  </si>
  <si>
    <t>Trachinus draco</t>
  </si>
  <si>
    <t>Safes,strong rooms,strong room fittings etc.</t>
  </si>
  <si>
    <t>1207.9af</t>
  </si>
  <si>
    <t>0708.90_a</t>
  </si>
  <si>
    <t>0805.50_a</t>
  </si>
  <si>
    <t>1204.00_a</t>
  </si>
  <si>
    <t>1005_a</t>
  </si>
  <si>
    <t>Marc of Grapes</t>
  </si>
  <si>
    <t>2308.00_b</t>
  </si>
  <si>
    <t>Meat of Chicken Canned</t>
  </si>
  <si>
    <t>Exports</t>
  </si>
  <si>
    <t>Sawlogs+Veneer Logs (C)</t>
  </si>
  <si>
    <t>Sawnwood (C)</t>
  </si>
  <si>
    <t>Sawnwood (NC)</t>
  </si>
  <si>
    <t>Semi-Chemical Wood Pulp</t>
  </si>
  <si>
    <t>Nemipteridae</t>
  </si>
  <si>
    <t>Nemipterus japonicus</t>
  </si>
  <si>
    <t>Nemipterus randalli</t>
  </si>
  <si>
    <t>Nemipterus spp</t>
  </si>
  <si>
    <t>Nemipterus virgatus</t>
  </si>
  <si>
    <t>Nibea mitsukurii</t>
  </si>
  <si>
    <t>White weakfish</t>
  </si>
  <si>
    <t>Windowpane flounder</t>
  </si>
  <si>
    <t>Yellowedge grouper</t>
  </si>
  <si>
    <t>World Yield</t>
  </si>
  <si>
    <r>
      <t>EF</t>
    </r>
    <r>
      <rPr>
        <b/>
        <vertAlign val="subscript"/>
        <sz val="10"/>
        <color indexed="9"/>
        <rFont val="Arial"/>
        <family val="2"/>
      </rPr>
      <t>I</t>
    </r>
  </si>
  <si>
    <r>
      <t>EF</t>
    </r>
    <r>
      <rPr>
        <b/>
        <vertAlign val="subscript"/>
        <sz val="10"/>
        <color indexed="9"/>
        <rFont val="Arial"/>
        <family val="2"/>
      </rPr>
      <t>E</t>
    </r>
  </si>
  <si>
    <t>Land Cover</t>
  </si>
  <si>
    <t>Expected Feed</t>
  </si>
  <si>
    <t>Expected EF</t>
  </si>
  <si>
    <t>Actual EF</t>
  </si>
  <si>
    <t>Variola louti</t>
  </si>
  <si>
    <t>Offals Liver Duck</t>
  </si>
  <si>
    <t>Champsocephalus gunnari</t>
  </si>
  <si>
    <t>Channichthyidae</t>
  </si>
  <si>
    <t>Channichthys rhinoceratus</t>
  </si>
  <si>
    <t>Cheilodactylus bergi</t>
  </si>
  <si>
    <t>Cepola macrophthalma</t>
  </si>
  <si>
    <t>fish_commodity_</t>
  </si>
  <si>
    <t>efi</t>
  </si>
  <si>
    <t>Centrophorus lusitanicus</t>
  </si>
  <si>
    <t>0708.20_b</t>
  </si>
  <si>
    <t>Sugar beet</t>
  </si>
  <si>
    <t>Sugar cane</t>
  </si>
  <si>
    <t>1212.99aa</t>
  </si>
  <si>
    <t>1212.99ab</t>
  </si>
  <si>
    <t>Blue butterfish</t>
  </si>
  <si>
    <t>Cape horse mackerel</t>
  </si>
  <si>
    <t>Goldfish</t>
  </si>
  <si>
    <t>Noble crayfish</t>
  </si>
  <si>
    <t>Starry sturgeon</t>
  </si>
  <si>
    <t>Mudfish</t>
  </si>
  <si>
    <t>Hoven's carp</t>
  </si>
  <si>
    <t>Filefishes nei</t>
  </si>
  <si>
    <t>Gazami crab</t>
  </si>
  <si>
    <t>Jack and horse mackerels nei</t>
  </si>
  <si>
    <t>Japanese jack mackerel</t>
  </si>
  <si>
    <t>Octopuses, etc. nei</t>
  </si>
  <si>
    <t>Sea squirts nei</t>
  </si>
  <si>
    <t>Spiny lobsters nei</t>
  </si>
  <si>
    <t>Gelidium seaweeds</t>
  </si>
  <si>
    <t>Dotted gizzard shad</t>
  </si>
  <si>
    <t>Trachyrincus scabrus</t>
  </si>
  <si>
    <t>Eeltail catfishes</t>
  </si>
  <si>
    <t>Indian pellona</t>
  </si>
  <si>
    <t>Coho(=Silver)salmon</t>
  </si>
  <si>
    <r>
      <t>[gha person</t>
    </r>
    <r>
      <rPr>
        <vertAlign val="superscript"/>
        <sz val="10"/>
        <color indexed="22"/>
        <rFont val="Arial"/>
        <family val="2"/>
      </rPr>
      <t>-1</t>
    </r>
    <r>
      <rPr>
        <sz val="10"/>
        <color indexed="22"/>
        <rFont val="Arial"/>
        <family val="2"/>
      </rPr>
      <t>]</t>
    </r>
  </si>
  <si>
    <t>Marine Capture</t>
  </si>
  <si>
    <t>Inland Capture</t>
  </si>
  <si>
    <t>Remaining Demand</t>
  </si>
  <si>
    <t>Iron pyrites, unroasted</t>
  </si>
  <si>
    <t>Industrial diamonds</t>
  </si>
  <si>
    <t>Natural abrasives</t>
  </si>
  <si>
    <t>5101.1_a</t>
  </si>
  <si>
    <t>Stocks</t>
  </si>
  <si>
    <t>[000]</t>
  </si>
  <si>
    <t>Lophius vaillanti</t>
  </si>
  <si>
    <t>Lophius vomerinus</t>
  </si>
  <si>
    <t>Lopholatilus chamaeleonticeps</t>
  </si>
  <si>
    <t>1512.2_a</t>
  </si>
  <si>
    <t>Cow peas, dry</t>
  </si>
  <si>
    <t>0713.3_b</t>
  </si>
  <si>
    <t>Ensis directus</t>
  </si>
  <si>
    <t>Mercenaria mercenaria</t>
  </si>
  <si>
    <t>Meretrix lusoria</t>
  </si>
  <si>
    <t>Meretrix spp</t>
  </si>
  <si>
    <t>Elastic fabrics &amp; trimmings of elastic</t>
  </si>
  <si>
    <t>White seabream</t>
  </si>
  <si>
    <t>Marine shells nei</t>
  </si>
  <si>
    <t>Stimpson's surf clam</t>
  </si>
  <si>
    <t>Surf smelt</t>
  </si>
  <si>
    <t>Tusk(=Cusk)</t>
  </si>
  <si>
    <t>Whelks</t>
  </si>
  <si>
    <t>Leather Use&amp;Waste</t>
  </si>
  <si>
    <t>Horned turban</t>
  </si>
  <si>
    <t>Scup</t>
  </si>
  <si>
    <t>Senegalese hake</t>
  </si>
  <si>
    <t>Silver hake</t>
  </si>
  <si>
    <t>Thermionic valves and tubes, transistors, etc</t>
  </si>
  <si>
    <t>Automotive electrical equipment</t>
  </si>
  <si>
    <t>Electrical measuring &amp; controlling instrument</t>
  </si>
  <si>
    <t>Electro mechanical hand tools</t>
  </si>
  <si>
    <t>Electron and proton accelerators</t>
  </si>
  <si>
    <t>Electrical machinery and apparatus, nes</t>
  </si>
  <si>
    <t>Railway locomotives steam and tenders</t>
  </si>
  <si>
    <t>Electric railway locomotives, not self genera</t>
  </si>
  <si>
    <t>Railway locomotives, not steam or electric</t>
  </si>
  <si>
    <t>Mechanically propelled railway and tramway ca</t>
  </si>
  <si>
    <t>Rail &amp; tram passenger cars not mech propelled</t>
  </si>
  <si>
    <t>Rail.&amp;tram.freight cars,not mechanically prop</t>
  </si>
  <si>
    <t>Acipenser transmontanus</t>
  </si>
  <si>
    <t>Acipenseridae</t>
  </si>
  <si>
    <t>Huso huso</t>
  </si>
  <si>
    <t>Polyodon spathula</t>
  </si>
  <si>
    <t>Anguilla anguilla</t>
  </si>
  <si>
    <t>Sheet or plate glass,coated with metal mirror</t>
  </si>
  <si>
    <t>Glass, nes</t>
  </si>
  <si>
    <t>Plants,seeds,flowers used in perfumery/pharma</t>
  </si>
  <si>
    <t>Murex</t>
  </si>
  <si>
    <t>Nursehound</t>
  </si>
  <si>
    <t>Pink spiny lobster</t>
  </si>
  <si>
    <t>Ratfishes nei</t>
  </si>
  <si>
    <t>Sandy ray</t>
  </si>
  <si>
    <t>Shagreen ray</t>
  </si>
  <si>
    <t>Small-eyed ray</t>
  </si>
  <si>
    <t>Small-spotted catshark</t>
  </si>
  <si>
    <t>Southern spiny lobster</t>
  </si>
  <si>
    <t>Spiny scorpionfish</t>
  </si>
  <si>
    <t>Spottail mantis squillid</t>
  </si>
  <si>
    <t>Spotted ray</t>
  </si>
  <si>
    <t>Stingrays nei</t>
  </si>
  <si>
    <t>Streaked gurnard</t>
  </si>
  <si>
    <t>Silver seabream</t>
  </si>
  <si>
    <t>Maize for forage and silage</t>
  </si>
  <si>
    <t>1214.90_a</t>
  </si>
  <si>
    <t>Maize oil</t>
  </si>
  <si>
    <t>1515.2_a</t>
  </si>
  <si>
    <t>Maize, green</t>
  </si>
  <si>
    <t>0709.90ca</t>
  </si>
  <si>
    <t>Cake of Groundnuts</t>
  </si>
  <si>
    <t>2305.00</t>
  </si>
  <si>
    <t>Cake of Linseed</t>
  </si>
  <si>
    <t>2306.20</t>
  </si>
  <si>
    <t>Cake of Maize</t>
  </si>
  <si>
    <t>2306.70</t>
  </si>
  <si>
    <t>Raw silk, not thrown</t>
  </si>
  <si>
    <t>Canned Mushrooms</t>
  </si>
  <si>
    <t>2003_a</t>
  </si>
  <si>
    <t>Schedophilus ovalis</t>
  </si>
  <si>
    <t>Schedophilus pemarco</t>
  </si>
  <si>
    <t>Scorpaena scrofa</t>
  </si>
  <si>
    <t>Vetches</t>
  </si>
  <si>
    <t>0713.90ac</t>
  </si>
  <si>
    <t>Walnuts, with shell</t>
  </si>
  <si>
    <t>Watermelons</t>
  </si>
  <si>
    <t>0807.11</t>
  </si>
  <si>
    <t>Wheat</t>
  </si>
  <si>
    <t>Wine</t>
  </si>
  <si>
    <t>2204_a</t>
  </si>
  <si>
    <t>Yams</t>
  </si>
  <si>
    <t>0714.90_a</t>
  </si>
  <si>
    <t>Three-spined stickleback</t>
  </si>
  <si>
    <t>Orfe(=Ide)</t>
  </si>
  <si>
    <t>Great Mediterranean scallop</t>
  </si>
  <si>
    <t>Green crab</t>
  </si>
  <si>
    <t>Chimaeras, etc. nei</t>
  </si>
  <si>
    <t>Sailray</t>
  </si>
  <si>
    <t>Starry ray</t>
  </si>
  <si>
    <t>Tangle</t>
  </si>
  <si>
    <t>False trevally</t>
  </si>
  <si>
    <t>Lake cisco</t>
  </si>
  <si>
    <t>Lake trout(=Char)</t>
  </si>
  <si>
    <t>Sauger</t>
  </si>
  <si>
    <t>Sander canadensis</t>
  </si>
  <si>
    <t>Walleye</t>
  </si>
  <si>
    <t>Sander vitreus</t>
  </si>
  <si>
    <t>Siberian prawn</t>
  </si>
  <si>
    <t>European smelt</t>
  </si>
  <si>
    <t>Milking machines,cream separators,dairy farm</t>
  </si>
  <si>
    <t>Lycodes spp</t>
  </si>
  <si>
    <t>Macroramphosus scolopax</t>
  </si>
  <si>
    <t>Maurolicus muelleri</t>
  </si>
  <si>
    <t>Capros aper</t>
  </si>
  <si>
    <t>Brown ray</t>
  </si>
  <si>
    <t>Raja miraletus</t>
  </si>
  <si>
    <t>Bull shark</t>
  </si>
  <si>
    <t>Carcharhinus leucas</t>
  </si>
  <si>
    <t>Channel bull blenny</t>
  </si>
  <si>
    <t>Cottoperca gobio</t>
  </si>
  <si>
    <t>Chinese mitten crab</t>
  </si>
  <si>
    <t>Citharids nei</t>
  </si>
  <si>
    <t>Citharidae</t>
  </si>
  <si>
    <t>Commercial top</t>
  </si>
  <si>
    <t>Oil seeds,oil nuts &amp; oil kernels,nes</t>
  </si>
  <si>
    <t>Flour &amp; meal of oil seeds,nuts,kernels, fat</t>
  </si>
  <si>
    <t>Sand tiger shark</t>
  </si>
  <si>
    <t>Sandbar shark</t>
  </si>
  <si>
    <t>Scamp</t>
  </si>
  <si>
    <t>Sculpins nei</t>
  </si>
  <si>
    <t>Fabrics,woven,nes inc.coarse hair &amp; paper yar</t>
  </si>
  <si>
    <t>Argyrops spinifer</t>
  </si>
  <si>
    <t>5102.20_a</t>
  </si>
  <si>
    <t>0401.30_a</t>
  </si>
  <si>
    <t>0408_a</t>
  </si>
  <si>
    <t>0408_b</t>
  </si>
  <si>
    <t>1602.20_b</t>
  </si>
  <si>
    <t>1506.00_a</t>
  </si>
  <si>
    <t>1502.00aa</t>
  </si>
  <si>
    <t>0209.00aa</t>
  </si>
  <si>
    <t>0209.00_b</t>
  </si>
  <si>
    <t>1501.00_b</t>
  </si>
  <si>
    <t>1502.00_c</t>
  </si>
  <si>
    <t>1517.90_a</t>
  </si>
  <si>
    <t>5102.1_a</t>
  </si>
  <si>
    <t>0405.20_b</t>
  </si>
  <si>
    <t>0405.20_a</t>
  </si>
  <si>
    <t>5105_a</t>
  </si>
  <si>
    <t>5102.20_b</t>
  </si>
  <si>
    <t>Limanda ferruginea</t>
  </si>
  <si>
    <t>Limanda limanda</t>
  </si>
  <si>
    <t>Microchirus spp</t>
  </si>
  <si>
    <t>Microstomus kitt</t>
  </si>
  <si>
    <t>Oxygen,nitrogen,hydrogen,rare gases</t>
  </si>
  <si>
    <t>Chemical elements nes</t>
  </si>
  <si>
    <t>Inorganic acids &amp; oxygen comp.of metalloids</t>
  </si>
  <si>
    <t>Cape rock lobster</t>
  </si>
  <si>
    <t>Southern African anchovy</t>
  </si>
  <si>
    <t>Steenbrasses nei</t>
  </si>
  <si>
    <t>Argentine</t>
  </si>
  <si>
    <t>Argentina sphyraena</t>
  </si>
  <si>
    <t>Carpenter seabream</t>
  </si>
  <si>
    <t>Chilean jack mackerel</t>
  </si>
  <si>
    <t>Devil anglerfish</t>
  </si>
  <si>
    <t>Eastern Pacific bonito</t>
  </si>
  <si>
    <t>Falkland sprat</t>
  </si>
  <si>
    <t>Musical instruments, nes</t>
  </si>
  <si>
    <t>Parts and accessories of musical instruments</t>
  </si>
  <si>
    <t>Books and pamphlets,printed</t>
  </si>
  <si>
    <t>Newspapers and periodicals</t>
  </si>
  <si>
    <t>Music,printed or in manuscript</t>
  </si>
  <si>
    <t>Picture postcards etc.,printed</t>
  </si>
  <si>
    <t>Printed matter, nes</t>
  </si>
  <si>
    <t>Otolithes ruber</t>
  </si>
  <si>
    <t>Pagellus acarne</t>
  </si>
  <si>
    <t>Pelates quadrilineatus</t>
  </si>
  <si>
    <t>Pennahia anea</t>
  </si>
  <si>
    <t>Pennahia argentata</t>
  </si>
  <si>
    <t>Pentanemus quinquarius</t>
  </si>
  <si>
    <t>Sea trout</t>
  </si>
  <si>
    <t>Arctic char</t>
  </si>
  <si>
    <t>Bighead carp</t>
  </si>
  <si>
    <t>Catfishes nei</t>
  </si>
  <si>
    <t>Queenfishes</t>
  </si>
  <si>
    <t>Requiem sharks nei</t>
  </si>
  <si>
    <t>Santer seabream</t>
  </si>
  <si>
    <t>Smalltooth emperor</t>
  </si>
  <si>
    <t>Prepared or preserved fish, excl. whole or in pieces</t>
  </si>
  <si>
    <t>Edible nuts,fresh or dried</t>
  </si>
  <si>
    <t>Fresh fruit,nes</t>
  </si>
  <si>
    <t>Poultry</t>
  </si>
  <si>
    <t>Feed Demand</t>
  </si>
  <si>
    <t>Feed Intake</t>
  </si>
  <si>
    <t>Seed cotton</t>
  </si>
  <si>
    <t>1207.20_b</t>
  </si>
  <si>
    <t>Other Indust Roundwd Trd</t>
  </si>
  <si>
    <t>Wood Fuel Trd</t>
  </si>
  <si>
    <t>Ind Rwd Wir (C)</t>
  </si>
  <si>
    <t>Coffee extracts,essences,concentrates</t>
  </si>
  <si>
    <t>Cocoa beans,raw or roasted</t>
  </si>
  <si>
    <t>Cocoa powder,unsweetened</t>
  </si>
  <si>
    <t>Cocoa butter and cocoa paste</t>
  </si>
  <si>
    <t>Chocolate &amp; other food prep. Of cocoa</t>
  </si>
  <si>
    <t>Mate</t>
  </si>
  <si>
    <t>Pepper &amp; pimento,whether or not grond</t>
  </si>
  <si>
    <t>Spices, exc. Pepper &amp; pimento ground or not</t>
  </si>
  <si>
    <t>Homarus gammarus</t>
  </si>
  <si>
    <t>Ibacus ciliatus</t>
  </si>
  <si>
    <t>Blackspot(=red) seabream</t>
  </si>
  <si>
    <t>Common prawn</t>
  </si>
  <si>
    <t>Channa argus</t>
  </si>
  <si>
    <t>Great Atlantic scallop</t>
  </si>
  <si>
    <t>Tuberculate abalone</t>
  </si>
  <si>
    <t>Osmerus mordax</t>
  </si>
  <si>
    <t>Osmerus spp, Hypomesus spp</t>
  </si>
  <si>
    <t>Plecoglossus altivelis</t>
  </si>
  <si>
    <t>Salmo salar</t>
  </si>
  <si>
    <t>Salmo spp</t>
  </si>
  <si>
    <t>Salmo trutta</t>
  </si>
  <si>
    <t>Salmonoidei</t>
  </si>
  <si>
    <t>Food processing machines, excluding domestic</t>
  </si>
  <si>
    <t>Construction and mining machinery, nes</t>
  </si>
  <si>
    <t>Mineral crushing etc. &amp; glass working machine</t>
  </si>
  <si>
    <t>Heating and cooling equipment</t>
  </si>
  <si>
    <t>Ind Rwd Wir (NC) Tropica</t>
  </si>
  <si>
    <t>Sebastes alutus</t>
  </si>
  <si>
    <t>Sebastes entomelas</t>
  </si>
  <si>
    <t>Sebastes flavidus</t>
  </si>
  <si>
    <t>Sebastes goodei</t>
  </si>
  <si>
    <t>Sebastes marinus</t>
  </si>
  <si>
    <t>Sebastes melanops</t>
  </si>
  <si>
    <t>Sebastes mentella</t>
  </si>
  <si>
    <t>Sebastes paucispinis</t>
  </si>
  <si>
    <t>Polychaeta</t>
  </si>
  <si>
    <t>2306.90_d</t>
  </si>
  <si>
    <t>Cake of Sesame Seed</t>
  </si>
  <si>
    <t>2306.90_b</t>
  </si>
  <si>
    <t>Imports EF</t>
  </si>
  <si>
    <t>Lutjanus purpureus</t>
  </si>
  <si>
    <t>Lutjanus quinquelineatus</t>
  </si>
  <si>
    <t>Ruditapes philippinarum</t>
  </si>
  <si>
    <t>Saxidomus giganteus</t>
  </si>
  <si>
    <t>Scapharca subcrenata</t>
  </si>
  <si>
    <t>Semele solida</t>
  </si>
  <si>
    <t>Siliqua patula</t>
  </si>
  <si>
    <t>Solen spp</t>
  </si>
  <si>
    <t>Spisula polynyma</t>
  </si>
  <si>
    <t>Spisula solida</t>
  </si>
  <si>
    <t>Juice of Tomatoes</t>
  </si>
  <si>
    <t>2009.50_a</t>
  </si>
  <si>
    <t>Juice of Vegetables Nes</t>
  </si>
  <si>
    <t>2009.80_b</t>
  </si>
  <si>
    <t>Karakul Skins</t>
  </si>
  <si>
    <t>Metapenaeus monoceros</t>
  </si>
  <si>
    <t>Metapenaeus spp</t>
  </si>
  <si>
    <t>Natantia</t>
  </si>
  <si>
    <t>Ctenolabrus rupestris</t>
  </si>
  <si>
    <t>Gonate squids nei</t>
  </si>
  <si>
    <t>Gonatidae</t>
  </si>
  <si>
    <t>Green jobfish</t>
  </si>
  <si>
    <t>Aprion virescens</t>
  </si>
  <si>
    <t>Grey snapper</t>
  </si>
  <si>
    <t>American cupped oyster</t>
  </si>
  <si>
    <t>Atlantic bluefin tuna</t>
  </si>
  <si>
    <t>Atlantic cod</t>
  </si>
  <si>
    <t>Hay &amp; fodder,green or dry</t>
  </si>
  <si>
    <t>Bran,pollard,sharps &amp; other by products</t>
  </si>
  <si>
    <t>Live Animals Non Food</t>
  </si>
  <si>
    <t>Liver Prep.</t>
  </si>
  <si>
    <t>Macaroni</t>
  </si>
  <si>
    <t>1902_a</t>
  </si>
  <si>
    <t>Malt</t>
  </si>
  <si>
    <t>1107_a</t>
  </si>
  <si>
    <t>Malt Extract</t>
  </si>
  <si>
    <t>SITC-1 Code</t>
  </si>
  <si>
    <t>Bigspined boarfish</t>
  </si>
  <si>
    <t>Materials of vegetable origin,nes</t>
  </si>
  <si>
    <t>Coal /anthracite, bituminous/</t>
  </si>
  <si>
    <t>Briquettes of coal</t>
  </si>
  <si>
    <t>Pseudopleuronectes herzenst.</t>
  </si>
  <si>
    <t>Reinhardtius hippoglossoides</t>
  </si>
  <si>
    <t>Rhombosolea spp</t>
  </si>
  <si>
    <t>Scophthalmidae</t>
  </si>
  <si>
    <t>Rice in the husk or not,not further prepared</t>
  </si>
  <si>
    <t>Rice,glazed or polished,not further prepared</t>
  </si>
  <si>
    <t>Barley,unmilled</t>
  </si>
  <si>
    <t>Giant seabass</t>
  </si>
  <si>
    <t>Green sturgeon</t>
  </si>
  <si>
    <t>Common dolphinfish</t>
  </si>
  <si>
    <t>Sardinellas nei</t>
  </si>
  <si>
    <t>Sharks, rays, skates, etc. nei</t>
  </si>
  <si>
    <t>Berries Nes</t>
  </si>
  <si>
    <t>0802.40</t>
  </si>
  <si>
    <t>Silver,unworked or partly worked</t>
  </si>
  <si>
    <t>Porbeagle</t>
  </si>
  <si>
    <t>Rays, stingrays, mantas nei</t>
  </si>
  <si>
    <t>Pandalus borealis</t>
  </si>
  <si>
    <t>Pandalus goniurus</t>
  </si>
  <si>
    <t>Pandalus hypsinotus</t>
  </si>
  <si>
    <t>Cotton Waste</t>
  </si>
  <si>
    <t>Cream Fresh</t>
  </si>
  <si>
    <t>Crude Materials</t>
  </si>
  <si>
    <t>0500_a</t>
  </si>
  <si>
    <t>Degras</t>
  </si>
  <si>
    <t>1904_b</t>
  </si>
  <si>
    <t>Butter Cow Milk</t>
  </si>
  <si>
    <t>Cake of Copra</t>
  </si>
  <si>
    <t>2306.50</t>
  </si>
  <si>
    <t>Lates calcarifer</t>
  </si>
  <si>
    <t>Morone americana</t>
  </si>
  <si>
    <t>Morone chrysops</t>
  </si>
  <si>
    <t>Antarctic starry skate</t>
  </si>
  <si>
    <t>Antarctic toothfish</t>
  </si>
  <si>
    <t>Argentine anchovy</t>
  </si>
  <si>
    <t>Argentine angelshark</t>
  </si>
  <si>
    <t>Argentine conger</t>
  </si>
  <si>
    <t>Argentine croaker</t>
  </si>
  <si>
    <t>Commodity</t>
  </si>
  <si>
    <t>Parent</t>
  </si>
  <si>
    <t>Gypsum,plasters,limestone flux &amp; calcareous s</t>
  </si>
  <si>
    <t>Sand excluding metal bearing sand</t>
  </si>
  <si>
    <t>Gravel &amp; crushed stone</t>
  </si>
  <si>
    <t>Nori nei</t>
  </si>
  <si>
    <t>Pacific menhaden</t>
  </si>
  <si>
    <t>Pacific sandperch</t>
  </si>
  <si>
    <t>Iron &amp; steel scrap</t>
  </si>
  <si>
    <t>Ores and concentrates of copper, incl. Matte</t>
  </si>
  <si>
    <t>Ores and concentrates of nickel, incl. Matte</t>
  </si>
  <si>
    <t>Scorpaenidae</t>
  </si>
  <si>
    <t>Silver pomfret</t>
  </si>
  <si>
    <t>South Georgia icefish</t>
  </si>
  <si>
    <t>South Pacific hake</t>
  </si>
  <si>
    <t>Naso unicornis</t>
  </si>
  <si>
    <t>2302.40_b</t>
  </si>
  <si>
    <t>Epinephelus polyphekadion</t>
  </si>
  <si>
    <t>Epinephelus spp</t>
  </si>
  <si>
    <t>Works of art,collectors pieces</t>
  </si>
  <si>
    <t>Silversides(=Sand smelts) nei</t>
  </si>
  <si>
    <t>Chinook(=Spring=King)salmon</t>
  </si>
  <si>
    <t>Pumps and centrifuges</t>
  </si>
  <si>
    <t>Mechanical handling equipment</t>
  </si>
  <si>
    <t>Regenerated fibres suitable for spinning</t>
  </si>
  <si>
    <t>Animals,n.e.s.</t>
  </si>
  <si>
    <t>Bacon and Ham</t>
  </si>
  <si>
    <t>Bagasse</t>
  </si>
  <si>
    <t>2303.20_b</t>
  </si>
  <si>
    <t>Barley Flour and Grits</t>
  </si>
  <si>
    <t>1102.90_a</t>
  </si>
  <si>
    <t>Beehives</t>
  </si>
  <si>
    <t>0106.90_a</t>
  </si>
  <si>
    <t>Beeswax</t>
  </si>
  <si>
    <t>Indian oil sardine</t>
  </si>
  <si>
    <t>Indo-Pacific king mackerel</t>
  </si>
  <si>
    <t>Salps</t>
  </si>
  <si>
    <t>Venerupis pullastra</t>
  </si>
  <si>
    <t>Cephalopoda</t>
  </si>
  <si>
    <t>Dosidicus gigas</t>
  </si>
  <si>
    <t>1207.9ah</t>
  </si>
  <si>
    <t>Lactose</t>
  </si>
  <si>
    <t>Lard</t>
  </si>
  <si>
    <t>Lard Stearine Oil</t>
  </si>
  <si>
    <t>Pacific rock shrimp</t>
  </si>
  <si>
    <t>Western Atlantic seabream</t>
  </si>
  <si>
    <t>Pacific bumper</t>
  </si>
  <si>
    <t>Austroglossus pectoralis</t>
  </si>
  <si>
    <t>Austroglossus spp</t>
  </si>
  <si>
    <t>Bothidae</t>
  </si>
  <si>
    <t>Bothus pantherinus</t>
  </si>
  <si>
    <t>Citharichthys sordidus</t>
  </si>
  <si>
    <t>Cynoglossidae</t>
  </si>
  <si>
    <t>Dicologlossa cuneata</t>
  </si>
  <si>
    <t>Eopsetta jordani</t>
  </si>
  <si>
    <t>Skins Nes Calves</t>
  </si>
  <si>
    <t>Skinswet Salted</t>
  </si>
  <si>
    <t>Merlangius merlangus</t>
  </si>
  <si>
    <t>Merluccius albidus</t>
  </si>
  <si>
    <t>Merluccius angustimanus</t>
  </si>
  <si>
    <t>Merluccius australis</t>
  </si>
  <si>
    <t>Merluccius bilinearis</t>
  </si>
  <si>
    <t>Merluccius capensis</t>
  </si>
  <si>
    <t>Merluccius gayi</t>
  </si>
  <si>
    <t>Merluccius hubbsi</t>
  </si>
  <si>
    <t>Merluccius merluccius</t>
  </si>
  <si>
    <t>Merluccius polli</t>
  </si>
  <si>
    <t>Merluccius productus</t>
  </si>
  <si>
    <t>Sponges</t>
  </si>
  <si>
    <t>Brown seaweeds</t>
  </si>
  <si>
    <t>Red seaweeds</t>
  </si>
  <si>
    <t>Green seaweeds</t>
  </si>
  <si>
    <t>Available PP</t>
  </si>
  <si>
    <t>Cake of Rapeseed</t>
  </si>
  <si>
    <t>Cake of Soybeans</t>
  </si>
  <si>
    <t>2304.00</t>
  </si>
  <si>
    <t>Cake Rice Bran</t>
  </si>
  <si>
    <t>2306.90_a</t>
  </si>
  <si>
    <t>Southern hake</t>
  </si>
  <si>
    <t>Southern king crab</t>
  </si>
  <si>
    <t>Striped weakfish</t>
  </si>
  <si>
    <t>Tadpole codling</t>
  </si>
  <si>
    <t>Tope shark</t>
  </si>
  <si>
    <t>Cololabis saira</t>
  </si>
  <si>
    <t>Coryphaena hippurus</t>
  </si>
  <si>
    <t>Cypselurus agoo</t>
  </si>
  <si>
    <t>Siganus spp</t>
  </si>
  <si>
    <t>Sillaginidae</t>
  </si>
  <si>
    <t>Octopus, live, fresh or chilled</t>
  </si>
  <si>
    <t>[000 ha]</t>
  </si>
  <si>
    <t>Mud carp</t>
  </si>
  <si>
    <t>1202.10_a</t>
  </si>
  <si>
    <t>0804.50_a</t>
  </si>
  <si>
    <t>Hay (Clover, Lucerne,Etc)</t>
  </si>
  <si>
    <t>0802.21_a</t>
  </si>
  <si>
    <t>Hides Dry Slt Horses</t>
  </si>
  <si>
    <t>Hides Drysalt Buf</t>
  </si>
  <si>
    <t>Hides Unsp Horse</t>
  </si>
  <si>
    <t>Hides Wet Salted Buffaloes</t>
  </si>
  <si>
    <t>Carrot squat lobster</t>
  </si>
  <si>
    <t>Common pandora</t>
  </si>
  <si>
    <t>Venus clams nei</t>
  </si>
  <si>
    <t>Banana prawn</t>
  </si>
  <si>
    <t>Atlantic halibut</t>
  </si>
  <si>
    <t>Atlantic wolffish</t>
  </si>
  <si>
    <t>Haddock</t>
  </si>
  <si>
    <t>Spotted wolffish</t>
  </si>
  <si>
    <t>Green mussel</t>
  </si>
  <si>
    <t>Akiami paste shrimp</t>
  </si>
  <si>
    <t>Aristeid shrimps nei</t>
  </si>
  <si>
    <t>Mobula mobular</t>
  </si>
  <si>
    <t>Flying gurnard</t>
  </si>
  <si>
    <t>Dactylopterus volitans</t>
  </si>
  <si>
    <t>Jack-knife shrimp</t>
  </si>
  <si>
    <t>Skinsdry S.Calves</t>
  </si>
  <si>
    <t>Skinsdry Slt Goat</t>
  </si>
  <si>
    <t>Skinsdry Sltdpigs</t>
  </si>
  <si>
    <t>Argopecten purpuratus</t>
  </si>
  <si>
    <t>Argopecten ventricosus</t>
  </si>
  <si>
    <t>Chlamys islandica</t>
  </si>
  <si>
    <t>Porcelain or china household ware</t>
  </si>
  <si>
    <t>Household ware of other ceramic materials</t>
  </si>
  <si>
    <t>Nematalosa nasus</t>
  </si>
  <si>
    <t>Pellona ditchela</t>
  </si>
  <si>
    <t>Pellona flavipinnis</t>
  </si>
  <si>
    <t>Tenualosa ilisha</t>
  </si>
  <si>
    <t>Tenualosa toli</t>
  </si>
  <si>
    <t>Chanos chanos</t>
  </si>
  <si>
    <t>Gasterosteus aculeatus</t>
  </si>
  <si>
    <t>Lampetra fluviatilis</t>
  </si>
  <si>
    <t>Megalops atlanticus</t>
  </si>
  <si>
    <t>Megalops cyprinoides</t>
  </si>
  <si>
    <t>Mene maculata</t>
  </si>
  <si>
    <t>Menticirrhus littoralis</t>
  </si>
  <si>
    <t>Scomberomorus brasiliensis</t>
  </si>
  <si>
    <t>Scomberomorus cavalla</t>
  </si>
  <si>
    <t>Scomberomorus commerson</t>
  </si>
  <si>
    <t>Scomberomorus guttatus</t>
  </si>
  <si>
    <t>Scomberomorus lineolatus</t>
  </si>
  <si>
    <t>Sugars &amp; syrups nes incl.art.honey &amp; caramel</t>
  </si>
  <si>
    <t>Sugar confectionery &amp; other sugar preparation</t>
  </si>
  <si>
    <t>Moray cods nei</t>
  </si>
  <si>
    <t>Mote sculpin</t>
  </si>
  <si>
    <t>Coke &amp; semi coke of coal, of lignite or of pe</t>
  </si>
  <si>
    <t>Petroleum,crude &amp; partly refined</t>
  </si>
  <si>
    <t>Common Atlantic grenadier</t>
  </si>
  <si>
    <t>Common periwinkle</t>
  </si>
  <si>
    <t>Great Northern tilefish</t>
  </si>
  <si>
    <t>Gulper shark</t>
  </si>
  <si>
    <t>Horned octopus</t>
  </si>
  <si>
    <t>0207.2_a</t>
  </si>
  <si>
    <t>Waste of wool and of other animal hair, nes</t>
  </si>
  <si>
    <t>World Quantity</t>
  </si>
  <si>
    <t>%</t>
  </si>
  <si>
    <t>Market</t>
  </si>
  <si>
    <t>Grass Crops</t>
  </si>
  <si>
    <t>Residue</t>
  </si>
  <si>
    <t>TOT</t>
  </si>
  <si>
    <t>FOR EVERY ROW, SUM (GREY NUMBERS IN TABLE 1 &amp; TABLE 2) = 1</t>
  </si>
  <si>
    <t>TABLE 1</t>
  </si>
  <si>
    <t>TABLE 2</t>
  </si>
  <si>
    <t>Tot Crop %</t>
  </si>
  <si>
    <t>Grass Crop %</t>
  </si>
  <si>
    <t>Crop Residue %</t>
  </si>
  <si>
    <t>Market Crop %</t>
  </si>
  <si>
    <t>Crop Residue</t>
  </si>
  <si>
    <t>4103.20_c</t>
  </si>
  <si>
    <t>4101_d</t>
  </si>
  <si>
    <t>4103.90_c</t>
  </si>
  <si>
    <t>4101_k</t>
  </si>
  <si>
    <t>4101_h</t>
  </si>
  <si>
    <t>4103.90_d</t>
  </si>
  <si>
    <t>4101_a</t>
  </si>
  <si>
    <t>4101_c</t>
  </si>
  <si>
    <t>4103.20_a</t>
  </si>
  <si>
    <t>4101_b</t>
  </si>
  <si>
    <t>1702.1_a</t>
  </si>
  <si>
    <t>1501.00_a</t>
  </si>
  <si>
    <t>0106.90_e</t>
  </si>
  <si>
    <t>1602.20_a</t>
  </si>
  <si>
    <t>0210.9_a</t>
  </si>
  <si>
    <t>1603.00_a</t>
  </si>
  <si>
    <t>1602.3_a</t>
  </si>
  <si>
    <t>0201ab</t>
  </si>
  <si>
    <t>0402.99_b</t>
  </si>
  <si>
    <t>0402.10_a</t>
  </si>
  <si>
    <t>0402.91_b</t>
  </si>
  <si>
    <t>0401.10_a</t>
  </si>
  <si>
    <t>0402.99_a</t>
  </si>
  <si>
    <t>0402.2_a</t>
  </si>
  <si>
    <t>0402.91_a</t>
  </si>
  <si>
    <t>1102.90_e</t>
  </si>
  <si>
    <t>0207.1_b</t>
  </si>
  <si>
    <t>Scallops nei</t>
  </si>
  <si>
    <t>Snooks(=Robalos) nei</t>
  </si>
  <si>
    <t>Blue shrimp</t>
  </si>
  <si>
    <t>Orange-spotted grouper</t>
  </si>
  <si>
    <t>Meal &amp; flour of cereals exc.wheat or meslin</t>
  </si>
  <si>
    <t>Macrozoarces americanus</t>
  </si>
  <si>
    <t>Cordage,cables,ropes,twines and manufactures</t>
  </si>
  <si>
    <t>Hat bodies</t>
  </si>
  <si>
    <t>0713.20</t>
  </si>
  <si>
    <t>Pacific red snapper</t>
  </si>
  <si>
    <t>Lutjanus peru</t>
  </si>
  <si>
    <t>Parassi mullet</t>
  </si>
  <si>
    <t>Mugil incilis</t>
  </si>
  <si>
    <t>Pearly razorfish</t>
  </si>
  <si>
    <t>Xyrichtys novacula</t>
  </si>
  <si>
    <t>Pelagic thresher</t>
  </si>
  <si>
    <t>Alopias pelagicus</t>
  </si>
  <si>
    <t>Peruvian moonfish</t>
  </si>
  <si>
    <t>Selene peruviana</t>
  </si>
  <si>
    <t>Cake of Cottonseed</t>
  </si>
  <si>
    <t>2306.10</t>
  </si>
  <si>
    <t>Patinopecten caurinus</t>
  </si>
  <si>
    <t>Patinopecten yessoensis</t>
  </si>
  <si>
    <t>Butter clam</t>
  </si>
  <si>
    <t>Cast or rolled glass,unworked,in rectangles</t>
  </si>
  <si>
    <t>Domestic utensils of base metals</t>
  </si>
  <si>
    <t>Brevoortia patronus</t>
  </si>
  <si>
    <t>Brevoortia pectinata</t>
  </si>
  <si>
    <t>Brevoortia tyrannus</t>
  </si>
  <si>
    <t>Cetengraulis edentulus</t>
  </si>
  <si>
    <t>Cetengraulis mysticetus</t>
  </si>
  <si>
    <t>Chirocentrus dorab</t>
  </si>
  <si>
    <t>Spotfin flathead</t>
  </si>
  <si>
    <t>Atlantic goldeneye tilefish</t>
  </si>
  <si>
    <t>Atlantic puffers nei</t>
  </si>
  <si>
    <t>Bar jack</t>
  </si>
  <si>
    <t>Basket cockle</t>
  </si>
  <si>
    <t>Black driftfish</t>
  </si>
  <si>
    <t>Black grouper</t>
  </si>
  <si>
    <t>Black rockfish</t>
  </si>
  <si>
    <t>Iceland scallop</t>
  </si>
  <si>
    <t>Lingcod</t>
  </si>
  <si>
    <t>Lumpfish(=Lumpsucker)</t>
  </si>
  <si>
    <t>North Atlantic rockweed</t>
  </si>
  <si>
    <t>Ocean quahog</t>
  </si>
  <si>
    <t>Pacific cod</t>
  </si>
  <si>
    <t>Pacific halibut</t>
  </si>
  <si>
    <t>Pacific herring</t>
  </si>
  <si>
    <t>Pacific ocean perch</t>
  </si>
  <si>
    <t>Pandalus shrimps nei</t>
  </si>
  <si>
    <t>Queen crab</t>
  </si>
  <si>
    <t>Roundnose grenadier</t>
  </si>
  <si>
    <r>
      <t>EF</t>
    </r>
    <r>
      <rPr>
        <b/>
        <vertAlign val="subscript"/>
        <sz val="10"/>
        <rFont val="Arial"/>
        <family val="2"/>
      </rPr>
      <t>C</t>
    </r>
  </si>
  <si>
    <t>Oreochromis aureus</t>
  </si>
  <si>
    <t>Xiphopenaeus kroyeri</t>
  </si>
  <si>
    <t>Xiphopenaeus riveti</t>
  </si>
  <si>
    <t>Etmopterus spinax</t>
  </si>
  <si>
    <t>Etmopterus spp</t>
  </si>
  <si>
    <t>Galeocerdo cuvier</t>
  </si>
  <si>
    <t>Galeorhinus galeus</t>
  </si>
  <si>
    <t>Galeus melastomus</t>
  </si>
  <si>
    <t>Platycephalidae</t>
  </si>
  <si>
    <t>Platycephalus indicus</t>
  </si>
  <si>
    <t>Atheresthes evermanni</t>
  </si>
  <si>
    <t>Atheresthes stomias</t>
  </si>
  <si>
    <t>Austroglossus microlepis</t>
  </si>
  <si>
    <t>Longfin bonefish</t>
  </si>
  <si>
    <t>South American pilchard</t>
  </si>
  <si>
    <t>Taca clam</t>
  </si>
  <si>
    <t>Taquilla clams</t>
  </si>
  <si>
    <t>Charybdis crabs nei</t>
  </si>
  <si>
    <t>Bregmaceros mcclellandi</t>
  </si>
  <si>
    <t>Brosme brosme</t>
  </si>
  <si>
    <t>Coryphaenoides rupestris</t>
  </si>
  <si>
    <t>Eleginus gracilis</t>
  </si>
  <si>
    <t>Eleginus navaga</t>
  </si>
  <si>
    <t>Enchelyopus cimbrius</t>
  </si>
  <si>
    <t>Gadiformes</t>
  </si>
  <si>
    <t>Euphausia superba</t>
  </si>
  <si>
    <t>Gadus macrocephalus</t>
  </si>
  <si>
    <t>Gadus morhua</t>
  </si>
  <si>
    <t>Gadus ogac</t>
  </si>
  <si>
    <t>Southern stingray</t>
  </si>
  <si>
    <t>Dasyatis americana</t>
  </si>
  <si>
    <t>Southwest Atlantic butterfish</t>
  </si>
  <si>
    <t>Stromateus brasiliensis</t>
  </si>
  <si>
    <t>Spiral babylon</t>
  </si>
  <si>
    <t>Amer. plaice(=Long rough dab)</t>
  </si>
  <si>
    <t>Atl.jackknife(=Atl.razor clam)</t>
  </si>
  <si>
    <t>Builders woodwork &amp; prefab. Buildings of wood</t>
  </si>
  <si>
    <t>Manuf.of wood for domestic or decorative use</t>
  </si>
  <si>
    <t>Manufactured articles of wood nes</t>
  </si>
  <si>
    <t>Cork manufactures</t>
  </si>
  <si>
    <t>Newsprint paper</t>
  </si>
  <si>
    <t>Other printing and writing paper, machine mad</t>
  </si>
  <si>
    <t>Kraft paper and kraft paperboard</t>
  </si>
  <si>
    <t>Cigarette paper in bulk, rolls or sheets</t>
  </si>
  <si>
    <t>Machine made paper &amp; paperboard, simply fnshd</t>
  </si>
  <si>
    <t>Fibreboards &amp; buildg brds of pulp or veg fibr</t>
  </si>
  <si>
    <t>Hand made papers</t>
  </si>
  <si>
    <t>Paper and paperboard in rolls or sheets nes</t>
  </si>
  <si>
    <t>Coin other than gold ,not being legal tender</t>
  </si>
  <si>
    <t>EmbEn</t>
  </si>
  <si>
    <t>Sausages of Pig Meat</t>
  </si>
  <si>
    <t>0104.10</t>
  </si>
  <si>
    <t>Silk Raw</t>
  </si>
  <si>
    <t>Hen eggs, with shell</t>
  </si>
  <si>
    <t>4103.10_b</t>
  </si>
  <si>
    <t>Pigs</t>
  </si>
  <si>
    <t>GAEZ</t>
  </si>
  <si>
    <t>Settlement and infrastructure</t>
  </si>
  <si>
    <t>Crustacea &amp; molluscs,fresh,chilled,salted,dri</t>
  </si>
  <si>
    <t>Discard Factor</t>
  </si>
  <si>
    <t>Transfer Efficiency</t>
  </si>
  <si>
    <t>Fruit,temporarily preserved</t>
  </si>
  <si>
    <t>Fruit &amp; nuts,prepared or preserved,nes</t>
  </si>
  <si>
    <t>Footprint of non-fossil fuel carbon emissions</t>
  </si>
  <si>
    <t>Electric power machinery</t>
  </si>
  <si>
    <t>1521.90_b</t>
  </si>
  <si>
    <t>1502.00_e</t>
  </si>
  <si>
    <t>0406ac</t>
  </si>
  <si>
    <t>0404.10_b</t>
  </si>
  <si>
    <t>Lutjanus campechanus</t>
  </si>
  <si>
    <t>Ruff</t>
  </si>
  <si>
    <t>Sawsharks nei</t>
  </si>
  <si>
    <t>Sea anemones</t>
  </si>
  <si>
    <t>Seerfishes nei</t>
  </si>
  <si>
    <t>Shortbill spearfish</t>
  </si>
  <si>
    <t>Sillago-whitings</t>
  </si>
  <si>
    <t>Silver gemfish</t>
  </si>
  <si>
    <t>Silver grunt</t>
  </si>
  <si>
    <t>Slipper lobsters nei</t>
  </si>
  <si>
    <t>Snoek</t>
  </si>
  <si>
    <t>Monopterus albus</t>
  </si>
  <si>
    <t>Mormyridae</t>
  </si>
  <si>
    <t>Pineapple Juice Conc</t>
  </si>
  <si>
    <t>2009.49</t>
  </si>
  <si>
    <t>Vegetable products,chiefly for human food nes</t>
  </si>
  <si>
    <t>Bricks,tiles and construction mat.of glass</t>
  </si>
  <si>
    <t>Flour &amp; flakes of potatoes,fruits,vegetables</t>
  </si>
  <si>
    <t>Vegetables preserved or prepared,nes</t>
  </si>
  <si>
    <t>North African catfish</t>
  </si>
  <si>
    <t>Black catfishes nei</t>
  </si>
  <si>
    <t>Nile tilapia</t>
  </si>
  <si>
    <t>Banded yellowfish</t>
  </si>
  <si>
    <t>Basketwork eel</t>
  </si>
  <si>
    <t>Monotaxis grandoculis</t>
  </si>
  <si>
    <t>Mugil cephalus</t>
  </si>
  <si>
    <t>Mugil liza</t>
  </si>
  <si>
    <t>Mugil soiuy</t>
  </si>
  <si>
    <t>Mugilidae</t>
  </si>
  <si>
    <t>Mullidae</t>
  </si>
  <si>
    <t>Mulloidichthys flavolineatus</t>
  </si>
  <si>
    <t>Porphyra tenera</t>
  </si>
  <si>
    <t>Rhodophyceae</t>
  </si>
  <si>
    <t>Chlorophyceae</t>
  </si>
  <si>
    <t>Ulva pertusa</t>
  </si>
  <si>
    <t>Penaeus aztecus</t>
  </si>
  <si>
    <t>Penaeus brasiliensis</t>
  </si>
  <si>
    <t>Other household equipment of base metals</t>
  </si>
  <si>
    <t>Locksmiths wares</t>
  </si>
  <si>
    <t>All Fish</t>
  </si>
  <si>
    <t>Molluscs</t>
  </si>
  <si>
    <t>Other Crustaceans</t>
  </si>
  <si>
    <t>Other Fish</t>
  </si>
  <si>
    <t>Other Flatfish</t>
  </si>
  <si>
    <t>Seaweeds</t>
  </si>
  <si>
    <t>Sole</t>
  </si>
  <si>
    <t>Characins nei</t>
  </si>
  <si>
    <t>Live animals chiefly for food ,n.e.s.</t>
  </si>
  <si>
    <t>Meat of bovine animals,fresh,chilled or froze</t>
  </si>
  <si>
    <t>[External]</t>
  </si>
  <si>
    <t>feed_demand_n</t>
  </si>
  <si>
    <t>cnst_grazing</t>
  </si>
  <si>
    <t>resourcestat_livestock_n</t>
  </si>
  <si>
    <t>ef_grazing</t>
  </si>
  <si>
    <t>feed_intensity_w</t>
  </si>
  <si>
    <t>biocap</t>
  </si>
  <si>
    <t>livestock_feed_ef_n</t>
  </si>
  <si>
    <t>feed_mix_w</t>
  </si>
  <si>
    <t>livestock_intensity_w</t>
  </si>
  <si>
    <r>
      <t>[t head</t>
    </r>
    <r>
      <rPr>
        <vertAlign val="superscript"/>
        <sz val="10"/>
        <color indexed="23"/>
        <rFont val="Arial"/>
        <family val="2"/>
      </rPr>
      <t>-1</t>
    </r>
    <r>
      <rPr>
        <sz val="10"/>
        <color indexed="23"/>
        <rFont val="Arial"/>
        <family val="2"/>
      </rPr>
      <t>]</t>
    </r>
  </si>
  <si>
    <t>[t head-1]</t>
  </si>
  <si>
    <r>
      <t>[gha (t d)</t>
    </r>
    <r>
      <rPr>
        <vertAlign val="superscript"/>
        <sz val="10"/>
        <color indexed="23"/>
        <rFont val="Arial"/>
        <family val="2"/>
      </rPr>
      <t>-1</t>
    </r>
    <r>
      <rPr>
        <sz val="10"/>
        <color indexed="23"/>
        <rFont val="Arial"/>
        <family val="2"/>
      </rPr>
      <t>]</t>
    </r>
  </si>
  <si>
    <t>ef_fish</t>
  </si>
  <si>
    <t>cnst_fish</t>
  </si>
  <si>
    <t>fish_commodity_yield_n</t>
  </si>
  <si>
    <t>fish_group_yield_n</t>
  </si>
  <si>
    <t>[t p]</t>
  </si>
  <si>
    <r>
      <t>[t p (t d)</t>
    </r>
    <r>
      <rPr>
        <vertAlign val="superscript"/>
        <sz val="10"/>
        <color indexed="23"/>
        <rFont val="Arial"/>
        <family val="2"/>
      </rPr>
      <t>-1</t>
    </r>
    <r>
      <rPr>
        <sz val="10"/>
        <color indexed="23"/>
        <rFont val="Arial"/>
        <family val="2"/>
      </rPr>
      <t>]</t>
    </r>
  </si>
  <si>
    <t>Normanichthys crockeri</t>
  </si>
  <si>
    <t>Notothenia gibberifrons</t>
  </si>
  <si>
    <t>Notothenia kempi</t>
  </si>
  <si>
    <t>Notothenia neglecta</t>
  </si>
  <si>
    <t>Notothenia rossii</t>
  </si>
  <si>
    <t>Notothenia squamifrons</t>
  </si>
  <si>
    <t>Nototheniidae</t>
  </si>
  <si>
    <t>EQF</t>
  </si>
  <si>
    <t>Nitrogen function compounds</t>
  </si>
  <si>
    <t>Pomadasys incisus</t>
  </si>
  <si>
    <t>Pomadasys jubelini</t>
  </si>
  <si>
    <t>Pomadasys kaakan</t>
  </si>
  <si>
    <t>Pomadasys stridens</t>
  </si>
  <si>
    <t>Footwear</t>
  </si>
  <si>
    <t>Optical elements</t>
  </si>
  <si>
    <t>Spectacles and spectacle frames</t>
  </si>
  <si>
    <t>Binoculars, microscopes &amp; other optical instr</t>
  </si>
  <si>
    <t>Photographic cameras and flashlight apparatus</t>
  </si>
  <si>
    <t>Hunting and sporting ammunition</t>
  </si>
  <si>
    <t>Biocapacity</t>
  </si>
  <si>
    <t>Introduction</t>
  </si>
  <si>
    <t>For More Information</t>
  </si>
  <si>
    <t>0710.10</t>
  </si>
  <si>
    <t>Dicentrarchus labrax</t>
  </si>
  <si>
    <t>Dicentrarchus punctatus</t>
  </si>
  <si>
    <t>Dicentrarchus spp</t>
  </si>
  <si>
    <t>Diplodus argenteus</t>
  </si>
  <si>
    <t>Intensity of Fish oil Fish</t>
  </si>
  <si>
    <t>Intensity of Fish oil</t>
  </si>
  <si>
    <t>Extraction Rate of Fish Oil</t>
  </si>
  <si>
    <t>Synthetic rubber and rubber substitutes</t>
  </si>
  <si>
    <t>Reclaimed rubber</t>
  </si>
  <si>
    <t>Waste &amp; scrap of unhardened rubber</t>
  </si>
  <si>
    <t>Fuel wood &amp; wood waste</t>
  </si>
  <si>
    <t>Wood charcoal</t>
  </si>
  <si>
    <t>Pulpwood, including broadleaved</t>
  </si>
  <si>
    <t>Edible offals of animals,fresh,chilled,frozen</t>
  </si>
  <si>
    <t>Other fresh,chilled,frozen meat &amp; edible offa</t>
  </si>
  <si>
    <t>Bacon,ham &amp; other dried,salted,smoked pig mea</t>
  </si>
  <si>
    <t>Meat &amp; edible offals,nes. Dried,salted,smoked</t>
  </si>
  <si>
    <t>Meat extracts &amp; meat juices</t>
  </si>
  <si>
    <t>Sausages,whether or not in airtight container</t>
  </si>
  <si>
    <t>Other prepared or preserved meat</t>
  </si>
  <si>
    <t>Milk &amp; cream evaporated or condensed</t>
  </si>
  <si>
    <t>Milk &amp; cream in solid form,blocks or powder</t>
  </si>
  <si>
    <t>Milk &amp; cream fresh</t>
  </si>
  <si>
    <t>Umbrina canariensis</t>
  </si>
  <si>
    <t>Umbrina canosai</t>
  </si>
  <si>
    <t>Umbrina cirrosa</t>
  </si>
  <si>
    <t>Upeneus spp</t>
  </si>
  <si>
    <t>Valamugil seheli</t>
  </si>
  <si>
    <t>Fish fillets, frozen, nei</t>
  </si>
  <si>
    <t>Octopus, other than live, fresh or chilled</t>
  </si>
  <si>
    <t>Toothfish (Dissostichus spp.), frozen</t>
  </si>
  <si>
    <t>Preparations of a kind used in animal feeding, nei</t>
  </si>
  <si>
    <t>Toothfish (Dissostichus spp.), fresh or chilled</t>
  </si>
  <si>
    <t>Pacific sand sole</t>
  </si>
  <si>
    <t>Pacific sanddab</t>
  </si>
  <si>
    <t>Pacific tomcod</t>
  </si>
  <si>
    <t>Petrale sole</t>
  </si>
  <si>
    <t>Pigfish</t>
  </si>
  <si>
    <t>Argyrosomus hololepidotus</t>
  </si>
  <si>
    <t>Argyrosomus regius</t>
  </si>
  <si>
    <t>Argyrozona argyrozona</t>
  </si>
  <si>
    <t>Ariidae</t>
  </si>
  <si>
    <t>Chicken meat</t>
  </si>
  <si>
    <t>Atlantic searobins</t>
  </si>
  <si>
    <t>Margarine, imitn lard &amp; preprd edible fats ne</t>
  </si>
  <si>
    <t>Meat of swine,fresh,chilled or frozen</t>
  </si>
  <si>
    <t>Poultry,incl.offals ex.liver fresh,chilled,fr</t>
  </si>
  <si>
    <t>Meat of horses,asses,mules &amp; hinnies,fr.ch.fr</t>
  </si>
  <si>
    <t>Bastard halibuts nei</t>
  </si>
  <si>
    <t>Black drum</t>
  </si>
  <si>
    <t>Blackbelly rosefish</t>
  </si>
  <si>
    <t>Blue antimora</t>
  </si>
  <si>
    <t>Brazilian codling</t>
  </si>
  <si>
    <t>Brazilian flathead</t>
  </si>
  <si>
    <t>Percophis brasiliensis</t>
  </si>
  <si>
    <t>Phycis blennoides</t>
  </si>
  <si>
    <t>Phycis phycis</t>
  </si>
  <si>
    <t>Butterm.,Curdl,Acid.Milk</t>
  </si>
  <si>
    <t>Cattle Hides</t>
  </si>
  <si>
    <t>Cereals, nes</t>
  </si>
  <si>
    <t>Cider Etc</t>
  </si>
  <si>
    <t>Citrus fruit, nes</t>
  </si>
  <si>
    <t>Citrus juice, concentrated</t>
  </si>
  <si>
    <t>Flour of Maize</t>
  </si>
  <si>
    <t>Flour of Mixed Grain</t>
  </si>
  <si>
    <t>Fruit Juice Nes</t>
  </si>
  <si>
    <t>Sea chubs nei</t>
  </si>
  <si>
    <t>Triggerfishes, durgons nei</t>
  </si>
  <si>
    <t>American harvestfish</t>
  </si>
  <si>
    <t>Peprilus paru</t>
  </si>
  <si>
    <t>Angulate volute</t>
  </si>
  <si>
    <t>Antarctic krill</t>
  </si>
  <si>
    <t>Antarctic rockcods, noties nei</t>
  </si>
  <si>
    <t>Sheep meat</t>
  </si>
  <si>
    <t>0204.21_a</t>
  </si>
  <si>
    <t>Sheep milk, whole, fresh</t>
  </si>
  <si>
    <t>0401.20_c</t>
  </si>
  <si>
    <t>Silk-worm cocoons, reelable</t>
  </si>
  <si>
    <t>Turkey meat</t>
  </si>
  <si>
    <t>Wool, greasy</t>
  </si>
  <si>
    <t>Sheep</t>
  </si>
  <si>
    <t>0902.00</t>
  </si>
  <si>
    <t>Grass carp(=White amur)</t>
  </si>
  <si>
    <t>Mullets nei</t>
  </si>
  <si>
    <t>Rainbow trout</t>
  </si>
  <si>
    <t>Sicyopterus lagocephalus</t>
  </si>
  <si>
    <t>Bigmouth sleeper</t>
  </si>
  <si>
    <t>Gobiomorus dormitor</t>
  </si>
  <si>
    <t>Fat sleeper</t>
  </si>
  <si>
    <t>Dormitator maculatus</t>
  </si>
  <si>
    <t>Fringebarbel sturgeon</t>
  </si>
  <si>
    <t>Acipenser nudiventris</t>
  </si>
  <si>
    <t>Gars nei</t>
  </si>
  <si>
    <t>Lepisosteidae</t>
  </si>
  <si>
    <t>Gilded catfish</t>
  </si>
  <si>
    <t>Brachyplatystoma flavicans</t>
  </si>
  <si>
    <t>Hampala barb</t>
  </si>
  <si>
    <t>Laulao catfish</t>
  </si>
  <si>
    <t>Brachyplatystoma vaillanti</t>
  </si>
  <si>
    <t>Mediterranean horse mackerel</t>
  </si>
  <si>
    <t>North Pacific hake</t>
  </si>
  <si>
    <t>Northern prawn</t>
  </si>
  <si>
    <t>Northern shortfin squid</t>
  </si>
  <si>
    <t>Ocean pout</t>
  </si>
  <si>
    <t>Pacific jack mackerel</t>
  </si>
  <si>
    <t>Red hake</t>
  </si>
  <si>
    <t>Meat Extracts</t>
  </si>
  <si>
    <t>Meat of Beef,Drd, Sltd,Smkd</t>
  </si>
  <si>
    <t>Spicara spp</t>
  </si>
  <si>
    <t>Spondyliosoma cantharus</t>
  </si>
  <si>
    <t>Stenotomus chrysops</t>
  </si>
  <si>
    <t>Cheimerius nufar</t>
  </si>
  <si>
    <t>Chelon haematocheilus</t>
  </si>
  <si>
    <t>Chrysoblephus spp</t>
  </si>
  <si>
    <t>Epinephelus multinotatus</t>
  </si>
  <si>
    <t>Epinephelus nigritus</t>
  </si>
  <si>
    <t>Inorganic chemical products,nes</t>
  </si>
  <si>
    <t>Radioactive chem.elements &amp; isotopes/comp.&amp;mi</t>
  </si>
  <si>
    <t>Urophycis tenuis</t>
  </si>
  <si>
    <t>HS+ Code</t>
  </si>
  <si>
    <t>FAO Code</t>
  </si>
  <si>
    <t>2009.71</t>
  </si>
  <si>
    <t>1104.29</t>
  </si>
  <si>
    <t>2302.40</t>
  </si>
  <si>
    <t>2206.00</t>
  </si>
  <si>
    <t>Undaria pinnatifida</t>
  </si>
  <si>
    <t>Callophyllis variegata</t>
  </si>
  <si>
    <t>Chondrus crispus</t>
  </si>
  <si>
    <t>Digenea simplex</t>
  </si>
  <si>
    <t>Gelidium spp</t>
  </si>
  <si>
    <t>Beans, dry</t>
  </si>
  <si>
    <t>0713.3_a</t>
  </si>
  <si>
    <t>Macrourus spp</t>
  </si>
  <si>
    <t>Scirpus spp</t>
  </si>
  <si>
    <t>Spirulina spp</t>
  </si>
  <si>
    <t>Zostera marina</t>
  </si>
  <si>
    <t>Name</t>
  </si>
  <si>
    <t>Code</t>
  </si>
  <si>
    <t>Production</t>
  </si>
  <si>
    <t>Yield</t>
  </si>
  <si>
    <t>forage Products</t>
  </si>
  <si>
    <t>Frozen Potatoes</t>
  </si>
  <si>
    <t>Polishes,pastes,powder for polishing/preservi</t>
  </si>
  <si>
    <t>Nitrogenous fertilizers and materials nes</t>
  </si>
  <si>
    <t>Cotton yarn &amp; thread, grey, not mercerized</t>
  </si>
  <si>
    <t>Scorpaenichthys marmoratus</t>
  </si>
  <si>
    <t>Semicossyphus pulcher</t>
  </si>
  <si>
    <t>Halobatrachus didactylus</t>
  </si>
  <si>
    <t>Mackerel sharks,porbeagles nei</t>
  </si>
  <si>
    <t>Lamnidae</t>
  </si>
  <si>
    <t>Mantas, devil rays nei</t>
  </si>
  <si>
    <t>Mexican barred snapper</t>
  </si>
  <si>
    <t>Mexican four-eyed octopus</t>
  </si>
  <si>
    <t>Octopus maya</t>
  </si>
  <si>
    <t>Mola rock crab</t>
  </si>
  <si>
    <t>Monkfishes nei</t>
  </si>
  <si>
    <t>Lophius spp</t>
  </si>
  <si>
    <t>Mouse catshark</t>
  </si>
  <si>
    <t>Galeus murinus</t>
  </si>
  <si>
    <t>Musky octopus</t>
  </si>
  <si>
    <t>Eledone moschata</t>
  </si>
  <si>
    <t>Mutton snapper</t>
  </si>
  <si>
    <t>Lutjanus analis</t>
  </si>
  <si>
    <t>Northern wolffish</t>
  </si>
  <si>
    <t>Anarhichas denticulatus</t>
  </si>
  <si>
    <t>Norway redfish</t>
  </si>
  <si>
    <t>Sebastes viviparus</t>
  </si>
  <si>
    <t>Ocean shrimp</t>
  </si>
  <si>
    <t>Pandalus jordani</t>
  </si>
  <si>
    <t>Offshore rockfish</t>
  </si>
  <si>
    <t>Pontinus kuhlii</t>
  </si>
  <si>
    <t>Pacific angelshark</t>
  </si>
  <si>
    <t>Squatina californica</t>
  </si>
  <si>
    <t>Pacific cornetfish</t>
  </si>
  <si>
    <t>Fistularia corneta</t>
  </si>
  <si>
    <t>Pacific flatiron herring</t>
  </si>
  <si>
    <t>Harengula thrissina</t>
  </si>
  <si>
    <t>Pacific piquitinga</t>
  </si>
  <si>
    <t>Lile stolifera</t>
  </si>
  <si>
    <t>Potato Offals</t>
  </si>
  <si>
    <t>2308.00_a</t>
  </si>
  <si>
    <t>0701_a</t>
  </si>
  <si>
    <t>0208.10_a</t>
  </si>
  <si>
    <t>0810.20_a</t>
  </si>
  <si>
    <t>1006.10_a</t>
  </si>
  <si>
    <t>1002.00_a</t>
  </si>
  <si>
    <t>1207.40_a</t>
  </si>
  <si>
    <t>5001.00_a</t>
  </si>
  <si>
    <t>New Zealand dory</t>
  </si>
  <si>
    <t>Percarina</t>
  </si>
  <si>
    <t>Sheepshead</t>
  </si>
  <si>
    <t>Snowy grouper</t>
  </si>
  <si>
    <t>Spot croaker</t>
  </si>
  <si>
    <t>Spotted ratfish</t>
  </si>
  <si>
    <t>Squeteague(=Gray weakfish)</t>
  </si>
  <si>
    <t>Red grouper</t>
  </si>
  <si>
    <t>Redspotted shrimp</t>
  </si>
  <si>
    <t>Sawfishes</t>
  </si>
  <si>
    <t>Scaled sardines</t>
  </si>
  <si>
    <t>Pacific guitarfish</t>
  </si>
  <si>
    <t>Peruvian banded croaker</t>
  </si>
  <si>
    <t>Glassfishes</t>
  </si>
  <si>
    <t>Moonfish</t>
  </si>
  <si>
    <t>Antarctic silverfish</t>
  </si>
  <si>
    <t>Fourbeard rockling</t>
  </si>
  <si>
    <t>Widow rockfish</t>
  </si>
  <si>
    <t>Yellowtail rockfish</t>
  </si>
  <si>
    <t>Hypomesus olidus</t>
  </si>
  <si>
    <t>Hypomesus pretiosus</t>
  </si>
  <si>
    <t>Oncorhynchus gorbuscha</t>
  </si>
  <si>
    <t>Oncorhynchus keta</t>
  </si>
  <si>
    <t>Oncorhynchus kisutch</t>
  </si>
  <si>
    <t>Yellowfin grouper</t>
  </si>
  <si>
    <t xml:space="preserve">Non-specified Transport </t>
  </si>
  <si>
    <t>0901.90</t>
  </si>
  <si>
    <t>Coffee Roasted</t>
  </si>
  <si>
    <t>Note: This table is used in calculating the World total Ecological Footprint only</t>
  </si>
  <si>
    <t>eqf</t>
  </si>
  <si>
    <t>crop_efp</t>
  </si>
  <si>
    <t>Pacific cupped oyster</t>
  </si>
  <si>
    <t>Penaeus notialis</t>
  </si>
  <si>
    <t>Penaeus occidentalis</t>
  </si>
  <si>
    <t>Penaeus paulensis</t>
  </si>
  <si>
    <t>Penaeus penicillatus</t>
  </si>
  <si>
    <t>Penaeus semisulcatus</t>
  </si>
  <si>
    <t>Penaeus setiferus</t>
  </si>
  <si>
    <t>Penaeus spp</t>
  </si>
  <si>
    <t>Penaeus stylirostris</t>
  </si>
  <si>
    <t>Mediterranean shore crab</t>
  </si>
  <si>
    <t>Megrim</t>
  </si>
  <si>
    <t>Norway lobster</t>
  </si>
  <si>
    <t>Pandoras nei</t>
  </si>
  <si>
    <t>Picarels nei</t>
  </si>
  <si>
    <t>Poor cod</t>
  </si>
  <si>
    <t>Skinsdry Sltsheep</t>
  </si>
  <si>
    <t>Skinswet Sltdpigs</t>
  </si>
  <si>
    <t>Soya Sauce</t>
  </si>
  <si>
    <t>2103.10</t>
  </si>
  <si>
    <t>Spermaceti</t>
  </si>
  <si>
    <t>Beer including ale,stout,porter</t>
  </si>
  <si>
    <t>Distilled alcoholic beverages</t>
  </si>
  <si>
    <t>Cnidaria</t>
  </si>
  <si>
    <t>Corallium elatius</t>
  </si>
  <si>
    <t>Corallium japonicum</t>
  </si>
  <si>
    <t>Corallium konojoi</t>
  </si>
  <si>
    <t>Corallium rubrum</t>
  </si>
  <si>
    <t>Seed Cotton</t>
  </si>
  <si>
    <t>2008.99</t>
  </si>
  <si>
    <t>1702.11</t>
  </si>
  <si>
    <t>1701.99</t>
  </si>
  <si>
    <t>0713.90</t>
  </si>
  <si>
    <t>2004.90</t>
  </si>
  <si>
    <t>0712.90</t>
  </si>
  <si>
    <t>Knifefishes</t>
  </si>
  <si>
    <t>[wha]</t>
  </si>
  <si>
    <t>Flour of Fonio</t>
  </si>
  <si>
    <t>Red bait</t>
  </si>
  <si>
    <t>Capromimus abbreviatus</t>
  </si>
  <si>
    <t>Motor spirit, gasolene and other light oils</t>
  </si>
  <si>
    <t>Chilean kelp</t>
  </si>
  <si>
    <t>Chilean knife shrimp</t>
  </si>
  <si>
    <t>Chilean nylon shrimp</t>
  </si>
  <si>
    <t>Fur clothing</t>
  </si>
  <si>
    <t>World TFR</t>
  </si>
  <si>
    <t>National TFR</t>
  </si>
  <si>
    <t>Relative Intensity</t>
  </si>
  <si>
    <t>[t feed / t LW]</t>
  </si>
  <si>
    <t>Raja hyperborea</t>
  </si>
  <si>
    <t>Snubnose pompano</t>
  </si>
  <si>
    <t>Mangrove cupped oyster</t>
  </si>
  <si>
    <t>Maize</t>
  </si>
  <si>
    <t>Food Waste,Prep. for Feed</t>
  </si>
  <si>
    <t>2309.90_l</t>
  </si>
  <si>
    <t>Food Wastes</t>
  </si>
  <si>
    <t>Allis shad</t>
  </si>
  <si>
    <t>Basking shark</t>
  </si>
  <si>
    <t>Black dogfish</t>
  </si>
  <si>
    <t>Blackmouth catshark</t>
  </si>
  <si>
    <t>Liza saliens</t>
  </si>
  <si>
    <t>Lutjanidae</t>
  </si>
  <si>
    <t>Mojarras, etc. nei</t>
  </si>
  <si>
    <t>Pacific anchoveta</t>
  </si>
  <si>
    <t>Pacific seabob</t>
  </si>
  <si>
    <t>Pacific sierra</t>
  </si>
  <si>
    <t>Panama hake</t>
  </si>
  <si>
    <t>Spotted grouper</t>
  </si>
  <si>
    <t>Western white shrimp</t>
  </si>
  <si>
    <t>Corvina drum</t>
  </si>
  <si>
    <t>Non refractory ceramic bricks,tiles,pipes etc</t>
  </si>
  <si>
    <t>Grinding and polishing wheels and stones</t>
  </si>
  <si>
    <t>Abrasive cloths and papers and similar art.</t>
  </si>
  <si>
    <t>Worked mica and articles thereof</t>
  </si>
  <si>
    <t>Mineral insulating materials, nes</t>
  </si>
  <si>
    <t>Artichokes</t>
  </si>
  <si>
    <t>0709.10</t>
  </si>
  <si>
    <t>Asparagus</t>
  </si>
  <si>
    <t>Sisal and other fibres of the agave family</t>
  </si>
  <si>
    <t>Manila fibre and manila tow and waste</t>
  </si>
  <si>
    <t>5305.2_a</t>
  </si>
  <si>
    <t>Maple Sugar and Syrups</t>
  </si>
  <si>
    <t>1702.20</t>
  </si>
  <si>
    <t>Meal Meat</t>
  </si>
  <si>
    <t>Sergestid shrimps nei</t>
  </si>
  <si>
    <t>Turban shells nei</t>
  </si>
  <si>
    <t>Dogtooth tuna</t>
  </si>
  <si>
    <t>Atlantic Spanish mackerel</t>
  </si>
  <si>
    <t>Bobo mullet</t>
  </si>
  <si>
    <t>California pilchard</t>
  </si>
  <si>
    <t>Californian anchovy</t>
  </si>
  <si>
    <t>Gulf kingcroaker</t>
  </si>
  <si>
    <t>Northern red snapper</t>
  </si>
  <si>
    <t>Ocean whitefish</t>
  </si>
  <si>
    <t>Spotted weakfish</t>
  </si>
  <si>
    <t>Totoaba</t>
  </si>
  <si>
    <t>Forkbeards nei</t>
  </si>
  <si>
    <t>Mozambique lobster</t>
  </si>
  <si>
    <t>Cape elephantfish</t>
  </si>
  <si>
    <t>Sebastes pinniger</t>
  </si>
  <si>
    <t>Sebastes spp</t>
  </si>
  <si>
    <t>Sebastolobus alascanus</t>
  </si>
  <si>
    <t>Seriolella brama</t>
  </si>
  <si>
    <t>Donax spp</t>
  </si>
  <si>
    <t>Scarus ghobban</t>
  </si>
  <si>
    <t>Scarus persicus</t>
  </si>
  <si>
    <t>Scatophagus spp</t>
  </si>
  <si>
    <t>Conger eels, etc. nei</t>
  </si>
  <si>
    <t>Cunene horse mackerel</t>
  </si>
  <si>
    <t>Dentex nei</t>
  </si>
  <si>
    <t>False scad</t>
  </si>
  <si>
    <t>Grunts, sweetlips nei</t>
  </si>
  <si>
    <t>Large-eye dentex</t>
  </si>
  <si>
    <t>Lobsters nei</t>
  </si>
  <si>
    <t>Pompano</t>
  </si>
  <si>
    <t>Red pandora</t>
  </si>
  <si>
    <t>Sand steenbras</t>
  </si>
  <si>
    <t>Shallow-water Cape hake</t>
  </si>
  <si>
    <t>Southern African pilchard</t>
  </si>
  <si>
    <t>Southern meagre(=Mulloway)</t>
  </si>
  <si>
    <t>Striped red shrimp</t>
  </si>
  <si>
    <t>Various squids nei</t>
  </si>
  <si>
    <t>West African croakers nei</t>
  </si>
  <si>
    <t>Plywood, including veneered panels</t>
  </si>
  <si>
    <t>Mullus argentinae</t>
  </si>
  <si>
    <t>Mullus barbatus</t>
  </si>
  <si>
    <t>Pink ear emperor</t>
  </si>
  <si>
    <t>Mustelus spp</t>
  </si>
  <si>
    <t>Myliobatidae</t>
  </si>
  <si>
    <t>Myliobatis aquila</t>
  </si>
  <si>
    <t>Negaprion brevirostris</t>
  </si>
  <si>
    <t>Notorynchus cepedianus</t>
  </si>
  <si>
    <t>Oxynotus centrina</t>
  </si>
  <si>
    <t>Feed Supplements</t>
  </si>
  <si>
    <t>2309.90_f</t>
  </si>
  <si>
    <t>Fibre Crops Nes</t>
  </si>
  <si>
    <t>5305.90_c</t>
  </si>
  <si>
    <t>Figs Dried</t>
  </si>
  <si>
    <t>0804.20_b</t>
  </si>
  <si>
    <t>Fine Goat Hair</t>
  </si>
  <si>
    <t>Flax Fibre Raw</t>
  </si>
  <si>
    <t>5301.10</t>
  </si>
  <si>
    <t>Flax Tow Waste</t>
  </si>
  <si>
    <t>5301.30</t>
  </si>
  <si>
    <t>Flour of Buckwheat</t>
  </si>
  <si>
    <t>1102.90_d</t>
  </si>
  <si>
    <t>Flour of Cassava</t>
  </si>
  <si>
    <t>1106.20_b</t>
  </si>
  <si>
    <t>Flour of Fruits</t>
  </si>
  <si>
    <t>1106.30</t>
  </si>
  <si>
    <t>Flour of Millet</t>
  </si>
  <si>
    <t>ricebmeal</t>
  </si>
  <si>
    <t>Buffaloes</t>
  </si>
  <si>
    <t>0102_b</t>
  </si>
  <si>
    <t>Cancer pagurus</t>
  </si>
  <si>
    <t>Jasus edwardsii</t>
  </si>
  <si>
    <t>Jasus frontalis</t>
  </si>
  <si>
    <t>Jasus lalandii</t>
  </si>
  <si>
    <t>Percoidei</t>
  </si>
  <si>
    <t>Petrus rupestris</t>
  </si>
  <si>
    <t>Platax spp</t>
  </si>
  <si>
    <t>Wheat, other cereals</t>
  </si>
  <si>
    <t>Rice, Paddy</t>
  </si>
  <si>
    <t>Cutlery</t>
  </si>
  <si>
    <t>Red-eye round herring</t>
  </si>
  <si>
    <t>Snake mackerels, escolars nei</t>
  </si>
  <si>
    <t>Springs and leaves for srings/iron steel copp</t>
  </si>
  <si>
    <t>Miscell.articles of base metal</t>
  </si>
  <si>
    <t>Articles of base metals, nes</t>
  </si>
  <si>
    <t>1214.90_e</t>
  </si>
  <si>
    <t>Safflower oil</t>
  </si>
  <si>
    <t>1512.1_b</t>
  </si>
  <si>
    <t>Haddock, fresh or chilled</t>
  </si>
  <si>
    <t>Haddock, frozen</t>
  </si>
  <si>
    <t>Violet warehou</t>
  </si>
  <si>
    <t>Schedophilus velaini</t>
  </si>
  <si>
    <t>Weeverfishes nei</t>
  </si>
  <si>
    <t>Trachinidae</t>
  </si>
  <si>
    <t>Weevers nei</t>
  </si>
  <si>
    <t>Trachinus spp</t>
  </si>
  <si>
    <t>Alepocephalus bairdii</t>
  </si>
  <si>
    <t>Allocyttus niger</t>
  </si>
  <si>
    <t>Anarhichas lupus</t>
  </si>
  <si>
    <t>Anarhichas minor</t>
  </si>
  <si>
    <t>Anarhichas spp</t>
  </si>
  <si>
    <t>Anoplopoma fimbria</t>
  </si>
  <si>
    <t>Chrysichthys nigrodigitatus</t>
  </si>
  <si>
    <t>EF Fish</t>
  </si>
  <si>
    <t>EF Grazing</t>
  </si>
  <si>
    <t>Expected Fish</t>
  </si>
  <si>
    <t>Fish %</t>
  </si>
  <si>
    <t>Grass %</t>
  </si>
  <si>
    <t>Forests</t>
  </si>
  <si>
    <t>Inland waters</t>
  </si>
  <si>
    <t>Infrastructure aggregate</t>
  </si>
  <si>
    <t>Epigonus telescopus</t>
  </si>
  <si>
    <t>Eutrigla gurnardus</t>
  </si>
  <si>
    <t>Gempylidae</t>
  </si>
  <si>
    <t>Genypterus blacodes</t>
  </si>
  <si>
    <t>Palinurid spiny lobsters nei</t>
  </si>
  <si>
    <t>Ornaments of ceramic materials, nes</t>
  </si>
  <si>
    <t>Pearls,not set or strung</t>
  </si>
  <si>
    <t>Diamonds,not industrial,not set or strung</t>
  </si>
  <si>
    <t>Cardinal fishes nei</t>
  </si>
  <si>
    <t>Humpback red snapper</t>
  </si>
  <si>
    <t>Humpnose big-eye bream</t>
  </si>
  <si>
    <t>Karanteen seabream</t>
  </si>
  <si>
    <t>Minstrel sweetlips</t>
  </si>
  <si>
    <t>Needlescaled queenfish</t>
  </si>
  <si>
    <t>Obtuse barracuda</t>
  </si>
  <si>
    <t>1207.9aa</t>
  </si>
  <si>
    <t>Southeast Atlantic soles nei</t>
  </si>
  <si>
    <t>Threadfin breams nei</t>
  </si>
  <si>
    <t>Tonguefishes</t>
  </si>
  <si>
    <t>Paralonchurus peruanus</t>
  </si>
  <si>
    <t>Parapercis colias</t>
  </si>
  <si>
    <t>Anchors,grapnels and parts of iron or steel</t>
  </si>
  <si>
    <t>Pins and needles of iron or steel</t>
  </si>
  <si>
    <t>Australian mussel</t>
  </si>
  <si>
    <t>Articles of ceramic materials nes</t>
  </si>
  <si>
    <t>Glass in the mass,rods &amp; tubes,waste glass</t>
  </si>
  <si>
    <t>Channa micropeltes</t>
  </si>
  <si>
    <t>Channa spp</t>
  </si>
  <si>
    <t>Yarn and thread of synthetic fibres</t>
  </si>
  <si>
    <t>Yarn and thread of regenerated fibres</t>
  </si>
  <si>
    <t>Natural phosphates, whether or not ground</t>
  </si>
  <si>
    <t>Natural potassic salts, crude</t>
  </si>
  <si>
    <t>Building &amp; monumental stone,rough</t>
  </si>
  <si>
    <t>Brachydeuterus auritus</t>
  </si>
  <si>
    <t>Caesionidae</t>
  </si>
  <si>
    <t>Abramis brama</t>
  </si>
  <si>
    <t>Abramis spp</t>
  </si>
  <si>
    <t>Acanthobrama terraesanctae</t>
  </si>
  <si>
    <t>Alburnus alburnus</t>
  </si>
  <si>
    <t>Lobotes surinamensis</t>
  </si>
  <si>
    <t>Lophiidae</t>
  </si>
  <si>
    <t>Lophius americanus</t>
  </si>
  <si>
    <t>Trophic Level</t>
  </si>
  <si>
    <t>PPR</t>
  </si>
  <si>
    <t>Freshwater mussel shells</t>
  </si>
  <si>
    <t>Hickory shad</t>
  </si>
  <si>
    <t>Mississippi paddlefish</t>
  </si>
  <si>
    <t>Striped bass</t>
  </si>
  <si>
    <t>Suckers nei</t>
  </si>
  <si>
    <t>Lutjanus griseus</t>
  </si>
  <si>
    <t>Grey tilefish</t>
  </si>
  <si>
    <t>Caulolatilus microps</t>
  </si>
  <si>
    <t>Hogfish</t>
  </si>
  <si>
    <t>Lachnolaimus maximus</t>
  </si>
  <si>
    <t>Kelp greenling</t>
  </si>
  <si>
    <t>Hexagrammos decagrammus</t>
  </si>
  <si>
    <t>Longnose anchovy</t>
  </si>
  <si>
    <t>Anchoa nasus</t>
  </si>
  <si>
    <t>Longnose spurdog</t>
  </si>
  <si>
    <t>Railway sleepers ties</t>
  </si>
  <si>
    <t>Lumber, sawn, planed, etc.  Conifer</t>
  </si>
  <si>
    <t>Parika scaber</t>
  </si>
  <si>
    <t>Cachama</t>
  </si>
  <si>
    <t>Pirapatinga</t>
  </si>
  <si>
    <t>Channel catfish</t>
  </si>
  <si>
    <t>Crassostrea iredalei</t>
  </si>
  <si>
    <t>Crassostrea rhizophorae</t>
  </si>
  <si>
    <t>Pandalus kessleri</t>
  </si>
  <si>
    <t>Pandalus montagui</t>
  </si>
  <si>
    <t>Pandalus spp</t>
  </si>
  <si>
    <t>Psettodes belcheri</t>
  </si>
  <si>
    <t>Psettodes erumei</t>
  </si>
  <si>
    <t>Pseudopleuronectes americanus</t>
  </si>
  <si>
    <t>Tetrapturus pfluegeri</t>
  </si>
  <si>
    <t>Thunnus alalunga</t>
  </si>
  <si>
    <t>Thunnus albacares</t>
  </si>
  <si>
    <t>Thunnus atlanticus</t>
  </si>
  <si>
    <t>Thunnus maccoyii</t>
  </si>
  <si>
    <t>Thunnus obesus</t>
  </si>
  <si>
    <t>Thunnus orientalis</t>
  </si>
  <si>
    <t>Thunnus thynnus</t>
  </si>
  <si>
    <t>Thunnus tonggol</t>
  </si>
  <si>
    <t>Xiphias gladius</t>
  </si>
  <si>
    <t>Ablennes hians</t>
  </si>
  <si>
    <t>Elephantfishes, etc. nei</t>
  </si>
  <si>
    <t>Gastropods nei</t>
  </si>
  <si>
    <t>Gay's little venus</t>
  </si>
  <si>
    <t>Giant barnacle</t>
  </si>
  <si>
    <t>Hapuku wreckfish</t>
  </si>
  <si>
    <t>Juan Fernandez rock lobster</t>
  </si>
  <si>
    <t>Jumbo flying squid</t>
  </si>
  <si>
    <t>King crabs, stone crabs nei</t>
  </si>
  <si>
    <t>Macha clam</t>
  </si>
  <si>
    <t>Manifold callophyllis</t>
  </si>
  <si>
    <t>1901.90_a</t>
  </si>
  <si>
    <t>Waste materials from textile fabrics</t>
  </si>
  <si>
    <t>Natural fertilizers of anim./veget. Origin</t>
  </si>
  <si>
    <t>Natural sodium nitrate</t>
  </si>
  <si>
    <t>Meganyctiphanes norvegica</t>
  </si>
  <si>
    <t>Artemia salina</t>
  </si>
  <si>
    <t>Lepas spp</t>
  </si>
  <si>
    <t>Calamus spp</t>
  </si>
  <si>
    <t>Centropomus spp</t>
  </si>
  <si>
    <t>Centropomus undecimalis</t>
  </si>
  <si>
    <t>Centropristis striata</t>
  </si>
  <si>
    <t>Fish,in airtight containers</t>
  </si>
  <si>
    <t>Wheat and meslin,unmilled</t>
  </si>
  <si>
    <t>Ruvettus pretiosus</t>
  </si>
  <si>
    <t>Alfalfa for forage and silage</t>
  </si>
  <si>
    <t>Carcharhinidae</t>
  </si>
  <si>
    <t>Other</t>
  </si>
  <si>
    <t>Crab</t>
  </si>
  <si>
    <t>Rock Lobster</t>
  </si>
  <si>
    <t>Mackerel</t>
  </si>
  <si>
    <t>Mussels</t>
  </si>
  <si>
    <t>Octopus</t>
  </si>
  <si>
    <t>Oyster</t>
  </si>
  <si>
    <t>Plaice</t>
  </si>
  <si>
    <t>Scallops</t>
  </si>
  <si>
    <t>Seabass</t>
  </si>
  <si>
    <t>Skipjack and Bonito</t>
  </si>
  <si>
    <t>Sardines</t>
  </si>
  <si>
    <t>Shrimp and Prawns</t>
  </si>
  <si>
    <t>Trout</t>
  </si>
  <si>
    <t>All</t>
  </si>
  <si>
    <t>Propellent powders &amp; other prepared explosive</t>
  </si>
  <si>
    <t>Cancer productus</t>
  </si>
  <si>
    <t>Carcinus aestuarii</t>
  </si>
  <si>
    <t>Carcinus maenas</t>
  </si>
  <si>
    <t>Charybdis spp</t>
  </si>
  <si>
    <t>Chionoecetes opilio</t>
  </si>
  <si>
    <t>Chionoecetes spp</t>
  </si>
  <si>
    <t>Erimacrus isenbeckii</t>
  </si>
  <si>
    <t>Maja squinado</t>
  </si>
  <si>
    <t>Menippe mercenaria</t>
  </si>
  <si>
    <t>Mithrax armatus</t>
  </si>
  <si>
    <t>Nuts, bolts, screws, rivets, washers, etc.</t>
  </si>
  <si>
    <t>Hand tools, mainly for agriculture or forestr</t>
  </si>
  <si>
    <t>Other tools for use in the hand or in machine</t>
  </si>
  <si>
    <t>0709.20</t>
  </si>
  <si>
    <t>Avocados</t>
  </si>
  <si>
    <t>0804.40</t>
  </si>
  <si>
    <t>Turnips for Fodder</t>
  </si>
  <si>
    <t>1214.90_j</t>
  </si>
  <si>
    <t>Knitted or crochd fabrics not elast nor rubbe</t>
  </si>
  <si>
    <t>Fabrics of glass fibre</t>
  </si>
  <si>
    <t>Haliporoides sibogae</t>
  </si>
  <si>
    <t>Haliporoides triarthrus</t>
  </si>
  <si>
    <t>Heterocarpus reedi</t>
  </si>
  <si>
    <t>Heterocarpus vicarius</t>
  </si>
  <si>
    <t>Metapenaeus endeavouri</t>
  </si>
  <si>
    <t>Mouthbrooding cichlids</t>
  </si>
  <si>
    <t>Silver cyprinid</t>
  </si>
  <si>
    <t>Elephantsnout fishes nei</t>
  </si>
  <si>
    <t>Marine worms</t>
  </si>
  <si>
    <t>International Transport Emissions (Mt CO2)</t>
  </si>
  <si>
    <t>Leuciscus cephalus</t>
  </si>
  <si>
    <t>Leuciscus idus</t>
  </si>
  <si>
    <t>Leuciscus leuciscus</t>
  </si>
  <si>
    <t>Leuciscus spp</t>
  </si>
  <si>
    <t>Megalobrama amblycephala</t>
  </si>
  <si>
    <t>Mylopharyngodon piceus</t>
  </si>
  <si>
    <t>Pelecus cultratus</t>
  </si>
  <si>
    <t>Ghee Oil of Buf</t>
  </si>
  <si>
    <t>0805.40_a</t>
  </si>
  <si>
    <t>0806.10_a</t>
  </si>
  <si>
    <t>Lamna nasus</t>
  </si>
  <si>
    <t>Mobulidae</t>
  </si>
  <si>
    <t>Mustelus canis</t>
  </si>
  <si>
    <t>Mustelus henlei</t>
  </si>
  <si>
    <t>Mustelus lenticulatus</t>
  </si>
  <si>
    <t>Mustelus mustelus</t>
  </si>
  <si>
    <t>Mustelus schmitti</t>
  </si>
  <si>
    <t>Onions, dry</t>
  </si>
  <si>
    <t>Fruit,Nut,Peel, Sugar Prs</t>
  </si>
  <si>
    <t>Yellowleg shrimp</t>
  </si>
  <si>
    <t>Mycteroperca xenarcha</t>
  </si>
  <si>
    <t>Myoxocephalus spp</t>
  </si>
  <si>
    <t>Myxinidae</t>
  </si>
  <si>
    <t>Roots and tubers</t>
  </si>
  <si>
    <t>Sugar beets</t>
  </si>
  <si>
    <t>Diamond back terrapins</t>
  </si>
  <si>
    <t>Eulachon</t>
  </si>
  <si>
    <t>Flathead catfish</t>
  </si>
  <si>
    <t>Pylodictis olivaris</t>
  </si>
  <si>
    <t>Freshwater drum</t>
  </si>
  <si>
    <t>Uranium &amp; thorium &amp; their alloys</t>
  </si>
  <si>
    <t>Magnesium and beryllium</t>
  </si>
  <si>
    <t>Tungsten,molybdenum and tantalum</t>
  </si>
  <si>
    <t>other_co2_efp</t>
  </si>
  <si>
    <r>
      <t>Production-CO</t>
    </r>
    <r>
      <rPr>
        <b/>
        <vertAlign val="subscript"/>
        <sz val="10"/>
        <color indexed="9"/>
        <rFont val="Arial"/>
        <family val="2"/>
      </rPr>
      <t>2</t>
    </r>
  </si>
  <si>
    <r>
      <t>Total CO</t>
    </r>
    <r>
      <rPr>
        <vertAlign val="subscript"/>
        <sz val="10"/>
        <rFont val="Arial"/>
        <family val="2"/>
      </rPr>
      <t>2</t>
    </r>
    <r>
      <rPr>
        <sz val="10"/>
        <rFont val="Arial"/>
        <family val="2"/>
      </rPr>
      <t xml:space="preserve"> emissions from fossil fuels</t>
    </r>
  </si>
  <si>
    <r>
      <t>EF</t>
    </r>
    <r>
      <rPr>
        <b/>
        <vertAlign val="subscript"/>
        <sz val="10"/>
        <color indexed="9"/>
        <rFont val="Arial"/>
        <family val="2"/>
      </rPr>
      <t>Imports</t>
    </r>
  </si>
  <si>
    <r>
      <t>EF</t>
    </r>
    <r>
      <rPr>
        <b/>
        <vertAlign val="subscript"/>
        <sz val="10"/>
        <color indexed="9"/>
        <rFont val="Arial"/>
        <family val="2"/>
      </rPr>
      <t>Exports</t>
    </r>
  </si>
  <si>
    <r>
      <t>EF</t>
    </r>
    <r>
      <rPr>
        <b/>
        <vertAlign val="subscript"/>
        <sz val="10"/>
        <color indexed="9"/>
        <rFont val="Arial"/>
        <family val="2"/>
      </rPr>
      <t>Consumption</t>
    </r>
  </si>
  <si>
    <t>Waste of synthetic or regenerated fibres</t>
  </si>
  <si>
    <t>Haemulidae (=Pomadasyidae)</t>
  </si>
  <si>
    <t>Mycteroperca spp</t>
  </si>
  <si>
    <t>Atlantic bay scallop</t>
  </si>
  <si>
    <t>Atlantic croaker</t>
  </si>
  <si>
    <t>Butter</t>
  </si>
  <si>
    <t>Cheese and curd</t>
  </si>
  <si>
    <t>Eggs</t>
  </si>
  <si>
    <t>Fish, fresh, chilled or frozen</t>
  </si>
  <si>
    <t>Weatherfish</t>
  </si>
  <si>
    <t>Misgurnus fossilis</t>
  </si>
  <si>
    <t>American gizzard shad</t>
  </si>
  <si>
    <t>Istiophorus albicans</t>
  </si>
  <si>
    <t>Istiophorus platypterus</t>
  </si>
  <si>
    <t>Katsuwonus pelamis</t>
  </si>
  <si>
    <t>Makaira indica</t>
  </si>
  <si>
    <t>Makaira nigricans</t>
  </si>
  <si>
    <t>Orcynopsis unicolor</t>
  </si>
  <si>
    <t>Sarda chiliensis</t>
  </si>
  <si>
    <t>Sarda orientalis</t>
  </si>
  <si>
    <t>Sarda sarda</t>
  </si>
  <si>
    <t>Cottidae</t>
  </si>
  <si>
    <t>Crenidens crenidens</t>
  </si>
  <si>
    <t>Cynoscion analis</t>
  </si>
  <si>
    <t>Cynoscion nebulosus</t>
  </si>
  <si>
    <t>Cynoscion regalis</t>
  </si>
  <si>
    <t>Cynoscion spp</t>
  </si>
  <si>
    <t>Cynoscion striatus</t>
  </si>
  <si>
    <t>Dentex angolensis</t>
  </si>
  <si>
    <t>Dentex congoensis</t>
  </si>
  <si>
    <t>Waxes of animal or vegetable origin</t>
  </si>
  <si>
    <t>Epinephelus striatus</t>
  </si>
  <si>
    <t>Epinephelus summana</t>
  </si>
  <si>
    <t>Epinephelus tauvina</t>
  </si>
  <si>
    <t>Fistularia tabacaria</t>
  </si>
  <si>
    <t>Galeichthys feliceps</t>
  </si>
  <si>
    <t>Galeoides decadactylus</t>
  </si>
  <si>
    <t>Genyonemus lineatus</t>
  </si>
  <si>
    <t>Gerreidae</t>
  </si>
  <si>
    <t>Terapon spp</t>
  </si>
  <si>
    <t>Tetraodontidae</t>
  </si>
  <si>
    <t>Totoaba macdonaldi</t>
  </si>
  <si>
    <t>Octopodidae</t>
  </si>
  <si>
    <t>Octopus vulgaris</t>
  </si>
  <si>
    <t>Ommastrephes bartrami</t>
  </si>
  <si>
    <t>Sepia officinalis</t>
  </si>
  <si>
    <t>Flax and flax tow and waste</t>
  </si>
  <si>
    <t>True hemp and true hemp tow and waste</t>
  </si>
  <si>
    <t>Ramie and ramie noils &amp; waste</t>
  </si>
  <si>
    <t>Summan grouper</t>
  </si>
  <si>
    <t>Thumbprint emperor</t>
  </si>
  <si>
    <t>White-blotched grouper</t>
  </si>
  <si>
    <t>Yellow-edged lyretail</t>
  </si>
  <si>
    <t>Yellowfin hind</t>
  </si>
  <si>
    <t>Yellowlip emperor</t>
  </si>
  <si>
    <t>Cilus gilberti</t>
  </si>
  <si>
    <t>Conodon nobilis</t>
  </si>
  <si>
    <t>Cucumbers and gherkins</t>
  </si>
  <si>
    <t>0707.00</t>
  </si>
  <si>
    <t>Gulf butterfishes, etc. nei</t>
  </si>
  <si>
    <t>King mackerel</t>
  </si>
  <si>
    <t>Kingcroakers nei</t>
  </si>
  <si>
    <t>Ladyfish</t>
  </si>
  <si>
    <t>Lane snapper</t>
  </si>
  <si>
    <t>Caulolatilus chrysops</t>
  </si>
  <si>
    <t>Caulolatilus princeps</t>
  </si>
  <si>
    <t>Centriscops humerosus</t>
  </si>
  <si>
    <t>Centroberyx affinis</t>
  </si>
  <si>
    <t>Centrolophidae</t>
  </si>
  <si>
    <t>Centrolophus niger</t>
  </si>
  <si>
    <t>Acids and their halogenated derivatives</t>
  </si>
  <si>
    <t>Southern red snapper</t>
  </si>
  <si>
    <t>Tarpon</t>
  </si>
  <si>
    <t>Long pectoral-fin minnow</t>
  </si>
  <si>
    <t>Machaca</t>
  </si>
  <si>
    <t>Brycon guatemalensis</t>
  </si>
  <si>
    <t>Semah mahseer</t>
  </si>
  <si>
    <t>Tor douronensis</t>
  </si>
  <si>
    <t>Signal barb</t>
  </si>
  <si>
    <t>Red steenbras</t>
  </si>
  <si>
    <t>Smooth-hound</t>
  </si>
  <si>
    <t>Subantarctic stone crab</t>
  </si>
  <si>
    <t>White steenbras</t>
  </si>
  <si>
    <t>White stumpnose</t>
  </si>
  <si>
    <t>Paralomis spp</t>
  </si>
  <si>
    <t>American conger</t>
  </si>
  <si>
    <t>Barnacle</t>
  </si>
  <si>
    <t>Pink maomao</t>
  </si>
  <si>
    <t>Caprodon longimanus</t>
  </si>
  <si>
    <t>Filefishes, leatherjackets nei</t>
  </si>
  <si>
    <t>Pacific thread herring</t>
  </si>
  <si>
    <t>Lutjanus argentimaculatus</t>
  </si>
  <si>
    <t>Lutjanus argentiventris</t>
  </si>
  <si>
    <t>Lutjanus bohar</t>
  </si>
  <si>
    <t>Epinephelus aeneus</t>
  </si>
  <si>
    <t>Epinephelus analogus</t>
  </si>
  <si>
    <t>Rapeseed, oil crops</t>
  </si>
  <si>
    <t>Artificial surfaces</t>
  </si>
  <si>
    <t>Oblada melanura</t>
  </si>
  <si>
    <t>Ocyurus chrysurus</t>
  </si>
  <si>
    <t>Ophichthidae</t>
  </si>
  <si>
    <t>Sardinella lemuru</t>
  </si>
  <si>
    <t>Sardinella longiceps</t>
  </si>
  <si>
    <t>Sardinella maderensis</t>
  </si>
  <si>
    <t>0809.30</t>
  </si>
  <si>
    <t>Pears</t>
  </si>
  <si>
    <t>Chionobathyscus dewitti</t>
  </si>
  <si>
    <t>Paralabrax spp</t>
  </si>
  <si>
    <t>Dunaliella salina</t>
  </si>
  <si>
    <t>Notolepis spp</t>
  </si>
  <si>
    <t>Masu(=Cherry) salmon</t>
  </si>
  <si>
    <t>Plectorhinchus gaterinus</t>
  </si>
  <si>
    <t>Chick peas</t>
  </si>
  <si>
    <t>Chillies and peppers, dry</t>
  </si>
  <si>
    <t>0904.20</t>
  </si>
  <si>
    <t>Chillies and peppers, green</t>
  </si>
  <si>
    <t>0709.60</t>
  </si>
  <si>
    <t>Cinnamon (canella)</t>
  </si>
  <si>
    <t>0906.10</t>
  </si>
  <si>
    <t>Clover for forage and silage</t>
  </si>
  <si>
    <t>1214.90_b</t>
  </si>
  <si>
    <t>Cloves</t>
  </si>
  <si>
    <t>Buffalofishes nei</t>
  </si>
  <si>
    <t>Largemouth black bass</t>
  </si>
  <si>
    <t>European whitefish</t>
  </si>
  <si>
    <t>Bagrid catfish</t>
  </si>
  <si>
    <t>Land Use Type</t>
  </si>
  <si>
    <t>Golden redfish</t>
  </si>
  <si>
    <t>Norway pout</t>
  </si>
  <si>
    <t>Norwegian krill</t>
  </si>
  <si>
    <t>Rabbit fish</t>
  </si>
  <si>
    <t>Solid surf clam</t>
  </si>
  <si>
    <t>Cero</t>
  </si>
  <si>
    <t>Hard corals, madrepores nei</t>
  </si>
  <si>
    <t>Nurse shark</t>
  </si>
  <si>
    <t>Chilean semele</t>
  </si>
  <si>
    <t>Carbon Sequestration Factor</t>
  </si>
  <si>
    <t>Unit</t>
  </si>
  <si>
    <t>Value</t>
  </si>
  <si>
    <t>Olive oil, virgin</t>
  </si>
  <si>
    <t>Milk Whole Cond</t>
  </si>
  <si>
    <t>Milk Whole Dried</t>
  </si>
  <si>
    <t>Orange-striped emperor</t>
  </si>
  <si>
    <t>Orangespotted trevally</t>
  </si>
  <si>
    <t>Painted sweetlips</t>
  </si>
  <si>
    <t>Peacock hind</t>
  </si>
  <si>
    <t>Randall's threadfin bream</t>
  </si>
  <si>
    <t>Redmouth grouper</t>
  </si>
  <si>
    <t>Whiteleg shrimp</t>
  </si>
  <si>
    <t>Flathead grey mullet</t>
  </si>
  <si>
    <t>Hilsa shad</t>
  </si>
  <si>
    <t>Burbot</t>
  </si>
  <si>
    <t>Waste &amp; used leather</t>
  </si>
  <si>
    <t>Hides &amp; skins,nes</t>
  </si>
  <si>
    <t>Silver carp</t>
  </si>
  <si>
    <t>Wuchang bream</t>
  </si>
  <si>
    <t>Cyprinids nei</t>
  </si>
  <si>
    <t>European eel</t>
  </si>
  <si>
    <t>Pike-perch</t>
  </si>
  <si>
    <t>Surf clams nei</t>
  </si>
  <si>
    <t>Bonytongues nei</t>
  </si>
  <si>
    <t>Agricultural machinery for cultivating the so</t>
  </si>
  <si>
    <t>Agricultural machinery for harvesting,threshi</t>
  </si>
  <si>
    <t>0810.40_b</t>
  </si>
  <si>
    <t>2208_a</t>
  </si>
  <si>
    <t>Beverage Non-Alc</t>
  </si>
  <si>
    <t>2202_a</t>
  </si>
  <si>
    <t>Bran of Maize</t>
  </si>
  <si>
    <t>2302.10</t>
  </si>
  <si>
    <t>Bran of Pulses</t>
  </si>
  <si>
    <t>Arctoscopus japonicus</t>
  </si>
  <si>
    <t>Argentina spp</t>
  </si>
  <si>
    <t>Ariomma indica</t>
  </si>
  <si>
    <t>Aspitrigla cuculus</t>
  </si>
  <si>
    <t>Benthodesmus spp</t>
  </si>
  <si>
    <t>Raja brachyura</t>
  </si>
  <si>
    <t>Atlantic thread herring</t>
  </si>
  <si>
    <t>Ballyhoo halfbeak</t>
  </si>
  <si>
    <t>Barred grunt</t>
  </si>
  <si>
    <t>Bigeye thresher</t>
  </si>
  <si>
    <t>Silk worm cocoons suitable for reeling</t>
  </si>
  <si>
    <t xml:space="preserve">Machinery </t>
  </si>
  <si>
    <t>Mining and Quarrying</t>
  </si>
  <si>
    <t>Food and Tobacco</t>
  </si>
  <si>
    <t>Paper, Pulp and Printing</t>
  </si>
  <si>
    <t>Wood and Wood Products</t>
  </si>
  <si>
    <t>Construction</t>
  </si>
  <si>
    <t xml:space="preserve">Textile and Leather </t>
  </si>
  <si>
    <t>Non-specified Industry</t>
  </si>
  <si>
    <t>Crystal shrimp</t>
  </si>
  <si>
    <t>Pacific seabobs</t>
  </si>
  <si>
    <t>Aristeus antennatus</t>
  </si>
  <si>
    <t>Blue king crab</t>
  </si>
  <si>
    <t>Brown king crab</t>
  </si>
  <si>
    <t>Coonstripe shrimp</t>
  </si>
  <si>
    <t>Golden king crab</t>
  </si>
  <si>
    <t>Hair crab</t>
  </si>
  <si>
    <t>Hokkai shrimp</t>
  </si>
  <si>
    <t>Humpy shrimp</t>
  </si>
  <si>
    <t>Morotoge shrimp</t>
  </si>
  <si>
    <t>Saffron cod</t>
  </si>
  <si>
    <t>Dogfish sharks, etc. nei</t>
  </si>
  <si>
    <t>Horned and musky octopuses</t>
  </si>
  <si>
    <t>Turbots nei</t>
  </si>
  <si>
    <t>Aka coral</t>
  </si>
  <si>
    <t>Alaska plaice</t>
  </si>
  <si>
    <t>Antarctic stone crab</t>
  </si>
  <si>
    <t>Aquatic mammals nei</t>
  </si>
  <si>
    <t>River prawns nei</t>
  </si>
  <si>
    <t>Amazonian manatee</t>
  </si>
  <si>
    <t>Cichlids nei</t>
  </si>
  <si>
    <t>Yellowfin river pellona</t>
  </si>
  <si>
    <t>Barbel</t>
  </si>
  <si>
    <t>Sander lucioperca</t>
  </si>
  <si>
    <t>Giant river prawn</t>
  </si>
  <si>
    <t>Tonna galea</t>
  </si>
  <si>
    <t>Turbo cornutus</t>
  </si>
  <si>
    <t>Zidona dufresnei</t>
  </si>
  <si>
    <t>Crassostrea gigas</t>
  </si>
  <si>
    <t>White barbel</t>
  </si>
  <si>
    <t>Sheep and lamb skins, with the wool on</t>
  </si>
  <si>
    <t>Sheep and lamb skins, without the wool</t>
  </si>
  <si>
    <t>Stephanolepis cirrhifer</t>
  </si>
  <si>
    <t>Stereolepis gigas</t>
  </si>
  <si>
    <t>Synodontidae</t>
  </si>
  <si>
    <t>Tautoga onitis</t>
  </si>
  <si>
    <t>Aldehyde ,ketone ,quinone function compounds</t>
  </si>
  <si>
    <t>Mycteroperca venenosa</t>
  </si>
  <si>
    <t>Longbill spearfish</t>
  </si>
  <si>
    <t>Weathervane scallop</t>
  </si>
  <si>
    <t>Selar crumenophthalmus</t>
  </si>
  <si>
    <t>Selaroides leptolepis</t>
  </si>
  <si>
    <t>Wolffishes(=Catfishes) nei</t>
  </si>
  <si>
    <t>Ballan wrasse</t>
  </si>
  <si>
    <t>Sand sole</t>
  </si>
  <si>
    <t>Alfonsinos nei</t>
  </si>
  <si>
    <t>Anchoveta(=Peruvian anchovy)</t>
  </si>
  <si>
    <t>White croaker</t>
  </si>
  <si>
    <t>White sturgeon</t>
  </si>
  <si>
    <t>Anadara granosa</t>
  </si>
  <si>
    <t>Anadara ovalis</t>
  </si>
  <si>
    <t>Rice Fermented Beverages</t>
  </si>
  <si>
    <t>2206.00_b</t>
  </si>
  <si>
    <t>Rice Flour</t>
  </si>
  <si>
    <t>1102.30</t>
  </si>
  <si>
    <t>Rice Husked</t>
  </si>
  <si>
    <t>1006.20</t>
  </si>
  <si>
    <t>Rubber Nat Dry</t>
  </si>
  <si>
    <t>Sausage Beef&amp;Veal</t>
  </si>
  <si>
    <t>Yesso scallop</t>
  </si>
  <si>
    <t>Areolate grouper</t>
  </si>
  <si>
    <t>Greasy grouper</t>
  </si>
  <si>
    <t>Bathyraja eatonii</t>
  </si>
  <si>
    <t>1214.90_c</t>
  </si>
  <si>
    <t>Almonds, with shell</t>
  </si>
  <si>
    <t>Linoleum and similar floor coverings</t>
  </si>
  <si>
    <t>Carpets, carpeting and rugs, knotted</t>
  </si>
  <si>
    <t>Broomtail grouper</t>
  </si>
  <si>
    <t>Green spiny lobster</t>
  </si>
  <si>
    <t>Kolibri shrimp</t>
  </si>
  <si>
    <t>Lebranche mullet</t>
  </si>
  <si>
    <t>Clarias batrachus</t>
  </si>
  <si>
    <t>Clarias gariepinus</t>
  </si>
  <si>
    <t>2005.10</t>
  </si>
  <si>
    <t>Horses</t>
  </si>
  <si>
    <t>0101_a</t>
  </si>
  <si>
    <t>Ice Cream and Edible Ice</t>
  </si>
  <si>
    <t>Infant Food</t>
  </si>
  <si>
    <t>1901.10</t>
  </si>
  <si>
    <t>Juice of Grapefruit</t>
  </si>
  <si>
    <t>Lithodes santolla</t>
  </si>
  <si>
    <t>Southern lobsterette</t>
  </si>
  <si>
    <t>Thymops birsteini</t>
  </si>
  <si>
    <t>Footprint intensity of carbon</t>
  </si>
  <si>
    <t>Land use type</t>
  </si>
  <si>
    <t>Pentaceros decacanthus</t>
  </si>
  <si>
    <t>Perciformes</t>
  </si>
  <si>
    <t>Polyprion americanus</t>
  </si>
  <si>
    <t>Polyprion oxygeneios</t>
  </si>
  <si>
    <t>Prionotus spp</t>
  </si>
  <si>
    <t>Promethichthys prometheus</t>
  </si>
  <si>
    <t>Psenopsis anomala</t>
  </si>
  <si>
    <t>Pseudochaenichthys georgianus</t>
  </si>
  <si>
    <t>Sesame oil</t>
  </si>
  <si>
    <t>1515.50</t>
  </si>
  <si>
    <t>Sesame seed</t>
  </si>
  <si>
    <t>Sorghum</t>
  </si>
  <si>
    <t>Sorghum for forage and silage</t>
  </si>
  <si>
    <t>Insecticides, fungicides, disinfectants</t>
  </si>
  <si>
    <t>Spirulina nei</t>
  </si>
  <si>
    <t>Orthopadic appl.,hearing aids,artif.parts/bod</t>
  </si>
  <si>
    <t>Other manufactured articles, nes</t>
  </si>
  <si>
    <t>Postal packages</t>
  </si>
  <si>
    <t>Special transactions</t>
  </si>
  <si>
    <t>Boops boops</t>
  </si>
  <si>
    <t>Pacific geoduck</t>
  </si>
  <si>
    <t>Pacific littleneck clam</t>
  </si>
  <si>
    <t>Sand gaper</t>
  </si>
  <si>
    <t>Woollen fabrics, woven</t>
  </si>
  <si>
    <t>Linen, ramie and true hemp fabrics, woven</t>
  </si>
  <si>
    <t>Jute fabrics, woven</t>
  </si>
  <si>
    <t>Rex sole</t>
  </si>
  <si>
    <t>Rock shrimp</t>
  </si>
  <si>
    <t>Safety glass,toughened or laminated</t>
  </si>
  <si>
    <t>Common dentex</t>
  </si>
  <si>
    <t>European flat oyster</t>
  </si>
  <si>
    <t>Bathyraja maccaini</t>
  </si>
  <si>
    <t>Cmpd Feed,Poultry</t>
  </si>
  <si>
    <t>2309.90_b</t>
  </si>
  <si>
    <t>Coarse Goat Hair</t>
  </si>
  <si>
    <t>Cocoa Butter</t>
  </si>
  <si>
    <t>1804.00</t>
  </si>
  <si>
    <t>1803_a</t>
  </si>
  <si>
    <t>Cocoahusks;Shell</t>
  </si>
  <si>
    <t>1802.00</t>
  </si>
  <si>
    <t>Cocoapowder&amp;Cake</t>
  </si>
  <si>
    <t>1805.00</t>
  </si>
  <si>
    <t>Coconuts Desiccated</t>
  </si>
  <si>
    <t>0801.11</t>
  </si>
  <si>
    <t>Cocoon Unr.&amp;Waste</t>
  </si>
  <si>
    <t>Coffee Extracts</t>
  </si>
  <si>
    <t>2101_a</t>
  </si>
  <si>
    <t>Meat of sheep &amp; goats, fresh, chilled or froz</t>
  </si>
  <si>
    <t>Fixed vegetable oils,nes</t>
  </si>
  <si>
    <t>Anim./veget.oils,boiled,oxidized,dehydrated</t>
  </si>
  <si>
    <t>Hydrogenated oils and fats</t>
  </si>
  <si>
    <t>Acid oils,fatty acids and solid residues</t>
  </si>
  <si>
    <t>Alectis alexandrinus</t>
  </si>
  <si>
    <t>Alepes djedaba</t>
  </si>
  <si>
    <t>Alexandria pompano</t>
  </si>
  <si>
    <t>Law croaker</t>
  </si>
  <si>
    <t>Rubberlip grunt</t>
  </si>
  <si>
    <t>Semi chemical wood pulp</t>
  </si>
  <si>
    <t>Corbicula japonica</t>
  </si>
  <si>
    <t>Zenopsis nebulosus</t>
  </si>
  <si>
    <t>Skin Furs</t>
  </si>
  <si>
    <t>4301_a</t>
  </si>
  <si>
    <t>Skins Nes Goats</t>
  </si>
  <si>
    <t>4103.10_c</t>
  </si>
  <si>
    <t>Skins Nes Pigs</t>
  </si>
  <si>
    <t>Peruvian morwong</t>
  </si>
  <si>
    <t>Peruvian weakfish</t>
  </si>
  <si>
    <t>Red cusk-eel</t>
  </si>
  <si>
    <t/>
  </si>
  <si>
    <t>Dried fruit,dehydrated artificially</t>
  </si>
  <si>
    <t>Fruit,fruit peel,preserved by sugar</t>
  </si>
  <si>
    <t>Jams,marmalades,fruit jellies</t>
  </si>
  <si>
    <t>Fruit juices &amp; vegetable juices,unfermented</t>
  </si>
  <si>
    <t>Bastard halibut</t>
  </si>
  <si>
    <t>4101_g</t>
  </si>
  <si>
    <t>Ethmidium maculatum</t>
  </si>
  <si>
    <t>Etrumeus teres</t>
  </si>
  <si>
    <t>Etrumeus whiteheadi</t>
  </si>
  <si>
    <t>Harengula spp</t>
  </si>
  <si>
    <t>Cigars Cheroots</t>
  </si>
  <si>
    <t>2402.10_a</t>
  </si>
  <si>
    <t>2309.90_d</t>
  </si>
  <si>
    <t>Caranx spp</t>
  </si>
  <si>
    <t>Chloroscombrus chrysurus</t>
  </si>
  <si>
    <t>Gymnogongrus furcellatus</t>
  </si>
  <si>
    <t>Phyllophora spp</t>
  </si>
  <si>
    <t>Porphyra spp</t>
  </si>
  <si>
    <t>Muraenesox spp</t>
  </si>
  <si>
    <t>Myctophidae</t>
  </si>
  <si>
    <t>Nemadactylus macropterus</t>
  </si>
  <si>
    <t>Nemadactylus spp</t>
  </si>
  <si>
    <t>Neocyttus rhomboidalis</t>
  </si>
  <si>
    <t>Ophidiidae</t>
  </si>
  <si>
    <t>Oreosomatidae</t>
  </si>
  <si>
    <t>Paratrachichthys trailli</t>
  </si>
  <si>
    <t>Paristiopterus labiosus</t>
  </si>
  <si>
    <t>Longnosed skate</t>
  </si>
  <si>
    <t>Aristeus varidens</t>
  </si>
  <si>
    <t>Common carp</t>
  </si>
  <si>
    <t>Crucian carp</t>
  </si>
  <si>
    <t>Maté</t>
  </si>
  <si>
    <t>0903.00</t>
  </si>
  <si>
    <t>Melonseed</t>
  </si>
  <si>
    <t>1207.9ab</t>
  </si>
  <si>
    <t>Millet</t>
  </si>
  <si>
    <t>Mixed grain</t>
  </si>
  <si>
    <t>Rastrineobola argentea</t>
  </si>
  <si>
    <t>Rutilus frisii</t>
  </si>
  <si>
    <t>Rutilus rutilus</t>
  </si>
  <si>
    <t>Rutilus spp</t>
  </si>
  <si>
    <t>Scardinius erythrophthalmus</t>
  </si>
  <si>
    <t>Tinca tinca</t>
  </si>
  <si>
    <t>Vimba vimba</t>
  </si>
  <si>
    <t>Dentex macrophthalmus</t>
  </si>
  <si>
    <t>Dentex spp</t>
  </si>
  <si>
    <t>Diagramma pictum</t>
  </si>
  <si>
    <t>Lubricating oils and greases</t>
  </si>
  <si>
    <t>Scophthalmus aquosus</t>
  </si>
  <si>
    <t>Scophthalmus rhombus</t>
  </si>
  <si>
    <t>Solea lascaris</t>
  </si>
  <si>
    <t>Solea solea</t>
  </si>
  <si>
    <t>Soleidae</t>
  </si>
  <si>
    <t>Spiny butterfly ray</t>
  </si>
  <si>
    <t>Splendid alfonsino</t>
  </si>
  <si>
    <t>Beryx splendens</t>
  </si>
  <si>
    <t>Unreelable cocoons and cocoons wastes</t>
  </si>
  <si>
    <t>D</t>
  </si>
  <si>
    <t>Primary/Derived</t>
  </si>
  <si>
    <t>Ecological Footprint and Biocapacity Totals</t>
  </si>
  <si>
    <t>Fishing Grounds</t>
  </si>
  <si>
    <t>Forest Land</t>
  </si>
  <si>
    <t>Net Imports</t>
  </si>
  <si>
    <t>Footprint of Consumption</t>
  </si>
  <si>
    <t>Total Primary Energy Supply</t>
  </si>
  <si>
    <t>World Primary Energy Carbon Intensity</t>
  </si>
  <si>
    <t>Domestic TPES</t>
  </si>
  <si>
    <t>[PJ]</t>
  </si>
  <si>
    <t>Total CO2 (Mt / yr)</t>
  </si>
  <si>
    <t>0208.90ab</t>
  </si>
  <si>
    <t>Goat meat</t>
  </si>
  <si>
    <t>0204.50</t>
  </si>
  <si>
    <t>Goat milk, whole, fresh</t>
  </si>
  <si>
    <t>0401.20_b</t>
  </si>
  <si>
    <t>Bluntnose sixgill shark</t>
  </si>
  <si>
    <t>Broadtail shortfin squid</t>
  </si>
  <si>
    <t>Cape Hope squid</t>
  </si>
  <si>
    <t>Common eagle ray</t>
  </si>
  <si>
    <t>Aba</t>
  </si>
  <si>
    <t>Citharinus nei</t>
  </si>
  <si>
    <t>Yellowtail scad</t>
  </si>
  <si>
    <t>Biglip grunt</t>
  </si>
  <si>
    <t>Cornetfish</t>
  </si>
  <si>
    <t>Guinean striped mojarra</t>
  </si>
  <si>
    <t>Pemarco blackfish</t>
  </si>
  <si>
    <t>Volutes nei</t>
  </si>
  <si>
    <t>Dungat grouper</t>
  </si>
  <si>
    <t>Red bandfish</t>
  </si>
  <si>
    <t>Oncorhynchus nerka</t>
  </si>
  <si>
    <t>Oncorhynchus spp</t>
  </si>
  <si>
    <t>Oncorhynchus tshawytscha</t>
  </si>
  <si>
    <t>Osmerus eperlanus</t>
  </si>
  <si>
    <t>Apricots</t>
  </si>
  <si>
    <t>Hydrocarbons and their derivatives</t>
  </si>
  <si>
    <t>Other precious &amp; semi precious stones not set</t>
  </si>
  <si>
    <t>National Yield</t>
  </si>
  <si>
    <t>Particle Board</t>
  </si>
  <si>
    <t>Plywood</t>
  </si>
  <si>
    <t>Bigeye trevally</t>
  </si>
  <si>
    <r>
      <t>[gha t</t>
    </r>
    <r>
      <rPr>
        <vertAlign val="superscript"/>
        <sz val="10"/>
        <color indexed="23"/>
        <rFont val="Arial"/>
        <family val="2"/>
      </rPr>
      <t>-1</t>
    </r>
    <r>
      <rPr>
        <sz val="10"/>
        <color indexed="23"/>
        <rFont val="Arial"/>
        <family val="2"/>
      </rPr>
      <t>]</t>
    </r>
  </si>
  <si>
    <t>Vitamins and provitamins</t>
  </si>
  <si>
    <t>Penicillin streptom. Tyrocidine &amp; oth. Antibi</t>
  </si>
  <si>
    <t>Alkaloids of opium,cocaine,caffein,quinine et</t>
  </si>
  <si>
    <t>Hormones</t>
  </si>
  <si>
    <t>Tuna</t>
  </si>
  <si>
    <t>Blackbanded trevally</t>
  </si>
  <si>
    <t>Stomatopods nei</t>
  </si>
  <si>
    <t>African forktail snapper</t>
  </si>
  <si>
    <t>Grooved sea squirt</t>
  </si>
  <si>
    <t>Kitefin shark</t>
  </si>
  <si>
    <t>Longnose velvet dogfish</t>
  </si>
  <si>
    <t>4001.10_a</t>
  </si>
  <si>
    <t>1004.00a</t>
  </si>
  <si>
    <t>Offals Liver Chicken</t>
  </si>
  <si>
    <t>Offals Liver Geese</t>
  </si>
  <si>
    <t>Offals of Goats, Edible</t>
  </si>
  <si>
    <t>0709.90aa</t>
  </si>
  <si>
    <t>0805.10_a</t>
  </si>
  <si>
    <t>Peppermint</t>
  </si>
  <si>
    <t>0709.90_d</t>
  </si>
  <si>
    <t>Pig Butcher Fat</t>
  </si>
  <si>
    <t>0804.30_a</t>
  </si>
  <si>
    <t>Southern bluefin tuna</t>
  </si>
  <si>
    <t>Chinese gizzard shad</t>
  </si>
  <si>
    <t>Grenadiers, rattails nei</t>
  </si>
  <si>
    <t>Hagfishes nei</t>
  </si>
  <si>
    <t>Honnibe croaker</t>
  </si>
  <si>
    <t>Japanese halfbeak</t>
  </si>
  <si>
    <t>Japanese sardinella</t>
  </si>
  <si>
    <t>Korean sandlance</t>
  </si>
  <si>
    <t>Lanternfishes nei</t>
  </si>
  <si>
    <t>Skipjack tuna</t>
  </si>
  <si>
    <t>Albacore</t>
  </si>
  <si>
    <t>Bigeye tuna</t>
  </si>
  <si>
    <t>Scomberomorus niphonius</t>
  </si>
  <si>
    <t>Scyliorhinus canicula</t>
  </si>
  <si>
    <t>Scyliorhinus spp</t>
  </si>
  <si>
    <t>Scyliorhinus stellaris</t>
  </si>
  <si>
    <t>Somniosus microcephalus</t>
  </si>
  <si>
    <t>Somniosus pacificus</t>
  </si>
  <si>
    <t>Somniosus rostratus</t>
  </si>
  <si>
    <t>Travel goods,handbags &amp; similar articles</t>
  </si>
  <si>
    <t>Clothing of text fabric, not knitted crochete</t>
  </si>
  <si>
    <t>Clothing accessories of text.,not knitted/cro</t>
  </si>
  <si>
    <t>Apparel and clothing accessories of leather</t>
  </si>
  <si>
    <t>Clothing and accessories,knitted or crocheted</t>
  </si>
  <si>
    <t>Headgear</t>
  </si>
  <si>
    <t>Trachinotus carolinus</t>
  </si>
  <si>
    <t>Trachinotus mookalee</t>
  </si>
  <si>
    <t>Trachinotus ovatus</t>
  </si>
  <si>
    <t>Trachinotus spp</t>
  </si>
  <si>
    <t>Prepared Groundnuts</t>
  </si>
  <si>
    <t>2008.11_a</t>
  </si>
  <si>
    <t>Prepared Meat Nes</t>
  </si>
  <si>
    <t>Abalones nei</t>
  </si>
  <si>
    <t>Chilean flat oyster</t>
  </si>
  <si>
    <t>Chilean mussel</t>
  </si>
  <si>
    <t>Domestic electrical equipment</t>
  </si>
  <si>
    <t>Electro medical apparatus</t>
  </si>
  <si>
    <t>X ray apparatus</t>
  </si>
  <si>
    <t>Batteries and accumulators</t>
  </si>
  <si>
    <t>Electric lamps</t>
  </si>
  <si>
    <t>2008.19</t>
  </si>
  <si>
    <t>Processed Cheese</t>
  </si>
  <si>
    <t>Prod.of Nat.Milk Constit</t>
  </si>
  <si>
    <t>Pulp of Fruit for Feed</t>
  </si>
  <si>
    <t>2308.00_c</t>
  </si>
  <si>
    <t>Hardboard</t>
  </si>
  <si>
    <t>Insulating Board</t>
  </si>
  <si>
    <t>MDF</t>
  </si>
  <si>
    <t>Mechanical Wood Pulp</t>
  </si>
  <si>
    <t>Newsprint</t>
  </si>
  <si>
    <t>Microstomus pacificus</t>
  </si>
  <si>
    <t>Paralichthys californicus</t>
  </si>
  <si>
    <t>Paralichthys dentatus</t>
  </si>
  <si>
    <t>3301_a</t>
  </si>
  <si>
    <t>Oil of Castor Beans</t>
  </si>
  <si>
    <t>1515.30</t>
  </si>
  <si>
    <t>Korean mussel</t>
  </si>
  <si>
    <t>Mackerels nei</t>
  </si>
  <si>
    <t>Okhotsk atka mackerel</t>
  </si>
  <si>
    <t>Scorpionfishes nei</t>
  </si>
  <si>
    <t>Threadsail filefish</t>
  </si>
  <si>
    <t>Wood and resin based chemical products</t>
  </si>
  <si>
    <t>Organic chemical products,nes</t>
  </si>
  <si>
    <t>Platinum,unworked or partly worked</t>
  </si>
  <si>
    <t>Copper and alloys, unwrought</t>
  </si>
  <si>
    <t>Southern rock lobster</t>
  </si>
  <si>
    <t>Spiny icefish</t>
  </si>
  <si>
    <t>Fin.structural parts &amp; structures of iron ste</t>
  </si>
  <si>
    <t>Portunus swimcrabs nei</t>
  </si>
  <si>
    <t>Snakeskin gourami</t>
  </si>
  <si>
    <t>Red drum</t>
  </si>
  <si>
    <t>Porgies, seabreams nei</t>
  </si>
  <si>
    <t>Aquatic invertebrates nei</t>
  </si>
  <si>
    <t>Ayu sweetfish</t>
  </si>
  <si>
    <t>Asp</t>
  </si>
  <si>
    <t>Freshwater bream</t>
  </si>
  <si>
    <t>Lepidorhynchus denticulatus</t>
  </si>
  <si>
    <t>Macrouridae</t>
  </si>
  <si>
    <t>Macrourus berglax</t>
  </si>
  <si>
    <t>Macrourus carinatus</t>
  </si>
  <si>
    <t>Macrourus holotrachys</t>
  </si>
  <si>
    <t>% Grass Feed</t>
  </si>
  <si>
    <t>Crop and Fish Feed Demand</t>
  </si>
  <si>
    <t>Thornback ray</t>
  </si>
  <si>
    <t>Thresher</t>
  </si>
  <si>
    <t>Torpedo rays</t>
  </si>
  <si>
    <t>Twaite shad</t>
  </si>
  <si>
    <t>Wedge sole</t>
  </si>
  <si>
    <t>Echinoderms</t>
  </si>
  <si>
    <t>Escolar</t>
  </si>
  <si>
    <t>Oilfish</t>
  </si>
  <si>
    <t>Roudi escolar</t>
  </si>
  <si>
    <t>Sickle pomfret</t>
  </si>
  <si>
    <t>Taractichthys steindachneri</t>
  </si>
  <si>
    <t>Whitemouth croaker</t>
  </si>
  <si>
    <t>Whitson's grenadier</t>
  </si>
  <si>
    <t>Yellowtail amberjack</t>
  </si>
  <si>
    <t>Atlantic sailfish</t>
  </si>
  <si>
    <t>Australian salmon</t>
  </si>
  <si>
    <t>Australian spiny lobster</t>
  </si>
  <si>
    <t>Scomberomorus regalis</t>
  </si>
  <si>
    <t>Scomberomorus sierra</t>
  </si>
  <si>
    <t>Available Biocapacity</t>
  </si>
  <si>
    <t>Footprint of Production</t>
  </si>
  <si>
    <t>Per Capita</t>
  </si>
  <si>
    <t>World</t>
  </si>
  <si>
    <t>Cotton Carded,Combed</t>
  </si>
  <si>
    <t>5203.00</t>
  </si>
  <si>
    <t>Synthetic or reconstructed prec.stones,not se</t>
  </si>
  <si>
    <t>Crop Name</t>
  </si>
  <si>
    <t>Residue Feed</t>
  </si>
  <si>
    <t>Manufactures of leather,nes</t>
  </si>
  <si>
    <t>Other Camelids</t>
  </si>
  <si>
    <t>0106.90_d</t>
  </si>
  <si>
    <t>Other Rodents</t>
  </si>
  <si>
    <t>0106.90_c</t>
  </si>
  <si>
    <t>[t]</t>
  </si>
  <si>
    <r>
      <t>EF</t>
    </r>
    <r>
      <rPr>
        <b/>
        <vertAlign val="subscript"/>
        <sz val="10"/>
        <color indexed="9"/>
        <rFont val="Arial"/>
        <family val="2"/>
      </rPr>
      <t>P</t>
    </r>
  </si>
  <si>
    <r>
      <t>[Mt CO</t>
    </r>
    <r>
      <rPr>
        <vertAlign val="subscript"/>
        <sz val="10"/>
        <color indexed="22"/>
        <rFont val="Arial"/>
        <family val="2"/>
      </rPr>
      <t>2</t>
    </r>
    <r>
      <rPr>
        <sz val="10"/>
        <color indexed="22"/>
        <rFont val="Arial"/>
        <family val="2"/>
      </rPr>
      <t xml:space="preserve"> yr</t>
    </r>
    <r>
      <rPr>
        <vertAlign val="superscript"/>
        <sz val="10"/>
        <color indexed="22"/>
        <rFont val="Arial"/>
        <family val="2"/>
      </rPr>
      <t>-1</t>
    </r>
    <r>
      <rPr>
        <sz val="10"/>
        <color indexed="22"/>
        <rFont val="Arial"/>
        <family val="2"/>
      </rPr>
      <t>]</t>
    </r>
  </si>
  <si>
    <r>
      <t>[t yr</t>
    </r>
    <r>
      <rPr>
        <vertAlign val="superscript"/>
        <sz val="10"/>
        <color indexed="23"/>
        <rFont val="Arial"/>
        <family val="2"/>
      </rPr>
      <t>-1</t>
    </r>
    <r>
      <rPr>
        <sz val="10"/>
        <color indexed="23"/>
        <rFont val="Arial"/>
        <family val="2"/>
      </rPr>
      <t>]</t>
    </r>
  </si>
  <si>
    <t>Groupers, seabasses nei</t>
  </si>
  <si>
    <r>
      <t>EF</t>
    </r>
    <r>
      <rPr>
        <b/>
        <vertAlign val="subscript"/>
        <sz val="10"/>
        <color indexed="9"/>
        <rFont val="Arial"/>
        <family val="2"/>
      </rPr>
      <t>Production</t>
    </r>
  </si>
  <si>
    <t>EF fish</t>
  </si>
  <si>
    <t>Wool shoddy</t>
  </si>
  <si>
    <t>Wool or anim. Hair, carded or combed, ex. Top</t>
  </si>
  <si>
    <t>Wool tops</t>
  </si>
  <si>
    <t>Mollusca</t>
  </si>
  <si>
    <t>Buccinum undatum</t>
  </si>
  <si>
    <t>Fossil Fuel Emissions</t>
  </si>
  <si>
    <t>Crop Products</t>
  </si>
  <si>
    <t>Commodities</t>
  </si>
  <si>
    <t>Timber Products</t>
  </si>
  <si>
    <t>Infrastructure Area</t>
  </si>
  <si>
    <t>Lichia amia</t>
  </si>
  <si>
    <t>Mallotus villosus</t>
  </si>
  <si>
    <t>Megalaspis cordyla</t>
  </si>
  <si>
    <t>Menidia menidia</t>
  </si>
  <si>
    <t>Mola mola</t>
  </si>
  <si>
    <t>Odontesthes regia</t>
  </si>
  <si>
    <t>Isacia conceptionis</t>
  </si>
  <si>
    <t>Joturus pichardi</t>
  </si>
  <si>
    <t>Sarotherodon galilaeus</t>
  </si>
  <si>
    <t>Cheilodactylus variegatus</t>
  </si>
  <si>
    <t>Chelidonichthys capensis</t>
  </si>
  <si>
    <t>Osteochilus hasselti</t>
  </si>
  <si>
    <t>Leafscale gulper shark</t>
  </si>
  <si>
    <t>Moras nei</t>
  </si>
  <si>
    <t>Greater hooked squid</t>
  </si>
  <si>
    <t>Moroteuthis ingens</t>
  </si>
  <si>
    <t>Swarming squat lobster</t>
  </si>
  <si>
    <t>Munida gregaria</t>
  </si>
  <si>
    <t>Bluestripe herring</t>
  </si>
  <si>
    <t>Cardinalfishes, etc. nei</t>
  </si>
  <si>
    <t>Sawlogs and veneer logs  non conifer</t>
  </si>
  <si>
    <t>Pitprops</t>
  </si>
  <si>
    <t>Cyclopterus lumpus</t>
  </si>
  <si>
    <t>Cyttus novaezealandiae</t>
  </si>
  <si>
    <t>Terapon perches nei</t>
  </si>
  <si>
    <t>Toli shad</t>
  </si>
  <si>
    <t>Torpedo scad</t>
  </si>
  <si>
    <t>Synth.perfume &amp; flavour materials and concent</t>
  </si>
  <si>
    <t>Scads nei</t>
  </si>
  <si>
    <t>Silver croaker</t>
  </si>
  <si>
    <t>Silver pomfrets nei</t>
  </si>
  <si>
    <t>So-iny (redlip) mullet</t>
  </si>
  <si>
    <t>Southern rough shrimp</t>
  </si>
  <si>
    <t>Penaeus californiensis</t>
  </si>
  <si>
    <t>Penaeus chinensis</t>
  </si>
  <si>
    <t>Penaeus duorarum</t>
  </si>
  <si>
    <t>Penaeus indicus</t>
  </si>
  <si>
    <t>Penaeus japonicus</t>
  </si>
  <si>
    <t>Penaeus kerathurus</t>
  </si>
  <si>
    <t>Fabrics, woven, of synthetic fibres</t>
  </si>
  <si>
    <t>Fabrics, woven, of regenerated fibres</t>
  </si>
  <si>
    <t>Orange juice, concentrated</t>
  </si>
  <si>
    <t>Other Indust Roundwd(C)</t>
  </si>
  <si>
    <t>Other Indust Roundwd(NC)</t>
  </si>
  <si>
    <t>Gas,manufactured</t>
  </si>
  <si>
    <t>Electric energy</t>
  </si>
  <si>
    <t>Sunflower oil</t>
  </si>
  <si>
    <t>1512.1_a</t>
  </si>
  <si>
    <t>Tule nei</t>
  </si>
  <si>
    <t>Brown bullhead</t>
  </si>
  <si>
    <t>Glass schilbid</t>
  </si>
  <si>
    <t>Peacock cichlid</t>
  </si>
  <si>
    <t>Oceanian crayfishes nei</t>
  </si>
  <si>
    <t>Sea catfishes nei</t>
  </si>
  <si>
    <t>Lampreys nei</t>
  </si>
  <si>
    <t>Bovine cattle including buffaloes</t>
  </si>
  <si>
    <t>Sheep,lambs and goats</t>
  </si>
  <si>
    <t>Swine</t>
  </si>
  <si>
    <t>Poultry,live</t>
  </si>
  <si>
    <t>Horses,asses,mules and hinnies</t>
  </si>
  <si>
    <t>Bones,ivory,horns,hoofs,claws &amp; similar prod.</t>
  </si>
  <si>
    <t>Trachurus capensis</t>
  </si>
  <si>
    <t>Trachurus declivis</t>
  </si>
  <si>
    <t>Trachurus japonicus</t>
  </si>
  <si>
    <t>Archosargus probatocephalus</t>
  </si>
  <si>
    <t>Saithe(=Pollock)</t>
  </si>
  <si>
    <t>Surmullet</t>
  </si>
  <si>
    <t>1104.19</t>
  </si>
  <si>
    <t>1008.90_b</t>
  </si>
  <si>
    <t>Speckled shrimp</t>
  </si>
  <si>
    <t>Rhinobatos planiceps</t>
  </si>
  <si>
    <t>1522.00_a</t>
  </si>
  <si>
    <t>2303.30</t>
  </si>
  <si>
    <t>Dried Mushrooms</t>
  </si>
  <si>
    <t>0712.3_a</t>
  </si>
  <si>
    <t>Dry Apricots</t>
  </si>
  <si>
    <t>0813.10</t>
  </si>
  <si>
    <t>Ducks</t>
  </si>
  <si>
    <t>0105ca</t>
  </si>
  <si>
    <t>Eggs Dried</t>
  </si>
  <si>
    <t>Eggs Liquid</t>
  </si>
  <si>
    <t>Iron and steel forgings in the rough state</t>
  </si>
  <si>
    <t>Beans, green</t>
  </si>
  <si>
    <t>0708.20_a</t>
  </si>
  <si>
    <t>Beer of Barley</t>
  </si>
  <si>
    <t>[head]</t>
  </si>
  <si>
    <t>Heads</t>
  </si>
  <si>
    <t>Soy</t>
  </si>
  <si>
    <t>Crassostrea spp</t>
  </si>
  <si>
    <t>Other fresh vegetables</t>
  </si>
  <si>
    <t>Clarias spp</t>
  </si>
  <si>
    <t>Colossoma macropomum</t>
  </si>
  <si>
    <t>Distichodus spp</t>
  </si>
  <si>
    <t>Eleotridae</t>
  </si>
  <si>
    <t>Esox lucius</t>
  </si>
  <si>
    <t>Gobiidae</t>
  </si>
  <si>
    <t>Gymnarchus niloticus</t>
  </si>
  <si>
    <t>Gymnocephalus cernuus</t>
  </si>
  <si>
    <t>Helostoma temminckii</t>
  </si>
  <si>
    <t>Hepsetus odoe</t>
  </si>
  <si>
    <t>Ictalurus furcatus</t>
  </si>
  <si>
    <t>0703.10_b</t>
  </si>
  <si>
    <t>Oranges</t>
  </si>
  <si>
    <t>Other melons (inc.cantaloupes)</t>
  </si>
  <si>
    <t>0807.19</t>
  </si>
  <si>
    <t>Palm kernel oil</t>
  </si>
  <si>
    <t>1513.2_a</t>
  </si>
  <si>
    <t>Palm kernels</t>
  </si>
  <si>
    <t>Urophycis brasiliensis</t>
  </si>
  <si>
    <t>Ex Trochus spp</t>
  </si>
  <si>
    <t>Ex Turbo spp</t>
  </si>
  <si>
    <t>Ex Unionidae</t>
  </si>
  <si>
    <t>Actiniaria</t>
  </si>
  <si>
    <t>Roasted iron pyrites</t>
  </si>
  <si>
    <t>Australian pilchard</t>
  </si>
  <si>
    <t>Animal oils, fats and greases, excluding lard</t>
  </si>
  <si>
    <t>Soya bean oil</t>
  </si>
  <si>
    <t>Apparel &amp; clothing acces.,gloves,of rubber</t>
  </si>
  <si>
    <t>Fusiliers nei</t>
  </si>
  <si>
    <t>Goldstripe sardinella</t>
  </si>
  <si>
    <t>Great barracuda</t>
  </si>
  <si>
    <t>Greater lizardfish</t>
  </si>
  <si>
    <t>Hard clams nei</t>
  </si>
  <si>
    <t>Honeycomb grouper</t>
  </si>
  <si>
    <t>Epinephelus merra</t>
  </si>
  <si>
    <t>Cephalopods nei</t>
  </si>
  <si>
    <t>Clupeoids nei</t>
  </si>
  <si>
    <t>Common shrimp</t>
  </si>
  <si>
    <t>Frigate and bullet tunas</t>
  </si>
  <si>
    <t>Atlantic bumper</t>
  </si>
  <si>
    <t>Kawakawa</t>
  </si>
  <si>
    <t>Kerguelen sandpaper skate</t>
  </si>
  <si>
    <t>Latchet(=Sharpbeak gurnard)</t>
  </si>
  <si>
    <t>1515.1_a</t>
  </si>
  <si>
    <t>Lupins</t>
  </si>
  <si>
    <t>0713.90ab</t>
  </si>
  <si>
    <t>Clupeoidei</t>
  </si>
  <si>
    <t>Potatoes</t>
  </si>
  <si>
    <t>Green humphead parrotfish</t>
  </si>
  <si>
    <t>Hound needlefish</t>
  </si>
  <si>
    <t>Domestic appliances, non electrical</t>
  </si>
  <si>
    <t>Powered tools, nes</t>
  </si>
  <si>
    <t>Other non electrical machines</t>
  </si>
  <si>
    <t>Ball, roller or needle roller bearings</t>
  </si>
  <si>
    <t>Machinery and mechanical appliances, nes</t>
  </si>
  <si>
    <t>Parts and accessories of machinery, nes</t>
  </si>
  <si>
    <t>Aggregate Code</t>
  </si>
  <si>
    <t>Rhomboplites aurorubens</t>
  </si>
  <si>
    <t>Sargocentron spiniferum</t>
  </si>
  <si>
    <t>Sarpa salpa</t>
  </si>
  <si>
    <t>Saurida tumbil</t>
  </si>
  <si>
    <t>Saurida undosquamis</t>
  </si>
  <si>
    <t>FAOSTAT</t>
  </si>
  <si>
    <t>Triglidae</t>
  </si>
  <si>
    <t>Uranoscopus scaber</t>
  </si>
  <si>
    <t>Zeidae</t>
  </si>
  <si>
    <t>Tropical spiny lobsters nei</t>
  </si>
  <si>
    <t>Indian white prawn</t>
  </si>
  <si>
    <t>Red porgy</t>
  </si>
  <si>
    <t>Shi drum</t>
  </si>
  <si>
    <t>European flounder</t>
  </si>
  <si>
    <t>Turbot</t>
  </si>
  <si>
    <t>Common snook</t>
  </si>
  <si>
    <t>Anadara clams nei</t>
  </si>
  <si>
    <t>Common edible cockle</t>
  </si>
  <si>
    <t>Meagre</t>
  </si>
  <si>
    <t>Northern quahog(=Hard clam)</t>
  </si>
  <si>
    <t>Periwinkles nei</t>
  </si>
  <si>
    <t>Perfumery &amp; cosmetics,dentifrices etc.</t>
  </si>
  <si>
    <t>Soaps</t>
  </si>
  <si>
    <t>Surface acting agents and washing preparation</t>
  </si>
  <si>
    <t>Freshwater siluroids nei</t>
  </si>
  <si>
    <t>Frogs</t>
  </si>
  <si>
    <t>Prochilods nei</t>
  </si>
  <si>
    <t>Pangas catfishes nei</t>
  </si>
  <si>
    <t>Plectorhinchus macrolepis</t>
  </si>
  <si>
    <t>Plectorhinchus mediterraneus</t>
  </si>
  <si>
    <t>Plectorhinchus pictus</t>
  </si>
  <si>
    <t>Plectorhinchus schotaf</t>
  </si>
  <si>
    <t>Plectropomus areolatus</t>
  </si>
  <si>
    <t>Plectropomus pessuliferus</t>
  </si>
  <si>
    <t>Pleuragramma antarcticum</t>
  </si>
  <si>
    <t>Malayan leaffish</t>
  </si>
  <si>
    <t>Pristolepis fasciata</t>
  </si>
  <si>
    <t>Tractors, other than road tractors</t>
  </si>
  <si>
    <t>Percoids nei</t>
  </si>
  <si>
    <t>Spinefeet(=Rabbitfishes) nei</t>
  </si>
  <si>
    <t>Striped snakehead</t>
  </si>
  <si>
    <t>Fur skins,tanned or dressed</t>
  </si>
  <si>
    <t>Materials of rubber</t>
  </si>
  <si>
    <t>Rubber tyres &amp; tubes for vehicles and aircraf</t>
  </si>
  <si>
    <t>Hygienic &amp; pharmaceutical articles of rubber</t>
  </si>
  <si>
    <t>2009.6_a</t>
  </si>
  <si>
    <t>Notopterus spp</t>
  </si>
  <si>
    <t>Osphronemus goramy</t>
  </si>
  <si>
    <t>Osteichthyes</t>
  </si>
  <si>
    <t>Pangasius spp</t>
  </si>
  <si>
    <t>Parailia pellucida</t>
  </si>
  <si>
    <t>Diplodus sargus</t>
  </si>
  <si>
    <t>Diplodus spp</t>
  </si>
  <si>
    <t>Drepane africana</t>
  </si>
  <si>
    <t>Drepane punctata</t>
  </si>
  <si>
    <t>Meat-CattleBoneless(Beef&amp;Veal)</t>
  </si>
  <si>
    <t>Milk Skimmed Cond</t>
  </si>
  <si>
    <t>Blue marlin</t>
  </si>
  <si>
    <t>Carangids nei</t>
  </si>
  <si>
    <t>Nematopalaemon schmitti</t>
  </si>
  <si>
    <t>Palaemon longirostris</t>
  </si>
  <si>
    <t>Palaemon serratus</t>
  </si>
  <si>
    <t>Pandalopsis japonica</t>
  </si>
  <si>
    <t>Crassostrea virginica</t>
  </si>
  <si>
    <t>Ostrea chilensis</t>
  </si>
  <si>
    <t>Ostrea edulis</t>
  </si>
  <si>
    <t>Bathyraja rays nei</t>
  </si>
  <si>
    <t>Bigeye grenadier</t>
  </si>
  <si>
    <t>Black marlin</t>
  </si>
  <si>
    <t>Blue grenadier</t>
  </si>
  <si>
    <t>Bluefin gurnard</t>
  </si>
  <si>
    <t>Cnidarians nei</t>
  </si>
  <si>
    <t>0907.00</t>
  </si>
  <si>
    <t>Cocoa beans</t>
  </si>
  <si>
    <t>Coconut (copra) oil</t>
  </si>
  <si>
    <t>1513.1_a</t>
  </si>
  <si>
    <t>Copper and alloys of copper, worked</t>
  </si>
  <si>
    <t>Ores and concentrates of manganese</t>
  </si>
  <si>
    <t>Ores &amp; concentrates of non ferrous base met.n</t>
  </si>
  <si>
    <t>Non ferrous metal scrap</t>
  </si>
  <si>
    <t>Silver &amp; platinum ores</t>
  </si>
  <si>
    <t>Ores &amp; concentrates of uranium &amp; thorium</t>
  </si>
  <si>
    <t>Sturgeons nei</t>
  </si>
  <si>
    <t>Tench</t>
  </si>
  <si>
    <t>Wels(=Som)catfish</t>
  </si>
  <si>
    <t>Whitefishes nei</t>
  </si>
  <si>
    <t>Pulpwood,Round&amp;Split Trd</t>
  </si>
  <si>
    <t>Pulpwood,Round&amp;Split(C)</t>
  </si>
  <si>
    <t>Pulpwood,Round&amp;Split(NC)</t>
  </si>
  <si>
    <t>fossil_efp</t>
  </si>
  <si>
    <r>
      <t>[t C pp (t ww fish)</t>
    </r>
    <r>
      <rPr>
        <vertAlign val="superscript"/>
        <sz val="10"/>
        <color indexed="22"/>
        <rFont val="Arial"/>
        <family val="2"/>
      </rPr>
      <t>-1</t>
    </r>
    <r>
      <rPr>
        <sz val="10"/>
        <color indexed="22"/>
        <rFont val="Arial"/>
        <family val="2"/>
      </rPr>
      <t>]</t>
    </r>
  </si>
  <si>
    <r>
      <t>[t ww fish (ha shelf)</t>
    </r>
    <r>
      <rPr>
        <vertAlign val="superscript"/>
        <sz val="10"/>
        <color indexed="22"/>
        <rFont val="Arial"/>
        <family val="2"/>
      </rPr>
      <t xml:space="preserve">-1 </t>
    </r>
    <r>
      <rPr>
        <sz val="10"/>
        <color indexed="22"/>
        <rFont val="Arial"/>
        <family val="2"/>
      </rPr>
      <t xml:space="preserve">yr </t>
    </r>
    <r>
      <rPr>
        <vertAlign val="superscript"/>
        <sz val="10"/>
        <color indexed="22"/>
        <rFont val="Arial"/>
        <family val="2"/>
      </rPr>
      <t>-1</t>
    </r>
    <r>
      <rPr>
        <sz val="10"/>
        <color indexed="22"/>
        <rFont val="Arial"/>
        <family val="2"/>
      </rPr>
      <t>]</t>
    </r>
  </si>
  <si>
    <r>
      <t>[t C pp (ha shelf)</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</si>
  <si>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forest_efp</t>
  </si>
  <si>
    <t>yf</t>
  </si>
  <si>
    <t>ef_built</t>
  </si>
  <si>
    <t>summary</t>
  </si>
  <si>
    <t>infrastructure_efp</t>
  </si>
  <si>
    <t>Perca flavescens</t>
  </si>
  <si>
    <t>Perca fluviatilis</t>
  </si>
  <si>
    <t>Agave Fibres Nes</t>
  </si>
  <si>
    <t>Mustelus asterias</t>
  </si>
  <si>
    <t>Sugar, nes</t>
  </si>
  <si>
    <t>Tangerine Juice</t>
  </si>
  <si>
    <t>Tobacco Products Nes</t>
  </si>
  <si>
    <t>Vegetable Tallow</t>
  </si>
  <si>
    <t>Vegetables Dehydrated</t>
  </si>
  <si>
    <t>Vegetables fresh nes</t>
  </si>
  <si>
    <t>Vegetables Preserved Nes</t>
  </si>
  <si>
    <t>Vegetables, dried nes</t>
  </si>
  <si>
    <t>Apple juice, concentrated</t>
  </si>
  <si>
    <t>Apple juice, single strength</t>
  </si>
  <si>
    <t>Asses</t>
  </si>
  <si>
    <t>Barley Pearled</t>
  </si>
  <si>
    <t>Bird meat, nes</t>
  </si>
  <si>
    <t>Blueberries</t>
  </si>
  <si>
    <t>Bran of Cereals</t>
  </si>
  <si>
    <t>Bran of Fonio</t>
  </si>
  <si>
    <t>Bran of Mixed Grains</t>
  </si>
  <si>
    <t>2009.39</t>
  </si>
  <si>
    <t>1102.90</t>
  </si>
  <si>
    <t>1102.20</t>
  </si>
  <si>
    <t>2009.80</t>
  </si>
  <si>
    <t>2009.29</t>
  </si>
  <si>
    <t>1702.30</t>
  </si>
  <si>
    <t>2009.31</t>
  </si>
  <si>
    <t>1517.90</t>
  </si>
  <si>
    <t>1517.10</t>
  </si>
  <si>
    <t>1006.30</t>
  </si>
  <si>
    <t>1516.20</t>
  </si>
  <si>
    <t>1515.90</t>
  </si>
  <si>
    <t>2009.19</t>
  </si>
  <si>
    <t>2009.12</t>
  </si>
  <si>
    <t>0714.90</t>
  </si>
  <si>
    <t>Chrysichthys spp</t>
  </si>
  <si>
    <t>Citharinus spp</t>
  </si>
  <si>
    <t>Clarias anguillaris</t>
  </si>
  <si>
    <t>Urophycis chuss</t>
  </si>
  <si>
    <t>Veg.Prod.Fresh Or Dried</t>
  </si>
  <si>
    <t>Grey triggerfish</t>
  </si>
  <si>
    <t>Guitarfishes, etc. nei</t>
  </si>
  <si>
    <t>Gurnards, searobins nei</t>
  </si>
  <si>
    <t>John dory</t>
  </si>
  <si>
    <t>Leerfish</t>
  </si>
  <si>
    <t>Small wares and toilet artices, nes</t>
  </si>
  <si>
    <t>Pteroscion peli</t>
  </si>
  <si>
    <t>Pterothrissus belloci</t>
  </si>
  <si>
    <t>Chars nei</t>
  </si>
  <si>
    <t>Lanternsharks nei</t>
  </si>
  <si>
    <t>New Zealand blue cod</t>
  </si>
  <si>
    <t>New Zealand dredge oyster</t>
  </si>
  <si>
    <t>New Zealand lobster</t>
  </si>
  <si>
    <t>Aquatic plants nei</t>
  </si>
  <si>
    <t>Black carp</t>
  </si>
  <si>
    <t>Vegetables,frozen or in temporary preservativ</t>
  </si>
  <si>
    <t>Sulphur, not sublimed, precipitd or colloidal</t>
  </si>
  <si>
    <t>Raja microocellata</t>
  </si>
  <si>
    <t>Raja montagui</t>
  </si>
  <si>
    <t>Raja naevus</t>
  </si>
  <si>
    <t>Raja oxyrinchus</t>
  </si>
  <si>
    <t>Raja radiata</t>
  </si>
  <si>
    <t>Raja spp</t>
  </si>
  <si>
    <t>Rajidae</t>
  </si>
  <si>
    <t>Sinks,wash basins,bidets,baths etc iron/steel</t>
  </si>
  <si>
    <t>Orange perch</t>
  </si>
  <si>
    <t>Casks,drums,boxes,cans and similar containers</t>
  </si>
  <si>
    <t>Compressed gas cylinders</t>
  </si>
  <si>
    <t>Wire cables,ropes,plaited bands not insulated</t>
  </si>
  <si>
    <t>Mirror dory</t>
  </si>
  <si>
    <t>Morwongs</t>
  </si>
  <si>
    <t>Murray's skate</t>
  </si>
  <si>
    <t>Sterlet sturgeon</t>
  </si>
  <si>
    <t>Rhinofishes nei</t>
  </si>
  <si>
    <t>Pacific salmons nei</t>
  </si>
  <si>
    <t>Soles nei</t>
  </si>
  <si>
    <t>Butterfishes, pomfrets nei</t>
  </si>
  <si>
    <t>Cape hakes</t>
  </si>
  <si>
    <t>Capelin</t>
  </si>
  <si>
    <t>Common nase</t>
  </si>
  <si>
    <t>Danube bleak</t>
  </si>
  <si>
    <t>Mediterranean barbel</t>
  </si>
  <si>
    <t>Pontic shad</t>
  </si>
  <si>
    <t>Vimba bream</t>
  </si>
  <si>
    <t>Thorntooth grenadier</t>
  </si>
  <si>
    <t>Velvet leatherjacket</t>
  </si>
  <si>
    <t>White warehou</t>
  </si>
  <si>
    <t>Harbour spidercrab</t>
  </si>
  <si>
    <t>Northern nylon shrimp</t>
  </si>
  <si>
    <t>Red king crab</t>
  </si>
  <si>
    <t>Dorab wolf-herring</t>
  </si>
  <si>
    <t>Parapenaeopsis shrimps nei</t>
  </si>
  <si>
    <t>0103.00</t>
  </si>
  <si>
    <t>Roving coralgrouper</t>
  </si>
  <si>
    <t>Rusty jobfish</t>
  </si>
  <si>
    <t>Sabre squirrelfish</t>
  </si>
  <si>
    <t>Sharpnose stingray</t>
  </si>
  <si>
    <t>Paper bags, paperboard boxes &amp; other containe</t>
  </si>
  <si>
    <t>Catsharks, etc. nei</t>
  </si>
  <si>
    <t>Straightnose rabbitfish</t>
  </si>
  <si>
    <t>Atka mackerel</t>
  </si>
  <si>
    <t>Ophiodon elongatus</t>
  </si>
  <si>
    <t>Orthopristis chrysoptera</t>
  </si>
  <si>
    <t>Alfonsino</t>
  </si>
  <si>
    <t>Beryx decadactylus</t>
  </si>
  <si>
    <t>Angular roughshark</t>
  </si>
  <si>
    <t>Bastard grunt</t>
  </si>
  <si>
    <t>Blue jack mackerel</t>
  </si>
  <si>
    <t>Bramble shark</t>
  </si>
  <si>
    <t>Forkbeard</t>
  </si>
  <si>
    <t>Four-spot megrim</t>
  </si>
  <si>
    <t>Imperial blackfish</t>
  </si>
  <si>
    <t>Mediterranean slipper lobster</t>
  </si>
  <si>
    <t>Scyllarides latus</t>
  </si>
  <si>
    <t>Parrotfish</t>
  </si>
  <si>
    <t>Red scorpionfish</t>
  </si>
  <si>
    <t>Scarlet shrimp</t>
  </si>
  <si>
    <t>Sculpins</t>
  </si>
  <si>
    <t>Silvery John dory</t>
  </si>
  <si>
    <t>Salvelinus alpinus</t>
  </si>
  <si>
    <t>Salvelinus fontinalis</t>
  </si>
  <si>
    <t>Salvelinus namaycush</t>
  </si>
  <si>
    <t>Salvelinus spp</t>
  </si>
  <si>
    <t>Dyeing extracts vegetable and animal</t>
  </si>
  <si>
    <t>Synthetic tanning materials</t>
  </si>
  <si>
    <t>Spinous spider crab</t>
  </si>
  <si>
    <t>Striped venus</t>
  </si>
  <si>
    <t>Onions (inc. shallots), green</t>
  </si>
  <si>
    <t>0703.10_a</t>
  </si>
  <si>
    <t>Offals of Cattle, Edible</t>
  </si>
  <si>
    <t>Harpadon nehereus</t>
  </si>
  <si>
    <t>Holocentridae</t>
  </si>
  <si>
    <t>Hypoptychus dybowskii</t>
  </si>
  <si>
    <t>Panulirus gracilis</t>
  </si>
  <si>
    <t>Panulirus homarus</t>
  </si>
  <si>
    <r>
      <t>[gha (t CO</t>
    </r>
    <r>
      <rPr>
        <vertAlign val="subscript"/>
        <sz val="10"/>
        <color indexed="23"/>
        <rFont val="Arial"/>
        <family val="2"/>
      </rPr>
      <t xml:space="preserve">2 </t>
    </r>
    <r>
      <rPr>
        <sz val="10"/>
        <color indexed="23"/>
        <rFont val="Arial"/>
        <family val="2"/>
      </rPr>
      <t>(yr</t>
    </r>
    <r>
      <rPr>
        <vertAlign val="superscript"/>
        <sz val="10"/>
        <color indexed="23"/>
        <rFont val="Arial"/>
        <family val="2"/>
      </rPr>
      <t>-1</t>
    </r>
    <r>
      <rPr>
        <sz val="10"/>
        <color indexed="23"/>
        <rFont val="Arial"/>
        <family val="2"/>
      </rPr>
      <t>))</t>
    </r>
    <r>
      <rPr>
        <vertAlign val="superscript"/>
        <sz val="10"/>
        <color indexed="23"/>
        <rFont val="Arial"/>
        <family val="2"/>
      </rPr>
      <t>-1</t>
    </r>
    <r>
      <rPr>
        <sz val="10"/>
        <color indexed="23"/>
        <rFont val="Arial"/>
        <family val="2"/>
      </rPr>
      <t>]</t>
    </r>
  </si>
  <si>
    <t>Rasbora argyrotaenia</t>
  </si>
  <si>
    <t>Smallscale archerfish</t>
  </si>
  <si>
    <t>Toxotes microlepis</t>
  </si>
  <si>
    <t>South American silver croaker</t>
  </si>
  <si>
    <t>Plagioscion squamosissimus</t>
  </si>
  <si>
    <t>Spotted barb</t>
  </si>
  <si>
    <t>Puntius binotatus</t>
  </si>
  <si>
    <t>Tarek</t>
  </si>
  <si>
    <t>Chalcalburnus tarichi</t>
  </si>
  <si>
    <t>Tropical gar</t>
  </si>
  <si>
    <t xml:space="preserve">Non-Metallic Minerals </t>
  </si>
  <si>
    <t xml:space="preserve">Transport Equipment </t>
  </si>
  <si>
    <t>0901.2_a</t>
  </si>
  <si>
    <t>Coffee Subst. Cont.Coffee</t>
  </si>
  <si>
    <t>0901.90_a</t>
  </si>
  <si>
    <t>Coir</t>
  </si>
  <si>
    <t>5305.1_a</t>
  </si>
  <si>
    <t>Compound Feed, Cattle</t>
  </si>
  <si>
    <t>2309.90_a</t>
  </si>
  <si>
    <t>Aluminium and aluminium alloys, worked</t>
  </si>
  <si>
    <t>Lead and lead alloys, unwrought</t>
  </si>
  <si>
    <t>Lead and lead alloys, worked</t>
  </si>
  <si>
    <t>Zinc and zinc alloys, unwrought</t>
  </si>
  <si>
    <t>Zinc and zinc alloys, worked</t>
  </si>
  <si>
    <t>Raja circularis</t>
  </si>
  <si>
    <t>Raja clavata</t>
  </si>
  <si>
    <t>Raja fullonica</t>
  </si>
  <si>
    <t>Raja georgiana</t>
  </si>
  <si>
    <r>
      <t>Grazing EF</t>
    </r>
    <r>
      <rPr>
        <b/>
        <vertAlign val="subscript"/>
        <sz val="10"/>
        <rFont val="Arial"/>
        <family val="2"/>
      </rPr>
      <t>E</t>
    </r>
  </si>
  <si>
    <t>Blue mussel</t>
  </si>
  <si>
    <t>River Plata mussel</t>
  </si>
  <si>
    <t>Raja lintea</t>
  </si>
  <si>
    <t>Castaneta</t>
  </si>
  <si>
    <t>Choicy ruff</t>
  </si>
  <si>
    <t>Eaton's skate</t>
  </si>
  <si>
    <t>Gadiformes nei</t>
  </si>
  <si>
    <t>Grenadiers nei</t>
  </si>
  <si>
    <t>Humped rockcod</t>
  </si>
  <si>
    <t>Kelp nei</t>
  </si>
  <si>
    <t>King weakfish</t>
  </si>
  <si>
    <t>Largehead hairtail</t>
  </si>
  <si>
    <t>Longtail Southern cod</t>
  </si>
  <si>
    <t>Mackerel icefish</t>
  </si>
  <si>
    <t>Marbled rockcod</t>
  </si>
  <si>
    <t>Narrownose smooth-hound</t>
  </si>
  <si>
    <t>Parona leatherjacket</t>
  </si>
  <si>
    <t>Patagonian blennie</t>
  </si>
  <si>
    <t>Patagonian grenadier</t>
  </si>
  <si>
    <t>Patagonian rockcod</t>
  </si>
  <si>
    <t>Patagonian scallop</t>
  </si>
  <si>
    <t>Patagonian toothfish</t>
  </si>
  <si>
    <t>Pink cusk-eel</t>
  </si>
  <si>
    <t>Plownose chimaera</t>
  </si>
  <si>
    <t>Callorhinchus callorynchus</t>
  </si>
  <si>
    <t>Rough scad</t>
  </si>
  <si>
    <t>Sevenstar flying squid</t>
  </si>
  <si>
    <t>Softshell red crab</t>
  </si>
  <si>
    <t>Cake of Oilseeds, Nes</t>
  </si>
  <si>
    <t>2306.90_h</t>
  </si>
  <si>
    <t>Cake of Palm Kernel</t>
  </si>
  <si>
    <t>2306.60</t>
  </si>
  <si>
    <t>Lophius budegassa</t>
  </si>
  <si>
    <t>Lophius piscatorius</t>
  </si>
  <si>
    <t>Acanthopagrus bifasciatus</t>
  </si>
  <si>
    <t>Acanthopagrus latus</t>
  </si>
  <si>
    <t>Acanthopagrus schlegeli</t>
  </si>
  <si>
    <t>Acanthuridae</t>
  </si>
  <si>
    <t>Acanthurus sohal</t>
  </si>
  <si>
    <t>Merluccius spp</t>
  </si>
  <si>
    <t>Microgadus proximus</t>
  </si>
  <si>
    <t>Microgadus tomcod</t>
  </si>
  <si>
    <t>Micromesistius australis</t>
  </si>
  <si>
    <t>Micromesistius poutassou</t>
  </si>
  <si>
    <t>Preparations of cereals,flour &amp; starch for fo</t>
  </si>
  <si>
    <t>Oranges, tangerines and clementines</t>
  </si>
  <si>
    <t>Pet Food</t>
  </si>
  <si>
    <t>Trichechus inunguis</t>
  </si>
  <si>
    <t>Rana spp</t>
  </si>
  <si>
    <t>Caretta caretta</t>
  </si>
  <si>
    <t>Chelonia mydas</t>
  </si>
  <si>
    <t>Tub gurnard</t>
  </si>
  <si>
    <t>Various sharks nei</t>
  </si>
  <si>
    <t>Whelk</t>
  </si>
  <si>
    <t>Whiting</t>
  </si>
  <si>
    <t>Benguela hake</t>
  </si>
  <si>
    <t>Black skipjack</t>
  </si>
  <si>
    <t>Veneer Sheets</t>
  </si>
  <si>
    <t>Wood Charcoal</t>
  </si>
  <si>
    <t>Wood Fuel(C)</t>
  </si>
  <si>
    <t>Wood Fuel(NC)</t>
  </si>
  <si>
    <r>
      <t>C to CO</t>
    </r>
    <r>
      <rPr>
        <vertAlign val="subscript"/>
        <sz val="10"/>
        <rFont val="Arial"/>
        <family val="2"/>
      </rPr>
      <t>2</t>
    </r>
    <r>
      <rPr>
        <sz val="10"/>
        <rFont val="Arial"/>
        <family val="2"/>
      </rPr>
      <t xml:space="preserve"> Ratio</t>
    </r>
  </si>
  <si>
    <t>Yellowstripe scad</t>
  </si>
  <si>
    <t>Bartail flathead</t>
  </si>
  <si>
    <t>Bluespot mullet</t>
  </si>
  <si>
    <t>Grooved carpet shell</t>
  </si>
  <si>
    <t>Chub</t>
  </si>
  <si>
    <t>Chum(=Keta=Dog)salmon</t>
  </si>
  <si>
    <t>Mozambique tilapia</t>
  </si>
  <si>
    <t>Philippine catfish</t>
  </si>
  <si>
    <t>Silver barb</t>
  </si>
  <si>
    <t>Meal Fish</t>
  </si>
  <si>
    <t>Donax clams</t>
  </si>
  <si>
    <t>Greater amberjack</t>
  </si>
  <si>
    <t>1704_a</t>
  </si>
  <si>
    <t>Sunflower Cake</t>
  </si>
  <si>
    <t>2306.30</t>
  </si>
  <si>
    <t>Pseudocyttus maculatus</t>
  </si>
  <si>
    <t>Pseudopentaceros richardsoni</t>
  </si>
  <si>
    <t>Patagonian squid</t>
  </si>
  <si>
    <t>Pipi wedge clam</t>
  </si>
  <si>
    <t>Percarina demidoffi</t>
  </si>
  <si>
    <t>Juice of Pineapples</t>
  </si>
  <si>
    <t>2009.41</t>
  </si>
  <si>
    <t>Narrow-barred Spanish mackerel</t>
  </si>
  <si>
    <t>Needlefishes, etc. nei</t>
  </si>
  <si>
    <t>Sardinella spp</t>
  </si>
  <si>
    <t>Sardinella zunasi</t>
  </si>
  <si>
    <t>Sardinops caeruleus</t>
  </si>
  <si>
    <t>Sardinops melanostictus</t>
  </si>
  <si>
    <t>Materials of animal origin,nes</t>
  </si>
  <si>
    <t>1521.90_a</t>
  </si>
  <si>
    <t>Beet Pulp</t>
  </si>
  <si>
    <t>2303.20_a</t>
  </si>
  <si>
    <t>Beets for Fodder</t>
  </si>
  <si>
    <t>1214.90_k</t>
  </si>
  <si>
    <t>Round sardinella</t>
  </si>
  <si>
    <t>Salema</t>
  </si>
  <si>
    <t>Sardinia coral</t>
  </si>
  <si>
    <t>Scomber mackerels nei</t>
  </si>
  <si>
    <t>Silver scabbardfish</t>
  </si>
  <si>
    <t>Steel castings in the rough state</t>
  </si>
  <si>
    <t>Inorganic esters,their salts and derivatives</t>
  </si>
  <si>
    <t>2309.90_c</t>
  </si>
  <si>
    <t>1801.00_a</t>
  </si>
  <si>
    <t>0801.19_a</t>
  </si>
  <si>
    <t>0901.1_a</t>
  </si>
  <si>
    <t>5201.00aa</t>
  </si>
  <si>
    <t>1207.20aa</t>
  </si>
  <si>
    <t>Fat of Camels</t>
  </si>
  <si>
    <t>Fat of Poultry</t>
  </si>
  <si>
    <t>Fat of Sheep</t>
  </si>
  <si>
    <t>Echinus esculentus</t>
  </si>
  <si>
    <t>Loxechinus albus</t>
  </si>
  <si>
    <t>Salilota australis</t>
  </si>
  <si>
    <t>Redtail prawn</t>
  </si>
  <si>
    <t>Snappers, jobfishes nei</t>
  </si>
  <si>
    <t>Two-spot red snapper</t>
  </si>
  <si>
    <t>0407.00b</t>
  </si>
  <si>
    <t>Pig meat</t>
  </si>
  <si>
    <t>Blood ark</t>
  </si>
  <si>
    <t>Argentine goatfish</t>
  </si>
  <si>
    <t>Argentine hake</t>
  </si>
  <si>
    <t>Argentine red shrimp</t>
  </si>
  <si>
    <t>Argentine seabass</t>
  </si>
  <si>
    <t>Argentine shortfin squid</t>
  </si>
  <si>
    <t>Argentine stiletto shrimp</t>
  </si>
  <si>
    <t>Infrastructure</t>
  </si>
  <si>
    <t>Golden grey mullet</t>
  </si>
  <si>
    <t>Hairtails, scabbardfishes nei</t>
  </si>
  <si>
    <t>Indian mackerel</t>
  </si>
  <si>
    <t>Kingklip</t>
  </si>
  <si>
    <t>Leaping mullet</t>
  </si>
  <si>
    <t>Longfin squid</t>
  </si>
  <si>
    <t>Loligo pealeii</t>
  </si>
  <si>
    <t>2205_a</t>
  </si>
  <si>
    <t>Vitamins</t>
  </si>
  <si>
    <t>2309.90_i</t>
  </si>
  <si>
    <t>Wafers</t>
  </si>
  <si>
    <t>1905_c</t>
  </si>
  <si>
    <t>Walnuts Shelled</t>
  </si>
  <si>
    <t>Parent Name</t>
  </si>
  <si>
    <t>Parent Code</t>
  </si>
  <si>
    <t>1212.91_a</t>
  </si>
  <si>
    <t>Sugar Non- Centrifugal</t>
  </si>
  <si>
    <t>1701.11_b</t>
  </si>
  <si>
    <t>1206.00_a</t>
  </si>
  <si>
    <t>Swedes for Fodder</t>
  </si>
  <si>
    <t>1214.90_m</t>
  </si>
  <si>
    <t>0714.20_a</t>
  </si>
  <si>
    <t>0805.20_a</t>
  </si>
  <si>
    <t>2401_a</t>
  </si>
  <si>
    <t>0702.00_a</t>
  </si>
  <si>
    <t>Tomatojuice Concentrated</t>
  </si>
  <si>
    <t>2009.50_b</t>
  </si>
  <si>
    <t>Tung Nuts</t>
  </si>
  <si>
    <t>1207.9ai</t>
  </si>
  <si>
    <t>Cymatoceps nasutus</t>
  </si>
  <si>
    <t>Black rockcod</t>
  </si>
  <si>
    <t>Notothenia coriiceps</t>
  </si>
  <si>
    <t>Black teatfish</t>
  </si>
  <si>
    <t>Holothuria nobilis</t>
  </si>
  <si>
    <t>Blackfin goosefish</t>
  </si>
  <si>
    <t>Lophius gastrophysus</t>
  </si>
  <si>
    <t>Boarfish</t>
  </si>
  <si>
    <t>Larimichthys croceus</t>
  </si>
  <si>
    <t>Larimichthys polyactis</t>
  </si>
  <si>
    <t>Lateolabrax japonicus</t>
  </si>
  <si>
    <t>Leiognathidae</t>
  </si>
  <si>
    <t>Leiognathus spp</t>
  </si>
  <si>
    <t>Leiostomus xanthurus</t>
  </si>
  <si>
    <t>Lepidoperca pulchella</t>
  </si>
  <si>
    <t>Lethrinidae</t>
  </si>
  <si>
    <t>Lethrinus atlanticus</t>
  </si>
  <si>
    <t>Lethrinus borbonicus</t>
  </si>
  <si>
    <t>Lethrinus harak</t>
  </si>
  <si>
    <t>Scalloped hammerhead</t>
  </si>
  <si>
    <t>Serra Spanish mackerel</t>
  </si>
  <si>
    <t>Silky shark</t>
  </si>
  <si>
    <t>Telecommunications equipment nes</t>
  </si>
  <si>
    <t>Other artificial resins and plastic materials</t>
  </si>
  <si>
    <t>Yarn of wool and animal hair</t>
  </si>
  <si>
    <t>Lorries and trucks, including ambulances, etc</t>
  </si>
  <si>
    <t>Special purpose lorries, trucks and vans</t>
  </si>
  <si>
    <t>tonnes</t>
  </si>
  <si>
    <t>Scomberomorus maculatus</t>
  </si>
  <si>
    <t>Pyrethrum Extr</t>
  </si>
  <si>
    <t>1302.14</t>
  </si>
  <si>
    <t>Pyrethrum,Dried</t>
  </si>
  <si>
    <t>1211.90</t>
  </si>
  <si>
    <t>Rabbits and hares</t>
  </si>
  <si>
    <t>Ramie</t>
  </si>
  <si>
    <t>5305.90_b</t>
  </si>
  <si>
    <t>Raspberries</t>
  </si>
  <si>
    <t>Res.Fatty Subs</t>
  </si>
  <si>
    <t>Rice Broken</t>
  </si>
  <si>
    <t>1006.40</t>
  </si>
  <si>
    <t>Fleshy prawn</t>
  </si>
  <si>
    <t>National Electricity Carbon Intensity</t>
  </si>
  <si>
    <t>Regional Electricity Carbon Intensity</t>
  </si>
  <si>
    <t>Hippoglossus stenolepis</t>
  </si>
  <si>
    <t>Lepidopsetta bilineata</t>
  </si>
  <si>
    <t>Lepidorhombus boscii</t>
  </si>
  <si>
    <t>Lepidorhombus spp</t>
  </si>
  <si>
    <t>Lepidorhombus whiffiagonis</t>
  </si>
  <si>
    <t>Limanda aspera</t>
  </si>
  <si>
    <t>Pecten jacobaeus</t>
  </si>
  <si>
    <t>Pecten maximus</t>
  </si>
  <si>
    <t>Pecten novaezelandiae</t>
  </si>
  <si>
    <t>Pectinidae</t>
  </si>
  <si>
    <t>Placopecten magellanicus</t>
  </si>
  <si>
    <t>Birdbeak dogfish</t>
  </si>
  <si>
    <t>1515.90_e</t>
  </si>
  <si>
    <t>Oil of Olive Residues</t>
  </si>
  <si>
    <t>Acanthopagrus berda</t>
  </si>
  <si>
    <t>Geese and guinea fowls</t>
  </si>
  <si>
    <t>0105cb</t>
  </si>
  <si>
    <t>Meal and flour of wheat or of meslin</t>
  </si>
  <si>
    <t>Medium plates etc. Of iron or steel, 3 4.75mm</t>
  </si>
  <si>
    <t>Plates etc of iron or steel uncoated under 3</t>
  </si>
  <si>
    <t>Tinned plates and sheets</t>
  </si>
  <si>
    <t>Fruit Tropical Dried Nes</t>
  </si>
  <si>
    <t>0813.40_a</t>
  </si>
  <si>
    <t>Chilean silverside</t>
  </si>
  <si>
    <t>Aspius aspius</t>
  </si>
  <si>
    <t>Barbus barbus</t>
  </si>
  <si>
    <t>Atlantic silverside</t>
  </si>
  <si>
    <t>Atlantic surf clam</t>
  </si>
  <si>
    <t>Dungeness crab</t>
  </si>
  <si>
    <t>Greenland cod</t>
  </si>
  <si>
    <t>English sole</t>
  </si>
  <si>
    <t>Gag</t>
  </si>
  <si>
    <t>Redfish</t>
  </si>
  <si>
    <t>Milk Skimmed Dry</t>
  </si>
  <si>
    <t>Milk Skm of Cows</t>
  </si>
  <si>
    <t>Tuna-like fishes nei</t>
  </si>
  <si>
    <t>Groundnuts, with shell</t>
  </si>
  <si>
    <t>Hazelnuts, with shell</t>
  </si>
  <si>
    <t>Hops</t>
  </si>
  <si>
    <t>1210.10</t>
  </si>
  <si>
    <t>Printing and bookbinding machinery</t>
  </si>
  <si>
    <t>Macrodon ancylodon</t>
  </si>
  <si>
    <t>Archosargus rhomboidalis</t>
  </si>
  <si>
    <t>Knifetooth dogfish</t>
  </si>
  <si>
    <t>Scymnodon ringens</t>
  </si>
  <si>
    <t>Little sleeper shark</t>
  </si>
  <si>
    <t>Glyptocephalus cynoglossus</t>
  </si>
  <si>
    <t>Glyptocephalus zachirus</t>
  </si>
  <si>
    <t>Hippoglossoides elassodon</t>
  </si>
  <si>
    <t>Hippoglossoides platessoides</t>
  </si>
  <si>
    <t>Hippoglossus hippoglossus</t>
  </si>
  <si>
    <t>Groupers nei</t>
  </si>
  <si>
    <t>Indo-Pacific swamp crab</t>
  </si>
  <si>
    <t>Indonesian snakehead</t>
  </si>
  <si>
    <t>Kissing gourami</t>
  </si>
  <si>
    <t>Main Activity Electricity and Heat Production</t>
  </si>
  <si>
    <t xml:space="preserve">Main Activity Electricity Plants </t>
  </si>
  <si>
    <t>Main Activity CHP Plants</t>
  </si>
  <si>
    <t>Main Activity Heat Plants</t>
  </si>
  <si>
    <t>Gobies nei</t>
  </si>
  <si>
    <t>Marine crabs nei</t>
  </si>
  <si>
    <t>Natantian decapods nei</t>
  </si>
  <si>
    <t>Halogen &amp; sulphur comp.of non met.or metalloi</t>
  </si>
  <si>
    <t>Metallic oxides used in paints</t>
  </si>
  <si>
    <t>Other inorganic bases and metallic oxides</t>
  </si>
  <si>
    <t>Metallic salts &amp; peroxysalts of inorganic aci</t>
  </si>
  <si>
    <t>Oth.metal.salts &amp; peroxysalts of inorg.acids</t>
  </si>
  <si>
    <t>2004.90_a</t>
  </si>
  <si>
    <t>Pineapples Cand</t>
  </si>
  <si>
    <t>2008.20</t>
  </si>
  <si>
    <t>Plums Dried (Prunes)</t>
  </si>
  <si>
    <t>0813.20</t>
  </si>
  <si>
    <t>Pork</t>
  </si>
  <si>
    <t>Potatoes Flour</t>
  </si>
  <si>
    <t>1105.00</t>
  </si>
  <si>
    <t>Prep of Pig Meat</t>
  </si>
  <si>
    <t>Plums and sloes</t>
  </si>
  <si>
    <t>Poppy seed</t>
  </si>
  <si>
    <t>Kinneret bleak</t>
  </si>
  <si>
    <t>Japanese corbicula</t>
  </si>
  <si>
    <t>Rhinochimaera atlantica</t>
  </si>
  <si>
    <t>Rhynchobatus djiddensis</t>
  </si>
  <si>
    <t>Scyliorhinidae</t>
  </si>
  <si>
    <t>Bigeye tuna, fresh or chilled</t>
  </si>
  <si>
    <t>Trisopterus minutus</t>
  </si>
  <si>
    <t>Ponyfishes(=Slipmouths) nei</t>
  </si>
  <si>
    <t>Angelshark</t>
  </si>
  <si>
    <t>Eledone spp</t>
  </si>
  <si>
    <t>Common stingray</t>
  </si>
  <si>
    <t>Eel-grass</t>
  </si>
  <si>
    <t>Golden Cystoseira</t>
  </si>
  <si>
    <t>King dory</t>
  </si>
  <si>
    <t>Shads nei</t>
  </si>
  <si>
    <t>Clams, etc. nei</t>
  </si>
  <si>
    <t>American eel</t>
  </si>
  <si>
    <t>Gudgeons, sleepers nei</t>
  </si>
  <si>
    <t>European seabass</t>
  </si>
  <si>
    <t>Gilthead seabream</t>
  </si>
  <si>
    <t>Jacks, crevalles nei</t>
  </si>
  <si>
    <t>Eretmochelys imbricata</t>
  </si>
  <si>
    <t>Snappers nei</t>
  </si>
  <si>
    <t>Oriental river prawn</t>
  </si>
  <si>
    <t>Pond smelt</t>
  </si>
  <si>
    <t>Puffers nei</t>
  </si>
  <si>
    <t>Red swamp crawfish</t>
  </si>
  <si>
    <t>Snakehead</t>
  </si>
  <si>
    <t>Soft-shell turtle</t>
  </si>
  <si>
    <t>Tanning extracts of vegetable origin</t>
  </si>
  <si>
    <t>Tannic acids tannins and derivatives</t>
  </si>
  <si>
    <t>Colouring materials,nes</t>
  </si>
  <si>
    <t>Printing inks</t>
  </si>
  <si>
    <t>Ginglymostoma cirratum</t>
  </si>
  <si>
    <t>Gymnura altavela</t>
  </si>
  <si>
    <t>Hexanchus griseus</t>
  </si>
  <si>
    <t>Himantura gerrardi</t>
  </si>
  <si>
    <t>Hydrolagus colliei</t>
  </si>
  <si>
    <t>Southern blue whiting</t>
  </si>
  <si>
    <t>0802.50_a</t>
  </si>
  <si>
    <t>0809.40_a</t>
  </si>
  <si>
    <t>Malaclemys spp</t>
  </si>
  <si>
    <t>Testudinata</t>
  </si>
  <si>
    <t>Trionyx sinensis</t>
  </si>
  <si>
    <t>Shrimp scad</t>
  </si>
  <si>
    <t>Ascophyllum nodosum</t>
  </si>
  <si>
    <t>Cystoseira barbata</t>
  </si>
  <si>
    <t>Laminaria digitata</t>
  </si>
  <si>
    <t>Chaenocephalus aceratus</t>
  </si>
  <si>
    <t>Chaenodraco wilsoni</t>
  </si>
  <si>
    <t>1509_a</t>
  </si>
  <si>
    <t>Olives</t>
  </si>
  <si>
    <t>Leguminous nes for forage and silage</t>
  </si>
  <si>
    <t>1214.90_g</t>
  </si>
  <si>
    <t>Lumber, sawn, planed, etc.  Non conifer</t>
  </si>
  <si>
    <t>Cork,raw &amp; waste</t>
  </si>
  <si>
    <t>Castor oil seed</t>
  </si>
  <si>
    <t>Cauliflowers and broccoli</t>
  </si>
  <si>
    <t>0704.10</t>
  </si>
  <si>
    <t>Cherries</t>
  </si>
  <si>
    <t>0809.20_a</t>
  </si>
  <si>
    <t>Chestnuts</t>
  </si>
  <si>
    <t>Roaches nei</t>
  </si>
  <si>
    <r>
      <t>ImportsCO</t>
    </r>
    <r>
      <rPr>
        <b/>
        <vertAlign val="subscript"/>
        <sz val="10"/>
        <color indexed="9"/>
        <rFont val="Arial"/>
        <family val="2"/>
      </rPr>
      <t>2</t>
    </r>
  </si>
  <si>
    <r>
      <t>Energy</t>
    </r>
    <r>
      <rPr>
        <b/>
        <vertAlign val="subscript"/>
        <sz val="10"/>
        <color indexed="9"/>
        <rFont val="Arial"/>
        <family val="2"/>
      </rPr>
      <t>I</t>
    </r>
  </si>
  <si>
    <r>
      <t>ExportsCO</t>
    </r>
    <r>
      <rPr>
        <b/>
        <vertAlign val="subscript"/>
        <sz val="10"/>
        <color indexed="9"/>
        <rFont val="Arial"/>
        <family val="2"/>
      </rPr>
      <t>2</t>
    </r>
  </si>
  <si>
    <t>Imports Primary EQ</t>
  </si>
  <si>
    <t>Pseudopercis semifasciata</t>
  </si>
  <si>
    <t>Pseudotolithus elongatus</t>
  </si>
  <si>
    <t>Pseudotolithus senegalensis</t>
  </si>
  <si>
    <t>Pseudotolithus spp</t>
  </si>
  <si>
    <t>Pseudupeneus prayensis</t>
  </si>
  <si>
    <t>Pterogymnus laniarius</t>
  </si>
  <si>
    <t>Blackspotted rubberlip</t>
  </si>
  <si>
    <t>Blue-barred parrotfish</t>
  </si>
  <si>
    <t>Bluefin trevally</t>
  </si>
  <si>
    <t>Bluespine unicornfish</t>
  </si>
  <si>
    <t>Brownspotted grouper</t>
  </si>
  <si>
    <t>Camouflage grouper</t>
  </si>
  <si>
    <t>Jasus novaehollandiae</t>
  </si>
  <si>
    <t>Jasus paulensis</t>
  </si>
  <si>
    <t>Climbing perch</t>
  </si>
  <si>
    <t>Giant tiger prawn</t>
  </si>
  <si>
    <t>Kelee shad</t>
  </si>
  <si>
    <t>Asian redtail catfish</t>
  </si>
  <si>
    <t>Broad beans, horse beans, dry</t>
  </si>
  <si>
    <t>0713.50</t>
  </si>
  <si>
    <t>Buckwheat</t>
  </si>
  <si>
    <t>1008.90aa</t>
  </si>
  <si>
    <t>Cabbages and other brassicas</t>
  </si>
  <si>
    <t>0704.90_a</t>
  </si>
  <si>
    <t>Sunflower seed</t>
  </si>
  <si>
    <t>Sweet potatoes</t>
  </si>
  <si>
    <t>Tangerines, mandarins, clem.</t>
  </si>
  <si>
    <t>Ocellated icefish</t>
  </si>
  <si>
    <t>Orange roughy</t>
  </si>
  <si>
    <t>Cichla ocellaris</t>
  </si>
  <si>
    <t>Sphyrna lewini</t>
  </si>
  <si>
    <t>Zeus faber</t>
  </si>
  <si>
    <t>Anchoa hepsetus</t>
  </si>
  <si>
    <t>Brevoortia aurea</t>
  </si>
  <si>
    <t>Wahoo</t>
  </si>
  <si>
    <t>Dogfish and Sharks</t>
  </si>
  <si>
    <t>Eels</t>
  </si>
  <si>
    <t>Halibut</t>
  </si>
  <si>
    <t>Hake</t>
  </si>
  <si>
    <t>Herring</t>
  </si>
  <si>
    <t>Lobster</t>
  </si>
  <si>
    <t>Salmon</t>
  </si>
  <si>
    <t>Yautia (cocoyam)</t>
  </si>
  <si>
    <t>Scaridae</t>
  </si>
  <si>
    <t>Coffee Husks and Skins</t>
  </si>
  <si>
    <t>Arecanuts</t>
  </si>
  <si>
    <t>0802.90ab</t>
  </si>
  <si>
    <t>European sprat</t>
  </si>
  <si>
    <t>Garfish</t>
  </si>
  <si>
    <t>Dark ghost shark</t>
  </si>
  <si>
    <t>Dealfishes</t>
  </si>
  <si>
    <t>Delicate scallop</t>
  </si>
  <si>
    <t>Dories nei</t>
  </si>
  <si>
    <t>Eagle rays nei</t>
  </si>
  <si>
    <t>Frostfishes</t>
  </si>
  <si>
    <t>Giant boarfish</t>
  </si>
  <si>
    <t>Giant stargazer</t>
  </si>
  <si>
    <t>Great white shark</t>
  </si>
  <si>
    <t>Grenadier cod</t>
  </si>
  <si>
    <t>Blue runner</t>
  </si>
  <si>
    <t>Brazilian groupers nei</t>
  </si>
  <si>
    <t>Brazilian sardinella</t>
  </si>
  <si>
    <t>Chola guitarfish</t>
  </si>
  <si>
    <t>Cusk-eels, brotulas nei</t>
  </si>
  <si>
    <t>Dana swimcrab</t>
  </si>
  <si>
    <t>Cancer borealis</t>
  </si>
  <si>
    <t>Cancer irroratus</t>
  </si>
  <si>
    <t>Cancer magister</t>
  </si>
  <si>
    <t>Pleuroncodes planipes</t>
  </si>
  <si>
    <t>Acetes japonicus</t>
  </si>
  <si>
    <t>Aristeidae</t>
  </si>
  <si>
    <t>Other bird eggs,in shell</t>
  </si>
  <si>
    <t>Craylets, squat lobsters</t>
  </si>
  <si>
    <t>Croakers nei</t>
  </si>
  <si>
    <t>Anguilla spp</t>
  </si>
  <si>
    <t>Coregonus albula</t>
  </si>
  <si>
    <t>Coregonus artedi</t>
  </si>
  <si>
    <t>Coregonus clupeaformis</t>
  </si>
  <si>
    <t>Coregonus lavaretus</t>
  </si>
  <si>
    <t>Coregonus oxyrinchus</t>
  </si>
  <si>
    <t>Coregonus spp</t>
  </si>
  <si>
    <t>Hucho hucho</t>
  </si>
  <si>
    <t>Hidesdry S.Cattle</t>
  </si>
  <si>
    <t>Homogen. Cooked Fruit Prp</t>
  </si>
  <si>
    <t>2007.10</t>
  </si>
  <si>
    <t>Homogen.Meat Prp.</t>
  </si>
  <si>
    <t>Homogen.Veget.Prep</t>
  </si>
  <si>
    <t>Lethrinus lentjan</t>
  </si>
  <si>
    <t>Lethrinus mahsena</t>
  </si>
  <si>
    <t>Wood Fuel</t>
  </si>
  <si>
    <r>
      <t>EF</t>
    </r>
    <r>
      <rPr>
        <b/>
        <vertAlign val="subscript"/>
        <sz val="10"/>
        <rFont val="Arial"/>
        <family val="2"/>
      </rPr>
      <t>I</t>
    </r>
  </si>
  <si>
    <r>
      <t>EF</t>
    </r>
    <r>
      <rPr>
        <b/>
        <vertAlign val="subscript"/>
        <sz val="10"/>
        <rFont val="Arial"/>
        <family val="2"/>
      </rPr>
      <t>P</t>
    </r>
  </si>
  <si>
    <r>
      <t>EF</t>
    </r>
    <r>
      <rPr>
        <b/>
        <vertAlign val="subscript"/>
        <sz val="10"/>
        <rFont val="Arial"/>
        <family val="2"/>
      </rPr>
      <t>E</t>
    </r>
  </si>
  <si>
    <t>TOTAL</t>
  </si>
  <si>
    <t>Horse mussels nei</t>
  </si>
  <si>
    <t>Bluefish</t>
  </si>
  <si>
    <t>So-iuy mullet</t>
  </si>
  <si>
    <t>Sockeye(=Red)salmon</t>
  </si>
  <si>
    <t>Champsocephalus esox</t>
  </si>
  <si>
    <t>Pilotfish</t>
  </si>
  <si>
    <t>Naucrates ductor</t>
  </si>
  <si>
    <t>Pod razor shell</t>
  </si>
  <si>
    <t>Ensis ensis</t>
  </si>
  <si>
    <t>Prickly redfish</t>
  </si>
  <si>
    <t>Thelenota ananas</t>
  </si>
  <si>
    <t>Queen snapper</t>
  </si>
  <si>
    <t>Etelis oculatus</t>
  </si>
  <si>
    <t>Razor clams, knife clams nei</t>
  </si>
  <si>
    <t>Solenidae</t>
  </si>
  <si>
    <t>Red pike conger</t>
  </si>
  <si>
    <t>Cynoponticus coniceps</t>
  </si>
  <si>
    <t>Red vermillion crab</t>
  </si>
  <si>
    <t>Paralomis verrilli</t>
  </si>
  <si>
    <t>Righteye flounders nei</t>
  </si>
  <si>
    <t>Pleuronectidae</t>
  </si>
  <si>
    <t>Robust clubhook squid</t>
  </si>
  <si>
    <t>Moroteuthis robustus</t>
  </si>
  <si>
    <t>Rubyfish</t>
  </si>
  <si>
    <t>Plagiogeneion rubiginosum</t>
  </si>
  <si>
    <t>Sand fish</t>
  </si>
  <si>
    <t>Holothuria scabra</t>
  </si>
  <si>
    <t>Schoolmaster gonate squid</t>
  </si>
  <si>
    <t>Berryteuthis magister</t>
  </si>
  <si>
    <t>Seaweeds nei</t>
  </si>
  <si>
    <t>Algae</t>
  </si>
  <si>
    <t>Sharptooth houndshark</t>
  </si>
  <si>
    <t>Triakis megalopterus</t>
  </si>
  <si>
    <t>Shortfin scad</t>
  </si>
  <si>
    <t>Decapterus macrosoma</t>
  </si>
  <si>
    <t>Shortjaw leatherjacket</t>
  </si>
  <si>
    <t>Oligoplites refulgens</t>
  </si>
  <si>
    <t>Silk snapper</t>
  </si>
  <si>
    <t>Lutjanus vivanus</t>
  </si>
  <si>
    <t>Silvery pout</t>
  </si>
  <si>
    <t>Gadiculus argenteus</t>
  </si>
  <si>
    <t>Slender tuna</t>
  </si>
  <si>
    <t>Allothunnus fallai</t>
  </si>
  <si>
    <t>Smalltail shark</t>
  </si>
  <si>
    <t>Carcharhinus porosus</t>
  </si>
  <si>
    <t>Smooth callista</t>
  </si>
  <si>
    <t>Callista chione</t>
  </si>
  <si>
    <t>Southern brown shrimp</t>
  </si>
  <si>
    <t>Penaeus subtilis</t>
  </si>
  <si>
    <t>Glycosides,glands &amp; extracts,sera,vaccines</t>
  </si>
  <si>
    <t>Medicaments</t>
  </si>
  <si>
    <t>Pharmaceutical goods</t>
  </si>
  <si>
    <t>Essential oils and resinoids</t>
  </si>
  <si>
    <t>Greater argentine</t>
  </si>
  <si>
    <t>Atlantic moonfish</t>
  </si>
  <si>
    <t>Atlantic seabob</t>
  </si>
  <si>
    <t>1214.90_d</t>
  </si>
  <si>
    <t>Sour cherries</t>
  </si>
  <si>
    <t>0809.20_b</t>
  </si>
  <si>
    <t>Soybean oil</t>
  </si>
  <si>
    <t>1507_a</t>
  </si>
  <si>
    <t>Soybeans</t>
  </si>
  <si>
    <t>Spinach</t>
  </si>
  <si>
    <t>Scomberesox saurus</t>
  </si>
  <si>
    <t>Scomberoides commersonnianus</t>
  </si>
  <si>
    <t>Chloroscombrus orqueta</t>
  </si>
  <si>
    <t>Rabbit meat</t>
  </si>
  <si>
    <t>Karite Nuts (Sheanuts)</t>
  </si>
  <si>
    <t>Merluccius senegalensis</t>
  </si>
  <si>
    <t>Argentine menhaden</t>
  </si>
  <si>
    <t>Helmet ton</t>
  </si>
  <si>
    <t>Footprint Intensity of Carbon</t>
  </si>
  <si>
    <t>Fish Group Name</t>
  </si>
  <si>
    <t>Relative Feed Intensity</t>
  </si>
  <si>
    <t>Catch</t>
  </si>
  <si>
    <t>Imports Yield</t>
  </si>
  <si>
    <t>Effective Trophic Level</t>
  </si>
  <si>
    <t>Exports Yield</t>
  </si>
  <si>
    <t>Longtail stingray</t>
  </si>
  <si>
    <t>Dasyatis longa</t>
  </si>
  <si>
    <t>Lowfin gulper shark</t>
  </si>
  <si>
    <t>Milk Skimmed Evp</t>
  </si>
  <si>
    <t>1008.20_a</t>
  </si>
  <si>
    <t>0709.5_a</t>
  </si>
  <si>
    <t>Bakery products</t>
  </si>
  <si>
    <t>Gaidropsarus spp</t>
  </si>
  <si>
    <t>1007.00_a</t>
  </si>
  <si>
    <t>1201.00_a</t>
  </si>
  <si>
    <t>Salmon (Oncorhyncus spp., Salmo salar, Hucho hucho), fresh or chilled</t>
  </si>
  <si>
    <t>Mya arenaria</t>
  </si>
  <si>
    <t>Panopea abrupta</t>
  </si>
  <si>
    <t>Paphia spp</t>
  </si>
  <si>
    <t>Paphies australis</t>
  </si>
  <si>
    <t>Pitar rostratus</t>
  </si>
  <si>
    <t>Protothaca staminea</t>
  </si>
  <si>
    <t>Penaeus shrimps nei</t>
  </si>
  <si>
    <t>FEED REGION</t>
  </si>
  <si>
    <t>Haffara seabream</t>
  </si>
  <si>
    <t>Indian driftfish</t>
  </si>
  <si>
    <t>Leopard flounder</t>
  </si>
  <si>
    <t>2302.50</t>
  </si>
  <si>
    <t>2302.20</t>
  </si>
  <si>
    <t>Bran of Sorghum</t>
  </si>
  <si>
    <t>Vegetables,dehydrated excl.leguminous vegetab</t>
  </si>
  <si>
    <t>Plantae aquaticae</t>
  </si>
  <si>
    <t>Parapenaeopsis spp</t>
  </si>
  <si>
    <t>Parapenaeus longirostris</t>
  </si>
  <si>
    <t>Penaeus brevirostris</t>
  </si>
  <si>
    <t>Clupeonella cultriventris</t>
  </si>
  <si>
    <t>Bloch's gizzard shad</t>
  </si>
  <si>
    <t>Fourlined terapon</t>
  </si>
  <si>
    <t>Giant catfish</t>
  </si>
  <si>
    <t>Goatfishes, red mullets nei</t>
  </si>
  <si>
    <t>Golden trevally</t>
  </si>
  <si>
    <t>European hake</t>
  </si>
  <si>
    <t>European lobster</t>
  </si>
  <si>
    <t>European pilchard(=Sardine)</t>
  </si>
  <si>
    <t>Cyttus traversi</t>
  </si>
  <si>
    <t>Diastobranchus capensis</t>
  </si>
  <si>
    <t>Dissostichus eleginoides</t>
  </si>
  <si>
    <t>Dissostichus mawsoni</t>
  </si>
  <si>
    <t>Emmelichthyidae</t>
  </si>
  <si>
    <t>Whitefin wolf-herring</t>
  </si>
  <si>
    <t>Arctic skate</t>
  </si>
  <si>
    <t>Dussumieria acuta</t>
  </si>
  <si>
    <t>Dussumieria elopsoides</t>
  </si>
  <si>
    <t>Engraulidae</t>
  </si>
  <si>
    <t>Engraulis anchoita</t>
  </si>
  <si>
    <t>Engraulis capensis</t>
  </si>
  <si>
    <t>Pterygotrigla picta</t>
  </si>
  <si>
    <t>Pterygotrigla polyommata</t>
  </si>
  <si>
    <t>Rexea solandri</t>
  </si>
  <si>
    <t>Cerastoderma edule</t>
  </si>
  <si>
    <t>Manufactures of mineral mat.,nes,no ceramic</t>
  </si>
  <si>
    <t>Refractory products,no construction materials</t>
  </si>
  <si>
    <t>Manufactures of asbestos, friction materials</t>
  </si>
  <si>
    <t>Ethmalosa fimbriata</t>
  </si>
  <si>
    <t>Engraulis encrasicolus</t>
  </si>
  <si>
    <t>Engraulis japonicus</t>
  </si>
  <si>
    <t>Engraulis mordax</t>
  </si>
  <si>
    <t>Engraulis ringens</t>
  </si>
  <si>
    <t>Baird's slickhead</t>
  </si>
  <si>
    <t>Black scabbardfish</t>
  </si>
  <si>
    <t>Exports Intensity</t>
  </si>
  <si>
    <t>Blackmouth splitfin</t>
  </si>
  <si>
    <t>Greenland shark</t>
  </si>
  <si>
    <t>Longspine snipefish</t>
  </si>
  <si>
    <t>Portuguese dogfish</t>
  </si>
  <si>
    <t>Roughhead grenadier</t>
  </si>
  <si>
    <t>Sea lamprey</t>
  </si>
  <si>
    <t>Black cardinal fish</t>
  </si>
  <si>
    <t>European flying squid</t>
  </si>
  <si>
    <t>2203.00</t>
  </si>
  <si>
    <t>Species</t>
  </si>
  <si>
    <t>Adriatic sturgeon</t>
  </si>
  <si>
    <t>African bonytongue</t>
  </si>
  <si>
    <t>African catfish</t>
  </si>
  <si>
    <t>Algerian barb</t>
  </si>
  <si>
    <t>American bull frog</t>
  </si>
  <si>
    <t>1102.10</t>
  </si>
  <si>
    <t>1101.00</t>
  </si>
  <si>
    <t>Food Prep Nes</t>
  </si>
  <si>
    <t>2106.90_a</t>
  </si>
  <si>
    <t>Food Prep,Flour,Malt Extract</t>
  </si>
  <si>
    <t>1901.90_b</t>
  </si>
  <si>
    <t>Phycis spp</t>
  </si>
  <si>
    <t>Pollachius pollachius</t>
  </si>
  <si>
    <t>Pollachius virens</t>
  </si>
  <si>
    <t>Tripterophycis gilchristi</t>
  </si>
  <si>
    <t>Trisopterus esmarkii</t>
  </si>
  <si>
    <t>Trisopterus luscus</t>
  </si>
  <si>
    <t>Brook trout</t>
  </si>
  <si>
    <t>European perch</t>
  </si>
  <si>
    <t>Sardinella gibbosa</t>
  </si>
  <si>
    <t>Scomberomorus spp</t>
  </si>
  <si>
    <t>Scomberomorus tritor</t>
  </si>
  <si>
    <t>Scombroidei</t>
  </si>
  <si>
    <t>Tetrapturus albidus</t>
  </si>
  <si>
    <t>Ostraciidae</t>
  </si>
  <si>
    <t>Seabasses nei</t>
  </si>
  <si>
    <t>Chamelea gallina</t>
  </si>
  <si>
    <t>1511_a</t>
  </si>
  <si>
    <t>Carpet shells nei</t>
  </si>
  <si>
    <t>Catfish, hybrid</t>
  </si>
  <si>
    <t>Catla</t>
  </si>
  <si>
    <t>Hempseed</t>
  </si>
  <si>
    <t>Decapterus maruadsi</t>
  </si>
  <si>
    <t>Decapterus russelli</t>
  </si>
  <si>
    <t>Decapterus spp</t>
  </si>
  <si>
    <t>Echeneidae</t>
  </si>
  <si>
    <t>Elagatis bipinnulata</t>
  </si>
  <si>
    <t>Exocoetidae</t>
  </si>
  <si>
    <t>Feed Additives</t>
  </si>
  <si>
    <t>2309.90_j</t>
  </si>
  <si>
    <t>Tube and pipe fittings of iron and steel</t>
  </si>
  <si>
    <t>Iron castings in the rough state</t>
  </si>
  <si>
    <t>Lactarius lactarius</t>
  </si>
  <si>
    <t>Lampris guttatus</t>
  </si>
  <si>
    <t>Hemiramphus spp</t>
  </si>
  <si>
    <t>Hyporhamphus sajori</t>
  </si>
  <si>
    <t>Deep-water rose shrimp</t>
  </si>
  <si>
    <t>Dogfish sharks nei</t>
  </si>
  <si>
    <t>European anchovy</t>
  </si>
  <si>
    <t>European conger</t>
  </si>
  <si>
    <t>Description</t>
  </si>
  <si>
    <t>SeaAroundUs</t>
  </si>
  <si>
    <t>EEZ areas</t>
  </si>
  <si>
    <t>1214.90_o</t>
  </si>
  <si>
    <t>0802.31_a</t>
  </si>
  <si>
    <t>1001_a</t>
  </si>
  <si>
    <t>Trachurus murphyi</t>
  </si>
  <si>
    <t>Trachurus picturatus</t>
  </si>
  <si>
    <t>Trachurus spp</t>
  </si>
  <si>
    <t>Trachurus symmetricus</t>
  </si>
  <si>
    <t>Trachurus trachurus</t>
  </si>
  <si>
    <t>Trachurus trecae</t>
  </si>
  <si>
    <t>Tylosurus crocodilus</t>
  </si>
  <si>
    <t>Tylosurus spp</t>
  </si>
  <si>
    <t>Alopias spp</t>
  </si>
  <si>
    <t>Alopias superciliosus</t>
  </si>
  <si>
    <t>Alopias vulpinus</t>
  </si>
  <si>
    <t>Toothfish</t>
  </si>
  <si>
    <t>Memo: International Marine Bunkers</t>
  </si>
  <si>
    <t>Carbon</t>
  </si>
  <si>
    <t>Total</t>
  </si>
  <si>
    <t>YF</t>
  </si>
  <si>
    <t>Pearl oyster shells nei</t>
  </si>
  <si>
    <t>Sea mussels nei</t>
  </si>
  <si>
    <t>Sea snails</t>
  </si>
  <si>
    <t>Sea urchins nei</t>
  </si>
  <si>
    <t>Wakame</t>
  </si>
  <si>
    <t>Gigartina skottsbergii</t>
  </si>
  <si>
    <t>Gracilaria spp</t>
  </si>
  <si>
    <t>Bathyraja irrasa</t>
  </si>
  <si>
    <t>Cotton linters</t>
  </si>
  <si>
    <t>Cotton waste, not carded or combed</t>
  </si>
  <si>
    <t>Cotton,carded or combed</t>
  </si>
  <si>
    <t>Smooth hammerhead</t>
  </si>
  <si>
    <t>Smooth-hounds nei</t>
  </si>
  <si>
    <t>Surmullets(=Red mullets) nei</t>
  </si>
  <si>
    <t>Swordfish</t>
  </si>
  <si>
    <t>Wreckfish</t>
  </si>
  <si>
    <t>Atlantic mackerel</t>
  </si>
  <si>
    <t>Axillary seabream</t>
  </si>
  <si>
    <t>Yield Factor</t>
  </si>
  <si>
    <r>
      <t>[Mt CO</t>
    </r>
    <r>
      <rPr>
        <vertAlign val="subscript"/>
        <sz val="10"/>
        <color indexed="23"/>
        <rFont val="Arial"/>
        <family val="2"/>
      </rPr>
      <t>2</t>
    </r>
    <r>
      <rPr>
        <sz val="10"/>
        <color indexed="23"/>
        <rFont val="Arial"/>
        <family val="2"/>
      </rPr>
      <t xml:space="preserve"> yr</t>
    </r>
    <r>
      <rPr>
        <vertAlign val="superscript"/>
        <sz val="10"/>
        <color indexed="23"/>
        <rFont val="Arial"/>
        <family val="2"/>
      </rPr>
      <t>-1</t>
    </r>
    <r>
      <rPr>
        <sz val="10"/>
        <color indexed="23"/>
        <rFont val="Arial"/>
        <family val="2"/>
      </rPr>
      <t>]</t>
    </r>
  </si>
  <si>
    <t>Northern kingfish</t>
  </si>
  <si>
    <t>Offshore silver hake</t>
  </si>
  <si>
    <t>Opalescent inshore squid</t>
  </si>
  <si>
    <t>Opaleye</t>
  </si>
  <si>
    <t>Pacific horse clams nei</t>
  </si>
  <si>
    <t>Pacific pompano</t>
  </si>
  <si>
    <t>Pacific razor clam</t>
  </si>
  <si>
    <t>Pacific rock crab</t>
  </si>
  <si>
    <t>Prepared paints, enamels, lacquers, etc.</t>
  </si>
  <si>
    <t>Aplodinotus grunniens</t>
  </si>
  <si>
    <t>Arapaima gigas</t>
  </si>
  <si>
    <t>Bagrus spp</t>
  </si>
  <si>
    <t>Feed Group</t>
  </si>
  <si>
    <t>Traded Electricity</t>
  </si>
  <si>
    <t>Buffalo Hide</t>
  </si>
  <si>
    <t>4101_m</t>
  </si>
  <si>
    <t>Sardinops neopilchardus</t>
  </si>
  <si>
    <t>Sardinops ocellatus</t>
  </si>
  <si>
    <t>Sardinops sagax</t>
  </si>
  <si>
    <t>Spratelloides gracilis</t>
  </si>
  <si>
    <t>Sprattus fuegensis</t>
  </si>
  <si>
    <t>Sprattus sprattus</t>
  </si>
  <si>
    <t>Stolephorus spp</t>
  </si>
  <si>
    <t>Strangomera bentincki</t>
  </si>
  <si>
    <t>Acanthocybium solandri</t>
  </si>
  <si>
    <t>Auxis thazard</t>
  </si>
  <si>
    <t>Euthynnus affinis</t>
  </si>
  <si>
    <t>Euthynnus alletteratus</t>
  </si>
  <si>
    <t>Euthynnus lineatus</t>
  </si>
  <si>
    <t>Gymnosarda unicolor</t>
  </si>
  <si>
    <t>Istiophoridae</t>
  </si>
  <si>
    <t>Chain and parts thereof of iron or steel</t>
  </si>
  <si>
    <t>Manila Fibre (Abaca)</t>
  </si>
  <si>
    <t>Monocle breams</t>
  </si>
  <si>
    <t>Blue mud shrimp</t>
  </si>
  <si>
    <t>Bocaccio rockfish</t>
  </si>
  <si>
    <t>Northern pink shrimp</t>
  </si>
  <si>
    <t>Peruvian rock seabass</t>
  </si>
  <si>
    <t>Porgies</t>
  </si>
  <si>
    <t>Summer flounder</t>
  </si>
  <si>
    <t>Brown meagre</t>
  </si>
  <si>
    <t>Mako sharks</t>
  </si>
  <si>
    <t>White grouper</t>
  </si>
  <si>
    <t>Blue ling</t>
  </si>
  <si>
    <t>Blue skate</t>
  </si>
  <si>
    <t>Eelpout</t>
  </si>
  <si>
    <t>European edible sea urchin</t>
  </si>
  <si>
    <t>Bombay-duck</t>
  </si>
  <si>
    <t>Pike-congers nei</t>
  </si>
  <si>
    <t>Threadfins, tasselfishes nei</t>
  </si>
  <si>
    <t>Butter catfish</t>
  </si>
  <si>
    <t>Ompok bimaculatus</t>
  </si>
  <si>
    <t>Clown loach</t>
  </si>
  <si>
    <t>Chromobotia macracanthus</t>
  </si>
  <si>
    <t>Fire eel</t>
  </si>
  <si>
    <t>Mastacembelus erythrotaenia</t>
  </si>
  <si>
    <t>Giant featherback</t>
  </si>
  <si>
    <t>Chitala lopis</t>
  </si>
  <si>
    <t>Glass catfishes</t>
  </si>
  <si>
    <t>Cereal grains,flaked,pearled</t>
  </si>
  <si>
    <t>Malt including malt flour</t>
  </si>
  <si>
    <t>Macaroni,spaghetti,noodles,vermicelli etc.</t>
  </si>
  <si>
    <t>Ind Rwd Wir (NC) Other</t>
  </si>
  <si>
    <t>Stable isotopes and their compounds</t>
  </si>
  <si>
    <t>Compounds &amp; mixtures,nes of thorium,uranium e</t>
  </si>
  <si>
    <t>Mineral tar</t>
  </si>
  <si>
    <t>Cephalopholis hemistiktos</t>
  </si>
  <si>
    <t>Cephalopholis miniata</t>
  </si>
  <si>
    <t>Umbrellas,parasols,walking sticks &amp; sim.art.</t>
  </si>
  <si>
    <t>River eels nei</t>
  </si>
  <si>
    <t>Jaguar guapote</t>
  </si>
  <si>
    <t>Bleak</t>
  </si>
  <si>
    <t>Grayling</t>
  </si>
  <si>
    <t>Roach</t>
  </si>
  <si>
    <t>Rudd</t>
  </si>
  <si>
    <t>Signal crayfish</t>
  </si>
  <si>
    <t>Milkfish</t>
  </si>
  <si>
    <t>Pagellus spp</t>
  </si>
  <si>
    <t>Pagothenia hansoni</t>
  </si>
  <si>
    <t>Pagrus auratus</t>
  </si>
  <si>
    <t>Pagrus caeruleostictus</t>
  </si>
  <si>
    <t>Pagrus pagrus</t>
  </si>
  <si>
    <t>Pagrus spp</t>
  </si>
  <si>
    <t>Ridge scaled rattail</t>
  </si>
  <si>
    <t>Flathead sole</t>
  </si>
  <si>
    <t>2001_a</t>
  </si>
  <si>
    <t>Sordid rubberlip</t>
  </si>
  <si>
    <t>Plectorhinchus sordidus</t>
  </si>
  <si>
    <t>Spangled emperor</t>
  </si>
  <si>
    <t>Stingrays, butterfly rays nei</t>
  </si>
  <si>
    <t>Striped piggy</t>
  </si>
  <si>
    <t>Talang queenfish</t>
  </si>
  <si>
    <t>Threadfin and dwarf breams nei</t>
  </si>
  <si>
    <t>Trout sweetlips</t>
  </si>
  <si>
    <t>Acanthistius brasilianus</t>
  </si>
  <si>
    <t>Modiolus spp</t>
  </si>
  <si>
    <t>Mytilidae</t>
  </si>
  <si>
    <t>Mytilus chilensis</t>
  </si>
  <si>
    <t>Mytilus coruscus</t>
  </si>
  <si>
    <t>Mytilus edulis</t>
  </si>
  <si>
    <t>Mytilus galloprovincialis</t>
  </si>
  <si>
    <t>Mytilus planulatus</t>
  </si>
  <si>
    <t>0105_b</t>
  </si>
  <si>
    <t>Golden carpet shell</t>
  </si>
  <si>
    <t>Golden perch</t>
  </si>
  <si>
    <t>Golden trout</t>
  </si>
  <si>
    <t>Goldlined seabream</t>
  </si>
  <si>
    <t>Gouramis nei</t>
  </si>
  <si>
    <t>Greasyback shrimp</t>
  </si>
  <si>
    <t>Green laver</t>
  </si>
  <si>
    <t>Green terror</t>
  </si>
  <si>
    <t>Hong Kong catfish</t>
  </si>
  <si>
    <t>Hong Kong grouper</t>
  </si>
  <si>
    <t>Hooded oyster</t>
  </si>
  <si>
    <t>Ichthyoelephas humeralis</t>
  </si>
  <si>
    <t>Indian backwater oyster</t>
  </si>
  <si>
    <t>Inflated ark</t>
  </si>
  <si>
    <t>Isok barb</t>
  </si>
  <si>
    <t>Japanese abalone</t>
  </si>
  <si>
    <t>Japanese amberjack</t>
  </si>
  <si>
    <t>Japanese isinglass</t>
  </si>
  <si>
    <t>Japanese spiny lobster</t>
  </si>
  <si>
    <t>Korean rockfish</t>
  </si>
  <si>
    <t>Longfin tilapia</t>
  </si>
  <si>
    <t>Malabar grouper</t>
  </si>
  <si>
    <t>Mandarin fish</t>
  </si>
  <si>
    <t>Marble goby</t>
  </si>
  <si>
    <t>Marbled spinefoot</t>
  </si>
  <si>
    <t>Marron crayfish</t>
  </si>
  <si>
    <t>Meagres nei</t>
  </si>
  <si>
    <t>Monkey river prawn</t>
  </si>
  <si>
    <t>Monsoon river prawn</t>
  </si>
  <si>
    <t>Mrigal carp</t>
  </si>
  <si>
    <t>Mud spiny lobster</t>
  </si>
  <si>
    <t>Murray cod</t>
  </si>
  <si>
    <t>New Zealand mussel</t>
  </si>
  <si>
    <t>Ningu</t>
  </si>
  <si>
    <t>Octopuses nei</t>
  </si>
  <si>
    <t>Oriental cyclina</t>
  </si>
  <si>
    <t>Osteobrama belangeri</t>
  </si>
  <si>
    <t>Pacific fat sleeper</t>
  </si>
  <si>
    <t>Pacific horse clam</t>
  </si>
  <si>
    <t>Pacu</t>
  </si>
  <si>
    <t>Pangas catfish</t>
  </si>
  <si>
    <t>Papuan black snapper</t>
  </si>
  <si>
    <t>Peled</t>
  </si>
  <si>
    <t>Pen shells nei</t>
  </si>
  <si>
    <t>Penguin wing oyster</t>
  </si>
  <si>
    <t>Pond loach</t>
  </si>
  <si>
    <t>Red abalone</t>
  </si>
  <si>
    <t>Red claw crayfish</t>
  </si>
  <si>
    <t>Redbelly tilapia</t>
  </si>
  <si>
    <t>Redbreast tilapia</t>
  </si>
  <si>
    <t>Reticulate knifefish</t>
  </si>
  <si>
    <t>Rice-paddy eel</t>
  </si>
  <si>
    <t>Ripon barbel</t>
  </si>
  <si>
    <t>Roho labeo</t>
  </si>
  <si>
    <t>Rooster venus</t>
  </si>
  <si>
    <t>Russell's snapper</t>
  </si>
  <si>
    <t>Sabaki tilapia</t>
  </si>
  <si>
    <t>Sampa</t>
  </si>
  <si>
    <t>Sawtooth caridina</t>
  </si>
  <si>
    <t>Sea belt</t>
  </si>
  <si>
    <t>Senegalese sole</t>
  </si>
  <si>
    <t>Sharpsnout seabream</t>
  </si>
  <si>
    <t>Siberian sturgeon</t>
  </si>
  <si>
    <t>Silver perch</t>
  </si>
  <si>
    <t>Sixfinger threadfin</t>
  </si>
  <si>
    <t>Small scale mud carp</t>
  </si>
  <si>
    <t>Smooth giant clam</t>
  </si>
  <si>
    <t>Smooth mactra</t>
  </si>
  <si>
    <t>South American catfish</t>
  </si>
  <si>
    <t>Southern Australia scallop</t>
  </si>
  <si>
    <t>Southern white shrimp</t>
  </si>
  <si>
    <t>Spiny eucheuma</t>
  </si>
  <si>
    <t>Spotted coralgrouper</t>
  </si>
  <si>
    <t>Squaretail mullet</t>
  </si>
  <si>
    <t>Streaked spinefoot</t>
  </si>
  <si>
    <t>Striped bass, hybrid</t>
  </si>
  <si>
    <t>Striped catfish</t>
  </si>
  <si>
    <t>Sturgeon</t>
  </si>
  <si>
    <t>Swan mussel</t>
  </si>
  <si>
    <t>Swimcrabs nei</t>
  </si>
  <si>
    <t>Swimming crabs, etc. nei</t>
  </si>
  <si>
    <t>Sydney cupped oyster</t>
  </si>
  <si>
    <t>Thinlip grey mullet</t>
  </si>
  <si>
    <t>Three spotted tilapia</t>
  </si>
  <si>
    <t>Trumpet emperor</t>
  </si>
  <si>
    <t>Waigieu seaperch</t>
  </si>
  <si>
    <t>Warty gracilaria</t>
  </si>
  <si>
    <t>Warty venus</t>
  </si>
  <si>
    <t>Water fleas</t>
  </si>
  <si>
    <t>Other fish</t>
  </si>
  <si>
    <t>White crappie</t>
  </si>
  <si>
    <t>White-spotted spinefoot</t>
  </si>
  <si>
    <t>Yabby crayfish</t>
  </si>
  <si>
    <t>Yellow catfish</t>
  </si>
  <si>
    <t>Yellow-belly bream</t>
  </si>
  <si>
    <t>Yellowback seabream</t>
  </si>
  <si>
    <t>Meal Intensity</t>
  </si>
  <si>
    <t>Oil Intensity</t>
  </si>
  <si>
    <t>Crop Intensity</t>
  </si>
  <si>
    <t>Fish Intensity N</t>
  </si>
  <si>
    <t>Fish Intensity W</t>
  </si>
  <si>
    <t>Crop Intensity W</t>
  </si>
  <si>
    <t>[t fishmeal / t fish]</t>
  </si>
  <si>
    <t>[t fish oill / t fish]</t>
  </si>
  <si>
    <t>[t crops / t fish]</t>
  </si>
  <si>
    <t>[fish gha / t fish]</t>
  </si>
  <si>
    <t>[crop gha / t fish]</t>
  </si>
  <si>
    <t>Crops used in aquafeed</t>
  </si>
  <si>
    <t>[t / ha]</t>
  </si>
  <si>
    <t>Average Crop Yield W</t>
  </si>
  <si>
    <r>
      <t>[t</t>
    </r>
    <r>
      <rPr>
        <sz val="10"/>
        <color indexed="22"/>
        <rFont val="Arial"/>
        <family val="2"/>
      </rPr>
      <t>]</t>
    </r>
  </si>
  <si>
    <t>Effective Yield W</t>
  </si>
  <si>
    <t>Aquaculture Yield W</t>
  </si>
  <si>
    <t>Aquaculture Production W</t>
  </si>
  <si>
    <t>Catch Yield</t>
  </si>
  <si>
    <t>Effective Yield N</t>
  </si>
  <si>
    <t>Aquaculture Yield N</t>
  </si>
  <si>
    <t>Aquaculture Production N</t>
  </si>
  <si>
    <t>Peaches and nectarines</t>
  </si>
  <si>
    <t>Seriolella spp</t>
  </si>
  <si>
    <t>Synagrops japonicus</t>
  </si>
  <si>
    <t>Thyrsites atun</t>
  </si>
  <si>
    <t>Blackhead seabream</t>
  </si>
  <si>
    <t>Flax fibre and tow</t>
  </si>
  <si>
    <t>Fonio</t>
  </si>
  <si>
    <t>Araucanian herring</t>
  </si>
  <si>
    <t>Atlantic saury</t>
  </si>
  <si>
    <t>Black cusk-eel</t>
  </si>
  <si>
    <t>Blue squat lobster</t>
  </si>
  <si>
    <t>Bull kelp</t>
  </si>
  <si>
    <t>Cabinza grunt</t>
  </si>
  <si>
    <t>Tobacco,unmanufactured &amp; scrap</t>
  </si>
  <si>
    <t>Cigars &amp; cheroots</t>
  </si>
  <si>
    <t>Cigarettes</t>
  </si>
  <si>
    <t>Mora moro</t>
  </si>
  <si>
    <t>Starches,inulin,gluten,albumin.substances,glu</t>
  </si>
  <si>
    <t>Meat &amp; fish meal, unfit for human consumption</t>
  </si>
  <si>
    <t>Food wastes &amp; prepared animal feed,nes</t>
  </si>
  <si>
    <t>Lard &amp; other rendered piq &amp; poultry fat</t>
  </si>
  <si>
    <t>Busycon spp</t>
  </si>
  <si>
    <t>Concholepas concholepas</t>
  </si>
  <si>
    <t>Cymbium spp</t>
  </si>
  <si>
    <t>Gastropoda</t>
  </si>
  <si>
    <t>Haliotis gigantea</t>
  </si>
  <si>
    <t>Haliotis midae</t>
  </si>
  <si>
    <t>Haliotis rubra</t>
  </si>
  <si>
    <t>Mediterranean mussel</t>
  </si>
  <si>
    <t>Caramote prawn</t>
  </si>
  <si>
    <t>Common sole</t>
  </si>
  <si>
    <t>Production N</t>
  </si>
  <si>
    <t>Production W</t>
  </si>
  <si>
    <t>Freshwater Diadrom Fresh</t>
  </si>
  <si>
    <t>Mlluscs Excl Cephlp Frsh</t>
  </si>
  <si>
    <t>Cashew Nuts Shelled</t>
  </si>
  <si>
    <t>0801.32</t>
  </si>
  <si>
    <t>Cassava Dried</t>
  </si>
  <si>
    <t>0714.10_b</t>
  </si>
  <si>
    <t>Cassava Starch</t>
  </si>
  <si>
    <t>1108.14</t>
  </si>
  <si>
    <t>Nilem carp</t>
  </si>
  <si>
    <t>Mammalia</t>
  </si>
  <si>
    <t>Lithognathus mormyrus</t>
  </si>
  <si>
    <t>Lithognathus spp</t>
  </si>
  <si>
    <t>Liza aurata</t>
  </si>
  <si>
    <t>Liza klunzingeri</t>
  </si>
  <si>
    <t>Arable land + Permanent crops</t>
  </si>
  <si>
    <t>Pastures + Heterogeneous agricultural areas</t>
  </si>
  <si>
    <t>Ships and boats, other than warships</t>
  </si>
  <si>
    <t>Longfin mako</t>
  </si>
  <si>
    <t>Mediterranean slimehead</t>
  </si>
  <si>
    <t>Hoplostethus mediterraneus</t>
  </si>
  <si>
    <t>Megrims nei</t>
  </si>
  <si>
    <t>Northern puffer</t>
  </si>
  <si>
    <t>Velvet belly</t>
  </si>
  <si>
    <t>Angel skin coral</t>
  </si>
  <si>
    <t>Blackmouth croaker</t>
  </si>
  <si>
    <t>Golden threadfin bream</t>
  </si>
  <si>
    <t>Japanese fan lobster</t>
  </si>
  <si>
    <t>Lacy sea lettuce</t>
  </si>
  <si>
    <t>Lutjanus gibbus</t>
  </si>
  <si>
    <t>Lutjanus johnii</t>
  </si>
  <si>
    <t>Bauxite and concentrates of aluminium</t>
  </si>
  <si>
    <t>Ores and concentrates of lead</t>
  </si>
  <si>
    <t>Ores and concentrates of zinc</t>
  </si>
  <si>
    <t>Ores and concentrates of tin</t>
  </si>
  <si>
    <t>Sphyrna zygaena</t>
  </si>
  <si>
    <t>Sphyrnidae</t>
  </si>
  <si>
    <t>Squalidae</t>
  </si>
  <si>
    <t>Fin.structural parts &amp; structures of aluminiu</t>
  </si>
  <si>
    <t>Fin.structural parts of zinc</t>
  </si>
  <si>
    <t>Tanks,vats and reservoirs for storage</t>
  </si>
  <si>
    <t>Navaga(=Wachna cod)</t>
  </si>
  <si>
    <t>Rainbow smelt</t>
  </si>
  <si>
    <t>Smelts nei</t>
  </si>
  <si>
    <t>Common dace</t>
  </si>
  <si>
    <t>Siluroidei</t>
  </si>
  <si>
    <t>Silurus glanis</t>
  </si>
  <si>
    <t>Synodontis spp</t>
  </si>
  <si>
    <t>Trichogaster pectoralis</t>
  </si>
  <si>
    <t>Acipenser gueldenstaedtii</t>
  </si>
  <si>
    <t>Acipenser medirostris</t>
  </si>
  <si>
    <t>Acipenser ruthenus</t>
  </si>
  <si>
    <t>Anguilla australis</t>
  </si>
  <si>
    <t>Anguilla japonica</t>
  </si>
  <si>
    <t>Anguilla rostrata</t>
  </si>
  <si>
    <t>Sinks,wash basins,bidets,baths of ceramic mat</t>
  </si>
  <si>
    <t>Longtail tuna</t>
  </si>
  <si>
    <t>Marlins,sailfishes,etc. nei</t>
  </si>
  <si>
    <t>Groundnut oil</t>
  </si>
  <si>
    <t>1508_a</t>
  </si>
  <si>
    <t>Other Paper+Paperboard</t>
  </si>
  <si>
    <r>
      <t>m</t>
    </r>
    <r>
      <rPr>
        <vertAlign val="superscript"/>
        <sz val="10"/>
        <rFont val="Arial"/>
        <family val="2"/>
      </rPr>
      <t>3</t>
    </r>
  </si>
  <si>
    <r>
      <t>m</t>
    </r>
    <r>
      <rPr>
        <vertAlign val="superscript"/>
        <sz val="10"/>
        <rFont val="Arial"/>
        <family val="2"/>
      </rPr>
      <t>3</t>
    </r>
    <r>
      <rPr>
        <sz val="10"/>
        <rFont val="Arial"/>
        <family val="2"/>
      </rPr>
      <t/>
    </r>
  </si>
  <si>
    <t>2009.79</t>
  </si>
  <si>
    <t>Panulirus longipes</t>
  </si>
  <si>
    <t>Panulirus spp</t>
  </si>
  <si>
    <t>Puerulus sewelli</t>
  </si>
  <si>
    <t>Reptantia</t>
  </si>
  <si>
    <t>Scyllaridae</t>
  </si>
  <si>
    <t>Thenus orientalis</t>
  </si>
  <si>
    <t>Freshwater perches nei</t>
  </si>
  <si>
    <t>Alewife</t>
  </si>
  <si>
    <t>American shad</t>
  </si>
  <si>
    <t>Atlantic tomcod</t>
  </si>
  <si>
    <t>Nickel and nickel alloys, unwrought</t>
  </si>
  <si>
    <t>Nickel and nickel alloys, worked</t>
  </si>
  <si>
    <t>0714.90_bb</t>
  </si>
  <si>
    <t>Tea</t>
  </si>
  <si>
    <t>Tobacco, unmanufactured</t>
  </si>
  <si>
    <t>Tomatoes</t>
  </si>
  <si>
    <t>Triticale</t>
  </si>
  <si>
    <t>1008.90ae</t>
  </si>
  <si>
    <t>Vanilla</t>
  </si>
  <si>
    <t>0905.00</t>
  </si>
  <si>
    <t>Torpedo-shaped catfishes nei</t>
  </si>
  <si>
    <t>Beluga</t>
  </si>
  <si>
    <t>Danube sturgeon(=Osetr)</t>
  </si>
  <si>
    <t>Transmission,conveyor or elevator belts/rubbe</t>
  </si>
  <si>
    <t>Other articles of rubber,nes</t>
  </si>
  <si>
    <t>Veneer sheets</t>
  </si>
  <si>
    <t>Straw Husks</t>
  </si>
  <si>
    <t>1213.00</t>
  </si>
  <si>
    <t>Sugar Confectionery</t>
  </si>
  <si>
    <t>Japanese seabass</t>
  </si>
  <si>
    <t>Alfalfa Meal and Pellets</t>
  </si>
  <si>
    <t>1214.10</t>
  </si>
  <si>
    <t>Almonds Shelled</t>
  </si>
  <si>
    <t>0802.12</t>
  </si>
  <si>
    <t>Giant abalone</t>
  </si>
  <si>
    <t>Globose king crab</t>
  </si>
  <si>
    <t>Half-crenated ark</t>
  </si>
  <si>
    <t>Imperial surf clam</t>
  </si>
  <si>
    <t>Japanese flying squid</t>
  </si>
  <si>
    <t>Japanese flyingfish</t>
  </si>
  <si>
    <t>Japanese sandfish</t>
  </si>
  <si>
    <t>Japanese scad</t>
  </si>
  <si>
    <t>Japanese Spanish mackerel</t>
  </si>
  <si>
    <t>Kamchatka flounder</t>
  </si>
  <si>
    <t>King crabs</t>
  </si>
  <si>
    <t>Longlegged spiny lobster</t>
  </si>
  <si>
    <t>Bathyraja murrayi</t>
  </si>
  <si>
    <t>Bathyraja spp</t>
  </si>
  <si>
    <t>Atlantic white marlin</t>
  </si>
  <si>
    <t>Illex argentinus</t>
  </si>
  <si>
    <t>Illex coindetii</t>
  </si>
  <si>
    <t>Illex illecebrosus</t>
  </si>
  <si>
    <t>Loliginidae, Ommastrephidae</t>
  </si>
  <si>
    <t>Product Name</t>
  </si>
  <si>
    <t>Soy Meal</t>
  </si>
  <si>
    <t>Rapeseed Meal</t>
  </si>
  <si>
    <t>Sunflower Seed</t>
  </si>
  <si>
    <t>Sunflower Meal</t>
  </si>
  <si>
    <t>Peas</t>
  </si>
  <si>
    <t>Rice Bran</t>
  </si>
  <si>
    <t>Fish Meal</t>
  </si>
  <si>
    <t>Other Concentrate Feed</t>
  </si>
  <si>
    <t>Grass</t>
  </si>
  <si>
    <t>0208.90ac</t>
  </si>
  <si>
    <t>Buffalo meat</t>
  </si>
  <si>
    <t>0201.10_b</t>
  </si>
  <si>
    <t>Buffalo milk, whole, fresh</t>
  </si>
  <si>
    <t>0401.20_d</t>
  </si>
  <si>
    <t>Camel meat</t>
  </si>
  <si>
    <t>0208.90aa</t>
  </si>
  <si>
    <t>Camel milk, whole, fresh</t>
  </si>
  <si>
    <t>0401.20_e</t>
  </si>
  <si>
    <t>Cattle meat</t>
  </si>
  <si>
    <t>0201.10_a</t>
  </si>
  <si>
    <t>Bobo croaker</t>
  </si>
  <si>
    <t>Cassava croaker</t>
  </si>
  <si>
    <t>Sompat grunt</t>
  </si>
  <si>
    <t>West African estuarine prawn</t>
  </si>
  <si>
    <t>Nematopalaemon hastatus</t>
  </si>
  <si>
    <t>Alaska pollock(=Walleye poll.)</t>
  </si>
  <si>
    <t>American angler</t>
  </si>
  <si>
    <t>American lobster</t>
  </si>
  <si>
    <t>American sea scallop</t>
  </si>
  <si>
    <t>Argentines</t>
  </si>
  <si>
    <t>Arrow-tooth flounder</t>
  </si>
  <si>
    <t>Atlantic rock crab</t>
  </si>
  <si>
    <t>Chicory roots</t>
  </si>
  <si>
    <t>0709.90cd</t>
  </si>
  <si>
    <t>Northern white shrimp</t>
  </si>
  <si>
    <t>Olympia flat oyster</t>
  </si>
  <si>
    <t>Offals of Pigs, Edible</t>
  </si>
  <si>
    <t>Offals of Sheep,Edible</t>
  </si>
  <si>
    <t>Oil Boiled Etc</t>
  </si>
  <si>
    <t>Tautogolabrus adspersus</t>
  </si>
  <si>
    <t>0706.10</t>
  </si>
  <si>
    <t>Cashew nuts, with shell</t>
  </si>
  <si>
    <t>Cashewapple</t>
  </si>
  <si>
    <t>0810.90ad</t>
  </si>
  <si>
    <t>Cassava</t>
  </si>
  <si>
    <t>Chimaeriformes</t>
  </si>
  <si>
    <t>Dalatias licha</t>
  </si>
  <si>
    <t>Epinephelus fuscoguttatus</t>
  </si>
  <si>
    <t>Emmelichthys nitidus</t>
  </si>
  <si>
    <t>Epigonus spp</t>
  </si>
  <si>
    <t>North European kelp</t>
  </si>
  <si>
    <t>Ocean sunfish</t>
  </si>
  <si>
    <t>Sailfin roughshark</t>
  </si>
  <si>
    <t>Brushtooth lizardfish</t>
  </si>
  <si>
    <t>Cape gurnard</t>
  </si>
  <si>
    <t>0909.00</t>
  </si>
  <si>
    <t>5301.20</t>
  </si>
  <si>
    <t>5302.00</t>
  </si>
  <si>
    <t>0705.00</t>
  </si>
  <si>
    <t>0908.00</t>
  </si>
  <si>
    <t>1205.00</t>
  </si>
  <si>
    <t>Vegetable Frozen</t>
  </si>
  <si>
    <t>0710.80_a</t>
  </si>
  <si>
    <t>Vegetables in Vinegar</t>
  </si>
  <si>
    <t>Mineral jelly and waxes incl.petrolatum</t>
  </si>
  <si>
    <t>Pitch,resin,petroleum asphalt etc.</t>
  </si>
  <si>
    <t>Gas, natural</t>
  </si>
  <si>
    <t>Synthetic fibres suitable for spinning</t>
  </si>
  <si>
    <t>Yellowspotted trevally</t>
  </si>
  <si>
    <t>Yellowstripe goatfish</t>
  </si>
  <si>
    <t>Natural asphalt &amp; natural bitumen</t>
  </si>
  <si>
    <t>Clay &amp; other refractory minerals,nes</t>
  </si>
  <si>
    <t>Salt</t>
  </si>
  <si>
    <t>Asbestos,crude,washed or ground</t>
  </si>
  <si>
    <t>Quartz,mica,felspar,fluorspar,cryolite etc.</t>
  </si>
  <si>
    <t>Slag,dross,scalings &amp; similar waste,nes</t>
  </si>
  <si>
    <t>Minerals crude,nes</t>
  </si>
  <si>
    <t>Iron ore &amp; concentrates ex roasted iron pyrit</t>
  </si>
  <si>
    <t>Chione stutchburyi</t>
  </si>
  <si>
    <t>Clinocardium nuttallii</t>
  </si>
  <si>
    <t>Anadara spp</t>
  </si>
  <si>
    <t>Arca spp</t>
  </si>
  <si>
    <t>Arctica islandica</t>
  </si>
  <si>
    <t>Bivalvia</t>
  </si>
  <si>
    <t>Cardiidae</t>
  </si>
  <si>
    <t>Cheese of Sheep Milk</t>
  </si>
  <si>
    <t>Cheese of Skimmed Cow Milk</t>
  </si>
  <si>
    <t>0406ab</t>
  </si>
  <si>
    <t>Cheese of Whole Cow Milk</t>
  </si>
  <si>
    <t>0406aa</t>
  </si>
  <si>
    <t>Chickens</t>
  </si>
  <si>
    <t>0105_a</t>
  </si>
  <si>
    <t>Chocolate Prsnes</t>
  </si>
  <si>
    <t>1806_a</t>
  </si>
  <si>
    <t>2402.20_a</t>
  </si>
  <si>
    <t>Mango tilapia</t>
  </si>
  <si>
    <t>Rostrate pitar</t>
  </si>
  <si>
    <t>Sao Paulo shrimp</t>
  </si>
  <si>
    <t>Atlantic anchoveta</t>
  </si>
  <si>
    <t>Arabian whip lobster</t>
  </si>
  <si>
    <t>Red bigeye</t>
  </si>
  <si>
    <t>Red seabroom</t>
  </si>
  <si>
    <t>Bran of Millet</t>
  </si>
  <si>
    <t>2302.40_d</t>
  </si>
  <si>
    <t>Bran of Oats</t>
  </si>
  <si>
    <t>2302.40_c</t>
  </si>
  <si>
    <t>Bran of Rye</t>
  </si>
  <si>
    <t>Veneridae</t>
  </si>
  <si>
    <t>Lings nei</t>
  </si>
  <si>
    <t>Japanese threadfin bream</t>
  </si>
  <si>
    <t>Javelin grunter</t>
  </si>
  <si>
    <t>Klunzinger's mullet</t>
  </si>
  <si>
    <t>Malabar blood snapper</t>
  </si>
  <si>
    <t>5305.90_a</t>
  </si>
  <si>
    <t>Kapokseed in Shell</t>
  </si>
  <si>
    <t>1207.9ae</t>
  </si>
  <si>
    <t>Wire of iron or steel,of types used for fenci</t>
  </si>
  <si>
    <t>Gauze,netting,grill,fencing,etc of wire</t>
  </si>
  <si>
    <t>Expanded metal</t>
  </si>
  <si>
    <t>Nails, tacks, staples, spikes, etc.</t>
  </si>
  <si>
    <t>Greenland halibut</t>
  </si>
  <si>
    <t>McCain's skate</t>
  </si>
  <si>
    <t>Firearms of war &amp; ammunition thereof</t>
  </si>
  <si>
    <t>Sphyraena jello</t>
  </si>
  <si>
    <t>Paralichthys olivaceus</t>
  </si>
  <si>
    <t>Paralichthys spp</t>
  </si>
  <si>
    <t>Platichthys flesus</t>
  </si>
  <si>
    <t>Platichthys stellatus</t>
  </si>
  <si>
    <t>Pleuronectes platessa</t>
  </si>
  <si>
    <t>Pleuronectes quadrituberculat.</t>
  </si>
  <si>
    <t>Pleuronectes vetulus</t>
  </si>
  <si>
    <t>Improved or reconstituted wood</t>
  </si>
  <si>
    <t>Wood simply shaped or worked,nes</t>
  </si>
  <si>
    <t>Boxes, cases, crates, complete</t>
  </si>
  <si>
    <t>Cooperage products</t>
  </si>
  <si>
    <t>1510.00</t>
  </si>
  <si>
    <t>Oil of Tung Nuts</t>
  </si>
  <si>
    <t>1515.40</t>
  </si>
  <si>
    <t>Olives Preserved</t>
  </si>
  <si>
    <t>0711.20</t>
  </si>
  <si>
    <t>Spisula solidissima</t>
  </si>
  <si>
    <t>Spisula spp</t>
  </si>
  <si>
    <t>Tawera gayi</t>
  </si>
  <si>
    <t>Tivela mactroides</t>
  </si>
  <si>
    <t>Tresus spp</t>
  </si>
  <si>
    <t>Felts and felt articles nes</t>
  </si>
  <si>
    <t>Pacific bluefin tuna</t>
  </si>
  <si>
    <t>Pacific calico scallop</t>
  </si>
  <si>
    <t>Yellowfin tuna</t>
  </si>
  <si>
    <t>Selene dorsalis</t>
  </si>
  <si>
    <t>Selene setapinnis</t>
  </si>
  <si>
    <t>Seriola dumerili</t>
  </si>
  <si>
    <t>Seriola lalandi</t>
  </si>
  <si>
    <t>Seriola spp</t>
  </si>
  <si>
    <t>Cholga mussel</t>
  </si>
  <si>
    <t>Choro mussel</t>
  </si>
  <si>
    <t>King of herrings</t>
  </si>
  <si>
    <t>Live sharksucker</t>
  </si>
  <si>
    <t>Echeneis naucrates</t>
  </si>
  <si>
    <t>Twobar seabream</t>
  </si>
  <si>
    <t>Yellowbar angelfish</t>
  </si>
  <si>
    <t>Flyingfishes nei</t>
  </si>
  <si>
    <t>Atlantic herring</t>
  </si>
  <si>
    <t>Atlantic horse mackerel</t>
  </si>
  <si>
    <t>Atlantic redfishes nei</t>
  </si>
  <si>
    <t>Common dab</t>
  </si>
  <si>
    <t>Dogfishes and hounds nei</t>
  </si>
  <si>
    <t>Edible crab</t>
  </si>
  <si>
    <t>European plaice</t>
  </si>
  <si>
    <t>Grey gurnard</t>
  </si>
  <si>
    <t>Genypterus capensis</t>
  </si>
  <si>
    <t>Genypterus chilensis</t>
  </si>
  <si>
    <t>Genypterus maculatus</t>
  </si>
  <si>
    <t>Genypterus spp</t>
  </si>
  <si>
    <t>Fibreboard, Compressed</t>
  </si>
  <si>
    <t>Vegetables Roots Fodder</t>
  </si>
  <si>
    <t>Priacanthus macracanthus</t>
  </si>
  <si>
    <t>Priacanthus spp</t>
  </si>
  <si>
    <t>Prolatilus jugularis</t>
  </si>
  <si>
    <t>0207.32_a</t>
  </si>
  <si>
    <t>Game meat</t>
  </si>
  <si>
    <t>American yellow perch</t>
  </si>
  <si>
    <t>Blue crab</t>
  </si>
  <si>
    <t>Other carpets, carpeting and rugs</t>
  </si>
  <si>
    <t>Tallow</t>
  </si>
  <si>
    <t>Tapioca of Cassava</t>
  </si>
  <si>
    <t>1903.00_b</t>
  </si>
  <si>
    <t>Tapioca of Potatoes</t>
  </si>
  <si>
    <t>1903.00_a</t>
  </si>
  <si>
    <t>Tomato Peeled</t>
  </si>
  <si>
    <t>2002.10</t>
  </si>
  <si>
    <t>Turkeys</t>
  </si>
  <si>
    <t>St.Paul rock lobster</t>
  </si>
  <si>
    <t>Guinea shrimp</t>
  </si>
  <si>
    <t>Southern pink shrimp</t>
  </si>
  <si>
    <t>Fur skins,undressed</t>
  </si>
  <si>
    <t>Groundnuts peanuts green, ex.flour and meal</t>
  </si>
  <si>
    <t>Copra, ex.flour and meal</t>
  </si>
  <si>
    <t>Palm nuts &amp; kernels</t>
  </si>
  <si>
    <t>Soya beans</t>
  </si>
  <si>
    <t>Cotton seed</t>
  </si>
  <si>
    <t>Bluenose warehou</t>
  </si>
  <si>
    <t>Broadnose sevengill shark</t>
  </si>
  <si>
    <t>Cape bonnetmouth</t>
  </si>
  <si>
    <t>Common warehou</t>
  </si>
  <si>
    <t>Copper shark</t>
  </si>
  <si>
    <t>Oils of fish and marine mammals</t>
  </si>
  <si>
    <t>Cattle</t>
  </si>
  <si>
    <t>Available</t>
  </si>
  <si>
    <t>Forage products nes</t>
  </si>
  <si>
    <t>Aquatic Plants</t>
  </si>
  <si>
    <t>Beans</t>
  </si>
  <si>
    <t>Bovine Meat</t>
  </si>
  <si>
    <t>Butter, Ghee</t>
  </si>
  <si>
    <t>Cephalopods</t>
  </si>
  <si>
    <t>Cereals, Other</t>
  </si>
  <si>
    <t>Cocoa Beans</t>
  </si>
  <si>
    <t>Coconut Oil</t>
  </si>
  <si>
    <t>Coconuts - Incl Copra</t>
  </si>
  <si>
    <t>Crustaceans</t>
  </si>
  <si>
    <t>Demersal Fish</t>
  </si>
  <si>
    <t>Fats, Animals, Raw</t>
  </si>
  <si>
    <t>Fish, Body Oil</t>
  </si>
  <si>
    <t>Fish, Liver Oil</t>
  </si>
  <si>
    <t>Freshwater Fish</t>
  </si>
  <si>
    <t>Fruits, Other</t>
  </si>
  <si>
    <t>Groundnut Oil</t>
  </si>
  <si>
    <t>Groundnuts (Shelled Eq)</t>
  </si>
  <si>
    <t>Marine Fish, Other</t>
  </si>
  <si>
    <t>Meat, Other</t>
  </si>
  <si>
    <t>Molluscs, Other</t>
  </si>
  <si>
    <t>Mutton &amp; Goat Meat</t>
  </si>
  <si>
    <t>Oilcrops Oil, Other</t>
  </si>
  <si>
    <t>Oilcrops, Other</t>
  </si>
  <si>
    <t>Onions</t>
  </si>
  <si>
    <t>Oranges, Mandarines</t>
  </si>
  <si>
    <t>Palm Oil</t>
  </si>
  <si>
    <t>Palmkernel Oil</t>
  </si>
  <si>
    <t>Pelagic Fish</t>
  </si>
  <si>
    <t>Poultry Meat</t>
  </si>
  <si>
    <t>Rape and Mustard Oil</t>
  </si>
  <si>
    <t>Rape and Mustardseed</t>
  </si>
  <si>
    <t>Rice (Milled Equivalent)</t>
  </si>
  <si>
    <t>Roots, Other</t>
  </si>
  <si>
    <t>Sesameseed Oil</t>
  </si>
  <si>
    <t>Soyabean Oil</t>
  </si>
  <si>
    <t>Soyabeans</t>
  </si>
  <si>
    <t>Sugar (Raw Equivalent)</t>
  </si>
  <si>
    <t>Sugar Beet</t>
  </si>
  <si>
    <t>Sweet Potatoes</t>
  </si>
  <si>
    <t>Sweeteners, Other</t>
  </si>
  <si>
    <t>Vegetables, Other</t>
  </si>
  <si>
    <t>Quantity</t>
  </si>
  <si>
    <t>Scalloped spiny lobster</t>
  </si>
  <si>
    <t>Starfishes nei</t>
  </si>
  <si>
    <t>Striped marlin</t>
  </si>
  <si>
    <t>Trumpeters nei</t>
  </si>
  <si>
    <t>Unicorn icefish</t>
  </si>
  <si>
    <t>Warehou nei</t>
  </si>
  <si>
    <t>Western king prawn</t>
  </si>
  <si>
    <t>White trevally</t>
  </si>
  <si>
    <t>Wrasses, hogfishes, etc. nei</t>
  </si>
  <si>
    <t>Oreochromis mossambicus</t>
  </si>
  <si>
    <t>Oreochromis niloticus</t>
  </si>
  <si>
    <t>Flatfishes nei</t>
  </si>
  <si>
    <t>Gracilaria seaweeds</t>
  </si>
  <si>
    <t>Yarn of glass fibre</t>
  </si>
  <si>
    <t>Kyphosidae</t>
  </si>
  <si>
    <t>Labridae</t>
  </si>
  <si>
    <t>Labrus bergylta</t>
  </si>
  <si>
    <t>Hay (Unspecified)</t>
  </si>
  <si>
    <t>1214.90_r</t>
  </si>
  <si>
    <t>Hay Non Legum</t>
  </si>
  <si>
    <t>1214.90_p</t>
  </si>
  <si>
    <t>Hazelnuts Shelled</t>
  </si>
  <si>
    <t>0802.22</t>
  </si>
  <si>
    <t>Hemp Tow Waste</t>
  </si>
  <si>
    <t>Babylonia spirata</t>
  </si>
  <si>
    <t>Spotted rose snapper</t>
  </si>
  <si>
    <t>Lutjanus guttatus</t>
  </si>
  <si>
    <t>Starry smooth-hound</t>
  </si>
  <si>
    <t>Phonograph records,recorded tapes,oth.sound r</t>
  </si>
  <si>
    <t>Pianos and other string musical instruments</t>
  </si>
  <si>
    <t>Parts of railway locomotives &amp; rolling stock</t>
  </si>
  <si>
    <t>Passenger motor cars, other than buses</t>
  </si>
  <si>
    <t>Transport</t>
  </si>
  <si>
    <t>Road</t>
  </si>
  <si>
    <t>Rail</t>
  </si>
  <si>
    <t>Pipeline Transport</t>
  </si>
  <si>
    <t>Lethrinus microdon</t>
  </si>
  <si>
    <t>Lethrinus nebulosus</t>
  </si>
  <si>
    <t>Lethrinus obsoletus</t>
  </si>
  <si>
    <t>Lethrinus xanthochilus</t>
  </si>
  <si>
    <t>Crop %</t>
  </si>
  <si>
    <t>Crop Total</t>
  </si>
  <si>
    <t>Cattle and buffaloes</t>
  </si>
  <si>
    <t>Sheep and goats</t>
  </si>
  <si>
    <t>Sweet Corn Prep or Preserved</t>
  </si>
  <si>
    <t>2005.80</t>
  </si>
  <si>
    <t>Callorhinchus capensis</t>
  </si>
  <si>
    <t>Callorhinchus milii</t>
  </si>
  <si>
    <t>Black pomfret</t>
  </si>
  <si>
    <t>Cusk-eels nei</t>
  </si>
  <si>
    <t>Eelpouts</t>
  </si>
  <si>
    <t>Knife shrimp</t>
  </si>
  <si>
    <t>Polar cod</t>
  </si>
  <si>
    <t>Whitehead's round herring</t>
  </si>
  <si>
    <t>Yellowbelly rockcod</t>
  </si>
  <si>
    <t>Country</t>
  </si>
  <si>
    <t>Queen scallop</t>
  </si>
  <si>
    <t>Black seabass</t>
  </si>
  <si>
    <t>Cockles nei</t>
  </si>
  <si>
    <t>0810.30_b</t>
  </si>
  <si>
    <t>Grapefruit (inc. pomelos)</t>
  </si>
  <si>
    <t>Grapes</t>
  </si>
  <si>
    <t>2307.00_a</t>
  </si>
  <si>
    <t>Trachurus lathami</t>
  </si>
  <si>
    <t>Trachurus mediterraneus</t>
  </si>
  <si>
    <t>Veg Prod for Feed</t>
  </si>
  <si>
    <t>2308.00_g</t>
  </si>
  <si>
    <t>Veg.in Tem. Preservatives</t>
  </si>
  <si>
    <t>0711.90_a</t>
  </si>
  <si>
    <t>Veg.Prep. Or Pres.Frozen</t>
  </si>
  <si>
    <t>Epinephelus niveatus</t>
  </si>
  <si>
    <t>Chemical Wood Pulp</t>
  </si>
  <si>
    <t>Dissolving Wood Pulp</t>
  </si>
  <si>
    <t>Carcharhinus brachyurus</t>
  </si>
  <si>
    <t>Carcharhinus falciformis</t>
  </si>
  <si>
    <t>Diplodus vulgaris</t>
  </si>
  <si>
    <t>Crocodile shark</t>
  </si>
  <si>
    <t>Pseudocarcharias kamoharai</t>
  </si>
  <si>
    <t>Cubera snapper</t>
  </si>
  <si>
    <t>Oil Citronella</t>
  </si>
  <si>
    <t>3301.29</t>
  </si>
  <si>
    <t>Oil Essential Nes</t>
  </si>
  <si>
    <t>Grammoplites suppositus</t>
  </si>
  <si>
    <t>Gymnocranius spp</t>
  </si>
  <si>
    <t>Office and stationery supplies of base metals</t>
  </si>
  <si>
    <t>Pens, pencils and fountain pens</t>
  </si>
  <si>
    <t>Freshwater breams nei</t>
  </si>
  <si>
    <t>Sphoeroides spp</t>
  </si>
  <si>
    <t>Spicara maena</t>
  </si>
  <si>
    <t>Oncorhynchus masou</t>
  </si>
  <si>
    <t>Oncorhynchus mykiss</t>
  </si>
  <si>
    <r>
      <t>[Gj t</t>
    </r>
    <r>
      <rPr>
        <vertAlign val="superscript"/>
        <sz val="10"/>
        <color indexed="22"/>
        <rFont val="Arial"/>
        <family val="2"/>
      </rPr>
      <t>-1</t>
    </r>
    <r>
      <rPr>
        <sz val="10"/>
        <color indexed="22"/>
        <rFont val="Arial"/>
        <family val="2"/>
      </rPr>
      <t>]</t>
    </r>
  </si>
  <si>
    <r>
      <t>[Gj yr</t>
    </r>
    <r>
      <rPr>
        <vertAlign val="superscript"/>
        <sz val="10"/>
        <color indexed="22"/>
        <rFont val="Arial"/>
        <family val="2"/>
      </rPr>
      <t>-1</t>
    </r>
    <r>
      <rPr>
        <sz val="10"/>
        <color indexed="22"/>
        <rFont val="Arial"/>
        <family val="2"/>
      </rPr>
      <t>]</t>
    </r>
  </si>
  <si>
    <t>Ecological Footprint and Biocapacity Per Capita</t>
  </si>
  <si>
    <r>
      <t>[t C (t CO</t>
    </r>
    <r>
      <rPr>
        <vertAlign val="subscript"/>
        <sz val="10"/>
        <color indexed="23"/>
        <rFont val="Arial"/>
        <family val="2"/>
      </rPr>
      <t>2</t>
    </r>
    <r>
      <rPr>
        <sz val="10"/>
        <color indexed="23"/>
        <rFont val="Arial"/>
        <family val="2"/>
      </rPr>
      <t>)</t>
    </r>
    <r>
      <rPr>
        <vertAlign val="superscript"/>
        <sz val="10"/>
        <color indexed="23"/>
        <rFont val="Arial"/>
        <family val="2"/>
      </rPr>
      <t>-1</t>
    </r>
    <r>
      <rPr>
        <sz val="10"/>
        <color indexed="23"/>
        <rFont val="Arial"/>
        <family val="2"/>
      </rPr>
      <t>]</t>
    </r>
  </si>
  <si>
    <r>
      <t>[t C wha</t>
    </r>
    <r>
      <rPr>
        <vertAlign val="superscript"/>
        <sz val="10"/>
        <color indexed="23"/>
        <rFont val="Arial"/>
        <family val="2"/>
      </rPr>
      <t xml:space="preserve">-1 </t>
    </r>
    <r>
      <rPr>
        <sz val="10"/>
        <color indexed="23"/>
        <rFont val="Arial"/>
        <family val="2"/>
      </rPr>
      <t>yr</t>
    </r>
    <r>
      <rPr>
        <vertAlign val="superscript"/>
        <sz val="10"/>
        <color indexed="23"/>
        <rFont val="Arial"/>
        <family val="2"/>
      </rPr>
      <t>-1</t>
    </r>
    <r>
      <rPr>
        <sz val="10"/>
        <color indexed="23"/>
        <rFont val="Arial"/>
        <family val="2"/>
      </rPr>
      <t>]</t>
    </r>
  </si>
  <si>
    <r>
      <t>[t wha</t>
    </r>
    <r>
      <rPr>
        <vertAlign val="superscript"/>
        <sz val="10"/>
        <color indexed="23"/>
        <rFont val="Arial"/>
        <family val="2"/>
      </rPr>
      <t>-1</t>
    </r>
    <r>
      <rPr>
        <sz val="10"/>
        <color indexed="23"/>
        <rFont val="Arial"/>
        <family val="2"/>
      </rPr>
      <t xml:space="preserve"> yr</t>
    </r>
    <r>
      <rPr>
        <vertAlign val="superscript"/>
        <sz val="10"/>
        <color indexed="23"/>
        <rFont val="Arial"/>
        <family val="2"/>
      </rPr>
      <t>-1</t>
    </r>
    <r>
      <rPr>
        <sz val="10"/>
        <color indexed="23"/>
        <rFont val="Arial"/>
        <family val="2"/>
      </rPr>
      <t>]</t>
    </r>
  </si>
  <si>
    <t>Palinuridae</t>
  </si>
  <si>
    <t>Palinurus delagoae</t>
  </si>
  <si>
    <t>Palinurus elephas</t>
  </si>
  <si>
    <t>Palinurus gilchristi</t>
  </si>
  <si>
    <t>Palinurus mauritanicus</t>
  </si>
  <si>
    <t>Palinurus spp</t>
  </si>
  <si>
    <t>Panulirus argus</t>
  </si>
  <si>
    <t>Panulirus cygnus</t>
  </si>
  <si>
    <t>Atractosteus tropicus</t>
  </si>
  <si>
    <t>Catostomidae</t>
  </si>
  <si>
    <t>Chalcalburnus chalcoides</t>
  </si>
  <si>
    <t>Chondrostoma nasus</t>
  </si>
  <si>
    <t>Cirrhinus molitorella</t>
  </si>
  <si>
    <t>Ctenopharyngodon idellus</t>
  </si>
  <si>
    <t>Cyprinidae</t>
  </si>
  <si>
    <t>Cyprinus carpio</t>
  </si>
  <si>
    <t>Hypophthalmichthys molitrix</t>
  </si>
  <si>
    <t>Hypophthalmichthys nobilis</t>
  </si>
  <si>
    <t>Ictiobus spp</t>
  </si>
  <si>
    <t>Labeo spp</t>
  </si>
  <si>
    <t>Leptobarbus hoeveni</t>
  </si>
  <si>
    <t>Apsilus fuscus</t>
  </si>
  <si>
    <t>Spottail spiny turbot</t>
  </si>
  <si>
    <t>Blacktip shark</t>
  </si>
  <si>
    <t>Black oreo</t>
  </si>
  <si>
    <t>Capro dory</t>
  </si>
  <si>
    <t>Fish flours fit for human consumption</t>
  </si>
  <si>
    <t>Hydrolagus novaezealandiae</t>
  </si>
  <si>
    <t>Hydrolagus spp</t>
  </si>
  <si>
    <t>Isurus oxyrinchus</t>
  </si>
  <si>
    <t>Isurus paucus</t>
  </si>
  <si>
    <t>Isurus spp</t>
  </si>
  <si>
    <t>Dasyatidae</t>
  </si>
  <si>
    <t>Dasyatis akajei</t>
  </si>
  <si>
    <t>Dasyatis pastinaca</t>
  </si>
  <si>
    <t>Dasyatis spp</t>
  </si>
  <si>
    <t>Deania calcea</t>
  </si>
  <si>
    <t>Echinorhinus brucus</t>
  </si>
  <si>
    <t>Elasmobranchii</t>
  </si>
  <si>
    <t>Amberjacks nei</t>
  </si>
  <si>
    <t>Blood cockle</t>
  </si>
  <si>
    <t>Cobia</t>
  </si>
  <si>
    <t>Blue mackerel</t>
  </si>
  <si>
    <t>Bonnetmouths, rubyfishes nei</t>
  </si>
  <si>
    <t>Red codling</t>
  </si>
  <si>
    <t>Andaman lobster</t>
  </si>
  <si>
    <t>Sciaena umbra</t>
  </si>
  <si>
    <t>Sciaenidae</t>
  </si>
  <si>
    <t>Sciaenops ocellatus</t>
  </si>
  <si>
    <t>Scolopsis spp</t>
  </si>
  <si>
    <t>Momo, boke magai, misu coral</t>
  </si>
  <si>
    <t>Neon flying squid</t>
  </si>
  <si>
    <t>Arius thalassinus</t>
  </si>
  <si>
    <t>Arripis georgianus</t>
  </si>
  <si>
    <t>Arripis trutta</t>
  </si>
  <si>
    <t>Atractoscion aequidens</t>
  </si>
  <si>
    <t>Atractoscion nobilis</t>
  </si>
  <si>
    <t>Atrobucca nibe</t>
  </si>
  <si>
    <t>Balistes carolinensis</t>
  </si>
  <si>
    <t>Balistidae</t>
  </si>
  <si>
    <t>Batrachoididae</t>
  </si>
  <si>
    <t>Bolbometopon muricatum</t>
  </si>
  <si>
    <t>Oth. Coated iron or steel plates etc under 3</t>
  </si>
  <si>
    <t>Hoop and strip of iron or steel</t>
  </si>
  <si>
    <t>Rails of iron or steel</t>
  </si>
  <si>
    <t>Thyrsitops lepidopoides</t>
  </si>
  <si>
    <t>Trachichthyidae</t>
  </si>
  <si>
    <t>Spiegeleisen</t>
  </si>
  <si>
    <t>Psettichthys melanostictus</t>
  </si>
  <si>
    <t>Loligo spp</t>
  </si>
  <si>
    <t>Cephalopholis argus</t>
  </si>
  <si>
    <t>Cephalopholis fulva</t>
  </si>
  <si>
    <t>Parent Product</t>
  </si>
  <si>
    <t>Hay (clover,lucerne,etc)</t>
  </si>
  <si>
    <t>1214.90_q</t>
  </si>
  <si>
    <t>Hay (unspecified)</t>
  </si>
  <si>
    <t>Blacklip abalone</t>
  </si>
  <si>
    <t>Brine shrimp</t>
  </si>
  <si>
    <t>Penaeus latisulcatus</t>
  </si>
  <si>
    <t>Penaeus merguiensis</t>
  </si>
  <si>
    <t>Penaeus monodon</t>
  </si>
  <si>
    <t>2302.40_e</t>
  </si>
  <si>
    <t>Bran of Wheat</t>
  </si>
  <si>
    <t>2302.30</t>
  </si>
  <si>
    <t>Brazil Nuts Shelled</t>
  </si>
  <si>
    <t>0801.22</t>
  </si>
  <si>
    <t>Bread</t>
  </si>
  <si>
    <t>1905_a</t>
  </si>
  <si>
    <t>Breakfast Cereals</t>
  </si>
  <si>
    <t>1904_a</t>
  </si>
  <si>
    <t>Bulgur</t>
  </si>
  <si>
    <t>Caviar and caviar substitutes</t>
  </si>
  <si>
    <t>Camels</t>
  </si>
  <si>
    <t>0106.1_a</t>
  </si>
  <si>
    <t>Pulses</t>
  </si>
  <si>
    <t>Oxynotus paradoxus</t>
  </si>
  <si>
    <t>Prionace glauca</t>
  </si>
  <si>
    <t>Kapokseed Shelled</t>
  </si>
  <si>
    <t>Pelagic red crab</t>
  </si>
  <si>
    <t>Indian halibut</t>
  </si>
  <si>
    <t>Bicycles &amp; other cycles, not motorized, &amp; par</t>
  </si>
  <si>
    <t>Boiler house plant</t>
  </si>
  <si>
    <t>Steam engines and steam turbines</t>
  </si>
  <si>
    <t>Aircraft  incl jet propulsion   engines</t>
  </si>
  <si>
    <t>Internal combustion engines, not for aircraft</t>
  </si>
  <si>
    <t>Gas turbines,other than for aircraft</t>
  </si>
  <si>
    <t>Nuclear reactors</t>
  </si>
  <si>
    <t>Engines, nes</t>
  </si>
  <si>
    <t>Pristidae</t>
  </si>
  <si>
    <t>Pristiophorus spp</t>
  </si>
  <si>
    <t>Raja batis</t>
  </si>
  <si>
    <t>Fourfinger threadfin</t>
  </si>
  <si>
    <t>John's snapper</t>
  </si>
  <si>
    <t>Manufacturing Industries and Construction</t>
  </si>
  <si>
    <t>Iron and Steel</t>
  </si>
  <si>
    <t>Chemical and Petrochemical</t>
  </si>
  <si>
    <t>Non-Ferrous Metals</t>
  </si>
  <si>
    <t>Dorosoma cepedianum</t>
  </si>
  <si>
    <t>Pampus argenteus</t>
  </si>
  <si>
    <t>Pampus spp</t>
  </si>
  <si>
    <t>Parastromateus niger</t>
  </si>
  <si>
    <t>Parona signata</t>
  </si>
  <si>
    <t>Peprilus simillimus</t>
  </si>
  <si>
    <t>Peprilus spp</t>
  </si>
  <si>
    <t>Peprilus triacanthus</t>
  </si>
  <si>
    <t>Pomatomus saltatrix</t>
  </si>
  <si>
    <t>Pseudocaranx dentex</t>
  </si>
  <si>
    <t>Rachycentron canadum</t>
  </si>
  <si>
    <t>Rastrelliger brachysoma</t>
  </si>
  <si>
    <t>Rastrelliger kanagurta</t>
  </si>
  <si>
    <t>Rastrelliger spp</t>
  </si>
  <si>
    <t>Regalecus glesne</t>
  </si>
  <si>
    <t>Scomber australasicus</t>
  </si>
  <si>
    <t>Scomber japonicus</t>
  </si>
  <si>
    <t>Scomber scombrus</t>
  </si>
  <si>
    <t>Sardinella aurita</t>
  </si>
  <si>
    <t>Sardinella brasiliensis</t>
  </si>
  <si>
    <t>Streaked seerfish</t>
  </si>
  <si>
    <t>Unicorn cod</t>
  </si>
  <si>
    <t>Wolf-herrings nei</t>
  </si>
  <si>
    <t>Bali sardinella</t>
  </si>
  <si>
    <t>Bullet tuna</t>
  </si>
  <si>
    <t>Auxis rochei</t>
  </si>
  <si>
    <t>Chacunda gizzard shad</t>
  </si>
  <si>
    <t>Chocolate hind</t>
  </si>
  <si>
    <t>Cephalopholis boenak</t>
  </si>
  <si>
    <t>Frigate tuna</t>
  </si>
  <si>
    <t>Amur catfish</t>
  </si>
  <si>
    <t>Catfish</t>
  </si>
  <si>
    <t>Argentinian silverside</t>
  </si>
  <si>
    <t>Asian clam</t>
  </si>
  <si>
    <t>Asian swamp eel</t>
  </si>
  <si>
    <t>Atipa</t>
  </si>
  <si>
    <t>Atlantic ditch shrimp</t>
  </si>
  <si>
    <t>Baltic prawn</t>
  </si>
  <si>
    <t>Barred sorubim</t>
  </si>
  <si>
    <t>Bayad</t>
  </si>
  <si>
    <t>Bear paw clam</t>
  </si>
  <si>
    <t>Black bullhead</t>
  </si>
  <si>
    <t>Blackbelt cichlid</t>
  </si>
  <si>
    <t>Blackchin tilapia</t>
  </si>
  <si>
    <t>Tilapia</t>
  </si>
  <si>
    <t>Bluegill</t>
  </si>
  <si>
    <t>Bright green nori</t>
  </si>
  <si>
    <t>Brine shrimps nei</t>
  </si>
  <si>
    <t>Brown tiger prawn</t>
  </si>
  <si>
    <t>Brycon cephalus</t>
  </si>
  <si>
    <t>Antimora rostrata</t>
  </si>
  <si>
    <t>Source</t>
  </si>
  <si>
    <t>[ha]</t>
  </si>
  <si>
    <t>Stout beardfish</t>
  </si>
  <si>
    <t>Polymixia nobilis</t>
  </si>
  <si>
    <t>Sweetlips, rubberlips nei</t>
  </si>
  <si>
    <t>Plectorhinchus spp</t>
  </si>
  <si>
    <t>Titi shrimp</t>
  </si>
  <si>
    <t>Atherina boyeri</t>
  </si>
  <si>
    <t>Atherinidae</t>
  </si>
  <si>
    <t>Lemon juice, single strength</t>
  </si>
  <si>
    <t>Liquid Margarine</t>
  </si>
  <si>
    <t>Mango Juice</t>
  </si>
  <si>
    <t>Mango Pulp</t>
  </si>
  <si>
    <t>Mangoes, mangosteens, guavas</t>
  </si>
  <si>
    <t>Margrine Short</t>
  </si>
  <si>
    <t>Meat nes</t>
  </si>
  <si>
    <t>Meat of Asses</t>
  </si>
  <si>
    <t>Milkdry Buttrmilk</t>
  </si>
  <si>
    <t>Milled/Husked Rice</t>
  </si>
  <si>
    <t>Mules</t>
  </si>
  <si>
    <t>4102.2_d</t>
  </si>
  <si>
    <t>Snails, Not Sea</t>
  </si>
  <si>
    <t>0307.60</t>
  </si>
  <si>
    <t>0101.20_a</t>
  </si>
  <si>
    <t>0101.20_b</t>
  </si>
  <si>
    <t>Sweet Corn Frozen</t>
  </si>
  <si>
    <t>0710.40</t>
  </si>
  <si>
    <t>Buses, including trolleybuses</t>
  </si>
  <si>
    <t>Bigeyes nei</t>
  </si>
  <si>
    <t>Yellowtail flounder</t>
  </si>
  <si>
    <t>Chirocentrus nudus</t>
  </si>
  <si>
    <t>Orange juice, single strength</t>
  </si>
  <si>
    <t>Other Bastfibres</t>
  </si>
  <si>
    <t>Plum juice, concentrated</t>
  </si>
  <si>
    <t>Plum juice, single strength</t>
  </si>
  <si>
    <t>Popcorn</t>
  </si>
  <si>
    <t>Pot Barley</t>
  </si>
  <si>
    <t>Base metals,nes</t>
  </si>
  <si>
    <t>Mullus spp</t>
  </si>
  <si>
    <t>Mullus surmuletus</t>
  </si>
  <si>
    <t>0409.00</t>
  </si>
  <si>
    <t>Goose and guinea fowl meat</t>
  </si>
  <si>
    <t>0207.32_b</t>
  </si>
  <si>
    <t>Hen eggs, in shell</t>
  </si>
  <si>
    <t>0407.00a</t>
  </si>
  <si>
    <t>Horse meat</t>
  </si>
  <si>
    <t>0205.00_a</t>
  </si>
  <si>
    <t>South American rock mussel</t>
  </si>
  <si>
    <t>Kuruma prawn</t>
  </si>
  <si>
    <t>New Zealand scallop</t>
  </si>
  <si>
    <t>Lusitanian toadfish</t>
  </si>
  <si>
    <t>Aluminium and aluminium alloys, unwrought</t>
  </si>
  <si>
    <t>Molva dypterygia</t>
  </si>
  <si>
    <t>Molva molva</t>
  </si>
  <si>
    <t>Molva spp</t>
  </si>
  <si>
    <t>Aphanopus carbo</t>
  </si>
  <si>
    <t>Tin and tin alloys, unwrought</t>
  </si>
  <si>
    <t>Tin and tin alloys,worked</t>
  </si>
  <si>
    <t>Tapestries</t>
  </si>
  <si>
    <t>Mats,matting,screens of vegetable plaiting ma</t>
  </si>
  <si>
    <t>Lime</t>
  </si>
  <si>
    <t>Cement</t>
  </si>
  <si>
    <t>1702.60</t>
  </si>
  <si>
    <t>Paste of Tomatoes</t>
  </si>
  <si>
    <t>2002.90</t>
  </si>
  <si>
    <t>Sculptured shrimps nei</t>
  </si>
  <si>
    <t>Tobacco,manufactured for smoking,chewing snuf</t>
  </si>
  <si>
    <t>Bovine &amp; equine hides excl. Calf &amp; kip skins</t>
  </si>
  <si>
    <t>Calf skins and kip skins</t>
  </si>
  <si>
    <t>Goat skins and kid skins</t>
  </si>
  <si>
    <t>Emperors(=Scavengers) nei</t>
  </si>
  <si>
    <t>Indo-Pacific sailfish</t>
  </si>
  <si>
    <t>Phosphatic fertilizers and materials</t>
  </si>
  <si>
    <t>Potassic fertilizers and materials</t>
  </si>
  <si>
    <t>Fertilizers,nes</t>
  </si>
  <si>
    <t>1102.90_b</t>
  </si>
  <si>
    <t>Flour of Mustard</t>
  </si>
  <si>
    <t>2103.30</t>
  </si>
  <si>
    <t>Flour of Oilseeds</t>
  </si>
  <si>
    <t>1208_a</t>
  </si>
  <si>
    <t>Lithognathus lithognathus</t>
  </si>
  <si>
    <t>Production / Stock</t>
  </si>
  <si>
    <t>Embodied EF</t>
  </si>
  <si>
    <t>1008.90ad</t>
  </si>
  <si>
    <t>Garlic</t>
  </si>
  <si>
    <t>0703.20</t>
  </si>
  <si>
    <t>Ginger</t>
  </si>
  <si>
    <t>0910.10</t>
  </si>
  <si>
    <t>Gooseberries</t>
  </si>
  <si>
    <t>2009.21</t>
  </si>
  <si>
    <t>Stromboid conchs nei</t>
  </si>
  <si>
    <t>Finfishes nei</t>
  </si>
  <si>
    <t>Yellowfin seabream</t>
  </si>
  <si>
    <t>False abalone</t>
  </si>
  <si>
    <t>Flathead lobster</t>
  </si>
  <si>
    <t>Scats</t>
  </si>
  <si>
    <t>Barbus cyclolepis</t>
  </si>
  <si>
    <t>Corallium secundum</t>
  </si>
  <si>
    <t>Corallium sp. nov.</t>
  </si>
  <si>
    <t>Scleractinia</t>
  </si>
  <si>
    <t>Angolan dentex</t>
  </si>
  <si>
    <t>Hawksbill turtle</t>
  </si>
  <si>
    <t>Skinnycheek lanternfish</t>
  </si>
  <si>
    <t>Spotted sicklefish</t>
  </si>
  <si>
    <t>Tigertooth croaker</t>
  </si>
  <si>
    <t>CORINE</t>
  </si>
  <si>
    <t>Patagonotothen brevicauda</t>
  </si>
  <si>
    <t>Patagonotothen ramsayi</t>
  </si>
  <si>
    <t>Labiobarbus festivus</t>
  </si>
  <si>
    <t>Silver rasbora</t>
  </si>
  <si>
    <t>prodstat_livestock_n</t>
  </si>
  <si>
    <t>livestock_feed_balance</t>
  </si>
  <si>
    <t>fish_feed_group_yield_n</t>
  </si>
  <si>
    <t>crop_feed_cnst</t>
  </si>
  <si>
    <t>0808.20_a</t>
  </si>
  <si>
    <t>Peas, dry</t>
  </si>
  <si>
    <t>0713.10</t>
  </si>
  <si>
    <t>Peas, green</t>
  </si>
  <si>
    <t>0708.10</t>
  </si>
  <si>
    <t>Pepper (Piper spp.)</t>
  </si>
  <si>
    <t>0904.11</t>
  </si>
  <si>
    <t>Persimmons</t>
  </si>
  <si>
    <t>0810.90aa</t>
  </si>
  <si>
    <t>Pigeon peas</t>
  </si>
  <si>
    <t>0713.90aa</t>
  </si>
  <si>
    <t>Pineapples</t>
  </si>
  <si>
    <t>Pistachios</t>
  </si>
  <si>
    <t>Plantains</t>
  </si>
  <si>
    <t>0803.00_b</t>
  </si>
  <si>
    <t>Trachipterus spp</t>
  </si>
  <si>
    <t>Sepiidae, Sepiolidae</t>
  </si>
  <si>
    <t>Todarodes pacificus</t>
  </si>
  <si>
    <t>Todarodes sagittatus</t>
  </si>
  <si>
    <t>Nephrops norvegicus</t>
  </si>
  <si>
    <t>Barbus meridionalis</t>
  </si>
  <si>
    <t>Blicca bjoerkna</t>
  </si>
  <si>
    <t>Eleginops maclovinus</t>
  </si>
  <si>
    <t>Eleutheronema tetradactylum</t>
  </si>
  <si>
    <t>Elops lacerta</t>
  </si>
  <si>
    <t>Elops saurus</t>
  </si>
  <si>
    <t>Ephippidae</t>
  </si>
  <si>
    <t>Gerres oyena</t>
  </si>
  <si>
    <t>Gerres spp</t>
  </si>
  <si>
    <t>Girella nigricans</t>
  </si>
  <si>
    <t>Girella tricuspidata</t>
  </si>
  <si>
    <t>Gobius niger</t>
  </si>
  <si>
    <t>Angles etc. Of iron or steel, 80 mm or more</t>
  </si>
  <si>
    <t>Blackfin tuna</t>
  </si>
  <si>
    <t>Anglerfishes nei</t>
  </si>
  <si>
    <t>0106.1_c</t>
  </si>
  <si>
    <t>Upogebia pugettensis</t>
  </si>
  <si>
    <t>Cervimunida johni</t>
  </si>
  <si>
    <t>Galatheidae</t>
  </si>
  <si>
    <t>Lithodes aequispina</t>
  </si>
  <si>
    <t>Lithodes murrayi</t>
  </si>
  <si>
    <t>Lithodidae</t>
  </si>
  <si>
    <t>Paralithodes brevipes</t>
  </si>
  <si>
    <t>Paralithodes camtschaticus</t>
  </si>
  <si>
    <t>Paralithodes platypus</t>
  </si>
  <si>
    <t>Paralithodes spp</t>
  </si>
  <si>
    <t>Horsehair &amp; other coarse hair,not carded/comb</t>
  </si>
  <si>
    <t>Macrobrachium nipponense</t>
  </si>
  <si>
    <t>Macrobrachium rosenbergii</t>
  </si>
  <si>
    <t>Macrobrachium spp</t>
  </si>
  <si>
    <t>Pacifastacus leniusculus</t>
  </si>
  <si>
    <t>Palaemonidae</t>
  </si>
  <si>
    <t>Parastacidae</t>
  </si>
  <si>
    <t>Procambarus clarkii</t>
  </si>
  <si>
    <t>Brachyura</t>
  </si>
  <si>
    <t>Callinectes danae</t>
  </si>
  <si>
    <t>Callinectes sapidus</t>
  </si>
  <si>
    <t>Poles,piling,posts &amp; other wood in the rough.</t>
  </si>
  <si>
    <t>Safflower seed</t>
  </si>
  <si>
    <t>1207.60</t>
  </si>
  <si>
    <t>Japanese carpet shell</t>
  </si>
  <si>
    <t>Japanese kelp</t>
  </si>
  <si>
    <t>Japanese sea cucumber</t>
  </si>
  <si>
    <t>Jellyfishes</t>
  </si>
  <si>
    <t>Large yellow croaker</t>
  </si>
  <si>
    <t>Laver (Nori)</t>
  </si>
  <si>
    <t>Lefteye flounders nei</t>
  </si>
  <si>
    <t>Black seabream</t>
  </si>
  <si>
    <t>Jasus tristani</t>
  </si>
  <si>
    <t>Jasus verreauxi</t>
  </si>
  <si>
    <t>Metanephrops andamanicus</t>
  </si>
  <si>
    <t>Metanephrops challengeri</t>
  </si>
  <si>
    <t>Metanephrops mozambicus</t>
  </si>
  <si>
    <t>Metanephrops spp</t>
  </si>
  <si>
    <t>Hides Wet Salted Camels</t>
  </si>
  <si>
    <t>Kapok Fibre</t>
  </si>
  <si>
    <t>Glass carboys, bottles, jars, stoppers, etc.</t>
  </si>
  <si>
    <t>Glass tableware etc for household hotel etc</t>
  </si>
  <si>
    <t>Articles made of glass nes</t>
  </si>
  <si>
    <t>Spotted seabass</t>
  </si>
  <si>
    <t>Pike icefish</t>
  </si>
  <si>
    <t>Loligo forbesi</t>
  </si>
  <si>
    <t>Loligo gahi</t>
  </si>
  <si>
    <t>Loligo opalescens</t>
  </si>
  <si>
    <t>Hides Unsp Camels</t>
  </si>
  <si>
    <t>Commercial and Public Services</t>
  </si>
  <si>
    <t xml:space="preserve">Residential </t>
  </si>
  <si>
    <t xml:space="preserve">Non-specified Other </t>
  </si>
  <si>
    <t>Envelopes,writing blocks,etc.for corresponden</t>
  </si>
  <si>
    <t>Exercise books,registers,abums,diaries etc</t>
  </si>
  <si>
    <t>Art. Of paper pulp,paper or paperboard</t>
  </si>
  <si>
    <t>Thrown silk &amp; silk yarn and thread</t>
  </si>
  <si>
    <t>Oceanic whitetip shark</t>
  </si>
  <si>
    <t>Pompanos nei</t>
  </si>
  <si>
    <t>Red crab</t>
  </si>
  <si>
    <t>Lighting fixtures and fittings and parts</t>
  </si>
  <si>
    <t>Furniture</t>
  </si>
  <si>
    <t>Cichlasoma managuense</t>
  </si>
  <si>
    <t>Cichlidae</t>
  </si>
  <si>
    <t>Haplochromis spp</t>
  </si>
  <si>
    <t>Oreochromis (=Tilapia) spp</t>
  </si>
  <si>
    <t>Carp</t>
  </si>
  <si>
    <t>Cod</t>
  </si>
  <si>
    <t>Corals</t>
  </si>
  <si>
    <t>Cuttlefish and Squid</t>
  </si>
  <si>
    <t>Rhopilema spp</t>
  </si>
  <si>
    <t>Ex Mollusca</t>
  </si>
  <si>
    <t>Ex Pinctada spp</t>
  </si>
  <si>
    <t>Sphyraena barracuda</t>
  </si>
  <si>
    <t>Alosa pontica</t>
  </si>
  <si>
    <t>Alosa pseudoharengus</t>
  </si>
  <si>
    <t>Alosa sapidissima</t>
  </si>
  <si>
    <t>Alosa spp</t>
  </si>
  <si>
    <t>Anodontostoma chacunda</t>
  </si>
  <si>
    <t>Caspialosa spp</t>
  </si>
  <si>
    <t>Clupanodon thrissa</t>
  </si>
  <si>
    <t>Pleurogrammus azonus</t>
  </si>
  <si>
    <t>Pleurogrammus monopterygius</t>
  </si>
  <si>
    <t>Plotosus spp</t>
  </si>
  <si>
    <t>Pogonias cromis</t>
  </si>
  <si>
    <t>Polydactylus quadrifilis</t>
  </si>
  <si>
    <t>Polynemidae</t>
  </si>
  <si>
    <t>Pomacanthidae</t>
  </si>
  <si>
    <t>Sleepers &amp; railway track material of iron ste</t>
  </si>
  <si>
    <t>Starry flounder</t>
  </si>
  <si>
    <t>Tautog</t>
  </si>
  <si>
    <t>Tripletail</t>
  </si>
  <si>
    <t>Vermilion snapper</t>
  </si>
  <si>
    <t>Warsaw grouper</t>
  </si>
  <si>
    <t>Rainbow sardine</t>
  </si>
  <si>
    <t>Short mackerel</t>
  </si>
  <si>
    <t>Silver sillago</t>
  </si>
  <si>
    <t>Spotted sardinella</t>
  </si>
  <si>
    <t>Articles of artif.plastic materials,n.e.s.</t>
  </si>
  <si>
    <t>Pastry</t>
  </si>
  <si>
    <t>1905_b</t>
  </si>
  <si>
    <t>Peanut Butter</t>
  </si>
  <si>
    <t>2008.11_b</t>
  </si>
  <si>
    <t>Latridae</t>
  </si>
  <si>
    <t>Lepidocybium flavobrunneum</t>
  </si>
  <si>
    <t>Lepidopus caudatus</t>
  </si>
  <si>
    <t>Squaretail coralgrouper</t>
  </si>
  <si>
    <t>Euro-American crayfishes nei</t>
  </si>
  <si>
    <t>Huchen</t>
  </si>
  <si>
    <t>Northern pike</t>
  </si>
  <si>
    <t>Salmonoids nei</t>
  </si>
  <si>
    <t>Special prod.of textile mat.and related mat.</t>
  </si>
  <si>
    <t>Bags and sacks of textile materials</t>
  </si>
  <si>
    <t>Tarpaulins, tents, awnings, sails, etc.</t>
  </si>
  <si>
    <t>Blankets, travelling rugs and coverlets</t>
  </si>
  <si>
    <t>Made up articles of textile materials, nes</t>
  </si>
  <si>
    <t>fish_capture_yield</t>
  </si>
  <si>
    <t>fish_group_yield_w</t>
  </si>
  <si>
    <t>aquaculture_production_n</t>
  </si>
  <si>
    <t>aquaculture_yields</t>
  </si>
  <si>
    <t>aquaculture_production_w</t>
  </si>
  <si>
    <t>fish_feed_group_yield_w</t>
  </si>
  <si>
    <t>fishmeal_fishes</t>
  </si>
  <si>
    <t>Extraction Rate of Fish oil</t>
  </si>
  <si>
    <t>Artemesia longinaris</t>
  </si>
  <si>
    <t>Extr</t>
  </si>
  <si>
    <t>Area</t>
  </si>
  <si>
    <t>Year</t>
  </si>
  <si>
    <t>Brazilian menhaden</t>
  </si>
  <si>
    <t>Goldsilk seabream</t>
  </si>
  <si>
    <t>Congo dentex</t>
  </si>
  <si>
    <t>Blotched picarel</t>
  </si>
  <si>
    <t>Aesop shrimp</t>
  </si>
  <si>
    <t>Bigeye scad</t>
  </si>
  <si>
    <t>Broad-striped anchovy</t>
  </si>
  <si>
    <t>Coney</t>
  </si>
  <si>
    <t>Rainbow runner</t>
  </si>
  <si>
    <t>Red hind</t>
  </si>
  <si>
    <t>Whitebelly prawn</t>
  </si>
  <si>
    <t>Solenocera agassizii</t>
  </si>
  <si>
    <t>Trachypenaeus curvirostris</t>
  </si>
  <si>
    <t>Grease incl. Lanolin Wool</t>
  </si>
  <si>
    <t>1202.20</t>
  </si>
  <si>
    <t>Gums Natural</t>
  </si>
  <si>
    <t>4001.30</t>
  </si>
  <si>
    <t>Hair Carded/ Combed</t>
  </si>
  <si>
    <t>Hair Coarse Nes</t>
  </si>
  <si>
    <t>Hair Fine</t>
  </si>
  <si>
    <t>Hair of Horses</t>
  </si>
  <si>
    <t>0503.00</t>
  </si>
  <si>
    <t>Blue catfish</t>
  </si>
  <si>
    <t>Carassius auratus</t>
  </si>
  <si>
    <t>Carassius carassius</t>
  </si>
  <si>
    <t>Squalidae, Scyliorhinidae</t>
  </si>
  <si>
    <t>Squaliformes</t>
  </si>
  <si>
    <t>Squalus acanthias</t>
  </si>
  <si>
    <t>Squatina argentina</t>
  </si>
  <si>
    <t>Squatina squatina</t>
  </si>
  <si>
    <t>Squatinidae</t>
  </si>
  <si>
    <t>Torpedo spp</t>
  </si>
  <si>
    <t>Astacidae, Cambaridae</t>
  </si>
  <si>
    <t>Astacus astacus</t>
  </si>
  <si>
    <t>Austropotamobius pallipes</t>
  </si>
  <si>
    <t>Crustacea</t>
  </si>
  <si>
    <t>Eriocheir sinensis</t>
  </si>
  <si>
    <t>Euastacus armatus</t>
  </si>
  <si>
    <t>Exopalaemon modestus</t>
  </si>
  <si>
    <t>Lutjanus spp</t>
  </si>
  <si>
    <t>Lutjanus synagris</t>
  </si>
  <si>
    <t>Watches, watch movements and cases</t>
  </si>
  <si>
    <t>Cotton Linter</t>
  </si>
  <si>
    <t>1404.20</t>
  </si>
  <si>
    <t>Television broadcast receivers</t>
  </si>
  <si>
    <t>Radio broadcast receivers</t>
  </si>
  <si>
    <t>Perlemoen abalone</t>
  </si>
  <si>
    <t>Cake Safflower</t>
  </si>
  <si>
    <t>2306.90_c</t>
  </si>
  <si>
    <t>Cane Tops</t>
  </si>
  <si>
    <t>2308.00_e</t>
  </si>
  <si>
    <t>0801.31_a</t>
  </si>
  <si>
    <t>0714.10_a</t>
  </si>
  <si>
    <t>1207.30_a</t>
  </si>
  <si>
    <t>Cattle Butch.Fat</t>
  </si>
  <si>
    <t>Cheese of Goat Mlk</t>
  </si>
  <si>
    <t>0805.90_a</t>
  </si>
  <si>
    <t>Cmpd Feed,Pigs</t>
  </si>
  <si>
    <t>Ascidiacea</t>
  </si>
  <si>
    <t>Microcosmus sulcatus</t>
  </si>
  <si>
    <t>Pyura chilensis</t>
  </si>
  <si>
    <t>Pyura stolonifera</t>
  </si>
  <si>
    <t>Salpidae</t>
  </si>
  <si>
    <t>Limulus polyphemus</t>
  </si>
  <si>
    <t>Asterias rubens</t>
  </si>
  <si>
    <t>Asteroidea</t>
  </si>
  <si>
    <t>Echinodermata</t>
  </si>
  <si>
    <t>2101_b</t>
  </si>
  <si>
    <t>Fat Liver Prep (Foie Gras)</t>
  </si>
  <si>
    <t>Fat of Cattle</t>
  </si>
  <si>
    <t>Fat of Pigs</t>
  </si>
  <si>
    <t>Fat of Ptry Rend</t>
  </si>
  <si>
    <t>Fat Prep Nes</t>
  </si>
  <si>
    <t>Fatty Acids</t>
  </si>
  <si>
    <t>Leather,nes</t>
  </si>
  <si>
    <t>Scientific Name</t>
  </si>
  <si>
    <t>Trachyscorpia echinata</t>
  </si>
  <si>
    <t>Trichiuridae</t>
  </si>
  <si>
    <t>Trichiurus lepturus</t>
  </si>
  <si>
    <t>Bigeye grunt</t>
  </si>
  <si>
    <t>5102.1_b</t>
  </si>
  <si>
    <t>4101_j</t>
  </si>
  <si>
    <t>4103.20_b</t>
  </si>
  <si>
    <t>4101_i</t>
  </si>
  <si>
    <t>Import Quantity</t>
  </si>
  <si>
    <t>Production Intensity N</t>
  </si>
  <si>
    <t>[gha t-1]</t>
  </si>
  <si>
    <t>Intensity of Fishmeal Fish</t>
  </si>
  <si>
    <t>Extraction Rate of Fishmeal</t>
  </si>
  <si>
    <t>Intensity of Fishmeal</t>
  </si>
  <si>
    <t>Production Intensity W</t>
  </si>
  <si>
    <t>PPE N</t>
  </si>
  <si>
    <t>PPE W</t>
  </si>
  <si>
    <t>Effective PPR N</t>
  </si>
  <si>
    <t>Effective PPR W</t>
  </si>
  <si>
    <t>Yield N</t>
  </si>
  <si>
    <t>Yield W</t>
  </si>
  <si>
    <t>South American silver porgy</t>
  </si>
  <si>
    <t>Haliotis spp</t>
  </si>
  <si>
    <t>Organo inorganic &amp; heterocyclic compounds</t>
  </si>
  <si>
    <t>Other organic chemicals</t>
  </si>
  <si>
    <t>Atule mate</t>
  </si>
  <si>
    <t>Belone belone</t>
  </si>
  <si>
    <t>Belonidae</t>
  </si>
  <si>
    <t>Yarn of textile fibres,nes incl.paper yarn</t>
  </si>
  <si>
    <t>Zenopsis conchifer</t>
  </si>
  <si>
    <t>Theragra chalcogramma</t>
  </si>
  <si>
    <t>Flatheads nei</t>
  </si>
  <si>
    <t>Geelbek croaker</t>
  </si>
  <si>
    <t>Ghost shark</t>
  </si>
  <si>
    <t>Green rock lobster</t>
  </si>
  <si>
    <t>Greenback horse mackerel</t>
  </si>
  <si>
    <t>Grey rockcod</t>
  </si>
  <si>
    <t>Halfbeaks nei</t>
  </si>
  <si>
    <t>Whey Condensed</t>
  </si>
  <si>
    <t>Whey Fresh</t>
  </si>
  <si>
    <t>Yogh Conc.Or Not</t>
  </si>
  <si>
    <t>5304_c</t>
  </si>
  <si>
    <t>0810.40_c</t>
  </si>
  <si>
    <t>0810.40_d</t>
  </si>
  <si>
    <t>0804.50_b</t>
  </si>
  <si>
    <t>1207.9ak</t>
  </si>
  <si>
    <t>5303ab</t>
  </si>
  <si>
    <t>1904_c</t>
  </si>
  <si>
    <t>5304_b</t>
  </si>
  <si>
    <t>Argentinian sandperch</t>
  </si>
  <si>
    <t>0808.20_b</t>
  </si>
  <si>
    <t>Quinoa</t>
  </si>
  <si>
    <t>1008.90ac</t>
  </si>
  <si>
    <t>Raisins</t>
  </si>
  <si>
    <t>0806.20</t>
  </si>
  <si>
    <t>Rapeseed</t>
  </si>
  <si>
    <t>Rapeseed oil</t>
  </si>
  <si>
    <t>1514_a</t>
  </si>
  <si>
    <t>Rice bran oil</t>
  </si>
  <si>
    <t>1515.90_a</t>
  </si>
  <si>
    <t>Rice, paddy</t>
  </si>
  <si>
    <t>0714.90_bc</t>
  </si>
  <si>
    <t>Rye</t>
  </si>
  <si>
    <t>Rye grass for forage &amp; silage</t>
  </si>
  <si>
    <t>Imports</t>
  </si>
  <si>
    <t>Trailers &amp; oth vehicles not motorized, &amp; part</t>
  </si>
  <si>
    <t>Invalid carriages</t>
  </si>
  <si>
    <t>Aircraft, heavier than air</t>
  </si>
  <si>
    <t>Parts of aircraft,balloons airships</t>
  </si>
  <si>
    <t>Warships of all kinds</t>
  </si>
  <si>
    <t>Paralomis granulosa</t>
  </si>
  <si>
    <t>Paralomis spinosissima</t>
  </si>
  <si>
    <t>Pleuroncodes monodon</t>
  </si>
  <si>
    <t>Japanese hard clam</t>
  </si>
  <si>
    <t>Squillids nei</t>
  </si>
  <si>
    <t>Yellow croaker</t>
  </si>
  <si>
    <t>Goatfishes</t>
  </si>
  <si>
    <t>Largeeye breams</t>
  </si>
  <si>
    <t>Pacific rudderfish</t>
  </si>
  <si>
    <t>Slender rainbow sardine</t>
  </si>
  <si>
    <t>Demand Type</t>
  </si>
  <si>
    <t>Laminaria hyperborea</t>
  </si>
  <si>
    <t>Laminaria japonica</t>
  </si>
  <si>
    <t>Lessonia nigrescens</t>
  </si>
  <si>
    <t>Lessonia spp</t>
  </si>
  <si>
    <t>Lessonia trabeculata</t>
  </si>
  <si>
    <t>Macrocystis spp</t>
  </si>
  <si>
    <t>Phaeophyceae</t>
  </si>
  <si>
    <t>Cow milk, whole, fresh</t>
  </si>
  <si>
    <t>0401.20_a</t>
  </si>
  <si>
    <t>Duck meat</t>
  </si>
  <si>
    <t>Epinephelus goreensis</t>
  </si>
  <si>
    <t>Epinephelus guttatus</t>
  </si>
  <si>
    <t>Epinephelus marginatus</t>
  </si>
  <si>
    <t>Epinephelus morio</t>
  </si>
  <si>
    <t>Epinephelus morrhua</t>
  </si>
  <si>
    <t>Ocean Uptake Fraction</t>
  </si>
  <si>
    <t>Snakeheads(=Murrels) nei</t>
  </si>
  <si>
    <t>Netted prochilod</t>
  </si>
  <si>
    <t>Stargazer</t>
  </si>
  <si>
    <t>Toadfishes, etc. nei</t>
  </si>
  <si>
    <t>Veined squid</t>
  </si>
  <si>
    <t>Flat needlefish</t>
  </si>
  <si>
    <t>King soldier bream</t>
  </si>
  <si>
    <t>Malabar trevally</t>
  </si>
  <si>
    <t>Bluespotted seabream</t>
  </si>
  <si>
    <t>Canary seed</t>
  </si>
  <si>
    <t>1008.90ab</t>
  </si>
  <si>
    <t>Carobs</t>
  </si>
  <si>
    <t>Wadding,wicks and textile fabrics for machine</t>
  </si>
  <si>
    <t>Flour of Rye</t>
  </si>
  <si>
    <t>Expected Crop</t>
  </si>
  <si>
    <t>Expected Grass</t>
  </si>
  <si>
    <t>Feed Amount</t>
  </si>
  <si>
    <t>Intensity Crop</t>
  </si>
  <si>
    <t>Epinephelus areolatus</t>
  </si>
  <si>
    <t>Epinephelus chlorostigma</t>
  </si>
  <si>
    <t>Epinephelus coioides</t>
  </si>
  <si>
    <t>Epinephelus fasciatus</t>
  </si>
  <si>
    <t>Atlantic butterfish</t>
  </si>
  <si>
    <t>Atlantic menhaden</t>
  </si>
  <si>
    <t>Atlantic pomfret</t>
  </si>
  <si>
    <t>Beaked redfish</t>
  </si>
  <si>
    <t>Blackfin icefish</t>
  </si>
  <si>
    <t>Tilapias nei</t>
  </si>
  <si>
    <t>Trouts nei</t>
  </si>
  <si>
    <t>Atlantic salmon</t>
  </si>
  <si>
    <t>Barramundi(=Giant seaperch)</t>
  </si>
  <si>
    <t>4103.90_a</t>
  </si>
  <si>
    <t>4102.2_b</t>
  </si>
  <si>
    <t>4102.2_a</t>
  </si>
  <si>
    <t>4103.30_a</t>
  </si>
  <si>
    <t>Protothaca thaca</t>
  </si>
  <si>
    <t>Pseudocardium sybillae</t>
  </si>
  <si>
    <t>Ruditapes decussatus</t>
  </si>
  <si>
    <t>FAO Group</t>
  </si>
  <si>
    <t>Antarctic armless flounder</t>
  </si>
  <si>
    <t>Mancopsetta maculata</t>
  </si>
  <si>
    <t>Antarctic horsefish</t>
  </si>
  <si>
    <t>Zanclorhynchus spinifer</t>
  </si>
  <si>
    <t>Antarctic octopuses</t>
  </si>
  <si>
    <t>Pareledone spp</t>
  </si>
  <si>
    <t>Trematomus spp</t>
  </si>
  <si>
    <t>Dark-belly skate</t>
  </si>
  <si>
    <t>Bathyraja meridionalis</t>
  </si>
  <si>
    <t>Demersal percomorphs nei</t>
  </si>
  <si>
    <t>Diadromous clupeoids nei</t>
  </si>
  <si>
    <t>Dusky catshark</t>
  </si>
  <si>
    <t>Halaelurus canescens</t>
  </si>
  <si>
    <t>Freshwater crustaceans nei</t>
  </si>
  <si>
    <t>Freshwater fishes nei</t>
  </si>
  <si>
    <t>Freshwater gobies nei</t>
  </si>
  <si>
    <t>Freshwater molluscs nei</t>
  </si>
  <si>
    <t>Freshwater prawns, shrimps nei</t>
  </si>
  <si>
    <t>Grenadiers, whiptails nei</t>
  </si>
  <si>
    <t>Coryphaenoides spp</t>
  </si>
  <si>
    <t>Groundfishes nei</t>
  </si>
  <si>
    <t>King crabs nei</t>
  </si>
  <si>
    <t>Lithodes spp</t>
  </si>
  <si>
    <t>Lantern fish</t>
  </si>
  <si>
    <t>Lampanyctus achirus</t>
  </si>
  <si>
    <t>Marine crustaceans nei</t>
  </si>
  <si>
    <t>Marine fishes nei</t>
  </si>
  <si>
    <t>Marine molluscs nei</t>
  </si>
  <si>
    <t>Marine turtles nei</t>
  </si>
  <si>
    <t>Myers' icefish</t>
  </si>
  <si>
    <t>Chionodraco myersi</t>
  </si>
  <si>
    <t>Nichol's lanternfish</t>
  </si>
  <si>
    <t>Gymnoscopelus nicholsi</t>
  </si>
  <si>
    <t>Painted notie</t>
  </si>
  <si>
    <t>Nototheniops larseni</t>
  </si>
  <si>
    <t>Palaemonid shrimps nei</t>
  </si>
  <si>
    <t>Parachaenichthys georgianus</t>
  </si>
  <si>
    <t>Pelagic fishes nei</t>
  </si>
  <si>
    <t>Pelagic percomorphs nei</t>
  </si>
  <si>
    <t>Plunderfish</t>
  </si>
  <si>
    <t>Pogonophryne permitini</t>
  </si>
  <si>
    <t>Red stone crab</t>
  </si>
  <si>
    <t>Paralomis aculeata</t>
  </si>
  <si>
    <t>River and lake turtles nei</t>
  </si>
  <si>
    <t>Sea urchins, etc. nei</t>
  </si>
  <si>
    <t>Echinoidea</t>
  </si>
  <si>
    <t>Slickheads nei</t>
  </si>
  <si>
    <t>Alepocephalus spp</t>
  </si>
  <si>
    <t>Southern opah</t>
  </si>
  <si>
    <t>Lampris immaculatus</t>
  </si>
  <si>
    <t>Toad notie</t>
  </si>
  <si>
    <t>Nototheniops mizops</t>
  </si>
  <si>
    <t>Triangular rockcod</t>
  </si>
  <si>
    <t>Notothenia acuta</t>
  </si>
  <si>
    <t>Yellowfin notie</t>
  </si>
  <si>
    <t>Nototheniops nudifrons</t>
  </si>
  <si>
    <t>Rays and skates nei</t>
  </si>
  <si>
    <t>Red rock lobster</t>
  </si>
  <si>
    <t>Scaly gurnard</t>
  </si>
  <si>
    <t>Lepidotrigla brachyoptera</t>
  </si>
  <si>
    <t>Short neck clams nei</t>
  </si>
  <si>
    <t>Silver warehou</t>
  </si>
  <si>
    <t>Slimeheads nei</t>
  </si>
  <si>
    <t>Smalleye moray cod</t>
  </si>
  <si>
    <t>Spotted estuary smooth-hound</t>
  </si>
  <si>
    <t>Spotted gurnard</t>
  </si>
  <si>
    <t>Stutchbury's venus</t>
  </si>
  <si>
    <t>Indian scad</t>
  </si>
  <si>
    <t>Indo-Pacific tarpon</t>
  </si>
  <si>
    <t>Shiba shrimp</t>
  </si>
  <si>
    <t>Whitespotted conger</t>
  </si>
  <si>
    <t>Yellow striped flounder</t>
  </si>
  <si>
    <t>Red starfish</t>
  </si>
  <si>
    <t>Tiger shark</t>
  </si>
  <si>
    <t>Rhabdosargus globiceps</t>
  </si>
  <si>
    <t>Rhabdosargus haffara</t>
  </si>
  <si>
    <t>Belgium</t>
  </si>
  <si>
    <t>Selachimorpha (Pleurotremata)</t>
  </si>
  <si>
    <t>Laemonema longipes</t>
  </si>
  <si>
    <t>Neopagetopsis ionah</t>
  </si>
  <si>
    <t>Chlorophthalmidae</t>
  </si>
  <si>
    <t>Electrona carlsbergi</t>
  </si>
  <si>
    <t>Trematomus eulepidotus</t>
  </si>
  <si>
    <t>UN_Country_Code</t>
  </si>
  <si>
    <t>Afghanistan</t>
  </si>
  <si>
    <t>Albania</t>
  </si>
  <si>
    <t>Algeria</t>
  </si>
  <si>
    <t>American Samoa</t>
  </si>
  <si>
    <t>Andorra</t>
  </si>
  <si>
    <t>Angola</t>
  </si>
  <si>
    <t>Antigua and Barbuda</t>
  </si>
  <si>
    <t>Anguilla</t>
  </si>
  <si>
    <t>Argentina</t>
  </si>
  <si>
    <t>Armenia</t>
  </si>
  <si>
    <t>Aruba</t>
  </si>
  <si>
    <t>Australia</t>
  </si>
  <si>
    <t>Austria</t>
  </si>
  <si>
    <t>Azerbaijan</t>
  </si>
  <si>
    <t>Bahamas</t>
  </si>
  <si>
    <t>Bahrain</t>
  </si>
  <si>
    <t>Bangladesh</t>
  </si>
  <si>
    <t>Barbados</t>
  </si>
  <si>
    <t>Belarus</t>
  </si>
  <si>
    <t>Belgium-Luxembourg</t>
  </si>
  <si>
    <t>Belize</t>
  </si>
  <si>
    <t>Benin</t>
  </si>
  <si>
    <t>Bermuda</t>
  </si>
  <si>
    <t>Bhutan</t>
  </si>
  <si>
    <t>Bolivia</t>
  </si>
  <si>
    <t>Bosnia and Herzegovina</t>
  </si>
  <si>
    <t>Botswana</t>
  </si>
  <si>
    <t>Brazil</t>
  </si>
  <si>
    <t>British Indian Ocean Ter</t>
  </si>
  <si>
    <t>British Virgin Islands</t>
  </si>
  <si>
    <t>Brunei Darussalam</t>
  </si>
  <si>
    <t>Bulgaria</t>
  </si>
  <si>
    <t>Burkina Faso</t>
  </si>
  <si>
    <t>Burundi</t>
  </si>
  <si>
    <t>Cambodia</t>
  </si>
  <si>
    <t>Cameroon</t>
  </si>
  <si>
    <t>Canada</t>
  </si>
  <si>
    <t>Cayman Islands</t>
  </si>
  <si>
    <t>Central African Republic</t>
  </si>
  <si>
    <t>Chad</t>
  </si>
  <si>
    <t>Channel Islands</t>
  </si>
  <si>
    <t>Chile</t>
  </si>
  <si>
    <t>China</t>
  </si>
  <si>
    <t>Christmas Island</t>
  </si>
  <si>
    <t>Cocos (Keeling) Islands</t>
  </si>
  <si>
    <t>Colombia</t>
  </si>
  <si>
    <t>Comoros</t>
  </si>
  <si>
    <t>Congo</t>
  </si>
  <si>
    <t>Congo, Democratic Republic of</t>
  </si>
  <si>
    <t>Cook Islands</t>
  </si>
  <si>
    <t>Costa Rica</t>
  </si>
  <si>
    <t>Côte d'Ivoire</t>
  </si>
  <si>
    <t>Croatia</t>
  </si>
  <si>
    <t>Cuba</t>
  </si>
  <si>
    <t>Cyprus</t>
  </si>
  <si>
    <t>Czech Republic</t>
  </si>
  <si>
    <t>Czechoslovakia</t>
  </si>
  <si>
    <t>Denmark</t>
  </si>
  <si>
    <t>Djibouti</t>
  </si>
  <si>
    <t>Dominica</t>
  </si>
  <si>
    <t>Dominican Republic</t>
  </si>
  <si>
    <t>Ecuador</t>
  </si>
  <si>
    <t>Egypt</t>
  </si>
  <si>
    <t>El Salvador</t>
  </si>
  <si>
    <t>Equatorial Guinea</t>
  </si>
  <si>
    <t>Eritrea</t>
  </si>
  <si>
    <t>Estonia</t>
  </si>
  <si>
    <t>Ethiopia</t>
  </si>
  <si>
    <t>Ethiopia PDR</t>
  </si>
  <si>
    <t>Falkland Islands</t>
  </si>
  <si>
    <t>Faroe Islands</t>
  </si>
  <si>
    <t>Fiji</t>
  </si>
  <si>
    <t>Finland</t>
  </si>
  <si>
    <t>France</t>
  </si>
  <si>
    <t>French Guiana</t>
  </si>
  <si>
    <t>French Polynesia</t>
  </si>
  <si>
    <t>Gabon</t>
  </si>
  <si>
    <t>Gambia</t>
  </si>
  <si>
    <t>Georgia</t>
  </si>
  <si>
    <t>Germany</t>
  </si>
  <si>
    <t>Ghana</t>
  </si>
  <si>
    <t>Gibraltar</t>
  </si>
  <si>
    <t>Greece</t>
  </si>
  <si>
    <t>Greenland</t>
  </si>
  <si>
    <t>Grenada</t>
  </si>
  <si>
    <t>Guadeloupe</t>
  </si>
  <si>
    <t>Guam</t>
  </si>
  <si>
    <t>Guatemala</t>
  </si>
  <si>
    <t>Guinea</t>
  </si>
  <si>
    <t>Guinea-Bissau</t>
  </si>
  <si>
    <t>Guyana</t>
  </si>
  <si>
    <t>Haiti</t>
  </si>
  <si>
    <t>Holy See</t>
  </si>
  <si>
    <t>Honduras</t>
  </si>
  <si>
    <t>Hungary</t>
  </si>
  <si>
    <t>Iceland</t>
  </si>
  <si>
    <t>India</t>
  </si>
  <si>
    <t>Indonesia</t>
  </si>
  <si>
    <t>Iran, Islamic Republic of</t>
  </si>
  <si>
    <t>Iraq</t>
  </si>
  <si>
    <t>Ireland</t>
  </si>
  <si>
    <t>Isle of Man</t>
  </si>
  <si>
    <t>Israel</t>
  </si>
  <si>
    <t>Italy</t>
  </si>
  <si>
    <t>Jamaica</t>
  </si>
  <si>
    <t>Japan</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</si>
  <si>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</si>
  <si>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</si>
  <si>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</si>
  <si>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</si>
  <si>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</si>
  <si>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</si>
  <si>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</si>
  <si>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</si>
  <si>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</si>
  <si>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</si>
  <si>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</si>
  <si>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</si>
  <si>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</si>
  <si>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Libyan Arab Jamahiriya</t>
  </si>
  <si>
    <t>Liechtenstein</t>
  </si>
  <si>
    <t>Lithuania</t>
  </si>
  <si>
    <t>Luxembourg</t>
  </si>
  <si>
    <t>Macedonia TFYR</t>
  </si>
  <si>
    <t>Madagascar</t>
  </si>
  <si>
    <t>Malawi</t>
  </si>
  <si>
    <t>Malaysia</t>
  </si>
  <si>
    <t>Maldives</t>
  </si>
  <si>
    <t>Mali</t>
  </si>
  <si>
    <t>Malta</t>
  </si>
  <si>
    <t>Marshall Islands</t>
  </si>
  <si>
    <t>Martinique</t>
  </si>
  <si>
    <t>Mauritania</t>
  </si>
  <si>
    <t>Mauritius</t>
  </si>
  <si>
    <t>Mayotte</t>
  </si>
  <si>
    <t>Mexico</t>
  </si>
  <si>
    <t>Micronesia, Federated States of</t>
  </si>
  <si>
    <t>Moldova</t>
  </si>
  <si>
    <t>Mongolia</t>
  </si>
  <si>
    <t>Montenegro</t>
  </si>
  <si>
    <t>Montserrat</t>
  </si>
  <si>
    <t>Morocco</t>
  </si>
  <si>
    <t>Mozambique</t>
  </si>
  <si>
    <t>Myanmar</t>
  </si>
  <si>
    <t>Namibia</t>
  </si>
  <si>
    <t>Nauru</t>
  </si>
  <si>
    <t>Nepal</t>
  </si>
  <si>
    <t>Netherlands</t>
  </si>
  <si>
    <t>Netherlands Antilles</t>
  </si>
  <si>
    <t>New Caledonia</t>
  </si>
  <si>
    <t>New Zealand</t>
  </si>
  <si>
    <t>Nicaragua</t>
  </si>
  <si>
    <t>Niger</t>
  </si>
  <si>
    <t>Nigeria</t>
  </si>
  <si>
    <t>Niue</t>
  </si>
  <si>
    <t>Norfolk Island</t>
  </si>
  <si>
    <t>Northern Mariana Islands</t>
  </si>
  <si>
    <t>Norway</t>
  </si>
  <si>
    <t>Occupied Palestinian Territory</t>
  </si>
  <si>
    <t>Oman</t>
  </si>
  <si>
    <t>Pacific Islands Trust</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</si>
  <si>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</si>
  <si>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</si>
  <si>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</si>
  <si>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</si>
  <si>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</si>
  <si>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</si>
  <si>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</si>
  <si>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</si>
  <si>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</si>
  <si>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</si>
  <si>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</si>
  <si>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</si>
  <si>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</si>
  <si>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</si>
  <si>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</si>
  <si>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</si>
  <si>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Helena</t>
  </si>
  <si>
    <t>Saint Kitts and Nevis</t>
  </si>
  <si>
    <t>Saint Lucia</t>
  </si>
  <si>
    <t>Saint Pierre and Miquelon</t>
  </si>
  <si>
    <t>Saint Vincent and Grenadines</t>
  </si>
  <si>
    <t>Samoa</t>
  </si>
  <si>
    <t>San Marino</t>
  </si>
  <si>
    <t>Sao Tome and Principe</t>
  </si>
  <si>
    <t>Saudi Arabia</t>
  </si>
  <si>
    <t>Senegal</t>
  </si>
  <si>
    <t>Serbia</t>
  </si>
  <si>
    <t>Serbia and Montenegro</t>
  </si>
  <si>
    <t>Seychelles</t>
  </si>
  <si>
    <t>Sierra Leone</t>
  </si>
  <si>
    <t>Singapore</t>
  </si>
  <si>
    <t>Slovakia</t>
  </si>
  <si>
    <t>Slovenia</t>
  </si>
  <si>
    <t>Solomon Islands</t>
  </si>
  <si>
    <t>Somalia</t>
  </si>
  <si>
    <t>South Africa</t>
  </si>
  <si>
    <t>Spain</t>
  </si>
  <si>
    <t>Sri Lanka</t>
  </si>
  <si>
    <t>Sudan</t>
  </si>
  <si>
    <t>Suriname</t>
  </si>
  <si>
    <t>Sweden</t>
  </si>
  <si>
    <t>Switzerland</t>
  </si>
  <si>
    <t>Syrian Arab Republic</t>
  </si>
  <si>
    <t>Taiwan</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</si>
  <si>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</si>
  <si>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</si>
  <si>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</si>
  <si>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</si>
  <si>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</si>
  <si>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</si>
  <si>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</si>
  <si>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</si>
  <si>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</si>
  <si>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</si>
  <si>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</si>
  <si>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</si>
  <si>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</si>
  <si>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</si>
  <si>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</si>
  <si>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</si>
  <si>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</si>
  <si>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 of America</t>
  </si>
  <si>
    <t>Uruguay</t>
  </si>
  <si>
    <t>USSR</t>
  </si>
  <si>
    <t>Uzbekistan</t>
  </si>
  <si>
    <t>Vanuatu</t>
  </si>
  <si>
    <t>Venezuela, Bolivarian Republic of</t>
  </si>
  <si>
    <t>Viet Nam</t>
  </si>
  <si>
    <t>Wake Island</t>
  </si>
  <si>
    <t>Wallis and Futuna Islands</t>
  </si>
  <si>
    <t>Western Sahara</t>
  </si>
  <si>
    <t>Yemen</t>
  </si>
  <si>
    <t>Yugoslav SFR</t>
  </si>
  <si>
    <t>Zambia</t>
  </si>
  <si>
    <t>Zimbabwe</t>
  </si>
  <si>
    <t>Items in orange cells at bottom added specifically for livestock feed calculations</t>
  </si>
  <si>
    <t>P/S</t>
  </si>
  <si>
    <t>TCF</t>
  </si>
  <si>
    <t>EXTR</t>
  </si>
  <si>
    <t>p</t>
  </si>
  <si>
    <t>s</t>
  </si>
  <si>
    <t>Item</t>
  </si>
  <si>
    <t>Canary Seed</t>
  </si>
  <si>
    <t>Mixed Grain</t>
  </si>
  <si>
    <t>Cereals nes</t>
  </si>
  <si>
    <t>Yautia (Cocoyam)</t>
  </si>
  <si>
    <t>Taro (Coco Yam)</t>
  </si>
  <si>
    <t>Sugar Beets</t>
  </si>
  <si>
    <t>Sugar Crops nes</t>
  </si>
  <si>
    <t>Beans, Dry</t>
  </si>
  <si>
    <t>Broad Beans, Dry</t>
  </si>
  <si>
    <t>Peas, Dry</t>
  </si>
  <si>
    <t>Chick-Peas</t>
  </si>
  <si>
    <t>Cow Peas, Dry</t>
  </si>
  <si>
    <t>Pigeon Peas</t>
  </si>
  <si>
    <t>Bambara Beans</t>
  </si>
  <si>
    <t>Brazil Nuts</t>
  </si>
  <si>
    <t>Cashew Nuts</t>
  </si>
  <si>
    <t>Almonds</t>
  </si>
  <si>
    <t>Walnuts</t>
  </si>
  <si>
    <t>Hazelnuts (Filberts)</t>
  </si>
  <si>
    <t>Areca Nuts (Betel)</t>
  </si>
  <si>
    <t>Nuts nes</t>
  </si>
  <si>
    <t>Groundnuts in Shell</t>
  </si>
  <si>
    <t>Oil Palm Fruit</t>
  </si>
  <si>
    <t>Castor Beans</t>
  </si>
  <si>
    <t>Jojoba Seeds</t>
  </si>
  <si>
    <t>Safflower Seed</t>
  </si>
  <si>
    <t>Sesame Seed</t>
  </si>
  <si>
    <t>Mustard Seed</t>
  </si>
  <si>
    <t>Poppy Seed</t>
  </si>
  <si>
    <t>Tallowtree Seeds</t>
  </si>
  <si>
    <t>Kapok Fruit</t>
  </si>
  <si>
    <t>Oilseeds nes</t>
  </si>
  <si>
    <t>Cabbages</t>
  </si>
  <si>
    <t>Lettuce</t>
  </si>
  <si>
    <t>Cauliflower</t>
  </si>
  <si>
    <t>Pumpkins, Squash, Gourds</t>
  </si>
  <si>
    <t>Cucumbers and Gherkins</t>
  </si>
  <si>
    <t>Eggplants</t>
  </si>
  <si>
    <t>Chillies&amp;Peppers, Green</t>
  </si>
  <si>
    <t>Onions+Shallots, Green</t>
  </si>
  <si>
    <t>Onions, Dry</t>
  </si>
  <si>
    <t>Leeks and Oth.Alliac.Veg</t>
  </si>
  <si>
    <t>Beans, Green</t>
  </si>
  <si>
    <t>Peas, Green</t>
  </si>
  <si>
    <t>Broad Beans, Green</t>
  </si>
  <si>
    <t>String Beans</t>
  </si>
  <si>
    <t>Carrots</t>
  </si>
  <si>
    <t>Green Corn (Maize)</t>
  </si>
  <si>
    <t>Mushrooms</t>
  </si>
  <si>
    <t>Chicory Roots</t>
  </si>
  <si>
    <t>Vegetables Fresh nes</t>
  </si>
  <si>
    <t>Tang.Mand.Clement.Satsma</t>
  </si>
  <si>
    <t>Lemons and Limes</t>
  </si>
  <si>
    <t>Grapefruit and Pomelos</t>
  </si>
  <si>
    <t>Citrus Fruit nes</t>
  </si>
  <si>
    <t>Sour Cherries</t>
  </si>
  <si>
    <t>Peaches and Nectarines</t>
  </si>
  <si>
    <t>Plums</t>
  </si>
  <si>
    <t>Stone Fruit nes, Fresh</t>
  </si>
  <si>
    <t>Berries nes</t>
  </si>
  <si>
    <t>Cantaloupes&amp;oth Melons</t>
  </si>
  <si>
    <t>Mangoes</t>
  </si>
  <si>
    <t>Kiwi Fruit</t>
  </si>
  <si>
    <t>Fruit Tropical Fresh nes</t>
  </si>
  <si>
    <t>Fruit Fresh nes</t>
  </si>
  <si>
    <t>Maize for Forage+Silage</t>
  </si>
  <si>
    <t>Sorghum for Forage+Silag</t>
  </si>
  <si>
    <t>Rye Grass,Forage+Silage</t>
  </si>
  <si>
    <t>Grasses nes,Forage+Silag</t>
  </si>
  <si>
    <t>Clover for Forage+Silage</t>
  </si>
  <si>
    <t>Alfalfa for Forage+Silag</t>
  </si>
  <si>
    <t>Green Oilseeds fr Fodder</t>
  </si>
  <si>
    <t>Leguminous nes,For+Sil</t>
  </si>
  <si>
    <t>Cabbage for Fodder</t>
  </si>
  <si>
    <t>Mixed Grasses&amp;Legumes</t>
  </si>
  <si>
    <t>Carrots for Fodder</t>
  </si>
  <si>
    <t>Forage Products nes</t>
  </si>
  <si>
    <t>Vegetables+Roots,Fodder</t>
  </si>
  <si>
    <t>Coffee, Green</t>
  </si>
  <si>
    <t>Tea nes</t>
  </si>
  <si>
    <t>Pepper,White/Long/Black</t>
  </si>
  <si>
    <t>Pimento, Allspice</t>
  </si>
  <si>
    <t>Cinnamon (Canella)</t>
  </si>
  <si>
    <t>Cloves, Whole+Stems</t>
  </si>
  <si>
    <t>Nutmeg, Mace, Cardamons</t>
  </si>
  <si>
    <t>Anise, Badian, Fennel</t>
  </si>
  <si>
    <t>Spices nes</t>
  </si>
  <si>
    <t>Pyrethrum, Dried Flowers</t>
  </si>
  <si>
    <t>Flax Fibre and Tow</t>
  </si>
  <si>
    <t>Hemp Fibre and Tow</t>
  </si>
  <si>
    <t>Jute-Like Fibres</t>
  </si>
  <si>
    <t>Agave Fibres nes</t>
  </si>
  <si>
    <t>Abaca (Manila Hemp)</t>
  </si>
  <si>
    <t>Fibre Crops nes</t>
  </si>
  <si>
    <t>Tobacco Leaves</t>
  </si>
  <si>
    <t>Natural Rubber</t>
  </si>
  <si>
    <t>Natural Gums</t>
  </si>
  <si>
    <r>
      <t>m</t>
    </r>
    <r>
      <rPr>
        <vertAlign val="superscript"/>
        <sz val="10"/>
        <rFont val="Arial"/>
        <family val="2"/>
      </rPr>
      <t>3</t>
    </r>
    <r>
      <rPr>
        <sz val="10"/>
        <rFont val="Arial"/>
        <family val="2"/>
      </rPr>
      <t/>
    </r>
  </si>
  <si>
    <t>Recovered Fibre Pulp</t>
  </si>
  <si>
    <t>Uncoated Mechanical</t>
  </si>
  <si>
    <t>Uncoated Woodfree</t>
  </si>
  <si>
    <t>Coated Papers</t>
  </si>
  <si>
    <t>Case Materials</t>
  </si>
  <si>
    <t>Folding Boxboard</t>
  </si>
  <si>
    <t>Chips and Particles</t>
  </si>
  <si>
    <t>Wood Residues</t>
  </si>
  <si>
    <t>Wrapping Papers</t>
  </si>
  <si>
    <t>Other Papers Packaging</t>
  </si>
  <si>
    <t>Unbleached Sulphite Pulp</t>
  </si>
  <si>
    <t>Bleached Sulphite Pulp</t>
  </si>
  <si>
    <t>Unbleached Sulphate Pulp</t>
  </si>
  <si>
    <t>Bleached Sulphate Pulp</t>
  </si>
  <si>
    <t>Other Fibre Pulp</t>
  </si>
  <si>
    <t>Recovered Paper</t>
  </si>
  <si>
    <t>Household+Sanitary Paper</t>
  </si>
  <si>
    <t>Wrapg+Packg Paper+Board</t>
  </si>
  <si>
    <t>Paper+Paperboard NES</t>
  </si>
  <si>
    <t>Livestock Feed Demands</t>
  </si>
  <si>
    <t>Haberl et al, PNAS, Table 9</t>
  </si>
  <si>
    <t>S. and C. Asia</t>
  </si>
  <si>
    <t>E. Europe</t>
  </si>
  <si>
    <t>N. Africa and W. Asia</t>
  </si>
  <si>
    <t>N. America and Oceania</t>
  </si>
  <si>
    <t>W. Europe</t>
  </si>
  <si>
    <t>Sub-Saharan Africa</t>
  </si>
  <si>
    <t>Latin America and the Caribbean</t>
  </si>
  <si>
    <t>E. Asia</t>
  </si>
  <si>
    <t>SCA</t>
  </si>
  <si>
    <t>EE</t>
  </si>
  <si>
    <t>NAWA</t>
  </si>
  <si>
    <t>NAO</t>
  </si>
  <si>
    <t>WE</t>
  </si>
  <si>
    <t>SSA</t>
  </si>
  <si>
    <t>LAC</t>
  </si>
  <si>
    <t>EA</t>
  </si>
  <si>
    <t>WORLD</t>
  </si>
  <si>
    <t>Species-specific daily feed intake (kg DM/head/day)</t>
  </si>
  <si>
    <t>Rabbits</t>
  </si>
  <si>
    <t>Other rodents</t>
  </si>
  <si>
    <t>Other camelids</t>
  </si>
  <si>
    <t xml:space="preserve">Other live animals </t>
  </si>
  <si>
    <t>Crop Residue Feed Conversion Ratio  2008 4 7 YW</t>
  </si>
  <si>
    <t>http://www.pnas.org/cgi/content/full/0704243104/DC1</t>
  </si>
  <si>
    <t>Crops</t>
  </si>
  <si>
    <t>Latin America</t>
  </si>
  <si>
    <t>N. Africa W. Asia</t>
  </si>
  <si>
    <t>N. America Oceania</t>
  </si>
  <si>
    <t>Sub-Sahara N. Africa</t>
  </si>
  <si>
    <t>a) Harvest factors. Crop residue (g DM/yr) = primary crop harvest (g DM/yr) * harvest factor</t>
  </si>
  <si>
    <t>Castor beans</t>
  </si>
  <si>
    <t>Fodder crops</t>
  </si>
  <si>
    <t>Permanent crops</t>
  </si>
  <si>
    <t>Cereals</t>
  </si>
  <si>
    <t>Sugar crops nes</t>
  </si>
  <si>
    <t>Other pulses</t>
  </si>
  <si>
    <t>Other oil crops</t>
  </si>
  <si>
    <t>Rape seed</t>
  </si>
  <si>
    <t>c) Share of Recovered Crop Residues used as Feed</t>
  </si>
  <si>
    <t>d) Calculation Results: Crop Residue Feed Conversion Ratio</t>
  </si>
  <si>
    <t>Feed Region</t>
  </si>
  <si>
    <t>Monaco</t>
  </si>
  <si>
    <t>Pacific Islands</t>
  </si>
  <si>
    <t>US Virgin Islands</t>
  </si>
  <si>
    <t>Average NPP of grazing land</t>
  </si>
  <si>
    <t>Data from Zaks, D. et al 2007. From Miami to Madison: Investigating the relationship between climate and terrestrial net primary production. Global Biogeochem Cycles, 21.</t>
  </si>
  <si>
    <t>Name (GFN)</t>
  </si>
  <si>
    <t>Country Name</t>
  </si>
  <si>
    <t>Pasture NPP</t>
  </si>
  <si>
    <t>Pasture Area</t>
  </si>
  <si>
    <t>[t dm ha-1 yr-1]</t>
  </si>
  <si>
    <t>[1000 ha]</t>
  </si>
  <si>
    <t>Byelarus</t>
  </si>
  <si>
    <t>Brunei</t>
  </si>
  <si>
    <t>Myanmar (Burma)</t>
  </si>
  <si>
    <t>United States</t>
  </si>
  <si>
    <t>EEZArea all land</t>
  </si>
  <si>
    <t>Disputed Zone 2</t>
  </si>
  <si>
    <t>Disputed Zone 3</t>
  </si>
  <si>
    <t>Disputed Zone 4</t>
  </si>
  <si>
    <t>Disputed Zone 5</t>
  </si>
  <si>
    <t>Disputed Zone 6</t>
  </si>
  <si>
    <t>Germany (Baltic Sea)</t>
  </si>
  <si>
    <t>Germany (North Sea)</t>
  </si>
  <si>
    <t>High Seas</t>
  </si>
  <si>
    <t>Aquaculture Grouping</t>
  </si>
  <si>
    <t>Fish Meal Intensity</t>
  </si>
  <si>
    <t>Fish Oil Intensity</t>
  </si>
  <si>
    <t>Remaining Feed Intensity</t>
  </si>
  <si>
    <t>Marine Shrimp</t>
  </si>
  <si>
    <t>Eel</t>
  </si>
  <si>
    <t>Caulerpa seaweeds</t>
  </si>
  <si>
    <t>Freshwater Crustaceans</t>
  </si>
  <si>
    <t>Eucheuma seaweeds nei</t>
  </si>
  <si>
    <t>Fusiform sargassum</t>
  </si>
  <si>
    <t>Harpoon seaweeds</t>
  </si>
  <si>
    <t>Spirulina maxima</t>
  </si>
  <si>
    <t>Spirulina platensis</t>
  </si>
  <si>
    <t>Unicell. Chlorella green alga</t>
  </si>
  <si>
    <t>Wakame nei</t>
  </si>
  <si>
    <t>Zanzibar weed</t>
  </si>
  <si>
    <t>TCF: FAO Technical Conversion Factors documentation. Downloaded from http://www.fao.org/es/ess/tcf.asp June 2011</t>
  </si>
  <si>
    <t>Level</t>
  </si>
  <si>
    <t>Pigskins fresh</t>
  </si>
  <si>
    <t>Honey, natural</t>
  </si>
  <si>
    <t>Karite nuts (sheanuts)</t>
  </si>
  <si>
    <t>Pig Meat</t>
  </si>
  <si>
    <t>Parent code</t>
  </si>
  <si>
    <t>Price</t>
  </si>
  <si>
    <t>a</t>
  </si>
  <si>
    <t>b</t>
  </si>
  <si>
    <t>c</t>
  </si>
  <si>
    <t>d</t>
  </si>
  <si>
    <t>e</t>
  </si>
  <si>
    <t>f</t>
  </si>
  <si>
    <t>g</t>
  </si>
  <si>
    <t>h</t>
  </si>
  <si>
    <t>i</t>
  </si>
  <si>
    <t>Top Parent</t>
  </si>
  <si>
    <t>Animals live Nes</t>
  </si>
  <si>
    <t>Geese and Guinea Fowls</t>
  </si>
  <si>
    <t>Offals other camlids</t>
  </si>
  <si>
    <t>Pigeons, Other birds</t>
  </si>
  <si>
    <t>Rabbits and Hares</t>
  </si>
  <si>
    <t>Y</t>
  </si>
  <si>
    <r>
      <t xml:space="preserve">b) Recovery rates: used crop residues (g DM) = available residues (g DM) </t>
    </r>
    <r>
      <rPr>
        <sz val="10"/>
        <rFont val="Symbol"/>
        <family val="1"/>
        <charset val="2"/>
      </rPr>
      <t>´</t>
    </r>
    <r>
      <rPr>
        <sz val="10"/>
        <rFont val="Arial"/>
        <family val="2"/>
      </rPr>
      <t xml:space="preserve"> recovery rate</t>
    </r>
  </si>
  <si>
    <t>N</t>
  </si>
  <si>
    <t>Inter-temporal yield factor</t>
  </si>
  <si>
    <t>IYF</t>
  </si>
  <si>
    <r>
      <t>[Mt CO</t>
    </r>
    <r>
      <rPr>
        <vertAlign val="subscript"/>
        <sz val="10"/>
        <color indexed="23"/>
        <rFont val="Arial"/>
        <family val="2"/>
      </rPr>
      <t>2</t>
    </r>
    <r>
      <rPr>
        <sz val="10"/>
        <color indexed="23"/>
        <rFont val="Arial"/>
        <family val="2"/>
      </rPr>
      <t xml:space="preserve"> (GWh)</t>
    </r>
    <r>
      <rPr>
        <vertAlign val="superscript"/>
        <sz val="10"/>
        <color indexed="23"/>
        <rFont val="Arial"/>
        <family val="2"/>
      </rPr>
      <t>-1</t>
    </r>
    <r>
      <rPr>
        <sz val="10"/>
        <color indexed="23"/>
        <rFont val="Arial"/>
        <family val="2"/>
      </rPr>
      <t>]</t>
    </r>
  </si>
  <si>
    <r>
      <t>(BC - EF</t>
    </r>
    <r>
      <rPr>
        <vertAlign val="subscript"/>
        <sz val="10"/>
        <rFont val="Arial"/>
        <family val="2"/>
      </rPr>
      <t>P</t>
    </r>
    <r>
      <rPr>
        <sz val="10"/>
        <rFont val="Arial"/>
        <family val="2"/>
      </rPr>
      <t>)</t>
    </r>
  </si>
  <si>
    <r>
      <t>(BC - EF</t>
    </r>
    <r>
      <rPr>
        <vertAlign val="subscript"/>
        <sz val="10"/>
        <rFont val="Arial"/>
        <family val="2"/>
      </rPr>
      <t>C</t>
    </r>
    <r>
      <rPr>
        <sz val="10"/>
        <rFont val="Arial"/>
        <family val="2"/>
      </rPr>
      <t>)</t>
    </r>
  </si>
  <si>
    <t>year</t>
  </si>
  <si>
    <t>Agar - agar</t>
  </si>
  <si>
    <t>Albacore or longfinned tuna (Thunnus alalunga), fresh or chilled</t>
  </si>
  <si>
    <t>Albacore or longfinned tunas (Thunnus alalunga), frozen</t>
  </si>
  <si>
    <t>Anchovies, prepared or preserved</t>
  </si>
  <si>
    <t>Atlantic and Danube salmon, frozen</t>
  </si>
  <si>
    <t>Bigeye tuna, frozen</t>
  </si>
  <si>
    <t>Bluefin tuna (Thunnus thynnus), fresh or chilled</t>
  </si>
  <si>
    <t>Bluefin tuna (Thunnus thynnus), frozen</t>
  </si>
  <si>
    <t>Bluefin tunas (Thunnus thynnus), live</t>
  </si>
  <si>
    <t>Carp, live</t>
  </si>
  <si>
    <t>Coalfish (=Saithe), fresh or chilled</t>
  </si>
  <si>
    <t>Coalfish (=Saithe), frozen</t>
  </si>
  <si>
    <t>Cod (Gadus spp.), dried, whether or not salted but not smoked</t>
  </si>
  <si>
    <t>Cod (Gadus spp.), fresh or chilled</t>
  </si>
  <si>
    <t>Cod (Gadus spp.), frozen</t>
  </si>
  <si>
    <t>Cod (Gadus spp.), salted or in brine</t>
  </si>
  <si>
    <t>Coral and similar material, unworked or simply prepared</t>
  </si>
  <si>
    <t>Crab, prepared or preserved</t>
  </si>
  <si>
    <t>Crabs, whether in shell or not, frozen</t>
  </si>
  <si>
    <t>Crabs, whether in shell or not, not frozen</t>
  </si>
  <si>
    <t>Cuttlefish and squid, live, fresh or chilled</t>
  </si>
  <si>
    <t>Cuttlefish and squid, other than live, fresh or chilled</t>
  </si>
  <si>
    <t>Dogfish and other sharks, fresh or chilled</t>
  </si>
  <si>
    <t>Dogfish and other sharks, frozen</t>
  </si>
  <si>
    <t>Eels (Anguilla spp.), fresh or chilled</t>
  </si>
  <si>
    <t>Eels (Anguilla spp.), frozen</t>
  </si>
  <si>
    <t>Eels (Anguilla spp.), live</t>
  </si>
  <si>
    <t>Fish fillets, dried, salted or in brine, not smoked</t>
  </si>
  <si>
    <t>Fish livers and roes, dried, smoked, salted or in brine</t>
  </si>
  <si>
    <t>Fish livers and roes, frozen</t>
  </si>
  <si>
    <t>Fish oils, other than liver oils</t>
  </si>
  <si>
    <t>Fish waste</t>
  </si>
  <si>
    <t>Fish-liver oils</t>
  </si>
  <si>
    <t>Fresh or chilled fillets and other fish meat, whether or not minced, nei</t>
  </si>
  <si>
    <t>Fresh or chilled southern bluefin tuna (Thunnus maccoyii)</t>
  </si>
  <si>
    <t>Frozen fish meat, nei</t>
  </si>
  <si>
    <t>Frozen southern bluefin tuna (Thunnus maccoyii)</t>
  </si>
  <si>
    <t>Greenland, Atlantic and Pacific halibut, fresh or chilled</t>
  </si>
  <si>
    <t>Greenland, Atlantic and Pacific halibut, frozen</t>
  </si>
  <si>
    <t>Hake, frozen</t>
  </si>
  <si>
    <t>Herrings (Clupea spp.), fresh or chilled</t>
  </si>
  <si>
    <t>Herrings (Clupea spp.), frozen</t>
  </si>
  <si>
    <t>Herrings, including fillets, smoked</t>
  </si>
  <si>
    <t>Herrings, prepared or preserved</t>
  </si>
  <si>
    <t>Herrings, salted or in brine</t>
  </si>
  <si>
    <t>Livers and roes, fresh or chilled</t>
  </si>
  <si>
    <t>Lobster, prepared or preserved</t>
  </si>
  <si>
    <t>Lobsters (Homarus spp.), whether in shell or not, frozen</t>
  </si>
  <si>
    <t>Mackerel (Scomber spp.), fresh or chilled</t>
  </si>
  <si>
    <t>Mackerel (Scomber spp.), frozen</t>
  </si>
  <si>
    <t>Mackerel, prepared or preserved</t>
  </si>
  <si>
    <t>Meals of fish or crustaceans, molluscs or other aquatic invertebrates, unfit for human consumption</t>
  </si>
  <si>
    <t>Molluscs and aquatic invertebrates, prepared or preserved</t>
  </si>
  <si>
    <t>Mussels, live, fresh or chilled</t>
  </si>
  <si>
    <t>Mussels, other than live, fresh or chilled</t>
  </si>
  <si>
    <t>Others</t>
  </si>
  <si>
    <t>Oils of marine mammals</t>
  </si>
  <si>
    <t>Ornamental fish, live</t>
  </si>
  <si>
    <t>Other crustaceans, prepared or preserved</t>
  </si>
  <si>
    <t>Other crustaceans, whether in shell or not, frozen</t>
  </si>
  <si>
    <t>Other crustaceans, whether in shell or not, not frozen</t>
  </si>
  <si>
    <t>Other fish, dried, whether or not salted but not smoked</t>
  </si>
  <si>
    <t>Other fish, including fillets, smoked</t>
  </si>
  <si>
    <t>Other fish, live</t>
  </si>
  <si>
    <t>Other fish, prepared or preserved</t>
  </si>
  <si>
    <t>Other fish, salted or in brine</t>
  </si>
  <si>
    <t>Other flatfish, fresh or chilled</t>
  </si>
  <si>
    <t>Other flatfish, frozen</t>
  </si>
  <si>
    <t>Other freshwater and saltwater fish, fresh or chilled</t>
  </si>
  <si>
    <t>Other freshwater and saltwater fish, frozen</t>
  </si>
  <si>
    <t>Other molluscs, including sea urchins, sea cucumbers and other aq. invertebrates, live, fresh or chilled</t>
  </si>
  <si>
    <t>Other Pacific salmon, frozen</t>
  </si>
  <si>
    <t>Other salmonidae, fresh or chilled</t>
  </si>
  <si>
    <t>Other salmonidae, frozen</t>
  </si>
  <si>
    <t>Other tunas, fresh or chilled</t>
  </si>
  <si>
    <t>Other tunas, frozen</t>
  </si>
  <si>
    <t>Oysters, live, fresh, chilled, frozen, dried, salted or in brine</t>
  </si>
  <si>
    <t>Plaice (Pleuronectes platessa), fresh or chilled</t>
  </si>
  <si>
    <t>Plaice (Pleuronectes platessa), frozen</t>
  </si>
  <si>
    <t>Rock lobster and other sea crawfish (Palinurus spp., Panulirus spp., Jasus spp.), whether in shell or not, frozen</t>
  </si>
  <si>
    <t>Salmon, prepared or preserved</t>
  </si>
  <si>
    <t>Salmons, including fillets, smoked</t>
  </si>
  <si>
    <t>Sardines, sardinella and brisling or sprats, prepared or preserved</t>
  </si>
  <si>
    <t>Sardines, sardinellas, brislings or sprats, frozen</t>
  </si>
  <si>
    <t>Sauces and preparations therefor; mixed condiments and mixed seasonings, nei</t>
  </si>
  <si>
    <t>Scallops, including queen scallop, live, fresh or chilled</t>
  </si>
  <si>
    <t>Scallops, including queen scallops, other than live, fresh or chilled</t>
  </si>
  <si>
    <t>Sea bass, frozen</t>
  </si>
  <si>
    <t>Seaweeds and other algae</t>
  </si>
  <si>
    <t>Shrimps and prawns, prepared or preserved</t>
  </si>
  <si>
    <t>Shrimps and prawns, whether in shell or not, frozen</t>
  </si>
  <si>
    <t>Skipjack or stripe-bellied bonito, fresh or chilled</t>
  </si>
  <si>
    <t>Skipjack or stripe-bellied bonito, frozen</t>
  </si>
  <si>
    <t>Sockeye salmon(red salmon)(Oncorhynchus nerka) frozen</t>
  </si>
  <si>
    <t>Sole (Solea spp.), fresh or chilled</t>
  </si>
  <si>
    <t>Sole (Solea spp.), frozen</t>
  </si>
  <si>
    <t>Southern bluefin tunas (Thunnus maccoyii), live</t>
  </si>
  <si>
    <t>Swordfish (Xiphias gladius) fillets, frozen</t>
  </si>
  <si>
    <t>Swordfish (Xiphias gladius) fillets, meat, fresh or chilled</t>
  </si>
  <si>
    <t>Swordfish (Xiphias gladius) meat, frozen</t>
  </si>
  <si>
    <t>Swordfish (Xiphias gladius), fresh or chilled</t>
  </si>
  <si>
    <t>Swordfish (Xiphias gladius), frozen</t>
  </si>
  <si>
    <t>Toothfish (Dissostichus spp.) fillets, frozen</t>
  </si>
  <si>
    <t>Toothfish (Dissostichus spp.) fillets, meat, fresh or chilled</t>
  </si>
  <si>
    <t>Toothfish (Dissostichus spp.) meat, frozen</t>
  </si>
  <si>
    <t>Trout (Salmo spp.), fresh or chilled</t>
  </si>
  <si>
    <t>Trout (Salmo spp.), live</t>
  </si>
  <si>
    <t>Trout, frozen</t>
  </si>
  <si>
    <t>Tunas, skipjack and Atlantic bonito, prepared or preserved</t>
  </si>
  <si>
    <t>Yellowfin tunas (Thunnus albacares), fresh or chilled</t>
  </si>
  <si>
    <t>Yellowfin tunas (Thunnus albacares), frozen</t>
  </si>
  <si>
    <t>Other molluscs, including sea urchins, sea cucumbers and other aq. invertebrates, other than live, fresh or chilled</t>
  </si>
  <si>
    <t>Rock lobster and other sea crawfish (Palinurus spp., Panulirus spp., Jasus spp.), whether in shell or not, not frozen</t>
  </si>
  <si>
    <t>Shrimps and prawns, whether in shell or not, not frozen</t>
  </si>
  <si>
    <t>Lobsters (Homarus spp.), whether in shell or not, not frozen</t>
  </si>
  <si>
    <t>Products of animal origin, n.e.s., dead animals, unfit for human consumption</t>
  </si>
  <si>
    <t>constant_forest_increment</t>
  </si>
  <si>
    <t>constant_grazing_npp</t>
  </si>
  <si>
    <t>iyf</t>
  </si>
  <si>
    <t>bioproductive_area</t>
  </si>
  <si>
    <t>Total Non-Pasture Feed</t>
  </si>
  <si>
    <t>Feed Types</t>
  </si>
  <si>
    <t>constant_livestock_residue</t>
  </si>
  <si>
    <t>constant_livestock_demand</t>
  </si>
  <si>
    <t>constant_feed_region</t>
  </si>
  <si>
    <t>const_grazing_npp</t>
  </si>
  <si>
    <t>constant_ag_extr</t>
  </si>
  <si>
    <t>Referenced By:</t>
  </si>
  <si>
    <t>(Crop) Feed Requirement</t>
  </si>
  <si>
    <t>Total Area</t>
  </si>
  <si>
    <t>[m3 ub ha-1 yr-1]</t>
  </si>
  <si>
    <t>[Constant]</t>
  </si>
  <si>
    <t>[FRA 2010]</t>
  </si>
  <si>
    <t>constant_fish_trophic</t>
  </si>
  <si>
    <t>constant_aquafeed_factors</t>
  </si>
  <si>
    <t>const_area_EEZ</t>
  </si>
  <si>
    <r>
      <t>[t CO</t>
    </r>
    <r>
      <rPr>
        <vertAlign val="subscript"/>
        <sz val="10"/>
        <color indexed="23"/>
        <rFont val="Arial"/>
        <family val="2"/>
      </rPr>
      <t xml:space="preserve">2 </t>
    </r>
    <r>
      <rPr>
        <sz val="10"/>
        <color indexed="23"/>
        <rFont val="Arial"/>
        <family val="2"/>
      </rPr>
      <t>GJ</t>
    </r>
    <r>
      <rPr>
        <vertAlign val="superscript"/>
        <sz val="10"/>
        <color indexed="23"/>
        <rFont val="Arial"/>
        <family val="2"/>
      </rPr>
      <t>-1</t>
    </r>
    <r>
      <rPr>
        <sz val="10"/>
        <color indexed="23"/>
        <rFont val="Arial"/>
        <family val="2"/>
      </rPr>
      <t>]</t>
    </r>
  </si>
  <si>
    <t>Source - FAOSTAT - Received from Fridolin Krausmann, IFF, Wien, Austria on April 8, 2008</t>
  </si>
  <si>
    <r>
      <t>Energy</t>
    </r>
    <r>
      <rPr>
        <b/>
        <vertAlign val="subscript"/>
        <sz val="10"/>
        <color indexed="9"/>
        <rFont val="Arial"/>
        <family val="2"/>
      </rPr>
      <t>E</t>
    </r>
  </si>
  <si>
    <t>Expected Crop EF</t>
  </si>
  <si>
    <t>Expected Grazing EF</t>
  </si>
  <si>
    <t>Expected Fish EF</t>
  </si>
  <si>
    <t>constant_fish_extr</t>
  </si>
  <si>
    <r>
      <t>[Kt CO</t>
    </r>
    <r>
      <rPr>
        <vertAlign val="subscript"/>
        <sz val="10"/>
        <color indexed="22"/>
        <rFont val="Arial"/>
        <family val="2"/>
      </rPr>
      <t>2</t>
    </r>
    <r>
      <rPr>
        <sz val="10"/>
        <color indexed="22"/>
        <rFont val="Arial"/>
        <family val="2"/>
      </rPr>
      <t xml:space="preserve"> yr</t>
    </r>
    <r>
      <rPr>
        <vertAlign val="superscript"/>
        <sz val="10"/>
        <color indexed="22"/>
        <rFont val="Arial"/>
        <family val="2"/>
      </rPr>
      <t>-1</t>
    </r>
    <r>
      <rPr>
        <sz val="10"/>
        <color indexed="22"/>
        <rFont val="Arial"/>
        <family val="2"/>
      </rPr>
      <t>]</t>
    </r>
  </si>
  <si>
    <t>Forest Products</t>
  </si>
  <si>
    <t>Fish</t>
  </si>
  <si>
    <t>Grazing</t>
  </si>
  <si>
    <t>Crop</t>
  </si>
  <si>
    <t>Built-up</t>
  </si>
  <si>
    <t>International Transport</t>
  </si>
  <si>
    <t>Crop in Fish</t>
  </si>
  <si>
    <t>Domestic Grazing</t>
  </si>
  <si>
    <t>Grazing in Livestock</t>
  </si>
  <si>
    <t>Marine Fishing Grounds</t>
  </si>
  <si>
    <t>Inland Fishing Grounds</t>
  </si>
  <si>
    <t>International Transport EF</t>
  </si>
  <si>
    <t>Crop Land</t>
  </si>
  <si>
    <t>Crop Area Intensity</t>
  </si>
  <si>
    <t>Crop Area Intensity Tax/Premium</t>
  </si>
  <si>
    <t>Fishing Grounds - inland</t>
  </si>
  <si>
    <t>Fishing Grounds - marine EEZ</t>
  </si>
  <si>
    <t>Fishing Grounds - marine shelf</t>
  </si>
  <si>
    <t>-</t>
  </si>
  <si>
    <t xml:space="preserve"> World Area</t>
  </si>
  <si>
    <t>Sudan (former)</t>
  </si>
  <si>
    <t>South Sudan</t>
  </si>
  <si>
    <t>Common Name (species)</t>
  </si>
  <si>
    <t>FishSTAT code</t>
  </si>
  <si>
    <t>Liza abu</t>
  </si>
  <si>
    <t>Abu mullet</t>
  </si>
  <si>
    <t>Cynoscion acoupa</t>
  </si>
  <si>
    <t>Acoupa weakfish</t>
  </si>
  <si>
    <t>Heterotis niloticus</t>
  </si>
  <si>
    <t>Lophiobagrus cyclurus</t>
  </si>
  <si>
    <t>African bullhead</t>
  </si>
  <si>
    <t>Parapristipoma octolineatum</t>
  </si>
  <si>
    <t>African striped grunt</t>
  </si>
  <si>
    <t>Hoplerythrinus unitaeniatus</t>
  </si>
  <si>
    <t>Aimara</t>
  </si>
  <si>
    <t>Alestes baremoze</t>
  </si>
  <si>
    <t>[Alestes baremoze]</t>
  </si>
  <si>
    <t>Todarodes filippovae</t>
  </si>
  <si>
    <t>Antarctic flying squid</t>
  </si>
  <si>
    <t>Aplodactylus punctatus</t>
  </si>
  <si>
    <t>[Aplodactylus punctatus]</t>
  </si>
  <si>
    <t>Osteoglossum bicirrhosum</t>
  </si>
  <si>
    <t>Arawana</t>
  </si>
  <si>
    <t>Odontesthes bonariensis</t>
  </si>
  <si>
    <t>Aristeus spp</t>
  </si>
  <si>
    <t>Aristeus shrimps nei</t>
  </si>
  <si>
    <t>Arius spp</t>
  </si>
  <si>
    <t>[Arius spp]</t>
  </si>
  <si>
    <t>Deania profundorum</t>
  </si>
  <si>
    <t>Arrowhead dogfish</t>
  </si>
  <si>
    <t>Hemibagrus nemurus</t>
  </si>
  <si>
    <t>Synodus saurus</t>
  </si>
  <si>
    <t>Atlantic lizardfish</t>
  </si>
  <si>
    <t>Strongylura marina</t>
  </si>
  <si>
    <t>Atlantic needlefish</t>
  </si>
  <si>
    <t>Paragaleus pectoralis</t>
  </si>
  <si>
    <t>Atlantic weasel shark</t>
  </si>
  <si>
    <t>[Atractosteus spp]</t>
  </si>
  <si>
    <t>Hemiramphus balao</t>
  </si>
  <si>
    <t>Balao halfbeak</t>
  </si>
  <si>
    <t>Palaemon adspersus</t>
  </si>
  <si>
    <t>Astyanax fasciatus</t>
  </si>
  <si>
    <t>Banded astyanax</t>
  </si>
  <si>
    <t>Hemichromis fasciatus</t>
  </si>
  <si>
    <t>Banded jewelfish</t>
  </si>
  <si>
    <t>Seriola zonata</t>
  </si>
  <si>
    <t>Banded rudderfish</t>
  </si>
  <si>
    <t>Leptocharias smithii</t>
  </si>
  <si>
    <t>Barbeled houndshark</t>
  </si>
  <si>
    <t>[Barbodes balleroides]</t>
  </si>
  <si>
    <t>[Barbus cyclolepis]</t>
  </si>
  <si>
    <t>Pollicipes pollicipes</t>
  </si>
  <si>
    <t>Pseudoplatystoma fasciatum</t>
  </si>
  <si>
    <t>Bathybates minor</t>
  </si>
  <si>
    <t>[Bathybates minor]</t>
  </si>
  <si>
    <t>Carpilius corallinus</t>
  </si>
  <si>
    <t>Batwing coral crab</t>
  </si>
  <si>
    <t>Bagrus bajad</t>
  </si>
  <si>
    <t>Pharus legumen</t>
  </si>
  <si>
    <t>Bean solen</t>
  </si>
  <si>
    <t>Lates mariae</t>
  </si>
  <si>
    <t>Bigeye lates</t>
  </si>
  <si>
    <t>Sympterygia acuta</t>
  </si>
  <si>
    <t>Bignose fanskate</t>
  </si>
  <si>
    <t>Isopisthus parvipinnis</t>
  </si>
  <si>
    <t>Bigtooth corvina</t>
  </si>
  <si>
    <t>Antipatharia</t>
  </si>
  <si>
    <t>Black corals and thorny corals</t>
  </si>
  <si>
    <t>Scorpaena porcus</t>
  </si>
  <si>
    <t>Black scorpionfish</t>
  </si>
  <si>
    <t>Rhinobatos cemiculus</t>
  </si>
  <si>
    <t>Blackchin guitarfish</t>
  </si>
  <si>
    <t>Sarotherodon melanotheron</t>
  </si>
  <si>
    <t>Lutjanus buccanella</t>
  </si>
  <si>
    <t>Blackfin snapper</t>
  </si>
  <si>
    <t>Carcharhinus acronotus</t>
  </si>
  <si>
    <t>Blacknose shark</t>
  </si>
  <si>
    <t>Scolopsis taeniata</t>
  </si>
  <si>
    <t>Serranus atricauda</t>
  </si>
  <si>
    <t>Blacktail comber</t>
  </si>
  <si>
    <t>Fistularia commersonii</t>
  </si>
  <si>
    <t>Bluespotted cornetfish</t>
  </si>
  <si>
    <t>Amphichthys cryptocentrus</t>
  </si>
  <si>
    <t>Bocon toadfish</t>
  </si>
  <si>
    <t>Sphyrna tiburo</t>
  </si>
  <si>
    <t>Bonnethead</t>
  </si>
  <si>
    <t>Amia calva</t>
  </si>
  <si>
    <t>Bowfin</t>
  </si>
  <si>
    <t>Pinguipes brasilianus</t>
  </si>
  <si>
    <t>Brazilian sandperch</t>
  </si>
  <si>
    <t>Eptatretus cirrhatus</t>
  </si>
  <si>
    <t>Broadgilled hagfish</t>
  </si>
  <si>
    <t>Bathyraja brachyurops</t>
  </si>
  <si>
    <t>Broadnose skate</t>
  </si>
  <si>
    <t>Labrus merula</t>
  </si>
  <si>
    <t>Brown wrasse</t>
  </si>
  <si>
    <t>Lutjanus vitta</t>
  </si>
  <si>
    <t>Brownstripe red snapper</t>
  </si>
  <si>
    <t>Brycon dentex</t>
  </si>
  <si>
    <t>[Brycon dentex]</t>
  </si>
  <si>
    <t>Brycon orbignyanus</t>
  </si>
  <si>
    <t>[Brycon orbignyanus]</t>
  </si>
  <si>
    <t>Auchenoglanis occidentalis</t>
  </si>
  <si>
    <t>Bubu</t>
  </si>
  <si>
    <t>Encrasicholina punctifer</t>
  </si>
  <si>
    <t>Buccaneer anchovy</t>
  </si>
  <si>
    <t>Goniocorella dumosa</t>
  </si>
  <si>
    <t>Bushy hard coral</t>
  </si>
  <si>
    <t>Gasterochisma melampus</t>
  </si>
  <si>
    <t>Butterfly kingfish</t>
  </si>
  <si>
    <t>Calanus finmarchicus</t>
  </si>
  <si>
    <t>[Calanus finmarchicus]</t>
  </si>
  <si>
    <t>Gymnura marmorata</t>
  </si>
  <si>
    <t>California butterfly ray</t>
  </si>
  <si>
    <t>Ghost shrimps nei</t>
  </si>
  <si>
    <t>Cancer edwardsii</t>
  </si>
  <si>
    <t>Stomolophus meleagris</t>
  </si>
  <si>
    <t>Cannonball jellyfish</t>
  </si>
  <si>
    <t>Cantherhines (=Navodon) spp</t>
  </si>
  <si>
    <t>Cubiceps capensis</t>
  </si>
  <si>
    <t>Cape fathead</t>
  </si>
  <si>
    <t>Capoeta capoeta</t>
  </si>
  <si>
    <t>Ruditapes spp</t>
  </si>
  <si>
    <t>Chaceon spp</t>
  </si>
  <si>
    <t>Chaceon geryons nei</t>
  </si>
  <si>
    <t>Crocodile icefishes nei</t>
  </si>
  <si>
    <t>Coelorinchus chilensis</t>
  </si>
  <si>
    <t>Chilean grenadier</t>
  </si>
  <si>
    <t>Pinguipes chilensis</t>
  </si>
  <si>
    <t>Chilean sandperch</t>
  </si>
  <si>
    <t>[Chionobathyscus dewitti]</t>
  </si>
  <si>
    <t>[Chionodraco hamatus]</t>
  </si>
  <si>
    <t>[Chirostoma spp]</t>
  </si>
  <si>
    <t>Greeneyes</t>
  </si>
  <si>
    <t>Chondracanthus chamissoi</t>
  </si>
  <si>
    <t>[Chondracanthus chamissoi]</t>
  </si>
  <si>
    <t>Chrysichthys platycephalus</t>
  </si>
  <si>
    <t>[Chrysichthys platycephalus]</t>
  </si>
  <si>
    <t>Chrysichthys sianenna</t>
  </si>
  <si>
    <t>[Chrysichthys sianenna]</t>
  </si>
  <si>
    <t>Chrysichthys stappersii</t>
  </si>
  <si>
    <t>[Chrysichthys stappersii]</t>
  </si>
  <si>
    <t>Serranus cabrilla</t>
  </si>
  <si>
    <t>Comber</t>
  </si>
  <si>
    <t>Serranus spp</t>
  </si>
  <si>
    <t>Combers nei</t>
  </si>
  <si>
    <t>Pomatoschistus microps</t>
  </si>
  <si>
    <t>Common goby</t>
  </si>
  <si>
    <t>Rhinobatos rhinobatos</t>
  </si>
  <si>
    <t>Common guitarfish</t>
  </si>
  <si>
    <t>Lake(=Common) whitefish</t>
  </si>
  <si>
    <t>Symphodus melops</t>
  </si>
  <si>
    <t>Corkwing wrasse</t>
  </si>
  <si>
    <t>Rhinoptera bonasus</t>
  </si>
  <si>
    <t>Cownose ray</t>
  </si>
  <si>
    <t>Clepticus parrae</t>
  </si>
  <si>
    <t>Creole wrasse</t>
  </si>
  <si>
    <t>Notopogon lilliei</t>
  </si>
  <si>
    <t>Crested bellowfish</t>
  </si>
  <si>
    <t>Curimata cyprinoides</t>
  </si>
  <si>
    <t>[Curimata cyprinoides]</t>
  </si>
  <si>
    <t>Cyclocheilichthys armatus</t>
  </si>
  <si>
    <t>[Cyclocheilichthys armatus]</t>
  </si>
  <si>
    <t>Astacus leptodactylus</t>
  </si>
  <si>
    <t>Squalus spp</t>
  </si>
  <si>
    <t>Dogfishes nei</t>
  </si>
  <si>
    <t>Salminus brasiliensis</t>
  </si>
  <si>
    <t>Dorado</t>
  </si>
  <si>
    <t>Cephaloscyllium isabellum</t>
  </si>
  <si>
    <t>Draughtsboard shark</t>
  </si>
  <si>
    <t>Magnisudis atlantica</t>
  </si>
  <si>
    <t>Duckbill barracudina</t>
  </si>
  <si>
    <t>Sorubim lima</t>
  </si>
  <si>
    <t>[Dunaliella salina]</t>
  </si>
  <si>
    <t>Durvillaea antarctica</t>
  </si>
  <si>
    <t>Malapterurus electricus</t>
  </si>
  <si>
    <t>Electric catfish</t>
  </si>
  <si>
    <t>Electron subantarctic</t>
  </si>
  <si>
    <t>Eledone cirrhosa</t>
  </si>
  <si>
    <t>Hydrocynus forskahlii</t>
  </si>
  <si>
    <t>Elongate tigerfish</t>
  </si>
  <si>
    <t>Engraulicypris sardella</t>
  </si>
  <si>
    <t>Loligo vulgaris</t>
  </si>
  <si>
    <t>European squid</t>
  </si>
  <si>
    <t>Trochus shells nei</t>
  </si>
  <si>
    <t>Raja cyclophora</t>
  </si>
  <si>
    <t>Eyespot skate</t>
  </si>
  <si>
    <t>Carcharhinus isodon</t>
  </si>
  <si>
    <t>Finetooth shark</t>
  </si>
  <si>
    <t>Flabellum spp</t>
  </si>
  <si>
    <t>Flabellum cup corals nei</t>
  </si>
  <si>
    <t>Eucinostomus melanopterus</t>
  </si>
  <si>
    <t>Flagfin mojarra</t>
  </si>
  <si>
    <t>Lates microlepis</t>
  </si>
  <si>
    <t>Forktail lates</t>
  </si>
  <si>
    <t>Paralichthys oblongus</t>
  </si>
  <si>
    <t>Fourspot flounder</t>
  </si>
  <si>
    <t>Codium fragile</t>
  </si>
  <si>
    <t>Zacco platypus</t>
  </si>
  <si>
    <t>Freshwater minnow</t>
  </si>
  <si>
    <t>Austromegabalanus psittacus</t>
  </si>
  <si>
    <t>Boulengerochromis microlepis</t>
  </si>
  <si>
    <t>Giant cichlid</t>
  </si>
  <si>
    <t>Manta birostris</t>
  </si>
  <si>
    <t>Giant manta</t>
  </si>
  <si>
    <t>Gigartinaceae</t>
  </si>
  <si>
    <t>Gigartina seaweeds nei</t>
  </si>
  <si>
    <t>Spongia graminea</t>
  </si>
  <si>
    <t>Glove sponge</t>
  </si>
  <si>
    <t>Chaceon fenneri</t>
  </si>
  <si>
    <t>Golden deepsea crab</t>
  </si>
  <si>
    <t>Plesionika martia</t>
  </si>
  <si>
    <t>Golden shrimp</t>
  </si>
  <si>
    <t>Gorgoniidae</t>
  </si>
  <si>
    <t>Gorgonians</t>
  </si>
  <si>
    <t>Etmopterus princeps</t>
  </si>
  <si>
    <t>Great lanternshark</t>
  </si>
  <si>
    <t>Monostroma nitidum</t>
  </si>
  <si>
    <t>Aequidens rivulatus</t>
  </si>
  <si>
    <t>Cynoscion virescens</t>
  </si>
  <si>
    <t>Green weakfish</t>
  </si>
  <si>
    <t>Mustelus antarcticus</t>
  </si>
  <si>
    <t>Gummy shark</t>
  </si>
  <si>
    <t>[Gymnogongrus furcellatus]</t>
  </si>
  <si>
    <t>Haemulon spp</t>
  </si>
  <si>
    <t>Hemibates stenosoma</t>
  </si>
  <si>
    <t>[Hemibates stenosoma]</t>
  </si>
  <si>
    <t>Hypophthalmus edentatus</t>
  </si>
  <si>
    <t>Highwaterman catfish</t>
  </si>
  <si>
    <t>Holothuroidea</t>
  </si>
  <si>
    <t>Hoplias aimara</t>
  </si>
  <si>
    <t>[Hoplias aimara]</t>
  </si>
  <si>
    <t>Hoplias microlepis</t>
  </si>
  <si>
    <t>[Hoplias microlepis]</t>
  </si>
  <si>
    <t>Hoplopagrus guentherii</t>
  </si>
  <si>
    <t>Loligo duvauceli</t>
  </si>
  <si>
    <t>Indian squid</t>
  </si>
  <si>
    <t>Leptomelanosoma indicum</t>
  </si>
  <si>
    <t>Indian threadfin</t>
  </si>
  <si>
    <t>Aphanopus intermedius</t>
  </si>
  <si>
    <t>Intermediate scabbardfish</t>
  </si>
  <si>
    <t>Diapterus auratus</t>
  </si>
  <si>
    <t>Irish mojarra</t>
  </si>
  <si>
    <t>Cynoscion jamaicensis</t>
  </si>
  <si>
    <t>Jamaica weakfish</t>
  </si>
  <si>
    <t>Salangichthys microdon</t>
  </si>
  <si>
    <t>Japanese icefish</t>
  </si>
  <si>
    <t>Hypomesus nipponensis</t>
  </si>
  <si>
    <t>Japanese smelt</t>
  </si>
  <si>
    <t>Hemitriakis japanica</t>
  </si>
  <si>
    <t>Japanese topeshark</t>
  </si>
  <si>
    <t>Chrysichthys brachynema</t>
  </si>
  <si>
    <t>Kibonde</t>
  </si>
  <si>
    <t>Mesogobius batrachocephalus</t>
  </si>
  <si>
    <t>Knout goby</t>
  </si>
  <si>
    <t>Longfin codling</t>
  </si>
  <si>
    <t>Copadichromis virginalis</t>
  </si>
  <si>
    <t>Lake Malawi utaka</t>
  </si>
  <si>
    <t>Limnothrissa miodon</t>
  </si>
  <si>
    <t>Lake Tanganyika sardine</t>
  </si>
  <si>
    <t>Stolothrissa tanganicae</t>
  </si>
  <si>
    <t>Lake Tanganyika sprat</t>
  </si>
  <si>
    <t>Pseudotolithus senegallus</t>
  </si>
  <si>
    <t>Goose barnacles nei</t>
  </si>
  <si>
    <t>Leporellus vittatus</t>
  </si>
  <si>
    <t>[Leporellus vittatus]</t>
  </si>
  <si>
    <t>Leporinus obtusidens</t>
  </si>
  <si>
    <t>[Leporinus obtusidens]</t>
  </si>
  <si>
    <t>Seriola fasciata</t>
  </si>
  <si>
    <t>Lesser amberjack</t>
  </si>
  <si>
    <t>[Lessonia spp]</t>
  </si>
  <si>
    <t>[Lessonia trabeculata]</t>
  </si>
  <si>
    <t>Limnotilapia dardennii</t>
  </si>
  <si>
    <t>[Limnotilapia dardennii]</t>
  </si>
  <si>
    <t>Raja erinacea</t>
  </si>
  <si>
    <t>Little skate</t>
  </si>
  <si>
    <t>Loligo reynaudii</t>
  </si>
  <si>
    <t>Alepisaurus ferox</t>
  </si>
  <si>
    <t>Long snouted lancetfish</t>
  </si>
  <si>
    <t>Phycis chesteri</t>
  </si>
  <si>
    <t>Longfin hake</t>
  </si>
  <si>
    <t>Seriola rivoliana</t>
  </si>
  <si>
    <t>Longfin yellowtail</t>
  </si>
  <si>
    <t>Tragulichthys jaculiferus</t>
  </si>
  <si>
    <t>Longspine burrfish</t>
  </si>
  <si>
    <t>Selene vomer</t>
  </si>
  <si>
    <t>Lookdown</t>
  </si>
  <si>
    <t>Lophiosilurus alexandri</t>
  </si>
  <si>
    <t>[Lophiosilurus alexandri]</t>
  </si>
  <si>
    <t>Loricaria cataphracta</t>
  </si>
  <si>
    <t>[Loricaria cataphracta]</t>
  </si>
  <si>
    <t>Rhinoptera marginata</t>
  </si>
  <si>
    <t>Lusitanian cownose ray</t>
  </si>
  <si>
    <t>Raja maderensis</t>
  </si>
  <si>
    <t>Madeiran ray</t>
  </si>
  <si>
    <t>Ucides occidentalis</t>
  </si>
  <si>
    <t>Mangrove ghost crab</t>
  </si>
  <si>
    <t>Protopterus aethiopicus</t>
  </si>
  <si>
    <t>Marbled lungfish</t>
  </si>
  <si>
    <t>Synbranchus marmoratus</t>
  </si>
  <si>
    <t>Marbled swamp eel</t>
  </si>
  <si>
    <t>Anchoa marinii</t>
  </si>
  <si>
    <t>Marini's anchovy</t>
  </si>
  <si>
    <t>Mazzaella laminarioides</t>
  </si>
  <si>
    <t>[Mazzaella laminarioides]</t>
  </si>
  <si>
    <t>Trachipterus trachipterus</t>
  </si>
  <si>
    <t>Mediterranean dealfish</t>
  </si>
  <si>
    <t>Geryon longipes</t>
  </si>
  <si>
    <t>Mediterranean geryon</t>
  </si>
  <si>
    <t>Muraena helena</t>
  </si>
  <si>
    <t>Mediterranean moray</t>
  </si>
  <si>
    <t>Atherina hepsetus</t>
  </si>
  <si>
    <t>Mediterranean sand smelt</t>
  </si>
  <si>
    <t>Tetrapturus belone</t>
  </si>
  <si>
    <t>Mediterranean spearfish</t>
  </si>
  <si>
    <t>Raja asterias</t>
  </si>
  <si>
    <t>Mediterranean starry ray</t>
  </si>
  <si>
    <t>Merluccius capensis, M.paradoxus</t>
  </si>
  <si>
    <t>Metanephrops lobsters nei</t>
  </si>
  <si>
    <t>Metynnis argenteus</t>
  </si>
  <si>
    <t>[Metynnis argenteus]</t>
  </si>
  <si>
    <t>Sphyraena ensis</t>
  </si>
  <si>
    <t>Mexican barracuda</t>
  </si>
  <si>
    <t>Thickback soles nei</t>
  </si>
  <si>
    <t>Rhizoprionodon acutus</t>
  </si>
  <si>
    <t>Milk shark</t>
  </si>
  <si>
    <t>Epinephelus mystacinus</t>
  </si>
  <si>
    <t>Misty grouper</t>
  </si>
  <si>
    <t>Morays nei</t>
  </si>
  <si>
    <t>[Mystacoleucus padangensis]</t>
  </si>
  <si>
    <t>[Mystus nigriceps]</t>
  </si>
  <si>
    <t>Jonah's icefish</t>
  </si>
  <si>
    <t>Zearaja nasuta</t>
  </si>
  <si>
    <t>New Zealand rough skate</t>
  </si>
  <si>
    <t>Dipturus innominatus</t>
  </si>
  <si>
    <t>New Zealand smooth skate</t>
  </si>
  <si>
    <t>Arca noae</t>
  </si>
  <si>
    <t>Noah's ark</t>
  </si>
  <si>
    <t>Raja nidarosiensis</t>
  </si>
  <si>
    <t>Norwegian skate</t>
  </si>
  <si>
    <t>[Nototheniops nybelini]</t>
  </si>
  <si>
    <t>Nototodarus sloanii</t>
  </si>
  <si>
    <t>Brycinus nurse</t>
  </si>
  <si>
    <t>Nurse tetra</t>
  </si>
  <si>
    <t>Odontesthes smitti</t>
  </si>
  <si>
    <t>[Odontesthes smitti]</t>
  </si>
  <si>
    <t>Ostreola conchaphila</t>
  </si>
  <si>
    <t>Olympia oyster</t>
  </si>
  <si>
    <t>Pink(=Humpback) salmon</t>
  </si>
  <si>
    <t>Chum(=Keta=Dog) salmon</t>
  </si>
  <si>
    <t>Coho(=Silver) salmon</t>
  </si>
  <si>
    <t>Sockeye(=Red) salmon</t>
  </si>
  <si>
    <t>Chinook(=Spring=King) salmon</t>
  </si>
  <si>
    <t>Oreochromis shiranus</t>
  </si>
  <si>
    <t>[Oreochromis shiranus]</t>
  </si>
  <si>
    <t>Panulirus ornatus</t>
  </si>
  <si>
    <t>Ornate spiny lobster</t>
  </si>
  <si>
    <t>Astronotus ocellatus</t>
  </si>
  <si>
    <t>Oscar</t>
  </si>
  <si>
    <t>Chaetodipterus zonatus</t>
  </si>
  <si>
    <t>Pacific spadefish</t>
  </si>
  <si>
    <t>Lobotes pacificus</t>
  </si>
  <si>
    <t>Pacific tripletail</t>
  </si>
  <si>
    <t>Serranus scriba</t>
  </si>
  <si>
    <t>Painted comber</t>
  </si>
  <si>
    <t>[Pangasius djambal]</t>
  </si>
  <si>
    <t>[Parachaenichthys georgianus]</t>
  </si>
  <si>
    <t>[Paralabrax spp]</t>
  </si>
  <si>
    <t>[Paralomis spp]</t>
  </si>
  <si>
    <t>Sebastes oculatus</t>
  </si>
  <si>
    <t>Patagonian redfish</t>
  </si>
  <si>
    <t>Bathyraja macloviana</t>
  </si>
  <si>
    <t>Patagonian skate</t>
  </si>
  <si>
    <t>Luciopimelodus pati</t>
  </si>
  <si>
    <t>Pati</t>
  </si>
  <si>
    <t>Dasyatis violacea</t>
  </si>
  <si>
    <t>Pelagic stingray</t>
  </si>
  <si>
    <t>Sepia pharaonis</t>
  </si>
  <si>
    <t>Pharaoh cuttlefish</t>
  </si>
  <si>
    <t>Spicara smaris</t>
  </si>
  <si>
    <t>Picarel</t>
  </si>
  <si>
    <t>Cymbium cymbium</t>
  </si>
  <si>
    <t>Pig's snout volute</t>
  </si>
  <si>
    <t>Pimelodus maculatus</t>
  </si>
  <si>
    <t>[Pimelodus maculatus]</t>
  </si>
  <si>
    <t>Lagodon rhomboides</t>
  </si>
  <si>
    <t>Pinfish</t>
  </si>
  <si>
    <t>Misgurnus anguillicaudatus</t>
  </si>
  <si>
    <t>Hemisorubim platyrhynchos</t>
  </si>
  <si>
    <t>Porthole shovelnose catfish</t>
  </si>
  <si>
    <t>Libinia emarginata</t>
  </si>
  <si>
    <t>Portly spider crab</t>
  </si>
  <si>
    <t>Pseudocurimata boulengeri</t>
  </si>
  <si>
    <t>[Pseudocurimata boulengeri]</t>
  </si>
  <si>
    <t>[Puntioplites waandersi]</t>
  </si>
  <si>
    <t>Coris julis</t>
  </si>
  <si>
    <t>Rainbow wrasse</t>
  </si>
  <si>
    <t>Raja taaf</t>
  </si>
  <si>
    <t>Platydoras costatus</t>
  </si>
  <si>
    <t>Raphael catfish</t>
  </si>
  <si>
    <t>Cherax quadricarinatus</t>
  </si>
  <si>
    <t>Chaceon quinquedens</t>
  </si>
  <si>
    <t>Erugosquilla massavensis</t>
  </si>
  <si>
    <t>Red sea mantis shrimp</t>
  </si>
  <si>
    <t>Chionoecetes japonicus</t>
  </si>
  <si>
    <t>Red snow crab</t>
  </si>
  <si>
    <t>Phractocephalus hemioliopterus</t>
  </si>
  <si>
    <t>Redtail catfish</t>
  </si>
  <si>
    <t>Papyrocranus afer</t>
  </si>
  <si>
    <t>Sand flounders nei</t>
  </si>
  <si>
    <t>Jellyfishes nei</t>
  </si>
  <si>
    <t>Rioraja agassizi</t>
  </si>
  <si>
    <t>Rio skate</t>
  </si>
  <si>
    <t>Centrolabrus exoletus</t>
  </si>
  <si>
    <t>Rock cook</t>
  </si>
  <si>
    <t>Epinephelus adscensionis</t>
  </si>
  <si>
    <t>Rock hind</t>
  </si>
  <si>
    <t>Raja fyllae</t>
  </si>
  <si>
    <t>Round ray</t>
  </si>
  <si>
    <t>Tetrapturus georgii</t>
  </si>
  <si>
    <t>Roundscale spearfish</t>
  </si>
  <si>
    <t>Malacanthus plumieri</t>
  </si>
  <si>
    <t>Sand tilefish</t>
  </si>
  <si>
    <t>Cynoscion arenarius</t>
  </si>
  <si>
    <t>Sand weakfish</t>
  </si>
  <si>
    <t>Sarcothalia crispata</t>
  </si>
  <si>
    <t>Schizodon fasciatus</t>
  </si>
  <si>
    <t>[Schizodon fasciatus]</t>
  </si>
  <si>
    <t>Pseudopterogorgia elisabethae</t>
  </si>
  <si>
    <t>Sea plume</t>
  </si>
  <si>
    <t>Semaprochilodus insignis</t>
  </si>
  <si>
    <t>Solea senegalensis</t>
  </si>
  <si>
    <t>Heptranchias perlo</t>
  </si>
  <si>
    <t>Sharpnose sevengill shark</t>
  </si>
  <si>
    <t>Diplodus puntazzo</t>
  </si>
  <si>
    <t>Hippospongia lachne</t>
  </si>
  <si>
    <t>Sheepswool sponge</t>
  </si>
  <si>
    <t>Larimus breviceps</t>
  </si>
  <si>
    <t>Shorthead drum</t>
  </si>
  <si>
    <t>Myoxocephalus scorpius</t>
  </si>
  <si>
    <t>Shorthorn sculpin</t>
  </si>
  <si>
    <t>Wels(=Som) catfish</t>
  </si>
  <si>
    <t>Chimaera phantasma</t>
  </si>
  <si>
    <t>Silver chimaera</t>
  </si>
  <si>
    <t>Lagocephalus sceleratus</t>
  </si>
  <si>
    <t>Silver-cheeked toadfish</t>
  </si>
  <si>
    <t>Erilepis zonifer</t>
  </si>
  <si>
    <t>Skilfish</t>
  </si>
  <si>
    <t>Lates stappersii</t>
  </si>
  <si>
    <t>Sleek lates</t>
  </si>
  <si>
    <t>Pseudopentaceros wheeleri</t>
  </si>
  <si>
    <t>Slender armorhead</t>
  </si>
  <si>
    <t>Gollum attenuatus</t>
  </si>
  <si>
    <t>Slender smooth-hound</t>
  </si>
  <si>
    <t>Sympterygia bonapartii</t>
  </si>
  <si>
    <t>Smallnose fanskate</t>
  </si>
  <si>
    <t>Epinephelus polylepis</t>
  </si>
  <si>
    <t>Smallscaled grouper</t>
  </si>
  <si>
    <t>Cynoscion leiarchus</t>
  </si>
  <si>
    <t>Smooth weakfish</t>
  </si>
  <si>
    <t>Borostomias antarcticus</t>
  </si>
  <si>
    <t>Snaggletooth</t>
  </si>
  <si>
    <t>Solen razor clams nei</t>
  </si>
  <si>
    <t>Pseudoplatystoma spp</t>
  </si>
  <si>
    <t>Sorubims nei</t>
  </si>
  <si>
    <t>Rhamdia quelen</t>
  </si>
  <si>
    <t>Menticirrhus americanus</t>
  </si>
  <si>
    <t>Southern kingcroaker</t>
  </si>
  <si>
    <t>Pelotretis flavilatus</t>
  </si>
  <si>
    <t>Southern lemon sole</t>
  </si>
  <si>
    <t>Brama australis</t>
  </si>
  <si>
    <t>Southern rays bream</t>
  </si>
  <si>
    <t>Penaeus schmitti</t>
  </si>
  <si>
    <t>Chaceon notialis</t>
  </si>
  <si>
    <t>Southwest Atlantic red crab</t>
  </si>
  <si>
    <t>Molva macrophthalma</t>
  </si>
  <si>
    <t>Spanish ling</t>
  </si>
  <si>
    <t>Scyllarides aequinoctialis</t>
  </si>
  <si>
    <t>Spanish slipper lobster</t>
  </si>
  <si>
    <t>Epinephelus drummondhayi</t>
  </si>
  <si>
    <t>Speckled hind</t>
  </si>
  <si>
    <t>Carcharhinus brevipinna</t>
  </si>
  <si>
    <t>Spinner shark</t>
  </si>
  <si>
    <t>Sebastes diploproa</t>
  </si>
  <si>
    <t>Splitnose rockfish</t>
  </si>
  <si>
    <t>Spongiidae</t>
  </si>
  <si>
    <t>Pandalus platyceros</t>
  </si>
  <si>
    <t>Spot shrimp</t>
  </si>
  <si>
    <t>Raja castelnaui</t>
  </si>
  <si>
    <t>Spotback skate</t>
  </si>
  <si>
    <t>Pseudoplatystoma corruscans</t>
  </si>
  <si>
    <t>Spotted sorubim</t>
  </si>
  <si>
    <t>Uranoscopus spp</t>
  </si>
  <si>
    <t>Stargazers</t>
  </si>
  <si>
    <t>Stolephorus anchovies nei</t>
  </si>
  <si>
    <t>Prochilodus lineatus</t>
  </si>
  <si>
    <t>Streaked prochilod</t>
  </si>
  <si>
    <t>Cynoscion guatucupa</t>
  </si>
  <si>
    <t>Stripped weakfish</t>
  </si>
  <si>
    <t>Spisula subtruncata</t>
  </si>
  <si>
    <t>Subtruncate surf clam</t>
  </si>
  <si>
    <t>Ensis siliqua</t>
  </si>
  <si>
    <t>Sword razor shell</t>
  </si>
  <si>
    <t>Lates angustifrons</t>
  </si>
  <si>
    <t>Tanganyika lates</t>
  </si>
  <si>
    <t>Tellina spp</t>
  </si>
  <si>
    <t>Tellins nei</t>
  </si>
  <si>
    <t>Chelon labrosus</t>
  </si>
  <si>
    <t>Thicklip grey mullet</t>
  </si>
  <si>
    <t>Gaidropsarus ensis</t>
  </si>
  <si>
    <t>Threadfin rockling</t>
  </si>
  <si>
    <t>[Thynnichthys vaillanti]</t>
  </si>
  <si>
    <t>Hoplias malabaricus</t>
  </si>
  <si>
    <t>Trahira</t>
  </si>
  <si>
    <t>Blunt scalyhead</t>
  </si>
  <si>
    <t>Trematomus nei</t>
  </si>
  <si>
    <t>Chinese softshell turtle</t>
  </si>
  <si>
    <t>Triportheus angulatus</t>
  </si>
  <si>
    <t>[Triportheus angulatus]</t>
  </si>
  <si>
    <t>Lethrinus miniatus</t>
  </si>
  <si>
    <t>Arca zebra</t>
  </si>
  <si>
    <t>Turkey wing</t>
  </si>
  <si>
    <t>Canary drum(=Baardman)</t>
  </si>
  <si>
    <t>Raja undulata</t>
  </si>
  <si>
    <t>Undulate ray</t>
  </si>
  <si>
    <t>Barbourisia rufa</t>
  </si>
  <si>
    <t>Velvet whalefish</t>
  </si>
  <si>
    <t>Protemblemaria bicirris</t>
  </si>
  <si>
    <t>Warthead blenny</t>
  </si>
  <si>
    <t>Allocyttus verrucosus</t>
  </si>
  <si>
    <t>Warty dory</t>
  </si>
  <si>
    <t>Venus verrucosa</t>
  </si>
  <si>
    <t>Chaceon maritae</t>
  </si>
  <si>
    <t>West African geryon</t>
  </si>
  <si>
    <t>Raja alba</t>
  </si>
  <si>
    <t>White skate</t>
  </si>
  <si>
    <t>Epinephelus caeruleopunctatus</t>
  </si>
  <si>
    <t>Whitespotted grouper</t>
  </si>
  <si>
    <t>Xiphopenaeus, Trachypenaeus spp</t>
  </si>
  <si>
    <t>Spongia barbara</t>
  </si>
  <si>
    <t>Yellow sponge</t>
  </si>
  <si>
    <t>Dipturus chilensis</t>
  </si>
  <si>
    <t>Yellownose skate</t>
  </si>
  <si>
    <t>Zygochlamys delicatula</t>
  </si>
  <si>
    <t>Zygochlamys patagonica</t>
  </si>
  <si>
    <t>FishSTAT Code</t>
  </si>
  <si>
    <t>Squalus blainville</t>
  </si>
  <si>
    <t>Africa-bighead catfish, hybrid</t>
  </si>
  <si>
    <t>Amazon sailfin catfish</t>
  </si>
  <si>
    <t>[Anostomoides laticeps]</t>
  </si>
  <si>
    <t>Asian barbs nei</t>
  </si>
  <si>
    <t>Atlantic spadefish</t>
  </si>
  <si>
    <t>Babberlocks</t>
  </si>
  <si>
    <t>Black ark</t>
  </si>
  <si>
    <t>Black prochilodus</t>
  </si>
  <si>
    <t>Blacklip pearl oyster</t>
  </si>
  <si>
    <t>Blue-Nile tilapia, hybrid</t>
  </si>
  <si>
    <t>Bronze featherback</t>
  </si>
  <si>
    <t>[Brycon amazonicus]</t>
  </si>
  <si>
    <t>[Brycon cephalus]</t>
  </si>
  <si>
    <t>[Brycon hilarii]</t>
  </si>
  <si>
    <t>[Brycon spp]</t>
  </si>
  <si>
    <t>Callinectes swimcrabs nei</t>
  </si>
  <si>
    <t>[Channa marulius]</t>
  </si>
  <si>
    <t>[Cichla spp]</t>
  </si>
  <si>
    <t>Clown knifefish</t>
  </si>
  <si>
    <t>Diphos sanguin</t>
  </si>
  <si>
    <t>Dulse</t>
  </si>
  <si>
    <t>European green frog</t>
  </si>
  <si>
    <t>Giant kelp</t>
  </si>
  <si>
    <t>Grand ark</t>
  </si>
  <si>
    <t>Great blue spotted mudskipper</t>
  </si>
  <si>
    <t>[Haematococcus pluvialis]</t>
  </si>
  <si>
    <t>[Hoplias spp]</t>
  </si>
  <si>
    <t>[Ichthyoelephas humeralis]</t>
  </si>
  <si>
    <t>Japanese meagre</t>
  </si>
  <si>
    <t>Japanese seabream</t>
  </si>
  <si>
    <t>[Labeo dussumieri]</t>
  </si>
  <si>
    <t>[Leporinus spp]</t>
  </si>
  <si>
    <t>Mozuku</t>
  </si>
  <si>
    <t>Obscure pufferfish</t>
  </si>
  <si>
    <t>Orange mud crab</t>
  </si>
  <si>
    <t>Orangefin labeo</t>
  </si>
  <si>
    <t>Orbicular batfish</t>
  </si>
  <si>
    <t>[Osteobrama belangeri]</t>
  </si>
  <si>
    <t>Pacific lion's paw</t>
  </si>
  <si>
    <t>Peppery furrow</t>
  </si>
  <si>
    <t>[Pimelodus spp]</t>
  </si>
  <si>
    <t>[Porphyra columbina]</t>
  </si>
  <si>
    <t>[Prochilodus mariae]</t>
  </si>
  <si>
    <t>[Puntius sarana]</t>
  </si>
  <si>
    <t>Queen conch</t>
  </si>
  <si>
    <t>[Rohtee ogilbii]</t>
  </si>
  <si>
    <t>Salmonids nei</t>
  </si>
  <si>
    <t>Sciaenas nei</t>
  </si>
  <si>
    <t>Sevan trout</t>
  </si>
  <si>
    <t>Silver, bighead carps nei</t>
  </si>
  <si>
    <t>[Solea spp]</t>
  </si>
  <si>
    <t>[Spirulina maxima]</t>
  </si>
  <si>
    <t>[Spirulina platensis]</t>
  </si>
  <si>
    <t>Spotted snakehead</t>
  </si>
  <si>
    <t>Stinging catfish</t>
  </si>
  <si>
    <t>Suckermouth catfish</t>
  </si>
  <si>
    <t>Tambacu, hybrid</t>
  </si>
  <si>
    <t>Tambatinga, hybrid</t>
  </si>
  <si>
    <t>Threespot leporinus</t>
  </si>
  <si>
    <t>Tiger pufferfish</t>
  </si>
  <si>
    <t>Variegated scallop</t>
  </si>
  <si>
    <t>Wallago</t>
  </si>
  <si>
    <t>const_area_shelf</t>
  </si>
  <si>
    <t>Electricity</t>
  </si>
  <si>
    <t xml:space="preserve">Shelf </t>
  </si>
  <si>
    <t xml:space="preserve">EEZArea Individual Land </t>
  </si>
  <si>
    <t xml:space="preserve">AvgPPRate Individual Land </t>
  </si>
  <si>
    <t xml:space="preserve">AvgPPRate all land </t>
  </si>
  <si>
    <t>[km2]</t>
  </si>
  <si>
    <t>[mgC*^-2/day]</t>
  </si>
  <si>
    <t>[mgC*m^-2/day]</t>
  </si>
  <si>
    <t xml:space="preserve">(Australia) Heard and McDonald Island </t>
  </si>
  <si>
    <t xml:space="preserve">(Australia) Lord Howe Island </t>
  </si>
  <si>
    <t xml:space="preserve">(Australia) Macquarie Island </t>
  </si>
  <si>
    <t>(Brazil) Trindade and Martin Vaz Island</t>
  </si>
  <si>
    <t xml:space="preserve">(Chile) Desventuradas Islands </t>
  </si>
  <si>
    <t xml:space="preserve">(Chile) Easter Islands </t>
  </si>
  <si>
    <t xml:space="preserve">(Chile) Juan Fernandez Island </t>
  </si>
  <si>
    <t xml:space="preserve">(Ecuador) Galapagos Islands </t>
  </si>
  <si>
    <t xml:space="preserve">(France) Clipperton Island </t>
  </si>
  <si>
    <t xml:space="preserve">(France) Crozet Island </t>
  </si>
  <si>
    <t xml:space="preserve">(France) French Mozambique Channel Islands </t>
  </si>
  <si>
    <t xml:space="preserve">(France) Kerguelen Island </t>
  </si>
  <si>
    <t xml:space="preserve">(France) St Paul &amp; Amsterdam Island </t>
  </si>
  <si>
    <t>(France) Tromelin Island</t>
  </si>
  <si>
    <t xml:space="preserve">(Haiti) Navassa Islands </t>
  </si>
  <si>
    <t xml:space="preserve">(India) Andaman Islands &amp; Nicobar Isl. </t>
  </si>
  <si>
    <t>Japan (Outer Islands)</t>
  </si>
  <si>
    <t>(Malaysia) Peninsula West</t>
  </si>
  <si>
    <t>(Malaysia) Sabah</t>
  </si>
  <si>
    <t>(Malaysia) Sarawak</t>
  </si>
  <si>
    <t xml:space="preserve">(New Zealand) Kermadec Islands </t>
  </si>
  <si>
    <t xml:space="preserve">(Norway) Bouvet Island </t>
  </si>
  <si>
    <t xml:space="preserve">(Norway) Jan Mayen Island </t>
  </si>
  <si>
    <t>(Norway) Svalbard Island</t>
  </si>
  <si>
    <t xml:space="preserve">(Portugal) Azores Islands </t>
  </si>
  <si>
    <t xml:space="preserve">(Portugal) Madeira Islands </t>
  </si>
  <si>
    <t>(Russian Federation) Asia</t>
  </si>
  <si>
    <t>(Russian Federation) Baltic Sea</t>
  </si>
  <si>
    <t>(Russian Federation) Barents Sea</t>
  </si>
  <si>
    <t>(Saudi Arabia) Persian Gulf</t>
  </si>
  <si>
    <t>(Saudi Arabia) Red Sea</t>
  </si>
  <si>
    <t>(South Africa) Prince Edward Island</t>
  </si>
  <si>
    <t>(Spain) Canary Islands</t>
  </si>
  <si>
    <t>(Turkey) Black Sea</t>
  </si>
  <si>
    <t>(Turkey) Mediterranean Sea</t>
  </si>
  <si>
    <t xml:space="preserve">(UK) Ascension Islands </t>
  </si>
  <si>
    <t xml:space="preserve">(UK) South Georgia &amp;  Sandwich Islands </t>
  </si>
  <si>
    <t>(UK) Tristan da Cunha Islands</t>
  </si>
  <si>
    <t>USA Coast (West Coast)</t>
  </si>
  <si>
    <t>USA Coast (East Coast)</t>
  </si>
  <si>
    <t>USA Coast (Gulf Coast)</t>
  </si>
  <si>
    <t>(USA) Coast Alaska</t>
  </si>
  <si>
    <t xml:space="preserve">(USA) Baker and Howland Islands </t>
  </si>
  <si>
    <t xml:space="preserve">(USA) Hawaii </t>
  </si>
  <si>
    <t xml:space="preserve">(USA) Jarvis Island </t>
  </si>
  <si>
    <t xml:space="preserve">(USA) Johnston Island </t>
  </si>
  <si>
    <t xml:space="preserve">(USA) Palmyra Island &amp; Kingman Reef </t>
  </si>
  <si>
    <r>
      <rPr>
        <b/>
        <sz val="10"/>
        <color indexed="9"/>
        <rFont val="Arial"/>
        <family val="2"/>
      </rPr>
      <t>Continental Shelf Data, Exclusive Economic Zones and PPR Rates.</t>
    </r>
    <r>
      <rPr>
        <sz val="10"/>
        <color indexed="9"/>
        <rFont val="Arial"/>
        <family val="2"/>
      </rPr>
      <t xml:space="preserve"> Data gathered from http://www.seaaroundus.org/eez/ July 2013</t>
    </r>
  </si>
  <si>
    <t>Color Code</t>
  </si>
  <si>
    <t>No specific data found in Sea Around Us Project July 2013</t>
  </si>
  <si>
    <t>Data Summarized for USSR</t>
  </si>
  <si>
    <t>Data Summarized for Yugoslav SFR</t>
  </si>
  <si>
    <t>Data Summarized for Ethiopia PDR</t>
  </si>
  <si>
    <t>(USA) Midway Islands</t>
  </si>
  <si>
    <t>(Malaysia) Peninsula East</t>
  </si>
  <si>
    <t>Country Code</t>
  </si>
  <si>
    <t>constant_crop_factor</t>
  </si>
  <si>
    <t>Aggregate Groups</t>
  </si>
  <si>
    <t>Group number</t>
  </si>
  <si>
    <t>Nutrition Index</t>
  </si>
  <si>
    <t>Beets for fodder</t>
  </si>
  <si>
    <t>Cabbage for fodder</t>
  </si>
  <si>
    <t>Carrots for fodder</t>
  </si>
  <si>
    <t>Forage and silage, grasses nes</t>
  </si>
  <si>
    <t>Forage and silage, legumes</t>
  </si>
  <si>
    <t>Forage products</t>
  </si>
  <si>
    <t>Fruit, pome nes</t>
  </si>
  <si>
    <t>Jojoba seed</t>
  </si>
  <si>
    <t>Kapok fruit</t>
  </si>
  <si>
    <t>Leeks, other alliaceous vegetables</t>
  </si>
  <si>
    <t>Swedes for fodder</t>
  </si>
  <si>
    <t>Tallowtree seed</t>
  </si>
  <si>
    <t>Turnips for fodder</t>
  </si>
  <si>
    <t>Vegetables and roots fodder</t>
  </si>
  <si>
    <t>Forage and silage, green oilseeds</t>
  </si>
  <si>
    <t>1214.90_h</t>
  </si>
  <si>
    <t>1214.90_l</t>
  </si>
  <si>
    <t>1214.90_f</t>
  </si>
  <si>
    <t>0810.90ab</t>
  </si>
  <si>
    <t>1207.9aj</t>
  </si>
  <si>
    <t>1402_a</t>
  </si>
  <si>
    <t>1214.90_i</t>
  </si>
  <si>
    <t>1207.9ad</t>
  </si>
  <si>
    <t>0902_b</t>
  </si>
  <si>
    <r>
      <t>Production</t>
    </r>
    <r>
      <rPr>
        <b/>
        <vertAlign val="subscript"/>
        <sz val="10"/>
        <rFont val="Arial"/>
        <family val="2"/>
      </rPr>
      <t>N</t>
    </r>
  </si>
  <si>
    <r>
      <t>Area</t>
    </r>
    <r>
      <rPr>
        <b/>
        <vertAlign val="subscript"/>
        <sz val="10"/>
        <rFont val="Arial"/>
        <family val="2"/>
      </rPr>
      <t>N</t>
    </r>
  </si>
  <si>
    <r>
      <t>Production</t>
    </r>
    <r>
      <rPr>
        <b/>
        <vertAlign val="subscript"/>
        <sz val="10"/>
        <rFont val="Arial"/>
        <family val="2"/>
      </rPr>
      <t>W</t>
    </r>
  </si>
  <si>
    <r>
      <t>Area</t>
    </r>
    <r>
      <rPr>
        <b/>
        <vertAlign val="subscript"/>
        <sz val="10"/>
        <rFont val="Arial"/>
        <family val="2"/>
      </rPr>
      <t>W</t>
    </r>
  </si>
  <si>
    <r>
      <t>Yield</t>
    </r>
    <r>
      <rPr>
        <b/>
        <vertAlign val="subscript"/>
        <sz val="10"/>
        <rFont val="Arial"/>
        <family val="2"/>
      </rPr>
      <t>N</t>
    </r>
  </si>
  <si>
    <r>
      <t>Yield</t>
    </r>
    <r>
      <rPr>
        <b/>
        <vertAlign val="subscript"/>
        <sz val="10"/>
        <rFont val="Arial"/>
        <family val="2"/>
      </rPr>
      <t>W</t>
    </r>
  </si>
  <si>
    <r>
      <t>Production</t>
    </r>
    <r>
      <rPr>
        <b/>
        <vertAlign val="subscript"/>
        <sz val="10"/>
        <rFont val="Arial"/>
        <family val="2"/>
      </rPr>
      <t xml:space="preserve">W </t>
    </r>
    <r>
      <rPr>
        <b/>
        <sz val="10"/>
        <rFont val="Arial"/>
        <family val="2"/>
      </rPr>
      <t>(Nutr-Adj)</t>
    </r>
  </si>
  <si>
    <r>
      <t>Production</t>
    </r>
    <r>
      <rPr>
        <b/>
        <vertAlign val="subscript"/>
        <sz val="10"/>
        <rFont val="Arial"/>
        <family val="2"/>
      </rPr>
      <t xml:space="preserve">N </t>
    </r>
    <r>
      <rPr>
        <b/>
        <sz val="10"/>
        <rFont val="Arial"/>
        <family val="2"/>
      </rPr>
      <t>(Nutr-Adj)</t>
    </r>
  </si>
  <si>
    <t>[wha ha-1]</t>
  </si>
  <si>
    <t>Cereals, World</t>
  </si>
  <si>
    <t>Agreggate Group</t>
  </si>
  <si>
    <r>
      <t>Area</t>
    </r>
    <r>
      <rPr>
        <vertAlign val="subscript"/>
        <sz val="10"/>
        <rFont val="Arial"/>
        <family val="2"/>
      </rPr>
      <t>N</t>
    </r>
  </si>
  <si>
    <r>
      <t>Production (Nutr-Adj)</t>
    </r>
    <r>
      <rPr>
        <vertAlign val="subscript"/>
        <sz val="10"/>
        <rFont val="Arial"/>
        <family val="2"/>
      </rPr>
      <t>N</t>
    </r>
  </si>
  <si>
    <r>
      <t>Production (Nutr-Adj)</t>
    </r>
    <r>
      <rPr>
        <b/>
        <vertAlign val="subscript"/>
        <sz val="10"/>
        <rFont val="Arial"/>
        <family val="2"/>
      </rPr>
      <t>W</t>
    </r>
  </si>
  <si>
    <r>
      <t>Exports</t>
    </r>
    <r>
      <rPr>
        <b/>
        <vertAlign val="subscript"/>
        <sz val="10"/>
        <rFont val="Arial"/>
        <family val="2"/>
      </rPr>
      <t>N</t>
    </r>
  </si>
  <si>
    <r>
      <t>Imports</t>
    </r>
    <r>
      <rPr>
        <b/>
        <vertAlign val="subscript"/>
        <sz val="10"/>
        <rFont val="Arial"/>
        <family val="2"/>
      </rPr>
      <t>N</t>
    </r>
  </si>
  <si>
    <r>
      <t>Exports</t>
    </r>
    <r>
      <rPr>
        <b/>
        <vertAlign val="subscript"/>
        <sz val="10"/>
        <rFont val="Arial"/>
        <family val="2"/>
      </rPr>
      <t>W</t>
    </r>
  </si>
  <si>
    <r>
      <t>Imports</t>
    </r>
    <r>
      <rPr>
        <b/>
        <vertAlign val="subscript"/>
        <sz val="10"/>
        <rFont val="Arial"/>
        <family val="2"/>
      </rPr>
      <t>W</t>
    </r>
  </si>
  <si>
    <t>[m3 or t yr-1]</t>
  </si>
  <si>
    <t>Water Content</t>
  </si>
  <si>
    <t>crop_intensity</t>
  </si>
  <si>
    <t>ef_forest_products</t>
  </si>
  <si>
    <t>constant_forest_extr</t>
  </si>
  <si>
    <t>forest_trade</t>
  </si>
  <si>
    <t>carbon_trade</t>
  </si>
  <si>
    <t>[gha wha-1]</t>
  </si>
  <si>
    <r>
      <t>Imports</t>
    </r>
    <r>
      <rPr>
        <b/>
        <vertAlign val="subscript"/>
        <sz val="10"/>
        <rFont val="Arial"/>
        <family val="2"/>
      </rPr>
      <t>N</t>
    </r>
    <r>
      <rPr>
        <b/>
        <sz val="10"/>
        <rFont val="Arial"/>
        <family val="2"/>
      </rPr>
      <t xml:space="preserve"> (Weight-Adj)</t>
    </r>
  </si>
  <si>
    <r>
      <t>Embodied Crop Footprint</t>
    </r>
    <r>
      <rPr>
        <b/>
        <vertAlign val="subscript"/>
        <sz val="10"/>
        <color indexed="9"/>
        <rFont val="Arial"/>
        <family val="2"/>
      </rPr>
      <t>I</t>
    </r>
  </si>
  <si>
    <r>
      <t>Embodied Crop Footprint</t>
    </r>
    <r>
      <rPr>
        <b/>
        <vertAlign val="subscript"/>
        <sz val="10"/>
        <color indexed="9"/>
        <rFont val="Arial"/>
        <family val="2"/>
      </rPr>
      <t>E</t>
    </r>
  </si>
  <si>
    <r>
      <t>Marine Production</t>
    </r>
    <r>
      <rPr>
        <b/>
        <vertAlign val="subscript"/>
        <sz val="10"/>
        <color indexed="9"/>
        <rFont val="Arial"/>
        <family val="2"/>
      </rPr>
      <t>W</t>
    </r>
  </si>
  <si>
    <r>
      <t>Inland Production</t>
    </r>
    <r>
      <rPr>
        <b/>
        <vertAlign val="subscript"/>
        <sz val="10"/>
        <color indexed="9"/>
        <rFont val="Arial"/>
        <family val="2"/>
      </rPr>
      <t>W</t>
    </r>
  </si>
  <si>
    <r>
      <t>EF</t>
    </r>
    <r>
      <rPr>
        <b/>
        <vertAlign val="subscript"/>
        <sz val="10"/>
        <color indexed="9"/>
        <rFont val="Arial"/>
        <family val="2"/>
      </rPr>
      <t>p</t>
    </r>
    <r>
      <rPr>
        <b/>
        <sz val="10"/>
        <color indexed="9"/>
        <rFont val="Arial"/>
        <family val="2"/>
      </rPr>
      <t xml:space="preserve"> World</t>
    </r>
  </si>
  <si>
    <t xml:space="preserve">Imports + Production </t>
  </si>
  <si>
    <t>Wood Fuel (Total)</t>
  </si>
  <si>
    <r>
      <t>m</t>
    </r>
    <r>
      <rPr>
        <b/>
        <vertAlign val="superscript"/>
        <sz val="10"/>
        <rFont val="Arial"/>
        <family val="2"/>
      </rPr>
      <t>3</t>
    </r>
    <r>
      <rPr>
        <sz val="10"/>
        <rFont val="Arial"/>
        <family val="2"/>
      </rPr>
      <t/>
    </r>
  </si>
  <si>
    <r>
      <t>m</t>
    </r>
    <r>
      <rPr>
        <vertAlign val="superscript"/>
        <sz val="10"/>
        <color theme="1" tint="0.249977111117893"/>
        <rFont val="Arial"/>
        <family val="2"/>
      </rPr>
      <t>3</t>
    </r>
    <r>
      <rPr>
        <sz val="10"/>
        <rFont val="Arial"/>
        <family val="2"/>
      </rPr>
      <t/>
    </r>
  </si>
  <si>
    <t>Industrial Roundwood (Total)</t>
  </si>
  <si>
    <r>
      <t>m</t>
    </r>
    <r>
      <rPr>
        <b/>
        <vertAlign val="superscript"/>
        <sz val="10"/>
        <rFont val="Arial"/>
        <family val="2"/>
      </rPr>
      <t>3</t>
    </r>
  </si>
  <si>
    <t>Industrial Roundwood (C)</t>
  </si>
  <si>
    <r>
      <t>m</t>
    </r>
    <r>
      <rPr>
        <vertAlign val="superscript"/>
        <sz val="10"/>
        <color theme="1" tint="0.249977111117893"/>
        <rFont val="Arial"/>
        <family val="2"/>
      </rPr>
      <t>3</t>
    </r>
  </si>
  <si>
    <t>Industrial Roundwood (NC)</t>
  </si>
  <si>
    <t>Sawlogs and Veneer Logs (Total)</t>
  </si>
  <si>
    <t>Sawlogs and Veneer Logs (C)</t>
  </si>
  <si>
    <t>Sawlogs and Veneer Logs (NC)</t>
  </si>
  <si>
    <t>Pulpwood, round and split (Total)</t>
  </si>
  <si>
    <t>Pulpwood, round and split (C)</t>
  </si>
  <si>
    <t>Pulpwood, round and split (NC)</t>
  </si>
  <si>
    <t>Pulpwood+Particles (Total)</t>
  </si>
  <si>
    <t>Pulpwood+Particles (C)</t>
  </si>
  <si>
    <t>Pulpwood+Particles (NC)</t>
  </si>
  <si>
    <t>Other Industrial Roundwood</t>
  </si>
  <si>
    <t>Other Industrial Roundwood (C)</t>
  </si>
  <si>
    <t>Other Industrial Roundwood (NC)</t>
  </si>
  <si>
    <t>Sawnwood (Total)</t>
  </si>
  <si>
    <t>Fibreboard</t>
  </si>
  <si>
    <t>Household + Sanitary Paper</t>
  </si>
  <si>
    <t>Packaging Materials</t>
  </si>
  <si>
    <t>Other Papers &amp; Packaging</t>
  </si>
  <si>
    <t>Paper + Paperboard NES</t>
  </si>
  <si>
    <t>Include in EF</t>
  </si>
  <si>
    <t>[t or head]</t>
  </si>
  <si>
    <r>
      <t>Live Weight</t>
    </r>
    <r>
      <rPr>
        <b/>
        <vertAlign val="subscript"/>
        <sz val="10"/>
        <rFont val="Arial"/>
        <family val="2"/>
      </rPr>
      <t>e</t>
    </r>
  </si>
  <si>
    <r>
      <t>Live Weight</t>
    </r>
    <r>
      <rPr>
        <b/>
        <vertAlign val="subscript"/>
        <sz val="10"/>
        <rFont val="Arial"/>
        <family val="2"/>
      </rPr>
      <t>i</t>
    </r>
  </si>
  <si>
    <t>Bran, wheat</t>
  </si>
  <si>
    <t>Beverages, fermented wheat</t>
  </si>
  <si>
    <t>Rice – total (Rice milled equivalent)</t>
  </si>
  <si>
    <t>Bran, rice</t>
  </si>
  <si>
    <t>Cake, rice bran</t>
  </si>
  <si>
    <t>Bran, maize</t>
  </si>
  <si>
    <t>Cake, maize</t>
  </si>
  <si>
    <t>Beer of maize</t>
  </si>
  <si>
    <t>Bran, millet</t>
  </si>
  <si>
    <t>Beer of millet</t>
  </si>
  <si>
    <t>Bran, sorghum</t>
  </si>
  <si>
    <t>Bran, buckwheat</t>
  </si>
  <si>
    <t>Bran, fonio</t>
  </si>
  <si>
    <t>Bran, triticale</t>
  </si>
  <si>
    <t>Potato offals</t>
  </si>
  <si>
    <t>Beet pulp</t>
  </si>
  <si>
    <t>Cake, soybeans</t>
  </si>
  <si>
    <t>Cake, groundnuts</t>
  </si>
  <si>
    <t>Cake, copra</t>
  </si>
  <si>
    <t>Cake, palm kernel</t>
  </si>
  <si>
    <t>Cake, sunflower</t>
  </si>
  <si>
    <t>Cake, rapeseed</t>
  </si>
  <si>
    <t>Cake, safflower</t>
  </si>
  <si>
    <t>Cake, sesame seed</t>
  </si>
  <si>
    <t>Cake, mustard</t>
  </si>
  <si>
    <t>Cake, kapok</t>
  </si>
  <si>
    <t>Cake, cottonseed</t>
  </si>
  <si>
    <t>Cake, linseed</t>
  </si>
  <si>
    <t>Cake, hempseed</t>
  </si>
  <si>
    <t>Beet tops</t>
  </si>
  <si>
    <t>Straw husks</t>
  </si>
  <si>
    <t>Leaves, tops, vines nes</t>
  </si>
  <si>
    <t>Feed, vegetable products nes</t>
  </si>
  <si>
    <t>Food wastes</t>
  </si>
  <si>
    <t>Dregs from brewing, distillation</t>
  </si>
  <si>
    <t>Feed, compound, nes</t>
  </si>
  <si>
    <t>Feed and meal, gluten</t>
  </si>
  <si>
    <t>Feed supplements</t>
  </si>
  <si>
    <t>Alfalfa meal and pellets</t>
  </si>
  <si>
    <t>Wheat and products</t>
  </si>
  <si>
    <t>Barley and Products</t>
  </si>
  <si>
    <t>Maize and products</t>
  </si>
  <si>
    <t>Rye and products</t>
  </si>
  <si>
    <t>Millet and products</t>
  </si>
  <si>
    <t>Sorghum and products</t>
  </si>
  <si>
    <t>Potatoes and products</t>
  </si>
  <si>
    <t>Cassava and Products</t>
  </si>
  <si>
    <t>Sugar Non-Centrifugal</t>
  </si>
  <si>
    <t>Pulses, Other and products</t>
  </si>
  <si>
    <t>Tomatoes and products</t>
  </si>
  <si>
    <t>Apples and products</t>
  </si>
  <si>
    <t>Cocoa Beans and products</t>
  </si>
  <si>
    <t>Offals, Edible</t>
  </si>
  <si>
    <t>Milk - Excluding Butter</t>
  </si>
  <si>
    <t>Source for Cereal Crops - FAO - Definition and Classification of Commodities, Cereals and Cereal Products - http://www.fao.org/es/faodef/fdef01e.htm</t>
  </si>
  <si>
    <t>Available Dry Matter</t>
  </si>
  <si>
    <t>Dry Feed Amount</t>
  </si>
  <si>
    <t>Primary Code</t>
  </si>
  <si>
    <t>Beverages, distilled alcoholic</t>
  </si>
  <si>
    <t>Brazil nuts, shelled</t>
  </si>
  <si>
    <t>Cashew nuts, shelled</t>
  </si>
  <si>
    <t>Cereals, breakfast</t>
  </si>
  <si>
    <t>Cherries, sour</t>
  </si>
  <si>
    <t>Chestnut</t>
  </si>
  <si>
    <t>Chocolate products nes</t>
  </si>
  <si>
    <t>Cigars, cheroots</t>
  </si>
  <si>
    <t>Cocoa, beans</t>
  </si>
  <si>
    <t>Cocoa, butter</t>
  </si>
  <si>
    <t>Cocoa, paste</t>
  </si>
  <si>
    <t>Cocoa, powder &amp; cake</t>
  </si>
  <si>
    <t>Coconuts, desiccated</t>
  </si>
  <si>
    <t>Coffee, extracts</t>
  </si>
  <si>
    <t>Coffee, husks and skins</t>
  </si>
  <si>
    <t>Coffee, roasted</t>
  </si>
  <si>
    <t>Coffee, substitutes containing coffee</t>
  </si>
  <si>
    <t>Cotton, carded, combed</t>
  </si>
  <si>
    <t>Feed, pulp of fruit</t>
  </si>
  <si>
    <t>Flour, cereals</t>
  </si>
  <si>
    <t>Flour, fonio</t>
  </si>
  <si>
    <t>Flour, maize</t>
  </si>
  <si>
    <t>Flour, mixed grain</t>
  </si>
  <si>
    <t>Flour, mustard</t>
  </si>
  <si>
    <t>Flour, potatoes</t>
  </si>
  <si>
    <t>Flour, pulses</t>
  </si>
  <si>
    <t>Flour, roots and tubers nes</t>
  </si>
  <si>
    <t>Flour, wheat</t>
  </si>
  <si>
    <t>Food preparations, flour, malt extract</t>
  </si>
  <si>
    <t>Forage and silage, clover</t>
  </si>
  <si>
    <t>Fructose and syrup, other</t>
  </si>
  <si>
    <t>Fruit, cooked, homogenized preparations</t>
  </si>
  <si>
    <t>Fruit, dried nes</t>
  </si>
  <si>
    <t>Fruit, fresh nes</t>
  </si>
  <si>
    <t>Fruit, prepared nes</t>
  </si>
  <si>
    <t>Germ, maize</t>
  </si>
  <si>
    <t>Grain, mixed</t>
  </si>
  <si>
    <t>Groundnuts, shelled</t>
  </si>
  <si>
    <t>Hazelnuts, shelled</t>
  </si>
  <si>
    <t>Juice, citrus, concentrated</t>
  </si>
  <si>
    <t>Juice, citrus, single strength</t>
  </si>
  <si>
    <t>Juice, fruit nes</t>
  </si>
  <si>
    <t>Juice, grape</t>
  </si>
  <si>
    <t>Juice, grapefruit</t>
  </si>
  <si>
    <t>Juice, grapefruit, concentrated</t>
  </si>
  <si>
    <t>Juice, lemon, concentrated</t>
  </si>
  <si>
    <t>Juice, orange, concentrated</t>
  </si>
  <si>
    <t>Juice, orange, single strength</t>
  </si>
  <si>
    <t>Juice, pineapple</t>
  </si>
  <si>
    <t>Juice, pineapple, concentrated</t>
  </si>
  <si>
    <t>Juice, plum, concentrated</t>
  </si>
  <si>
    <t>Juice, plum, single strength</t>
  </si>
  <si>
    <t>Juice, tomato</t>
  </si>
  <si>
    <t>Kola nuts</t>
  </si>
  <si>
    <t>Margarine, liquid</t>
  </si>
  <si>
    <t>Melons, other (inc.cantaloupes)</t>
  </si>
  <si>
    <t>Mushrooms, canned</t>
  </si>
  <si>
    <t>Nuts, prepared (exc. groundnuts)</t>
  </si>
  <si>
    <t>Oil, boiled etc</t>
  </si>
  <si>
    <t>Oil, castor beans</t>
  </si>
  <si>
    <t>Oil, coconut (copra)</t>
  </si>
  <si>
    <t>Oil, cottonseed</t>
  </si>
  <si>
    <t>Oil, groundnut</t>
  </si>
  <si>
    <t>Oil, kapok</t>
  </si>
  <si>
    <t>Oil, linseed</t>
  </si>
  <si>
    <t>Oil, maize</t>
  </si>
  <si>
    <t>Oil, olive residues</t>
  </si>
  <si>
    <t>Oil, olive, virgin</t>
  </si>
  <si>
    <t>Oil, palm</t>
  </si>
  <si>
    <t>Oil, palm kernel</t>
  </si>
  <si>
    <t>Oil, poppy</t>
  </si>
  <si>
    <t>Oil, rapeseed</t>
  </si>
  <si>
    <t>Oil, rice bran</t>
  </si>
  <si>
    <t>Oil, safflower</t>
  </si>
  <si>
    <t>Oil, sesame</t>
  </si>
  <si>
    <t>Oil, soybean</t>
  </si>
  <si>
    <t>Oil, sunflower</t>
  </si>
  <si>
    <t>Oil, vegetable origin nes</t>
  </si>
  <si>
    <t>Onions, shallots, green</t>
  </si>
  <si>
    <t>Pineapples canned</t>
  </si>
  <si>
    <t>Potatoes, frozen</t>
  </si>
  <si>
    <t>Rice, milled/husked</t>
  </si>
  <si>
    <t>Rubber natural dry</t>
  </si>
  <si>
    <t>Rubber, natural</t>
  </si>
  <si>
    <t>Starch, cassava</t>
  </si>
  <si>
    <t>Sugar non-centrifugal</t>
  </si>
  <si>
    <t>Tangerines, mandarins, clementines, satsumas</t>
  </si>
  <si>
    <t>Tea, mate extracts</t>
  </si>
  <si>
    <t>Tomatoes, paste</t>
  </si>
  <si>
    <t>Tomatoes, peeled</t>
  </si>
  <si>
    <t>Vegetables, canned nes</t>
  </si>
  <si>
    <t>Vegetables, dehydrated</t>
  </si>
  <si>
    <t>Vegetables, fresh nes</t>
  </si>
  <si>
    <t>Vegetables, fresh or dried products nes</t>
  </si>
  <si>
    <t>Vegetables, frozen</t>
  </si>
  <si>
    <t>Vegetables, homogenized preparations</t>
  </si>
  <si>
    <t>Vegetables, preserved nes</t>
  </si>
  <si>
    <t>Vegetables, preserved, frozen</t>
  </si>
  <si>
    <t>Vegetables, temporarily preserved</t>
  </si>
  <si>
    <t>Vermouths &amp; similar</t>
  </si>
  <si>
    <t>Walnuts, shelled</t>
  </si>
  <si>
    <t>Pet food</t>
  </si>
  <si>
    <t>Meat, cattle</t>
  </si>
  <si>
    <t>Offals, edible, cattle</t>
  </si>
  <si>
    <t>Fat, cattle</t>
  </si>
  <si>
    <t>Meat, cattle, boneless (beef &amp; veal)</t>
  </si>
  <si>
    <t>Meat, beef and veal sausages</t>
  </si>
  <si>
    <t>Meat, beef, preparations</t>
  </si>
  <si>
    <t>Milk, whole fresh cow</t>
  </si>
  <si>
    <t>Cream fresh</t>
  </si>
  <si>
    <t>Butter, cow milk</t>
  </si>
  <si>
    <t>Milk, skimmed cow</t>
  </si>
  <si>
    <t>Milk, whole condensed</t>
  </si>
  <si>
    <t>Whey, condensed</t>
  </si>
  <si>
    <t>Yoghurt, concentrated or not</t>
  </si>
  <si>
    <t>Buttermilk, curdled, acidified milk</t>
  </si>
  <si>
    <t>Milk, whole evaporated</t>
  </si>
  <si>
    <t>Milk, whole dried</t>
  </si>
  <si>
    <t>Milk, skimmed dried</t>
  </si>
  <si>
    <t>Whey, dry</t>
  </si>
  <si>
    <t>Cheese, whole cow milk</t>
  </si>
  <si>
    <t>Cheese, processed</t>
  </si>
  <si>
    <t>Milk, reconstituted</t>
  </si>
  <si>
    <t>Milk, products of natural constituents nes</t>
  </si>
  <si>
    <t>Ice cream and edible ice</t>
  </si>
  <si>
    <t>Hides, cattle, fresh</t>
  </si>
  <si>
    <t>Hides, cattle, wet salted</t>
  </si>
  <si>
    <t>Skins, calve, fresh</t>
  </si>
  <si>
    <t>Skins, calve, wet salted</t>
  </si>
  <si>
    <t>Ghee, of buffalo milk</t>
  </si>
  <si>
    <t>Hides, buffalo, wet salted</t>
  </si>
  <si>
    <t>Hides, buffalo, dry salted</t>
  </si>
  <si>
    <t>Meat, sheep</t>
  </si>
  <si>
    <t>Offals, sheep,edible</t>
  </si>
  <si>
    <t>Milk, whole fresh sheep</t>
  </si>
  <si>
    <t>Cheese, sheep milk</t>
  </si>
  <si>
    <t>Wool, degreased</t>
  </si>
  <si>
    <t>Grease incl. lanolin wool</t>
  </si>
  <si>
    <t>Skins, sheep, fresh</t>
  </si>
  <si>
    <t>Skins, sheep, wet salted</t>
  </si>
  <si>
    <t>Skins, sheep, dry salted</t>
  </si>
  <si>
    <t>Skins, sheep, with wool</t>
  </si>
  <si>
    <t>Wool, hair waste</t>
  </si>
  <si>
    <t>Meat, goat</t>
  </si>
  <si>
    <t>Offals, edible, goats</t>
  </si>
  <si>
    <t>Milk, whole fresh goat</t>
  </si>
  <si>
    <t>Butter of goat mlk</t>
  </si>
  <si>
    <t>Milk, skimmed goat</t>
  </si>
  <si>
    <t>Skins, goat, wet salted</t>
  </si>
  <si>
    <t>Hair, goat, coarse</t>
  </si>
  <si>
    <t>Meat, pig</t>
  </si>
  <si>
    <t>Offals, pigs, edible</t>
  </si>
  <si>
    <t>Fat, pigs</t>
  </si>
  <si>
    <t>Meat, pork</t>
  </si>
  <si>
    <t>Bacon and ham</t>
  </si>
  <si>
    <t>Meat, pig sausages</t>
  </si>
  <si>
    <t>Meat, pig, preparations</t>
  </si>
  <si>
    <t>Meat, chicken</t>
  </si>
  <si>
    <t>Offals, liver chicken</t>
  </si>
  <si>
    <t>Fat, liver prepared (foie gras)</t>
  </si>
  <si>
    <t>Meat, chicken, canned</t>
  </si>
  <si>
    <t>Eggs, hen, in shell</t>
  </si>
  <si>
    <t>Eggs, liquid</t>
  </si>
  <si>
    <t>Eggs, dried</t>
  </si>
  <si>
    <t>Meat, duck</t>
  </si>
  <si>
    <t>Meat, goose and guinea fowl</t>
  </si>
  <si>
    <t>Offals, liver geese</t>
  </si>
  <si>
    <t>Offals, liver duck</t>
  </si>
  <si>
    <t>Meat, turkey</t>
  </si>
  <si>
    <t>Pigeons, other birds</t>
  </si>
  <si>
    <t>Eggs, other bird, in shell</t>
  </si>
  <si>
    <t>Meat, horse</t>
  </si>
  <si>
    <t>Hides, horse, dry salted</t>
  </si>
  <si>
    <t>Meat, ass</t>
  </si>
  <si>
    <t>Fat, camels</t>
  </si>
  <si>
    <t>Hides, camel, wet salted</t>
  </si>
  <si>
    <t>Hides, camel, nes</t>
  </si>
  <si>
    <t>Meat, rabbit</t>
  </si>
  <si>
    <t>Rodents, other</t>
  </si>
  <si>
    <t>Camelids, other</t>
  </si>
  <si>
    <t>Offals, other camelids</t>
  </si>
  <si>
    <t>Meat, game</t>
  </si>
  <si>
    <t>Meat, dried nes</t>
  </si>
  <si>
    <t>Meat, nes</t>
  </si>
  <si>
    <t>Oils, fats of animal nes</t>
  </si>
  <si>
    <t>Animals live nes</t>
  </si>
  <si>
    <t>Meal, meat</t>
  </si>
  <si>
    <t>Silk raw</t>
  </si>
  <si>
    <t>Cocoons, unreelable &amp; waste</t>
  </si>
  <si>
    <t>Hides and skins nes, fresh</t>
  </si>
  <si>
    <t>Hides, nes</t>
  </si>
  <si>
    <t>Hair, fine</t>
  </si>
  <si>
    <t>Fat, nes, prepared</t>
  </si>
  <si>
    <t>Fatty acids</t>
  </si>
  <si>
    <t>Fatty substance residues</t>
  </si>
  <si>
    <t>Parent Key</t>
  </si>
  <si>
    <t>Top Parent Code</t>
  </si>
  <si>
    <t>32739*</t>
  </si>
  <si>
    <t>23220*</t>
  </si>
  <si>
    <t>1880080*</t>
  </si>
  <si>
    <t>925516*</t>
  </si>
  <si>
    <t>2290330*</t>
  </si>
  <si>
    <t>1796120*</t>
  </si>
  <si>
    <t>19960936*</t>
  </si>
  <si>
    <t>14155886*</t>
  </si>
  <si>
    <t>4040699*</t>
  </si>
  <si>
    <t>2091554*</t>
  </si>
  <si>
    <t>81816*</t>
  </si>
  <si>
    <t>72923*</t>
  </si>
  <si>
    <t>2527*</t>
  </si>
  <si>
    <t>1941*</t>
  </si>
  <si>
    <t>3300*</t>
  </si>
  <si>
    <t>6630*</t>
  </si>
  <si>
    <t>29226*</t>
  </si>
  <si>
    <t>10553*</t>
  </si>
  <si>
    <t>136765*</t>
  </si>
  <si>
    <t>269974*</t>
  </si>
  <si>
    <t>97908*</t>
  </si>
  <si>
    <t>50537*</t>
  </si>
  <si>
    <t>2*</t>
  </si>
  <si>
    <t>1*</t>
  </si>
  <si>
    <t>1623*</t>
  </si>
  <si>
    <t>135*</t>
  </si>
  <si>
    <t>854*</t>
  </si>
  <si>
    <t>367*</t>
  </si>
  <si>
    <t>934*</t>
  </si>
  <si>
    <t>812*</t>
  </si>
  <si>
    <t>600*</t>
  </si>
  <si>
    <t>266*</t>
  </si>
  <si>
    <t>1513*</t>
  </si>
  <si>
    <t>332*</t>
  </si>
  <si>
    <t>140*</t>
  </si>
  <si>
    <t>55*</t>
  </si>
  <si>
    <t>4035*</t>
  </si>
  <si>
    <t>440*</t>
  </si>
  <si>
    <t>19081*</t>
  </si>
  <si>
    <t>6717*</t>
  </si>
  <si>
    <t>164952*</t>
  </si>
  <si>
    <t>96602*</t>
  </si>
  <si>
    <t>429691*</t>
  </si>
  <si>
    <t>103557*</t>
  </si>
  <si>
    <t>29554*</t>
  </si>
  <si>
    <t>23396*</t>
  </si>
  <si>
    <t>29488*</t>
  </si>
  <si>
    <t>10744*</t>
  </si>
  <si>
    <t>57897*</t>
  </si>
  <si>
    <t>39239*</t>
  </si>
  <si>
    <t>2526*</t>
  </si>
  <si>
    <t>1754*</t>
  </si>
  <si>
    <t>90254*</t>
  </si>
  <si>
    <t>90424*</t>
  </si>
  <si>
    <t>48309*</t>
  </si>
  <si>
    <t>44677*</t>
  </si>
  <si>
    <t>365*</t>
  </si>
  <si>
    <t>549*</t>
  </si>
  <si>
    <t>102669*</t>
  </si>
  <si>
    <t>11084*</t>
  </si>
  <si>
    <t>335193*</t>
  </si>
  <si>
    <t>49538*</t>
  </si>
  <si>
    <t>397061*</t>
  </si>
  <si>
    <t>243186*</t>
  </si>
  <si>
    <t>1562*</t>
  </si>
  <si>
    <t>961*</t>
  </si>
  <si>
    <t>1491*</t>
  </si>
  <si>
    <t>1501*</t>
  </si>
  <si>
    <t>4583*</t>
  </si>
  <si>
    <t>2972*</t>
  </si>
  <si>
    <t>951307*</t>
  </si>
  <si>
    <t>594717*</t>
  </si>
  <si>
    <t>322246*</t>
  </si>
  <si>
    <t>82187*</t>
  </si>
  <si>
    <t>10725*</t>
  </si>
  <si>
    <t>21263*</t>
  </si>
  <si>
    <t>*</t>
  </si>
  <si>
    <t>29252*</t>
  </si>
  <si>
    <t>81219*</t>
  </si>
  <si>
    <t>88198*</t>
  </si>
  <si>
    <t>64425*</t>
  </si>
  <si>
    <t>1649*</t>
  </si>
  <si>
    <t>4501*</t>
  </si>
  <si>
    <t>249465*</t>
  </si>
  <si>
    <t>286332*</t>
  </si>
  <si>
    <t>418013*</t>
  </si>
  <si>
    <t>859692*</t>
  </si>
  <si>
    <t>29713*</t>
  </si>
  <si>
    <t>12446*</t>
  </si>
  <si>
    <t>503*</t>
  </si>
  <si>
    <t>40*</t>
  </si>
  <si>
    <t>3418*</t>
  </si>
  <si>
    <t>5380*</t>
  </si>
  <si>
    <t>399006*</t>
  </si>
  <si>
    <t>40144*</t>
  </si>
  <si>
    <t>15*</t>
  </si>
  <si>
    <t>33*</t>
  </si>
  <si>
    <t>1546*</t>
  </si>
  <si>
    <t>4078*</t>
  </si>
  <si>
    <t>Jojoba Seed</t>
  </si>
  <si>
    <t>683*</t>
  </si>
  <si>
    <t>5048*</t>
  </si>
  <si>
    <t>1625*</t>
  </si>
  <si>
    <t>968*</t>
  </si>
  <si>
    <t>11081*</t>
  </si>
  <si>
    <t>15485*</t>
  </si>
  <si>
    <t>14785*</t>
  </si>
  <si>
    <t>3949*</t>
  </si>
  <si>
    <t>0*</t>
  </si>
  <si>
    <t>22481*</t>
  </si>
  <si>
    <t>24364*</t>
  </si>
  <si>
    <t>908051*</t>
  </si>
  <si>
    <t>197928*</t>
  </si>
  <si>
    <t>1774958*</t>
  </si>
  <si>
    <t>851297*</t>
  </si>
  <si>
    <t>7924*</t>
  </si>
  <si>
    <t>5538*</t>
  </si>
  <si>
    <t>44922*</t>
  </si>
  <si>
    <t>54801*</t>
  </si>
  <si>
    <t>395*</t>
  </si>
  <si>
    <t>2004*</t>
  </si>
  <si>
    <t>38711*</t>
  </si>
  <si>
    <t>19519*</t>
  </si>
  <si>
    <t>53572*</t>
  </si>
  <si>
    <t>466762*</t>
  </si>
  <si>
    <t>4575*</t>
  </si>
  <si>
    <t>9951*</t>
  </si>
  <si>
    <t>41651*</t>
  </si>
  <si>
    <t>61441*</t>
  </si>
  <si>
    <t>24656*</t>
  </si>
  <si>
    <t>45545*</t>
  </si>
  <si>
    <t>245*</t>
  </si>
  <si>
    <t>175*</t>
  </si>
  <si>
    <t>132967*</t>
  </si>
  <si>
    <t>116122*</t>
  </si>
  <si>
    <t>52621*</t>
  </si>
  <si>
    <t>51943*</t>
  </si>
  <si>
    <t>872939*</t>
  </si>
  <si>
    <t>1187433*</t>
  </si>
  <si>
    <t>1280967*</t>
  </si>
  <si>
    <t>2110360*</t>
  </si>
  <si>
    <t>923*</t>
  </si>
  <si>
    <t>964*</t>
  </si>
  <si>
    <t>108790*</t>
  </si>
  <si>
    <t>540959*</t>
  </si>
  <si>
    <t>55432*</t>
  </si>
  <si>
    <t>271701*</t>
  </si>
  <si>
    <t>336327*</t>
  </si>
  <si>
    <t>255152*</t>
  </si>
  <si>
    <t>4742*</t>
  </si>
  <si>
    <t>1993*</t>
  </si>
  <si>
    <t>7762*</t>
  </si>
  <si>
    <t>4860*</t>
  </si>
  <si>
    <t>1899*</t>
  </si>
  <si>
    <t>1991*</t>
  </si>
  <si>
    <t>25543*</t>
  </si>
  <si>
    <t>76996*</t>
  </si>
  <si>
    <t>46521*</t>
  </si>
  <si>
    <t>155295*</t>
  </si>
  <si>
    <t>99085*</t>
  </si>
  <si>
    <t>243861*</t>
  </si>
  <si>
    <t>166*</t>
  </si>
  <si>
    <t>17*</t>
  </si>
  <si>
    <t>16*</t>
  </si>
  <si>
    <t>4*</t>
  </si>
  <si>
    <t>26552*</t>
  </si>
  <si>
    <t>8243*</t>
  </si>
  <si>
    <t>17761*</t>
  </si>
  <si>
    <t>5371*</t>
  </si>
  <si>
    <t>Forage Products</t>
  </si>
  <si>
    <t>57*</t>
  </si>
  <si>
    <t>10*</t>
  </si>
  <si>
    <t>122316*</t>
  </si>
  <si>
    <t>51934*</t>
  </si>
  <si>
    <t>16118*</t>
  </si>
  <si>
    <t>13735*</t>
  </si>
  <si>
    <t>2320*</t>
  </si>
  <si>
    <t>913*</t>
  </si>
  <si>
    <t>97*</t>
  </si>
  <si>
    <t>212*</t>
  </si>
  <si>
    <t>14343*</t>
  </si>
  <si>
    <t>16869*</t>
  </si>
  <si>
    <t>255749*</t>
  </si>
  <si>
    <t>67977*</t>
  </si>
  <si>
    <t>180899*</t>
  </si>
  <si>
    <t>133434*</t>
  </si>
  <si>
    <t>6784*</t>
  </si>
  <si>
    <t>24248*</t>
  </si>
  <si>
    <t>140498*</t>
  </si>
  <si>
    <t>86457*</t>
  </si>
  <si>
    <t>187392*</t>
  </si>
  <si>
    <t>98955*</t>
  </si>
  <si>
    <t>53313*</t>
  </si>
  <si>
    <t>47077*</t>
  </si>
  <si>
    <t>25702*</t>
  </si>
  <si>
    <t>33392*</t>
  </si>
  <si>
    <t>68528*</t>
  </si>
  <si>
    <t>13940*</t>
  </si>
  <si>
    <t>29*</t>
  </si>
  <si>
    <t>48*</t>
  </si>
  <si>
    <t>27395*</t>
  </si>
  <si>
    <t>218867*</t>
  </si>
  <si>
    <t>36258*</t>
  </si>
  <si>
    <t>241027*</t>
  </si>
  <si>
    <t>48603*</t>
  </si>
  <si>
    <t>180836*</t>
  </si>
  <si>
    <t>41001*</t>
  </si>
  <si>
    <t>211424*</t>
  </si>
  <si>
    <t>52791*</t>
  </si>
  <si>
    <t>191874*</t>
  </si>
  <si>
    <t>64329*</t>
  </si>
  <si>
    <t>94157*</t>
  </si>
  <si>
    <t>1299*</t>
  </si>
  <si>
    <t>5302*</t>
  </si>
  <si>
    <t>14341*</t>
  </si>
  <si>
    <t>28266*</t>
  </si>
  <si>
    <t>1101*</t>
  </si>
  <si>
    <t>3479*</t>
  </si>
  <si>
    <t>361998*</t>
  </si>
  <si>
    <t>121661*</t>
  </si>
  <si>
    <t>1601*</t>
  </si>
  <si>
    <t>9057*</t>
  </si>
  <si>
    <t>23801*</t>
  </si>
  <si>
    <t>96218*</t>
  </si>
  <si>
    <t>321135*</t>
  </si>
  <si>
    <t>597459*</t>
  </si>
  <si>
    <t>11932*</t>
  </si>
  <si>
    <t>18439*</t>
  </si>
  <si>
    <t>643*</t>
  </si>
  <si>
    <t>2400*</t>
  </si>
  <si>
    <t>359*</t>
  </si>
  <si>
    <t>50*</t>
  </si>
  <si>
    <t>8254*</t>
  </si>
  <si>
    <t>12254*</t>
  </si>
  <si>
    <t>86*</t>
  </si>
  <si>
    <t>101*</t>
  </si>
  <si>
    <t>4094*</t>
  </si>
  <si>
    <t>5298*</t>
  </si>
  <si>
    <t>419*</t>
  </si>
  <si>
    <t>42021*</t>
  </si>
  <si>
    <t>1602*</t>
  </si>
  <si>
    <t>4520*</t>
  </si>
  <si>
    <t>20989*</t>
  </si>
  <si>
    <t>257181*</t>
  </si>
  <si>
    <t>334*</t>
  </si>
  <si>
    <t>1175*</t>
  </si>
  <si>
    <t>5076*</t>
  </si>
  <si>
    <t>19418*</t>
  </si>
  <si>
    <t>267*</t>
  </si>
  <si>
    <t>137*</t>
  </si>
  <si>
    <t>4213*</t>
  </si>
  <si>
    <t>287818*</t>
  </si>
  <si>
    <t>36*</t>
  </si>
  <si>
    <t>100727*</t>
  </si>
  <si>
    <t>99752*</t>
  </si>
  <si>
    <t>1078*</t>
  </si>
  <si>
    <t>1374*</t>
  </si>
  <si>
    <t>37034*</t>
  </si>
  <si>
    <t>40948*</t>
  </si>
  <si>
    <t>21446*</t>
  </si>
  <si>
    <t>15281*</t>
  </si>
  <si>
    <t>57679*</t>
  </si>
  <si>
    <t>65346*</t>
  </si>
  <si>
    <t>2360*</t>
  </si>
  <si>
    <t>16560*</t>
  </si>
  <si>
    <t>2600*</t>
  </si>
  <si>
    <t>4809*</t>
  </si>
  <si>
    <t>481*</t>
  </si>
  <si>
    <t>823*</t>
  </si>
  <si>
    <t>5685*</t>
  </si>
  <si>
    <t>13602*</t>
  </si>
  <si>
    <t>58*</t>
  </si>
  <si>
    <t>509*</t>
  </si>
  <si>
    <t>1319*</t>
  </si>
  <si>
    <t>5*</t>
  </si>
  <si>
    <t>30727*</t>
  </si>
  <si>
    <t>43395*</t>
  </si>
  <si>
    <t>58817*</t>
  </si>
  <si>
    <t>248409*</t>
  </si>
  <si>
    <t>45494*</t>
  </si>
  <si>
    <t>2017890*</t>
  </si>
  <si>
    <t>9087*</t>
  </si>
  <si>
    <t>76075*</t>
  </si>
  <si>
    <t>2805*</t>
  </si>
  <si>
    <t>92423*</t>
  </si>
  <si>
    <t>88751*</t>
  </si>
  <si>
    <t>145797*</t>
  </si>
  <si>
    <t>13582*</t>
  </si>
  <si>
    <t>22633*</t>
  </si>
  <si>
    <t>29290*</t>
  </si>
  <si>
    <t>32404*</t>
  </si>
  <si>
    <t>30859*</t>
  </si>
  <si>
    <t>4414*</t>
  </si>
  <si>
    <t>197603*</t>
  </si>
  <si>
    <t>219067*</t>
  </si>
  <si>
    <t>2907106*</t>
  </si>
  <si>
    <t>4170795*</t>
  </si>
  <si>
    <t>826*</t>
  </si>
  <si>
    <t>37926337*</t>
  </si>
  <si>
    <t>963*</t>
  </si>
  <si>
    <t>3689*</t>
  </si>
  <si>
    <t>Sub-group</t>
  </si>
  <si>
    <t>Data Year / Comments</t>
  </si>
  <si>
    <t>*Data no longer available in tradestat</t>
  </si>
  <si>
    <t>Item Code</t>
  </si>
  <si>
    <t>Price × TCF</t>
  </si>
  <si>
    <t>Crop in Traded Livestock</t>
  </si>
  <si>
    <t>Crop in Domestic Livestock</t>
  </si>
  <si>
    <r>
      <t>EF</t>
    </r>
    <r>
      <rPr>
        <b/>
        <vertAlign val="subscript"/>
        <sz val="10"/>
        <rFont val="Arial"/>
        <family val="2"/>
      </rPr>
      <t>P</t>
    </r>
    <r>
      <rPr>
        <b/>
        <sz val="10"/>
        <rFont val="Arial"/>
        <family val="2"/>
      </rPr>
      <t xml:space="preserve"> crops</t>
    </r>
  </si>
  <si>
    <r>
      <t>EF</t>
    </r>
    <r>
      <rPr>
        <b/>
        <vertAlign val="subscript"/>
        <sz val="10"/>
        <rFont val="Arial"/>
        <family val="2"/>
      </rPr>
      <t>I</t>
    </r>
    <r>
      <rPr>
        <b/>
        <sz val="10"/>
        <rFont val="Arial"/>
        <family val="2"/>
      </rPr>
      <t xml:space="preserve"> crops</t>
    </r>
  </si>
  <si>
    <r>
      <t>EF</t>
    </r>
    <r>
      <rPr>
        <b/>
        <vertAlign val="subscript"/>
        <sz val="10"/>
        <rFont val="Arial"/>
        <family val="2"/>
      </rPr>
      <t>E</t>
    </r>
    <r>
      <rPr>
        <b/>
        <sz val="10"/>
        <rFont val="Arial"/>
        <family val="2"/>
      </rPr>
      <t xml:space="preserve"> crops</t>
    </r>
  </si>
  <si>
    <t>Sunflowerseed Oil</t>
  </si>
  <si>
    <t>Cottonseed Oil</t>
  </si>
  <si>
    <t>Olive Oil</t>
  </si>
  <si>
    <t>Soyabean Cake</t>
  </si>
  <si>
    <t>Groundnut Cake</t>
  </si>
  <si>
    <t>Sunflowerseed Cake</t>
  </si>
  <si>
    <t>Rape and Mustard Cake</t>
  </si>
  <si>
    <t>Cottonseed Cake</t>
  </si>
  <si>
    <t>Palmkernel Cake</t>
  </si>
  <si>
    <t>Copra Cake</t>
  </si>
  <si>
    <t>Sesameseed Cake</t>
  </si>
  <si>
    <t>Oilseed Cakes, Other</t>
  </si>
  <si>
    <t>Brans</t>
  </si>
  <si>
    <t>Grapefruit and products</t>
  </si>
  <si>
    <t>Grapes and products (excl wine)</t>
  </si>
  <si>
    <t>Tea (including mate)</t>
  </si>
  <si>
    <t>Soft-Fibres, Other</t>
  </si>
  <si>
    <t>Roots &amp; Tuber Dry Equiv</t>
  </si>
  <si>
    <t>Groundnuts (in Shell Eq)</t>
  </si>
  <si>
    <t>Whey</t>
  </si>
  <si>
    <t>Meat Meal</t>
  </si>
  <si>
    <t>Cheese</t>
  </si>
  <si>
    <t>Honey</t>
  </si>
  <si>
    <t>Hides and skins</t>
  </si>
  <si>
    <t>Crop Products + Crop in Livestock</t>
  </si>
  <si>
    <t xml:space="preserve"> - </t>
  </si>
  <si>
    <t>Live Animals</t>
  </si>
  <si>
    <t>Live Animal Products</t>
  </si>
  <si>
    <r>
      <t>EF</t>
    </r>
    <r>
      <rPr>
        <b/>
        <vertAlign val="subscript"/>
        <sz val="10"/>
        <rFont val="Arial"/>
        <family val="2"/>
      </rPr>
      <t>P</t>
    </r>
    <r>
      <rPr>
        <b/>
        <sz val="10"/>
        <rFont val="Arial"/>
        <family val="2"/>
      </rPr>
      <t xml:space="preserve"> grazing</t>
    </r>
  </si>
  <si>
    <r>
      <t>EF</t>
    </r>
    <r>
      <rPr>
        <b/>
        <vertAlign val="subscript"/>
        <sz val="10"/>
        <rFont val="Arial"/>
        <family val="2"/>
      </rPr>
      <t>I</t>
    </r>
    <r>
      <rPr>
        <b/>
        <sz val="10"/>
        <rFont val="Arial"/>
        <family val="2"/>
      </rPr>
      <t xml:space="preserve"> grazing</t>
    </r>
  </si>
  <si>
    <r>
      <t>EF</t>
    </r>
    <r>
      <rPr>
        <b/>
        <vertAlign val="subscript"/>
        <sz val="10"/>
        <rFont val="Arial"/>
        <family val="2"/>
      </rPr>
      <t>E</t>
    </r>
    <r>
      <rPr>
        <b/>
        <sz val="10"/>
        <rFont val="Arial"/>
        <family val="2"/>
      </rPr>
      <t xml:space="preserve"> grazing</t>
    </r>
  </si>
  <si>
    <t>China, mainland</t>
  </si>
  <si>
    <t>Cabo Verde</t>
  </si>
  <si>
    <t>China Hong Kong SAR</t>
  </si>
  <si>
    <t>China, Macao SAR</t>
  </si>
  <si>
    <t>Data Summarized for China</t>
  </si>
  <si>
    <t>Species-specific lifetime feed intake (kg DM/head/lifetime)</t>
  </si>
  <si>
    <t>Animal product feed efficiency (kg feed DM/kg product)</t>
  </si>
  <si>
    <t>Feed Code</t>
  </si>
  <si>
    <t>Source for Fish Meal - FAO - Fish Meal - http://www.fao.org/wairdocs/tan/x5926e/x5926e01.htm</t>
  </si>
  <si>
    <t>Mixed grasses and legumes</t>
  </si>
  <si>
    <r>
      <t>[kg yr</t>
    </r>
    <r>
      <rPr>
        <vertAlign val="superscript"/>
        <sz val="10"/>
        <color indexed="22"/>
        <rFont val="Arial"/>
        <family val="2"/>
      </rPr>
      <t>-1</t>
    </r>
    <r>
      <rPr>
        <sz val="10"/>
        <color indexed="22"/>
        <rFont val="Arial"/>
        <family val="2"/>
      </rPr>
      <t>]</t>
    </r>
  </si>
  <si>
    <t>Other energy industry own use</t>
  </si>
  <si>
    <t>Domestic Aviation</t>
  </si>
  <si>
    <t xml:space="preserve">Domestic Navigation </t>
  </si>
  <si>
    <t xml:space="preserve">Other </t>
  </si>
  <si>
    <t>Agriculture/forestry</t>
  </si>
  <si>
    <t>Memo: International Aviation Bunkers</t>
  </si>
  <si>
    <t>Fishing</t>
  </si>
  <si>
    <t>[t dm yr-1]</t>
  </si>
  <si>
    <t>List of product names from FAOSTAT ProdSTAT and PRICE vales from FAOSTAT TradeSTAT section (preference given to 2011 import data). Downloaded November 2014</t>
  </si>
  <si>
    <t>GFN Country Name</t>
  </si>
  <si>
    <r>
      <t>Grazing EF</t>
    </r>
    <r>
      <rPr>
        <b/>
        <vertAlign val="subscript"/>
        <sz val="10"/>
        <rFont val="Arial"/>
        <family val="2"/>
      </rPr>
      <t>I</t>
    </r>
  </si>
  <si>
    <r>
      <t>Total EF</t>
    </r>
    <r>
      <rPr>
        <b/>
        <vertAlign val="subscript"/>
        <sz val="10"/>
        <rFont val="Arial"/>
        <family val="2"/>
      </rPr>
      <t>I</t>
    </r>
  </si>
  <si>
    <r>
      <t>Total EF</t>
    </r>
    <r>
      <rPr>
        <b/>
        <vertAlign val="subscript"/>
        <sz val="10"/>
        <rFont val="Arial"/>
        <family val="2"/>
      </rPr>
      <t>E</t>
    </r>
  </si>
  <si>
    <t>[$1000]</t>
  </si>
  <si>
    <r>
      <t>Crop Feed EF</t>
    </r>
    <r>
      <rPr>
        <b/>
        <vertAlign val="subscript"/>
        <sz val="10"/>
        <rFont val="Arial"/>
        <family val="2"/>
      </rPr>
      <t>I</t>
    </r>
  </si>
  <si>
    <r>
      <t>Crop Feed EF</t>
    </r>
    <r>
      <rPr>
        <b/>
        <vertAlign val="subscript"/>
        <sz val="10"/>
        <rFont val="Arial"/>
        <family val="2"/>
      </rPr>
      <t>E</t>
    </r>
  </si>
  <si>
    <t>constant_area_shelf</t>
  </si>
  <si>
    <t>Reside Feed</t>
  </si>
  <si>
    <t>Dry Residue Feed</t>
  </si>
  <si>
    <t>YieldN</t>
  </si>
  <si>
    <t>YieldW</t>
  </si>
  <si>
    <t>CROPS</t>
  </si>
  <si>
    <r>
      <t>Imports</t>
    </r>
    <r>
      <rPr>
        <b/>
        <vertAlign val="subscript"/>
        <sz val="10"/>
        <color theme="0"/>
        <rFont val="Arial"/>
        <family val="2"/>
      </rPr>
      <t>N</t>
    </r>
    <r>
      <rPr>
        <b/>
        <sz val="10"/>
        <color theme="0"/>
        <rFont val="Arial"/>
        <family val="2"/>
      </rPr>
      <t xml:space="preserve"> (Weight-Adj)</t>
    </r>
  </si>
  <si>
    <r>
      <t>[gha t</t>
    </r>
    <r>
      <rPr>
        <vertAlign val="superscript"/>
        <sz val="10"/>
        <color theme="0"/>
        <rFont val="Arial"/>
        <family val="2"/>
      </rPr>
      <t>-1</t>
    </r>
    <r>
      <rPr>
        <sz val="10"/>
        <color theme="0"/>
        <rFont val="Arial"/>
        <family val="2"/>
      </rPr>
      <t>]</t>
    </r>
  </si>
  <si>
    <t>FISH</t>
  </si>
  <si>
    <t>GRAZING</t>
  </si>
  <si>
    <r>
      <t>Total Production</t>
    </r>
    <r>
      <rPr>
        <b/>
        <vertAlign val="subscript"/>
        <sz val="10"/>
        <color indexed="9"/>
        <rFont val="Arial"/>
        <family val="2"/>
      </rPr>
      <t>N</t>
    </r>
  </si>
  <si>
    <r>
      <t>Total Production</t>
    </r>
    <r>
      <rPr>
        <b/>
        <vertAlign val="subscript"/>
        <sz val="10"/>
        <color indexed="9"/>
        <rFont val="Arial"/>
        <family val="2"/>
      </rPr>
      <t>W</t>
    </r>
  </si>
  <si>
    <t>Krausmann, F., Erb, K.-H., Gingrich, S., Haberl, H., Bondeau, A., Gaube, V., Lauk, C., Plutzar, C., Searchinger, T., 2013. Global human appropriation of net primary production doubled in the 20th century. Proceedings of the National Academy of Sciences of the United States of America 110, 10324–10329.</t>
  </si>
  <si>
    <t>Krausmann, F., Erb, K.-H., Gingrich, S., Lauk, C., Haberl, H., 2008. Global patterns of socioeconomic biomass flows in the year 2000: A comprehensive assessment of supply, consumption and constraints. Ecological Economics 65, 471–487. doi:10.1016/j.ecolecon.2007.07.012</t>
  </si>
  <si>
    <t>Updated Water content from Fridolin Krausmann in personal communication: background information from the global biomass flow database of the Institute of Social Ecology linked to the following 2 articles.</t>
  </si>
  <si>
    <t>0011</t>
  </si>
  <si>
    <t>0012</t>
  </si>
  <si>
    <t>0013</t>
  </si>
  <si>
    <t>0014</t>
  </si>
  <si>
    <t>0015</t>
  </si>
  <si>
    <t>0019</t>
  </si>
  <si>
    <t>0111</t>
  </si>
  <si>
    <t>0112</t>
  </si>
  <si>
    <t>0113</t>
  </si>
  <si>
    <t>0114</t>
  </si>
  <si>
    <t>0115</t>
  </si>
  <si>
    <t>0116</t>
  </si>
  <si>
    <t>0118</t>
  </si>
  <si>
    <t>0121</t>
  </si>
  <si>
    <t>0129</t>
  </si>
  <si>
    <t>0133</t>
  </si>
  <si>
    <t>0134</t>
  </si>
  <si>
    <t>0138</t>
  </si>
  <si>
    <t>0221</t>
  </si>
  <si>
    <t>0222</t>
  </si>
  <si>
    <t>0223</t>
  </si>
  <si>
    <t>0230</t>
  </si>
  <si>
    <t>0240</t>
  </si>
  <si>
    <t>0250</t>
  </si>
  <si>
    <t>0311</t>
  </si>
  <si>
    <t>0312</t>
  </si>
  <si>
    <t>0313</t>
  </si>
  <si>
    <t>0320</t>
  </si>
  <si>
    <t>0410</t>
  </si>
  <si>
    <t>0421</t>
  </si>
  <si>
    <t>0422</t>
  </si>
  <si>
    <t>0430</t>
  </si>
  <si>
    <t>0440</t>
  </si>
  <si>
    <t>0451</t>
  </si>
  <si>
    <t>0452</t>
  </si>
  <si>
    <t>0459</t>
  </si>
  <si>
    <t>0460</t>
  </si>
  <si>
    <t>0470</t>
  </si>
  <si>
    <t>0481</t>
  </si>
  <si>
    <t>0482</t>
  </si>
  <si>
    <t>0483</t>
  </si>
  <si>
    <t>0484</t>
  </si>
  <si>
    <t>0488</t>
  </si>
  <si>
    <t>0511</t>
  </si>
  <si>
    <t>0512</t>
  </si>
  <si>
    <t>0513</t>
  </si>
  <si>
    <t>0514</t>
  </si>
  <si>
    <t>0515</t>
  </si>
  <si>
    <t>0517</t>
  </si>
  <si>
    <t>0519</t>
  </si>
  <si>
    <t>0520</t>
  </si>
  <si>
    <t>0532</t>
  </si>
  <si>
    <t>0533</t>
  </si>
  <si>
    <t>0535</t>
  </si>
  <si>
    <t>0536</t>
  </si>
  <si>
    <t>0539</t>
  </si>
  <si>
    <t>0541</t>
  </si>
  <si>
    <t>0542</t>
  </si>
  <si>
    <t>0544</t>
  </si>
  <si>
    <t>0545</t>
  </si>
  <si>
    <t>0546</t>
  </si>
  <si>
    <t>0548</t>
  </si>
  <si>
    <t>0551</t>
  </si>
  <si>
    <t>0554</t>
  </si>
  <si>
    <t>0555</t>
  </si>
  <si>
    <t>0611</t>
  </si>
  <si>
    <t>0612</t>
  </si>
  <si>
    <t>0615</t>
  </si>
  <si>
    <t>0616</t>
  </si>
  <si>
    <t>0619</t>
  </si>
  <si>
    <t>0620</t>
  </si>
  <si>
    <t>0711</t>
  </si>
  <si>
    <t>0713</t>
  </si>
  <si>
    <t>0721</t>
  </si>
  <si>
    <t>0722</t>
  </si>
  <si>
    <t>0723</t>
  </si>
  <si>
    <t>0730</t>
  </si>
  <si>
    <t>0741</t>
  </si>
  <si>
    <t>0742</t>
  </si>
  <si>
    <t>0751</t>
  </si>
  <si>
    <t>0752</t>
  </si>
  <si>
    <t>0811</t>
  </si>
  <si>
    <t>0812</t>
  </si>
  <si>
    <t>0813</t>
  </si>
  <si>
    <t>0814</t>
  </si>
  <si>
    <t>0819</t>
  </si>
  <si>
    <t>0913</t>
  </si>
  <si>
    <t>0914</t>
  </si>
  <si>
    <t>0990</t>
  </si>
  <si>
    <t>1110</t>
  </si>
  <si>
    <t>1121</t>
  </si>
  <si>
    <t>1122</t>
  </si>
  <si>
    <t>1123</t>
  </si>
  <si>
    <t>1124</t>
  </si>
  <si>
    <t>1210</t>
  </si>
  <si>
    <t>1221</t>
  </si>
  <si>
    <t>1222</t>
  </si>
  <si>
    <t>1223</t>
  </si>
  <si>
    <t>2111</t>
  </si>
  <si>
    <t>2112</t>
  </si>
  <si>
    <t>2114</t>
  </si>
  <si>
    <t>2116</t>
  </si>
  <si>
    <t>2117</t>
  </si>
  <si>
    <t>2118</t>
  </si>
  <si>
    <t>2119</t>
  </si>
  <si>
    <t>2120</t>
  </si>
  <si>
    <t>2211</t>
  </si>
  <si>
    <t>2212</t>
  </si>
  <si>
    <t>2213</t>
  </si>
  <si>
    <t>2214</t>
  </si>
  <si>
    <t>2215</t>
  </si>
  <si>
    <t>2216</t>
  </si>
  <si>
    <t>2217</t>
  </si>
  <si>
    <t>2218</t>
  </si>
  <si>
    <t>2219</t>
  </si>
  <si>
    <t>2311</t>
  </si>
  <si>
    <t>2312</t>
  </si>
  <si>
    <t>2313</t>
  </si>
  <si>
    <t>2314</t>
  </si>
  <si>
    <t>2411</t>
  </si>
  <si>
    <t>2412</t>
  </si>
  <si>
    <t>2421</t>
  </si>
  <si>
    <t>2422</t>
  </si>
  <si>
    <t>2423</t>
  </si>
  <si>
    <t>2424</t>
  </si>
  <si>
    <t>2429</t>
  </si>
  <si>
    <t>2431</t>
  </si>
  <si>
    <t>2432</t>
  </si>
  <si>
    <t>2433</t>
  </si>
  <si>
    <t>2440</t>
  </si>
  <si>
    <t>2511</t>
  </si>
  <si>
    <t>2512</t>
  </si>
  <si>
    <t>2515</t>
  </si>
  <si>
    <t>2516</t>
  </si>
  <si>
    <t>2517</t>
  </si>
  <si>
    <t>2518</t>
  </si>
  <si>
    <t>2519</t>
  </si>
  <si>
    <t>2611</t>
  </si>
  <si>
    <t>2612</t>
  </si>
  <si>
    <t>2613</t>
  </si>
  <si>
    <t>2621</t>
  </si>
  <si>
    <t>2622</t>
  </si>
  <si>
    <t>2623</t>
  </si>
  <si>
    <t>2625</t>
  </si>
  <si>
    <t>2626</t>
  </si>
  <si>
    <t>2627</t>
  </si>
  <si>
    <t>2628</t>
  </si>
  <si>
    <t>2629</t>
  </si>
  <si>
    <t>2631</t>
  </si>
  <si>
    <t>2632</t>
  </si>
  <si>
    <t>2633</t>
  </si>
  <si>
    <t>2634</t>
  </si>
  <si>
    <t>2640</t>
  </si>
  <si>
    <t>2651</t>
  </si>
  <si>
    <t>2652</t>
  </si>
  <si>
    <t>2653</t>
  </si>
  <si>
    <t>2654</t>
  </si>
  <si>
    <t>2655</t>
  </si>
  <si>
    <t>2658</t>
  </si>
  <si>
    <t>2662</t>
  </si>
  <si>
    <t>2663</t>
  </si>
  <si>
    <t>2664</t>
  </si>
  <si>
    <t>2670</t>
  </si>
  <si>
    <t>2711</t>
  </si>
  <si>
    <t>2712</t>
  </si>
  <si>
    <t>2713</t>
  </si>
  <si>
    <t>2714</t>
  </si>
  <si>
    <t>2731</t>
  </si>
  <si>
    <t>2732</t>
  </si>
  <si>
    <t>2733</t>
  </si>
  <si>
    <t>2734</t>
  </si>
  <si>
    <t>2741</t>
  </si>
  <si>
    <t>2742</t>
  </si>
  <si>
    <t>2751</t>
  </si>
  <si>
    <t>2752</t>
  </si>
  <si>
    <t>2761</t>
  </si>
  <si>
    <t>2762</t>
  </si>
  <si>
    <t>2763</t>
  </si>
  <si>
    <t>2764</t>
  </si>
  <si>
    <t>2765</t>
  </si>
  <si>
    <t>2766</t>
  </si>
  <si>
    <t>2769</t>
  </si>
  <si>
    <t>2813</t>
  </si>
  <si>
    <t>2814</t>
  </si>
  <si>
    <t>2820</t>
  </si>
  <si>
    <t>2831</t>
  </si>
  <si>
    <t>2832</t>
  </si>
  <si>
    <t>2833</t>
  </si>
  <si>
    <t>2834</t>
  </si>
  <si>
    <t>2835</t>
  </si>
  <si>
    <t>2836</t>
  </si>
  <si>
    <t>2837</t>
  </si>
  <si>
    <t>2839</t>
  </si>
  <si>
    <t>2840</t>
  </si>
  <si>
    <t>2850</t>
  </si>
  <si>
    <t>2860</t>
  </si>
  <si>
    <t>2911</t>
  </si>
  <si>
    <t>2919</t>
  </si>
  <si>
    <t>2921</t>
  </si>
  <si>
    <t>2922</t>
  </si>
  <si>
    <t>2923</t>
  </si>
  <si>
    <t>2924</t>
  </si>
  <si>
    <t>2925</t>
  </si>
  <si>
    <t>2926</t>
  </si>
  <si>
    <t>2927</t>
  </si>
  <si>
    <t>2929</t>
  </si>
  <si>
    <t>3214</t>
  </si>
  <si>
    <t>3215</t>
  </si>
  <si>
    <t>3216</t>
  </si>
  <si>
    <t>3217</t>
  </si>
  <si>
    <t>3218</t>
  </si>
  <si>
    <t>3310</t>
  </si>
  <si>
    <t>3321</t>
  </si>
  <si>
    <t>3322</t>
  </si>
  <si>
    <t>3323</t>
  </si>
  <si>
    <t>3324</t>
  </si>
  <si>
    <t>3325</t>
  </si>
  <si>
    <t>3326</t>
  </si>
  <si>
    <t>3329</t>
  </si>
  <si>
    <t>3411</t>
  </si>
  <si>
    <t>3412</t>
  </si>
  <si>
    <t>3510</t>
  </si>
  <si>
    <t>4111</t>
  </si>
  <si>
    <t>4113</t>
  </si>
  <si>
    <t>4212</t>
  </si>
  <si>
    <t>4213</t>
  </si>
  <si>
    <t>4214</t>
  </si>
  <si>
    <t>4215</t>
  </si>
  <si>
    <t>4216</t>
  </si>
  <si>
    <t>4217</t>
  </si>
  <si>
    <t>4221</t>
  </si>
  <si>
    <t>4222</t>
  </si>
  <si>
    <t>4223</t>
  </si>
  <si>
    <t>4224</t>
  </si>
  <si>
    <t>4225</t>
  </si>
  <si>
    <t>4229</t>
  </si>
  <si>
    <t>4311</t>
  </si>
  <si>
    <t>4312</t>
  </si>
  <si>
    <t>4313</t>
  </si>
  <si>
    <t>4314</t>
  </si>
  <si>
    <t>5121</t>
  </si>
  <si>
    <t>5122</t>
  </si>
  <si>
    <t>5123</t>
  </si>
  <si>
    <t>5124</t>
  </si>
  <si>
    <t>5125</t>
  </si>
  <si>
    <t>5126</t>
  </si>
  <si>
    <t>5127</t>
  </si>
  <si>
    <t>5128</t>
  </si>
  <si>
    <t>5129</t>
  </si>
  <si>
    <t>5131</t>
  </si>
  <si>
    <t>5132</t>
  </si>
  <si>
    <t>5133</t>
  </si>
  <si>
    <t>5134</t>
  </si>
  <si>
    <t>5135</t>
  </si>
  <si>
    <t>5136</t>
  </si>
  <si>
    <t>5141</t>
  </si>
  <si>
    <t>5142</t>
  </si>
  <si>
    <t>5143</t>
  </si>
  <si>
    <t>5149</t>
  </si>
  <si>
    <t>5151</t>
  </si>
  <si>
    <t>5152</t>
  </si>
  <si>
    <t>5153</t>
  </si>
  <si>
    <t>5211</t>
  </si>
  <si>
    <t>5213</t>
  </si>
  <si>
    <t>5214</t>
  </si>
  <si>
    <t>5310</t>
  </si>
  <si>
    <t>5321</t>
  </si>
  <si>
    <t>5323</t>
  </si>
  <si>
    <t>5324</t>
  </si>
  <si>
    <t>5325</t>
  </si>
  <si>
    <t>5331</t>
  </si>
  <si>
    <t>5332</t>
  </si>
  <si>
    <t>5333</t>
  </si>
  <si>
    <t>5411</t>
  </si>
  <si>
    <t>5413</t>
  </si>
  <si>
    <t>5414</t>
  </si>
  <si>
    <t>5415</t>
  </si>
  <si>
    <t>5416</t>
  </si>
  <si>
    <t>5417</t>
  </si>
  <si>
    <t>5419</t>
  </si>
  <si>
    <t>5511</t>
  </si>
  <si>
    <t>5512</t>
  </si>
  <si>
    <t>5530</t>
  </si>
  <si>
    <t>5541</t>
  </si>
  <si>
    <t>5542</t>
  </si>
  <si>
    <t>5543</t>
  </si>
  <si>
    <t>5611</t>
  </si>
  <si>
    <t>5612</t>
  </si>
  <si>
    <t>5613</t>
  </si>
  <si>
    <t>5619</t>
  </si>
  <si>
    <t>5711</t>
  </si>
  <si>
    <t>5712</t>
  </si>
  <si>
    <t>5713</t>
  </si>
  <si>
    <t>5714</t>
  </si>
  <si>
    <t>5811</t>
  </si>
  <si>
    <t>5812</t>
  </si>
  <si>
    <t>5813</t>
  </si>
  <si>
    <t>5819</t>
  </si>
  <si>
    <t>5992</t>
  </si>
  <si>
    <t>5995</t>
  </si>
  <si>
    <t>5996</t>
  </si>
  <si>
    <t>5997</t>
  </si>
  <si>
    <t>5999</t>
  </si>
  <si>
    <t>6112</t>
  </si>
  <si>
    <t>6113</t>
  </si>
  <si>
    <t>6114</t>
  </si>
  <si>
    <t>6119</t>
  </si>
  <si>
    <t>6121</t>
  </si>
  <si>
    <t>6122</t>
  </si>
  <si>
    <t>6123</t>
  </si>
  <si>
    <t>6129</t>
  </si>
  <si>
    <t>6130</t>
  </si>
  <si>
    <t>6210</t>
  </si>
  <si>
    <t>6291</t>
  </si>
  <si>
    <t>6293</t>
  </si>
  <si>
    <t>6294</t>
  </si>
  <si>
    <t>6299</t>
  </si>
  <si>
    <t>6311</t>
  </si>
  <si>
    <t>6312</t>
  </si>
  <si>
    <t>6314</t>
  </si>
  <si>
    <t>6318</t>
  </si>
  <si>
    <t>6321</t>
  </si>
  <si>
    <t>6322</t>
  </si>
  <si>
    <t>6324</t>
  </si>
  <si>
    <t>6327</t>
  </si>
  <si>
    <t>6328</t>
  </si>
  <si>
    <t>6330</t>
  </si>
  <si>
    <t>6411</t>
  </si>
  <si>
    <t>6412</t>
  </si>
  <si>
    <t>6413</t>
  </si>
  <si>
    <t>6414</t>
  </si>
  <si>
    <t>6415</t>
  </si>
  <si>
    <t>6416</t>
  </si>
  <si>
    <t>6417</t>
  </si>
  <si>
    <t>6419</t>
  </si>
  <si>
    <t>6421</t>
  </si>
  <si>
    <t>6422</t>
  </si>
  <si>
    <t>6423</t>
  </si>
  <si>
    <t>6429</t>
  </si>
  <si>
    <t>6511</t>
  </si>
  <si>
    <t>6512</t>
  </si>
  <si>
    <t>6513</t>
  </si>
  <si>
    <t>6514</t>
  </si>
  <si>
    <t>6515</t>
  </si>
  <si>
    <t>6516</t>
  </si>
  <si>
    <t>6517</t>
  </si>
  <si>
    <t>6518</t>
  </si>
  <si>
    <t>6519</t>
  </si>
  <si>
    <t>6521</t>
  </si>
  <si>
    <t>6522</t>
  </si>
  <si>
    <t>6531</t>
  </si>
  <si>
    <t>6532</t>
  </si>
  <si>
    <t>6533</t>
  </si>
  <si>
    <t>6534</t>
  </si>
  <si>
    <t>6535</t>
  </si>
  <si>
    <t>6536</t>
  </si>
  <si>
    <t>6537</t>
  </si>
  <si>
    <t>6538</t>
  </si>
  <si>
    <t>6539</t>
  </si>
  <si>
    <t>6540</t>
  </si>
  <si>
    <t>6551</t>
  </si>
  <si>
    <t>6554</t>
  </si>
  <si>
    <t>6555</t>
  </si>
  <si>
    <t>6556</t>
  </si>
  <si>
    <t>6557</t>
  </si>
  <si>
    <t>6558</t>
  </si>
  <si>
    <t>6559</t>
  </si>
  <si>
    <t>6561</t>
  </si>
  <si>
    <t>6562</t>
  </si>
  <si>
    <t>6566</t>
  </si>
  <si>
    <t>6569</t>
  </si>
  <si>
    <t>6574</t>
  </si>
  <si>
    <t>6575</t>
  </si>
  <si>
    <t>6576</t>
  </si>
  <si>
    <t>6577</t>
  </si>
  <si>
    <t>6578</t>
  </si>
  <si>
    <t>6611</t>
  </si>
  <si>
    <t>6612</t>
  </si>
  <si>
    <t>6613</t>
  </si>
  <si>
    <t>6618</t>
  </si>
  <si>
    <t>6623</t>
  </si>
  <si>
    <t>6624</t>
  </si>
  <si>
    <t>6631</t>
  </si>
  <si>
    <t>6632</t>
  </si>
  <si>
    <t>6634</t>
  </si>
  <si>
    <t>6635</t>
  </si>
  <si>
    <t>6636</t>
  </si>
  <si>
    <t>6637</t>
  </si>
  <si>
    <t>6638</t>
  </si>
  <si>
    <t>6639</t>
  </si>
  <si>
    <t>6641</t>
  </si>
  <si>
    <t>6642</t>
  </si>
  <si>
    <t>6643</t>
  </si>
  <si>
    <t>6644</t>
  </si>
  <si>
    <t>6645</t>
  </si>
  <si>
    <t>6646</t>
  </si>
  <si>
    <t>6647</t>
  </si>
  <si>
    <t>6648</t>
  </si>
  <si>
    <t>6649</t>
  </si>
  <si>
    <t>6651</t>
  </si>
  <si>
    <t>6652</t>
  </si>
  <si>
    <t>6658</t>
  </si>
  <si>
    <t>6664</t>
  </si>
  <si>
    <t>6665</t>
  </si>
  <si>
    <t>6666</t>
  </si>
  <si>
    <t>6671</t>
  </si>
  <si>
    <t>6672</t>
  </si>
  <si>
    <t>6673</t>
  </si>
  <si>
    <t>6674</t>
  </si>
  <si>
    <t>6711</t>
  </si>
  <si>
    <t>6712</t>
  </si>
  <si>
    <t>6713</t>
  </si>
  <si>
    <t>6714</t>
  </si>
  <si>
    <t>6715</t>
  </si>
  <si>
    <t>6721</t>
  </si>
  <si>
    <t>6723</t>
  </si>
  <si>
    <t>6725</t>
  </si>
  <si>
    <t>6727</t>
  </si>
  <si>
    <t>6729</t>
  </si>
  <si>
    <t>6731</t>
  </si>
  <si>
    <t>6732</t>
  </si>
  <si>
    <t>6734</t>
  </si>
  <si>
    <t>6735</t>
  </si>
  <si>
    <t>6741</t>
  </si>
  <si>
    <t>6742</t>
  </si>
  <si>
    <t>6743</t>
  </si>
  <si>
    <t>6747</t>
  </si>
  <si>
    <t>6748</t>
  </si>
  <si>
    <t>6750</t>
  </si>
  <si>
    <t>6761</t>
  </si>
  <si>
    <t>6762</t>
  </si>
  <si>
    <t>6770</t>
  </si>
  <si>
    <t>6781</t>
  </si>
  <si>
    <t>6782</t>
  </si>
  <si>
    <t>6783</t>
  </si>
  <si>
    <t>6784</t>
  </si>
  <si>
    <t>6785</t>
  </si>
  <si>
    <t>6791</t>
  </si>
  <si>
    <t>6792</t>
  </si>
  <si>
    <t>6793</t>
  </si>
  <si>
    <t>6811</t>
  </si>
  <si>
    <t>6812</t>
  </si>
  <si>
    <t>6821</t>
  </si>
  <si>
    <t>6822</t>
  </si>
  <si>
    <t>6831</t>
  </si>
  <si>
    <t>6832</t>
  </si>
  <si>
    <t>6841</t>
  </si>
  <si>
    <t>6842</t>
  </si>
  <si>
    <t>6851</t>
  </si>
  <si>
    <t>6852</t>
  </si>
  <si>
    <t>6861</t>
  </si>
  <si>
    <t>6862</t>
  </si>
  <si>
    <t>6871</t>
  </si>
  <si>
    <t>6872</t>
  </si>
  <si>
    <t>6880</t>
  </si>
  <si>
    <t>6893</t>
  </si>
  <si>
    <t>6894</t>
  </si>
  <si>
    <t>6895</t>
  </si>
  <si>
    <t>6911</t>
  </si>
  <si>
    <t>6912</t>
  </si>
  <si>
    <t>6913</t>
  </si>
  <si>
    <t>6921</t>
  </si>
  <si>
    <t>6922</t>
  </si>
  <si>
    <t>6923</t>
  </si>
  <si>
    <t>6931</t>
  </si>
  <si>
    <t>6932</t>
  </si>
  <si>
    <t>6933</t>
  </si>
  <si>
    <t>6934</t>
  </si>
  <si>
    <t>6941</t>
  </si>
  <si>
    <t>6942</t>
  </si>
  <si>
    <t>6951</t>
  </si>
  <si>
    <t>6952</t>
  </si>
  <si>
    <t>6960</t>
  </si>
  <si>
    <t>6971</t>
  </si>
  <si>
    <t>6972</t>
  </si>
  <si>
    <t>6979</t>
  </si>
  <si>
    <t>6981</t>
  </si>
  <si>
    <t>6982</t>
  </si>
  <si>
    <t>6983</t>
  </si>
  <si>
    <t>6984</t>
  </si>
  <si>
    <t>6985</t>
  </si>
  <si>
    <t>6986</t>
  </si>
  <si>
    <t>6988</t>
  </si>
  <si>
    <t>6989</t>
  </si>
  <si>
    <t>7111</t>
  </si>
  <si>
    <t>7112</t>
  </si>
  <si>
    <t>7113</t>
  </si>
  <si>
    <t>7114</t>
  </si>
  <si>
    <t>7115</t>
  </si>
  <si>
    <t>7116</t>
  </si>
  <si>
    <t>7117</t>
  </si>
  <si>
    <t>7118</t>
  </si>
  <si>
    <t>7121</t>
  </si>
  <si>
    <t>7122</t>
  </si>
  <si>
    <t>7123</t>
  </si>
  <si>
    <t>7125</t>
  </si>
  <si>
    <t>7129</t>
  </si>
  <si>
    <t>7141</t>
  </si>
  <si>
    <t>7142</t>
  </si>
  <si>
    <t>7143</t>
  </si>
  <si>
    <t>7149</t>
  </si>
  <si>
    <t>7151</t>
  </si>
  <si>
    <t>7152</t>
  </si>
  <si>
    <t>7171</t>
  </si>
  <si>
    <t>7172</t>
  </si>
  <si>
    <t>7173</t>
  </si>
  <si>
    <t>7181</t>
  </si>
  <si>
    <t>7182</t>
  </si>
  <si>
    <t>7183</t>
  </si>
  <si>
    <t>7184</t>
  </si>
  <si>
    <t>7185</t>
  </si>
  <si>
    <t>7191</t>
  </si>
  <si>
    <t>7192</t>
  </si>
  <si>
    <t>7193</t>
  </si>
  <si>
    <t>7194</t>
  </si>
  <si>
    <t>7195</t>
  </si>
  <si>
    <t>7196</t>
  </si>
  <si>
    <t>7197</t>
  </si>
  <si>
    <t>7198</t>
  </si>
  <si>
    <t>7199</t>
  </si>
  <si>
    <t>7221</t>
  </si>
  <si>
    <t>7222</t>
  </si>
  <si>
    <t>7231</t>
  </si>
  <si>
    <t>7232</t>
  </si>
  <si>
    <t>7241</t>
  </si>
  <si>
    <t>7242</t>
  </si>
  <si>
    <t>7249</t>
  </si>
  <si>
    <t>7250</t>
  </si>
  <si>
    <t>7261</t>
  </si>
  <si>
    <t>7262</t>
  </si>
  <si>
    <t>7291</t>
  </si>
  <si>
    <t>7292</t>
  </si>
  <si>
    <t>7293</t>
  </si>
  <si>
    <t>7294</t>
  </si>
  <si>
    <t>7295</t>
  </si>
  <si>
    <t>7296</t>
  </si>
  <si>
    <t>7297</t>
  </si>
  <si>
    <t>7299</t>
  </si>
  <si>
    <t>7311</t>
  </si>
  <si>
    <t>7312</t>
  </si>
  <si>
    <t>7313</t>
  </si>
  <si>
    <t>7314</t>
  </si>
  <si>
    <t>7315</t>
  </si>
  <si>
    <t>7316</t>
  </si>
  <si>
    <t>7317</t>
  </si>
  <si>
    <t>7321</t>
  </si>
  <si>
    <t>7322</t>
  </si>
  <si>
    <t>7323</t>
  </si>
  <si>
    <t>7324</t>
  </si>
  <si>
    <t>7325</t>
  </si>
  <si>
    <t>7326</t>
  </si>
  <si>
    <t>7327</t>
  </si>
  <si>
    <t>7328</t>
  </si>
  <si>
    <t>7329</t>
  </si>
  <si>
    <t>7331</t>
  </si>
  <si>
    <t>7333</t>
  </si>
  <si>
    <t>7334</t>
  </si>
  <si>
    <t>7341</t>
  </si>
  <si>
    <t>7349</t>
  </si>
  <si>
    <t>7351</t>
  </si>
  <si>
    <t>7353</t>
  </si>
  <si>
    <t>7358</t>
  </si>
  <si>
    <t>7359</t>
  </si>
  <si>
    <t>8121</t>
  </si>
  <si>
    <t>8122</t>
  </si>
  <si>
    <t>8123</t>
  </si>
  <si>
    <t>8124</t>
  </si>
  <si>
    <t>8210</t>
  </si>
  <si>
    <t>8310</t>
  </si>
  <si>
    <t>8411</t>
  </si>
  <si>
    <t>8412</t>
  </si>
  <si>
    <t>8413</t>
  </si>
  <si>
    <t>8414</t>
  </si>
  <si>
    <t>8415</t>
  </si>
  <si>
    <t>8416</t>
  </si>
  <si>
    <t>8420</t>
  </si>
  <si>
    <t>8510</t>
  </si>
  <si>
    <t>8611</t>
  </si>
  <si>
    <t>8612</t>
  </si>
  <si>
    <t>8613</t>
  </si>
  <si>
    <t>8614</t>
  </si>
  <si>
    <t>8615</t>
  </si>
  <si>
    <t>8616</t>
  </si>
  <si>
    <t>8617</t>
  </si>
  <si>
    <t>8618</t>
  </si>
  <si>
    <t>8619</t>
  </si>
  <si>
    <t>8623</t>
  </si>
  <si>
    <t>8624</t>
  </si>
  <si>
    <t>8630</t>
  </si>
  <si>
    <t>8641</t>
  </si>
  <si>
    <t>8642</t>
  </si>
  <si>
    <t>8911</t>
  </si>
  <si>
    <t>8912</t>
  </si>
  <si>
    <t>8914</t>
  </si>
  <si>
    <t>8918</t>
  </si>
  <si>
    <t>8919</t>
  </si>
  <si>
    <t>8921</t>
  </si>
  <si>
    <t>8922</t>
  </si>
  <si>
    <t>8923</t>
  </si>
  <si>
    <t>8924</t>
  </si>
  <si>
    <t>8929</t>
  </si>
  <si>
    <t>8930</t>
  </si>
  <si>
    <t>8941</t>
  </si>
  <si>
    <t>8942</t>
  </si>
  <si>
    <t>8943</t>
  </si>
  <si>
    <t>8944</t>
  </si>
  <si>
    <t>8945</t>
  </si>
  <si>
    <t>8951</t>
  </si>
  <si>
    <t>8952</t>
  </si>
  <si>
    <t>8959</t>
  </si>
  <si>
    <t>8960</t>
  </si>
  <si>
    <t>8971</t>
  </si>
  <si>
    <t>8972</t>
  </si>
  <si>
    <t>8991</t>
  </si>
  <si>
    <t>8992</t>
  </si>
  <si>
    <t>8993</t>
  </si>
  <si>
    <t>8994</t>
  </si>
  <si>
    <t>8995</t>
  </si>
  <si>
    <t>8996</t>
  </si>
  <si>
    <t>8999</t>
  </si>
  <si>
    <t>9110</t>
  </si>
  <si>
    <t>9310</t>
  </si>
  <si>
    <t>9410</t>
  </si>
  <si>
    <t>9510</t>
  </si>
  <si>
    <t>9610</t>
  </si>
  <si>
    <t>Slaughter Weight (World Average)</t>
  </si>
  <si>
    <t>Slaughter Weight (National Average)</t>
  </si>
  <si>
    <t>Import Weight</t>
  </si>
  <si>
    <t>Export Weight</t>
  </si>
  <si>
    <t>Stock Code</t>
  </si>
  <si>
    <t>Product Code</t>
  </si>
  <si>
    <t>CO2 - Fugitive</t>
  </si>
  <si>
    <t>CO2 - Industrial processes</t>
  </si>
  <si>
    <r>
      <t>[Mt CO2 yr</t>
    </r>
    <r>
      <rPr>
        <vertAlign val="superscript"/>
        <sz val="10"/>
        <color indexed="23"/>
        <rFont val="Arial"/>
        <family val="2"/>
      </rPr>
      <t>-1</t>
    </r>
    <r>
      <rPr>
        <sz val="10"/>
        <color indexed="23"/>
        <rFont val="Arial"/>
        <family val="2"/>
      </rPr>
      <t>]</t>
    </r>
  </si>
  <si>
    <t>Net Annual Increment</t>
  </si>
  <si>
    <t>NAI</t>
  </si>
  <si>
    <t>CO2 Fuel Combustion</t>
  </si>
  <si>
    <t>CO2 Sectoral Approach (Energy)</t>
  </si>
  <si>
    <t>IPPU CO2 Fuel combustion - Total reallocated (IPPU)</t>
  </si>
  <si>
    <t>Memo: IPPU CO2 Fuel combustion - Non-ferrous metals (IPPU)</t>
  </si>
  <si>
    <t>Memo: IPPU CO2 Fuel combustion - Iron and steel (IPPU)</t>
  </si>
  <si>
    <t>Memo: IPPU CO2 Fuel combustion - Autoproducer own use (IPPU)</t>
  </si>
  <si>
    <t>Memo: IPPU CO2 Fuel combustion - Blast furnace energy (IPPU)</t>
  </si>
  <si>
    <t>Memo: IPPU CO2 Fuel combustion - Autoproducers (IPPU)</t>
  </si>
  <si>
    <t>CO2 Reference Approach (Energy)</t>
  </si>
  <si>
    <t>Differences due to losses and/or transformation (Energy)</t>
  </si>
  <si>
    <t>Statistical Differences (Energy)</t>
  </si>
  <si>
    <t>Manduba</t>
  </si>
  <si>
    <t>Ageneiosus inermis</t>
  </si>
  <si>
    <t>African pompano</t>
  </si>
  <si>
    <t>Alectis ciliaris</t>
  </si>
  <si>
    <t>[Alestes spp]</t>
  </si>
  <si>
    <t>Alestes spp</t>
  </si>
  <si>
    <t>Black snapper</t>
  </si>
  <si>
    <t>Apsilus dentatus</t>
  </si>
  <si>
    <t>[Auchenoglanis biscutatus]</t>
  </si>
  <si>
    <t>Auchenoglanis biscutatus</t>
  </si>
  <si>
    <t>Combtooth blennies</t>
  </si>
  <si>
    <t>Blenniidae</t>
  </si>
  <si>
    <t>Kumakuma</t>
  </si>
  <si>
    <t>Brachyplatystoma filamentosum</t>
  </si>
  <si>
    <t>[Brachyplatystoma rousseauxii]</t>
  </si>
  <si>
    <t>Brachyplatystoma rousseauxii</t>
  </si>
  <si>
    <t>[Brycinus leuciscus]</t>
  </si>
  <si>
    <t>Brycinus leuciscus</t>
  </si>
  <si>
    <t>Knobbed whelk</t>
  </si>
  <si>
    <t>Busycon carica</t>
  </si>
  <si>
    <t>Lightning whelk</t>
  </si>
  <si>
    <t>Busycon sinistrum</t>
  </si>
  <si>
    <t>Channeled whelk</t>
  </si>
  <si>
    <t>Busycotypus canaliculatus</t>
  </si>
  <si>
    <t>Jolthead porgy</t>
  </si>
  <si>
    <t>Calamus bajonado</t>
  </si>
  <si>
    <t>Pacific porgy</t>
  </si>
  <si>
    <t>Calamus brachysomus</t>
  </si>
  <si>
    <t>[Caquetaia kraussii]</t>
  </si>
  <si>
    <t>Caquetaia kraussii</t>
  </si>
  <si>
    <t>Yellow jack</t>
  </si>
  <si>
    <t>Caranx bartholomaei</t>
  </si>
  <si>
    <t>Green jack</t>
  </si>
  <si>
    <t>Caranx caballus</t>
  </si>
  <si>
    <t>Senegal jack</t>
  </si>
  <si>
    <t>Caranx senegallus</t>
  </si>
  <si>
    <t>Whitecheek shark</t>
  </si>
  <si>
    <t>Carcharhinus dussumieri</t>
  </si>
  <si>
    <t>Night shark</t>
  </si>
  <si>
    <t>Carcharhinus signatus</t>
  </si>
  <si>
    <t>River carpsucker</t>
  </si>
  <si>
    <t>Carpiodes carpio</t>
  </si>
  <si>
    <t>Curled picarel</t>
  </si>
  <si>
    <t>Centracanthus cirrus</t>
  </si>
  <si>
    <t>Rock sea bass</t>
  </si>
  <si>
    <t>Centropristis philadelphica</t>
  </si>
  <si>
    <t>Roughskin dogfish</t>
  </si>
  <si>
    <t>Centroscymnus owstoni</t>
  </si>
  <si>
    <t>Plunket shark</t>
  </si>
  <si>
    <t>Centroscymnus plunketi</t>
  </si>
  <si>
    <t>Tanner crab</t>
  </si>
  <si>
    <t>Chionoecetes bairdi</t>
  </si>
  <si>
    <t>Blue fathead</t>
  </si>
  <si>
    <t>Cubiceps caeruleus</t>
  </si>
  <si>
    <t>God's flounder</t>
  </si>
  <si>
    <t>Cyclopsetta panamensis</t>
  </si>
  <si>
    <t>Siliceous sponges</t>
  </si>
  <si>
    <t>Demospongiae</t>
  </si>
  <si>
    <t>Pink dentex</t>
  </si>
  <si>
    <t>Dentex gibbosus</t>
  </si>
  <si>
    <t>Blackthroat seaperch</t>
  </si>
  <si>
    <t>Doederleinia berycoides</t>
  </si>
  <si>
    <t>Duskytail grouper</t>
  </si>
  <si>
    <t>Epinephelus bleekeri</t>
  </si>
  <si>
    <t>Black goby</t>
  </si>
  <si>
    <t>Slender codling</t>
  </si>
  <si>
    <t>Halargyreus johnsonii</t>
  </si>
  <si>
    <t>Heterobranchus longifilis</t>
  </si>
  <si>
    <t>Nylon shrimps nei</t>
  </si>
  <si>
    <t>Heterocarpus spp</t>
  </si>
  <si>
    <t>Loweye catfishes nei</t>
  </si>
  <si>
    <t>Hypophthalmus spp</t>
  </si>
  <si>
    <t>Velvet fan lobster</t>
  </si>
  <si>
    <t>Ibacus alticrenatus</t>
  </si>
  <si>
    <t>Butter sole</t>
  </si>
  <si>
    <t>Isopsetta isolepis</t>
  </si>
  <si>
    <t>Tanaka's snailfish</t>
  </si>
  <si>
    <t>Liparis tanakae</t>
  </si>
  <si>
    <t>Liza ramada</t>
  </si>
  <si>
    <t>Deep-water Cape hake</t>
  </si>
  <si>
    <t>Merluccius paradoxus</t>
  </si>
  <si>
    <t>Round goby</t>
  </si>
  <si>
    <t>Neogobius melanostomus</t>
  </si>
  <si>
    <t>African obscure snakehead</t>
  </si>
  <si>
    <t>Parachanna obscura</t>
  </si>
  <si>
    <t>Bubble gum coral</t>
  </si>
  <si>
    <t>Paragorgia arborea</t>
  </si>
  <si>
    <t>Sea pens</t>
  </si>
  <si>
    <t>Pennatulacea</t>
  </si>
  <si>
    <t>[Pimelodus albicans]</t>
  </si>
  <si>
    <t>Pimelodus albicans</t>
  </si>
  <si>
    <t>Henslow’s swimming crab</t>
  </si>
  <si>
    <t>Polybius henslowii</t>
  </si>
  <si>
    <t>Parrot grunt</t>
  </si>
  <si>
    <t>Pomadasys perotaei</t>
  </si>
  <si>
    <t>Freshwater river stingray nei</t>
  </si>
  <si>
    <t>Potamotrygon spp</t>
  </si>
  <si>
    <t>Wenchman</t>
  </si>
  <si>
    <t>Pristipomoides aquilonaris</t>
  </si>
  <si>
    <t>Cardinal snapper</t>
  </si>
  <si>
    <t>Pristipomoides macrophthalmus</t>
  </si>
  <si>
    <t>Chilean jagged lobster</t>
  </si>
  <si>
    <t>Projasus bahamondei</t>
  </si>
  <si>
    <t>Red lionfish</t>
  </si>
  <si>
    <t>Pterois volitans</t>
  </si>
  <si>
    <t>Pterygoplichthys pardalis</t>
  </si>
  <si>
    <t>Rhabdosargus</t>
  </si>
  <si>
    <t>Stumpnoses nei</t>
  </si>
  <si>
    <t>Rhabdosargus spp</t>
  </si>
  <si>
    <t>Caspian roach</t>
  </si>
  <si>
    <t>Rutilus caspicus</t>
  </si>
  <si>
    <t>Australian bonito</t>
  </si>
  <si>
    <t>Sarda australis</t>
  </si>
  <si>
    <t>Redcoat</t>
  </si>
  <si>
    <t>Sargocentron rubrum</t>
  </si>
  <si>
    <t>Broad-barred king mackerel</t>
  </si>
  <si>
    <t>Scomberomorus semifasciatus</t>
  </si>
  <si>
    <t>Blue maomao</t>
  </si>
  <si>
    <t>Scorpis violacea</t>
  </si>
  <si>
    <t>Piranhas nei</t>
  </si>
  <si>
    <t>Serrasalmus spp</t>
  </si>
  <si>
    <t>Dusky spinefoot</t>
  </si>
  <si>
    <t>Siganus luridus</t>
  </si>
  <si>
    <t>Siganus rivulatus</t>
  </si>
  <si>
    <t>Sawtooth barracuda</t>
  </si>
  <si>
    <t>Sphyraena putnamae</t>
  </si>
  <si>
    <t>Great hammerhead</t>
  </si>
  <si>
    <t>Sphyrna mokarran</t>
  </si>
  <si>
    <t>Freshwater sponge</t>
  </si>
  <si>
    <t>Spongilla spp</t>
  </si>
  <si>
    <t>Largescaled terapon</t>
  </si>
  <si>
    <t>Terapon theraps</t>
  </si>
  <si>
    <t>Permit</t>
  </si>
  <si>
    <t>Trachinotus falcatus</t>
  </si>
  <si>
    <t>Sea lettuces nei</t>
  </si>
  <si>
    <t>Ulva spp</t>
  </si>
  <si>
    <t>African scraping feeder</t>
  </si>
  <si>
    <t>Varicorhinus beso</t>
  </si>
  <si>
    <t>[Xenocharax spilurus]</t>
  </si>
  <si>
    <t>Xenocharax spilurus</t>
  </si>
  <si>
    <t>Carps, eels and snakeheads, fillets, fresh or chilled</t>
  </si>
  <si>
    <t>Pacific, Atlantic and Danube salmon, fillets, fresh or chilled</t>
  </si>
  <si>
    <t>Abalone, prepared or preserved</t>
  </si>
  <si>
    <t>Catfish, fillets, fresh or chilled</t>
  </si>
  <si>
    <t>Alaska Pollack (Theragra chalcogramma), fresh or chilled</t>
  </si>
  <si>
    <t>Nile Perch (Lates niloticus), fillets, fresh or chilled</t>
  </si>
  <si>
    <t>Alaska Pollack (Theragra chalcogramma), meat, frozen</t>
  </si>
  <si>
    <t>Anchovies (Engraulis spp.), fresh or chilled</t>
  </si>
  <si>
    <t>Atlantic and Danube salmon, fresh or chilled</t>
  </si>
  <si>
    <t>Blue whitings (Micromesistius poutassou, Micromesistius australis), fresh or chilled</t>
  </si>
  <si>
    <t>Blue whitings (Micromesistius poutassou, Micromesistius australis), frozen</t>
  </si>
  <si>
    <t>Carp,  fresh or chilled</t>
  </si>
  <si>
    <t>Carp, frozen</t>
  </si>
  <si>
    <t>Tilapias (Oreochromis spp.), fillets, fresh or chilled</t>
  </si>
  <si>
    <t>Alaska Pollack (Theragra chalcogramma), fillets, frozen</t>
  </si>
  <si>
    <t>Carps, eels and snakeheads, fillets, frozen</t>
  </si>
  <si>
    <t>Catfish, fillets, frozen</t>
  </si>
  <si>
    <t>Flat fish, fillets, frozen</t>
  </si>
  <si>
    <t>Hake (Merluccius spp., Urophycis spp.), fillets, frozen</t>
  </si>
  <si>
    <t>Nile Perch (Lates niloticus), fillets, frozen</t>
  </si>
  <si>
    <t>Caviar</t>
  </si>
  <si>
    <t>Caviar substitutes</t>
  </si>
  <si>
    <t>Pacific, Atlantic and Danube salmon, fillets, frozen</t>
  </si>
  <si>
    <t>Tilapias (Oreochromis spp.), fillets, frozen</t>
  </si>
  <si>
    <t>Catfish,  fresh or chilled</t>
  </si>
  <si>
    <t>Coalfish(=Saithe), fillets, frozen</t>
  </si>
  <si>
    <t>Coalfish(=Saithe), fresh or chilled</t>
  </si>
  <si>
    <t>Clams, cockles and ark shells,  other than live, fresh or chilled</t>
  </si>
  <si>
    <t>Clams, cockles and ark shells, live, fresh or chilled</t>
  </si>
  <si>
    <t>Cod (Gadus morhua, Gadus ogac, Gadus macrocephalus), fresh or chilled</t>
  </si>
  <si>
    <t>Cod, fillets, frozen</t>
  </si>
  <si>
    <t>Cold-water shrimps and prawns (Pandalus spp., Crangon crangon), whether in shell or not, frozen</t>
  </si>
  <si>
    <t>Cold-water shrimps and prawns (Pandalus spp., Crangon crangon), whether in shell or not, not frozen</t>
  </si>
  <si>
    <t>Cuttle fish and squid, prepared or preserved</t>
  </si>
  <si>
    <t>Dogfish and other sharks,  fresh or chilled</t>
  </si>
  <si>
    <t>Eels (Anguilla spp.),  fresh or chilled</t>
  </si>
  <si>
    <t>Cobia (Rachycentron canadum), fresh or chilled</t>
  </si>
  <si>
    <t>Eels, frozen</t>
  </si>
  <si>
    <t>Fish fillets, fresh or chilled, nei</t>
  </si>
  <si>
    <t>Fish heads, tails and maws, dried, salted or in brine, smoked</t>
  </si>
  <si>
    <t>Flat fish, fillets, fresh or chilled</t>
  </si>
  <si>
    <t>Hake (Merluccius spp., Urophycis spp.), fresh or chilled</t>
  </si>
  <si>
    <t>Gadiformes fillets (excl. cod, haddock, coalfish/saithe, hake, Alaska pollack), frozen</t>
  </si>
  <si>
    <t>Gadiformes, fillets, dried, salted or in brine, not smoked</t>
  </si>
  <si>
    <t>Gadiformes, fillets, fresh or chilled</t>
  </si>
  <si>
    <t>Gadiformes, meat, minced or not, fresh or chilled</t>
  </si>
  <si>
    <t>Haddock (Melanogrammus aeglefinus), fillets, frozen</t>
  </si>
  <si>
    <t>Haddock (Melanogrammus aeglefinus), fresh or chilled</t>
  </si>
  <si>
    <t>Haddock (Melanogrammus aeglefinus), frozen</t>
  </si>
  <si>
    <t>Nile perch (Lates niloticus) and snakeheads (Channa spp.),  fresh or chilled</t>
  </si>
  <si>
    <t>Other Gadiformes, fresh or chilled</t>
  </si>
  <si>
    <t>Hake (Merluccius spp., Urophycis spp.), frozen</t>
  </si>
  <si>
    <t>Herrings (Clupea harengus, Clupea pallasii), fillets, frozen</t>
  </si>
  <si>
    <t>Herrings (Clupea harengus, Clupea pallasii), fresh or chilled</t>
  </si>
  <si>
    <t>Jack and horse mackerel (Trachurus spp.), fresh or chilled</t>
  </si>
  <si>
    <t>Rays and skates (Rajidae),  fresh or chilled</t>
  </si>
  <si>
    <t>Jellyfish (Rhopilema spp.), live, fresh, chilled, frozen, dried, salted or in brine</t>
  </si>
  <si>
    <t>Sea cucumbers,  other than live, fresh or chilled</t>
  </si>
  <si>
    <t>Mackerel, fresh or chilled</t>
  </si>
  <si>
    <t>Mackerel, frozen</t>
  </si>
  <si>
    <t>Sea cucumbers, live, fresh or chilled</t>
  </si>
  <si>
    <t>Meat of tilapias, catfish, carp, eels, nile perch and snakeheads, minced or not, fresh or chilled</t>
  </si>
  <si>
    <t>Mussels, prepared or preserved</t>
  </si>
  <si>
    <t>Sea urchins,  other than live, fresh or chilled</t>
  </si>
  <si>
    <t>Sea urchins, live, fresh or chilled</t>
  </si>
  <si>
    <t>Seabass (Dicentrarchus spp.),  fresh or chilled</t>
  </si>
  <si>
    <t>Norway lobsters (Nephrops norvegicus), whether in shell or not, frozen</t>
  </si>
  <si>
    <t>Norway lobsters (Nephrops norvegicus), whether in shell or not, not frozen</t>
  </si>
  <si>
    <t>Octopus, prepared or preserved</t>
  </si>
  <si>
    <t>Ornamental fish, live, other</t>
  </si>
  <si>
    <t>Ornamental freshwater fish, live</t>
  </si>
  <si>
    <t>Other  edible fish offal, dried, salted or in brine</t>
  </si>
  <si>
    <t>Other aquatic invertebrates, live, fresh, chilled, frozen, dried, salted or in brine, smoked</t>
  </si>
  <si>
    <t>Seabream (Sparidae),  fresh or chilled</t>
  </si>
  <si>
    <t>Other fish fillets, dried, salted or in brine, not smoked</t>
  </si>
  <si>
    <t>Other fish meat, minced or not, fresh or chilled</t>
  </si>
  <si>
    <t>Other freshwater or saltwater fish,  fresh or chilled</t>
  </si>
  <si>
    <t>Tilapias (Oreochromis spp.), fresh or chilled</t>
  </si>
  <si>
    <t>Alaska Pollack (Theragra chalcogramma), frozen</t>
  </si>
  <si>
    <t>Catfish, frozen</t>
  </si>
  <si>
    <t>Cobia (Rachycentron canadum), frozen</t>
  </si>
  <si>
    <t>Other shrimps and prawns, whether in shell or not, frozen</t>
  </si>
  <si>
    <t>Other shrimps and prawns, whether in shell or not, not frozen</t>
  </si>
  <si>
    <t>Oysters, live, fresh, chilled</t>
  </si>
  <si>
    <t>Oysters, other than live, fresh or chilled</t>
  </si>
  <si>
    <t>Jack and horse mackerel (Trachurus spp.), frozen</t>
  </si>
  <si>
    <t>Pacific salmon, fresh or chilled</t>
  </si>
  <si>
    <t>Meat of Gadiformes (excl. Alaska Pollack), frozen</t>
  </si>
  <si>
    <t>Other Gadiformes, frozen</t>
  </si>
  <si>
    <t>Rays and skates (Rajidae),  frozen</t>
  </si>
  <si>
    <t>Salmonidae, meat, minced or not, fresh or chilled</t>
  </si>
  <si>
    <t>Sardines, sardinella, brisling or sprats, frozen</t>
  </si>
  <si>
    <t>Scallops, including queen scallops, prepared or preserved</t>
  </si>
  <si>
    <t>Tilapias (Oreochromis spp.), frozen</t>
  </si>
  <si>
    <t>Tilapias, catfish, carp, eels, Nile perch and snakeheads  meat, frozen</t>
  </si>
  <si>
    <t>Clams, cockles and arkshells, prepared or preserved</t>
  </si>
  <si>
    <t>Eels (Anguilla spp.), prepared or preserved</t>
  </si>
  <si>
    <t>Jellyfish, prepared or preserved</t>
  </si>
  <si>
    <t>Other aquatic invertebrates, prepared or preserved</t>
  </si>
  <si>
    <t>Other molluscs, prepared or preserved</t>
  </si>
  <si>
    <t>Seabass (Dicentrarchus spp.),  frozen</t>
  </si>
  <si>
    <t>Other shrimps and prawns, prepared or preserved</t>
  </si>
  <si>
    <t>Seaweeds and other algae, fit for human consumption</t>
  </si>
  <si>
    <t>Seaweeds and other algae, unfit for human consumption</t>
  </si>
  <si>
    <t>Shark fins, dried, salted or in brine</t>
  </si>
  <si>
    <t>Oysters, prepared or preserved</t>
  </si>
  <si>
    <t>Swordfish (Xiphias gladius) meat, minced or not, fresh or chilled</t>
  </si>
  <si>
    <t>Swordfish (Xiphias gladius), fillets, fresh or chilled</t>
  </si>
  <si>
    <t>Swordfish (Xiphias gladius), fillets, frozen</t>
  </si>
  <si>
    <t>Sea cucumbers, prepared or preserved</t>
  </si>
  <si>
    <t>Sea urchins, prepared or preserved</t>
  </si>
  <si>
    <t>Shrimps and prawns, prepared or preserved, not in airtight containers</t>
  </si>
  <si>
    <t>Abalone (Haliotis spp.),  other than live, fresh or chilled</t>
  </si>
  <si>
    <t>Abalone (Haliotis spp.), live, fresh or chilled</t>
  </si>
  <si>
    <t>Tilapias, catfish, carp, eels, nile perch and snakeheads, fillets, dried, salted or in brine, not smoked</t>
  </si>
  <si>
    <t>Tilapias, catfish, carp, eels, Nile perch and snakeheads, including fillets, smoked</t>
  </si>
  <si>
    <t>Tilapias, catfish, carp, eels, Nile perch and snakeheads, salted or in brine</t>
  </si>
  <si>
    <t>Toothfish (Dissostichus spp.),  fresh or chilled</t>
  </si>
  <si>
    <t>Toothfish (Dissostichus spp.), fillets, fresh or chilled</t>
  </si>
  <si>
    <t>Toothfish (Dissostichus spp.), fillets, frozen</t>
  </si>
  <si>
    <t>Toothfish (Dissostichus spp.), meat, minced or not, fresh or chilled</t>
  </si>
  <si>
    <t>Trout, fillets, fresh or chilled</t>
  </si>
  <si>
    <t>Trout, fillets, frozen</t>
  </si>
  <si>
    <t>Trout, including fillets, smoked</t>
  </si>
  <si>
    <t>Tunas, skipjack or stripe-bellied bonito, fillets, frozen</t>
  </si>
  <si>
    <t>Turbots (Psetta maxima), fresh or chilled</t>
  </si>
  <si>
    <t>Turbots (Psetta maxima), frozen</t>
  </si>
  <si>
    <t>Flatfish</t>
  </si>
  <si>
    <t>Bluefin tuna (Thunnus thynnus, Thunnus orientalis), fresh or chilled</t>
  </si>
  <si>
    <t>Bluefin tuna (Thunnus thynnus, Thunnus orientalis), frozen</t>
  </si>
  <si>
    <t>Bluefin tunas (Thunnus thynnus, Thunnus orientalis), live</t>
  </si>
  <si>
    <t>Cuttlefish and squid,  other than live, fresh or chilled</t>
  </si>
  <si>
    <t>Fish livers and roes, dried, salted or in brine, smoked</t>
  </si>
  <si>
    <t>Fish meat, whether or not minced, frozen</t>
  </si>
  <si>
    <t>Mussels,  other than live, fresh or chilled</t>
  </si>
  <si>
    <t>Nile perch (Lates niloticus) and snakeheads (Channa spp.), frozen</t>
  </si>
  <si>
    <t>Octopus,  other than live, fresh or chilled</t>
  </si>
  <si>
    <t>Other animal products not elsewhere specified or included</t>
  </si>
  <si>
    <t>Other fish, whole or in pieces, prepared or preserved</t>
  </si>
  <si>
    <t>Other molluscs, live, fresh or chilled</t>
  </si>
  <si>
    <t>Other molluscs, other than live, fresh or chilled</t>
  </si>
  <si>
    <t>Southern bluefin tuna (Thunnus maccoyii), frozen</t>
  </si>
  <si>
    <t>Acipenser baerii</t>
  </si>
  <si>
    <t>Acipenser naccarii</t>
  </si>
  <si>
    <t>Hooknose</t>
  </si>
  <si>
    <t>Agonus cataphractus</t>
  </si>
  <si>
    <t xml:space="preserve">Babberlocks </t>
  </si>
  <si>
    <t>Alaria esculenta Greville</t>
  </si>
  <si>
    <t>Alloteuthis squids nei</t>
  </si>
  <si>
    <t>Alloteuthis subulata</t>
  </si>
  <si>
    <t>Ameiurus melas</t>
  </si>
  <si>
    <t>Small sandeel</t>
  </si>
  <si>
    <t>Ammodytes tobianus</t>
  </si>
  <si>
    <t>Anadara broughtonii</t>
  </si>
  <si>
    <t>Anadara grandis</t>
  </si>
  <si>
    <t>Anadara tuberculosa</t>
  </si>
  <si>
    <t>Anodonta cygnea</t>
  </si>
  <si>
    <t>Anostomoides laticeps</t>
  </si>
  <si>
    <t>Argyrosomus japonicus</t>
  </si>
  <si>
    <t>Mediterranean scaldfish</t>
  </si>
  <si>
    <t>Arnoglossus laterna</t>
  </si>
  <si>
    <t>Pacific asaphis</t>
  </si>
  <si>
    <t>Asaphis violascens</t>
  </si>
  <si>
    <t>Asparagopsis spp</t>
  </si>
  <si>
    <t>Atrina rigida</t>
  </si>
  <si>
    <t>Roughtail stingray</t>
  </si>
  <si>
    <t>Bathytoshia centroura</t>
  </si>
  <si>
    <t>Big skate</t>
  </si>
  <si>
    <t>Beringraja binoculata</t>
  </si>
  <si>
    <t>Bidyanus bidyanus</t>
  </si>
  <si>
    <t>Boleophthalmus pectinirostris</t>
  </si>
  <si>
    <t>Purple dye murex</t>
  </si>
  <si>
    <t>Bolinus Brandaris</t>
  </si>
  <si>
    <t>Brycon</t>
  </si>
  <si>
    <t>Brycon amazonicus</t>
  </si>
  <si>
    <t>Brycon hilarii</t>
  </si>
  <si>
    <t>Brycon moorei</t>
  </si>
  <si>
    <t>Seven khramulya</t>
  </si>
  <si>
    <t xml:space="preserve">Crucian carp </t>
  </si>
  <si>
    <t>Spottail shark</t>
  </si>
  <si>
    <t>Caridina denticulata</t>
  </si>
  <si>
    <t>Coarse seagrape</t>
  </si>
  <si>
    <t>Caulerpa racemosa</t>
  </si>
  <si>
    <t>Caulerpaceae prolifera</t>
  </si>
  <si>
    <t>Chaetodipterus faber</t>
  </si>
  <si>
    <t>Channa marulius</t>
  </si>
  <si>
    <t>Channa punctata</t>
  </si>
  <si>
    <t>Chitala chitala</t>
  </si>
  <si>
    <t>Chlamys C.varia</t>
  </si>
  <si>
    <t>Unicell. chlorella green alga</t>
  </si>
  <si>
    <t>Chlorella pyrenoidosa</t>
  </si>
  <si>
    <t>Shortnose greeneye</t>
  </si>
  <si>
    <t>Chlorophthalmus agassizi</t>
  </si>
  <si>
    <t>Cichla</t>
  </si>
  <si>
    <t>Cichlasoma</t>
  </si>
  <si>
    <t>Cipangopaludina chinensis</t>
  </si>
  <si>
    <t>Cirrhinus cirrhosus</t>
  </si>
  <si>
    <t>Cirrhinus microlepis</t>
  </si>
  <si>
    <t>Spotted flounder</t>
  </si>
  <si>
    <t>Citharus linguatula</t>
  </si>
  <si>
    <t>Cladocera</t>
  </si>
  <si>
    <t>Cladosiphon okamuranus</t>
  </si>
  <si>
    <t>Clarias fuscus</t>
  </si>
  <si>
    <t>Clarias gariepinus X</t>
  </si>
  <si>
    <t>Colossoma C.macropomum
P.Piaractus brachypomus</t>
  </si>
  <si>
    <t xml:space="preserve">Coptodon rendalli </t>
  </si>
  <si>
    <t>Coptodon zillii</t>
  </si>
  <si>
    <t>Corbicula fluminea</t>
  </si>
  <si>
    <t>Coregonus peled</t>
  </si>
  <si>
    <t>Longrayed whiptail</t>
  </si>
  <si>
    <t>Coryphaenoides subserrulatus</t>
  </si>
  <si>
    <t>Crassostrea</t>
  </si>
  <si>
    <t>Crassostrea Bilineata</t>
  </si>
  <si>
    <t>Crassostrea corteziensis</t>
  </si>
  <si>
    <t>American slipper-limpet</t>
  </si>
  <si>
    <t>Crepidula fornicata</t>
  </si>
  <si>
    <t>Cyclina sinensis</t>
  </si>
  <si>
    <t>Dentex tumifrons</t>
  </si>
  <si>
    <t>Dormitator latifrons</t>
  </si>
  <si>
    <t>Threadfin shad</t>
  </si>
  <si>
    <t>Dorosoma petenense</t>
  </si>
  <si>
    <t>Gizzard shad nei</t>
  </si>
  <si>
    <t>Painted eel</t>
  </si>
  <si>
    <t>Echelus myrus</t>
  </si>
  <si>
    <t>Ellochelon vaigiensis</t>
  </si>
  <si>
    <t>Lake Malawi sardine</t>
  </si>
  <si>
    <t>Epinephelus akaara</t>
  </si>
  <si>
    <t>Giant grouper</t>
  </si>
  <si>
    <t>Epinephelus lanceolatus</t>
  </si>
  <si>
    <t>Epinephelus malabaricus</t>
  </si>
  <si>
    <t>Atlantic rubyfish</t>
  </si>
  <si>
    <t>Erythrocles monodi</t>
  </si>
  <si>
    <t>Euastacus leniusculus</t>
  </si>
  <si>
    <t>Eucheuma</t>
  </si>
  <si>
    <t>Eucheuma denticulatum</t>
  </si>
  <si>
    <t>Gelidium amansii</t>
  </si>
  <si>
    <t>Gibelion catla</t>
  </si>
  <si>
    <t>Gracilaria gracilis</t>
  </si>
  <si>
    <t>Brown moray</t>
  </si>
  <si>
    <t>Gymnothorax unicolor</t>
  </si>
  <si>
    <t>Haematococcus pluvialis</t>
  </si>
  <si>
    <t>Grunts nei</t>
  </si>
  <si>
    <t>Haliotis</t>
  </si>
  <si>
    <t>Rainbow abalone</t>
  </si>
  <si>
    <t>Haliotis iris</t>
  </si>
  <si>
    <t>Haliotis rufescens</t>
  </si>
  <si>
    <t>Heterobranchus bidorsalis</t>
  </si>
  <si>
    <t>Heteropneustes fossilis</t>
  </si>
  <si>
    <t>Hilsa Kelee</t>
  </si>
  <si>
    <t>Hippopus hippopus</t>
  </si>
  <si>
    <t>Squirrelfish</t>
  </si>
  <si>
    <t>Holocentrus adscensionis</t>
  </si>
  <si>
    <t>Sandfish</t>
  </si>
  <si>
    <t xml:space="preserve">Hoplias </t>
  </si>
  <si>
    <t>East Asian bullfrog</t>
  </si>
  <si>
    <t>Hoplobatrachus rugulosus</t>
  </si>
  <si>
    <t>Hoplosternum littorale</t>
  </si>
  <si>
    <t>Hypostomus plecostomus</t>
  </si>
  <si>
    <t>[Hypsibarbus spp]</t>
  </si>
  <si>
    <t>Hypsibarbus spp</t>
  </si>
  <si>
    <t>Kappaphycus alvarezii</t>
  </si>
  <si>
    <t>Labeo calbasu</t>
  </si>
  <si>
    <t>Labeo dussumieri</t>
  </si>
  <si>
    <t>Labeo rohita</t>
  </si>
  <si>
    <t>Labeo victorianus</t>
  </si>
  <si>
    <t>Labeobarbus altianalis</t>
  </si>
  <si>
    <t>Smooth puffer</t>
  </si>
  <si>
    <t>Lagocephalus laevifatus</t>
  </si>
  <si>
    <t>Leiocassis longirostris</t>
  </si>
  <si>
    <t>Lepomis macrochirus</t>
  </si>
  <si>
    <t xml:space="preserve">Leporinus </t>
  </si>
  <si>
    <t>Litjanus goldiei</t>
  </si>
  <si>
    <t>Lobatus gigas</t>
  </si>
  <si>
    <t>Dagaas (=Kapenta)</t>
  </si>
  <si>
    <t>Lstolothrissa, limnothrissa</t>
  </si>
  <si>
    <t>Luciobarbus callensis</t>
  </si>
  <si>
    <t>Golden African snapper</t>
  </si>
  <si>
    <t>Lutjanus fulgens</t>
  </si>
  <si>
    <t>Gorean snapper</t>
  </si>
  <si>
    <t>Lutjanus goreensis</t>
  </si>
  <si>
    <t>Lutjanus russellii</t>
  </si>
  <si>
    <t>Emperor red snapper</t>
  </si>
  <si>
    <t>Lutjanus sebae</t>
  </si>
  <si>
    <t xml:space="preserve">Macculluchella peelii </t>
  </si>
  <si>
    <t>Macquaria ambigua</t>
  </si>
  <si>
    <t>Macrobrachium lar</t>
  </si>
  <si>
    <t>Macrobrachium malcolmsonii</t>
  </si>
  <si>
    <t>Macrocystis pyrifera</t>
  </si>
  <si>
    <t>Giant kelps nei</t>
  </si>
  <si>
    <t>Caml grenadier</t>
  </si>
  <si>
    <t>Macrourus caml</t>
  </si>
  <si>
    <t>Mactra glabrata</t>
  </si>
  <si>
    <t>Mactra veneriformis</t>
  </si>
  <si>
    <t>[Mastacembelus cunningtoni]</t>
  </si>
  <si>
    <t>Mastacembelus cunningtoni</t>
  </si>
  <si>
    <t>Melicertus plebejus</t>
  </si>
  <si>
    <t>Metapenaeus ensis</t>
  </si>
  <si>
    <t>Metapenaeus macleayi</t>
  </si>
  <si>
    <t>Morone M.chrysops M.saxatilis</t>
  </si>
  <si>
    <t>Mottled grouper</t>
  </si>
  <si>
    <t>Mycteroperca rubra</t>
  </si>
  <si>
    <t>Hagfish</t>
  </si>
  <si>
    <t>Myxine glutinosa</t>
  </si>
  <si>
    <t>Copper mahseer</t>
  </si>
  <si>
    <t>Neolissochilus hexagonolepis</t>
  </si>
  <si>
    <t>Nodipecten subnodosus</t>
  </si>
  <si>
    <t>Barracudinas nei</t>
  </si>
  <si>
    <t>Notopterus notopterus</t>
  </si>
  <si>
    <t xml:space="preserve">Octopus </t>
  </si>
  <si>
    <t>Oncorhynchus aguabonita</t>
  </si>
  <si>
    <t>Oreochromis andersonii</t>
  </si>
  <si>
    <t>Oreochromis macrochir</t>
  </si>
  <si>
    <t>Tilapia shiranus</t>
  </si>
  <si>
    <t>Oreochromis spilurus</t>
  </si>
  <si>
    <t>[Oreochromis tanganicae]</t>
  </si>
  <si>
    <t>Oreochromis tanganicae</t>
  </si>
  <si>
    <t>Ostreidae</t>
  </si>
  <si>
    <t>Oxyeleotris marmorata</t>
  </si>
  <si>
    <t>P. Mesopotamicus X C. Macropomum</t>
  </si>
  <si>
    <t>Pagrus major</t>
  </si>
  <si>
    <t>Palaemon varians</t>
  </si>
  <si>
    <t>Palmaria palmata</t>
  </si>
  <si>
    <t>Pangasianodon hypophthalmus</t>
  </si>
  <si>
    <t>Pangasius pangasius</t>
  </si>
  <si>
    <t>Panulirus japonicus</t>
  </si>
  <si>
    <t>Panulirus polyphagus</t>
  </si>
  <si>
    <t>Paphia aurea</t>
  </si>
  <si>
    <t>Parachanna snakeheads nei</t>
  </si>
  <si>
    <t>Crimson pasiphaeid</t>
  </si>
  <si>
    <t>Pasiphaea tarda</t>
  </si>
  <si>
    <t>Yellowfin notothen</t>
  </si>
  <si>
    <t>Patagonotothen guntheri</t>
  </si>
  <si>
    <t>Pecten fumatus</t>
  </si>
  <si>
    <t>Penaeus esculentus</t>
  </si>
  <si>
    <t>Donkey croaker</t>
  </si>
  <si>
    <t>Perna P.canaliculus</t>
  </si>
  <si>
    <t>Pethia guganio</t>
  </si>
  <si>
    <t>Piaractus mesopotamicus</t>
  </si>
  <si>
    <t xml:space="preserve">Pimelodus </t>
  </si>
  <si>
    <t>Pinctada margaitifera</t>
  </si>
  <si>
    <t>Platax orbicularis</t>
  </si>
  <si>
    <t>Plectropomus maculatus</t>
  </si>
  <si>
    <t>Striped soldier shrimp</t>
  </si>
  <si>
    <t>Plesionika edwardsii</t>
  </si>
  <si>
    <t>Polydactylus sexfilis</t>
  </si>
  <si>
    <t>Broad geloina</t>
  </si>
  <si>
    <t>Polymesoda expansa</t>
  </si>
  <si>
    <t>Pomoxis annularis</t>
  </si>
  <si>
    <t>Porphyra columbina</t>
  </si>
  <si>
    <t>Ribboned nori</t>
  </si>
  <si>
    <t>Porphyra linearis</t>
  </si>
  <si>
    <t>Portunidae</t>
  </si>
  <si>
    <t>Probarbus Julieni</t>
  </si>
  <si>
    <t>Prochilodus mariae</t>
  </si>
  <si>
    <t>Prochilodus nigricans</t>
  </si>
  <si>
    <t>Protapes gallus</t>
  </si>
  <si>
    <t>Protosalanx hyalocranius</t>
  </si>
  <si>
    <t>Psammoperca waigiensis</t>
  </si>
  <si>
    <t>Pteria P.penguin</t>
  </si>
  <si>
    <t>Whiteleg skate</t>
  </si>
  <si>
    <t>rana catesbeiana</t>
  </si>
  <si>
    <t>Rana ridibunda</t>
  </si>
  <si>
    <t>Rhabdosargus sarba</t>
  </si>
  <si>
    <t>Vatani rohtee</t>
  </si>
  <si>
    <t>Rohtee Ogilbii</t>
  </si>
  <si>
    <t>Saccharina latissima</t>
  </si>
  <si>
    <t>Saccostrea cucullata</t>
  </si>
  <si>
    <t xml:space="preserve">Salmo ischchan </t>
  </si>
  <si>
    <t>Salmonidae</t>
  </si>
  <si>
    <t>Volga pikeperch</t>
  </si>
  <si>
    <t>Sander Volgensis</t>
  </si>
  <si>
    <t>Leister</t>
  </si>
  <si>
    <t>[Sargassum spp]</t>
  </si>
  <si>
    <t>Sargassum</t>
  </si>
  <si>
    <t>sargassum fusiforme</t>
  </si>
  <si>
    <t>Sattar snowtrout</t>
  </si>
  <si>
    <t>Schizothorax curvifrons</t>
  </si>
  <si>
    <t>Snowtrouts nei</t>
  </si>
  <si>
    <t>Schizothorax richardsonii</t>
  </si>
  <si>
    <t>Sciaena</t>
  </si>
  <si>
    <t>Atlantic chub mackerel</t>
  </si>
  <si>
    <t xml:space="preserve">Scomber Colias </t>
  </si>
  <si>
    <t>Pacific chub mackerel</t>
  </si>
  <si>
    <t>Barcoo grunter</t>
  </si>
  <si>
    <t>Scortum barcoo</t>
  </si>
  <si>
    <t>Scrobicularia plana</t>
  </si>
  <si>
    <t>Scylla olivacea</t>
  </si>
  <si>
    <t>Vermilion rockfish</t>
  </si>
  <si>
    <t>Sebaste miniatus</t>
  </si>
  <si>
    <t>Aurora rockfish</t>
  </si>
  <si>
    <t xml:space="preserve">Sebastes aurora </t>
  </si>
  <si>
    <t>Redbanded rockfish</t>
  </si>
  <si>
    <t>Sebastes babcocki</t>
  </si>
  <si>
    <t>Gopher rockfish</t>
  </si>
  <si>
    <t>Sebastes carnatus</t>
  </si>
  <si>
    <t>Blackgill rockfish</t>
  </si>
  <si>
    <t>Sebastes melanostomus</t>
  </si>
  <si>
    <t>Bank rockfish</t>
  </si>
  <si>
    <t>Sebastes rufus</t>
  </si>
  <si>
    <t>Sebastes schlegelii</t>
  </si>
  <si>
    <t>Longspine thornyhead</t>
  </si>
  <si>
    <t>Sebastolobus altivelis</t>
  </si>
  <si>
    <t>Kissing prochilodus</t>
  </si>
  <si>
    <t>Seriola quinqueradiata</t>
  </si>
  <si>
    <t>Serranochromis robustus</t>
  </si>
  <si>
    <t>Siganus canaliculatus</t>
  </si>
  <si>
    <t>Siganus javus</t>
  </si>
  <si>
    <t>Silurus asotus</t>
  </si>
  <si>
    <t>Siniperca chuatsi</t>
  </si>
  <si>
    <t>Sinonovacula constricta</t>
  </si>
  <si>
    <t>Olive barb</t>
  </si>
  <si>
    <t>Systomus sarana</t>
  </si>
  <si>
    <t>Tachysurus fulvidraco</t>
  </si>
  <si>
    <t>Takifugu obscurus</t>
  </si>
  <si>
    <t>Takifugu rubripes</t>
  </si>
  <si>
    <t>Small-scaled terapon</t>
  </si>
  <si>
    <t>Terapon puta</t>
  </si>
  <si>
    <t>Lesser flying squid</t>
  </si>
  <si>
    <t>Todaropsis eblanae</t>
  </si>
  <si>
    <t>Thai mahseer</t>
  </si>
  <si>
    <t>Tor tambroides</t>
  </si>
  <si>
    <t>Tresus capax</t>
  </si>
  <si>
    <t>Leopard shark</t>
  </si>
  <si>
    <t>Triakis semifasciata</t>
  </si>
  <si>
    <t>Tridacna crocea</t>
  </si>
  <si>
    <t>Tridacna derasa</t>
  </si>
  <si>
    <t>Tridacna gigas</t>
  </si>
  <si>
    <t>Giant clams nei</t>
  </si>
  <si>
    <t>Tridacna maxima</t>
  </si>
  <si>
    <t>Tridacna squamosa</t>
  </si>
  <si>
    <t>Piper gurnard</t>
  </si>
  <si>
    <t>Trigla lyra</t>
  </si>
  <si>
    <t>Rough turban</t>
  </si>
  <si>
    <t>Turbo setosus</t>
  </si>
  <si>
    <t>Ulva clathrata</t>
  </si>
  <si>
    <t>Vieja maculicauda</t>
  </si>
  <si>
    <t>[Wallago spp]</t>
  </si>
  <si>
    <t>Wallago attu</t>
  </si>
  <si>
    <t>OSB</t>
  </si>
  <si>
    <t>Particle Board and OSB</t>
  </si>
  <si>
    <t>carbon_efi_efe</t>
  </si>
  <si>
    <t>Int_transport</t>
  </si>
  <si>
    <t>livestock_efi_efe</t>
  </si>
  <si>
    <t>crop_efi_efe</t>
  </si>
  <si>
    <t>feed_intenstity_w</t>
  </si>
  <si>
    <t>livestock_intensity</t>
  </si>
  <si>
    <t>grazing_efp</t>
  </si>
  <si>
    <t>fish_efp</t>
  </si>
  <si>
    <t>forest_efi_efe</t>
  </si>
  <si>
    <t>Source:</t>
  </si>
  <si>
    <t>fish_efi_efe</t>
  </si>
  <si>
    <t>Cropland</t>
  </si>
  <si>
    <t>Land under perm. meadows and pastures</t>
  </si>
  <si>
    <t>Land under temp. meadows and pastures</t>
  </si>
  <si>
    <t>Eswatini</t>
  </si>
  <si>
    <t>Land area</t>
  </si>
  <si>
    <t>Spotted eagle ray</t>
  </si>
  <si>
    <t>Aetobatus narinari</t>
  </si>
  <si>
    <t>Caspian shad</t>
  </si>
  <si>
    <t>Alosa caspia</t>
  </si>
  <si>
    <t>Speckled longfin eel</t>
  </si>
  <si>
    <t>Anguilla reinhardtii</t>
  </si>
  <si>
    <t>Crucifix sea catfish</t>
  </si>
  <si>
    <t>Arius proops</t>
  </si>
  <si>
    <t>Gafftopsail sea catfish</t>
  </si>
  <si>
    <t>Bagre marinus</t>
  </si>
  <si>
    <t>Zamurito</t>
  </si>
  <si>
    <t>Calophysus macropterus</t>
  </si>
  <si>
    <t>Largescale triggerfish</t>
  </si>
  <si>
    <t>Canthidermis macrolepis</t>
  </si>
  <si>
    <t>Madamango sea catfish</t>
  </si>
  <si>
    <t>Cathorops spixii</t>
  </si>
  <si>
    <t>[Catostylus spp]</t>
  </si>
  <si>
    <t>Catostylus spp</t>
  </si>
  <si>
    <t>Swordspine snook</t>
  </si>
  <si>
    <t>Centropomus ensiferus</t>
  </si>
  <si>
    <t>Chlamys varia</t>
  </si>
  <si>
    <t>[Chrysaora plocamia]</t>
  </si>
  <si>
    <t>Chrysaora plocamia</t>
  </si>
  <si>
    <t>Herrings, sardines nei</t>
  </si>
  <si>
    <t>Clupeidae</t>
  </si>
  <si>
    <t>[Doraops zuloagai]</t>
  </si>
  <si>
    <t>Doraops zuloagai</t>
  </si>
  <si>
    <t>Smooth butterfly ray</t>
  </si>
  <si>
    <t>Gymnura micrura</t>
  </si>
  <si>
    <t>Tomtate grunt</t>
  </si>
  <si>
    <t>Haemulon aurolineatum</t>
  </si>
  <si>
    <t>[Hatcheria macraei]</t>
  </si>
  <si>
    <t>Hatcheria macraei</t>
  </si>
  <si>
    <t>Red gurnard perch</t>
  </si>
  <si>
    <t>Helicolenus percoides</t>
  </si>
  <si>
    <t>Payara</t>
  </si>
  <si>
    <t>Hydrolycus scomberoides</t>
  </si>
  <si>
    <t>Crimson snapper</t>
  </si>
  <si>
    <t>Lutjanus erythropterus</t>
  </si>
  <si>
    <t>Diamondback terrapins</t>
  </si>
  <si>
    <t>Malaclemys terrapin</t>
  </si>
  <si>
    <t>Silver mylossoma</t>
  </si>
  <si>
    <t>Mylossoma duriventre</t>
  </si>
  <si>
    <t>Changeable nassa</t>
  </si>
  <si>
    <t>Nassarius mutabilis</t>
  </si>
  <si>
    <t>Maracaibo leatherjacket</t>
  </si>
  <si>
    <t>Oligoplites palometa</t>
  </si>
  <si>
    <t>Corocoro grunt</t>
  </si>
  <si>
    <t>Orthopristis ruber</t>
  </si>
  <si>
    <t>Flatwhiskered catfish</t>
  </si>
  <si>
    <t>Pinirampus pirinampu</t>
  </si>
  <si>
    <t>[Potamorhina laticeps]</t>
  </si>
  <si>
    <t>Potamorhina laticeps</t>
  </si>
  <si>
    <t>Atlantic bigeye</t>
  </si>
  <si>
    <t>Priacanthus arenatus</t>
  </si>
  <si>
    <t>Tiger sorubim</t>
  </si>
  <si>
    <t>Pseudoplatystoma tigrinum</t>
  </si>
  <si>
    <t>Atlantic fanfish</t>
  </si>
  <si>
    <t>Pterycombus brama</t>
  </si>
  <si>
    <t>Veined rapa whelk</t>
  </si>
  <si>
    <t>Rapana venosa</t>
  </si>
  <si>
    <t>Brazilian sharpnose shark</t>
  </si>
  <si>
    <t>Rhizoprionodon lalandii</t>
  </si>
  <si>
    <t>Caribbean sharpnose shark</t>
  </si>
  <si>
    <t>Rhizoprionodon porosus</t>
  </si>
  <si>
    <t>Slender rockfish</t>
  </si>
  <si>
    <t>Scorpaena elongata</t>
  </si>
  <si>
    <t>Small red scorpionfish</t>
  </si>
  <si>
    <t>Scorpaena notata</t>
  </si>
  <si>
    <t>Green mud crab</t>
  </si>
  <si>
    <t>Scylla paramamosain</t>
  </si>
  <si>
    <t>Cape redfish</t>
  </si>
  <si>
    <t>Sebastes capensis</t>
  </si>
  <si>
    <t>Reticulated leatherjacket</t>
  </si>
  <si>
    <t>Stephanolepis diaspros</t>
  </si>
  <si>
    <t>Elongate tonguesole</t>
  </si>
  <si>
    <t>Symphurus ligulatus</t>
  </si>
  <si>
    <t>Lesser weever</t>
  </si>
  <si>
    <t>Trachinus vipera</t>
  </si>
  <si>
    <t>[Trochita spp]</t>
  </si>
  <si>
    <t>Trochita spp</t>
  </si>
  <si>
    <t>Cape dory</t>
  </si>
  <si>
    <t>Zeus capensis</t>
  </si>
  <si>
    <t>Guideboook to the National Footprint and Biocapacity Accounts</t>
  </si>
  <si>
    <t>North Macedonia</t>
  </si>
  <si>
    <t>Orange-footed sea cucumber</t>
  </si>
  <si>
    <t>Cucumaria frondosa</t>
  </si>
  <si>
    <t>Granulated catfish</t>
  </si>
  <si>
    <t>Pterodoras granulosus</t>
  </si>
  <si>
    <t>Red piranha</t>
  </si>
  <si>
    <t>Pygocentrus nattereri</t>
  </si>
  <si>
    <t>Peruvian grunt</t>
  </si>
  <si>
    <t>Anisotremus scapularis</t>
  </si>
  <si>
    <t>Antarctic escolar</t>
  </si>
  <si>
    <t>Paradiplospinus antarcticus</t>
  </si>
  <si>
    <t>Leuciscus cephaloides</t>
  </si>
  <si>
    <t>Round scad</t>
  </si>
  <si>
    <t>Decapterus punctatus</t>
  </si>
  <si>
    <t>Spottail seabream</t>
  </si>
  <si>
    <t>Diplodus holbrooki</t>
  </si>
  <si>
    <t>Penaeid shrimps nei</t>
  </si>
  <si>
    <t>Penaeidae</t>
  </si>
  <si>
    <t>Californian mussel</t>
  </si>
  <si>
    <t>Mytilus californianus</t>
  </si>
  <si>
    <t>Rock bass</t>
  </si>
  <si>
    <t>Ambloplites rupestris</t>
  </si>
  <si>
    <t>Queen triggerfish</t>
  </si>
  <si>
    <t>Balistes vetula</t>
  </si>
  <si>
    <t>Grass porgy</t>
  </si>
  <si>
    <t>Calamus arctifrons</t>
  </si>
  <si>
    <t>Graysby</t>
  </si>
  <si>
    <t>Cephalopholis cruentata</t>
  </si>
  <si>
    <t>Hawaiian ladyfish</t>
  </si>
  <si>
    <t>Elops hawaiensis</t>
  </si>
  <si>
    <t>Yellowmouth grouper</t>
  </si>
  <si>
    <t>Mycteroperca interstitialis</t>
  </si>
  <si>
    <t>Hornyhead turbot</t>
  </si>
  <si>
    <t>Pleuronichthys verticalis</t>
  </si>
  <si>
    <t>Round whitefish</t>
  </si>
  <si>
    <t>Prosopium cylindraceum</t>
  </si>
  <si>
    <t>Copper rockfish</t>
  </si>
  <si>
    <t>Sebastes caurinus</t>
  </si>
  <si>
    <t>Starry rockfish</t>
  </si>
  <si>
    <t>Sebastes constellatus</t>
  </si>
  <si>
    <t>Greenstriped rockfish</t>
  </si>
  <si>
    <t>Sebastes elongatus</t>
  </si>
  <si>
    <t>Shortbelly rockfish</t>
  </si>
  <si>
    <t>Sebastes jordani</t>
  </si>
  <si>
    <t>Blue rockfish</t>
  </si>
  <si>
    <t>Sebastes mystinus</t>
  </si>
  <si>
    <t>Rosy rockfish</t>
  </si>
  <si>
    <t>Sebastes rosaceus</t>
  </si>
  <si>
    <t>Olive rockfish</t>
  </si>
  <si>
    <t>Sebastes serranoides</t>
  </si>
  <si>
    <t>Treefish</t>
  </si>
  <si>
    <t>Sebastes serriceps</t>
  </si>
  <si>
    <t>Pacific barracuda</t>
  </si>
  <si>
    <t>Sphyraena argentea</t>
  </si>
  <si>
    <t>Yelloweye rockfish</t>
  </si>
  <si>
    <t>Sebastes ruberrimus</t>
  </si>
  <si>
    <t>Redstripe rockfish</t>
  </si>
  <si>
    <t>Sebastes proriger</t>
  </si>
  <si>
    <t>China rockfish</t>
  </si>
  <si>
    <t>Sebastes nebulosus</t>
  </si>
  <si>
    <t>Greenspotted rockfish</t>
  </si>
  <si>
    <t>Sebastes chlorostictus</t>
  </si>
  <si>
    <t>Cowcod</t>
  </si>
  <si>
    <t>Sebastes levis</t>
  </si>
  <si>
    <t>Spinetail ray</t>
  </si>
  <si>
    <t>Bathyraja spinicauda</t>
  </si>
  <si>
    <t>Leaping African mullet</t>
  </si>
  <si>
    <t>Mugil capurrii</t>
  </si>
  <si>
    <t>[Muraena spp]</t>
  </si>
  <si>
    <t>Muraena spp</t>
  </si>
  <si>
    <t>Pacific harvestfish</t>
  </si>
  <si>
    <t>Peprilus medius</t>
  </si>
  <si>
    <t>[Hemiodus spp]</t>
  </si>
  <si>
    <t>Hemiodus spp</t>
  </si>
  <si>
    <t>[Hypostomus spp]</t>
  </si>
  <si>
    <t>Hypostomus spp</t>
  </si>
  <si>
    <t>[Auchenionchus microcirrhis]</t>
  </si>
  <si>
    <t>Auchenionchus microcirrhis</t>
  </si>
  <si>
    <t>Bighead tilefish</t>
  </si>
  <si>
    <t>Caulolatilus affinis</t>
  </si>
  <si>
    <t>Black snook</t>
  </si>
  <si>
    <t>Centropomus nigrescens</t>
  </si>
  <si>
    <t>Valparaiso chromis</t>
  </si>
  <si>
    <t>Chromis crusma</t>
  </si>
  <si>
    <t>Peruvian chromis</t>
  </si>
  <si>
    <t>Chromis intercrusma</t>
  </si>
  <si>
    <t>Graery threadfin seabass</t>
  </si>
  <si>
    <t>Cratinus agassizii</t>
  </si>
  <si>
    <t>Cachema weakfish</t>
  </si>
  <si>
    <t>Cynoscion phoxocephalus</t>
  </si>
  <si>
    <t>Stolzmann's weakfish</t>
  </si>
  <si>
    <t>Cynoscion stolzmanni</t>
  </si>
  <si>
    <t>Whiptail stingray</t>
  </si>
  <si>
    <t>Dasyatis brevis</t>
  </si>
  <si>
    <t>Inshore sand perch</t>
  </si>
  <si>
    <t>Diplectrum pacificum</t>
  </si>
  <si>
    <t>Peruvian sea catfish</t>
  </si>
  <si>
    <t>Galeichthys peruvianus</t>
  </si>
  <si>
    <t>[Iheringichthys labrosus]</t>
  </si>
  <si>
    <t>Iheringichthys labrosus</t>
  </si>
  <si>
    <t>Pacific drum</t>
  </si>
  <si>
    <t>Larimus pacificus</t>
  </si>
  <si>
    <t>Dog snapper</t>
  </si>
  <si>
    <t>Lutjanus jocu</t>
  </si>
  <si>
    <t>Snakehead kingcroaker</t>
  </si>
  <si>
    <t>Menticirrhus ophicephalus</t>
  </si>
  <si>
    <t>Spinetail mobula</t>
  </si>
  <si>
    <t>Mobula japanica</t>
  </si>
  <si>
    <t>Red-toothed triggerfish</t>
  </si>
  <si>
    <t>Odonus niger</t>
  </si>
  <si>
    <t>Longjaw leatherjacket</t>
  </si>
  <si>
    <t>Oligoplites altus</t>
  </si>
  <si>
    <t>Punctuated snake-eel</t>
  </si>
  <si>
    <t>Ophichthus remiger</t>
  </si>
  <si>
    <t>[Oxydoras kneri]</t>
  </si>
  <si>
    <t>Oxydoras kneri</t>
  </si>
  <si>
    <t>Panama spadefish</t>
  </si>
  <si>
    <t>Parapsettus panamensis</t>
  </si>
  <si>
    <t>Black curbinata</t>
  </si>
  <si>
    <t>Plagioscion auratus</t>
  </si>
  <si>
    <t>Blue bobo</t>
  </si>
  <si>
    <t>Polydactylus approximans</t>
  </si>
  <si>
    <t>[Psectrogaster amazonica]</t>
  </si>
  <si>
    <t>Psectrogaster amazonica</t>
  </si>
  <si>
    <t>Pacific cownose ray</t>
  </si>
  <si>
    <t>Rhinoptera steindachneri</t>
  </si>
  <si>
    <t>Giant blenny</t>
  </si>
  <si>
    <t>Scartichthys gigas</t>
  </si>
  <si>
    <t>Bluestriped chub</t>
  </si>
  <si>
    <t>Sectator ocyurus</t>
  </si>
  <si>
    <t>Fortune jack</t>
  </si>
  <si>
    <t>Seriola peruana</t>
  </si>
  <si>
    <t>Minor stardrum</t>
  </si>
  <si>
    <t>Stellifer minor</t>
  </si>
  <si>
    <t>Chilean torpedo</t>
  </si>
  <si>
    <t>Torpedo tremens</t>
  </si>
  <si>
    <t>Polla drum</t>
  </si>
  <si>
    <t>Umbrina xanti</t>
  </si>
  <si>
    <t>[Xenistius californiensis]</t>
  </si>
  <si>
    <t>Xenistius californiensis</t>
  </si>
  <si>
    <t>Ribbonfishes</t>
  </si>
  <si>
    <t>Trachipteridae</t>
  </si>
  <si>
    <t>Changallo shrimp</t>
  </si>
  <si>
    <t>Cryphiops caementarius</t>
  </si>
  <si>
    <t>Slender cockle</t>
  </si>
  <si>
    <t>Trachycardium procerum</t>
  </si>
  <si>
    <t>Dombey's tagelus</t>
  </si>
  <si>
    <t>Tagelus dombeii</t>
  </si>
  <si>
    <t>Common peruvian donax</t>
  </si>
  <si>
    <t>Donax peruvianus</t>
  </si>
  <si>
    <t>Black bittersweet</t>
  </si>
  <si>
    <t>Glycymeris ovata</t>
  </si>
  <si>
    <t>Giant jackknife</t>
  </si>
  <si>
    <t>Ensis macha</t>
  </si>
  <si>
    <t>Maura pen shell</t>
  </si>
  <si>
    <t>Atrina maura</t>
  </si>
  <si>
    <t>Semi-rough venus</t>
  </si>
  <si>
    <t>Chione subrugosa</t>
  </si>
  <si>
    <t>Royal cucumber</t>
  </si>
  <si>
    <t>Stichopus regalis</t>
  </si>
  <si>
    <t>[Pterocladia lucida]</t>
  </si>
  <si>
    <t>Pterocladia lucida</t>
  </si>
  <si>
    <t>Seahorses nei</t>
  </si>
  <si>
    <t>Hippocampus spp</t>
  </si>
  <si>
    <t>Mobula nei</t>
  </si>
  <si>
    <t>Mobula spp</t>
  </si>
  <si>
    <t>[Oplegnathus spp]</t>
  </si>
  <si>
    <t>Oplegnathus spp</t>
  </si>
  <si>
    <t>Starry butterfish</t>
  </si>
  <si>
    <t>Stromateus stellatus</t>
  </si>
  <si>
    <t>Chitons nei</t>
  </si>
  <si>
    <t>Chiton spp</t>
  </si>
  <si>
    <t>Psammobatis sand skates nei</t>
  </si>
  <si>
    <t>Psammobatis spp</t>
  </si>
  <si>
    <t>Pacific goose barnacle</t>
  </si>
  <si>
    <t>Pollicipes elegans</t>
  </si>
  <si>
    <t>Semeles nei</t>
  </si>
  <si>
    <t>Semele spp</t>
  </si>
  <si>
    <t>True sole</t>
  </si>
  <si>
    <t>Heteromycteris proboscideus</t>
  </si>
  <si>
    <t>Clingfishes nei</t>
  </si>
  <si>
    <t>Gobiesocidae</t>
  </si>
  <si>
    <t>Salema butterfish</t>
  </si>
  <si>
    <t>Peprilus snyderi</t>
  </si>
  <si>
    <t>Marlins nei</t>
  </si>
  <si>
    <t>Makaira spp</t>
  </si>
  <si>
    <t>Pizzaro stardrum</t>
  </si>
  <si>
    <t>Stellifer pizarroensis</t>
  </si>
  <si>
    <t>Peruvian mojarra</t>
  </si>
  <si>
    <t>Diapterus peruvianus</t>
  </si>
  <si>
    <t>Longfin halfbeak</t>
  </si>
  <si>
    <t>Hemiramphus saltator</t>
  </si>
  <si>
    <t>[Semibalanus balanoides]</t>
  </si>
  <si>
    <t>Semibalanus balanoides</t>
  </si>
  <si>
    <t>Armless snake eel</t>
  </si>
  <si>
    <t>Dalophis imberbis</t>
  </si>
  <si>
    <t>Lorna drum</t>
  </si>
  <si>
    <t>Sciaena deliciosa</t>
  </si>
  <si>
    <t>Indian mackerels, seerfishes, jacks, crevalles, silver pomfrets, Pacific saury, scads, capelin, Kawakawa, bonitos, marli</t>
  </si>
  <si>
    <t>Livers, roes, milt, fresh or chilled</t>
  </si>
  <si>
    <t>Shark fins, fresh or chilled</t>
  </si>
  <si>
    <t>Fish heads, tails, maws, tongues, fresh or chilled</t>
  </si>
  <si>
    <t>Anchovies, Indian mackerels, seerfishes, jacks, crevalles, silver pomfrets, Pacific saury, scads, capelin, Kawakawa, bon</t>
  </si>
  <si>
    <t>Livers, roes, milt, frozen</t>
  </si>
  <si>
    <t>Shark fins, frozen</t>
  </si>
  <si>
    <t>Fish heads, tails, maws, tongues, frozen</t>
  </si>
  <si>
    <t>Dogfish (Squalidae) and other sharks, fillets, fresh or chilled</t>
  </si>
  <si>
    <t>Rays and skates (Rajidae) fillets, fresh or chilled</t>
  </si>
  <si>
    <t>Dogfish (Squalidae) and other sharks, meat, minced or not, fresh or chilled</t>
  </si>
  <si>
    <t>Rays and skates (Rajidae) meat, minced or not, fresh or chilled</t>
  </si>
  <si>
    <t>Dogfish, other sharks, rays and skates (Rajidae), fillets, frozen</t>
  </si>
  <si>
    <t>Dogfish (Squalidae) and other sharks, meat, frozen</t>
  </si>
  <si>
    <t>Rays and skates (Rajidae) meat, frozen</t>
  </si>
  <si>
    <t>Dried tilapias, catfish, carp, eels, Nile perch and snakeheads, whether or not salted, not smoked, nei</t>
  </si>
  <si>
    <t>Dried gadiformes, whether or not salted, but not smoked</t>
  </si>
  <si>
    <t>Dried herring,achovy,sardine,sardinella,brisling/sprat,mackerel,Indian mackerel,seerfish,jack&amp;horse mackerel,jack,creval</t>
  </si>
  <si>
    <t>Rock lobster &amp; other sea crawfish (Palinurus,Panulirus,Jasus), live, fresh or chilled</t>
  </si>
  <si>
    <t>Lobsters (Homarus spp.), live, fresh or chilled</t>
  </si>
  <si>
    <t>Crabs, live, fresh or chilled</t>
  </si>
  <si>
    <t>Norway lobsters (Nephrops norvegicus), live, fresh or chilled</t>
  </si>
  <si>
    <t>Cold-water shrimps and prawns (Pandalus spp., Crangon crangon), live, fresh or chilled</t>
  </si>
  <si>
    <t xml:space="preserve">Lobsters (Homarus spp.), dried, salted or in brine, smoked </t>
  </si>
  <si>
    <t>Crabs, dried, salted or in brine, smoked</t>
  </si>
  <si>
    <t>Norway lobsters (Nephrops norvegicus), dried, salted or in brine, smoked</t>
  </si>
  <si>
    <t>Shrimps and prawns, dried, salted or in brine, smoked</t>
  </si>
  <si>
    <t>Crustaceans dried, salted or in brine, smoked, for human consumption, nei</t>
  </si>
  <si>
    <t>Oysters, frozen</t>
  </si>
  <si>
    <t>Scallops, including queen scallop, frozen</t>
  </si>
  <si>
    <t>Mussels, frozen</t>
  </si>
  <si>
    <t>Cuttlefish and squid, frozen</t>
  </si>
  <si>
    <t>Octopus, frozen</t>
  </si>
  <si>
    <t>Clams, cockles, arkshells, frozen</t>
  </si>
  <si>
    <t>Stromboid conchs (Strombus spp), live, fresh or chilled</t>
  </si>
  <si>
    <t>Abalone (Haliotis spp.), frozen</t>
  </si>
  <si>
    <t>Stromboid conchs (Strombus spp), frozen</t>
  </si>
  <si>
    <t>Abalone (Haliotis spp.), dried, salted or in brine; smoked</t>
  </si>
  <si>
    <t>Stromboid conchs, dried, salted or in brine; smoked</t>
  </si>
  <si>
    <t>Other molluscs, frozen</t>
  </si>
  <si>
    <t>Sea-cucumber, frozen</t>
  </si>
  <si>
    <t>Sea-urchin, frozen</t>
  </si>
  <si>
    <t>Shark fins, prepared or preserved</t>
  </si>
  <si>
    <t>Osyters</t>
  </si>
  <si>
    <t>Convict grouper</t>
  </si>
  <si>
    <t>[Oplegnathus fasciatus]</t>
  </si>
  <si>
    <t>[Capsosiphon fulvescens]</t>
  </si>
  <si>
    <t>Slender wart weed</t>
  </si>
  <si>
    <t>Potato grouper</t>
  </si>
  <si>
    <t>Olive green cockle</t>
  </si>
  <si>
    <t>Redbanded seabream</t>
  </si>
  <si>
    <t>Gulf snailfish</t>
  </si>
  <si>
    <t>Red oyas</t>
  </si>
  <si>
    <t>Dark green nori</t>
  </si>
  <si>
    <t>[Mugil spp]</t>
  </si>
  <si>
    <t>[Meristotheca senegalense]</t>
  </si>
  <si>
    <t>Magdalena River prochilodus</t>
  </si>
  <si>
    <t>Smooth marron crayfish</t>
  </si>
  <si>
    <t>Hetero-Clarias catfish, hybrid</t>
  </si>
  <si>
    <t>Tiger-dragon grouper, hybrid</t>
  </si>
  <si>
    <t>Hyporthodus septemfasciatus</t>
  </si>
  <si>
    <t>Oplegnathus fasciatus</t>
  </si>
  <si>
    <t>Capsosiphon fulvescens</t>
  </si>
  <si>
    <t>Epinephelus tukula</t>
  </si>
  <si>
    <t>Cerastoderma glaucum</t>
  </si>
  <si>
    <t>Pagrus auriga</t>
  </si>
  <si>
    <t>Hypophthalmichthys spp</t>
  </si>
  <si>
    <t>Liparis coheni</t>
  </si>
  <si>
    <t>Halocynthia roretzi</t>
  </si>
  <si>
    <t>Enteromorpha prolifera</t>
  </si>
  <si>
    <t>Mugil spp</t>
  </si>
  <si>
    <t>Meristotheca senegalense</t>
  </si>
  <si>
    <t>Prochilodus magdalenae</t>
  </si>
  <si>
    <t>Cherax cainii</t>
  </si>
  <si>
    <t>Heterobranchus longifilis x Clarias gariepinus</t>
  </si>
  <si>
    <t>Epinephelus fuscoguttatus x Epinephelus lanceolatus</t>
  </si>
  <si>
    <t>[Leuciscus cephaloides]</t>
  </si>
  <si>
    <t>Forest land</t>
  </si>
  <si>
    <t>National Ecological Footprint and Biocapacity Accounts</t>
  </si>
  <si>
    <t>This sheet is hidden because it does not reveal any additional data - this reassembles data for the summary_chart</t>
  </si>
  <si>
    <t>Ecological Footprint Production [gha]</t>
  </si>
  <si>
    <t>Ecological Footprint Imports [gha]</t>
  </si>
  <si>
    <t>Ecological Footprint Exports [gha]</t>
  </si>
  <si>
    <t>Ecological Footprint Consumption [gha]</t>
  </si>
  <si>
    <t>Area 
[ha]</t>
  </si>
  <si>
    <t>Biocapacity
[gha]</t>
  </si>
  <si>
    <t>Forest Biocapacity</t>
  </si>
  <si>
    <r>
      <t>[wha ha</t>
    </r>
    <r>
      <rPr>
        <vertAlign val="superscript"/>
        <sz val="10"/>
        <rFont val="Arial"/>
        <family val="2"/>
      </rPr>
      <t>-1</t>
    </r>
    <r>
      <rPr>
        <sz val="10"/>
        <rFont val="Arial"/>
        <family val="2"/>
      </rPr>
      <t>]</t>
    </r>
  </si>
  <si>
    <r>
      <t>[gha wha</t>
    </r>
    <r>
      <rPr>
        <vertAlign val="superscript"/>
        <sz val="10"/>
        <rFont val="Arial"/>
        <family val="2"/>
      </rPr>
      <t>-1</t>
    </r>
    <r>
      <rPr>
        <sz val="10"/>
        <rFont val="Arial"/>
        <family val="2"/>
      </rPr>
      <t>]</t>
    </r>
  </si>
  <si>
    <r>
      <t>EF</t>
    </r>
    <r>
      <rPr>
        <b/>
        <vertAlign val="subscript"/>
        <sz val="10"/>
        <color theme="0"/>
        <rFont val="Arial"/>
        <family val="2"/>
      </rPr>
      <t>P</t>
    </r>
  </si>
  <si>
    <r>
      <t>EF</t>
    </r>
    <r>
      <rPr>
        <b/>
        <vertAlign val="subscript"/>
        <sz val="10"/>
        <color theme="0"/>
        <rFont val="Arial"/>
        <family val="2"/>
      </rPr>
      <t>I</t>
    </r>
  </si>
  <si>
    <r>
      <t>EF</t>
    </r>
    <r>
      <rPr>
        <b/>
        <vertAlign val="subscript"/>
        <sz val="10"/>
        <color theme="0"/>
        <rFont val="Arial"/>
        <family val="2"/>
      </rPr>
      <t>E</t>
    </r>
  </si>
  <si>
    <r>
      <t>EF</t>
    </r>
    <r>
      <rPr>
        <b/>
        <vertAlign val="subscript"/>
        <sz val="10"/>
        <color theme="0"/>
        <rFont val="Arial"/>
        <family val="2"/>
      </rPr>
      <t>C</t>
    </r>
  </si>
  <si>
    <r>
      <t>[gha ha</t>
    </r>
    <r>
      <rPr>
        <vertAlign val="superscript"/>
        <sz val="10"/>
        <rFont val="Arial"/>
        <family val="2"/>
      </rPr>
      <t>-1</t>
    </r>
    <r>
      <rPr>
        <sz val="10"/>
        <rFont val="Arial"/>
        <family val="2"/>
      </rPr>
      <t>]</t>
    </r>
  </si>
  <si>
    <r>
      <t>[gha wha</t>
    </r>
    <r>
      <rPr>
        <vertAlign val="superscript"/>
        <sz val="10"/>
        <color theme="0"/>
        <rFont val="Arial"/>
        <family val="2"/>
      </rPr>
      <t>-1</t>
    </r>
    <r>
      <rPr>
        <sz val="10"/>
        <color theme="0"/>
        <rFont val="Arial"/>
        <family val="2"/>
      </rPr>
      <t>]</t>
    </r>
  </si>
  <si>
    <r>
      <t>[t ha</t>
    </r>
    <r>
      <rPr>
        <vertAlign val="superscript"/>
        <sz val="10"/>
        <color theme="0"/>
        <rFont val="Arial"/>
        <family val="2"/>
      </rPr>
      <t>-1</t>
    </r>
    <r>
      <rPr>
        <sz val="10"/>
        <color theme="0"/>
        <rFont val="Arial"/>
        <family val="2"/>
      </rPr>
      <t>]</t>
    </r>
  </si>
  <si>
    <r>
      <t>[t wha</t>
    </r>
    <r>
      <rPr>
        <vertAlign val="superscript"/>
        <sz val="10"/>
        <color theme="0"/>
        <rFont val="Arial"/>
        <family val="2"/>
      </rPr>
      <t>-1</t>
    </r>
    <r>
      <rPr>
        <sz val="10"/>
        <color theme="0"/>
        <rFont val="Arial"/>
        <family val="2"/>
      </rPr>
      <t>]</t>
    </r>
  </si>
  <si>
    <r>
      <t>[wha ha</t>
    </r>
    <r>
      <rPr>
        <vertAlign val="superscript"/>
        <sz val="10"/>
        <color theme="0"/>
        <rFont val="Arial"/>
        <family val="2"/>
      </rPr>
      <t>-1</t>
    </r>
    <r>
      <rPr>
        <sz val="10"/>
        <color theme="0"/>
        <rFont val="Arial"/>
        <family val="2"/>
      </rPr>
      <t>]</t>
    </r>
  </si>
  <si>
    <r>
      <t>[m</t>
    </r>
    <r>
      <rPr>
        <vertAlign val="superscript"/>
        <sz val="10"/>
        <rFont val="Arial"/>
        <family val="2"/>
      </rPr>
      <t>3</t>
    </r>
    <r>
      <rPr>
        <sz val="10"/>
        <rFont val="Arial"/>
        <family val="2"/>
      </rPr>
      <t xml:space="preserve"> or t wha</t>
    </r>
    <r>
      <rPr>
        <vertAlign val="superscript"/>
        <sz val="10"/>
        <rFont val="Arial"/>
        <family val="2"/>
      </rPr>
      <t>-1</t>
    </r>
    <r>
      <rPr>
        <sz val="10"/>
        <rFont val="Arial"/>
        <family val="2"/>
      </rPr>
      <t xml:space="preserve"> yr</t>
    </r>
    <r>
      <rPr>
        <vertAlign val="superscript"/>
        <sz val="10"/>
        <rFont val="Arial"/>
        <family val="2"/>
      </rPr>
      <t>-1</t>
    </r>
    <r>
      <rPr>
        <sz val="10"/>
        <rFont val="Arial"/>
        <family val="2"/>
      </rPr>
      <t>]</t>
    </r>
  </si>
  <si>
    <r>
      <t>[t yr</t>
    </r>
    <r>
      <rPr>
        <vertAlign val="superscript"/>
        <sz val="10"/>
        <rFont val="Arial"/>
        <family val="2"/>
      </rPr>
      <t>-1</t>
    </r>
    <r>
      <rPr>
        <sz val="10"/>
        <rFont val="Arial"/>
        <family val="2"/>
      </rPr>
      <t>]</t>
    </r>
  </si>
  <si>
    <r>
      <t>[t wha</t>
    </r>
    <r>
      <rPr>
        <vertAlign val="superscript"/>
        <sz val="10"/>
        <rFont val="Arial"/>
        <family val="2"/>
      </rPr>
      <t>-1</t>
    </r>
    <r>
      <rPr>
        <sz val="10"/>
        <rFont val="Arial"/>
        <family val="2"/>
      </rPr>
      <t xml:space="preserve"> yr</t>
    </r>
    <r>
      <rPr>
        <vertAlign val="superscript"/>
        <sz val="10"/>
        <rFont val="Arial"/>
        <family val="2"/>
      </rPr>
      <t>-1</t>
    </r>
    <r>
      <rPr>
        <sz val="10"/>
        <rFont val="Arial"/>
        <family val="2"/>
      </rPr>
      <t>]</t>
    </r>
  </si>
  <si>
    <r>
      <t>Yield</t>
    </r>
    <r>
      <rPr>
        <b/>
        <vertAlign val="subscript"/>
        <sz val="10"/>
        <color theme="0"/>
        <rFont val="Arial"/>
        <family val="2"/>
      </rPr>
      <t>I</t>
    </r>
  </si>
  <si>
    <r>
      <t>Yield</t>
    </r>
    <r>
      <rPr>
        <b/>
        <vertAlign val="subscript"/>
        <sz val="10"/>
        <color theme="0"/>
        <rFont val="Arial"/>
        <family val="2"/>
      </rPr>
      <t>E</t>
    </r>
  </si>
  <si>
    <r>
      <t>[t yr</t>
    </r>
    <r>
      <rPr>
        <vertAlign val="superscript"/>
        <sz val="10"/>
        <color theme="0"/>
        <rFont val="Arial"/>
        <family val="2"/>
      </rPr>
      <t>-1</t>
    </r>
    <r>
      <rPr>
        <sz val="10"/>
        <color theme="0"/>
        <rFont val="Arial"/>
        <family val="2"/>
      </rPr>
      <t>]</t>
    </r>
  </si>
  <si>
    <r>
      <t>[t wha</t>
    </r>
    <r>
      <rPr>
        <vertAlign val="superscript"/>
        <sz val="10"/>
        <color theme="0"/>
        <rFont val="Arial"/>
        <family val="2"/>
      </rPr>
      <t>-1</t>
    </r>
    <r>
      <rPr>
        <sz val="10"/>
        <color theme="0"/>
        <rFont val="Arial"/>
        <family val="2"/>
      </rPr>
      <t xml:space="preserve"> yr</t>
    </r>
    <r>
      <rPr>
        <vertAlign val="superscript"/>
        <sz val="10"/>
        <color theme="0"/>
        <rFont val="Arial"/>
        <family val="2"/>
      </rPr>
      <t>-1</t>
    </r>
    <r>
      <rPr>
        <sz val="10"/>
        <color theme="0"/>
        <rFont val="Arial"/>
        <family val="2"/>
      </rPr>
      <t>]</t>
    </r>
  </si>
  <si>
    <r>
      <t>[t d (t p)</t>
    </r>
    <r>
      <rPr>
        <vertAlign val="superscript"/>
        <sz val="10"/>
        <color theme="0"/>
        <rFont val="Arial"/>
        <family val="2"/>
      </rPr>
      <t>-1</t>
    </r>
    <r>
      <rPr>
        <sz val="10"/>
        <color theme="0"/>
        <rFont val="Arial"/>
        <family val="2"/>
      </rPr>
      <t>]</t>
    </r>
  </si>
  <si>
    <r>
      <t>[t C pp (t ww fish)</t>
    </r>
    <r>
      <rPr>
        <vertAlign val="superscript"/>
        <sz val="10"/>
        <color theme="0"/>
        <rFont val="Arial"/>
        <family val="2"/>
      </rPr>
      <t>-1</t>
    </r>
    <r>
      <rPr>
        <sz val="10"/>
        <color theme="0"/>
        <rFont val="Arial"/>
        <family val="2"/>
      </rPr>
      <t>]</t>
    </r>
  </si>
  <si>
    <r>
      <t>[t ww fish (ha shelf)</t>
    </r>
    <r>
      <rPr>
        <vertAlign val="superscript"/>
        <sz val="10"/>
        <color theme="0"/>
        <rFont val="Arial"/>
        <family val="2"/>
      </rPr>
      <t xml:space="preserve">-1 </t>
    </r>
    <r>
      <rPr>
        <sz val="10"/>
        <color theme="0"/>
        <rFont val="Arial"/>
        <family val="2"/>
      </rPr>
      <t xml:space="preserve">yr </t>
    </r>
    <r>
      <rPr>
        <vertAlign val="superscript"/>
        <sz val="10"/>
        <color theme="0"/>
        <rFont val="Arial"/>
        <family val="2"/>
      </rPr>
      <t>-1</t>
    </r>
    <r>
      <rPr>
        <sz val="10"/>
        <color theme="0"/>
        <rFont val="Arial"/>
        <family val="2"/>
      </rPr>
      <t>]</t>
    </r>
  </si>
  <si>
    <r>
      <t>Imports Intensity</t>
    </r>
    <r>
      <rPr>
        <sz val="10"/>
        <color theme="0"/>
        <rFont val="Arial"/>
        <family val="2"/>
      </rPr>
      <t xml:space="preserve"> (= Production Intensity W)</t>
    </r>
  </si>
  <si>
    <r>
      <t>Marine Production</t>
    </r>
    <r>
      <rPr>
        <b/>
        <vertAlign val="subscript"/>
        <sz val="10"/>
        <color theme="0"/>
        <rFont val="Arial"/>
        <family val="2"/>
      </rPr>
      <t>N</t>
    </r>
  </si>
  <si>
    <r>
      <t>Inland Production</t>
    </r>
    <r>
      <rPr>
        <b/>
        <vertAlign val="subscript"/>
        <sz val="10"/>
        <color theme="0"/>
        <rFont val="Arial"/>
        <family val="2"/>
      </rPr>
      <t>N</t>
    </r>
  </si>
  <si>
    <r>
      <t>Marine EF</t>
    </r>
    <r>
      <rPr>
        <b/>
        <vertAlign val="subscript"/>
        <sz val="10"/>
        <color theme="0"/>
        <rFont val="Arial"/>
        <family val="2"/>
      </rPr>
      <t>P</t>
    </r>
  </si>
  <si>
    <r>
      <t>Inland EF</t>
    </r>
    <r>
      <rPr>
        <b/>
        <vertAlign val="subscript"/>
        <sz val="10"/>
        <color theme="0"/>
        <rFont val="Arial"/>
        <family val="2"/>
      </rPr>
      <t>P</t>
    </r>
  </si>
  <si>
    <r>
      <t>[t d (t p)</t>
    </r>
    <r>
      <rPr>
        <vertAlign val="superscript"/>
        <sz val="10"/>
        <rFont val="Arial"/>
        <family val="2"/>
      </rPr>
      <t>-1</t>
    </r>
    <r>
      <rPr>
        <sz val="10"/>
        <rFont val="Arial"/>
        <family val="2"/>
      </rPr>
      <t>]</t>
    </r>
  </si>
  <si>
    <r>
      <t>[$1000 (t d)</t>
    </r>
    <r>
      <rPr>
        <vertAlign val="superscript"/>
        <sz val="10"/>
        <rFont val="Arial"/>
        <family val="2"/>
      </rPr>
      <t>-1</t>
    </r>
    <r>
      <rPr>
        <sz val="10"/>
        <rFont val="Arial"/>
        <family val="2"/>
      </rPr>
      <t>]</t>
    </r>
  </si>
  <si>
    <r>
      <t>[$1000 (t p)</t>
    </r>
    <r>
      <rPr>
        <vertAlign val="superscript"/>
        <sz val="10"/>
        <rFont val="Arial"/>
        <family val="2"/>
      </rPr>
      <t>-1</t>
    </r>
    <r>
      <rPr>
        <sz val="10"/>
        <rFont val="Arial"/>
        <family val="2"/>
      </rPr>
      <t>]</t>
    </r>
  </si>
  <si>
    <r>
      <t>[t p (t d)</t>
    </r>
    <r>
      <rPr>
        <vertAlign val="superscript"/>
        <sz val="10"/>
        <rFont val="Arial"/>
        <family val="2"/>
      </rPr>
      <t>-1</t>
    </r>
    <r>
      <rPr>
        <sz val="10"/>
        <rFont val="Arial"/>
        <family val="2"/>
      </rPr>
      <t>]</t>
    </r>
  </si>
  <si>
    <r>
      <t>[t</t>
    </r>
    <r>
      <rPr>
        <vertAlign val="subscript"/>
        <sz val="10"/>
        <rFont val="Arial"/>
        <family val="2"/>
      </rPr>
      <t>F</t>
    </r>
    <r>
      <rPr>
        <sz val="10"/>
        <rFont val="Arial"/>
        <family val="2"/>
      </rPr>
      <t xml:space="preserve"> t LW</t>
    </r>
    <r>
      <rPr>
        <vertAlign val="superscript"/>
        <sz val="10"/>
        <rFont val="Arial"/>
        <family val="2"/>
      </rPr>
      <t>-1</t>
    </r>
    <r>
      <rPr>
        <sz val="10"/>
        <rFont val="Arial"/>
        <family val="2"/>
      </rPr>
      <t>]</t>
    </r>
  </si>
  <si>
    <r>
      <t>[gha t dm</t>
    </r>
    <r>
      <rPr>
        <vertAlign val="superscript"/>
        <sz val="10"/>
        <rFont val="Arial"/>
        <family val="2"/>
      </rPr>
      <t>-1</t>
    </r>
    <r>
      <rPr>
        <sz val="10"/>
        <rFont val="Arial"/>
        <family val="2"/>
      </rPr>
      <t>]</t>
    </r>
  </si>
  <si>
    <t>EF Crop</t>
  </si>
  <si>
    <r>
      <t>[kg dm head</t>
    </r>
    <r>
      <rPr>
        <vertAlign val="superscript"/>
        <sz val="10"/>
        <rFont val="Arial"/>
        <family val="2"/>
      </rPr>
      <t>-1</t>
    </r>
    <r>
      <rPr>
        <sz val="10"/>
        <rFont val="Arial"/>
        <family val="2"/>
      </rPr>
      <t xml:space="preserve"> day</t>
    </r>
    <r>
      <rPr>
        <vertAlign val="superscript"/>
        <sz val="10"/>
        <rFont val="Arial"/>
        <family val="2"/>
      </rPr>
      <t>-1</t>
    </r>
    <r>
      <rPr>
        <sz val="10"/>
        <rFont val="Arial"/>
        <family val="2"/>
      </rPr>
      <t>]</t>
    </r>
  </si>
  <si>
    <r>
      <t>[t dm yr</t>
    </r>
    <r>
      <rPr>
        <vertAlign val="superscript"/>
        <sz val="10"/>
        <rFont val="Arial"/>
        <family val="2"/>
      </rPr>
      <t>-1</t>
    </r>
    <r>
      <rPr>
        <sz val="10"/>
        <rFont val="Arial"/>
        <family val="2"/>
      </rPr>
      <t>]</t>
    </r>
  </si>
  <si>
    <r>
      <t>[t residue feed (t crop dm)</t>
    </r>
    <r>
      <rPr>
        <vertAlign val="superscript"/>
        <sz val="10"/>
        <rFont val="Arial"/>
        <family val="2"/>
      </rPr>
      <t>-1</t>
    </r>
    <r>
      <rPr>
        <sz val="10"/>
        <rFont val="Arial"/>
        <family val="2"/>
      </rPr>
      <t>]</t>
    </r>
  </si>
  <si>
    <r>
      <t>[t residue feed yr</t>
    </r>
    <r>
      <rPr>
        <vertAlign val="superscript"/>
        <sz val="10"/>
        <rFont val="Arial"/>
        <family val="2"/>
      </rPr>
      <t>-1</t>
    </r>
    <r>
      <rPr>
        <sz val="10"/>
        <rFont val="Arial"/>
        <family val="2"/>
      </rPr>
      <t>]</t>
    </r>
  </si>
  <si>
    <r>
      <t>[t dm residue feed yr</t>
    </r>
    <r>
      <rPr>
        <vertAlign val="superscript"/>
        <sz val="10"/>
        <rFont val="Arial"/>
        <family val="2"/>
      </rPr>
      <t>-1</t>
    </r>
    <r>
      <rPr>
        <sz val="10"/>
        <rFont val="Arial"/>
        <family val="2"/>
      </rPr>
      <t>]</t>
    </r>
  </si>
  <si>
    <r>
      <t>[gha (t d)</t>
    </r>
    <r>
      <rPr>
        <vertAlign val="superscript"/>
        <sz val="10"/>
        <rFont val="Arial"/>
        <family val="2"/>
      </rPr>
      <t>-1</t>
    </r>
    <r>
      <rPr>
        <sz val="10"/>
        <rFont val="Arial"/>
        <family val="2"/>
      </rPr>
      <t>]</t>
    </r>
  </si>
  <si>
    <r>
      <t>Fish Feed EF</t>
    </r>
    <r>
      <rPr>
        <b/>
        <vertAlign val="subscript"/>
        <sz val="10"/>
        <rFont val="Arial"/>
        <family val="2"/>
      </rPr>
      <t>I</t>
    </r>
  </si>
  <si>
    <r>
      <t>Fish Feed EF</t>
    </r>
    <r>
      <rPr>
        <b/>
        <vertAlign val="subscript"/>
        <sz val="10"/>
        <rFont val="Arial"/>
        <family val="2"/>
      </rPr>
      <t>E</t>
    </r>
  </si>
  <si>
    <r>
      <t>[gha t</t>
    </r>
    <r>
      <rPr>
        <vertAlign val="superscript"/>
        <sz val="10"/>
        <rFont val="Arial"/>
        <family val="2"/>
      </rPr>
      <t>-1</t>
    </r>
    <r>
      <rPr>
        <sz val="10"/>
        <rFont val="Arial"/>
        <family val="2"/>
      </rPr>
      <t>]</t>
    </r>
  </si>
  <si>
    <r>
      <t>[t ha</t>
    </r>
    <r>
      <rPr>
        <vertAlign val="superscript"/>
        <sz val="10"/>
        <rFont val="Arial"/>
        <family val="2"/>
      </rPr>
      <t>-1</t>
    </r>
    <r>
      <rPr>
        <sz val="10"/>
        <rFont val="Arial"/>
        <family val="2"/>
      </rPr>
      <t xml:space="preserve"> yr</t>
    </r>
    <r>
      <rPr>
        <vertAlign val="superscript"/>
        <sz val="10"/>
        <rFont val="Arial"/>
        <family val="2"/>
      </rPr>
      <t>-1</t>
    </r>
    <r>
      <rPr>
        <sz val="10"/>
        <rFont val="Arial"/>
        <family val="2"/>
      </rPr>
      <t>]</t>
    </r>
  </si>
  <si>
    <t>Please direct any questions or comments to footprint@yorku.ca</t>
  </si>
  <si>
    <t>https://data.footprintnetwork.org/</t>
  </si>
  <si>
    <t># batch_id</t>
  </si>
  <si>
    <t>Source: footprint_22_ult2</t>
  </si>
  <si>
    <t>efc_total</t>
  </si>
  <si>
    <t>bc_total</t>
  </si>
  <si>
    <t>pop_total</t>
  </si>
  <si>
    <t>Other national and global data:</t>
  </si>
  <si>
    <t>Orientation to this workbook:</t>
  </si>
  <si>
    <t>Methodology (academic):</t>
  </si>
  <si>
    <t>Lin, D., Hanscom, L., Murthy, A., Galli, A., Evans, M., Neill, E., ... &amp; Wackernagel, M. (2018). Ecological footprint accounting for countries: updates and results of the National Footprint Accounts, 2012–2018. Resources, 7(3), 58.</t>
  </si>
  <si>
    <t>Supporting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</si>
</sst>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
    <numFmt numFmtId="169" formatCode="0.000"/>
    <numFmt numFmtId="170" formatCode="_(* #,##0.0_);_(* \(#,##0.0\);_(* &quot;-&quot;??_);_(@_)"/>
    <numFmt numFmtId="171" formatCode="_(* #,##0_);_(* \(#,##0\);_(* &quot;-&quot;??_);_(@_)"/>
    <numFmt numFmtId="172" formatCode="0.00000000"/>
    <numFmt numFmtId="173" formatCode="#,##0.00;;\-;"/>
    <numFmt numFmtId="174" formatCode="#,##0;;\-;"/>
    <numFmt numFmtId="175" formatCode="0.0%"/>
    <numFmt numFmtId="176" formatCode="0.0"/>
    <numFmt numFmtId="177" formatCode="0.000000"/>
    <numFmt numFmtId="178" formatCode="0.00000"/>
    <numFmt numFmtId="179" formatCode="0_);\(0\)"/>
    <numFmt numFmtId="180" formatCode="0.0_);\(0.0\)"/>
    <numFmt numFmtId="181" formatCode="_(* ###0_);_(* \(###0\);_(* &quot;-&quot;??_);_(@_)"/>
    <numFmt numFmtId="182" formatCode="0.0000"/>
    <numFmt numFmtId="183" formatCode="_(* ###00_);_(* \(###00\);_(* &quot;-&quot;??_);_(@_)"/>
    <numFmt numFmtId="184" formatCode="#,##0.00;;\-"/>
    <numFmt numFmtId="185" formatCode="0.00000000000"/>
  </numFmts>
  <fonts count="9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color indexed="81"/>
      <name val="Tahoma"/>
      <family val="2"/>
    </font>
    <font>
      <sz val="10"/>
      <name val="Arial"/>
      <family val="2"/>
    </font>
    <font>
      <sz val="10"/>
      <color indexed="23"/>
      <name val="Arial"/>
      <family val="2"/>
    </font>
    <font>
      <vertAlign val="superscript"/>
      <sz val="10"/>
      <name val="Arial"/>
      <family val="2"/>
    </font>
    <font>
      <vertAlign val="superscript"/>
      <sz val="10"/>
      <color indexed="23"/>
      <name val="Arial"/>
      <family val="2"/>
    </font>
    <font>
      <vertAlign val="subscript"/>
      <sz val="10"/>
      <color indexed="23"/>
      <name val="Arial"/>
      <family val="2"/>
    </font>
    <font>
      <vertAlign val="subscript"/>
      <sz val="10"/>
      <name val="Arial"/>
      <family val="2"/>
    </font>
    <font>
      <b/>
      <vertAlign val="subscript"/>
      <sz val="10"/>
      <name val="Arial"/>
      <family val="2"/>
    </font>
    <font>
      <sz val="10"/>
      <color indexed="23"/>
      <name val="Arial"/>
      <family val="2"/>
    </font>
    <font>
      <i/>
      <sz val="10"/>
      <name val="Arial"/>
      <family val="2"/>
    </font>
    <font>
      <vertAlign val="superscript"/>
      <sz val="8"/>
      <color indexed="81"/>
      <name val="Tahoma"/>
      <family val="2"/>
    </font>
    <font>
      <b/>
      <sz val="10"/>
      <color indexed="56"/>
      <name val="Arial"/>
      <family val="2"/>
    </font>
    <font>
      <sz val="10"/>
      <color indexed="9"/>
      <name val="Arial"/>
      <family val="2"/>
    </font>
    <font>
      <sz val="10"/>
      <color indexed="9"/>
      <name val="Arial"/>
      <family val="2"/>
    </font>
    <font>
      <b/>
      <sz val="10"/>
      <color indexed="9"/>
      <name val="Arial"/>
      <family val="2"/>
    </font>
    <font>
      <b/>
      <vertAlign val="subscript"/>
      <sz val="10"/>
      <color indexed="9"/>
      <name val="Arial"/>
      <family val="2"/>
    </font>
    <font>
      <i/>
      <sz val="8"/>
      <color indexed="81"/>
      <name val="Tahoma"/>
      <family val="2"/>
    </font>
    <font>
      <b/>
      <i/>
      <sz val="10"/>
      <name val="Arial"/>
      <family val="2"/>
    </font>
    <font>
      <b/>
      <sz val="20"/>
      <name val="Arial"/>
      <family val="2"/>
    </font>
    <font>
      <sz val="10"/>
      <color indexed="10"/>
      <name val="Arial"/>
      <family val="2"/>
    </font>
    <font>
      <sz val="10"/>
      <color indexed="9"/>
      <name val="Arial"/>
      <family val="2"/>
    </font>
    <font>
      <u/>
      <sz val="8"/>
      <color indexed="81"/>
      <name val="Tahoma"/>
      <family val="2"/>
    </font>
    <font>
      <sz val="10"/>
      <color indexed="12"/>
      <name val="Arial"/>
      <family val="2"/>
    </font>
    <font>
      <u/>
      <sz val="10"/>
      <color indexed="9"/>
      <name val="Arial"/>
      <family val="2"/>
    </font>
    <font>
      <b/>
      <sz val="10"/>
      <color indexed="9"/>
      <name val="Arial"/>
      <family val="2"/>
    </font>
    <font>
      <sz val="10"/>
      <color indexed="22"/>
      <name val="Arial"/>
      <family val="2"/>
    </font>
    <font>
      <vertAlign val="subscript"/>
      <sz val="10"/>
      <color indexed="22"/>
      <name val="Arial"/>
      <family val="2"/>
    </font>
    <font>
      <vertAlign val="superscript"/>
      <sz val="10"/>
      <color indexed="22"/>
      <name val="Arial"/>
      <family val="2"/>
    </font>
    <font>
      <sz val="10"/>
      <color indexed="23"/>
      <name val="Arial"/>
      <family val="2"/>
    </font>
    <font>
      <b/>
      <sz val="14"/>
      <color indexed="9"/>
      <name val="Arial"/>
      <family val="2"/>
    </font>
    <font>
      <sz val="10"/>
      <color indexed="12"/>
      <name val="Arial"/>
      <family val="2"/>
    </font>
    <font>
      <b/>
      <sz val="24"/>
      <color indexed="9"/>
      <name val="Arial"/>
      <family val="2"/>
    </font>
    <font>
      <sz val="10"/>
      <color indexed="9"/>
      <name val="Arial"/>
      <family val="2"/>
    </font>
    <font>
      <b/>
      <sz val="8"/>
      <color indexed="81"/>
      <name val="Tahoma"/>
      <family val="2"/>
    </font>
    <font>
      <sz val="8"/>
      <name val="Arial"/>
      <family val="2"/>
    </font>
    <font>
      <sz val="10"/>
      <color indexed="22"/>
      <name val="Arial"/>
      <family val="2"/>
    </font>
    <font>
      <sz val="10"/>
      <name val="Arial"/>
      <family val="2"/>
    </font>
    <font>
      <sz val="8"/>
      <name val="Arial"/>
      <family val="2"/>
    </font>
    <font>
      <sz val="10"/>
      <color indexed="9"/>
      <name val="Calibri"/>
      <family val="2"/>
    </font>
    <font>
      <i/>
      <sz val="10"/>
      <color indexed="23"/>
      <name val="Arial"/>
      <family val="2"/>
    </font>
    <font>
      <sz val="10"/>
      <name val="Symbol"/>
      <family val="1"/>
      <charset val="2"/>
    </font>
    <font>
      <b/>
      <sz val="8.8000000000000007"/>
      <color indexed="8"/>
      <name val="Inherit"/>
    </font>
    <font>
      <sz val="10"/>
      <color indexed="9"/>
      <name val="Arial"/>
      <family val="2"/>
    </font>
    <font>
      <sz val="11"/>
      <color theme="0"/>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FA7D00"/>
      <name val="Calibri"/>
      <family val="2"/>
      <scheme val="minor"/>
    </font>
    <font>
      <b/>
      <sz val="11"/>
      <color theme="1"/>
      <name val="Calibri"/>
      <family val="2"/>
      <scheme val="minor"/>
    </font>
    <font>
      <sz val="10"/>
      <color rgb="FFFF0000"/>
      <name val="Arial"/>
      <family val="2"/>
    </font>
    <font>
      <sz val="10"/>
      <color theme="1"/>
      <name val="Arial"/>
      <family val="2"/>
    </font>
    <font>
      <sz val="10"/>
      <color rgb="FFFFE8A7"/>
      <name val="Arial"/>
      <family val="2"/>
    </font>
    <font>
      <sz val="10"/>
      <color theme="1" tint="0.34998626667073579"/>
      <name val="Arial"/>
      <family val="2"/>
    </font>
    <font>
      <sz val="9"/>
      <color indexed="81"/>
      <name val="Tahoma"/>
      <family val="2"/>
    </font>
    <font>
      <sz val="10"/>
      <color theme="0" tint="-0.14999847407452621"/>
      <name val="Arial"/>
      <family val="2"/>
    </font>
    <font>
      <b/>
      <sz val="9"/>
      <color indexed="81"/>
      <name val="Tahoma"/>
      <family val="2"/>
    </font>
    <font>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sz val="11"/>
      <color rgb="FFFF0000"/>
      <name val="Calibri"/>
      <family val="2"/>
      <scheme val="minor"/>
    </font>
    <font>
      <b/>
      <vertAlign val="superscript"/>
      <sz val="10"/>
      <name val="Arial"/>
      <family val="2"/>
    </font>
    <font>
      <sz val="10"/>
      <color theme="1" tint="0.249977111117893"/>
      <name val="Arial"/>
      <family val="2"/>
    </font>
    <font>
      <vertAlign val="superscript"/>
      <sz val="10"/>
      <color theme="1" tint="0.249977111117893"/>
      <name val="Arial"/>
      <family val="2"/>
    </font>
    <font>
      <sz val="10"/>
      <name val="Arial"/>
      <family val="2"/>
    </font>
    <font>
      <b/>
      <sz val="10"/>
      <color theme="1"/>
      <name val="Arial"/>
      <family val="2"/>
    </font>
    <font>
      <sz val="10"/>
      <color theme="10"/>
      <name val="Arial"/>
      <family val="2"/>
    </font>
    <font>
      <b/>
      <sz val="10"/>
      <color theme="0"/>
      <name val="Arial"/>
      <family val="2"/>
    </font>
    <font>
      <vertAlign val="superscript"/>
      <sz val="10"/>
      <color theme="0"/>
      <name val="Arial"/>
      <family val="2"/>
    </font>
    <font>
      <b/>
      <vertAlign val="subscript"/>
      <sz val="10"/>
      <color theme="0"/>
      <name val="Arial"/>
      <family val="2"/>
    </font>
    <font>
      <sz val="11"/>
      <color theme="1"/>
      <name val="Calibri"/>
      <family val="2"/>
    </font>
    <font>
      <sz val="10"/>
      <color rgb="FF000000"/>
      <name val="Arial"/>
      <family val="2"/>
    </font>
    <font>
      <sz val="11"/>
      <name val="Calibri"/>
      <family val="2"/>
      <scheme val="minor"/>
    </font>
    <font>
      <sz val="10"/>
      <color rgb="FF333333"/>
      <name val="Arial"/>
      <family val="2"/>
    </font>
    <font>
      <b/>
      <sz val="22"/>
      <color indexed="49"/>
      <name val="Arial"/>
      <family val="2"/>
    </font>
    <font>
      <sz val="22"/>
      <color indexed="49"/>
      <name val="Arial"/>
      <family val="2"/>
    </font>
    <font>
      <b/>
      <sz val="11"/>
      <color indexed="49"/>
      <name val="Arial"/>
      <family val="2"/>
    </font>
    <font>
      <sz val="11"/>
      <color indexed="49"/>
      <name val="Arial"/>
      <family val="2"/>
    </font>
  </fonts>
  <fills count="6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darkUp">
        <bgColor indexed="23"/>
      </patternFill>
    </fill>
    <fill>
      <patternFill patternType="solid">
        <fgColor indexed="52"/>
        <bgColor indexed="64"/>
      </patternFill>
    </fill>
    <fill>
      <patternFill patternType="lightDown">
        <bgColor indexed="23"/>
      </patternFill>
    </fill>
    <fill>
      <patternFill patternType="solid">
        <fgColor indexed="16"/>
        <bgColor indexed="64"/>
      </patternFill>
    </fill>
    <fill>
      <patternFill patternType="solid">
        <fgColor indexed="10"/>
        <bgColor indexed="64"/>
      </patternFill>
    </fill>
    <fill>
      <patternFill patternType="solid">
        <fgColor indexed="53"/>
        <bgColor indexed="64"/>
      </patternFill>
    </fill>
    <fill>
      <patternFill patternType="solid">
        <fgColor indexed="49"/>
        <bgColor indexed="64"/>
      </patternFill>
    </fill>
    <fill>
      <patternFill patternType="solid">
        <fgColor indexed="23"/>
        <bgColor indexed="64"/>
      </patternFill>
    </fill>
    <fill>
      <patternFill patternType="solid">
        <fgColor indexed="43"/>
        <bgColor indexed="64"/>
      </patternFill>
    </fill>
    <fill>
      <patternFill patternType="solid">
        <fgColor indexed="62"/>
        <bgColor indexed="64"/>
      </patternFill>
    </fill>
    <fill>
      <patternFill patternType="darkUp">
        <bgColor indexed="9"/>
      </patternFill>
    </fill>
    <fill>
      <patternFill patternType="solid">
        <fgColor indexed="13"/>
        <bgColor indexed="64"/>
      </patternFill>
    </fill>
    <fill>
      <patternFill patternType="solid">
        <fgColor indexed="60"/>
        <bgColor indexed="64"/>
      </patternFill>
    </fill>
    <fill>
      <patternFill patternType="solid">
        <fgColor indexed="65"/>
        <bgColor indexed="64"/>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patternFill>
    </fill>
    <fill>
      <patternFill patternType="solid">
        <fgColor rgb="FFFFC7CE"/>
      </patternFill>
    </fill>
    <fill>
      <patternFill patternType="solid">
        <fgColor rgb="FFA5A5A5"/>
      </patternFill>
    </fill>
    <fill>
      <patternFill patternType="solid">
        <fgColor rgb="FFC6EFCE"/>
      </patternFill>
    </fill>
    <fill>
      <patternFill patternType="solid">
        <fgColor theme="0"/>
        <bgColor indexed="64"/>
      </patternFill>
    </fill>
    <fill>
      <patternFill patternType="solid">
        <fgColor theme="5"/>
        <bgColor indexed="64"/>
      </patternFill>
    </fill>
    <fill>
      <patternFill patternType="solid">
        <fgColor theme="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FF00"/>
        <bgColor indexed="64"/>
      </patternFill>
    </fill>
    <fill>
      <patternFill patternType="solid">
        <fgColor rgb="FFFFC000"/>
        <bgColor indexed="64"/>
      </patternFill>
    </fill>
    <fill>
      <patternFill patternType="solid">
        <fgColor rgb="FF008000"/>
        <bgColor indexed="64"/>
      </patternFill>
    </fill>
    <fill>
      <patternFill patternType="solid">
        <fgColor rgb="FFFF0000"/>
        <bgColor indexed="64"/>
      </patternFill>
    </fill>
    <fill>
      <patternFill patternType="solid">
        <fgColor theme="5" tint="0.39997558519241921"/>
        <bgColor indexed="64"/>
      </patternFill>
    </fill>
    <fill>
      <patternFill patternType="solid">
        <fgColor rgb="FFFFFFCC"/>
      </patternFill>
    </fill>
    <fill>
      <patternFill patternType="solid">
        <fgColor rgb="FFFFEB9C"/>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0" tint="-0.34998626667073579"/>
        <bgColor indexed="64"/>
      </patternFill>
    </fill>
    <fill>
      <patternFill patternType="solid">
        <fgColor theme="6" tint="-9.9978637043366805E-2"/>
        <bgColor indexed="64"/>
      </patternFill>
    </fill>
    <fill>
      <patternFill patternType="solid">
        <fgColor rgb="FFD1D1D1"/>
        <bgColor indexed="64"/>
      </patternFill>
    </fill>
    <fill>
      <patternFill patternType="solid">
        <fgColor rgb="FFAED2F0"/>
        <bgColor indexed="64"/>
      </patternFill>
    </fill>
    <fill>
      <patternFill patternType="solid">
        <fgColor theme="7"/>
        <bgColor indexed="64"/>
      </patternFill>
    </fill>
    <fill>
      <patternFill patternType="solid">
        <fgColor theme="1"/>
        <bgColor indexed="64"/>
      </patternFill>
    </fill>
    <fill>
      <patternFill patternType="solid">
        <fgColor rgb="FF7030A0"/>
        <bgColor indexed="64"/>
      </patternFill>
    </fill>
    <fill>
      <patternFill patternType="solid">
        <fgColor theme="9"/>
        <bgColor indexed="64"/>
      </patternFill>
    </fill>
    <fill>
      <patternFill patternType="solid">
        <fgColor theme="4"/>
        <bgColor indexed="27"/>
      </patternFill>
    </fill>
    <fill>
      <patternFill patternType="solid">
        <fgColor theme="4"/>
        <bgColor indexed="64"/>
      </patternFill>
    </fill>
  </fills>
  <borders count="160">
    <border>
      <left/>
      <right/>
      <top/>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style="thin">
        <color indexed="64"/>
      </top>
      <bottom style="thin">
        <color indexed="9"/>
      </bottom>
      <diagonal/>
    </border>
    <border>
      <left style="thin">
        <color indexed="9"/>
      </left>
      <right style="thin">
        <color indexed="9"/>
      </right>
      <top style="thin">
        <color indexed="64"/>
      </top>
      <bottom style="thin">
        <color indexed="9"/>
      </bottom>
      <diagonal/>
    </border>
    <border>
      <left/>
      <right style="thin">
        <color indexed="9"/>
      </right>
      <top style="thin">
        <color indexed="9"/>
      </top>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9"/>
      </right>
      <top/>
      <bottom style="thin">
        <color indexed="9"/>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n">
        <color auto="1"/>
      </right>
      <top/>
      <bottom/>
      <diagonal/>
    </border>
    <border>
      <left/>
      <right/>
      <top/>
      <bottom style="thin">
        <color auto="1"/>
      </bottom>
      <diagonal/>
    </border>
    <border>
      <left/>
      <right/>
      <top/>
      <bottom style="thin">
        <color indexed="9"/>
      </bottom>
      <diagonal/>
    </border>
    <border>
      <left style="thin">
        <color indexed="9"/>
      </left>
      <right/>
      <top/>
      <bottom style="thin">
        <color indexed="9"/>
      </bottom>
      <diagonal/>
    </border>
    <border>
      <left style="thin">
        <color theme="7" tint="0.39994506668294322"/>
      </left>
      <right style="thin">
        <color theme="7" tint="0.39994506668294322"/>
      </right>
      <top style="thin">
        <color theme="7" tint="0.39994506668294322"/>
      </top>
      <bottom style="thin">
        <color theme="7" tint="0.39994506668294322"/>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indexed="64"/>
      </top>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indexed="64"/>
      </right>
      <top style="thin">
        <color theme="0" tint="-0.249977111117893"/>
      </top>
      <bottom style="thin">
        <color theme="0" tint="-0.249977111117893"/>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rgb="FFA3C6F5"/>
      </left>
      <right style="thin">
        <color rgb="FFA3C6F5"/>
      </right>
      <top style="thin">
        <color indexed="64"/>
      </top>
      <bottom style="thin">
        <color rgb="FFA3C6F5"/>
      </bottom>
      <diagonal/>
    </border>
    <border>
      <left style="thin">
        <color rgb="FFA3C6F5"/>
      </left>
      <right style="thin">
        <color rgb="FFA3C6F5"/>
      </right>
      <top style="thin">
        <color rgb="FFA3C6F5"/>
      </top>
      <bottom style="thin">
        <color rgb="FFA3C6F5"/>
      </bottom>
      <diagonal/>
    </border>
    <border>
      <left style="thin">
        <color rgb="FFA3C6F5"/>
      </left>
      <right style="thin">
        <color rgb="FFA3C6F5"/>
      </right>
      <top style="thin">
        <color rgb="FFA3C6F5"/>
      </top>
      <bottom style="thin">
        <color indexed="64"/>
      </bottom>
      <diagonal/>
    </border>
    <border>
      <left style="thin">
        <color rgb="FFA3C6F5"/>
      </left>
      <right style="thin">
        <color auto="1"/>
      </right>
      <top style="thin">
        <color indexed="64"/>
      </top>
      <bottom style="thin">
        <color rgb="FFA3C6F5"/>
      </bottom>
      <diagonal/>
    </border>
    <border>
      <left style="thin">
        <color rgb="FFA3C6F5"/>
      </left>
      <right style="thin">
        <color auto="1"/>
      </right>
      <top style="thin">
        <color rgb="FFA3C6F5"/>
      </top>
      <bottom style="thin">
        <color theme="0" tint="-0.249977111117893"/>
      </bottom>
      <diagonal/>
    </border>
    <border>
      <left style="thin">
        <color theme="0" tint="-0.24994659260841701"/>
      </left>
      <right style="thin">
        <color rgb="FFA3C6F5"/>
      </right>
      <top style="thin">
        <color indexed="64"/>
      </top>
      <bottom style="thin">
        <color rgb="FFA3C6F5"/>
      </bottom>
      <diagonal/>
    </border>
    <border>
      <left style="thin">
        <color theme="0" tint="-0.24994659260841701"/>
      </left>
      <right style="thin">
        <color rgb="FFA3C6F5"/>
      </right>
      <top style="thin">
        <color rgb="FFA3C6F5"/>
      </top>
      <bottom style="thin">
        <color rgb="FFA3C6F5"/>
      </bottom>
      <diagonal/>
    </border>
    <border>
      <left style="thin">
        <color theme="0" tint="-0.24994659260841701"/>
      </left>
      <right style="thin">
        <color rgb="FFA3C6F5"/>
      </right>
      <top style="thin">
        <color rgb="FFA3C6F5"/>
      </top>
      <bottom style="thin">
        <color indexed="64"/>
      </bottom>
      <diagonal/>
    </border>
    <border>
      <left style="thin">
        <color theme="0" tint="-0.24994659260841701"/>
      </left>
      <right style="thin">
        <color rgb="FFA3C6F5"/>
      </right>
      <top/>
      <bottom style="thin">
        <color rgb="FFA3C6F5"/>
      </bottom>
      <diagonal/>
    </border>
    <border>
      <left style="thin">
        <color rgb="FFA3C6F5"/>
      </left>
      <right style="thin">
        <color rgb="FFA3C6F5"/>
      </right>
      <top/>
      <bottom style="thin">
        <color rgb="FFA3C6F5"/>
      </bottom>
      <diagonal/>
    </border>
    <border>
      <left style="thin">
        <color rgb="FFA3C6F5"/>
      </left>
      <right style="thin">
        <color indexed="64"/>
      </right>
      <top style="thin">
        <color rgb="FFA3C6F5"/>
      </top>
      <bottom style="thin">
        <color rgb="FFA3C6F5"/>
      </bottom>
      <diagonal/>
    </border>
    <border>
      <left style="thin">
        <color rgb="FFA3C6F5"/>
      </left>
      <right style="thin">
        <color indexed="64"/>
      </right>
      <top style="thin">
        <color rgb="FFA3C6F5"/>
      </top>
      <bottom style="thin">
        <color indexed="64"/>
      </bottom>
      <diagonal/>
    </border>
    <border>
      <left style="thin">
        <color rgb="FFA3C6F5"/>
      </left>
      <right/>
      <top style="thin">
        <color indexed="64"/>
      </top>
      <bottom style="thin">
        <color rgb="FFA3C6F5"/>
      </bottom>
      <diagonal/>
    </border>
    <border>
      <left style="thin">
        <color rgb="FFA3C6F5"/>
      </left>
      <right/>
      <top style="thin">
        <color rgb="FFA3C6F5"/>
      </top>
      <bottom style="thin">
        <color rgb="FFA3C6F5"/>
      </bottom>
      <diagonal/>
    </border>
    <border>
      <left style="thin">
        <color rgb="FFA3C6F5"/>
      </left>
      <right style="thin">
        <color rgb="FFA3C6F5"/>
      </right>
      <top style="thin">
        <color rgb="FFA3C6F5"/>
      </top>
      <bottom/>
      <diagonal/>
    </border>
    <border>
      <left style="thin">
        <color rgb="FFA3C6F5"/>
      </left>
      <right style="thin">
        <color indexed="64"/>
      </right>
      <top style="thin">
        <color rgb="FFA3C6F5"/>
      </top>
      <bottom/>
      <diagonal/>
    </border>
    <border>
      <left/>
      <right style="thin">
        <color indexed="64"/>
      </right>
      <top style="thin">
        <color rgb="FFA3C6F5"/>
      </top>
      <bottom style="thin">
        <color rgb="FFA3C6F5"/>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diagonal/>
    </border>
    <border>
      <left style="thin">
        <color indexed="64"/>
      </left>
      <right style="thin">
        <color indexed="64"/>
      </right>
      <top style="thin">
        <color rgb="FFA3C6F5"/>
      </top>
      <bottom style="thin">
        <color rgb="FFA3C6F5"/>
      </bottom>
      <diagonal/>
    </border>
    <border>
      <left style="thin">
        <color indexed="64"/>
      </left>
      <right style="thin">
        <color indexed="64"/>
      </right>
      <top style="thin">
        <color indexed="64"/>
      </top>
      <bottom style="thin">
        <color rgb="FFA3C6F5"/>
      </bottom>
      <diagonal/>
    </border>
    <border>
      <left style="thin">
        <color rgb="FFEED284"/>
      </left>
      <right style="thin">
        <color rgb="FFEED284"/>
      </right>
      <top style="thin">
        <color indexed="64"/>
      </top>
      <bottom style="thin">
        <color rgb="FFEED284"/>
      </bottom>
      <diagonal/>
    </border>
    <border>
      <left style="thin">
        <color rgb="FFEED284"/>
      </left>
      <right style="thin">
        <color auto="1"/>
      </right>
      <top style="thin">
        <color indexed="64"/>
      </top>
      <bottom style="thin">
        <color rgb="FFEED284"/>
      </bottom>
      <diagonal/>
    </border>
    <border>
      <left style="thin">
        <color rgb="FFEED284"/>
      </left>
      <right style="thin">
        <color rgb="FFEED284"/>
      </right>
      <top style="thin">
        <color rgb="FFEED284"/>
      </top>
      <bottom style="thin">
        <color rgb="FFEED284"/>
      </bottom>
      <diagonal/>
    </border>
    <border>
      <left style="thin">
        <color rgb="FFEED284"/>
      </left>
      <right style="thin">
        <color auto="1"/>
      </right>
      <top style="thin">
        <color rgb="FFEED284"/>
      </top>
      <bottom style="thin">
        <color rgb="FFEED284"/>
      </bottom>
      <diagonal/>
    </border>
    <border>
      <left style="thin">
        <color rgb="FFEED284"/>
      </left>
      <right style="thin">
        <color rgb="FFEED284"/>
      </right>
      <top style="thin">
        <color rgb="FFEED284"/>
      </top>
      <bottom style="thin">
        <color indexed="64"/>
      </bottom>
      <diagonal/>
    </border>
    <border>
      <left style="thin">
        <color rgb="FFEED284"/>
      </left>
      <right style="thin">
        <color indexed="64"/>
      </right>
      <top style="thin">
        <color rgb="FFEED284"/>
      </top>
      <bottom style="thin">
        <color indexed="64"/>
      </bottom>
      <diagonal/>
    </border>
    <border>
      <left style="thin">
        <color indexed="64"/>
      </left>
      <right style="thin">
        <color rgb="FFEED284"/>
      </right>
      <top style="thin">
        <color indexed="64"/>
      </top>
      <bottom style="thin">
        <color rgb="FFEED284"/>
      </bottom>
      <diagonal/>
    </border>
    <border>
      <left style="thin">
        <color rgb="FFEED284"/>
      </left>
      <right/>
      <top style="thin">
        <color indexed="64"/>
      </top>
      <bottom style="thin">
        <color rgb="FFEED284"/>
      </bottom>
      <diagonal/>
    </border>
    <border>
      <left style="thin">
        <color indexed="64"/>
      </left>
      <right style="thin">
        <color rgb="FFEED284"/>
      </right>
      <top style="thin">
        <color rgb="FFEED284"/>
      </top>
      <bottom style="thin">
        <color rgb="FFEED284"/>
      </bottom>
      <diagonal/>
    </border>
    <border>
      <left style="thin">
        <color rgb="FFEED284"/>
      </left>
      <right/>
      <top style="thin">
        <color rgb="FFEED284"/>
      </top>
      <bottom style="thin">
        <color rgb="FFEED284"/>
      </bottom>
      <diagonal/>
    </border>
    <border>
      <left style="thin">
        <color indexed="64"/>
      </left>
      <right style="thin">
        <color rgb="FFEED284"/>
      </right>
      <top style="thin">
        <color rgb="FFEED284"/>
      </top>
      <bottom style="thin">
        <color indexed="64"/>
      </bottom>
      <diagonal/>
    </border>
    <border>
      <left style="thin">
        <color rgb="FFEED284"/>
      </left>
      <right/>
      <top style="thin">
        <color rgb="FFEED284"/>
      </top>
      <bottom style="thin">
        <color indexed="64"/>
      </bottom>
      <diagonal/>
    </border>
    <border>
      <left style="thin">
        <color indexed="64"/>
      </left>
      <right style="thin">
        <color rgb="FFF1DD93"/>
      </right>
      <top style="thin">
        <color indexed="64"/>
      </top>
      <bottom style="thin">
        <color rgb="FFF1DD93"/>
      </bottom>
      <diagonal/>
    </border>
    <border>
      <left style="thin">
        <color rgb="FFF1DD93"/>
      </left>
      <right style="thin">
        <color rgb="FFF1DD93"/>
      </right>
      <top style="thin">
        <color indexed="64"/>
      </top>
      <bottom style="thin">
        <color rgb="FFF1DD93"/>
      </bottom>
      <diagonal/>
    </border>
    <border>
      <left style="thin">
        <color rgb="FFF1DD93"/>
      </left>
      <right/>
      <top style="thin">
        <color indexed="64"/>
      </top>
      <bottom style="thin">
        <color rgb="FFF1DD93"/>
      </bottom>
      <diagonal/>
    </border>
    <border>
      <left style="thin">
        <color indexed="64"/>
      </left>
      <right style="thin">
        <color rgb="FFF1DD93"/>
      </right>
      <top style="thin">
        <color rgb="FFF1DD93"/>
      </top>
      <bottom style="thin">
        <color rgb="FFF1DD93"/>
      </bottom>
      <diagonal/>
    </border>
    <border>
      <left style="thin">
        <color rgb="FFF1DD93"/>
      </left>
      <right style="thin">
        <color rgb="FFF1DD93"/>
      </right>
      <top style="thin">
        <color rgb="FFF1DD93"/>
      </top>
      <bottom style="thin">
        <color rgb="FFF1DD93"/>
      </bottom>
      <diagonal/>
    </border>
    <border>
      <left style="thin">
        <color rgb="FFF1DD93"/>
      </left>
      <right/>
      <top style="thin">
        <color rgb="FFF1DD93"/>
      </top>
      <bottom style="thin">
        <color rgb="FFF1DD93"/>
      </bottom>
      <diagonal/>
    </border>
    <border>
      <left style="thin">
        <color indexed="64"/>
      </left>
      <right style="thin">
        <color rgb="FFF1DD93"/>
      </right>
      <top style="thin">
        <color rgb="FFF1DD93"/>
      </top>
      <bottom style="thin">
        <color indexed="64"/>
      </bottom>
      <diagonal/>
    </border>
    <border>
      <left style="thin">
        <color rgb="FFF1DD93"/>
      </left>
      <right style="thin">
        <color rgb="FFF1DD93"/>
      </right>
      <top style="thin">
        <color rgb="FFF1DD93"/>
      </top>
      <bottom style="thin">
        <color indexed="64"/>
      </bottom>
      <diagonal/>
    </border>
    <border>
      <left style="thin">
        <color rgb="FFF1DD93"/>
      </left>
      <right/>
      <top style="thin">
        <color rgb="FFF1DD93"/>
      </top>
      <bottom style="thin">
        <color indexed="64"/>
      </bottom>
      <diagonal/>
    </border>
    <border>
      <left style="thin">
        <color rgb="FFF1DD93"/>
      </left>
      <right style="thin">
        <color indexed="64"/>
      </right>
      <top style="thin">
        <color indexed="64"/>
      </top>
      <bottom style="thin">
        <color rgb="FFF1DD93"/>
      </bottom>
      <diagonal/>
    </border>
    <border>
      <left style="thin">
        <color rgb="FFF1DD93"/>
      </left>
      <right style="thin">
        <color indexed="64"/>
      </right>
      <top style="thin">
        <color rgb="FFF1DD93"/>
      </top>
      <bottom style="thin">
        <color rgb="FFF1DD93"/>
      </bottom>
      <diagonal/>
    </border>
    <border>
      <left style="thin">
        <color rgb="FFF1DD93"/>
      </left>
      <right style="thin">
        <color indexed="64"/>
      </right>
      <top style="thin">
        <color rgb="FFF1DD93"/>
      </top>
      <bottom style="thin">
        <color indexed="64"/>
      </bottom>
      <diagonal/>
    </border>
    <border>
      <left/>
      <right style="thin">
        <color indexed="64"/>
      </right>
      <top style="thin">
        <color rgb="FFF1DD93"/>
      </top>
      <bottom style="thin">
        <color rgb="FFF1DD93"/>
      </bottom>
      <diagonal/>
    </border>
    <border>
      <left/>
      <right style="thin">
        <color indexed="64"/>
      </right>
      <top style="thin">
        <color rgb="FFF1DD93"/>
      </top>
      <bottom style="thin">
        <color indexed="64"/>
      </bottom>
      <diagonal/>
    </border>
    <border>
      <left style="thin">
        <color indexed="64"/>
      </left>
      <right style="thin">
        <color indexed="64"/>
      </right>
      <top/>
      <bottom style="thin">
        <color rgb="FFA3C6F5"/>
      </bottom>
      <diagonal/>
    </border>
    <border>
      <left style="thin">
        <color indexed="64"/>
      </left>
      <right style="thin">
        <color indexed="64"/>
      </right>
      <top style="thin">
        <color rgb="FFA3C6F5"/>
      </top>
      <bottom style="thin">
        <color indexed="64"/>
      </bottom>
      <diagonal/>
    </border>
    <border>
      <left style="thin">
        <color rgb="FFF1DD93"/>
      </left>
      <right style="thin">
        <color rgb="FFF1DD93"/>
      </right>
      <top style="thin">
        <color rgb="FFF1DD93"/>
      </top>
      <bottom style="thin">
        <color theme="1"/>
      </bottom>
      <diagonal/>
    </border>
    <border>
      <left style="thin">
        <color rgb="FFF1DD93"/>
      </left>
      <right style="thin">
        <color indexed="64"/>
      </right>
      <top style="thin">
        <color rgb="FFF1DD93"/>
      </top>
      <bottom style="thin">
        <color theme="1"/>
      </bottom>
      <diagonal/>
    </border>
    <border>
      <left style="thin">
        <color indexed="64"/>
      </left>
      <right style="thin">
        <color rgb="FFF1DD93"/>
      </right>
      <top style="thin">
        <color rgb="FFF1DD93"/>
      </top>
      <bottom style="thin">
        <color theme="1"/>
      </bottom>
      <diagonal/>
    </border>
    <border>
      <left style="thin">
        <color theme="0" tint="-0.24994659260841701"/>
      </left>
      <right style="thin">
        <color indexed="64"/>
      </right>
      <top/>
      <bottom style="thin">
        <color indexed="64"/>
      </bottom>
      <diagonal/>
    </border>
    <border>
      <left style="thin">
        <color theme="0" tint="-0.24994659260841701"/>
      </left>
      <right style="thin">
        <color indexed="64"/>
      </right>
      <top style="thin">
        <color indexed="64"/>
      </top>
      <bottom/>
      <diagonal/>
    </border>
    <border>
      <left style="thin">
        <color rgb="FFA3C6F5"/>
      </left>
      <right style="thin">
        <color indexed="64"/>
      </right>
      <top/>
      <bottom style="thin">
        <color rgb="FFA3C6F5"/>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style="thin">
        <color rgb="FFEED284"/>
      </right>
      <top style="thin">
        <color indexed="64"/>
      </top>
      <bottom style="thin">
        <color rgb="FFEED284"/>
      </bottom>
      <diagonal/>
    </border>
    <border>
      <left/>
      <right style="thin">
        <color rgb="FFEED284"/>
      </right>
      <top style="thin">
        <color rgb="FFEED284"/>
      </top>
      <bottom style="thin">
        <color rgb="FFEED284"/>
      </bottom>
      <diagonal/>
    </border>
    <border>
      <left/>
      <right style="thin">
        <color rgb="FFEED284"/>
      </right>
      <top style="thin">
        <color rgb="FFEED284"/>
      </top>
      <bottom style="thin">
        <color indexed="64"/>
      </bottom>
      <diagonal/>
    </border>
    <border>
      <left style="thin">
        <color indexed="64"/>
      </left>
      <right style="thin">
        <color rgb="FFA3C6F5"/>
      </right>
      <top style="thin">
        <color indexed="64"/>
      </top>
      <bottom style="thin">
        <color rgb="FFA3C6F5"/>
      </bottom>
      <diagonal/>
    </border>
    <border>
      <left style="thin">
        <color indexed="64"/>
      </left>
      <right style="thin">
        <color rgb="FFA3C6F5"/>
      </right>
      <top style="thin">
        <color rgb="FFA3C6F5"/>
      </top>
      <bottom style="thin">
        <color rgb="FFA3C6F5"/>
      </bottom>
      <diagonal/>
    </border>
    <border>
      <left style="thin">
        <color indexed="64"/>
      </left>
      <right style="thin">
        <color rgb="FFA3C6F5"/>
      </right>
      <top style="thin">
        <color rgb="FFA3C6F5"/>
      </top>
      <bottom/>
      <diagonal/>
    </border>
    <border>
      <left style="thin">
        <color indexed="64"/>
      </left>
      <right style="thin">
        <color rgb="FFA3C6F5"/>
      </right>
      <top style="thin">
        <color rgb="FFA3C6F5"/>
      </top>
      <bottom style="thin">
        <color indexed="64"/>
      </bottom>
      <diagonal/>
    </border>
    <border>
      <left/>
      <right style="thin">
        <color rgb="FFA3C6F5"/>
      </right>
      <top/>
      <bottom style="thin">
        <color rgb="FFA3C6F5"/>
      </bottom>
      <diagonal/>
    </border>
    <border>
      <left/>
      <right style="thin">
        <color rgb="FFA3C6F5"/>
      </right>
      <top style="thin">
        <color rgb="FFA3C6F5"/>
      </top>
      <bottom style="thin">
        <color rgb="FFA3C6F5"/>
      </bottom>
      <diagonal/>
    </border>
    <border>
      <left/>
      <right style="thin">
        <color rgb="FFA3C6F5"/>
      </right>
      <top style="thin">
        <color rgb="FFA3C6F5"/>
      </top>
      <bottom style="thin">
        <color indexed="64"/>
      </bottom>
      <diagonal/>
    </border>
    <border>
      <left style="thin">
        <color theme="0" tint="-0.24994659260841701"/>
      </left>
      <right/>
      <top style="thin">
        <color indexed="64"/>
      </top>
      <bottom/>
      <diagonal/>
    </border>
    <border>
      <left style="thin">
        <color theme="0" tint="-0.24994659260841701"/>
      </left>
      <right/>
      <top/>
      <bottom/>
      <diagonal/>
    </border>
    <border>
      <left style="thin">
        <color theme="0" tint="-0.24994659260841701"/>
      </left>
      <right/>
      <top/>
      <bottom style="thin">
        <color indexed="64"/>
      </bottom>
      <diagonal/>
    </border>
    <border>
      <left/>
      <right style="thin">
        <color theme="0" tint="-0.24994659260841701"/>
      </right>
      <top style="thin">
        <color theme="0" tint="-0.24994659260841701"/>
      </top>
      <bottom style="thin">
        <color indexed="64"/>
      </bottom>
      <diagonal/>
    </border>
    <border>
      <left style="thin">
        <color indexed="64"/>
      </left>
      <right style="thin">
        <color indexed="64"/>
      </right>
      <top style="thin">
        <color theme="0" tint="-0.24994659260841701"/>
      </top>
      <bottom/>
      <diagonal/>
    </border>
    <border>
      <left/>
      <right style="thin">
        <color indexed="64"/>
      </right>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indexed="64"/>
      </bottom>
      <diagonal/>
    </border>
    <border>
      <left/>
      <right style="thin">
        <color theme="0" tint="-0.24994659260841701"/>
      </right>
      <top/>
      <bottom style="thin">
        <color indexed="64"/>
      </bottom>
      <diagonal/>
    </border>
    <border>
      <left/>
      <right style="thin">
        <color auto="1"/>
      </right>
      <top style="thin">
        <color indexed="64"/>
      </top>
      <bottom style="thin">
        <color theme="0" tint="-0.24994659260841701"/>
      </bottom>
      <diagonal/>
    </border>
    <border>
      <left/>
      <right style="thin">
        <color auto="1"/>
      </right>
      <top style="thin">
        <color theme="0" tint="-0.24994659260841701"/>
      </top>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style="thin">
        <color rgb="FFA3C6F5"/>
      </right>
      <top style="thin">
        <color rgb="FFA3C6F5"/>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indexed="64"/>
      </left>
      <right style="thin">
        <color theme="0" tint="-0.24994659260841701"/>
      </right>
      <top/>
      <bottom style="thin">
        <color theme="0" tint="-0.24994659260841701"/>
      </bottom>
      <diagonal/>
    </border>
    <border>
      <left/>
      <right style="thin">
        <color rgb="FFA3C6F5"/>
      </right>
      <top style="thin">
        <color indexed="64"/>
      </top>
      <bottom style="thin">
        <color rgb="FFA3C6F5"/>
      </bottom>
      <diagonal/>
    </border>
    <border>
      <left style="thin">
        <color indexed="64"/>
      </left>
      <right/>
      <top style="thin">
        <color indexed="64"/>
      </top>
      <bottom style="thin">
        <color rgb="FFA3C6F5"/>
      </bottom>
      <diagonal/>
    </border>
    <border>
      <left style="thin">
        <color indexed="64"/>
      </left>
      <right/>
      <top style="thin">
        <color rgb="FFA3C6F5"/>
      </top>
      <bottom style="thin">
        <color rgb="FFA3C6F5"/>
      </bottom>
      <diagonal/>
    </border>
    <border>
      <left style="thin">
        <color indexed="64"/>
      </left>
      <right/>
      <top style="thin">
        <color rgb="FFA3C6F5"/>
      </top>
      <bottom style="thin">
        <color indexed="64"/>
      </bottom>
      <diagonal/>
    </border>
  </borders>
  <cellStyleXfs count="55">
    <xf numFmtId="0" fontId="0" fillId="0"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51" borderId="0" applyNumberFormat="0" applyBorder="0" applyAlignment="0" applyProtection="0"/>
    <xf numFmtId="0" fontId="2" fillId="55" borderId="0" applyNumberFormat="0" applyBorder="0" applyAlignment="0" applyProtection="0"/>
    <xf numFmtId="0" fontId="2" fillId="18"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50" fillId="42" borderId="0" applyNumberFormat="0" applyBorder="0" applyAlignment="0" applyProtection="0"/>
    <xf numFmtId="0" fontId="50" fillId="45" borderId="0" applyNumberFormat="0" applyBorder="0" applyAlignment="0" applyProtection="0"/>
    <xf numFmtId="0" fontId="50" fillId="49" borderId="0" applyNumberFormat="0" applyBorder="0" applyAlignment="0" applyProtection="0"/>
    <xf numFmtId="0" fontId="50" fillId="53" borderId="0" applyNumberFormat="0" applyBorder="0" applyAlignment="0" applyProtection="0"/>
    <xf numFmtId="0" fontId="50" fillId="57" borderId="0" applyNumberFormat="0" applyBorder="0" applyAlignment="0" applyProtection="0"/>
    <xf numFmtId="0" fontId="50" fillId="20" borderId="0" applyNumberFormat="0" applyBorder="0" applyAlignment="0" applyProtection="0"/>
    <xf numFmtId="0" fontId="50" fillId="39" borderId="0" applyNumberFormat="0" applyBorder="0" applyAlignment="0" applyProtection="0"/>
    <xf numFmtId="0" fontId="50" fillId="21" borderId="0" applyNumberFormat="0" applyBorder="0" applyAlignment="0" applyProtection="0"/>
    <xf numFmtId="0" fontId="50" fillId="46" borderId="0" applyNumberFormat="0" applyBorder="0" applyAlignment="0" applyProtection="0"/>
    <xf numFmtId="0" fontId="50" fillId="50" borderId="0" applyNumberFormat="0" applyBorder="0" applyAlignment="0" applyProtection="0"/>
    <xf numFmtId="0" fontId="50" fillId="54" borderId="0" applyNumberFormat="0" applyBorder="0" applyAlignment="0" applyProtection="0"/>
    <xf numFmtId="0" fontId="50" fillId="58" borderId="0" applyNumberFormat="0" applyBorder="0" applyAlignment="0" applyProtection="0"/>
    <xf numFmtId="0" fontId="69" fillId="22" borderId="0" applyNumberFormat="0" applyBorder="0" applyAlignment="0" applyProtection="0"/>
    <xf numFmtId="0" fontId="51" fillId="38" borderId="32" applyNumberFormat="0" applyAlignment="0" applyProtection="0"/>
    <xf numFmtId="0" fontId="52" fillId="23" borderId="39" applyNumberFormat="0" applyAlignment="0" applyProtection="0"/>
    <xf numFmtId="167" fontId="4" fillId="0" borderId="0" applyFont="0" applyFill="0" applyBorder="0" applyAlignment="0" applyProtection="0"/>
    <xf numFmtId="0" fontId="53" fillId="0" borderId="0" applyNumberFormat="0" applyFill="0" applyBorder="0" applyAlignment="0" applyProtection="0"/>
    <xf numFmtId="0" fontId="29" fillId="0" borderId="0" applyNumberFormat="0" applyFill="0" applyBorder="0" applyAlignment="0" applyProtection="0">
      <alignment vertical="top"/>
      <protection locked="0"/>
    </xf>
    <xf numFmtId="0" fontId="68" fillId="24" borderId="0" applyNumberFormat="0" applyBorder="0" applyAlignment="0" applyProtection="0"/>
    <xf numFmtId="0" fontId="65" fillId="0" borderId="35" applyNumberFormat="0" applyFill="0" applyAlignment="0" applyProtection="0"/>
    <xf numFmtId="0" fontId="66" fillId="0" borderId="36" applyNumberFormat="0" applyFill="0" applyAlignment="0" applyProtection="0"/>
    <xf numFmtId="0" fontId="67" fillId="0" borderId="37" applyNumberFormat="0" applyFill="0" applyAlignment="0" applyProtection="0"/>
    <xf numFmtId="0" fontId="67" fillId="0" borderId="0" applyNumberFormat="0" applyFill="0" applyBorder="0" applyAlignment="0" applyProtection="0"/>
    <xf numFmtId="0" fontId="29" fillId="0" borderId="0" applyNumberFormat="0" applyFill="0" applyBorder="0" applyAlignment="0" applyProtection="0">
      <alignment vertical="top"/>
      <protection locked="0"/>
    </xf>
    <xf numFmtId="0" fontId="71" fillId="37" borderId="32" applyNumberFormat="0" applyAlignment="0" applyProtection="0"/>
    <xf numFmtId="0" fontId="54" fillId="0" borderId="33" applyNumberFormat="0" applyFill="0" applyAlignment="0" applyProtection="0"/>
    <xf numFmtId="0" fontId="70" fillId="36" borderId="0" applyNumberFormat="0" applyBorder="0" applyAlignment="0" applyProtection="0"/>
    <xf numFmtId="0" fontId="72" fillId="38" borderId="38" applyNumberFormat="0" applyAlignment="0" applyProtection="0"/>
    <xf numFmtId="9" fontId="4" fillId="0" borderId="0" applyFont="0" applyFill="0" applyBorder="0" applyAlignment="0" applyProtection="0"/>
    <xf numFmtId="0" fontId="64" fillId="0" borderId="0" applyNumberFormat="0" applyFill="0" applyBorder="0" applyAlignment="0" applyProtection="0"/>
    <xf numFmtId="0" fontId="55" fillId="0" borderId="40" applyNumberFormat="0" applyFill="0" applyAlignment="0" applyProtection="0"/>
    <xf numFmtId="0" fontId="73" fillId="0" borderId="0" applyNumberFormat="0" applyFill="0" applyBorder="0" applyAlignment="0" applyProtection="0"/>
    <xf numFmtId="165" fontId="77" fillId="0" borderId="0" applyFont="0" applyFill="0" applyBorder="0" applyAlignment="0" applyProtection="0"/>
    <xf numFmtId="166" fontId="77" fillId="0" borderId="0" applyFont="0" applyFill="0" applyBorder="0" applyAlignment="0" applyProtection="0"/>
    <xf numFmtId="164" fontId="77" fillId="0" borderId="0" applyFont="0" applyFill="0" applyBorder="0" applyAlignment="0" applyProtection="0"/>
    <xf numFmtId="0" fontId="77" fillId="35" borderId="34" applyNumberFormat="0" applyFont="0" applyAlignment="0" applyProtection="0"/>
    <xf numFmtId="0" fontId="79" fillId="25" borderId="0" applyNumberFormat="0" applyBorder="0" applyAlignment="0" applyProtection="0">
      <alignment vertical="top"/>
      <protection locked="0"/>
    </xf>
    <xf numFmtId="4" fontId="4" fillId="61" borderId="0" applyNumberFormat="0" applyBorder="0" applyAlignment="0" applyProtection="0"/>
    <xf numFmtId="1" fontId="57" fillId="62" borderId="0" applyNumberFormat="0" applyBorder="0" applyAlignment="0" applyProtection="0"/>
    <xf numFmtId="174" fontId="4" fillId="0" borderId="0" applyFont="0" applyFill="0" applyBorder="0" applyAlignment="0" applyProtection="0"/>
    <xf numFmtId="0" fontId="1" fillId="0" borderId="0"/>
    <xf numFmtId="174" fontId="4" fillId="0" borderId="0" applyFont="0" applyFill="0" applyBorder="0" applyAlignment="0" applyProtection="0"/>
  </cellStyleXfs>
  <cellXfs count="1220">
    <xf numFmtId="0" fontId="0" fillId="0" borderId="0" xfId="0"/>
    <xf numFmtId="0" fontId="0" fillId="0" borderId="2" xfId="0" applyBorder="1"/>
    <xf numFmtId="2" fontId="0" fillId="0" borderId="0" xfId="0" applyNumberFormat="1"/>
    <xf numFmtId="0" fontId="0" fillId="0" borderId="2" xfId="0" applyBorder="1" applyAlignment="1">
      <alignment horizontal="left"/>
    </xf>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3" fontId="0" fillId="0" borderId="2" xfId="0" applyNumberFormat="1" applyBorder="1"/>
    <xf numFmtId="0" fontId="0" fillId="0" borderId="9" xfId="0" applyBorder="1"/>
    <xf numFmtId="0" fontId="6" fillId="0" borderId="10" xfId="0" applyFont="1" applyBorder="1"/>
    <xf numFmtId="0" fontId="4" fillId="0" borderId="0" xfId="0" applyFont="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8" xfId="0" applyBorder="1"/>
    <xf numFmtId="0" fontId="0" fillId="0" borderId="1" xfId="0" applyBorder="1"/>
    <xf numFmtId="0" fontId="0" fillId="0" borderId="20" xfId="0" applyBorder="1"/>
    <xf numFmtId="0" fontId="0" fillId="0" borderId="21" xfId="0" applyBorder="1"/>
    <xf numFmtId="171" fontId="0" fillId="0" borderId="17" xfId="0" applyNumberFormat="1" applyBorder="1"/>
    <xf numFmtId="49" fontId="0" fillId="0" borderId="0" xfId="0" applyNumberFormat="1"/>
    <xf numFmtId="171" fontId="0" fillId="0" borderId="0" xfId="0" applyNumberFormat="1"/>
    <xf numFmtId="171" fontId="0" fillId="0" borderId="1" xfId="0" applyNumberFormat="1" applyBorder="1"/>
    <xf numFmtId="171" fontId="0" fillId="0" borderId="15" xfId="0" applyNumberFormat="1" applyBorder="1"/>
    <xf numFmtId="4" fontId="0" fillId="0" borderId="0" xfId="0" applyNumberFormat="1"/>
    <xf numFmtId="168" fontId="0" fillId="0" borderId="0" xfId="0" applyNumberFormat="1"/>
    <xf numFmtId="3" fontId="0" fillId="0" borderId="17" xfId="0" applyNumberFormat="1" applyBorder="1"/>
    <xf numFmtId="3" fontId="0" fillId="0" borderId="0" xfId="0" applyNumberFormat="1"/>
    <xf numFmtId="0" fontId="0" fillId="0" borderId="23" xfId="0" applyBorder="1"/>
    <xf numFmtId="0" fontId="0" fillId="0" borderId="24" xfId="0" applyBorder="1"/>
    <xf numFmtId="0" fontId="0" fillId="0" borderId="25" xfId="0" applyBorder="1"/>
    <xf numFmtId="0" fontId="6" fillId="0" borderId="25" xfId="0" applyFont="1" applyBorder="1" applyAlignment="1">
      <alignment horizontal="right"/>
    </xf>
    <xf numFmtId="0" fontId="0" fillId="2" borderId="0" xfId="0" applyFill="1"/>
    <xf numFmtId="0" fontId="6" fillId="2" borderId="0" xfId="0" applyFont="1" applyFill="1"/>
    <xf numFmtId="0" fontId="0" fillId="2" borderId="2" xfId="0" applyFill="1" applyBorder="1"/>
    <xf numFmtId="3" fontId="0" fillId="2" borderId="0" xfId="0" applyNumberFormat="1" applyFill="1"/>
    <xf numFmtId="3" fontId="6" fillId="0" borderId="21" xfId="0" applyNumberFormat="1" applyFont="1" applyBorder="1"/>
    <xf numFmtId="3" fontId="6" fillId="0" borderId="22" xfId="0" applyNumberFormat="1" applyFont="1" applyBorder="1"/>
    <xf numFmtId="0" fontId="6" fillId="0" borderId="26" xfId="0" applyFont="1" applyBorder="1" applyAlignment="1">
      <alignment horizontal="right"/>
    </xf>
    <xf numFmtId="2" fontId="4" fillId="0" borderId="0" xfId="0" applyNumberFormat="1" applyFont="1"/>
    <xf numFmtId="171" fontId="0" fillId="0" borderId="19" xfId="0" applyNumberFormat="1" applyBorder="1"/>
    <xf numFmtId="171" fontId="6" fillId="0" borderId="21" xfId="0" applyNumberFormat="1" applyFont="1" applyBorder="1"/>
    <xf numFmtId="171" fontId="6" fillId="0" borderId="22" xfId="0" applyNumberFormat="1" applyFont="1" applyBorder="1"/>
    <xf numFmtId="171" fontId="6" fillId="0" borderId="1" xfId="0" applyNumberFormat="1" applyFont="1" applyBorder="1"/>
    <xf numFmtId="171" fontId="6" fillId="0" borderId="19" xfId="0" applyNumberFormat="1" applyFont="1" applyBorder="1"/>
    <xf numFmtId="171" fontId="0" fillId="0" borderId="16" xfId="0" applyNumberFormat="1" applyBorder="1"/>
    <xf numFmtId="168" fontId="0" fillId="0" borderId="21" xfId="0" applyNumberFormat="1" applyBorder="1"/>
    <xf numFmtId="49" fontId="16" fillId="0" borderId="0" xfId="0" applyNumberFormat="1" applyFont="1"/>
    <xf numFmtId="49" fontId="0" fillId="0" borderId="27" xfId="0" applyNumberFormat="1" applyBorder="1"/>
    <xf numFmtId="4" fontId="0" fillId="2" borderId="0" xfId="0" applyNumberFormat="1" applyFill="1"/>
    <xf numFmtId="2" fontId="0" fillId="0" borderId="17" xfId="0" applyNumberFormat="1" applyBorder="1"/>
    <xf numFmtId="2" fontId="0" fillId="0" borderId="15" xfId="0" applyNumberFormat="1" applyBorder="1"/>
    <xf numFmtId="2" fontId="0" fillId="0" borderId="16" xfId="0" applyNumberFormat="1" applyBorder="1"/>
    <xf numFmtId="2" fontId="0" fillId="0" borderId="1" xfId="0" applyNumberFormat="1" applyBorder="1"/>
    <xf numFmtId="0" fontId="0" fillId="2" borderId="5" xfId="0" applyFill="1" applyBorder="1"/>
    <xf numFmtId="49" fontId="0" fillId="0" borderId="1" xfId="0" applyNumberFormat="1" applyBorder="1"/>
    <xf numFmtId="171" fontId="0" fillId="0" borderId="2" xfId="0" applyNumberFormat="1" applyBorder="1"/>
    <xf numFmtId="3" fontId="0" fillId="0" borderId="11" xfId="0" applyNumberFormat="1" applyBorder="1"/>
    <xf numFmtId="3" fontId="0" fillId="0" borderId="14" xfId="0" applyNumberFormat="1" applyBorder="1"/>
    <xf numFmtId="3" fontId="0" fillId="0" borderId="16" xfId="0" applyNumberFormat="1" applyBorder="1"/>
    <xf numFmtId="3" fontId="0" fillId="0" borderId="18" xfId="0" applyNumberFormat="1" applyBorder="1"/>
    <xf numFmtId="171" fontId="0" fillId="0" borderId="7" xfId="0" applyNumberFormat="1" applyBorder="1"/>
    <xf numFmtId="4" fontId="6" fillId="2" borderId="0" xfId="0" applyNumberFormat="1" applyFont="1" applyFill="1"/>
    <xf numFmtId="4" fontId="6" fillId="2" borderId="21" xfId="0" applyNumberFormat="1" applyFont="1" applyFill="1" applyBorder="1"/>
    <xf numFmtId="0" fontId="26" fillId="2" borderId="0" xfId="0" applyFont="1" applyFill="1"/>
    <xf numFmtId="0" fontId="27" fillId="2" borderId="0" xfId="0" applyFont="1" applyFill="1"/>
    <xf numFmtId="171" fontId="27" fillId="2" borderId="0" xfId="0" applyNumberFormat="1" applyFont="1" applyFill="1"/>
    <xf numFmtId="171" fontId="27" fillId="0" borderId="2" xfId="0" applyNumberFormat="1" applyFont="1" applyBorder="1"/>
    <xf numFmtId="0" fontId="4" fillId="0" borderId="3" xfId="0" applyFont="1" applyBorder="1"/>
    <xf numFmtId="3" fontId="0" fillId="0" borderId="19" xfId="0" applyNumberFormat="1" applyBorder="1"/>
    <xf numFmtId="0" fontId="30" fillId="2" borderId="0" xfId="0" applyFont="1" applyFill="1"/>
    <xf numFmtId="0" fontId="29" fillId="2" borderId="0" xfId="0" applyFont="1" applyFill="1"/>
    <xf numFmtId="0" fontId="0" fillId="0" borderId="11" xfId="0" applyBorder="1" applyAlignment="1">
      <alignment horizontal="left"/>
    </xf>
    <xf numFmtId="0" fontId="6" fillId="0" borderId="18" xfId="0" applyFont="1" applyBorder="1"/>
    <xf numFmtId="0" fontId="9" fillId="0" borderId="0" xfId="0" applyFont="1" applyAlignment="1">
      <alignment horizontal="center" vertical="center"/>
    </xf>
    <xf numFmtId="0" fontId="9" fillId="0" borderId="0" xfId="0" applyFont="1" applyAlignment="1">
      <alignment horizontal="center"/>
    </xf>
    <xf numFmtId="2" fontId="9" fillId="0" borderId="1" xfId="0" applyNumberFormat="1" applyFont="1" applyBorder="1" applyAlignment="1">
      <alignment horizontal="center" vertical="center"/>
    </xf>
    <xf numFmtId="2" fontId="0" fillId="0" borderId="19" xfId="0" applyNumberFormat="1" applyBorder="1"/>
    <xf numFmtId="49" fontId="0" fillId="0" borderId="14" xfId="0" applyNumberFormat="1" applyBorder="1"/>
    <xf numFmtId="49" fontId="0" fillId="0" borderId="15" xfId="0" applyNumberFormat="1" applyBorder="1"/>
    <xf numFmtId="49" fontId="0" fillId="0" borderId="11" xfId="0" applyNumberFormat="1" applyBorder="1"/>
    <xf numFmtId="49" fontId="0" fillId="0" borderId="18" xfId="0" applyNumberFormat="1" applyBorder="1"/>
    <xf numFmtId="49" fontId="0" fillId="2" borderId="0" xfId="0" applyNumberFormat="1" applyFill="1"/>
    <xf numFmtId="167" fontId="0" fillId="0" borderId="0" xfId="0" applyNumberFormat="1"/>
    <xf numFmtId="167" fontId="0" fillId="0" borderId="1" xfId="0" applyNumberFormat="1" applyBorder="1"/>
    <xf numFmtId="0" fontId="0" fillId="0" borderId="17" xfId="0" applyBorder="1"/>
    <xf numFmtId="49" fontId="6" fillId="2" borderId="0" xfId="0" applyNumberFormat="1" applyFont="1" applyFill="1"/>
    <xf numFmtId="0" fontId="6" fillId="2" borderId="20" xfId="0" applyFont="1" applyFill="1" applyBorder="1"/>
    <xf numFmtId="0" fontId="6" fillId="3" borderId="25" xfId="0" applyFont="1" applyFill="1" applyBorder="1"/>
    <xf numFmtId="0" fontId="35" fillId="0" borderId="17" xfId="0" applyFont="1" applyBorder="1" applyAlignment="1">
      <alignment horizontal="center"/>
    </xf>
    <xf numFmtId="0" fontId="35" fillId="0" borderId="16" xfId="0" applyFont="1" applyBorder="1" applyAlignment="1">
      <alignment horizontal="center"/>
    </xf>
    <xf numFmtId="0" fontId="35" fillId="0" borderId="19" xfId="0" applyFont="1" applyBorder="1" applyAlignment="1">
      <alignment horizontal="center"/>
    </xf>
    <xf numFmtId="0" fontId="8" fillId="2" borderId="0" xfId="0" applyFont="1" applyFill="1"/>
    <xf numFmtId="0" fontId="37" fillId="2" borderId="0" xfId="0" applyFont="1" applyFill="1"/>
    <xf numFmtId="49" fontId="8" fillId="0" borderId="11" xfId="0" applyNumberFormat="1" applyFont="1" applyBorder="1"/>
    <xf numFmtId="49" fontId="6" fillId="0" borderId="11" xfId="0" applyNumberFormat="1" applyFont="1" applyBorder="1"/>
    <xf numFmtId="0" fontId="0" fillId="0" borderId="10" xfId="0" applyBorder="1"/>
    <xf numFmtId="0" fontId="4" fillId="2" borderId="0" xfId="0" applyFont="1" applyFill="1" applyAlignment="1">
      <alignment horizontal="center"/>
    </xf>
    <xf numFmtId="49" fontId="16" fillId="0" borderId="18" xfId="0" applyNumberFormat="1" applyFont="1" applyBorder="1"/>
    <xf numFmtId="49" fontId="16" fillId="0" borderId="1" xfId="0" applyNumberFormat="1" applyFont="1" applyBorder="1"/>
    <xf numFmtId="49" fontId="15" fillId="2" borderId="0" xfId="0" applyNumberFormat="1" applyFont="1" applyFill="1"/>
    <xf numFmtId="0" fontId="16" fillId="2" borderId="0" xfId="0" applyFont="1" applyFill="1"/>
    <xf numFmtId="171" fontId="0" fillId="4" borderId="0" xfId="0" applyNumberFormat="1" applyFill="1"/>
    <xf numFmtId="171" fontId="16" fillId="0" borderId="1" xfId="0" applyNumberFormat="1" applyFont="1" applyBorder="1"/>
    <xf numFmtId="171" fontId="16" fillId="0" borderId="19" xfId="0" applyNumberFormat="1" applyFont="1" applyBorder="1"/>
    <xf numFmtId="2" fontId="4" fillId="0" borderId="15" xfId="0" applyNumberFormat="1" applyFont="1" applyBorder="1"/>
    <xf numFmtId="0" fontId="16" fillId="0" borderId="11" xfId="0" applyFont="1" applyBorder="1" applyAlignment="1">
      <alignment horizontal="right"/>
    </xf>
    <xf numFmtId="0" fontId="16" fillId="0" borderId="0" xfId="0" applyFont="1"/>
    <xf numFmtId="49" fontId="8" fillId="0" borderId="0" xfId="0" applyNumberFormat="1" applyFont="1"/>
    <xf numFmtId="0" fontId="24" fillId="0" borderId="18" xfId="0" applyFont="1" applyBorder="1"/>
    <xf numFmtId="49" fontId="6" fillId="0" borderId="1" xfId="0" applyNumberFormat="1" applyFont="1" applyBorder="1"/>
    <xf numFmtId="0" fontId="24" fillId="0" borderId="1" xfId="0" applyFont="1" applyBorder="1"/>
    <xf numFmtId="49" fontId="35" fillId="0" borderId="0" xfId="0" applyNumberFormat="1" applyFont="1" applyAlignment="1">
      <alignment horizontal="center"/>
    </xf>
    <xf numFmtId="49" fontId="0" fillId="2" borderId="27" xfId="0" applyNumberFormat="1" applyFill="1" applyBorder="1"/>
    <xf numFmtId="49" fontId="6" fillId="5" borderId="14" xfId="0" applyNumberFormat="1" applyFont="1" applyFill="1" applyBorder="1" applyAlignment="1">
      <alignment horizontal="center"/>
    </xf>
    <xf numFmtId="49" fontId="6" fillId="5" borderId="15" xfId="0" applyNumberFormat="1" applyFont="1" applyFill="1" applyBorder="1" applyAlignment="1">
      <alignment horizontal="center"/>
    </xf>
    <xf numFmtId="0" fontId="0" fillId="2" borderId="0" xfId="0" applyFill="1" applyAlignment="1">
      <alignment horizontal="center"/>
    </xf>
    <xf numFmtId="167" fontId="0" fillId="0" borderId="16" xfId="0" applyNumberFormat="1" applyBorder="1"/>
    <xf numFmtId="49" fontId="16" fillId="0" borderId="11" xfId="0" applyNumberFormat="1" applyFont="1" applyBorder="1"/>
    <xf numFmtId="0" fontId="16" fillId="0" borderId="1" xfId="0" applyFont="1" applyBorder="1"/>
    <xf numFmtId="0" fontId="16" fillId="0" borderId="11" xfId="0" applyFont="1" applyBorder="1"/>
    <xf numFmtId="171" fontId="0" fillId="2" borderId="0" xfId="0" applyNumberFormat="1" applyFill="1"/>
    <xf numFmtId="0" fontId="6" fillId="2" borderId="2" xfId="0" applyFont="1" applyFill="1" applyBorder="1"/>
    <xf numFmtId="3" fontId="35" fillId="4" borderId="17" xfId="0" applyNumberFormat="1" applyFont="1" applyFill="1" applyBorder="1"/>
    <xf numFmtId="3" fontId="35" fillId="4" borderId="19" xfId="0" applyNumberFormat="1" applyFont="1" applyFill="1" applyBorder="1"/>
    <xf numFmtId="2" fontId="35" fillId="4" borderId="17" xfId="0" applyNumberFormat="1" applyFont="1" applyFill="1" applyBorder="1"/>
    <xf numFmtId="2" fontId="35" fillId="4" borderId="19" xfId="0" applyNumberFormat="1" applyFont="1" applyFill="1" applyBorder="1"/>
    <xf numFmtId="0" fontId="35" fillId="0" borderId="15" xfId="0" applyFont="1" applyBorder="1" applyAlignment="1">
      <alignment horizontal="center"/>
    </xf>
    <xf numFmtId="0" fontId="35" fillId="0" borderId="0" xfId="0" applyFont="1" applyAlignment="1">
      <alignment horizontal="center"/>
    </xf>
    <xf numFmtId="0" fontId="35" fillId="0" borderId="1" xfId="0" applyFont="1" applyBorder="1" applyAlignment="1">
      <alignment horizontal="center"/>
    </xf>
    <xf numFmtId="3" fontId="0" fillId="0" borderId="21" xfId="0" applyNumberFormat="1" applyBorder="1"/>
    <xf numFmtId="2" fontId="0" fillId="0" borderId="21" xfId="0" applyNumberFormat="1" applyBorder="1"/>
    <xf numFmtId="3" fontId="0" fillId="0" borderId="22" xfId="0" applyNumberFormat="1" applyBorder="1"/>
    <xf numFmtId="0" fontId="0" fillId="0" borderId="14" xfId="0" applyBorder="1" applyAlignment="1">
      <alignment horizontal="left"/>
    </xf>
    <xf numFmtId="0" fontId="0" fillId="0" borderId="18" xfId="0" applyBorder="1" applyAlignment="1">
      <alignment horizontal="left"/>
    </xf>
    <xf numFmtId="168" fontId="0" fillId="0" borderId="1" xfId="0" applyNumberFormat="1" applyBorder="1"/>
    <xf numFmtId="0" fontId="0" fillId="6" borderId="11" xfId="0" applyFill="1" applyBorder="1"/>
    <xf numFmtId="0" fontId="0" fillId="6" borderId="0" xfId="0" applyFill="1"/>
    <xf numFmtId="3" fontId="0" fillId="6" borderId="17" xfId="0" applyNumberFormat="1" applyFill="1" applyBorder="1"/>
    <xf numFmtId="0" fontId="0" fillId="2" borderId="28" xfId="0" applyFill="1" applyBorder="1" applyAlignment="1">
      <alignment vertical="top" wrapText="1"/>
    </xf>
    <xf numFmtId="0" fontId="0" fillId="2" borderId="0" xfId="0" applyFill="1" applyAlignment="1">
      <alignment vertical="top" wrapText="1"/>
    </xf>
    <xf numFmtId="0" fontId="0" fillId="2" borderId="6" xfId="0" applyFill="1" applyBorder="1"/>
    <xf numFmtId="0" fontId="31" fillId="7" borderId="15" xfId="0" applyFont="1" applyFill="1" applyBorder="1" applyAlignment="1">
      <alignment horizontal="center"/>
    </xf>
    <xf numFmtId="2" fontId="32" fillId="7" borderId="18" xfId="0" applyNumberFormat="1" applyFont="1" applyFill="1" applyBorder="1" applyAlignment="1">
      <alignment horizontal="center"/>
    </xf>
    <xf numFmtId="2" fontId="32" fillId="7" borderId="1" xfId="0" applyNumberFormat="1" applyFont="1" applyFill="1" applyBorder="1" applyAlignment="1">
      <alignment horizontal="center"/>
    </xf>
    <xf numFmtId="0" fontId="32" fillId="7" borderId="1" xfId="0" applyFont="1" applyFill="1" applyBorder="1" applyAlignment="1">
      <alignment horizontal="center"/>
    </xf>
    <xf numFmtId="3" fontId="32" fillId="7" borderId="19" xfId="0" applyNumberFormat="1" applyFont="1" applyFill="1" applyBorder="1" applyAlignment="1">
      <alignment horizontal="center"/>
    </xf>
    <xf numFmtId="0" fontId="32" fillId="7" borderId="19" xfId="0" applyFont="1" applyFill="1" applyBorder="1" applyAlignment="1">
      <alignment horizontal="center"/>
    </xf>
    <xf numFmtId="0" fontId="21" fillId="7" borderId="15" xfId="0" applyFont="1" applyFill="1" applyBorder="1" applyAlignment="1">
      <alignment horizontal="center"/>
    </xf>
    <xf numFmtId="0" fontId="0" fillId="8" borderId="11" xfId="0" applyFill="1" applyBorder="1"/>
    <xf numFmtId="2" fontId="0" fillId="8" borderId="0" xfId="0" applyNumberFormat="1" applyFill="1"/>
    <xf numFmtId="0" fontId="4" fillId="2" borderId="0" xfId="0" applyFont="1" applyFill="1"/>
    <xf numFmtId="0" fontId="39" fillId="2" borderId="0" xfId="0" applyFont="1" applyFill="1"/>
    <xf numFmtId="171" fontId="39" fillId="2" borderId="0" xfId="0" applyNumberFormat="1" applyFont="1" applyFill="1"/>
    <xf numFmtId="171" fontId="39" fillId="0" borderId="2" xfId="0" applyNumberFormat="1" applyFont="1" applyBorder="1"/>
    <xf numFmtId="0" fontId="21" fillId="10" borderId="24" xfId="0" applyFont="1" applyFill="1" applyBorder="1" applyAlignment="1">
      <alignment horizontal="center"/>
    </xf>
    <xf numFmtId="2" fontId="32" fillId="10" borderId="3" xfId="0" applyNumberFormat="1" applyFont="1" applyFill="1" applyBorder="1" applyAlignment="1">
      <alignment horizontal="center"/>
    </xf>
    <xf numFmtId="0" fontId="19" fillId="10" borderId="18" xfId="0" applyFont="1" applyFill="1" applyBorder="1"/>
    <xf numFmtId="0" fontId="20" fillId="10" borderId="19" xfId="0" applyFont="1" applyFill="1" applyBorder="1" applyAlignment="1">
      <alignment horizontal="center"/>
    </xf>
    <xf numFmtId="174" fontId="0" fillId="0" borderId="17" xfId="0" applyNumberFormat="1" applyBorder="1"/>
    <xf numFmtId="174" fontId="0" fillId="0" borderId="19" xfId="0" applyNumberFormat="1" applyBorder="1"/>
    <xf numFmtId="173" fontId="0" fillId="0" borderId="0" xfId="0" applyNumberFormat="1"/>
    <xf numFmtId="173" fontId="4" fillId="0" borderId="0" xfId="0" applyNumberFormat="1" applyFont="1"/>
    <xf numFmtId="0" fontId="4" fillId="0" borderId="24" xfId="0" applyFont="1" applyBorder="1"/>
    <xf numFmtId="171" fontId="6" fillId="2" borderId="0" xfId="0" applyNumberFormat="1" applyFont="1" applyFill="1" applyAlignment="1">
      <alignment horizontal="center"/>
    </xf>
    <xf numFmtId="171" fontId="35" fillId="2" borderId="0" xfId="0" applyNumberFormat="1" applyFont="1" applyFill="1" applyAlignment="1">
      <alignment horizontal="center"/>
    </xf>
    <xf numFmtId="3" fontId="4" fillId="0" borderId="11" xfId="0" applyNumberFormat="1" applyFont="1" applyBorder="1"/>
    <xf numFmtId="0" fontId="19" fillId="10" borderId="14" xfId="0" applyFont="1" applyFill="1" applyBorder="1"/>
    <xf numFmtId="0" fontId="19" fillId="10" borderId="16" xfId="0" applyFont="1" applyFill="1" applyBorder="1"/>
    <xf numFmtId="0" fontId="19" fillId="10" borderId="19" xfId="0" applyFont="1" applyFill="1" applyBorder="1"/>
    <xf numFmtId="0" fontId="20" fillId="10" borderId="18" xfId="0" applyFont="1" applyFill="1" applyBorder="1" applyAlignment="1">
      <alignment horizontal="center"/>
    </xf>
    <xf numFmtId="0" fontId="20" fillId="10" borderId="1" xfId="0" applyFont="1" applyFill="1" applyBorder="1" applyAlignment="1">
      <alignment horizontal="center"/>
    </xf>
    <xf numFmtId="0" fontId="21" fillId="10" borderId="14" xfId="0" applyFont="1" applyFill="1" applyBorder="1" applyAlignment="1">
      <alignment horizontal="center"/>
    </xf>
    <xf numFmtId="2" fontId="32" fillId="10" borderId="11" xfId="0" applyNumberFormat="1" applyFont="1" applyFill="1" applyBorder="1" applyAlignment="1">
      <alignment horizontal="center"/>
    </xf>
    <xf numFmtId="0" fontId="21" fillId="7" borderId="14" xfId="0" applyFont="1" applyFill="1" applyBorder="1" applyAlignment="1">
      <alignment horizontal="center"/>
    </xf>
    <xf numFmtId="171" fontId="0" fillId="4" borderId="1" xfId="0" applyNumberFormat="1" applyFill="1" applyBorder="1"/>
    <xf numFmtId="171" fontId="0" fillId="4" borderId="17" xfId="0" applyNumberFormat="1" applyFill="1" applyBorder="1"/>
    <xf numFmtId="175" fontId="0" fillId="0" borderId="15" xfId="0" applyNumberFormat="1" applyBorder="1"/>
    <xf numFmtId="175" fontId="0" fillId="0" borderId="0" xfId="0" applyNumberFormat="1"/>
    <xf numFmtId="175" fontId="0" fillId="0" borderId="1" xfId="0" applyNumberFormat="1" applyBorder="1"/>
    <xf numFmtId="0" fontId="6" fillId="0" borderId="20" xfId="0" applyFont="1" applyBorder="1"/>
    <xf numFmtId="167" fontId="0" fillId="8" borderId="0" xfId="0" applyNumberFormat="1" applyFill="1"/>
    <xf numFmtId="2" fontId="43" fillId="11" borderId="0" xfId="0" applyNumberFormat="1" applyFont="1" applyFill="1"/>
    <xf numFmtId="171" fontId="0" fillId="8" borderId="0" xfId="0" applyNumberFormat="1" applyFill="1"/>
    <xf numFmtId="171" fontId="0" fillId="11" borderId="0" xfId="0" applyNumberFormat="1" applyFill="1"/>
    <xf numFmtId="171" fontId="0" fillId="4" borderId="19" xfId="0" applyNumberFormat="1" applyFill="1" applyBorder="1"/>
    <xf numFmtId="49" fontId="35" fillId="0" borderId="15" xfId="0" applyNumberFormat="1" applyFont="1" applyBorder="1" applyAlignment="1">
      <alignment horizontal="center"/>
    </xf>
    <xf numFmtId="49" fontId="35" fillId="0" borderId="1" xfId="0" applyNumberFormat="1" applyFont="1" applyBorder="1" applyAlignment="1">
      <alignment horizontal="center"/>
    </xf>
    <xf numFmtId="0" fontId="6" fillId="12" borderId="0" xfId="0" applyFont="1" applyFill="1"/>
    <xf numFmtId="49" fontId="0" fillId="12" borderId="0" xfId="0" applyNumberFormat="1" applyFill="1"/>
    <xf numFmtId="178" fontId="0" fillId="2" borderId="0" xfId="0" applyNumberFormat="1" applyFill="1"/>
    <xf numFmtId="2" fontId="0" fillId="0" borderId="14" xfId="0" applyNumberFormat="1" applyBorder="1"/>
    <xf numFmtId="2" fontId="0" fillId="0" borderId="11" xfId="0" applyNumberFormat="1" applyBorder="1"/>
    <xf numFmtId="2" fontId="16" fillId="0" borderId="11" xfId="0" applyNumberFormat="1" applyFont="1" applyBorder="1"/>
    <xf numFmtId="2" fontId="16" fillId="0" borderId="0" xfId="0" applyNumberFormat="1" applyFont="1"/>
    <xf numFmtId="2" fontId="16" fillId="0" borderId="17" xfId="0" applyNumberFormat="1" applyFont="1" applyBorder="1"/>
    <xf numFmtId="2" fontId="16" fillId="0" borderId="18" xfId="0" applyNumberFormat="1" applyFont="1" applyBorder="1"/>
    <xf numFmtId="2" fontId="16" fillId="0" borderId="1" xfId="0" applyNumberFormat="1" applyFont="1" applyBorder="1"/>
    <xf numFmtId="2" fontId="16" fillId="0" borderId="19" xfId="0" applyNumberFormat="1" applyFont="1" applyBorder="1"/>
    <xf numFmtId="49" fontId="16" fillId="0" borderId="11" xfId="0" applyNumberFormat="1" applyFont="1" applyBorder="1" applyAlignment="1">
      <alignment horizontal="left"/>
    </xf>
    <xf numFmtId="49" fontId="16" fillId="0" borderId="18" xfId="0" applyNumberFormat="1" applyFont="1" applyBorder="1" applyAlignment="1">
      <alignment horizontal="left"/>
    </xf>
    <xf numFmtId="172" fontId="0" fillId="0" borderId="1" xfId="0" applyNumberFormat="1" applyBorder="1"/>
    <xf numFmtId="0" fontId="0" fillId="0" borderId="19" xfId="0" applyBorder="1"/>
    <xf numFmtId="1" fontId="0" fillId="2" borderId="0" xfId="0" applyNumberFormat="1" applyFill="1"/>
    <xf numFmtId="177" fontId="0" fillId="2" borderId="0" xfId="0" applyNumberFormat="1" applyFill="1"/>
    <xf numFmtId="177" fontId="0" fillId="0" borderId="0" xfId="0" applyNumberFormat="1"/>
    <xf numFmtId="0" fontId="4" fillId="0" borderId="11" xfId="0" applyFont="1" applyBorder="1"/>
    <xf numFmtId="171" fontId="0" fillId="14" borderId="19" xfId="0" applyNumberFormat="1" applyFill="1" applyBorder="1"/>
    <xf numFmtId="3" fontId="0" fillId="0" borderId="0" xfId="0" applyNumberFormat="1" applyAlignment="1">
      <alignment horizontal="center"/>
    </xf>
    <xf numFmtId="176" fontId="0" fillId="0" borderId="0" xfId="0" applyNumberFormat="1" applyAlignment="1">
      <alignment horizontal="center"/>
    </xf>
    <xf numFmtId="2" fontId="0" fillId="0" borderId="17" xfId="0" applyNumberFormat="1" applyBorder="1" applyAlignment="1">
      <alignment horizontal="center"/>
    </xf>
    <xf numFmtId="3" fontId="0" fillId="0" borderId="1" xfId="0" applyNumberFormat="1" applyBorder="1" applyAlignment="1">
      <alignment horizontal="center"/>
    </xf>
    <xf numFmtId="176" fontId="0" fillId="0" borderId="1" xfId="0" applyNumberFormat="1" applyBorder="1" applyAlignment="1">
      <alignment horizontal="center"/>
    </xf>
    <xf numFmtId="0" fontId="21" fillId="7" borderId="16" xfId="0" applyFont="1" applyFill="1" applyBorder="1" applyAlignment="1">
      <alignment horizontal="center"/>
    </xf>
    <xf numFmtId="167" fontId="0" fillId="0" borderId="24" xfId="0" applyNumberFormat="1" applyBorder="1"/>
    <xf numFmtId="167" fontId="0" fillId="0" borderId="3" xfId="0" applyNumberFormat="1" applyBorder="1"/>
    <xf numFmtId="167" fontId="43" fillId="11" borderId="3" xfId="0" applyNumberFormat="1" applyFont="1" applyFill="1" applyBorder="1"/>
    <xf numFmtId="167" fontId="0" fillId="0" borderId="25" xfId="0" applyNumberFormat="1" applyBorder="1"/>
    <xf numFmtId="2" fontId="0" fillId="0" borderId="3" xfId="0" applyNumberFormat="1" applyBorder="1"/>
    <xf numFmtId="2" fontId="0" fillId="11" borderId="3" xfId="0" applyNumberFormat="1" applyFill="1" applyBorder="1"/>
    <xf numFmtId="2" fontId="0" fillId="0" borderId="25" xfId="0" applyNumberFormat="1" applyBorder="1"/>
    <xf numFmtId="0" fontId="0" fillId="11" borderId="0" xfId="0" applyFill="1"/>
    <xf numFmtId="2" fontId="0" fillId="0" borderId="24" xfId="0" applyNumberFormat="1" applyBorder="1"/>
    <xf numFmtId="2" fontId="0" fillId="0" borderId="18" xfId="0" applyNumberFormat="1" applyBorder="1"/>
    <xf numFmtId="0" fontId="4" fillId="0" borderId="1" xfId="0" applyFont="1" applyBorder="1"/>
    <xf numFmtId="0" fontId="6" fillId="0" borderId="11" xfId="0" applyFont="1" applyBorder="1"/>
    <xf numFmtId="49" fontId="6" fillId="13" borderId="15" xfId="0" applyNumberFormat="1" applyFont="1" applyFill="1" applyBorder="1" applyAlignment="1">
      <alignment horizontal="center"/>
    </xf>
    <xf numFmtId="49" fontId="6" fillId="13" borderId="16" xfId="0" applyNumberFormat="1" applyFont="1" applyFill="1" applyBorder="1" applyAlignment="1">
      <alignment horizontal="center"/>
    </xf>
    <xf numFmtId="171" fontId="0" fillId="0" borderId="21" xfId="0" applyNumberFormat="1" applyBorder="1"/>
    <xf numFmtId="1" fontId="0" fillId="0" borderId="0" xfId="0" applyNumberFormat="1"/>
    <xf numFmtId="1" fontId="0" fillId="0" borderId="15" xfId="0" applyNumberFormat="1" applyBorder="1"/>
    <xf numFmtId="1" fontId="0" fillId="0" borderId="1" xfId="0" applyNumberFormat="1" applyBorder="1"/>
    <xf numFmtId="0" fontId="6" fillId="13" borderId="15" xfId="0" applyFont="1" applyFill="1" applyBorder="1" applyAlignment="1">
      <alignment horizontal="center"/>
    </xf>
    <xf numFmtId="0" fontId="6" fillId="13" borderId="1" xfId="0" applyFont="1" applyFill="1" applyBorder="1" applyAlignment="1">
      <alignment horizontal="center"/>
    </xf>
    <xf numFmtId="0" fontId="45" fillId="2" borderId="0" xfId="0" applyFont="1" applyFill="1"/>
    <xf numFmtId="0" fontId="4" fillId="15" borderId="0" xfId="0" applyFont="1" applyFill="1"/>
    <xf numFmtId="0" fontId="4" fillId="5" borderId="0" xfId="0" applyFont="1" applyFill="1"/>
    <xf numFmtId="0" fontId="4" fillId="16" borderId="0" xfId="0" applyFont="1" applyFill="1"/>
    <xf numFmtId="2" fontId="9" fillId="0" borderId="15" xfId="0" applyNumberFormat="1" applyFont="1" applyBorder="1" applyAlignment="1">
      <alignment horizontal="center" vertical="center"/>
    </xf>
    <xf numFmtId="171" fontId="0" fillId="0" borderId="19" xfId="0" applyNumberFormat="1" applyBorder="1" applyAlignment="1">
      <alignment horizontal="center"/>
    </xf>
    <xf numFmtId="0" fontId="4" fillId="0" borderId="14" xfId="0" applyFont="1" applyBorder="1"/>
    <xf numFmtId="0" fontId="4" fillId="0" borderId="18" xfId="0" applyFont="1" applyBorder="1"/>
    <xf numFmtId="167" fontId="0" fillId="0" borderId="19" xfId="0" applyNumberFormat="1" applyBorder="1"/>
    <xf numFmtId="0" fontId="0" fillId="0" borderId="16" xfId="0" applyBorder="1"/>
    <xf numFmtId="0" fontId="6" fillId="0" borderId="14" xfId="0" applyFont="1" applyBorder="1"/>
    <xf numFmtId="2" fontId="0" fillId="25" borderId="0" xfId="0" applyNumberFormat="1" applyFill="1"/>
    <xf numFmtId="3" fontId="0" fillId="25" borderId="0" xfId="0" applyNumberFormat="1" applyFill="1"/>
    <xf numFmtId="168" fontId="0" fillId="25" borderId="0" xfId="0" applyNumberFormat="1" applyFill="1"/>
    <xf numFmtId="0" fontId="21" fillId="25" borderId="0" xfId="0" applyFont="1" applyFill="1" applyAlignment="1">
      <alignment horizontal="center"/>
    </xf>
    <xf numFmtId="0" fontId="0" fillId="25" borderId="0" xfId="0" applyFill="1"/>
    <xf numFmtId="0" fontId="32" fillId="25" borderId="0" xfId="0" applyFont="1" applyFill="1" applyAlignment="1">
      <alignment horizontal="center"/>
    </xf>
    <xf numFmtId="176" fontId="0" fillId="0" borderId="15" xfId="0" applyNumberFormat="1" applyBorder="1"/>
    <xf numFmtId="176" fontId="0" fillId="0" borderId="0" xfId="0" applyNumberFormat="1"/>
    <xf numFmtId="176" fontId="0" fillId="0" borderId="1" xfId="0" applyNumberFormat="1" applyBorder="1"/>
    <xf numFmtId="11" fontId="0" fillId="0" borderId="15" xfId="0" applyNumberFormat="1" applyBorder="1"/>
    <xf numFmtId="11" fontId="0" fillId="0" borderId="0" xfId="0" applyNumberFormat="1"/>
    <xf numFmtId="11" fontId="0" fillId="0" borderId="1" xfId="0" applyNumberFormat="1" applyBorder="1"/>
    <xf numFmtId="0" fontId="56" fillId="0" borderId="2" xfId="0" applyFont="1" applyBorder="1"/>
    <xf numFmtId="0" fontId="4" fillId="0" borderId="2" xfId="0" applyFont="1" applyBorder="1"/>
    <xf numFmtId="3" fontId="4" fillId="0" borderId="2" xfId="0" applyNumberFormat="1" applyFont="1" applyBorder="1"/>
    <xf numFmtId="0" fontId="37" fillId="25" borderId="0" xfId="0" applyFont="1" applyFill="1"/>
    <xf numFmtId="0" fontId="30" fillId="25" borderId="0" xfId="0" applyFont="1" applyFill="1"/>
    <xf numFmtId="0" fontId="6" fillId="25" borderId="0" xfId="0" applyFont="1" applyFill="1"/>
    <xf numFmtId="0" fontId="16" fillId="25" borderId="0" xfId="0" applyFont="1" applyFill="1"/>
    <xf numFmtId="0" fontId="4" fillId="25" borderId="0" xfId="0" applyFont="1" applyFill="1"/>
    <xf numFmtId="0" fontId="46" fillId="25" borderId="0" xfId="0" applyFont="1" applyFill="1"/>
    <xf numFmtId="0" fontId="9" fillId="25" borderId="0" xfId="0" applyFont="1" applyFill="1"/>
    <xf numFmtId="0" fontId="4" fillId="0" borderId="15" xfId="0" applyFont="1" applyBorder="1"/>
    <xf numFmtId="0" fontId="57" fillId="2" borderId="0" xfId="0" applyFont="1" applyFill="1"/>
    <xf numFmtId="0" fontId="0" fillId="17" borderId="0" xfId="0" applyFill="1"/>
    <xf numFmtId="0" fontId="6" fillId="17" borderId="0" xfId="0" applyFont="1" applyFill="1"/>
    <xf numFmtId="0" fontId="6" fillId="2" borderId="0" xfId="0" applyFont="1" applyFill="1" applyAlignment="1">
      <alignment vertical="top"/>
    </xf>
    <xf numFmtId="0" fontId="0" fillId="17" borderId="0" xfId="0" applyFill="1" applyAlignment="1">
      <alignment wrapText="1"/>
    </xf>
    <xf numFmtId="0" fontId="9" fillId="17" borderId="0" xfId="0" applyFont="1" applyFill="1" applyAlignment="1">
      <alignment horizontal="center" wrapText="1"/>
    </xf>
    <xf numFmtId="0" fontId="6" fillId="17" borderId="0" xfId="0" applyFont="1" applyFill="1" applyAlignment="1">
      <alignment wrapText="1"/>
    </xf>
    <xf numFmtId="0" fontId="4" fillId="17" borderId="0" xfId="0" applyFont="1" applyFill="1" applyAlignment="1">
      <alignment wrapText="1"/>
    </xf>
    <xf numFmtId="2" fontId="0" fillId="17" borderId="0" xfId="0" applyNumberFormat="1" applyFill="1"/>
    <xf numFmtId="0" fontId="48" fillId="17" borderId="0" xfId="0" applyFont="1" applyFill="1" applyAlignment="1">
      <alignment horizontal="center" wrapText="1"/>
    </xf>
    <xf numFmtId="0" fontId="58" fillId="0" borderId="11" xfId="0" applyFont="1" applyBorder="1"/>
    <xf numFmtId="2" fontId="58" fillId="0" borderId="17" xfId="0" applyNumberFormat="1" applyFont="1" applyBorder="1"/>
    <xf numFmtId="0" fontId="58" fillId="0" borderId="18" xfId="0" applyFont="1" applyBorder="1"/>
    <xf numFmtId="3" fontId="0" fillId="0" borderId="15" xfId="0" applyNumberFormat="1" applyBorder="1" applyAlignment="1">
      <alignment horizontal="center"/>
    </xf>
    <xf numFmtId="176" fontId="0" fillId="0" borderId="15" xfId="0" applyNumberFormat="1" applyBorder="1" applyAlignment="1">
      <alignment horizontal="center"/>
    </xf>
    <xf numFmtId="0" fontId="6" fillId="13" borderId="16" xfId="0" applyFont="1" applyFill="1" applyBorder="1" applyAlignment="1">
      <alignment horizontal="center"/>
    </xf>
    <xf numFmtId="0" fontId="6" fillId="13" borderId="18" xfId="0" applyFont="1" applyFill="1" applyBorder="1" applyAlignment="1">
      <alignment horizontal="center"/>
    </xf>
    <xf numFmtId="0" fontId="6" fillId="13" borderId="19" xfId="0" applyFont="1" applyFill="1" applyBorder="1" applyAlignment="1">
      <alignment horizontal="center"/>
    </xf>
    <xf numFmtId="49" fontId="4" fillId="0" borderId="11" xfId="0" applyNumberFormat="1" applyFont="1" applyBorder="1"/>
    <xf numFmtId="0" fontId="4" fillId="0" borderId="21" xfId="0" applyFont="1" applyBorder="1"/>
    <xf numFmtId="2" fontId="59" fillId="0" borderId="0" xfId="0" applyNumberFormat="1" applyFont="1"/>
    <xf numFmtId="3" fontId="59" fillId="0" borderId="17" xfId="0" applyNumberFormat="1" applyFont="1" applyBorder="1"/>
    <xf numFmtId="2" fontId="59" fillId="0" borderId="1" xfId="0" applyNumberFormat="1" applyFont="1" applyBorder="1"/>
    <xf numFmtId="3" fontId="59" fillId="0" borderId="19" xfId="0" applyNumberFormat="1" applyFont="1" applyBorder="1"/>
    <xf numFmtId="0" fontId="4" fillId="0" borderId="19" xfId="0" applyFont="1" applyBorder="1" applyAlignment="1">
      <alignment horizontal="center"/>
    </xf>
    <xf numFmtId="0" fontId="4" fillId="0" borderId="17" xfId="0" applyFont="1" applyBorder="1" applyAlignment="1">
      <alignment horizontal="center"/>
    </xf>
    <xf numFmtId="0" fontId="4" fillId="0" borderId="16" xfId="0" applyFont="1" applyBorder="1" applyAlignment="1">
      <alignment horizontal="center"/>
    </xf>
    <xf numFmtId="3" fontId="0" fillId="6" borderId="3" xfId="0" applyNumberFormat="1" applyFill="1" applyBorder="1"/>
    <xf numFmtId="171" fontId="0" fillId="28" borderId="1" xfId="0" applyNumberFormat="1" applyFill="1" applyBorder="1"/>
    <xf numFmtId="49" fontId="16" fillId="0" borderId="20" xfId="0" applyNumberFormat="1" applyFont="1" applyBorder="1"/>
    <xf numFmtId="49" fontId="16" fillId="0" borderId="21" xfId="0" applyNumberFormat="1" applyFont="1" applyBorder="1"/>
    <xf numFmtId="0" fontId="16" fillId="0" borderId="21" xfId="0" applyFont="1" applyBorder="1"/>
    <xf numFmtId="171" fontId="16" fillId="0" borderId="21" xfId="0" applyNumberFormat="1" applyFont="1" applyBorder="1"/>
    <xf numFmtId="171" fontId="16" fillId="0" borderId="22" xfId="0" applyNumberFormat="1" applyFont="1" applyBorder="1"/>
    <xf numFmtId="171" fontId="0" fillId="0" borderId="22" xfId="0" applyNumberFormat="1" applyBorder="1"/>
    <xf numFmtId="0" fontId="0" fillId="0" borderId="0" xfId="0" applyAlignment="1">
      <alignment horizontal="left" indent="4"/>
    </xf>
    <xf numFmtId="0" fontId="0" fillId="0" borderId="0" xfId="0" applyAlignment="1">
      <alignment horizontal="left"/>
    </xf>
    <xf numFmtId="2" fontId="0" fillId="0" borderId="22" xfId="0" applyNumberFormat="1" applyBorder="1"/>
    <xf numFmtId="0" fontId="0" fillId="29" borderId="0" xfId="0" applyFill="1"/>
    <xf numFmtId="0" fontId="0" fillId="30" borderId="0" xfId="0" applyFill="1"/>
    <xf numFmtId="0" fontId="0" fillId="31" borderId="0" xfId="0" applyFill="1"/>
    <xf numFmtId="0" fontId="6" fillId="0" borderId="0" xfId="0" applyFont="1"/>
    <xf numFmtId="0" fontId="4" fillId="30" borderId="0" xfId="0" applyFont="1" applyFill="1"/>
    <xf numFmtId="0" fontId="4" fillId="31" borderId="0" xfId="0" applyFont="1" applyFill="1"/>
    <xf numFmtId="0" fontId="4" fillId="29" borderId="0" xfId="0" applyFont="1" applyFill="1"/>
    <xf numFmtId="0" fontId="0" fillId="33" borderId="0" xfId="0" applyFill="1"/>
    <xf numFmtId="0" fontId="4" fillId="33" borderId="0" xfId="0" applyFont="1" applyFill="1"/>
    <xf numFmtId="0" fontId="29" fillId="33" borderId="0" xfId="0" applyFont="1" applyFill="1"/>
    <xf numFmtId="0" fontId="29" fillId="30" borderId="0" xfId="0" applyFont="1" applyFill="1"/>
    <xf numFmtId="0" fontId="29" fillId="31" borderId="0" xfId="0" applyFont="1" applyFill="1"/>
    <xf numFmtId="0" fontId="29" fillId="34" borderId="0" xfId="0" applyFont="1" applyFill="1"/>
    <xf numFmtId="0" fontId="4" fillId="0" borderId="17" xfId="0" applyFont="1" applyBorder="1"/>
    <xf numFmtId="0" fontId="0" fillId="31" borderId="1" xfId="0" applyFill="1" applyBorder="1"/>
    <xf numFmtId="1" fontId="0" fillId="25" borderId="0" xfId="0" applyNumberFormat="1" applyFill="1"/>
    <xf numFmtId="1" fontId="0" fillId="31" borderId="0" xfId="0" applyNumberFormat="1" applyFill="1"/>
    <xf numFmtId="1" fontId="0" fillId="29" borderId="0" xfId="0" applyNumberFormat="1" applyFill="1"/>
    <xf numFmtId="1" fontId="29" fillId="2" borderId="0" xfId="0" applyNumberFormat="1" applyFont="1" applyFill="1"/>
    <xf numFmtId="1" fontId="0" fillId="30" borderId="15" xfId="0" applyNumberFormat="1" applyFill="1" applyBorder="1"/>
    <xf numFmtId="0" fontId="0" fillId="30" borderId="15" xfId="0" applyFill="1" applyBorder="1"/>
    <xf numFmtId="171" fontId="0" fillId="0" borderId="3" xfId="0" applyNumberFormat="1" applyBorder="1"/>
    <xf numFmtId="171" fontId="0" fillId="31" borderId="0" xfId="0" applyNumberFormat="1" applyFill="1"/>
    <xf numFmtId="171" fontId="0" fillId="31" borderId="17" xfId="0" applyNumberFormat="1" applyFill="1" applyBorder="1"/>
    <xf numFmtId="171" fontId="0" fillId="29" borderId="0" xfId="0" applyNumberFormat="1" applyFill="1"/>
    <xf numFmtId="171" fontId="0" fillId="29" borderId="17" xfId="0" applyNumberFormat="1" applyFill="1" applyBorder="1"/>
    <xf numFmtId="171" fontId="0" fillId="29" borderId="3" xfId="0" applyNumberFormat="1" applyFill="1" applyBorder="1"/>
    <xf numFmtId="171" fontId="4" fillId="0" borderId="0" xfId="0" applyNumberFormat="1" applyFont="1"/>
    <xf numFmtId="171" fontId="0" fillId="30" borderId="15" xfId="0" applyNumberFormat="1" applyFill="1" applyBorder="1"/>
    <xf numFmtId="171" fontId="57" fillId="30" borderId="0" xfId="0" applyNumberFormat="1" applyFont="1" applyFill="1"/>
    <xf numFmtId="171" fontId="0" fillId="31" borderId="1" xfId="0" applyNumberFormat="1" applyFill="1" applyBorder="1"/>
    <xf numFmtId="171" fontId="4" fillId="0" borderId="3" xfId="0" applyNumberFormat="1" applyFont="1" applyBorder="1"/>
    <xf numFmtId="3" fontId="4" fillId="2" borderId="0" xfId="0" applyNumberFormat="1" applyFont="1" applyFill="1"/>
    <xf numFmtId="171" fontId="0" fillId="0" borderId="41" xfId="0" applyNumberFormat="1" applyBorder="1"/>
    <xf numFmtId="171" fontId="0" fillId="0" borderId="42" xfId="0" applyNumberFormat="1" applyBorder="1"/>
    <xf numFmtId="1" fontId="4" fillId="0" borderId="15" xfId="0" applyNumberFormat="1" applyFont="1" applyBorder="1"/>
    <xf numFmtId="2" fontId="0" fillId="0" borderId="42" xfId="0" applyNumberFormat="1" applyBorder="1"/>
    <xf numFmtId="2" fontId="6" fillId="0" borderId="1" xfId="0" applyNumberFormat="1" applyFont="1" applyBorder="1"/>
    <xf numFmtId="1" fontId="16" fillId="0" borderId="0" xfId="0" applyNumberFormat="1" applyFont="1"/>
    <xf numFmtId="179" fontId="0" fillId="0" borderId="15" xfId="0" applyNumberFormat="1" applyBorder="1" applyAlignment="1">
      <alignment horizontal="right"/>
    </xf>
    <xf numFmtId="179" fontId="0" fillId="0" borderId="0" xfId="0" applyNumberFormat="1" applyAlignment="1">
      <alignment horizontal="right"/>
    </xf>
    <xf numFmtId="1" fontId="16" fillId="0" borderId="1" xfId="0" applyNumberFormat="1" applyFont="1" applyBorder="1"/>
    <xf numFmtId="167" fontId="0" fillId="0" borderId="42" xfId="0" applyNumberFormat="1" applyBorder="1"/>
    <xf numFmtId="1" fontId="4" fillId="0" borderId="0" xfId="0" quotePrefix="1" applyNumberFormat="1" applyFont="1"/>
    <xf numFmtId="1" fontId="4" fillId="0" borderId="42" xfId="0" quotePrefix="1" applyNumberFormat="1" applyFont="1" applyBorder="1"/>
    <xf numFmtId="3" fontId="32" fillId="7" borderId="1" xfId="0" applyNumberFormat="1" applyFont="1" applyFill="1" applyBorder="1" applyAlignment="1">
      <alignment horizontal="center"/>
    </xf>
    <xf numFmtId="1" fontId="0" fillId="0" borderId="0" xfId="0" applyNumberFormat="1" applyAlignment="1">
      <alignment horizontal="left" indent="8"/>
    </xf>
    <xf numFmtId="1" fontId="0" fillId="0" borderId="1" xfId="0" applyNumberFormat="1" applyBorder="1" applyAlignment="1">
      <alignment horizontal="left" indent="8"/>
    </xf>
    <xf numFmtId="2" fontId="4" fillId="0" borderId="1" xfId="0" applyNumberFormat="1" applyFont="1" applyBorder="1"/>
    <xf numFmtId="171" fontId="61" fillId="28" borderId="0" xfId="0" applyNumberFormat="1" applyFont="1" applyFill="1"/>
    <xf numFmtId="167" fontId="0" fillId="0" borderId="18" xfId="0" applyNumberFormat="1" applyBorder="1"/>
    <xf numFmtId="3" fontId="6" fillId="0" borderId="16" xfId="0" applyNumberFormat="1" applyFont="1" applyBorder="1"/>
    <xf numFmtId="0" fontId="0" fillId="0" borderId="42" xfId="0" applyBorder="1"/>
    <xf numFmtId="2" fontId="6" fillId="0" borderId="15" xfId="0" applyNumberFormat="1" applyFont="1" applyBorder="1"/>
    <xf numFmtId="3" fontId="6" fillId="0" borderId="41" xfId="0" applyNumberFormat="1" applyFont="1" applyBorder="1"/>
    <xf numFmtId="2" fontId="6" fillId="0" borderId="0" xfId="0" applyNumberFormat="1" applyFont="1"/>
    <xf numFmtId="3" fontId="6" fillId="0" borderId="19" xfId="0" applyNumberFormat="1" applyFont="1" applyBorder="1"/>
    <xf numFmtId="1" fontId="0" fillId="0" borderId="42" xfId="0" applyNumberFormat="1" applyBorder="1"/>
    <xf numFmtId="2" fontId="6" fillId="0" borderId="42" xfId="0" applyNumberFormat="1" applyFont="1" applyBorder="1"/>
    <xf numFmtId="3" fontId="6" fillId="0" borderId="15" xfId="0" applyNumberFormat="1" applyFont="1" applyBorder="1"/>
    <xf numFmtId="3" fontId="6" fillId="0" borderId="17" xfId="0" applyNumberFormat="1" applyFont="1" applyBorder="1"/>
    <xf numFmtId="3" fontId="6" fillId="0" borderId="0" xfId="0" applyNumberFormat="1" applyFont="1"/>
    <xf numFmtId="3" fontId="6" fillId="0" borderId="42" xfId="0" applyNumberFormat="1" applyFont="1" applyBorder="1"/>
    <xf numFmtId="0" fontId="75" fillId="0" borderId="11" xfId="0" applyFont="1" applyBorder="1" applyAlignment="1">
      <alignment horizontal="left" indent="2"/>
    </xf>
    <xf numFmtId="1" fontId="75" fillId="0" borderId="0" xfId="0" applyNumberFormat="1" applyFont="1"/>
    <xf numFmtId="0" fontId="75" fillId="0" borderId="0" xfId="0" applyFont="1" applyAlignment="1">
      <alignment horizontal="center"/>
    </xf>
    <xf numFmtId="0" fontId="75" fillId="0" borderId="11" xfId="0" applyFont="1" applyBorder="1" applyAlignment="1">
      <alignment horizontal="left" indent="1"/>
    </xf>
    <xf numFmtId="0" fontId="75" fillId="0" borderId="11" xfId="0" applyFont="1" applyBorder="1" applyAlignment="1">
      <alignment horizontal="left" indent="3"/>
    </xf>
    <xf numFmtId="1" fontId="6" fillId="0" borderId="15" xfId="0" applyNumberFormat="1" applyFont="1" applyBorder="1"/>
    <xf numFmtId="0" fontId="6" fillId="0" borderId="15" xfId="0" applyFont="1" applyBorder="1" applyAlignment="1">
      <alignment horizontal="center"/>
    </xf>
    <xf numFmtId="1" fontId="6" fillId="0" borderId="0" xfId="0" applyNumberFormat="1" applyFont="1"/>
    <xf numFmtId="0" fontId="6" fillId="0" borderId="0" xfId="0" applyFont="1" applyAlignment="1">
      <alignment horizontal="center"/>
    </xf>
    <xf numFmtId="1" fontId="6" fillId="0" borderId="42" xfId="0" applyNumberFormat="1" applyFont="1" applyBorder="1"/>
    <xf numFmtId="0" fontId="6" fillId="0" borderId="42" xfId="0" applyFont="1" applyBorder="1" applyAlignment="1">
      <alignment horizontal="center"/>
    </xf>
    <xf numFmtId="3" fontId="75" fillId="0" borderId="17" xfId="0" applyNumberFormat="1" applyFont="1" applyBorder="1"/>
    <xf numFmtId="3" fontId="75" fillId="0" borderId="0" xfId="0" applyNumberFormat="1" applyFont="1"/>
    <xf numFmtId="2" fontId="75" fillId="0" borderId="0" xfId="0" applyNumberFormat="1" applyFont="1"/>
    <xf numFmtId="171" fontId="0" fillId="0" borderId="24" xfId="0" applyNumberFormat="1" applyBorder="1"/>
    <xf numFmtId="171" fontId="0" fillId="0" borderId="25" xfId="0" applyNumberFormat="1" applyBorder="1"/>
    <xf numFmtId="2" fontId="0" fillId="0" borderId="41" xfId="0" applyNumberFormat="1" applyBorder="1"/>
    <xf numFmtId="0" fontId="6" fillId="0" borderId="21" xfId="0" applyFont="1" applyBorder="1"/>
    <xf numFmtId="177" fontId="6" fillId="0" borderId="21" xfId="0" applyNumberFormat="1" applyFont="1" applyBorder="1"/>
    <xf numFmtId="1" fontId="4" fillId="0" borderId="0" xfId="0" applyNumberFormat="1" applyFont="1"/>
    <xf numFmtId="0" fontId="4" fillId="17" borderId="0" xfId="0" applyFont="1" applyFill="1"/>
    <xf numFmtId="170" fontId="0" fillId="0" borderId="0" xfId="0" applyNumberFormat="1" applyAlignment="1">
      <alignment horizontal="right"/>
    </xf>
    <xf numFmtId="180" fontId="0" fillId="0" borderId="0" xfId="0" applyNumberFormat="1" applyAlignment="1">
      <alignment horizontal="right"/>
    </xf>
    <xf numFmtId="49" fontId="0" fillId="0" borderId="0" xfId="0" applyNumberFormat="1" applyAlignment="1">
      <alignment horizontal="left" indent="1"/>
    </xf>
    <xf numFmtId="49" fontId="0" fillId="0" borderId="1" xfId="0" applyNumberFormat="1" applyBorder="1" applyAlignment="1">
      <alignment horizontal="left" indent="1"/>
    </xf>
    <xf numFmtId="181" fontId="0" fillId="0" borderId="15" xfId="0" applyNumberFormat="1" applyBorder="1"/>
    <xf numFmtId="181" fontId="0" fillId="0" borderId="0" xfId="0" applyNumberFormat="1"/>
    <xf numFmtId="2" fontId="0" fillId="0" borderId="0" xfId="0" applyNumberFormat="1" applyAlignment="1">
      <alignment horizontal="right"/>
    </xf>
    <xf numFmtId="181" fontId="0" fillId="0" borderId="42" xfId="0" applyNumberFormat="1" applyBorder="1"/>
    <xf numFmtId="1" fontId="57" fillId="0" borderId="0" xfId="0" applyNumberFormat="1" applyFont="1"/>
    <xf numFmtId="0" fontId="57" fillId="0" borderId="0" xfId="0" applyFont="1"/>
    <xf numFmtId="0" fontId="4" fillId="0" borderId="0" xfId="0" applyFont="1" applyAlignment="1">
      <alignment wrapText="1"/>
    </xf>
    <xf numFmtId="0" fontId="57" fillId="0" borderId="11" xfId="0" applyFont="1" applyBorder="1"/>
    <xf numFmtId="0" fontId="57" fillId="0" borderId="42" xfId="0" applyFont="1" applyBorder="1"/>
    <xf numFmtId="171" fontId="57" fillId="30" borderId="3" xfId="0" applyNumberFormat="1" applyFont="1" applyFill="1" applyBorder="1"/>
    <xf numFmtId="171" fontId="0" fillId="31" borderId="25" xfId="0" applyNumberFormat="1" applyFill="1" applyBorder="1"/>
    <xf numFmtId="167" fontId="16" fillId="0" borderId="1" xfId="0" applyNumberFormat="1" applyFont="1" applyBorder="1"/>
    <xf numFmtId="49" fontId="0" fillId="25" borderId="0" xfId="0" applyNumberFormat="1" applyFill="1"/>
    <xf numFmtId="171" fontId="0" fillId="25" borderId="0" xfId="0" applyNumberFormat="1" applyFill="1"/>
    <xf numFmtId="167" fontId="0" fillId="25" borderId="0" xfId="0" applyNumberFormat="1" applyFill="1"/>
    <xf numFmtId="0" fontId="6" fillId="2" borderId="44" xfId="0" applyFont="1" applyFill="1" applyBorder="1"/>
    <xf numFmtId="0" fontId="0" fillId="2" borderId="43" xfId="0" applyFill="1" applyBorder="1" applyAlignment="1">
      <alignment horizontal="left"/>
    </xf>
    <xf numFmtId="0" fontId="0" fillId="2" borderId="23" xfId="0" applyFill="1" applyBorder="1"/>
    <xf numFmtId="0" fontId="0" fillId="2" borderId="4" xfId="0" applyFill="1" applyBorder="1"/>
    <xf numFmtId="0" fontId="0" fillId="2" borderId="7" xfId="0" applyFill="1" applyBorder="1"/>
    <xf numFmtId="0" fontId="18" fillId="0" borderId="6" xfId="0" applyFont="1" applyBorder="1" applyAlignment="1">
      <alignment horizontal="left"/>
    </xf>
    <xf numFmtId="0" fontId="0" fillId="0" borderId="6" xfId="0" applyBorder="1" applyAlignment="1">
      <alignment horizontal="left"/>
    </xf>
    <xf numFmtId="0" fontId="6" fillId="2" borderId="0" xfId="0" applyFont="1" applyFill="1" applyAlignment="1">
      <alignment horizontal="right"/>
    </xf>
    <xf numFmtId="0" fontId="0" fillId="0" borderId="41" xfId="0" applyBorder="1"/>
    <xf numFmtId="1" fontId="0" fillId="60" borderId="0" xfId="0" applyNumberFormat="1" applyFill="1"/>
    <xf numFmtId="0" fontId="0" fillId="60" borderId="0" xfId="0" applyFill="1"/>
    <xf numFmtId="171" fontId="0" fillId="60" borderId="0" xfId="0" applyNumberFormat="1" applyFill="1"/>
    <xf numFmtId="171" fontId="0" fillId="60" borderId="17" xfId="0" applyNumberFormat="1" applyFill="1" applyBorder="1"/>
    <xf numFmtId="171" fontId="0" fillId="60" borderId="41" xfId="0" applyNumberFormat="1" applyFill="1" applyBorder="1"/>
    <xf numFmtId="0" fontId="57" fillId="0" borderId="1" xfId="0" applyFont="1" applyBorder="1"/>
    <xf numFmtId="167" fontId="57" fillId="0" borderId="11" xfId="0" applyNumberFormat="1" applyFont="1" applyBorder="1"/>
    <xf numFmtId="167" fontId="57" fillId="0" borderId="17" xfId="0" applyNumberFormat="1" applyFont="1" applyBorder="1"/>
    <xf numFmtId="0" fontId="3" fillId="0" borderId="0" xfId="0" applyFont="1"/>
    <xf numFmtId="167" fontId="3" fillId="0" borderId="11" xfId="0" applyNumberFormat="1" applyFont="1" applyBorder="1"/>
    <xf numFmtId="167" fontId="3" fillId="0" borderId="17" xfId="0" applyNumberFormat="1" applyFont="1" applyBorder="1"/>
    <xf numFmtId="167" fontId="57" fillId="0" borderId="18" xfId="0" applyNumberFormat="1" applyFont="1" applyBorder="1"/>
    <xf numFmtId="167" fontId="57" fillId="0" borderId="19" xfId="0" applyNumberFormat="1" applyFont="1" applyBorder="1"/>
    <xf numFmtId="0" fontId="59" fillId="0" borderId="11" xfId="0" applyFont="1" applyBorder="1" applyAlignment="1">
      <alignment horizontal="left" indent="1"/>
    </xf>
    <xf numFmtId="0" fontId="59" fillId="0" borderId="11" xfId="0" applyFont="1" applyBorder="1" applyAlignment="1">
      <alignment horizontal="left" indent="2"/>
    </xf>
    <xf numFmtId="0" fontId="59" fillId="0" borderId="11" xfId="0" applyFont="1" applyBorder="1"/>
    <xf numFmtId="0" fontId="59" fillId="0" borderId="18" xfId="0" applyFont="1" applyBorder="1"/>
    <xf numFmtId="3" fontId="0" fillId="61" borderId="22" xfId="50" applyNumberFormat="1" applyFont="1" applyBorder="1"/>
    <xf numFmtId="0" fontId="4" fillId="0" borderId="20" xfId="0" applyFont="1" applyBorder="1"/>
    <xf numFmtId="2" fontId="4" fillId="0" borderId="21" xfId="0" applyNumberFormat="1" applyFont="1" applyBorder="1"/>
    <xf numFmtId="3" fontId="4" fillId="0" borderId="22" xfId="0" applyNumberFormat="1" applyFont="1" applyBorder="1"/>
    <xf numFmtId="0" fontId="6" fillId="0" borderId="1" xfId="0" applyFont="1" applyBorder="1"/>
    <xf numFmtId="2" fontId="0" fillId="0" borderId="0" xfId="0" applyNumberFormat="1" applyAlignment="1">
      <alignment horizontal="center"/>
    </xf>
    <xf numFmtId="2" fontId="0" fillId="0" borderId="1" xfId="0" applyNumberFormat="1" applyBorder="1" applyAlignment="1">
      <alignment horizontal="center"/>
    </xf>
    <xf numFmtId="0" fontId="4" fillId="0" borderId="11" xfId="0" applyFont="1" applyBorder="1" applyAlignment="1">
      <alignment wrapText="1"/>
    </xf>
    <xf numFmtId="0" fontId="79" fillId="2" borderId="0" xfId="49" applyFill="1" applyAlignment="1" applyProtection="1"/>
    <xf numFmtId="3" fontId="0" fillId="61" borderId="25" xfId="50" applyNumberFormat="1" applyFont="1" applyBorder="1"/>
    <xf numFmtId="3" fontId="0" fillId="61" borderId="19" xfId="50" applyNumberFormat="1" applyFont="1" applyBorder="1"/>
    <xf numFmtId="3" fontId="0" fillId="61" borderId="26" xfId="50" applyNumberFormat="1" applyFont="1" applyBorder="1"/>
    <xf numFmtId="3" fontId="0" fillId="0" borderId="26" xfId="0" applyNumberFormat="1" applyBorder="1"/>
    <xf numFmtId="1" fontId="0" fillId="0" borderId="15" xfId="0" applyNumberFormat="1" applyBorder="1" applyAlignment="1">
      <alignment horizontal="right"/>
    </xf>
    <xf numFmtId="1" fontId="0" fillId="0" borderId="0" xfId="0" applyNumberFormat="1" applyAlignment="1">
      <alignment horizontal="right"/>
    </xf>
    <xf numFmtId="1" fontId="4" fillId="0" borderId="0" xfId="0" applyNumberFormat="1" applyFont="1" applyAlignment="1">
      <alignment wrapText="1"/>
    </xf>
    <xf numFmtId="49" fontId="9" fillId="2" borderId="0" xfId="0" applyNumberFormat="1" applyFont="1" applyFill="1"/>
    <xf numFmtId="171" fontId="57" fillId="0" borderId="15" xfId="0" applyNumberFormat="1" applyFont="1" applyBorder="1"/>
    <xf numFmtId="171" fontId="57" fillId="0" borderId="0" xfId="0" applyNumberFormat="1" applyFont="1"/>
    <xf numFmtId="171" fontId="57" fillId="0" borderId="17" xfId="0" applyNumberFormat="1" applyFont="1" applyBorder="1"/>
    <xf numFmtId="49" fontId="57" fillId="0" borderId="14" xfId="0" applyNumberFormat="1" applyFont="1" applyBorder="1"/>
    <xf numFmtId="49" fontId="57" fillId="0" borderId="15" xfId="0" applyNumberFormat="1" applyFont="1" applyBorder="1"/>
    <xf numFmtId="170" fontId="57" fillId="0" borderId="15" xfId="0" applyNumberFormat="1" applyFont="1" applyBorder="1"/>
    <xf numFmtId="0" fontId="57" fillId="0" borderId="15" xfId="0" applyFont="1" applyBorder="1"/>
    <xf numFmtId="49" fontId="57" fillId="0" borderId="11" xfId="0" applyNumberFormat="1" applyFont="1" applyBorder="1"/>
    <xf numFmtId="49" fontId="57" fillId="0" borderId="0" xfId="0" applyNumberFormat="1" applyFont="1"/>
    <xf numFmtId="170" fontId="57" fillId="0" borderId="0" xfId="0" applyNumberFormat="1" applyFont="1"/>
    <xf numFmtId="0" fontId="79" fillId="25" borderId="0" xfId="49" applyAlignment="1" applyProtection="1"/>
    <xf numFmtId="0" fontId="0" fillId="17" borderId="0" xfId="0" applyFill="1" applyAlignment="1">
      <alignment horizontal="left"/>
    </xf>
    <xf numFmtId="0" fontId="0" fillId="17" borderId="0" xfId="0" applyFill="1" applyAlignment="1">
      <alignment horizontal="right"/>
    </xf>
    <xf numFmtId="0" fontId="0" fillId="0" borderId="0" xfId="0" applyAlignment="1">
      <alignment horizontal="right"/>
    </xf>
    <xf numFmtId="182" fontId="0" fillId="0" borderId="0" xfId="0" applyNumberFormat="1" applyAlignment="1">
      <alignment horizontal="right"/>
    </xf>
    <xf numFmtId="0" fontId="0" fillId="0" borderId="45" xfId="0" applyBorder="1"/>
    <xf numFmtId="0" fontId="0" fillId="15" borderId="11" xfId="0" applyFill="1" applyBorder="1"/>
    <xf numFmtId="0" fontId="0" fillId="15" borderId="0" xfId="0" applyFill="1"/>
    <xf numFmtId="0" fontId="0" fillId="15" borderId="17" xfId="0" applyFill="1" applyBorder="1"/>
    <xf numFmtId="0" fontId="0" fillId="5" borderId="11" xfId="0" applyFill="1" applyBorder="1"/>
    <xf numFmtId="0" fontId="0" fillId="5" borderId="0" xfId="0" applyFill="1"/>
    <xf numFmtId="0" fontId="0" fillId="5" borderId="17" xfId="0" applyFill="1" applyBorder="1"/>
    <xf numFmtId="0" fontId="0" fillId="16" borderId="11" xfId="0" applyFill="1" applyBorder="1"/>
    <xf numFmtId="0" fontId="0" fillId="16" borderId="0" xfId="0" applyFill="1"/>
    <xf numFmtId="0" fontId="0" fillId="16" borderId="17" xfId="0" applyFill="1" applyBorder="1"/>
    <xf numFmtId="1" fontId="0" fillId="0" borderId="15" xfId="0" applyNumberFormat="1" applyBorder="1" applyAlignment="1">
      <alignment horizontal="left"/>
    </xf>
    <xf numFmtId="1" fontId="0" fillId="0" borderId="0" xfId="0" applyNumberFormat="1" applyAlignment="1">
      <alignment horizontal="left"/>
    </xf>
    <xf numFmtId="169" fontId="0" fillId="0" borderId="0" xfId="0" applyNumberFormat="1"/>
    <xf numFmtId="1" fontId="0" fillId="0" borderId="42" xfId="0" applyNumberFormat="1" applyBorder="1" applyAlignment="1">
      <alignment horizontal="left"/>
    </xf>
    <xf numFmtId="2" fontId="0" fillId="0" borderId="1" xfId="0" applyNumberFormat="1" applyBorder="1" applyAlignment="1">
      <alignment horizontal="right"/>
    </xf>
    <xf numFmtId="0" fontId="0" fillId="0" borderId="11" xfId="0" applyBorder="1" applyAlignment="1">
      <alignment wrapText="1"/>
    </xf>
    <xf numFmtId="0" fontId="0" fillId="0" borderId="0" xfId="0" applyAlignment="1">
      <alignment wrapText="1"/>
    </xf>
    <xf numFmtId="0" fontId="78" fillId="25" borderId="0" xfId="0" applyFont="1" applyFill="1" applyAlignment="1">
      <alignment vertical="top"/>
    </xf>
    <xf numFmtId="0" fontId="79" fillId="25" borderId="0" xfId="49" applyProtection="1">
      <alignment vertical="top"/>
    </xf>
    <xf numFmtId="0" fontId="0" fillId="25" borderId="0" xfId="0" applyFill="1" applyAlignment="1">
      <alignment vertical="top"/>
    </xf>
    <xf numFmtId="4" fontId="59" fillId="61" borderId="48" xfId="50" applyFont="1" applyBorder="1"/>
    <xf numFmtId="4" fontId="59" fillId="61" borderId="49" xfId="50" applyFont="1" applyBorder="1"/>
    <xf numFmtId="3" fontId="0" fillId="61" borderId="50" xfId="50" applyNumberFormat="1" applyFont="1" applyBorder="1"/>
    <xf numFmtId="4" fontId="59" fillId="61" borderId="51" xfId="50" applyFont="1" applyBorder="1"/>
    <xf numFmtId="4" fontId="4" fillId="61" borderId="46" xfId="50" applyBorder="1"/>
    <xf numFmtId="4" fontId="0" fillId="61" borderId="52" xfId="50" applyFont="1" applyBorder="1"/>
    <xf numFmtId="2" fontId="0" fillId="61" borderId="52" xfId="50" applyNumberFormat="1" applyFont="1" applyBorder="1"/>
    <xf numFmtId="3" fontId="0" fillId="61" borderId="53" xfId="50" applyNumberFormat="1" applyFont="1" applyBorder="1"/>
    <xf numFmtId="3" fontId="0" fillId="61" borderId="54" xfId="50" applyNumberFormat="1" applyFont="1" applyBorder="1"/>
    <xf numFmtId="3" fontId="0" fillId="61" borderId="55" xfId="50" applyNumberFormat="1" applyFont="1" applyBorder="1"/>
    <xf numFmtId="3" fontId="57" fillId="61" borderId="53" xfId="50" applyNumberFormat="1" applyFont="1" applyBorder="1"/>
    <xf numFmtId="3" fontId="57" fillId="61" borderId="54" xfId="50" applyNumberFormat="1" applyFont="1" applyBorder="1"/>
    <xf numFmtId="3" fontId="57" fillId="61" borderId="55" xfId="50" applyNumberFormat="1" applyFont="1" applyBorder="1"/>
    <xf numFmtId="3" fontId="57" fillId="61" borderId="47" xfId="50" applyNumberFormat="1" applyFont="1" applyBorder="1"/>
    <xf numFmtId="3" fontId="57" fillId="61" borderId="48" xfId="50" applyNumberFormat="1" applyFont="1" applyBorder="1"/>
    <xf numFmtId="3" fontId="4" fillId="61" borderId="48" xfId="50" applyNumberFormat="1" applyBorder="1"/>
    <xf numFmtId="3" fontId="57" fillId="61" borderId="49" xfId="50" applyNumberFormat="1" applyFont="1" applyBorder="1"/>
    <xf numFmtId="171" fontId="0" fillId="61" borderId="56" xfId="50" applyNumberFormat="1" applyFont="1" applyBorder="1"/>
    <xf numFmtId="171" fontId="0" fillId="61" borderId="57" xfId="50" applyNumberFormat="1" applyFont="1" applyBorder="1"/>
    <xf numFmtId="171" fontId="0" fillId="61" borderId="58" xfId="50" applyNumberFormat="1" applyFont="1" applyBorder="1"/>
    <xf numFmtId="11" fontId="0" fillId="61" borderId="59" xfId="50" applyNumberFormat="1" applyFont="1" applyBorder="1" applyAlignment="1">
      <alignment horizontal="right"/>
    </xf>
    <xf numFmtId="171" fontId="0" fillId="61" borderId="54" xfId="50" applyNumberFormat="1" applyFont="1" applyBorder="1"/>
    <xf numFmtId="171" fontId="4" fillId="61" borderId="54" xfId="50" applyNumberFormat="1" applyBorder="1"/>
    <xf numFmtId="3" fontId="4" fillId="61" borderId="53" xfId="50" applyNumberFormat="1" applyBorder="1" applyAlignment="1">
      <alignment horizontal="right"/>
    </xf>
    <xf numFmtId="3" fontId="4" fillId="61" borderId="54" xfId="50" applyNumberFormat="1" applyBorder="1" applyAlignment="1">
      <alignment horizontal="right"/>
    </xf>
    <xf numFmtId="3" fontId="4" fillId="61" borderId="55" xfId="50" applyNumberFormat="1" applyBorder="1" applyAlignment="1">
      <alignment horizontal="right"/>
    </xf>
    <xf numFmtId="171" fontId="0" fillId="61" borderId="52" xfId="50" applyNumberFormat="1" applyFont="1" applyBorder="1"/>
    <xf numFmtId="171" fontId="0" fillId="61" borderId="60" xfId="50" applyNumberFormat="1" applyFont="1" applyBorder="1"/>
    <xf numFmtId="171" fontId="0" fillId="61" borderId="61" xfId="50" applyNumberFormat="1" applyFont="1" applyBorder="1"/>
    <xf numFmtId="9" fontId="0" fillId="61" borderId="52" xfId="50" applyNumberFormat="1" applyFont="1" applyBorder="1"/>
    <xf numFmtId="171" fontId="4" fillId="61" borderId="53" xfId="50" applyNumberFormat="1" applyBorder="1"/>
    <xf numFmtId="171" fontId="4" fillId="61" borderId="55" xfId="50" applyNumberFormat="1" applyBorder="1"/>
    <xf numFmtId="0" fontId="0" fillId="61" borderId="60" xfId="50" applyNumberFormat="1" applyFont="1" applyBorder="1"/>
    <xf numFmtId="1" fontId="6" fillId="0" borderId="1" xfId="0" applyNumberFormat="1" applyFont="1" applyBorder="1"/>
    <xf numFmtId="0" fontId="6" fillId="0" borderId="1" xfId="0" applyFont="1" applyBorder="1" applyAlignment="1">
      <alignment horizontal="center"/>
    </xf>
    <xf numFmtId="3" fontId="75" fillId="0" borderId="41" xfId="0" applyNumberFormat="1" applyFont="1" applyBorder="1"/>
    <xf numFmtId="171" fontId="6" fillId="61" borderId="53" xfId="50" applyNumberFormat="1" applyFont="1" applyBorder="1" applyAlignment="1">
      <alignment horizontal="center"/>
    </xf>
    <xf numFmtId="171" fontId="75" fillId="61" borderId="54" xfId="50" applyNumberFormat="1" applyFont="1" applyBorder="1" applyAlignment="1">
      <alignment horizontal="center"/>
    </xf>
    <xf numFmtId="171" fontId="6" fillId="61" borderId="54" xfId="50" applyNumberFormat="1" applyFont="1" applyBorder="1" applyAlignment="1">
      <alignment horizontal="center"/>
    </xf>
    <xf numFmtId="171" fontId="6" fillId="61" borderId="55" xfId="50" applyNumberFormat="1" applyFont="1" applyBorder="1" applyAlignment="1">
      <alignment horizontal="center"/>
    </xf>
    <xf numFmtId="171" fontId="4" fillId="61" borderId="62" xfId="50" applyNumberFormat="1" applyBorder="1"/>
    <xf numFmtId="171" fontId="4" fillId="61" borderId="63" xfId="50" applyNumberFormat="1" applyBorder="1"/>
    <xf numFmtId="2" fontId="0" fillId="61" borderId="60" xfId="50" applyNumberFormat="1" applyFont="1" applyBorder="1"/>
    <xf numFmtId="2" fontId="0" fillId="61" borderId="61" xfId="50" applyNumberFormat="1" applyFont="1" applyBorder="1"/>
    <xf numFmtId="3" fontId="0" fillId="61" borderId="64" xfId="50" applyNumberFormat="1" applyFont="1" applyBorder="1"/>
    <xf numFmtId="3" fontId="0" fillId="61" borderId="65" xfId="50" applyNumberFormat="1" applyFont="1" applyBorder="1"/>
    <xf numFmtId="3" fontId="0" fillId="61" borderId="66" xfId="50" applyNumberFormat="1" applyFont="1" applyBorder="1"/>
    <xf numFmtId="1" fontId="0" fillId="62" borderId="67" xfId="51" applyFont="1" applyBorder="1"/>
    <xf numFmtId="1" fontId="0" fillId="62" borderId="68" xfId="51" applyFont="1" applyBorder="1"/>
    <xf numFmtId="1" fontId="0" fillId="62" borderId="69" xfId="51" applyFont="1" applyBorder="1"/>
    <xf numFmtId="0" fontId="0" fillId="62" borderId="70" xfId="51" applyNumberFormat="1" applyFont="1" applyBorder="1"/>
    <xf numFmtId="0" fontId="0" fillId="62" borderId="71" xfId="51" applyNumberFormat="1" applyFont="1" applyBorder="1"/>
    <xf numFmtId="0" fontId="0" fillId="62" borderId="75" xfId="51" applyNumberFormat="1" applyFont="1" applyBorder="1" applyAlignment="1">
      <alignment horizontal="center"/>
    </xf>
    <xf numFmtId="181" fontId="0" fillId="62" borderId="76" xfId="51" applyNumberFormat="1" applyFont="1" applyBorder="1" applyAlignment="1">
      <alignment horizontal="left"/>
    </xf>
    <xf numFmtId="181" fontId="0" fillId="62" borderId="76" xfId="51" applyNumberFormat="1" applyFont="1" applyBorder="1" applyAlignment="1">
      <alignment horizontal="center"/>
    </xf>
    <xf numFmtId="181" fontId="0" fillId="62" borderId="68" xfId="51" applyNumberFormat="1" applyFont="1" applyBorder="1" applyAlignment="1">
      <alignment horizontal="left"/>
    </xf>
    <xf numFmtId="181" fontId="0" fillId="62" borderId="68" xfId="51" applyNumberFormat="1" applyFont="1" applyBorder="1" applyAlignment="1">
      <alignment horizontal="center"/>
    </xf>
    <xf numFmtId="0" fontId="4" fillId="62" borderId="73" xfId="51" applyNumberFormat="1" applyFont="1" applyBorder="1" applyAlignment="1">
      <alignment horizontal="center"/>
    </xf>
    <xf numFmtId="0" fontId="0" fillId="62" borderId="69" xfId="51" applyNumberFormat="1" applyFont="1" applyBorder="1" applyAlignment="1">
      <alignment horizontal="left"/>
    </xf>
    <xf numFmtId="0" fontId="0" fillId="62" borderId="69" xfId="51" applyNumberFormat="1" applyFont="1" applyBorder="1" applyAlignment="1">
      <alignment horizontal="center"/>
    </xf>
    <xf numFmtId="9" fontId="0" fillId="62" borderId="68" xfId="51" applyNumberFormat="1" applyFont="1" applyBorder="1"/>
    <xf numFmtId="0" fontId="0" fillId="62" borderId="77" xfId="51" applyNumberFormat="1" applyFont="1" applyBorder="1"/>
    <xf numFmtId="9" fontId="0" fillId="62" borderId="69" xfId="51" applyNumberFormat="1" applyFont="1" applyBorder="1"/>
    <xf numFmtId="0" fontId="0" fillId="62" borderId="78" xfId="51" applyNumberFormat="1" applyFont="1" applyBorder="1"/>
    <xf numFmtId="0" fontId="0" fillId="62" borderId="67" xfId="51" applyNumberFormat="1" applyFont="1" applyBorder="1"/>
    <xf numFmtId="183" fontId="4" fillId="62" borderId="67" xfId="51" applyNumberFormat="1" applyFont="1" applyBorder="1"/>
    <xf numFmtId="183" fontId="0" fillId="62" borderId="67" xfId="51" applyNumberFormat="1" applyFont="1" applyBorder="1"/>
    <xf numFmtId="0" fontId="0" fillId="62" borderId="68" xfId="51" applyNumberFormat="1" applyFont="1" applyBorder="1"/>
    <xf numFmtId="183" fontId="4" fillId="62" borderId="68" xfId="51" applyNumberFormat="1" applyFont="1" applyBorder="1"/>
    <xf numFmtId="183" fontId="0" fillId="62" borderId="68" xfId="51" applyNumberFormat="1" applyFont="1" applyBorder="1"/>
    <xf numFmtId="0" fontId="0" fillId="62" borderId="69" xfId="51" applyNumberFormat="1" applyFont="1" applyBorder="1"/>
    <xf numFmtId="183" fontId="4" fillId="62" borderId="69" xfId="51" applyNumberFormat="1" applyFont="1" applyBorder="1"/>
    <xf numFmtId="183" fontId="0" fillId="62" borderId="69" xfId="51" applyNumberFormat="1" applyFont="1" applyBorder="1"/>
    <xf numFmtId="2" fontId="0" fillId="62" borderId="67" xfId="51" applyNumberFormat="1" applyFont="1" applyBorder="1" applyAlignment="1">
      <alignment horizontal="center"/>
    </xf>
    <xf numFmtId="2" fontId="0" fillId="62" borderId="68" xfId="51" applyNumberFormat="1" applyFont="1" applyBorder="1" applyAlignment="1">
      <alignment horizontal="center"/>
    </xf>
    <xf numFmtId="2" fontId="0" fillId="62" borderId="69" xfId="51" applyNumberFormat="1" applyFont="1" applyBorder="1" applyAlignment="1">
      <alignment horizontal="center"/>
    </xf>
    <xf numFmtId="2" fontId="0" fillId="62" borderId="67" xfId="51" applyNumberFormat="1" applyFont="1" applyBorder="1"/>
    <xf numFmtId="2" fontId="0" fillId="62" borderId="70" xfId="51" applyNumberFormat="1" applyFont="1" applyBorder="1"/>
    <xf numFmtId="2" fontId="0" fillId="62" borderId="68" xfId="51" applyNumberFormat="1" applyFont="1" applyBorder="1"/>
    <xf numFmtId="2" fontId="0" fillId="62" borderId="77" xfId="51" applyNumberFormat="1" applyFont="1" applyBorder="1"/>
    <xf numFmtId="0" fontId="4" fillId="62" borderId="77" xfId="51" applyNumberFormat="1" applyFont="1" applyBorder="1"/>
    <xf numFmtId="2" fontId="57" fillId="62" borderId="67" xfId="51" applyNumberFormat="1" applyBorder="1"/>
    <xf numFmtId="2" fontId="57" fillId="62" borderId="70" xfId="51" applyNumberFormat="1" applyBorder="1"/>
    <xf numFmtId="2" fontId="57" fillId="62" borderId="68" xfId="51" applyNumberFormat="1" applyBorder="1"/>
    <xf numFmtId="2" fontId="57" fillId="62" borderId="77" xfId="51" applyNumberFormat="1" applyBorder="1"/>
    <xf numFmtId="2" fontId="57" fillId="62" borderId="69" xfId="51" applyNumberFormat="1" applyBorder="1"/>
    <xf numFmtId="2" fontId="57" fillId="62" borderId="78" xfId="51" applyNumberFormat="1" applyBorder="1"/>
    <xf numFmtId="2" fontId="57" fillId="62" borderId="81" xfId="51" applyNumberFormat="1" applyBorder="1"/>
    <xf numFmtId="2" fontId="57" fillId="62" borderId="82" xfId="51" applyNumberFormat="1" applyBorder="1"/>
    <xf numFmtId="0" fontId="0" fillId="61" borderId="53" xfId="50" applyNumberFormat="1" applyFont="1" applyBorder="1" applyAlignment="1">
      <alignment horizontal="left" wrapText="1"/>
    </xf>
    <xf numFmtId="0" fontId="0" fillId="61" borderId="54" xfId="50" applyNumberFormat="1" applyFont="1" applyBorder="1" applyAlignment="1">
      <alignment horizontal="left" wrapText="1"/>
    </xf>
    <xf numFmtId="0" fontId="0" fillId="61" borderId="55" xfId="50" applyNumberFormat="1" applyFont="1" applyBorder="1" applyAlignment="1">
      <alignment horizontal="left" wrapText="1"/>
    </xf>
    <xf numFmtId="49" fontId="0" fillId="62" borderId="72" xfId="51" applyNumberFormat="1" applyFont="1" applyBorder="1"/>
    <xf numFmtId="49" fontId="0" fillId="62" borderId="67" xfId="51" applyNumberFormat="1" applyFont="1" applyBorder="1"/>
    <xf numFmtId="49" fontId="0" fillId="62" borderId="73" xfId="51" applyNumberFormat="1" applyFont="1" applyBorder="1"/>
    <xf numFmtId="49" fontId="0" fillId="62" borderId="68" xfId="51" applyNumberFormat="1" applyFont="1" applyBorder="1"/>
    <xf numFmtId="2" fontId="8" fillId="62" borderId="70" xfId="51" applyNumberFormat="1" applyFont="1" applyBorder="1" applyAlignment="1">
      <alignment horizontal="center"/>
    </xf>
    <xf numFmtId="2" fontId="8" fillId="62" borderId="77" xfId="51" applyNumberFormat="1" applyFont="1" applyBorder="1" applyAlignment="1">
      <alignment horizontal="center"/>
    </xf>
    <xf numFmtId="2" fontId="8" fillId="62" borderId="78" xfId="51" applyNumberFormat="1" applyFont="1" applyBorder="1" applyAlignment="1">
      <alignment horizontal="center"/>
    </xf>
    <xf numFmtId="2" fontId="0" fillId="62" borderId="77" xfId="51" applyNumberFormat="1" applyFont="1" applyBorder="1" applyAlignment="1">
      <alignment horizontal="right"/>
    </xf>
    <xf numFmtId="2" fontId="4" fillId="62" borderId="77" xfId="51" applyNumberFormat="1" applyFont="1" applyBorder="1"/>
    <xf numFmtId="171" fontId="75" fillId="61" borderId="84" xfId="50" applyNumberFormat="1" applyFont="1" applyBorder="1" applyAlignment="1">
      <alignment horizontal="center"/>
    </xf>
    <xf numFmtId="171" fontId="4" fillId="61" borderId="85" xfId="50" applyNumberFormat="1" applyBorder="1"/>
    <xf numFmtId="2" fontId="4" fillId="62" borderId="67" xfId="51" applyNumberFormat="1" applyFont="1" applyBorder="1"/>
    <xf numFmtId="2" fontId="4" fillId="62" borderId="70" xfId="51" applyNumberFormat="1" applyFont="1" applyBorder="1"/>
    <xf numFmtId="2" fontId="4" fillId="62" borderId="68" xfId="51" applyNumberFormat="1" applyFont="1" applyBorder="1"/>
    <xf numFmtId="2" fontId="4" fillId="62" borderId="69" xfId="51" applyNumberFormat="1" applyFont="1" applyBorder="1"/>
    <xf numFmtId="2" fontId="4" fillId="62" borderId="78" xfId="51" applyNumberFormat="1" applyFont="1" applyBorder="1"/>
    <xf numFmtId="3" fontId="0" fillId="62" borderId="68" xfId="51" applyNumberFormat="1" applyFont="1" applyBorder="1"/>
    <xf numFmtId="171" fontId="0" fillId="62" borderId="68" xfId="51" applyNumberFormat="1" applyFont="1" applyBorder="1"/>
    <xf numFmtId="171" fontId="0" fillId="62" borderId="80" xfId="51" applyNumberFormat="1" applyFont="1" applyBorder="1"/>
    <xf numFmtId="171" fontId="0" fillId="62" borderId="68" xfId="51" applyNumberFormat="1" applyFont="1" applyBorder="1" applyAlignment="1">
      <alignment horizontal="center"/>
    </xf>
    <xf numFmtId="171" fontId="0" fillId="62" borderId="80" xfId="51" applyNumberFormat="1" applyFont="1" applyBorder="1" applyAlignment="1">
      <alignment horizontal="center"/>
    </xf>
    <xf numFmtId="171" fontId="4" fillId="62" borderId="68" xfId="51" applyNumberFormat="1" applyFont="1" applyBorder="1"/>
    <xf numFmtId="171" fontId="4" fillId="62" borderId="80" xfId="51" applyNumberFormat="1" applyFont="1" applyBorder="1"/>
    <xf numFmtId="171" fontId="4" fillId="62" borderId="80" xfId="51" applyNumberFormat="1" applyFont="1" applyBorder="1" applyAlignment="1">
      <alignment horizontal="center"/>
    </xf>
    <xf numFmtId="171" fontId="4" fillId="62" borderId="68" xfId="51" applyNumberFormat="1" applyFont="1" applyBorder="1" applyAlignment="1">
      <alignment wrapText="1"/>
    </xf>
    <xf numFmtId="171" fontId="0" fillId="62" borderId="68" xfId="51" applyNumberFormat="1" applyFont="1" applyBorder="1" applyAlignment="1">
      <alignment wrapText="1"/>
    </xf>
    <xf numFmtId="171" fontId="0" fillId="62" borderId="68" xfId="51" applyNumberFormat="1" applyFont="1" applyBorder="1" applyAlignment="1">
      <alignment horizontal="left"/>
    </xf>
    <xf numFmtId="171" fontId="0" fillId="62" borderId="86" xfId="51" applyNumberFormat="1" applyFont="1" applyBorder="1"/>
    <xf numFmtId="171" fontId="56" fillId="62" borderId="86" xfId="51" applyNumberFormat="1" applyFont="1" applyBorder="1"/>
    <xf numFmtId="171" fontId="4" fillId="62" borderId="86" xfId="51" applyNumberFormat="1" applyFont="1" applyBorder="1"/>
    <xf numFmtId="171" fontId="0" fillId="62" borderId="83" xfId="51" applyNumberFormat="1" applyFont="1" applyBorder="1"/>
    <xf numFmtId="3" fontId="0" fillId="62" borderId="67" xfId="51" applyNumberFormat="1" applyFont="1" applyBorder="1"/>
    <xf numFmtId="171" fontId="0" fillId="62" borderId="67" xfId="51" applyNumberFormat="1" applyFont="1" applyBorder="1"/>
    <xf numFmtId="171" fontId="0" fillId="62" borderId="79" xfId="51" applyNumberFormat="1" applyFont="1" applyBorder="1"/>
    <xf numFmtId="171" fontId="0" fillId="62" borderId="87" xfId="51" applyNumberFormat="1" applyFont="1" applyBorder="1"/>
    <xf numFmtId="2" fontId="6" fillId="8" borderId="88" xfId="0" applyNumberFormat="1" applyFont="1" applyFill="1" applyBorder="1"/>
    <xf numFmtId="3" fontId="6" fillId="8" borderId="89" xfId="0" applyNumberFormat="1" applyFont="1" applyFill="1" applyBorder="1"/>
    <xf numFmtId="2" fontId="75" fillId="8" borderId="90" xfId="0" applyNumberFormat="1" applyFont="1" applyFill="1" applyBorder="1"/>
    <xf numFmtId="3" fontId="75" fillId="8" borderId="91" xfId="0" applyNumberFormat="1" applyFont="1" applyFill="1" applyBorder="1"/>
    <xf numFmtId="2" fontId="75" fillId="8" borderId="92" xfId="0" applyNumberFormat="1" applyFont="1" applyFill="1" applyBorder="1"/>
    <xf numFmtId="3" fontId="75" fillId="8" borderId="93" xfId="0" applyNumberFormat="1" applyFont="1" applyFill="1" applyBorder="1"/>
    <xf numFmtId="0" fontId="6" fillId="8" borderId="94" xfId="0" applyFont="1" applyFill="1" applyBorder="1"/>
    <xf numFmtId="1" fontId="6" fillId="8" borderId="88" xfId="0" applyNumberFormat="1" applyFont="1" applyFill="1" applyBorder="1"/>
    <xf numFmtId="0" fontId="6" fillId="8" borderId="95" xfId="0" applyFont="1" applyFill="1" applyBorder="1" applyAlignment="1">
      <alignment horizontal="center"/>
    </xf>
    <xf numFmtId="0" fontId="75" fillId="8" borderId="96" xfId="0" applyFont="1" applyFill="1" applyBorder="1" applyAlignment="1">
      <alignment horizontal="left" indent="2"/>
    </xf>
    <xf numFmtId="1" fontId="75" fillId="8" borderId="90" xfId="0" applyNumberFormat="1" applyFont="1" applyFill="1" applyBorder="1"/>
    <xf numFmtId="0" fontId="75" fillId="8" borderId="97" xfId="0" applyFont="1" applyFill="1" applyBorder="1" applyAlignment="1">
      <alignment horizontal="center"/>
    </xf>
    <xf numFmtId="0" fontId="75" fillId="8" borderId="98" xfId="0" applyFont="1" applyFill="1" applyBorder="1" applyAlignment="1">
      <alignment horizontal="left" indent="2"/>
    </xf>
    <xf numFmtId="1" fontId="75" fillId="8" borderId="92" xfId="0" applyNumberFormat="1" applyFont="1" applyFill="1" applyBorder="1"/>
    <xf numFmtId="0" fontId="75" fillId="8" borderId="99" xfId="0" applyFont="1" applyFill="1" applyBorder="1" applyAlignment="1">
      <alignment horizontal="center"/>
    </xf>
    <xf numFmtId="0" fontId="6" fillId="8" borderId="100" xfId="0" applyFont="1" applyFill="1" applyBorder="1"/>
    <xf numFmtId="1" fontId="6" fillId="8" borderId="101" xfId="0" applyNumberFormat="1" applyFont="1" applyFill="1" applyBorder="1"/>
    <xf numFmtId="0" fontId="6" fillId="8" borderId="102" xfId="0" applyFont="1" applyFill="1" applyBorder="1" applyAlignment="1">
      <alignment horizontal="center"/>
    </xf>
    <xf numFmtId="0" fontId="75" fillId="8" borderId="103" xfId="0" applyFont="1" applyFill="1" applyBorder="1" applyAlignment="1">
      <alignment horizontal="left" indent="2"/>
    </xf>
    <xf numFmtId="1" fontId="75" fillId="8" borderId="104" xfId="0" applyNumberFormat="1" applyFont="1" applyFill="1" applyBorder="1"/>
    <xf numFmtId="0" fontId="75" fillId="8" borderId="105" xfId="0" applyFont="1" applyFill="1" applyBorder="1" applyAlignment="1">
      <alignment horizontal="center"/>
    </xf>
    <xf numFmtId="0" fontId="75" fillId="8" borderId="106" xfId="0" applyFont="1" applyFill="1" applyBorder="1" applyAlignment="1">
      <alignment horizontal="left" indent="2"/>
    </xf>
    <xf numFmtId="1" fontId="75" fillId="8" borderId="107" xfId="0" applyNumberFormat="1" applyFont="1" applyFill="1" applyBorder="1"/>
    <xf numFmtId="0" fontId="75" fillId="8" borderId="108" xfId="0" applyFont="1" applyFill="1" applyBorder="1" applyAlignment="1">
      <alignment horizontal="center"/>
    </xf>
    <xf numFmtId="2" fontId="6" fillId="8" borderId="101" xfId="0" applyNumberFormat="1" applyFont="1" applyFill="1" applyBorder="1"/>
    <xf numFmtId="3" fontId="6" fillId="8" borderId="101" xfId="0" applyNumberFormat="1" applyFont="1" applyFill="1" applyBorder="1"/>
    <xf numFmtId="3" fontId="6" fillId="8" borderId="109" xfId="0" applyNumberFormat="1" applyFont="1" applyFill="1" applyBorder="1"/>
    <xf numFmtId="2" fontId="75" fillId="8" borderId="104" xfId="0" applyNumberFormat="1" applyFont="1" applyFill="1" applyBorder="1"/>
    <xf numFmtId="3" fontId="75" fillId="8" borderId="104" xfId="0" applyNumberFormat="1" applyFont="1" applyFill="1" applyBorder="1"/>
    <xf numFmtId="3" fontId="75" fillId="8" borderId="110" xfId="0" applyNumberFormat="1" applyFont="1" applyFill="1" applyBorder="1"/>
    <xf numFmtId="2" fontId="75" fillId="8" borderId="107" xfId="0" applyNumberFormat="1" applyFont="1" applyFill="1" applyBorder="1"/>
    <xf numFmtId="3" fontId="75" fillId="8" borderId="107" xfId="0" applyNumberFormat="1" applyFont="1" applyFill="1" applyBorder="1"/>
    <xf numFmtId="3" fontId="75" fillId="8" borderId="111" xfId="0" applyNumberFormat="1" applyFont="1" applyFill="1" applyBorder="1"/>
    <xf numFmtId="1" fontId="0" fillId="9" borderId="104" xfId="0" applyNumberFormat="1" applyFill="1" applyBorder="1"/>
    <xf numFmtId="0" fontId="0" fillId="9" borderId="104" xfId="0" applyFill="1" applyBorder="1"/>
    <xf numFmtId="0" fontId="8" fillId="0" borderId="11" xfId="0" applyFont="1" applyBorder="1"/>
    <xf numFmtId="167" fontId="0" fillId="0" borderId="41" xfId="0" applyNumberFormat="1" applyBorder="1"/>
    <xf numFmtId="0" fontId="0" fillId="0" borderId="11" xfId="0" applyBorder="1" applyAlignment="1">
      <alignment horizontal="right"/>
    </xf>
    <xf numFmtId="182" fontId="0" fillId="0" borderId="41" xfId="0" applyNumberFormat="1" applyBorder="1" applyAlignment="1">
      <alignment horizontal="right"/>
    </xf>
    <xf numFmtId="0" fontId="0" fillId="9" borderId="103" xfId="0" applyFill="1" applyBorder="1"/>
    <xf numFmtId="0" fontId="0" fillId="9" borderId="110" xfId="0" applyFill="1" applyBorder="1"/>
    <xf numFmtId="0" fontId="0" fillId="9" borderId="106" xfId="0" applyFill="1" applyBorder="1"/>
    <xf numFmtId="0" fontId="0" fillId="9" borderId="107" xfId="0" applyFill="1" applyBorder="1"/>
    <xf numFmtId="0" fontId="0" fillId="9" borderId="111" xfId="0" applyFill="1" applyBorder="1"/>
    <xf numFmtId="0" fontId="0" fillId="0" borderId="41" xfId="0" applyBorder="1" applyAlignment="1">
      <alignment horizontal="right"/>
    </xf>
    <xf numFmtId="0" fontId="0" fillId="9" borderId="112" xfId="0" applyFill="1" applyBorder="1"/>
    <xf numFmtId="0" fontId="0" fillId="9" borderId="113" xfId="0" applyFill="1" applyBorder="1"/>
    <xf numFmtId="169" fontId="0" fillId="62" borderId="114" xfId="51" applyNumberFormat="1" applyFont="1" applyBorder="1"/>
    <xf numFmtId="169" fontId="0" fillId="62" borderId="86" xfId="51" applyNumberFormat="1" applyFont="1" applyBorder="1"/>
    <xf numFmtId="169" fontId="0" fillId="62" borderId="115" xfId="51" applyNumberFormat="1" applyFont="1" applyBorder="1"/>
    <xf numFmtId="1" fontId="0" fillId="9" borderId="116" xfId="0" applyNumberFormat="1" applyFill="1" applyBorder="1"/>
    <xf numFmtId="0" fontId="0" fillId="9" borderId="116" xfId="0" applyFill="1" applyBorder="1"/>
    <xf numFmtId="0" fontId="0" fillId="9" borderId="117" xfId="0" applyFill="1" applyBorder="1"/>
    <xf numFmtId="0" fontId="0" fillId="9" borderId="118" xfId="0" applyFill="1" applyBorder="1"/>
    <xf numFmtId="167" fontId="0" fillId="2" borderId="0" xfId="0" applyNumberFormat="1" applyFill="1"/>
    <xf numFmtId="174" fontId="0" fillId="0" borderId="0" xfId="52" applyFont="1" applyAlignment="1">
      <alignment horizontal="right"/>
    </xf>
    <xf numFmtId="169" fontId="0" fillId="61" borderId="59" xfId="50" applyNumberFormat="1" applyFont="1" applyBorder="1" applyAlignment="1">
      <alignment horizontal="right"/>
    </xf>
    <xf numFmtId="169" fontId="0" fillId="0" borderId="19" xfId="0" applyNumberFormat="1" applyBorder="1"/>
    <xf numFmtId="169" fontId="0" fillId="62" borderId="77" xfId="51" applyNumberFormat="1" applyFont="1" applyBorder="1"/>
    <xf numFmtId="174" fontId="0" fillId="0" borderId="15" xfId="52" applyFont="1" applyBorder="1"/>
    <xf numFmtId="174" fontId="0" fillId="0" borderId="0" xfId="52" applyFont="1"/>
    <xf numFmtId="174" fontId="0" fillId="0" borderId="16" xfId="52" applyFont="1" applyBorder="1"/>
    <xf numFmtId="174" fontId="0" fillId="0" borderId="17" xfId="52" applyFont="1" applyBorder="1"/>
    <xf numFmtId="174" fontId="4" fillId="0" borderId="17" xfId="52" applyBorder="1"/>
    <xf numFmtId="174" fontId="0" fillId="0" borderId="41" xfId="52" applyFont="1" applyBorder="1"/>
    <xf numFmtId="174" fontId="0" fillId="0" borderId="19" xfId="52" applyFont="1" applyBorder="1"/>
    <xf numFmtId="2" fontId="0" fillId="11" borderId="0" xfId="0" applyNumberFormat="1" applyFill="1"/>
    <xf numFmtId="2" fontId="8" fillId="0" borderId="0" xfId="0" applyNumberFormat="1" applyFont="1"/>
    <xf numFmtId="2" fontId="8" fillId="0" borderId="1" xfId="0" applyNumberFormat="1" applyFont="1" applyBorder="1"/>
    <xf numFmtId="167" fontId="0" fillId="0" borderId="17" xfId="0" applyNumberFormat="1" applyBorder="1"/>
    <xf numFmtId="174" fontId="0" fillId="0" borderId="1" xfId="52" applyFont="1" applyBorder="1"/>
    <xf numFmtId="167" fontId="0" fillId="62" borderId="67" xfId="51" applyNumberFormat="1" applyFont="1" applyBorder="1"/>
    <xf numFmtId="167" fontId="0" fillId="62" borderId="70" xfId="51" applyNumberFormat="1" applyFont="1" applyBorder="1"/>
    <xf numFmtId="167" fontId="0" fillId="62" borderId="68" xfId="51" applyNumberFormat="1" applyFont="1" applyBorder="1"/>
    <xf numFmtId="167" fontId="0" fillId="62" borderId="77" xfId="51" applyNumberFormat="1" applyFont="1" applyBorder="1"/>
    <xf numFmtId="167" fontId="0" fillId="62" borderId="69" xfId="51" applyNumberFormat="1" applyFont="1" applyBorder="1"/>
    <xf numFmtId="167" fontId="0" fillId="62" borderId="78" xfId="51" applyNumberFormat="1" applyFont="1" applyBorder="1"/>
    <xf numFmtId="3" fontId="0" fillId="61" borderId="119" xfId="50" applyNumberFormat="1" applyFont="1" applyBorder="1"/>
    <xf numFmtId="3" fontId="0" fillId="61" borderId="120" xfId="50" applyNumberFormat="1" applyFont="1" applyBorder="1"/>
    <xf numFmtId="0" fontId="6" fillId="0" borderId="22" xfId="0" applyFont="1" applyBorder="1"/>
    <xf numFmtId="49" fontId="0" fillId="0" borderId="20" xfId="0" applyNumberFormat="1" applyBorder="1"/>
    <xf numFmtId="167" fontId="0" fillId="0" borderId="15" xfId="0" applyNumberFormat="1" applyBorder="1"/>
    <xf numFmtId="49" fontId="6" fillId="0" borderId="20" xfId="0" applyNumberFormat="1" applyFont="1" applyBorder="1"/>
    <xf numFmtId="49" fontId="0" fillId="0" borderId="21" xfId="0" applyNumberFormat="1" applyBorder="1"/>
    <xf numFmtId="0" fontId="0" fillId="2" borderId="21" xfId="0" applyFill="1" applyBorder="1"/>
    <xf numFmtId="2" fontId="0" fillId="2" borderId="21" xfId="0" applyNumberFormat="1" applyFill="1" applyBorder="1"/>
    <xf numFmtId="0" fontId="0" fillId="0" borderId="15" xfId="0" applyBorder="1" applyAlignment="1">
      <alignment horizontal="right" indent="1"/>
    </xf>
    <xf numFmtId="0" fontId="0" fillId="0" borderId="0" xfId="0" applyAlignment="1">
      <alignment horizontal="right" indent="1"/>
    </xf>
    <xf numFmtId="171" fontId="0" fillId="61" borderId="55" xfId="50" applyNumberFormat="1" applyFont="1" applyBorder="1"/>
    <xf numFmtId="0" fontId="0" fillId="62" borderId="72" xfId="51" applyNumberFormat="1" applyFont="1" applyBorder="1" applyAlignment="1">
      <alignment horizontal="center"/>
    </xf>
    <xf numFmtId="0" fontId="0" fillId="62" borderId="73" xfId="51" applyNumberFormat="1" applyFont="1" applyBorder="1" applyAlignment="1">
      <alignment horizontal="center"/>
    </xf>
    <xf numFmtId="0" fontId="0" fillId="62" borderId="74" xfId="51" applyNumberFormat="1" applyFont="1" applyBorder="1" applyAlignment="1">
      <alignment horizontal="center"/>
    </xf>
    <xf numFmtId="2" fontId="0" fillId="62" borderId="121" xfId="51" applyNumberFormat="1" applyFont="1" applyBorder="1" applyAlignment="1">
      <alignment horizontal="right"/>
    </xf>
    <xf numFmtId="2" fontId="0" fillId="62" borderId="78" xfId="51" applyNumberFormat="1" applyFont="1" applyBorder="1" applyAlignment="1">
      <alignment horizontal="right"/>
    </xf>
    <xf numFmtId="3" fontId="0" fillId="61" borderId="122" xfId="50" applyNumberFormat="1" applyFont="1" applyBorder="1"/>
    <xf numFmtId="3" fontId="0" fillId="61" borderId="123" xfId="50" applyNumberFormat="1" applyFont="1" applyBorder="1"/>
    <xf numFmtId="3" fontId="0" fillId="61" borderId="124" xfId="50" applyNumberFormat="1" applyFont="1" applyBorder="1"/>
    <xf numFmtId="171" fontId="4" fillId="61" borderId="122" xfId="50" applyNumberFormat="1" applyBorder="1"/>
    <xf numFmtId="171" fontId="4" fillId="61" borderId="123" xfId="50" applyNumberFormat="1" applyBorder="1"/>
    <xf numFmtId="171" fontId="0" fillId="61" borderId="123" xfId="50" applyNumberFormat="1" applyFont="1" applyBorder="1"/>
    <xf numFmtId="171" fontId="0" fillId="61" borderId="124" xfId="50" applyNumberFormat="1" applyFont="1" applyBorder="1"/>
    <xf numFmtId="3" fontId="32" fillId="7" borderId="18" xfId="0" applyNumberFormat="1" applyFont="1" applyFill="1" applyBorder="1" applyAlignment="1">
      <alignment horizontal="center"/>
    </xf>
    <xf numFmtId="0" fontId="0" fillId="61" borderId="122" xfId="50" applyNumberFormat="1" applyFont="1" applyBorder="1" applyAlignment="1">
      <alignment horizontal="left" wrapText="1"/>
    </xf>
    <xf numFmtId="0" fontId="0" fillId="61" borderId="123" xfId="50" applyNumberFormat="1" applyFont="1" applyBorder="1" applyAlignment="1">
      <alignment horizontal="left" wrapText="1"/>
    </xf>
    <xf numFmtId="0" fontId="0" fillId="61" borderId="124" xfId="50" applyNumberFormat="1" applyFont="1" applyBorder="1" applyAlignment="1">
      <alignment horizontal="left" wrapText="1"/>
    </xf>
    <xf numFmtId="2" fontId="6" fillId="8" borderId="95" xfId="0" applyNumberFormat="1" applyFont="1" applyFill="1" applyBorder="1"/>
    <xf numFmtId="2" fontId="75" fillId="8" borderId="97" xfId="0" applyNumberFormat="1" applyFont="1" applyFill="1" applyBorder="1"/>
    <xf numFmtId="2" fontId="75" fillId="8" borderId="99" xfId="0" applyNumberFormat="1" applyFont="1" applyFill="1" applyBorder="1"/>
    <xf numFmtId="2" fontId="6" fillId="8" borderId="125" xfId="0" applyNumberFormat="1" applyFont="1" applyFill="1" applyBorder="1"/>
    <xf numFmtId="2" fontId="75" fillId="8" borderId="126" xfId="0" applyNumberFormat="1" applyFont="1" applyFill="1" applyBorder="1"/>
    <xf numFmtId="2" fontId="75" fillId="8" borderId="127" xfId="0" applyNumberFormat="1" applyFont="1" applyFill="1" applyBorder="1"/>
    <xf numFmtId="0" fontId="6" fillId="62" borderId="128" xfId="51" applyNumberFormat="1" applyFont="1" applyBorder="1" applyAlignment="1">
      <alignment horizontal="center"/>
    </xf>
    <xf numFmtId="0" fontId="75" fillId="62" borderId="129" xfId="51" applyNumberFormat="1" applyFont="1" applyBorder="1" applyAlignment="1">
      <alignment horizontal="center"/>
    </xf>
    <xf numFmtId="0" fontId="75" fillId="62" borderId="130" xfId="51" applyNumberFormat="1" applyFont="1" applyBorder="1" applyAlignment="1">
      <alignment horizontal="center"/>
    </xf>
    <xf numFmtId="0" fontId="6" fillId="62" borderId="129" xfId="51" applyNumberFormat="1" applyFont="1" applyBorder="1" applyAlignment="1">
      <alignment horizontal="center"/>
    </xf>
    <xf numFmtId="0" fontId="6" fillId="62" borderId="131" xfId="51" applyNumberFormat="1" applyFont="1" applyBorder="1" applyAlignment="1">
      <alignment horizontal="center"/>
    </xf>
    <xf numFmtId="0" fontId="57" fillId="62" borderId="128" xfId="51" applyNumberFormat="1" applyBorder="1" applyAlignment="1">
      <alignment horizontal="center"/>
    </xf>
    <xf numFmtId="0" fontId="57" fillId="62" borderId="129" xfId="51" applyNumberFormat="1" applyBorder="1" applyAlignment="1">
      <alignment horizontal="center"/>
    </xf>
    <xf numFmtId="0" fontId="57" fillId="62" borderId="130" xfId="51" applyNumberFormat="1" applyBorder="1" applyAlignment="1">
      <alignment horizontal="center"/>
    </xf>
    <xf numFmtId="0" fontId="57" fillId="62" borderId="131" xfId="51" applyNumberFormat="1" applyBorder="1" applyAlignment="1">
      <alignment horizontal="center"/>
    </xf>
    <xf numFmtId="0" fontId="0" fillId="62" borderId="132" xfId="51" applyNumberFormat="1" applyFont="1" applyBorder="1"/>
    <xf numFmtId="0" fontId="0" fillId="62" borderId="133" xfId="51" applyNumberFormat="1" applyFont="1" applyBorder="1"/>
    <xf numFmtId="0" fontId="0" fillId="62" borderId="134" xfId="51" applyNumberFormat="1" applyFont="1" applyBorder="1"/>
    <xf numFmtId="171" fontId="0" fillId="0" borderId="11" xfId="0" applyNumberFormat="1" applyBorder="1"/>
    <xf numFmtId="49" fontId="6" fillId="26" borderId="15" xfId="0" applyNumberFormat="1" applyFont="1" applyFill="1" applyBorder="1" applyAlignment="1">
      <alignment horizontal="center"/>
    </xf>
    <xf numFmtId="0" fontId="6" fillId="26" borderId="15" xfId="0" applyFont="1" applyFill="1" applyBorder="1" applyAlignment="1">
      <alignment horizontal="center"/>
    </xf>
    <xf numFmtId="0" fontId="6" fillId="26" borderId="16" xfId="0" applyFont="1" applyFill="1" applyBorder="1" applyAlignment="1">
      <alignment horizontal="center"/>
    </xf>
    <xf numFmtId="0" fontId="6" fillId="27" borderId="15" xfId="0" applyFont="1" applyFill="1" applyBorder="1" applyAlignment="1">
      <alignment horizontal="center"/>
    </xf>
    <xf numFmtId="0" fontId="6" fillId="27" borderId="16" xfId="0" applyFont="1" applyFill="1" applyBorder="1" applyAlignment="1">
      <alignment horizontal="center"/>
    </xf>
    <xf numFmtId="0" fontId="6" fillId="26" borderId="14" xfId="0" applyFont="1" applyFill="1" applyBorder="1" applyAlignment="1">
      <alignment horizontal="center"/>
    </xf>
    <xf numFmtId="171" fontId="0" fillId="0" borderId="14" xfId="0" applyNumberFormat="1" applyBorder="1"/>
    <xf numFmtId="171" fontId="0" fillId="0" borderId="18" xfId="0" applyNumberFormat="1" applyBorder="1"/>
    <xf numFmtId="0" fontId="0" fillId="2" borderId="3" xfId="0" applyFill="1" applyBorder="1"/>
    <xf numFmtId="2" fontId="0" fillId="0" borderId="135" xfId="0" applyNumberFormat="1" applyBorder="1"/>
    <xf numFmtId="2" fontId="0" fillId="0" borderId="136" xfId="0" applyNumberFormat="1" applyBorder="1"/>
    <xf numFmtId="2" fontId="0" fillId="0" borderId="137" xfId="0" applyNumberFormat="1" applyBorder="1"/>
    <xf numFmtId="171" fontId="0" fillId="61" borderId="63" xfId="50" applyNumberFormat="1" applyFont="1" applyBorder="1"/>
    <xf numFmtId="171" fontId="0" fillId="61" borderId="138" xfId="50" applyNumberFormat="1" applyFont="1" applyBorder="1"/>
    <xf numFmtId="49" fontId="6" fillId="25" borderId="3" xfId="0" applyNumberFormat="1" applyFont="1" applyFill="1" applyBorder="1" applyAlignment="1">
      <alignment horizontal="center"/>
    </xf>
    <xf numFmtId="49" fontId="9" fillId="25" borderId="3" xfId="0" applyNumberFormat="1" applyFont="1" applyFill="1" applyBorder="1" applyAlignment="1">
      <alignment horizontal="center"/>
    </xf>
    <xf numFmtId="171" fontId="0" fillId="25" borderId="3" xfId="0" applyNumberFormat="1" applyFill="1" applyBorder="1"/>
    <xf numFmtId="173" fontId="0" fillId="0" borderId="15" xfId="52" applyNumberFormat="1" applyFont="1" applyBorder="1"/>
    <xf numFmtId="0" fontId="57" fillId="62" borderId="70" xfId="51" applyNumberFormat="1" applyBorder="1" applyAlignment="1">
      <alignment horizontal="center"/>
    </xf>
    <xf numFmtId="0" fontId="57" fillId="62" borderId="77" xfId="51" applyNumberFormat="1" applyBorder="1" applyAlignment="1">
      <alignment horizontal="center"/>
    </xf>
    <xf numFmtId="0" fontId="57" fillId="62" borderId="82" xfId="51" applyNumberFormat="1" applyBorder="1" applyAlignment="1">
      <alignment horizontal="center"/>
    </xf>
    <xf numFmtId="0" fontId="57" fillId="62" borderId="78" xfId="51" applyNumberFormat="1" applyBorder="1" applyAlignment="1">
      <alignment horizontal="center"/>
    </xf>
    <xf numFmtId="0" fontId="6" fillId="62" borderId="70" xfId="51" applyNumberFormat="1" applyFont="1" applyBorder="1" applyAlignment="1">
      <alignment horizontal="center"/>
    </xf>
    <xf numFmtId="0" fontId="75" fillId="62" borderId="77" xfId="51" applyNumberFormat="1" applyFont="1" applyBorder="1" applyAlignment="1">
      <alignment horizontal="center"/>
    </xf>
    <xf numFmtId="0" fontId="75" fillId="62" borderId="82" xfId="51" applyNumberFormat="1" applyFont="1" applyBorder="1" applyAlignment="1">
      <alignment horizontal="center"/>
    </xf>
    <xf numFmtId="0" fontId="6" fillId="62" borderId="77" xfId="51" applyNumberFormat="1" applyFont="1" applyBorder="1" applyAlignment="1">
      <alignment horizontal="center"/>
    </xf>
    <xf numFmtId="0" fontId="6" fillId="62" borderId="78" xfId="51" applyNumberFormat="1" applyFont="1" applyBorder="1" applyAlignment="1">
      <alignment horizontal="center"/>
    </xf>
    <xf numFmtId="0" fontId="83" fillId="25" borderId="0" xfId="0" applyFont="1" applyFill="1" applyAlignment="1">
      <alignment horizontal="left" indent="1"/>
    </xf>
    <xf numFmtId="0" fontId="0" fillId="0" borderId="0" xfId="0" applyAlignment="1">
      <alignment horizontal="left" indent="6"/>
    </xf>
    <xf numFmtId="0" fontId="84" fillId="0" borderId="0" xfId="0" applyFont="1"/>
    <xf numFmtId="0" fontId="6" fillId="59" borderId="0" xfId="0" applyFont="1" applyFill="1" applyAlignment="1">
      <alignment horizontal="left"/>
    </xf>
    <xf numFmtId="174" fontId="0" fillId="0" borderId="1" xfId="52" applyFont="1" applyBorder="1" applyAlignment="1">
      <alignment horizontal="right"/>
    </xf>
    <xf numFmtId="173" fontId="0" fillId="0" borderId="1" xfId="0" applyNumberFormat="1" applyBorder="1"/>
    <xf numFmtId="3" fontId="0" fillId="61" borderId="139" xfId="50" applyNumberFormat="1" applyFont="1" applyBorder="1"/>
    <xf numFmtId="9" fontId="0" fillId="61" borderId="61" xfId="50" applyNumberFormat="1" applyFont="1" applyBorder="1"/>
    <xf numFmtId="169" fontId="0" fillId="61" borderId="140" xfId="50" applyNumberFormat="1" applyFont="1" applyBorder="1"/>
    <xf numFmtId="169" fontId="0" fillId="61" borderId="141" xfId="50" applyNumberFormat="1" applyFont="1" applyBorder="1"/>
    <xf numFmtId="0" fontId="0" fillId="61" borderId="141" xfId="50" applyNumberFormat="1" applyFont="1" applyBorder="1"/>
    <xf numFmtId="0" fontId="0" fillId="61" borderId="142" xfId="50" applyNumberFormat="1" applyFont="1" applyBorder="1"/>
    <xf numFmtId="169" fontId="0" fillId="61" borderId="47" xfId="50" applyNumberFormat="1" applyFont="1" applyBorder="1"/>
    <xf numFmtId="169" fontId="0" fillId="61" borderId="48" xfId="50" applyNumberFormat="1" applyFont="1" applyBorder="1"/>
    <xf numFmtId="169" fontId="0" fillId="61" borderId="143" xfId="50" applyNumberFormat="1" applyFont="1" applyBorder="1"/>
    <xf numFmtId="169" fontId="0" fillId="61" borderId="144" xfId="50" applyNumberFormat="1" applyFont="1" applyBorder="1"/>
    <xf numFmtId="0" fontId="0" fillId="61" borderId="144" xfId="50" applyNumberFormat="1" applyFont="1" applyBorder="1"/>
    <xf numFmtId="0" fontId="0" fillId="61" borderId="145" xfId="50" applyNumberFormat="1" applyFont="1" applyBorder="1"/>
    <xf numFmtId="1" fontId="4" fillId="0" borderId="0" xfId="0" applyNumberFormat="1" applyFont="1" applyAlignment="1">
      <alignment horizontal="center"/>
    </xf>
    <xf numFmtId="0" fontId="4" fillId="0" borderId="0" xfId="0" applyFont="1" applyAlignment="1">
      <alignment horizontal="center"/>
    </xf>
    <xf numFmtId="0" fontId="4" fillId="0" borderId="146" xfId="0" applyFont="1" applyBorder="1" applyAlignment="1">
      <alignment horizontal="center"/>
    </xf>
    <xf numFmtId="0" fontId="4" fillId="0" borderId="1" xfId="0" applyFont="1" applyBorder="1" applyAlignment="1">
      <alignment horizontal="center"/>
    </xf>
    <xf numFmtId="169" fontId="0" fillId="61" borderId="49" xfId="50" applyNumberFormat="1" applyFont="1" applyBorder="1"/>
    <xf numFmtId="2" fontId="4" fillId="61" borderId="147" xfId="50" applyNumberFormat="1" applyBorder="1"/>
    <xf numFmtId="2" fontId="4" fillId="61" borderId="148" xfId="50" applyNumberFormat="1" applyBorder="1"/>
    <xf numFmtId="2" fontId="4" fillId="28" borderId="70" xfId="51" applyNumberFormat="1" applyFont="1" applyFill="1" applyBorder="1"/>
    <xf numFmtId="2" fontId="4" fillId="28" borderId="78" xfId="51" applyNumberFormat="1" applyFont="1" applyFill="1" applyBorder="1"/>
    <xf numFmtId="0" fontId="59" fillId="0" borderId="11" xfId="0" applyFont="1" applyBorder="1" applyAlignment="1">
      <alignment horizontal="left" indent="3"/>
    </xf>
    <xf numFmtId="4" fontId="59" fillId="61" borderId="149" xfId="50" applyFont="1" applyBorder="1"/>
    <xf numFmtId="3" fontId="59" fillId="0" borderId="41" xfId="0" applyNumberFormat="1" applyFont="1" applyBorder="1"/>
    <xf numFmtId="0" fontId="59" fillId="0" borderId="11" xfId="0" applyFont="1" applyBorder="1" applyAlignment="1">
      <alignment horizontal="left"/>
    </xf>
    <xf numFmtId="0" fontId="59" fillId="0" borderId="11" xfId="0" applyFont="1" applyBorder="1" applyAlignment="1">
      <alignment wrapText="1"/>
    </xf>
    <xf numFmtId="0" fontId="0" fillId="0" borderId="0" xfId="0" applyAlignment="1">
      <alignment vertical="center"/>
    </xf>
    <xf numFmtId="0" fontId="0" fillId="61" borderId="84" xfId="50" applyNumberFormat="1" applyFont="1" applyBorder="1" applyAlignment="1">
      <alignment horizontal="left" wrapText="1"/>
    </xf>
    <xf numFmtId="0" fontId="0" fillId="61" borderId="150" xfId="50" applyNumberFormat="1" applyFont="1" applyBorder="1" applyAlignment="1">
      <alignment horizontal="left" wrapText="1"/>
    </xf>
    <xf numFmtId="49" fontId="0" fillId="62" borderId="151" xfId="51" applyNumberFormat="1" applyFont="1" applyBorder="1"/>
    <xf numFmtId="49" fontId="0" fillId="62" borderId="81" xfId="51" applyNumberFormat="1" applyFont="1" applyBorder="1"/>
    <xf numFmtId="2" fontId="0" fillId="62" borderId="16" xfId="51" applyNumberFormat="1" applyFont="1" applyBorder="1" applyAlignment="1">
      <alignment horizontal="right"/>
    </xf>
    <xf numFmtId="2" fontId="0" fillId="62" borderId="41" xfId="51" applyNumberFormat="1" applyFont="1" applyBorder="1" applyAlignment="1">
      <alignment horizontal="right"/>
    </xf>
    <xf numFmtId="2" fontId="4" fillId="62" borderId="41" xfId="51" applyNumberFormat="1" applyFont="1" applyBorder="1" applyAlignment="1">
      <alignment horizontal="right"/>
    </xf>
    <xf numFmtId="2" fontId="0" fillId="25" borderId="0" xfId="0" applyNumberFormat="1" applyFill="1" applyAlignment="1">
      <alignment horizontal="left" indent="4"/>
    </xf>
    <xf numFmtId="3" fontId="0" fillId="25" borderId="0" xfId="50" applyNumberFormat="1" applyFont="1" applyFill="1"/>
    <xf numFmtId="4" fontId="0" fillId="25" borderId="0" xfId="0" applyNumberFormat="1" applyFill="1"/>
    <xf numFmtId="0" fontId="0" fillId="25" borderId="0" xfId="0" applyFill="1" applyAlignment="1">
      <alignment vertical="center" wrapText="1"/>
    </xf>
    <xf numFmtId="0" fontId="0" fillId="0" borderId="0" xfId="0" applyAlignment="1">
      <alignment vertical="center" wrapText="1"/>
    </xf>
    <xf numFmtId="0" fontId="0" fillId="25" borderId="0" xfId="0" applyFill="1" applyAlignment="1">
      <alignment vertical="center"/>
    </xf>
    <xf numFmtId="49" fontId="0" fillId="25" borderId="0" xfId="51" applyNumberFormat="1" applyFont="1" applyFill="1"/>
    <xf numFmtId="0" fontId="57" fillId="25" borderId="0" xfId="0" applyFont="1" applyFill="1"/>
    <xf numFmtId="49" fontId="57" fillId="25" borderId="0" xfId="51" applyNumberFormat="1" applyFill="1"/>
    <xf numFmtId="0" fontId="1" fillId="25" borderId="0" xfId="53" applyFill="1"/>
    <xf numFmtId="1" fontId="1" fillId="25" borderId="0" xfId="53" applyNumberFormat="1" applyFill="1" applyAlignment="1">
      <alignment horizontal="left"/>
    </xf>
    <xf numFmtId="49" fontId="1" fillId="25" borderId="0" xfId="51" applyNumberFormat="1" applyFont="1" applyFill="1"/>
    <xf numFmtId="0" fontId="1" fillId="25" borderId="0" xfId="51" applyNumberFormat="1" applyFont="1" applyFill="1"/>
    <xf numFmtId="0" fontId="1" fillId="25" borderId="0" xfId="53" applyFill="1" applyAlignment="1">
      <alignment vertical="center"/>
    </xf>
    <xf numFmtId="174" fontId="57" fillId="0" borderId="17" xfId="52" applyFont="1" applyBorder="1"/>
    <xf numFmtId="167" fontId="57" fillId="0" borderId="14" xfId="0" applyNumberFormat="1" applyFont="1" applyBorder="1"/>
    <xf numFmtId="167" fontId="57" fillId="0" borderId="16" xfId="0" applyNumberFormat="1" applyFont="1" applyBorder="1"/>
    <xf numFmtId="174" fontId="57" fillId="0" borderId="41" xfId="52" applyFont="1" applyBorder="1"/>
    <xf numFmtId="167" fontId="57" fillId="0" borderId="41" xfId="0" applyNumberFormat="1" applyFont="1" applyBorder="1"/>
    <xf numFmtId="174" fontId="57" fillId="0" borderId="19" xfId="52" applyFont="1" applyBorder="1"/>
    <xf numFmtId="184" fontId="0" fillId="0" borderId="16" xfId="0" applyNumberFormat="1" applyBorder="1"/>
    <xf numFmtId="184" fontId="0" fillId="0" borderId="41" xfId="0" applyNumberFormat="1" applyBorder="1"/>
    <xf numFmtId="184" fontId="0" fillId="0" borderId="41" xfId="52" applyNumberFormat="1" applyFont="1" applyBorder="1"/>
    <xf numFmtId="184" fontId="0" fillId="0" borderId="19" xfId="52" applyNumberFormat="1" applyFont="1" applyBorder="1"/>
    <xf numFmtId="0" fontId="0" fillId="0" borderId="1" xfId="0" applyBorder="1" applyAlignment="1">
      <alignment vertical="center" wrapText="1"/>
    </xf>
    <xf numFmtId="4" fontId="0" fillId="0" borderId="1" xfId="0" applyNumberFormat="1" applyBorder="1"/>
    <xf numFmtId="0" fontId="0" fillId="0" borderId="1" xfId="0" applyBorder="1" applyAlignment="1">
      <alignment vertical="center"/>
    </xf>
    <xf numFmtId="0" fontId="0" fillId="61" borderId="152" xfId="50" applyNumberFormat="1" applyFont="1" applyBorder="1" applyAlignment="1">
      <alignment horizontal="left" wrapText="1"/>
    </xf>
    <xf numFmtId="0" fontId="0" fillId="61" borderId="153" xfId="50" applyNumberFormat="1" applyFont="1" applyBorder="1" applyAlignment="1">
      <alignment horizontal="left" wrapText="1"/>
    </xf>
    <xf numFmtId="0" fontId="0" fillId="61" borderId="0" xfId="50" applyNumberFormat="1" applyFont="1" applyAlignment="1">
      <alignment horizontal="left" wrapText="1"/>
    </xf>
    <xf numFmtId="49" fontId="0" fillId="62" borderId="74" xfId="51" applyNumberFormat="1" applyFont="1" applyBorder="1"/>
    <xf numFmtId="49" fontId="0" fillId="62" borderId="69" xfId="51" applyNumberFormat="1" applyFont="1" applyBorder="1"/>
    <xf numFmtId="2" fontId="0" fillId="0" borderId="41" xfId="0" applyNumberFormat="1" applyBorder="1" applyAlignment="1">
      <alignment horizontal="center"/>
    </xf>
    <xf numFmtId="2" fontId="0" fillId="0" borderId="19" xfId="0" applyNumberFormat="1" applyBorder="1" applyAlignment="1">
      <alignment horizontal="center"/>
    </xf>
    <xf numFmtId="0" fontId="4" fillId="0" borderId="11" xfId="0" applyFont="1" applyBorder="1" applyAlignment="1">
      <alignment horizontal="left" indent="1"/>
    </xf>
    <xf numFmtId="0" fontId="4" fillId="62" borderId="129" xfId="51" applyNumberFormat="1" applyFont="1" applyBorder="1" applyAlignment="1">
      <alignment horizontal="center"/>
    </xf>
    <xf numFmtId="0" fontId="4" fillId="62" borderId="77" xfId="51" applyNumberFormat="1" applyFont="1" applyBorder="1" applyAlignment="1">
      <alignment horizontal="center"/>
    </xf>
    <xf numFmtId="0" fontId="0" fillId="62" borderId="129" xfId="51" applyNumberFormat="1" applyFont="1" applyBorder="1" applyAlignment="1">
      <alignment horizontal="center"/>
    </xf>
    <xf numFmtId="0" fontId="0" fillId="62" borderId="77" xfId="51" applyNumberFormat="1" applyFont="1" applyBorder="1" applyAlignment="1">
      <alignment horizontal="center"/>
    </xf>
    <xf numFmtId="3" fontId="4" fillId="0" borderId="0" xfId="0" applyNumberFormat="1" applyFont="1"/>
    <xf numFmtId="3" fontId="4" fillId="0" borderId="17" xfId="0" applyNumberFormat="1" applyFont="1" applyBorder="1"/>
    <xf numFmtId="3" fontId="4" fillId="0" borderId="41" xfId="0" applyNumberFormat="1" applyFont="1" applyBorder="1"/>
    <xf numFmtId="171" fontId="4" fillId="61" borderId="54" xfId="50" applyNumberFormat="1" applyBorder="1" applyAlignment="1">
      <alignment horizontal="center"/>
    </xf>
    <xf numFmtId="171" fontId="6" fillId="61" borderId="54" xfId="50" applyNumberFormat="1" applyFont="1" applyBorder="1"/>
    <xf numFmtId="171" fontId="6" fillId="61" borderId="53" xfId="50" applyNumberFormat="1" applyFont="1" applyBorder="1"/>
    <xf numFmtId="171" fontId="6" fillId="61" borderId="62" xfId="50" applyNumberFormat="1" applyFont="1" applyBorder="1"/>
    <xf numFmtId="171" fontId="6" fillId="61" borderId="55" xfId="50" applyNumberFormat="1" applyFont="1" applyBorder="1"/>
    <xf numFmtId="0" fontId="0" fillId="61" borderId="154" xfId="50" applyNumberFormat="1" applyFont="1" applyBorder="1"/>
    <xf numFmtId="177" fontId="56" fillId="0" borderId="0" xfId="0" applyNumberFormat="1" applyFont="1"/>
    <xf numFmtId="184" fontId="84" fillId="0" borderId="41" xfId="54" applyNumberFormat="1" applyFont="1" applyBorder="1"/>
    <xf numFmtId="185" fontId="0" fillId="0" borderId="0" xfId="0" applyNumberFormat="1"/>
    <xf numFmtId="0" fontId="0" fillId="0" borderId="0" xfId="0" applyBorder="1" applyAlignment="1">
      <alignment horizontal="left" indent="4"/>
    </xf>
    <xf numFmtId="0" fontId="0" fillId="0" borderId="0" xfId="0" applyBorder="1"/>
    <xf numFmtId="0" fontId="0" fillId="0" borderId="0" xfId="0" applyBorder="1" applyAlignment="1">
      <alignment horizontal="left"/>
    </xf>
    <xf numFmtId="0" fontId="0" fillId="0" borderId="1" xfId="0" applyBorder="1" applyAlignment="1">
      <alignment horizontal="left" indent="4"/>
    </xf>
    <xf numFmtId="0" fontId="0" fillId="0" borderId="1" xfId="0" applyBorder="1" applyAlignment="1">
      <alignment horizontal="left"/>
    </xf>
    <xf numFmtId="0" fontId="0" fillId="61" borderId="61" xfId="50" applyNumberFormat="1" applyFont="1" applyBorder="1"/>
    <xf numFmtId="2" fontId="0" fillId="62" borderId="19" xfId="51" applyNumberFormat="1" applyFont="1" applyBorder="1" applyAlignment="1">
      <alignment horizontal="right"/>
    </xf>
    <xf numFmtId="2" fontId="0" fillId="0" borderId="0" xfId="0" applyNumberFormat="1"/>
    <xf numFmtId="2" fontId="0" fillId="0" borderId="11" xfId="0" applyNumberFormat="1" applyBorder="1"/>
    <xf numFmtId="2" fontId="0" fillId="0" borderId="0" xfId="0" applyNumberFormat="1" applyBorder="1"/>
    <xf numFmtId="0" fontId="0" fillId="61" borderId="155" xfId="50" applyNumberFormat="1" applyFont="1" applyBorder="1" applyAlignment="1">
      <alignment horizontal="left" wrapText="1"/>
    </xf>
    <xf numFmtId="1" fontId="0" fillId="0" borderId="0" xfId="0" applyNumberFormat="1" applyBorder="1"/>
    <xf numFmtId="0" fontId="85" fillId="0" borderId="0" xfId="0" applyFont="1"/>
    <xf numFmtId="0" fontId="0" fillId="62" borderId="0" xfId="0" applyFill="1"/>
    <xf numFmtId="0" fontId="57" fillId="62" borderId="0" xfId="0" applyFont="1" applyFill="1" applyBorder="1"/>
    <xf numFmtId="49" fontId="0" fillId="62" borderId="0" xfId="51" applyNumberFormat="1" applyFont="1" applyBorder="1"/>
    <xf numFmtId="0" fontId="0" fillId="62" borderId="151" xfId="0" applyFill="1" applyBorder="1"/>
    <xf numFmtId="0" fontId="0" fillId="62" borderId="73" xfId="0" applyFill="1" applyBorder="1"/>
    <xf numFmtId="49" fontId="0" fillId="62" borderId="73" xfId="51" applyNumberFormat="1" applyFont="1" applyFill="1" applyBorder="1"/>
    <xf numFmtId="0" fontId="85" fillId="62" borderId="73" xfId="0" applyFont="1" applyFill="1" applyBorder="1"/>
    <xf numFmtId="0" fontId="57" fillId="62" borderId="81" xfId="0" applyFont="1" applyFill="1" applyBorder="1"/>
    <xf numFmtId="0" fontId="57" fillId="62" borderId="68" xfId="0" applyFont="1" applyFill="1" applyBorder="1"/>
    <xf numFmtId="0" fontId="0" fillId="62" borderId="68" xfId="0" applyFill="1" applyBorder="1"/>
    <xf numFmtId="0" fontId="0" fillId="62" borderId="81" xfId="0" applyFill="1" applyBorder="1"/>
    <xf numFmtId="0" fontId="85" fillId="62" borderId="68" xfId="0" applyFont="1" applyFill="1" applyBorder="1"/>
    <xf numFmtId="0" fontId="0" fillId="0" borderId="11" xfId="0" applyBorder="1" applyAlignment="1">
      <alignment vertical="center"/>
    </xf>
    <xf numFmtId="0" fontId="86" fillId="0" borderId="0" xfId="0" applyFont="1"/>
    <xf numFmtId="0" fontId="84" fillId="0" borderId="0" xfId="0" applyFont="1" applyAlignment="1">
      <alignment horizontal="left" vertical="center" wrapText="1"/>
    </xf>
    <xf numFmtId="0" fontId="0" fillId="2" borderId="1" xfId="0" applyFill="1" applyBorder="1"/>
    <xf numFmtId="1" fontId="0" fillId="0" borderId="16" xfId="0" applyNumberFormat="1" applyBorder="1"/>
    <xf numFmtId="1" fontId="0" fillId="0" borderId="41" xfId="0" applyNumberFormat="1" applyBorder="1"/>
    <xf numFmtId="1" fontId="0" fillId="0" borderId="19" xfId="0" applyNumberFormat="1" applyBorder="1"/>
    <xf numFmtId="1" fontId="0" fillId="8" borderId="41" xfId="0" applyNumberFormat="1" applyFill="1" applyBorder="1"/>
    <xf numFmtId="49" fontId="6" fillId="0" borderId="0" xfId="0" applyNumberFormat="1" applyFont="1" applyFill="1"/>
    <xf numFmtId="2" fontId="0" fillId="62" borderId="156" xfId="51" applyNumberFormat="1" applyFont="1" applyBorder="1" applyAlignment="1">
      <alignment horizontal="center"/>
    </xf>
    <xf numFmtId="2" fontId="0" fillId="62" borderId="133" xfId="51" applyNumberFormat="1" applyFont="1" applyBorder="1" applyAlignment="1">
      <alignment horizontal="center"/>
    </xf>
    <xf numFmtId="2" fontId="0" fillId="62" borderId="134" xfId="51" applyNumberFormat="1" applyFont="1" applyBorder="1" applyAlignment="1">
      <alignment horizontal="center"/>
    </xf>
    <xf numFmtId="49" fontId="6" fillId="13" borderId="14" xfId="0" applyNumberFormat="1" applyFont="1" applyFill="1" applyBorder="1" applyAlignment="1">
      <alignment horizontal="center"/>
    </xf>
    <xf numFmtId="2" fontId="0" fillId="62" borderId="157" xfId="51" applyNumberFormat="1" applyFont="1" applyBorder="1" applyAlignment="1">
      <alignment horizontal="center"/>
    </xf>
    <xf numFmtId="2" fontId="0" fillId="62" borderId="158" xfId="51" applyNumberFormat="1" applyFont="1" applyBorder="1" applyAlignment="1">
      <alignment horizontal="center"/>
    </xf>
    <xf numFmtId="2" fontId="0" fillId="62" borderId="159" xfId="51" applyNumberFormat="1" applyFont="1" applyBorder="1" applyAlignment="1">
      <alignment horizontal="center"/>
    </xf>
    <xf numFmtId="2" fontId="0" fillId="0" borderId="11" xfId="0" applyNumberFormat="1" applyBorder="1" applyAlignment="1">
      <alignment horizontal="center"/>
    </xf>
    <xf numFmtId="2" fontId="0" fillId="0" borderId="18" xfId="0" applyNumberFormat="1" applyBorder="1" applyAlignment="1">
      <alignment horizontal="center"/>
    </xf>
    <xf numFmtId="2" fontId="0" fillId="62" borderId="70" xfId="51" applyNumberFormat="1" applyFont="1" applyBorder="1" applyAlignment="1">
      <alignment horizontal="center"/>
    </xf>
    <xf numFmtId="2" fontId="0" fillId="62" borderId="77" xfId="51" applyNumberFormat="1" applyFont="1" applyBorder="1" applyAlignment="1">
      <alignment horizontal="center"/>
    </xf>
    <xf numFmtId="2" fontId="0" fillId="62" borderId="78" xfId="51" applyNumberFormat="1" applyFont="1" applyBorder="1" applyAlignment="1">
      <alignment horizontal="center"/>
    </xf>
    <xf numFmtId="0" fontId="21" fillId="64" borderId="15" xfId="0" applyFont="1" applyFill="1" applyBorder="1" applyAlignment="1">
      <alignment horizontal="center"/>
    </xf>
    <xf numFmtId="0" fontId="21" fillId="64" borderId="16" xfId="0" applyFont="1" applyFill="1" applyBorder="1" applyAlignment="1">
      <alignment horizontal="center"/>
    </xf>
    <xf numFmtId="0" fontId="6" fillId="26" borderId="24" xfId="0" applyFont="1" applyFill="1" applyBorder="1" applyAlignment="1">
      <alignment horizontal="center"/>
    </xf>
    <xf numFmtId="0" fontId="6" fillId="66" borderId="24" xfId="0" applyFont="1" applyFill="1" applyBorder="1" applyAlignment="1">
      <alignment horizontal="center"/>
    </xf>
    <xf numFmtId="0" fontId="6" fillId="66" borderId="15" xfId="0" applyFont="1" applyFill="1" applyBorder="1" applyAlignment="1">
      <alignment horizontal="center"/>
    </xf>
    <xf numFmtId="0" fontId="6" fillId="66" borderId="16" xfId="0" applyFont="1" applyFill="1" applyBorder="1" applyAlignment="1">
      <alignment horizontal="center"/>
    </xf>
    <xf numFmtId="2" fontId="4" fillId="66" borderId="25" xfId="0" applyNumberFormat="1" applyFont="1" applyFill="1" applyBorder="1" applyAlignment="1">
      <alignment horizontal="center"/>
    </xf>
    <xf numFmtId="3" fontId="4" fillId="66" borderId="1" xfId="0" applyNumberFormat="1" applyFont="1" applyFill="1" applyBorder="1" applyAlignment="1">
      <alignment horizontal="center"/>
    </xf>
    <xf numFmtId="3" fontId="4" fillId="66" borderId="19" xfId="0" applyNumberFormat="1" applyFont="1" applyFill="1" applyBorder="1" applyAlignment="1">
      <alignment horizontal="center"/>
    </xf>
    <xf numFmtId="2" fontId="4" fillId="26" borderId="3" xfId="0" applyNumberFormat="1" applyFont="1" applyFill="1" applyBorder="1" applyAlignment="1">
      <alignment horizontal="center"/>
    </xf>
    <xf numFmtId="3" fontId="4" fillId="26" borderId="0" xfId="0" applyNumberFormat="1" applyFont="1" applyFill="1" applyAlignment="1">
      <alignment horizontal="center"/>
    </xf>
    <xf numFmtId="3" fontId="4" fillId="26" borderId="17" xfId="0" applyNumberFormat="1" applyFont="1" applyFill="1" applyBorder="1" applyAlignment="1">
      <alignment horizontal="center"/>
    </xf>
    <xf numFmtId="0" fontId="80" fillId="67" borderId="24" xfId="0" applyFont="1" applyFill="1" applyBorder="1" applyAlignment="1">
      <alignment horizontal="center"/>
    </xf>
    <xf numFmtId="0" fontId="80" fillId="67" borderId="15" xfId="0" applyFont="1" applyFill="1" applyBorder="1" applyAlignment="1">
      <alignment horizontal="center"/>
    </xf>
    <xf numFmtId="0" fontId="80" fillId="67" borderId="16" xfId="0" applyFont="1" applyFill="1" applyBorder="1" applyAlignment="1">
      <alignment horizontal="center"/>
    </xf>
    <xf numFmtId="2" fontId="63" fillId="67" borderId="25" xfId="0" applyNumberFormat="1" applyFont="1" applyFill="1" applyBorder="1" applyAlignment="1">
      <alignment horizontal="center"/>
    </xf>
    <xf numFmtId="3" fontId="63" fillId="67" borderId="1" xfId="0" applyNumberFormat="1" applyFont="1" applyFill="1" applyBorder="1" applyAlignment="1">
      <alignment horizontal="center"/>
    </xf>
    <xf numFmtId="3" fontId="63" fillId="67" borderId="19" xfId="0" applyNumberFormat="1" applyFont="1" applyFill="1" applyBorder="1" applyAlignment="1">
      <alignment horizontal="center"/>
    </xf>
    <xf numFmtId="0" fontId="80" fillId="26" borderId="24" xfId="0" applyFont="1" applyFill="1" applyBorder="1" applyAlignment="1">
      <alignment horizontal="center"/>
    </xf>
    <xf numFmtId="0" fontId="80" fillId="26" borderId="15" xfId="0" applyFont="1" applyFill="1" applyBorder="1" applyAlignment="1">
      <alignment horizontal="center"/>
    </xf>
    <xf numFmtId="0" fontId="80" fillId="26" borderId="16" xfId="0" applyFont="1" applyFill="1" applyBorder="1" applyAlignment="1">
      <alignment horizontal="center"/>
    </xf>
    <xf numFmtId="0" fontId="6" fillId="63" borderId="24" xfId="0" applyFont="1" applyFill="1" applyBorder="1" applyAlignment="1">
      <alignment horizontal="center"/>
    </xf>
    <xf numFmtId="0" fontId="6" fillId="63" borderId="15" xfId="0" applyFont="1" applyFill="1" applyBorder="1" applyAlignment="1">
      <alignment horizontal="center"/>
    </xf>
    <xf numFmtId="0" fontId="6" fillId="63" borderId="16" xfId="0" applyFont="1" applyFill="1" applyBorder="1" applyAlignment="1">
      <alignment horizontal="center"/>
    </xf>
    <xf numFmtId="2" fontId="4" fillId="63" borderId="3" xfId="0" applyNumberFormat="1" applyFont="1" applyFill="1" applyBorder="1" applyAlignment="1">
      <alignment horizontal="center"/>
    </xf>
    <xf numFmtId="3" fontId="4" fillId="63" borderId="0" xfId="0" applyNumberFormat="1" applyFont="1" applyFill="1" applyAlignment="1">
      <alignment horizontal="center"/>
    </xf>
    <xf numFmtId="3" fontId="4" fillId="63" borderId="17" xfId="0" applyNumberFormat="1" applyFont="1" applyFill="1" applyBorder="1" applyAlignment="1">
      <alignment horizontal="center"/>
    </xf>
    <xf numFmtId="0" fontId="80" fillId="64" borderId="24" xfId="0" applyFont="1" applyFill="1" applyBorder="1" applyAlignment="1">
      <alignment horizontal="center"/>
    </xf>
    <xf numFmtId="0" fontId="80" fillId="64" borderId="15" xfId="0" applyFont="1" applyFill="1" applyBorder="1" applyAlignment="1">
      <alignment horizontal="center"/>
    </xf>
    <xf numFmtId="0" fontId="80" fillId="64" borderId="0" xfId="0" applyFont="1" applyFill="1" applyAlignment="1">
      <alignment horizontal="center"/>
    </xf>
    <xf numFmtId="0" fontId="80" fillId="64" borderId="16" xfId="0" applyFont="1" applyFill="1" applyBorder="1" applyAlignment="1">
      <alignment horizontal="center"/>
    </xf>
    <xf numFmtId="2" fontId="63" fillId="64" borderId="25" xfId="0" applyNumberFormat="1" applyFont="1" applyFill="1" applyBorder="1" applyAlignment="1">
      <alignment horizontal="center"/>
    </xf>
    <xf numFmtId="3" fontId="63" fillId="64" borderId="1" xfId="0" applyNumberFormat="1" applyFont="1" applyFill="1" applyBorder="1" applyAlignment="1">
      <alignment horizontal="center"/>
    </xf>
    <xf numFmtId="3" fontId="63" fillId="64" borderId="19" xfId="0" applyNumberFormat="1" applyFont="1" applyFill="1" applyBorder="1" applyAlignment="1">
      <alignment horizontal="center"/>
    </xf>
    <xf numFmtId="0" fontId="6" fillId="27" borderId="24" xfId="0" applyFont="1" applyFill="1" applyBorder="1" applyAlignment="1">
      <alignment horizontal="center"/>
    </xf>
    <xf numFmtId="2" fontId="4" fillId="27" borderId="25" xfId="0" applyNumberFormat="1" applyFont="1" applyFill="1" applyBorder="1" applyAlignment="1">
      <alignment horizontal="center"/>
    </xf>
    <xf numFmtId="3" fontId="4" fillId="27" borderId="1" xfId="0" applyNumberFormat="1" applyFont="1" applyFill="1" applyBorder="1" applyAlignment="1">
      <alignment horizontal="center"/>
    </xf>
    <xf numFmtId="3" fontId="4" fillId="27" borderId="19" xfId="0" applyNumberFormat="1" applyFont="1" applyFill="1" applyBorder="1" applyAlignment="1">
      <alignment horizontal="center"/>
    </xf>
    <xf numFmtId="0" fontId="21" fillId="64" borderId="14" xfId="0" applyFont="1" applyFill="1" applyBorder="1" applyAlignment="1">
      <alignment horizontal="center"/>
    </xf>
    <xf numFmtId="2" fontId="21" fillId="64" borderId="16" xfId="0" applyNumberFormat="1" applyFont="1" applyFill="1" applyBorder="1" applyAlignment="1">
      <alignment horizontal="center"/>
    </xf>
    <xf numFmtId="0" fontId="32" fillId="64" borderId="11" xfId="0" applyFont="1" applyFill="1" applyBorder="1" applyAlignment="1">
      <alignment horizontal="center" vertical="center"/>
    </xf>
    <xf numFmtId="0" fontId="32" fillId="64" borderId="0" xfId="0" applyFont="1" applyFill="1" applyAlignment="1">
      <alignment horizontal="center" vertical="center"/>
    </xf>
    <xf numFmtId="2" fontId="32" fillId="64" borderId="17" xfId="0" applyNumberFormat="1" applyFont="1" applyFill="1" applyBorder="1" applyAlignment="1">
      <alignment horizontal="center" vertical="center"/>
    </xf>
    <xf numFmtId="0" fontId="31" fillId="64" borderId="20" xfId="0" applyFont="1" applyFill="1" applyBorder="1" applyAlignment="1">
      <alignment horizontal="center"/>
    </xf>
    <xf numFmtId="0" fontId="31" fillId="64" borderId="21" xfId="0" applyFont="1" applyFill="1" applyBorder="1" applyAlignment="1">
      <alignment horizontal="center"/>
    </xf>
    <xf numFmtId="0" fontId="21" fillId="64" borderId="22" xfId="0" applyFont="1" applyFill="1" applyBorder="1" applyAlignment="1">
      <alignment horizontal="center"/>
    </xf>
    <xf numFmtId="0" fontId="31" fillId="64" borderId="14" xfId="0" applyFont="1" applyFill="1" applyBorder="1" applyAlignment="1">
      <alignment horizontal="center"/>
    </xf>
    <xf numFmtId="0" fontId="31" fillId="64" borderId="15" xfId="0" applyFont="1" applyFill="1" applyBorder="1" applyAlignment="1">
      <alignment horizontal="center"/>
    </xf>
    <xf numFmtId="177" fontId="31" fillId="64" borderId="15" xfId="0" applyNumberFormat="1" applyFont="1" applyFill="1" applyBorder="1" applyAlignment="1">
      <alignment horizontal="center"/>
    </xf>
    <xf numFmtId="177" fontId="21" fillId="64" borderId="15" xfId="0" applyNumberFormat="1" applyFont="1" applyFill="1" applyBorder="1" applyAlignment="1">
      <alignment horizontal="center"/>
    </xf>
    <xf numFmtId="0" fontId="32" fillId="64" borderId="18" xfId="0" applyFont="1" applyFill="1" applyBorder="1" applyAlignment="1">
      <alignment horizontal="center"/>
    </xf>
    <xf numFmtId="0" fontId="32" fillId="64" borderId="1" xfId="0" applyFont="1" applyFill="1" applyBorder="1" applyAlignment="1">
      <alignment horizontal="center"/>
    </xf>
    <xf numFmtId="0" fontId="32" fillId="64" borderId="0" xfId="0" applyFont="1" applyFill="1" applyAlignment="1">
      <alignment horizontal="center"/>
    </xf>
    <xf numFmtId="177" fontId="32" fillId="64" borderId="1" xfId="0" applyNumberFormat="1" applyFont="1" applyFill="1" applyBorder="1" applyAlignment="1">
      <alignment horizontal="center"/>
    </xf>
    <xf numFmtId="0" fontId="32" fillId="64" borderId="19" xfId="0" applyFont="1" applyFill="1" applyBorder="1" applyAlignment="1">
      <alignment horizontal="center"/>
    </xf>
    <xf numFmtId="0" fontId="31" fillId="64" borderId="16" xfId="0" applyFont="1" applyFill="1" applyBorder="1" applyAlignment="1">
      <alignment horizontal="center"/>
    </xf>
    <xf numFmtId="0" fontId="21" fillId="64" borderId="15" xfId="0" applyFont="1" applyFill="1" applyBorder="1" applyAlignment="1">
      <alignment horizontal="center" wrapText="1"/>
    </xf>
    <xf numFmtId="0" fontId="21" fillId="64" borderId="16" xfId="0" applyFont="1" applyFill="1" applyBorder="1" applyAlignment="1">
      <alignment horizontal="center" wrapText="1"/>
    </xf>
    <xf numFmtId="0" fontId="32" fillId="64" borderId="11" xfId="0" applyFont="1" applyFill="1" applyBorder="1" applyAlignment="1">
      <alignment horizontal="center"/>
    </xf>
    <xf numFmtId="0" fontId="32" fillId="64" borderId="17" xfId="0" applyFont="1" applyFill="1" applyBorder="1" applyAlignment="1">
      <alignment horizontal="center"/>
    </xf>
    <xf numFmtId="49" fontId="6" fillId="26" borderId="14" xfId="0" applyNumberFormat="1" applyFont="1" applyFill="1" applyBorder="1" applyAlignment="1">
      <alignment horizontal="center"/>
    </xf>
    <xf numFmtId="2" fontId="6" fillId="26" borderId="15" xfId="0" applyNumberFormat="1" applyFont="1" applyFill="1" applyBorder="1" applyAlignment="1">
      <alignment horizontal="center"/>
    </xf>
    <xf numFmtId="3" fontId="9" fillId="26" borderId="1" xfId="0" applyNumberFormat="1" applyFont="1" applyFill="1" applyBorder="1" applyAlignment="1">
      <alignment horizontal="center"/>
    </xf>
    <xf numFmtId="0" fontId="6" fillId="26" borderId="20" xfId="0" applyFont="1" applyFill="1" applyBorder="1" applyAlignment="1">
      <alignment horizontal="center"/>
    </xf>
    <xf numFmtId="0" fontId="6" fillId="26" borderId="21" xfId="0" applyFont="1" applyFill="1" applyBorder="1" applyAlignment="1">
      <alignment horizontal="center"/>
    </xf>
    <xf numFmtId="0" fontId="6" fillId="26" borderId="0" xfId="0" applyFont="1" applyFill="1" applyAlignment="1">
      <alignment horizontal="center"/>
    </xf>
    <xf numFmtId="49" fontId="6" fillId="26" borderId="20" xfId="0" applyNumberFormat="1" applyFont="1" applyFill="1" applyBorder="1" applyAlignment="1">
      <alignment horizontal="center"/>
    </xf>
    <xf numFmtId="49" fontId="6" fillId="26" borderId="21" xfId="0" applyNumberFormat="1" applyFont="1" applyFill="1" applyBorder="1" applyAlignment="1">
      <alignment horizontal="center"/>
    </xf>
    <xf numFmtId="0" fontId="6" fillId="26" borderId="22" xfId="0" applyFont="1" applyFill="1" applyBorder="1" applyAlignment="1">
      <alignment horizontal="center"/>
    </xf>
    <xf numFmtId="49" fontId="6" fillId="63" borderId="14" xfId="0" applyNumberFormat="1" applyFont="1" applyFill="1" applyBorder="1" applyAlignment="1">
      <alignment horizontal="center"/>
    </xf>
    <xf numFmtId="49" fontId="6" fillId="63" borderId="15" xfId="0" applyNumberFormat="1" applyFont="1" applyFill="1" applyBorder="1" applyAlignment="1">
      <alignment horizontal="center"/>
    </xf>
    <xf numFmtId="49" fontId="6" fillId="63" borderId="16" xfId="0" applyNumberFormat="1" applyFont="1" applyFill="1" applyBorder="1" applyAlignment="1">
      <alignment horizontal="center"/>
    </xf>
    <xf numFmtId="49" fontId="6" fillId="63" borderId="18" xfId="0" applyNumberFormat="1" applyFont="1" applyFill="1" applyBorder="1" applyAlignment="1">
      <alignment horizontal="center"/>
    </xf>
    <xf numFmtId="49" fontId="9" fillId="63" borderId="1" xfId="0" applyNumberFormat="1" applyFont="1" applyFill="1" applyBorder="1" applyAlignment="1">
      <alignment horizontal="center"/>
    </xf>
    <xf numFmtId="49" fontId="9" fillId="63" borderId="0" xfId="0" applyNumberFormat="1" applyFont="1" applyFill="1" applyAlignment="1">
      <alignment horizontal="center"/>
    </xf>
    <xf numFmtId="49" fontId="9" fillId="63" borderId="19" xfId="0" applyNumberFormat="1" applyFont="1" applyFill="1" applyBorder="1" applyAlignment="1">
      <alignment horizontal="center"/>
    </xf>
    <xf numFmtId="0" fontId="6" fillId="63" borderId="14" xfId="0" applyFont="1" applyFill="1" applyBorder="1" applyAlignment="1">
      <alignment horizontal="center"/>
    </xf>
    <xf numFmtId="0" fontId="6" fillId="27" borderId="14" xfId="0" applyFont="1" applyFill="1" applyBorder="1" applyAlignment="1">
      <alignment horizontal="center"/>
    </xf>
    <xf numFmtId="2" fontId="4" fillId="27" borderId="18" xfId="0" applyNumberFormat="1" applyFont="1" applyFill="1" applyBorder="1" applyAlignment="1">
      <alignment horizontal="center"/>
    </xf>
    <xf numFmtId="2" fontId="4" fillId="27" borderId="1" xfId="0" applyNumberFormat="1" applyFont="1" applyFill="1" applyBorder="1" applyAlignment="1">
      <alignment horizontal="center"/>
    </xf>
    <xf numFmtId="0" fontId="4" fillId="27" borderId="1" xfId="0" applyFont="1" applyFill="1" applyBorder="1" applyAlignment="1">
      <alignment horizontal="center"/>
    </xf>
    <xf numFmtId="0" fontId="6" fillId="66" borderId="14" xfId="0" applyFont="1" applyFill="1" applyBorder="1" applyAlignment="1">
      <alignment horizontal="center"/>
    </xf>
    <xf numFmtId="49" fontId="6" fillId="66" borderId="15" xfId="0" applyNumberFormat="1" applyFont="1" applyFill="1" applyBorder="1" applyAlignment="1">
      <alignment horizontal="center"/>
    </xf>
    <xf numFmtId="0" fontId="4" fillId="66" borderId="11" xfId="0" applyFont="1" applyFill="1" applyBorder="1" applyAlignment="1">
      <alignment horizontal="center"/>
    </xf>
    <xf numFmtId="0" fontId="4" fillId="66" borderId="1" xfId="0" applyFont="1" applyFill="1" applyBorder="1" applyAlignment="1">
      <alignment horizontal="center"/>
    </xf>
    <xf numFmtId="0" fontId="4" fillId="66" borderId="19" xfId="0" applyFont="1" applyFill="1" applyBorder="1" applyAlignment="1">
      <alignment horizontal="center"/>
    </xf>
    <xf numFmtId="0" fontId="6" fillId="25" borderId="14" xfId="0" applyFont="1" applyFill="1" applyBorder="1" applyAlignment="1">
      <alignment horizontal="center"/>
    </xf>
    <xf numFmtId="0" fontId="6" fillId="25" borderId="15" xfId="0" applyFont="1" applyFill="1" applyBorder="1" applyAlignment="1">
      <alignment horizontal="center"/>
    </xf>
    <xf numFmtId="0" fontId="6" fillId="25" borderId="16" xfId="0" applyFont="1" applyFill="1" applyBorder="1" applyAlignment="1">
      <alignment horizontal="center"/>
    </xf>
    <xf numFmtId="2" fontId="4" fillId="25" borderId="18" xfId="0" applyNumberFormat="1" applyFont="1" applyFill="1" applyBorder="1" applyAlignment="1">
      <alignment horizontal="center"/>
    </xf>
    <xf numFmtId="2" fontId="4" fillId="25" borderId="1" xfId="0" applyNumberFormat="1" applyFont="1" applyFill="1" applyBorder="1" applyAlignment="1">
      <alignment horizontal="center"/>
    </xf>
    <xf numFmtId="2" fontId="4" fillId="25" borderId="19" xfId="0" applyNumberFormat="1" applyFont="1" applyFill="1" applyBorder="1" applyAlignment="1">
      <alignment horizontal="center"/>
    </xf>
    <xf numFmtId="1" fontId="80" fillId="65" borderId="0" xfId="0" applyNumberFormat="1" applyFont="1" applyFill="1" applyAlignment="1">
      <alignment wrapText="1"/>
    </xf>
    <xf numFmtId="0" fontId="80" fillId="65" borderId="0" xfId="0" applyFont="1" applyFill="1" applyAlignment="1">
      <alignment horizontal="center" wrapText="1"/>
    </xf>
    <xf numFmtId="0" fontId="63" fillId="65" borderId="0" xfId="0" applyFont="1" applyFill="1" applyAlignment="1">
      <alignment horizontal="center"/>
    </xf>
    <xf numFmtId="0" fontId="63" fillId="65" borderId="3" xfId="0" applyFont="1" applyFill="1" applyBorder="1" applyAlignment="1">
      <alignment horizontal="center"/>
    </xf>
    <xf numFmtId="0" fontId="80" fillId="65" borderId="14" xfId="0" applyFont="1" applyFill="1" applyBorder="1" applyAlignment="1">
      <alignment horizontal="center"/>
    </xf>
    <xf numFmtId="0" fontId="80" fillId="65" borderId="16" xfId="0" applyFont="1" applyFill="1" applyBorder="1" applyAlignment="1">
      <alignment horizontal="center"/>
    </xf>
    <xf numFmtId="0" fontId="63" fillId="65" borderId="18" xfId="0" applyFont="1" applyFill="1" applyBorder="1" applyAlignment="1">
      <alignment horizontal="center"/>
    </xf>
    <xf numFmtId="0" fontId="63" fillId="65" borderId="19" xfId="0" applyFont="1" applyFill="1" applyBorder="1" applyAlignment="1">
      <alignment horizontal="center"/>
    </xf>
    <xf numFmtId="0" fontId="80" fillId="65" borderId="15" xfId="0" applyFont="1" applyFill="1" applyBorder="1" applyAlignment="1">
      <alignment horizontal="center"/>
    </xf>
    <xf numFmtId="0" fontId="63" fillId="65" borderId="1" xfId="0" applyFont="1" applyFill="1" applyBorder="1" applyAlignment="1">
      <alignment horizontal="center"/>
    </xf>
    <xf numFmtId="0" fontId="63" fillId="65" borderId="11" xfId="0" applyFont="1" applyFill="1" applyBorder="1" applyAlignment="1">
      <alignment horizontal="center"/>
    </xf>
    <xf numFmtId="0" fontId="63" fillId="65" borderId="17" xfId="0" applyFont="1" applyFill="1" applyBorder="1" applyAlignment="1">
      <alignment horizontal="center"/>
    </xf>
    <xf numFmtId="49" fontId="6" fillId="66" borderId="16" xfId="0" applyNumberFormat="1" applyFont="1" applyFill="1" applyBorder="1" applyAlignment="1">
      <alignment horizontal="center"/>
    </xf>
    <xf numFmtId="2" fontId="6" fillId="66" borderId="15" xfId="0" applyNumberFormat="1" applyFont="1" applyFill="1" applyBorder="1" applyAlignment="1">
      <alignment horizontal="center"/>
    </xf>
    <xf numFmtId="0" fontId="4" fillId="66" borderId="18" xfId="0" applyFont="1" applyFill="1" applyBorder="1" applyAlignment="1">
      <alignment horizontal="center"/>
    </xf>
    <xf numFmtId="49" fontId="4" fillId="66" borderId="1" xfId="0" applyNumberFormat="1" applyFont="1" applyFill="1" applyBorder="1" applyAlignment="1">
      <alignment horizontal="center"/>
    </xf>
    <xf numFmtId="2" fontId="4" fillId="66" borderId="1" xfId="0" applyNumberFormat="1" applyFont="1" applyFill="1" applyBorder="1" applyAlignment="1">
      <alignment horizontal="center"/>
    </xf>
    <xf numFmtId="0" fontId="4" fillId="66" borderId="42" xfId="0" applyFont="1" applyFill="1" applyBorder="1" applyAlignment="1">
      <alignment horizontal="center"/>
    </xf>
    <xf numFmtId="0" fontId="80" fillId="68" borderId="14" xfId="0" applyFont="1" applyFill="1" applyBorder="1" applyAlignment="1">
      <alignment horizontal="center"/>
    </xf>
    <xf numFmtId="0" fontId="80" fillId="68" borderId="15" xfId="0" applyFont="1" applyFill="1" applyBorder="1" applyAlignment="1">
      <alignment horizontal="center"/>
    </xf>
    <xf numFmtId="2" fontId="80" fillId="68" borderId="15" xfId="0" applyNumberFormat="1" applyFont="1" applyFill="1" applyBorder="1" applyAlignment="1">
      <alignment horizontal="center"/>
    </xf>
    <xf numFmtId="0" fontId="80" fillId="68" borderId="16" xfId="0" applyFont="1" applyFill="1" applyBorder="1" applyAlignment="1">
      <alignment horizontal="center"/>
    </xf>
    <xf numFmtId="0" fontId="63" fillId="68" borderId="18" xfId="0" applyFont="1" applyFill="1" applyBorder="1" applyAlignment="1">
      <alignment horizontal="center"/>
    </xf>
    <xf numFmtId="0" fontId="63" fillId="68" borderId="1" xfId="0" applyFont="1" applyFill="1" applyBorder="1" applyAlignment="1">
      <alignment horizontal="center"/>
    </xf>
    <xf numFmtId="2" fontId="63" fillId="68" borderId="1" xfId="0" applyNumberFormat="1" applyFont="1" applyFill="1" applyBorder="1" applyAlignment="1">
      <alignment horizontal="center"/>
    </xf>
    <xf numFmtId="3" fontId="63" fillId="68" borderId="1" xfId="0" applyNumberFormat="1" applyFont="1" applyFill="1" applyBorder="1" applyAlignment="1">
      <alignment horizontal="center"/>
    </xf>
    <xf numFmtId="3" fontId="63" fillId="68" borderId="19" xfId="0" applyNumberFormat="1" applyFont="1" applyFill="1" applyBorder="1" applyAlignment="1">
      <alignment horizontal="center"/>
    </xf>
    <xf numFmtId="0" fontId="21" fillId="26" borderId="14" xfId="0" applyFont="1" applyFill="1" applyBorder="1" applyAlignment="1">
      <alignment horizontal="center"/>
    </xf>
    <xf numFmtId="0" fontId="21" fillId="26" borderId="16" xfId="0" applyFont="1" applyFill="1" applyBorder="1" applyAlignment="1">
      <alignment horizontal="center"/>
    </xf>
    <xf numFmtId="0" fontId="49" fillId="26" borderId="18" xfId="0" applyFont="1" applyFill="1" applyBorder="1" applyAlignment="1">
      <alignment horizontal="center"/>
    </xf>
    <xf numFmtId="0" fontId="49" fillId="26" borderId="19" xfId="0" applyFont="1" applyFill="1" applyBorder="1" applyAlignment="1">
      <alignment horizontal="center"/>
    </xf>
    <xf numFmtId="0" fontId="80" fillId="26" borderId="14" xfId="0" applyFont="1" applyFill="1" applyBorder="1"/>
    <xf numFmtId="0" fontId="80" fillId="26" borderId="16" xfId="0" applyFont="1" applyFill="1" applyBorder="1"/>
    <xf numFmtId="0" fontId="63" fillId="26" borderId="18" xfId="0" applyFont="1" applyFill="1" applyBorder="1" applyAlignment="1">
      <alignment horizontal="center"/>
    </xf>
    <xf numFmtId="0" fontId="63" fillId="26" borderId="19" xfId="0" applyFont="1" applyFill="1" applyBorder="1" applyAlignment="1">
      <alignment horizontal="center"/>
    </xf>
    <xf numFmtId="0" fontId="63" fillId="68" borderId="19" xfId="0" applyFont="1" applyFill="1" applyBorder="1" applyAlignment="1">
      <alignment horizontal="center"/>
    </xf>
    <xf numFmtId="0" fontId="63" fillId="68" borderId="0" xfId="0" applyFont="1" applyFill="1" applyAlignment="1">
      <alignment horizontal="center"/>
    </xf>
    <xf numFmtId="0" fontId="21" fillId="26" borderId="24" xfId="0" applyFont="1" applyFill="1" applyBorder="1" applyAlignment="1">
      <alignment horizontal="center"/>
    </xf>
    <xf numFmtId="0" fontId="42" fillId="26" borderId="3" xfId="0" applyFont="1" applyFill="1" applyBorder="1" applyAlignment="1">
      <alignment horizontal="center"/>
    </xf>
    <xf numFmtId="0" fontId="63" fillId="26" borderId="3" xfId="0" applyFont="1" applyFill="1" applyBorder="1" applyAlignment="1">
      <alignment horizontal="center"/>
    </xf>
    <xf numFmtId="2" fontId="80" fillId="68" borderId="14" xfId="0" applyNumberFormat="1" applyFont="1" applyFill="1" applyBorder="1" applyAlignment="1">
      <alignment horizontal="center"/>
    </xf>
    <xf numFmtId="2" fontId="80" fillId="68" borderId="16" xfId="0" applyNumberFormat="1" applyFont="1" applyFill="1" applyBorder="1" applyAlignment="1">
      <alignment horizontal="center"/>
    </xf>
    <xf numFmtId="2" fontId="63" fillId="68" borderId="18" xfId="0" applyNumberFormat="1" applyFont="1" applyFill="1" applyBorder="1" applyAlignment="1">
      <alignment horizontal="center"/>
    </xf>
    <xf numFmtId="2" fontId="63" fillId="68" borderId="19" xfId="0" applyNumberFormat="1" applyFont="1" applyFill="1" applyBorder="1" applyAlignment="1">
      <alignment horizontal="center"/>
    </xf>
    <xf numFmtId="0" fontId="80" fillId="26" borderId="14" xfId="0" applyFont="1" applyFill="1" applyBorder="1" applyAlignment="1">
      <alignment horizontal="center"/>
    </xf>
    <xf numFmtId="0" fontId="63" fillId="26" borderId="11" xfId="0" applyFont="1" applyFill="1" applyBorder="1" applyAlignment="1">
      <alignment horizontal="center"/>
    </xf>
    <xf numFmtId="0" fontId="63" fillId="26" borderId="0" xfId="0" applyFont="1" applyFill="1" applyAlignment="1">
      <alignment horizontal="center"/>
    </xf>
    <xf numFmtId="0" fontId="63" fillId="26" borderId="17" xfId="0" applyFont="1" applyFill="1" applyBorder="1" applyAlignment="1">
      <alignment horizontal="center"/>
    </xf>
    <xf numFmtId="0" fontId="63" fillId="68" borderId="11" xfId="0" applyFont="1" applyFill="1" applyBorder="1" applyAlignment="1">
      <alignment horizontal="center"/>
    </xf>
    <xf numFmtId="0" fontId="63" fillId="68" borderId="17" xfId="0" applyFont="1" applyFill="1" applyBorder="1" applyAlignment="1">
      <alignment horizontal="center"/>
    </xf>
    <xf numFmtId="0" fontId="63" fillId="68" borderId="18" xfId="0" applyFont="1" applyFill="1" applyBorder="1"/>
    <xf numFmtId="0" fontId="63" fillId="68" borderId="1" xfId="0" applyFont="1" applyFill="1" applyBorder="1"/>
    <xf numFmtId="0" fontId="80" fillId="68" borderId="1" xfId="0" applyFont="1" applyFill="1" applyBorder="1" applyAlignment="1">
      <alignment horizontal="center"/>
    </xf>
    <xf numFmtId="0" fontId="80" fillId="68" borderId="19" xfId="0" applyFont="1" applyFill="1" applyBorder="1" applyAlignment="1">
      <alignment horizontal="center"/>
    </xf>
    <xf numFmtId="0" fontId="63" fillId="68" borderId="19" xfId="0" applyFont="1" applyFill="1" applyBorder="1"/>
    <xf numFmtId="0" fontId="80" fillId="68" borderId="14" xfId="0" applyFont="1" applyFill="1" applyBorder="1" applyAlignment="1">
      <alignment horizontal="center" wrapText="1"/>
    </xf>
    <xf numFmtId="0" fontId="80" fillId="68" borderId="15" xfId="0" applyFont="1" applyFill="1" applyBorder="1" applyAlignment="1">
      <alignment horizontal="center" wrapText="1"/>
    </xf>
    <xf numFmtId="2" fontId="63" fillId="68" borderId="18" xfId="0" applyNumberFormat="1" applyFont="1" applyFill="1" applyBorder="1" applyAlignment="1">
      <alignment horizontal="center" wrapText="1"/>
    </xf>
    <xf numFmtId="2" fontId="63" fillId="68" borderId="1" xfId="0" applyNumberFormat="1" applyFont="1" applyFill="1" applyBorder="1" applyAlignment="1">
      <alignment horizontal="center" wrapText="1"/>
    </xf>
    <xf numFmtId="0" fontId="80" fillId="68" borderId="20" xfId="0" applyFont="1" applyFill="1" applyBorder="1" applyAlignment="1">
      <alignment horizontal="center"/>
    </xf>
    <xf numFmtId="0" fontId="80" fillId="68" borderId="21" xfId="0" applyFont="1" applyFill="1" applyBorder="1" applyAlignment="1">
      <alignment horizontal="center"/>
    </xf>
    <xf numFmtId="3" fontId="63" fillId="68" borderId="0" xfId="0" applyNumberFormat="1" applyFont="1" applyFill="1" applyAlignment="1">
      <alignment horizontal="center"/>
    </xf>
    <xf numFmtId="3" fontId="63" fillId="68" borderId="17" xfId="0" applyNumberFormat="1" applyFont="1" applyFill="1" applyBorder="1" applyAlignment="1">
      <alignment horizontal="center"/>
    </xf>
    <xf numFmtId="0" fontId="63" fillId="68" borderId="41" xfId="0" applyFont="1" applyFill="1" applyBorder="1" applyAlignment="1">
      <alignment horizontal="center"/>
    </xf>
    <xf numFmtId="0" fontId="16" fillId="26" borderId="1" xfId="0" applyFont="1" applyFill="1" applyBorder="1"/>
    <xf numFmtId="0" fontId="6" fillId="26" borderId="1" xfId="0" applyFont="1" applyFill="1" applyBorder="1" applyAlignment="1">
      <alignment horizontal="center"/>
    </xf>
    <xf numFmtId="0" fontId="6" fillId="26" borderId="19" xfId="0" applyFont="1" applyFill="1" applyBorder="1" applyAlignment="1">
      <alignment horizontal="center"/>
    </xf>
    <xf numFmtId="0" fontId="6" fillId="26" borderId="41" xfId="0" applyFont="1" applyFill="1" applyBorder="1" applyAlignment="1">
      <alignment horizontal="center"/>
    </xf>
    <xf numFmtId="0" fontId="4" fillId="26" borderId="1" xfId="0" applyFont="1" applyFill="1" applyBorder="1" applyAlignment="1">
      <alignment horizontal="center"/>
    </xf>
    <xf numFmtId="0" fontId="4" fillId="26" borderId="18" xfId="0" applyFont="1" applyFill="1" applyBorder="1" applyAlignment="1">
      <alignment horizontal="center"/>
    </xf>
    <xf numFmtId="49" fontId="4" fillId="26" borderId="1" xfId="0" applyNumberFormat="1" applyFont="1" applyFill="1" applyBorder="1" applyAlignment="1">
      <alignment horizontal="center"/>
    </xf>
    <xf numFmtId="49" fontId="4" fillId="26" borderId="18" xfId="0" applyNumberFormat="1" applyFont="1" applyFill="1" applyBorder="1" applyAlignment="1">
      <alignment horizontal="center"/>
    </xf>
    <xf numFmtId="49" fontId="6" fillId="26" borderId="16" xfId="0" applyNumberFormat="1" applyFont="1" applyFill="1" applyBorder="1" applyAlignment="1">
      <alignment horizontal="center"/>
    </xf>
    <xf numFmtId="49" fontId="4" fillId="26" borderId="0" xfId="0" applyNumberFormat="1" applyFont="1" applyFill="1" applyAlignment="1">
      <alignment horizontal="center"/>
    </xf>
    <xf numFmtId="3" fontId="4" fillId="26" borderId="1" xfId="0" applyNumberFormat="1" applyFont="1" applyFill="1" applyBorder="1" applyAlignment="1">
      <alignment horizontal="center"/>
    </xf>
    <xf numFmtId="2" fontId="4" fillId="26" borderId="1" xfId="0" applyNumberFormat="1" applyFont="1" applyFill="1" applyBorder="1" applyAlignment="1">
      <alignment horizontal="center"/>
    </xf>
    <xf numFmtId="2" fontId="4" fillId="26" borderId="0" xfId="0" applyNumberFormat="1" applyFont="1" applyFill="1" applyAlignment="1">
      <alignment horizontal="center"/>
    </xf>
    <xf numFmtId="3" fontId="4" fillId="26" borderId="41" xfId="0" applyNumberFormat="1" applyFont="1" applyFill="1" applyBorder="1" applyAlignment="1">
      <alignment horizontal="center"/>
    </xf>
    <xf numFmtId="3" fontId="4" fillId="26" borderId="19" xfId="0" applyNumberFormat="1" applyFont="1" applyFill="1" applyBorder="1" applyAlignment="1">
      <alignment horizontal="center"/>
    </xf>
    <xf numFmtId="49" fontId="4" fillId="0" borderId="11" xfId="0" applyNumberFormat="1" applyFont="1" applyFill="1" applyBorder="1"/>
    <xf numFmtId="49" fontId="4" fillId="0" borderId="0" xfId="0" applyNumberFormat="1" applyFont="1" applyFill="1" applyAlignment="1">
      <alignment horizontal="center" vertical="center"/>
    </xf>
    <xf numFmtId="3" fontId="4" fillId="0" borderId="0" xfId="0" applyNumberFormat="1" applyFont="1" applyFill="1"/>
    <xf numFmtId="3" fontId="4" fillId="0" borderId="17" xfId="0" applyNumberFormat="1" applyFont="1" applyFill="1" applyBorder="1"/>
    <xf numFmtId="49" fontId="35" fillId="0" borderId="0" xfId="0" applyNumberFormat="1" applyFont="1" applyFill="1" applyAlignment="1">
      <alignment horizontal="center" vertical="center"/>
    </xf>
    <xf numFmtId="9" fontId="4" fillId="0" borderId="0" xfId="0" applyNumberFormat="1" applyFont="1" applyFill="1"/>
    <xf numFmtId="9" fontId="0" fillId="0" borderId="17" xfId="0" applyNumberFormat="1" applyFill="1" applyBorder="1"/>
    <xf numFmtId="49" fontId="4" fillId="0" borderId="18" xfId="0" applyNumberFormat="1" applyFont="1" applyFill="1" applyBorder="1"/>
    <xf numFmtId="49" fontId="35" fillId="0" borderId="1" xfId="0" applyNumberFormat="1" applyFont="1" applyFill="1" applyBorder="1" applyAlignment="1">
      <alignment horizontal="center" vertical="center"/>
    </xf>
    <xf numFmtId="3" fontId="0" fillId="0" borderId="1" xfId="0" applyNumberFormat="1" applyFill="1" applyBorder="1"/>
    <xf numFmtId="3" fontId="0" fillId="0" borderId="19" xfId="0" applyNumberFormat="1" applyFill="1" applyBorder="1"/>
    <xf numFmtId="49" fontId="4" fillId="63" borderId="1" xfId="0" applyNumberFormat="1" applyFont="1" applyFill="1" applyBorder="1" applyAlignment="1">
      <alignment horizontal="center"/>
    </xf>
    <xf numFmtId="49" fontId="4" fillId="63" borderId="19" xfId="0" applyNumberFormat="1" applyFont="1" applyFill="1" applyBorder="1" applyAlignment="1">
      <alignment horizontal="center"/>
    </xf>
    <xf numFmtId="49" fontId="4" fillId="63" borderId="18" xfId="0" applyNumberFormat="1" applyFont="1" applyFill="1" applyBorder="1" applyAlignment="1">
      <alignment horizontal="center"/>
    </xf>
    <xf numFmtId="0" fontId="4" fillId="63" borderId="1" xfId="0" applyFont="1" applyFill="1" applyBorder="1" applyAlignment="1">
      <alignment horizontal="center"/>
    </xf>
    <xf numFmtId="49" fontId="4" fillId="63" borderId="0" xfId="0" applyNumberFormat="1" applyFont="1" applyFill="1" applyAlignment="1">
      <alignment horizontal="center"/>
    </xf>
    <xf numFmtId="49" fontId="4" fillId="63" borderId="42" xfId="0" applyNumberFormat="1" applyFont="1" applyFill="1" applyBorder="1" applyAlignment="1">
      <alignment horizontal="center"/>
    </xf>
    <xf numFmtId="49" fontId="4" fillId="63" borderId="11" xfId="0" applyNumberFormat="1" applyFont="1" applyFill="1" applyBorder="1" applyAlignment="1">
      <alignment horizontal="center"/>
    </xf>
    <xf numFmtId="49" fontId="6" fillId="68" borderId="16" xfId="0" applyNumberFormat="1" applyFont="1" applyFill="1" applyBorder="1" applyAlignment="1">
      <alignment horizontal="center"/>
    </xf>
    <xf numFmtId="49" fontId="4" fillId="68" borderId="17" xfId="0" applyNumberFormat="1" applyFont="1" applyFill="1" applyBorder="1" applyAlignment="1">
      <alignment horizontal="center"/>
    </xf>
    <xf numFmtId="49" fontId="6" fillId="63" borderId="20" xfId="0" applyNumberFormat="1" applyFont="1" applyFill="1" applyBorder="1" applyAlignment="1">
      <alignment horizontal="center"/>
    </xf>
    <xf numFmtId="49" fontId="6" fillId="63" borderId="21" xfId="0" applyNumberFormat="1" applyFont="1" applyFill="1" applyBorder="1" applyAlignment="1">
      <alignment horizontal="center"/>
    </xf>
    <xf numFmtId="49" fontId="6" fillId="63" borderId="22" xfId="0" applyNumberFormat="1" applyFont="1" applyFill="1" applyBorder="1" applyAlignment="1">
      <alignment horizontal="center"/>
    </xf>
    <xf numFmtId="49" fontId="6" fillId="63" borderId="20" xfId="0" applyNumberFormat="1" applyFont="1" applyFill="1" applyBorder="1" applyAlignment="1">
      <alignment horizontal="center" vertical="center"/>
    </xf>
    <xf numFmtId="49" fontId="6" fillId="63" borderId="21" xfId="0" applyNumberFormat="1" applyFont="1" applyFill="1" applyBorder="1" applyAlignment="1">
      <alignment horizontal="center" vertical="center"/>
    </xf>
    <xf numFmtId="49" fontId="6" fillId="63" borderId="21" xfId="0" applyNumberFormat="1" applyFont="1" applyFill="1" applyBorder="1" applyAlignment="1">
      <alignment horizontal="center" vertical="center" wrapText="1"/>
    </xf>
    <xf numFmtId="49" fontId="6" fillId="63" borderId="22" xfId="0" applyNumberFormat="1" applyFont="1" applyFill="1" applyBorder="1" applyAlignment="1">
      <alignment horizontal="center" vertical="center"/>
    </xf>
    <xf numFmtId="0" fontId="4" fillId="63" borderId="11" xfId="0" applyFont="1" applyFill="1" applyBorder="1" applyAlignment="1">
      <alignment horizontal="center"/>
    </xf>
    <xf numFmtId="0" fontId="9" fillId="63" borderId="0" xfId="0" applyFont="1" applyFill="1" applyAlignment="1">
      <alignment horizontal="center"/>
    </xf>
    <xf numFmtId="49" fontId="6" fillId="68" borderId="15" xfId="0" applyNumberFormat="1" applyFont="1" applyFill="1" applyBorder="1" applyAlignment="1">
      <alignment horizontal="center"/>
    </xf>
    <xf numFmtId="49" fontId="4" fillId="68" borderId="1" xfId="0" applyNumberFormat="1" applyFont="1" applyFill="1" applyBorder="1" applyAlignment="1">
      <alignment horizontal="center"/>
    </xf>
    <xf numFmtId="49" fontId="6" fillId="63" borderId="24" xfId="0" applyNumberFormat="1" applyFont="1" applyFill="1" applyBorder="1" applyAlignment="1">
      <alignment horizontal="center"/>
    </xf>
    <xf numFmtId="49" fontId="9" fillId="63" borderId="3" xfId="0" applyNumberFormat="1" applyFont="1" applyFill="1" applyBorder="1" applyAlignment="1">
      <alignment horizontal="center"/>
    </xf>
    <xf numFmtId="0" fontId="35" fillId="63" borderId="1" xfId="0" applyFont="1" applyFill="1" applyBorder="1" applyAlignment="1">
      <alignment horizontal="center"/>
    </xf>
    <xf numFmtId="0" fontId="4" fillId="63" borderId="18" xfId="0" applyFont="1" applyFill="1" applyBorder="1" applyAlignment="1">
      <alignment horizontal="center"/>
    </xf>
    <xf numFmtId="0" fontId="4" fillId="26" borderId="41" xfId="0" applyFont="1" applyFill="1" applyBorder="1" applyAlignment="1">
      <alignment horizontal="center"/>
    </xf>
    <xf numFmtId="0" fontId="35" fillId="63" borderId="19" xfId="0" applyFont="1" applyFill="1" applyBorder="1" applyAlignment="1">
      <alignment horizontal="center"/>
    </xf>
    <xf numFmtId="0" fontId="35" fillId="63" borderId="17" xfId="0" applyFont="1" applyFill="1" applyBorder="1" applyAlignment="1">
      <alignment horizontal="center"/>
    </xf>
    <xf numFmtId="0" fontId="4" fillId="63" borderId="0" xfId="0" applyFont="1" applyFill="1" applyAlignment="1">
      <alignment horizontal="center"/>
    </xf>
    <xf numFmtId="0" fontId="4" fillId="63" borderId="17" xfId="0" applyFont="1" applyFill="1" applyBorder="1" applyAlignment="1">
      <alignment horizontal="center"/>
    </xf>
    <xf numFmtId="49" fontId="4" fillId="63" borderId="17" xfId="0" applyNumberFormat="1" applyFont="1" applyFill="1" applyBorder="1" applyAlignment="1">
      <alignment horizontal="center"/>
    </xf>
    <xf numFmtId="0" fontId="6" fillId="63" borderId="14" xfId="0" applyFont="1" applyFill="1" applyBorder="1"/>
    <xf numFmtId="0" fontId="4" fillId="63" borderId="11" xfId="0" applyFont="1" applyFill="1" applyBorder="1"/>
    <xf numFmtId="0" fontId="6" fillId="63" borderId="14" xfId="0" applyFont="1" applyFill="1" applyBorder="1" applyAlignment="1">
      <alignment horizontal="center" vertical="center"/>
    </xf>
    <xf numFmtId="0" fontId="6" fillId="63" borderId="15" xfId="0" applyFont="1" applyFill="1" applyBorder="1" applyAlignment="1">
      <alignment horizontal="center" vertical="center"/>
    </xf>
    <xf numFmtId="0" fontId="6" fillId="63" borderId="16" xfId="0" applyFont="1" applyFill="1" applyBorder="1" applyAlignment="1">
      <alignment horizontal="center" vertical="center"/>
    </xf>
    <xf numFmtId="0" fontId="6" fillId="63" borderId="24" xfId="0" applyFont="1" applyFill="1" applyBorder="1" applyAlignment="1">
      <alignment horizontal="center" vertical="center"/>
    </xf>
    <xf numFmtId="49" fontId="4" fillId="63" borderId="25" xfId="0" applyNumberFormat="1" applyFont="1" applyFill="1" applyBorder="1" applyAlignment="1">
      <alignment horizontal="center"/>
    </xf>
    <xf numFmtId="0" fontId="4" fillId="63" borderId="19" xfId="0" applyFont="1" applyFill="1" applyBorder="1" applyAlignment="1">
      <alignment horizontal="center"/>
    </xf>
    <xf numFmtId="0" fontId="6" fillId="63" borderId="18" xfId="0" applyFont="1" applyFill="1" applyBorder="1" applyAlignment="1">
      <alignment horizontal="center"/>
    </xf>
    <xf numFmtId="0" fontId="6" fillId="63" borderId="1" xfId="0" applyFont="1" applyFill="1" applyBorder="1" applyAlignment="1">
      <alignment horizontal="center"/>
    </xf>
    <xf numFmtId="0" fontId="6" fillId="63" borderId="19" xfId="0" applyFont="1" applyFill="1" applyBorder="1" applyAlignment="1">
      <alignment horizontal="center"/>
    </xf>
    <xf numFmtId="0" fontId="6" fillId="63" borderId="11" xfId="0" applyFont="1" applyFill="1" applyBorder="1" applyAlignment="1">
      <alignment horizontal="center"/>
    </xf>
    <xf numFmtId="0" fontId="6" fillId="63" borderId="0" xfId="0" applyFont="1" applyFill="1" applyAlignment="1">
      <alignment horizontal="center"/>
    </xf>
    <xf numFmtId="0" fontId="6" fillId="63" borderId="17" xfId="0" applyFont="1" applyFill="1" applyBorder="1" applyAlignment="1">
      <alignment horizontal="center"/>
    </xf>
    <xf numFmtId="0" fontId="16" fillId="63" borderId="18" xfId="0" applyFont="1" applyFill="1" applyBorder="1"/>
    <xf numFmtId="0" fontId="16" fillId="63" borderId="1" xfId="0" applyFont="1" applyFill="1" applyBorder="1"/>
    <xf numFmtId="0" fontId="6" fillId="63" borderId="41" xfId="0" applyFont="1" applyFill="1" applyBorder="1" applyAlignment="1">
      <alignment horizontal="center"/>
    </xf>
    <xf numFmtId="0" fontId="80" fillId="65" borderId="24" xfId="0" applyFont="1" applyFill="1" applyBorder="1" applyAlignment="1">
      <alignment horizontal="center"/>
    </xf>
    <xf numFmtId="2" fontId="63" fillId="65" borderId="25" xfId="0" applyNumberFormat="1" applyFont="1" applyFill="1" applyBorder="1" applyAlignment="1">
      <alignment horizontal="center"/>
    </xf>
    <xf numFmtId="2" fontId="63" fillId="65" borderId="1" xfId="0" applyNumberFormat="1" applyFont="1" applyFill="1" applyBorder="1" applyAlignment="1">
      <alignment horizontal="center"/>
    </xf>
    <xf numFmtId="3" fontId="63" fillId="65" borderId="19" xfId="0" applyNumberFormat="1" applyFont="1" applyFill="1" applyBorder="1" applyAlignment="1">
      <alignment horizontal="center"/>
    </xf>
    <xf numFmtId="2" fontId="6" fillId="26" borderId="16" xfId="0" applyNumberFormat="1" applyFont="1" applyFill="1" applyBorder="1" applyAlignment="1">
      <alignment horizontal="center"/>
    </xf>
    <xf numFmtId="3" fontId="9" fillId="26" borderId="18" xfId="0" applyNumberFormat="1" applyFont="1" applyFill="1" applyBorder="1" applyAlignment="1">
      <alignment horizontal="center"/>
    </xf>
    <xf numFmtId="3" fontId="6" fillId="26" borderId="15" xfId="0" applyNumberFormat="1" applyFont="1" applyFill="1" applyBorder="1" applyAlignment="1">
      <alignment horizontal="center"/>
    </xf>
    <xf numFmtId="0" fontId="9" fillId="26" borderId="1" xfId="0" applyFont="1" applyFill="1" applyBorder="1" applyAlignment="1">
      <alignment horizontal="center"/>
    </xf>
    <xf numFmtId="0" fontId="9" fillId="26" borderId="19" xfId="0" applyFont="1" applyFill="1" applyBorder="1" applyAlignment="1">
      <alignment horizontal="center"/>
    </xf>
    <xf numFmtId="3" fontId="4" fillId="26" borderId="18" xfId="0" applyNumberFormat="1" applyFont="1" applyFill="1" applyBorder="1" applyAlignment="1">
      <alignment horizontal="center"/>
    </xf>
    <xf numFmtId="49" fontId="4" fillId="26" borderId="41" xfId="0" applyNumberFormat="1" applyFont="1" applyFill="1" applyBorder="1" applyAlignment="1">
      <alignment horizontal="center"/>
    </xf>
    <xf numFmtId="2" fontId="4" fillId="26" borderId="19" xfId="0" applyNumberFormat="1" applyFont="1" applyFill="1" applyBorder="1" applyAlignment="1">
      <alignment horizontal="center"/>
    </xf>
    <xf numFmtId="2" fontId="6" fillId="66" borderId="14" xfId="0" applyNumberFormat="1" applyFont="1" applyFill="1" applyBorder="1" applyAlignment="1">
      <alignment horizontal="center"/>
    </xf>
    <xf numFmtId="2" fontId="4" fillId="66" borderId="18" xfId="0" applyNumberFormat="1" applyFont="1" applyFill="1" applyBorder="1" applyAlignment="1">
      <alignment horizontal="center"/>
    </xf>
    <xf numFmtId="0" fontId="4" fillId="0" borderId="19" xfId="0" applyFont="1" applyBorder="1"/>
    <xf numFmtId="49" fontId="0" fillId="0" borderId="0" xfId="0" applyNumberFormat="1" applyBorder="1"/>
    <xf numFmtId="49" fontId="16" fillId="0" borderId="0" xfId="0" applyNumberFormat="1" applyFont="1" applyBorder="1"/>
    <xf numFmtId="0" fontId="79" fillId="25" borderId="2" xfId="49" applyBorder="1" applyAlignment="1" applyProtection="1"/>
    <xf numFmtId="0" fontId="87" fillId="0" borderId="4" xfId="0" applyFont="1" applyBorder="1" applyAlignment="1"/>
    <xf numFmtId="0" fontId="88" fillId="0" borderId="29" xfId="0" applyFont="1" applyBorder="1" applyAlignment="1"/>
    <xf numFmtId="0" fontId="88" fillId="0" borderId="7" xfId="0" applyFont="1" applyBorder="1" applyAlignment="1"/>
    <xf numFmtId="0" fontId="89" fillId="0" borderId="4" xfId="0" applyFont="1" applyBorder="1" applyAlignment="1">
      <alignment horizontal="left"/>
    </xf>
    <xf numFmtId="0" fontId="90" fillId="0" borderId="29" xfId="0" applyFont="1" applyBorder="1" applyAlignment="1">
      <alignment horizontal="left"/>
    </xf>
    <xf numFmtId="0" fontId="90" fillId="0" borderId="7" xfId="0" applyFont="1" applyBorder="1" applyAlignment="1">
      <alignment horizontal="left"/>
    </xf>
    <xf numFmtId="0" fontId="0" fillId="2" borderId="30" xfId="0" applyFill="1" applyBorder="1" applyAlignment="1">
      <alignment horizontal="left" vertical="top" wrapText="1"/>
    </xf>
    <xf numFmtId="0" fontId="0" fillId="2" borderId="28" xfId="0" applyFill="1" applyBorder="1" applyAlignment="1">
      <alignment horizontal="left" vertical="top" wrapText="1"/>
    </xf>
    <xf numFmtId="0" fontId="0" fillId="2" borderId="31" xfId="0" applyFill="1" applyBorder="1" applyAlignment="1">
      <alignment horizontal="left" vertical="top" wrapText="1"/>
    </xf>
    <xf numFmtId="0" fontId="0" fillId="2" borderId="0" xfId="0" applyFill="1" applyAlignment="1">
      <alignment horizontal="left" vertical="top" wrapText="1"/>
    </xf>
    <xf numFmtId="0" fontId="21" fillId="10" borderId="14" xfId="0" applyFont="1" applyFill="1" applyBorder="1" applyAlignment="1">
      <alignment horizontal="center"/>
    </xf>
    <xf numFmtId="0" fontId="20" fillId="10" borderId="16" xfId="0" applyFont="1" applyFill="1" applyBorder="1" applyAlignment="1">
      <alignment horizontal="center"/>
    </xf>
    <xf numFmtId="3" fontId="32" fillId="10" borderId="11" xfId="0" applyNumberFormat="1" applyFont="1" applyFill="1" applyBorder="1" applyAlignment="1">
      <alignment horizontal="center"/>
    </xf>
    <xf numFmtId="0" fontId="32" fillId="10" borderId="17" xfId="0" applyFont="1" applyFill="1" applyBorder="1" applyAlignment="1">
      <alignment horizontal="center"/>
    </xf>
    <xf numFmtId="3" fontId="32" fillId="10" borderId="0" xfId="0" applyNumberFormat="1" applyFont="1" applyFill="1" applyAlignment="1">
      <alignment horizontal="center"/>
    </xf>
    <xf numFmtId="3" fontId="32" fillId="10" borderId="17" xfId="0" applyNumberFormat="1" applyFont="1" applyFill="1" applyBorder="1" applyAlignment="1">
      <alignment horizontal="center"/>
    </xf>
    <xf numFmtId="0" fontId="21" fillId="10" borderId="15" xfId="0" applyFont="1" applyFill="1" applyBorder="1" applyAlignment="1">
      <alignment horizontal="center"/>
    </xf>
    <xf numFmtId="0" fontId="38" fillId="10" borderId="18" xfId="0" applyFont="1" applyFill="1" applyBorder="1" applyAlignment="1">
      <alignment horizontal="center"/>
    </xf>
    <xf numFmtId="0" fontId="38" fillId="10" borderId="1" xfId="0" applyFont="1" applyFill="1" applyBorder="1" applyAlignment="1">
      <alignment horizontal="center"/>
    </xf>
    <xf numFmtId="0" fontId="38" fillId="10" borderId="19" xfId="0" applyFont="1" applyFill="1" applyBorder="1" applyAlignment="1">
      <alignment horizontal="center"/>
    </xf>
    <xf numFmtId="0" fontId="21" fillId="10" borderId="16" xfId="0" applyFont="1" applyFill="1" applyBorder="1" applyAlignment="1">
      <alignment horizontal="center"/>
    </xf>
    <xf numFmtId="2" fontId="0" fillId="0" borderId="0" xfId="0" applyNumberFormat="1"/>
    <xf numFmtId="2" fontId="0" fillId="0" borderId="17" xfId="0" applyNumberFormat="1" applyBorder="1"/>
    <xf numFmtId="2" fontId="0" fillId="0" borderId="11" xfId="0" applyNumberFormat="1" applyBorder="1"/>
    <xf numFmtId="171" fontId="6" fillId="3" borderId="1" xfId="0" applyNumberFormat="1" applyFont="1" applyFill="1" applyBorder="1"/>
    <xf numFmtId="171" fontId="0" fillId="0" borderId="11" xfId="0" applyNumberFormat="1" applyBorder="1"/>
    <xf numFmtId="171" fontId="0" fillId="0" borderId="17" xfId="0" applyNumberFormat="1" applyBorder="1"/>
    <xf numFmtId="171" fontId="0" fillId="0" borderId="0" xfId="0" applyNumberFormat="1"/>
    <xf numFmtId="171" fontId="4" fillId="0" borderId="11" xfId="0" applyNumberFormat="1" applyFont="1" applyBorder="1"/>
    <xf numFmtId="171" fontId="4" fillId="0" borderId="0" xfId="0" applyNumberFormat="1" applyFont="1"/>
    <xf numFmtId="171" fontId="6" fillId="3" borderId="18" xfId="0" applyNumberFormat="1" applyFont="1" applyFill="1" applyBorder="1"/>
    <xf numFmtId="171" fontId="6" fillId="3" borderId="19" xfId="0" applyNumberFormat="1" applyFont="1" applyFill="1" applyBorder="1"/>
    <xf numFmtId="0" fontId="36" fillId="10" borderId="14" xfId="0" applyFont="1" applyFill="1" applyBorder="1" applyAlignment="1">
      <alignment horizontal="center"/>
    </xf>
    <xf numFmtId="0" fontId="36" fillId="10" borderId="15" xfId="0" applyFont="1" applyFill="1" applyBorder="1" applyAlignment="1">
      <alignment horizontal="center"/>
    </xf>
    <xf numFmtId="0" fontId="36" fillId="10" borderId="16" xfId="0" applyFont="1" applyFill="1" applyBorder="1" applyAlignment="1">
      <alignment horizontal="center"/>
    </xf>
    <xf numFmtId="3" fontId="32" fillId="10" borderId="1" xfId="0" applyNumberFormat="1" applyFont="1" applyFill="1" applyBorder="1" applyAlignment="1">
      <alignment horizontal="center"/>
    </xf>
    <xf numFmtId="0" fontId="21" fillId="10" borderId="26" xfId="0" applyFont="1" applyFill="1" applyBorder="1" applyAlignment="1">
      <alignment vertical="center" wrapText="1"/>
    </xf>
    <xf numFmtId="4" fontId="25" fillId="0" borderId="24" xfId="0" applyNumberFormat="1" applyFont="1" applyBorder="1" applyAlignment="1">
      <alignment horizontal="center" vertical="center"/>
    </xf>
    <xf numFmtId="4" fontId="25" fillId="0" borderId="3" xfId="0" applyNumberFormat="1" applyFont="1" applyBorder="1" applyAlignment="1">
      <alignment horizontal="center" vertical="center"/>
    </xf>
    <xf numFmtId="4" fontId="25" fillId="0" borderId="25" xfId="0" applyNumberFormat="1" applyFont="1" applyBorder="1" applyAlignment="1">
      <alignment horizontal="center" vertical="center"/>
    </xf>
    <xf numFmtId="2" fontId="6" fillId="3" borderId="18" xfId="0" applyNumberFormat="1" applyFont="1" applyFill="1" applyBorder="1"/>
    <xf numFmtId="2" fontId="6" fillId="3" borderId="19" xfId="0" applyNumberFormat="1" applyFont="1" applyFill="1" applyBorder="1"/>
    <xf numFmtId="4" fontId="21" fillId="10" borderId="14" xfId="0" applyNumberFormat="1" applyFont="1" applyFill="1" applyBorder="1" applyAlignment="1">
      <alignment horizontal="center"/>
    </xf>
    <xf numFmtId="4" fontId="21" fillId="10" borderId="16" xfId="0" applyNumberFormat="1" applyFont="1" applyFill="1" applyBorder="1" applyAlignment="1">
      <alignment horizontal="center"/>
    </xf>
    <xf numFmtId="4" fontId="21" fillId="10" borderId="15" xfId="0" applyNumberFormat="1" applyFont="1" applyFill="1" applyBorder="1" applyAlignment="1">
      <alignment horizontal="center"/>
    </xf>
    <xf numFmtId="2" fontId="6" fillId="3" borderId="1" xfId="0" applyNumberFormat="1" applyFont="1" applyFill="1" applyBorder="1"/>
    <xf numFmtId="3" fontId="32" fillId="10" borderId="18" xfId="0" applyNumberFormat="1" applyFont="1" applyFill="1" applyBorder="1" applyAlignment="1">
      <alignment horizontal="center"/>
    </xf>
    <xf numFmtId="3" fontId="32" fillId="10" borderId="19" xfId="0" applyNumberFormat="1" applyFont="1" applyFill="1" applyBorder="1" applyAlignment="1">
      <alignment horizontal="center"/>
    </xf>
    <xf numFmtId="0" fontId="16" fillId="2" borderId="0" xfId="0" applyFont="1" applyFill="1" applyAlignment="1">
      <alignment horizontal="left"/>
    </xf>
    <xf numFmtId="0" fontId="6" fillId="26" borderId="20" xfId="0" applyFont="1" applyFill="1" applyBorder="1" applyAlignment="1">
      <alignment horizontal="center"/>
    </xf>
    <xf numFmtId="0" fontId="6" fillId="26" borderId="21" xfId="0" applyFont="1" applyFill="1" applyBorder="1" applyAlignment="1">
      <alignment horizontal="center"/>
    </xf>
    <xf numFmtId="0" fontId="6" fillId="26" borderId="22" xfId="0" applyFont="1" applyFill="1" applyBorder="1" applyAlignment="1">
      <alignment horizontal="center"/>
    </xf>
    <xf numFmtId="0" fontId="80" fillId="68" borderId="20" xfId="0" applyFont="1" applyFill="1" applyBorder="1" applyAlignment="1">
      <alignment horizontal="center"/>
    </xf>
    <xf numFmtId="0" fontId="80" fillId="68" borderId="21" xfId="0" applyFont="1" applyFill="1" applyBorder="1" applyAlignment="1">
      <alignment horizontal="center"/>
    </xf>
    <xf numFmtId="0" fontId="80" fillId="68" borderId="22" xfId="0" applyFont="1" applyFill="1" applyBorder="1" applyAlignment="1">
      <alignment horizontal="center"/>
    </xf>
    <xf numFmtId="0" fontId="6" fillId="63" borderId="20" xfId="0" applyFont="1" applyFill="1" applyBorder="1" applyAlignment="1">
      <alignment horizontal="center"/>
    </xf>
    <xf numFmtId="0" fontId="6" fillId="63" borderId="21" xfId="0" applyFont="1" applyFill="1" applyBorder="1" applyAlignment="1">
      <alignment horizontal="center"/>
    </xf>
    <xf numFmtId="0" fontId="6" fillId="63" borderId="22" xfId="0" applyFont="1" applyFill="1" applyBorder="1" applyAlignment="1">
      <alignment horizontal="center"/>
    </xf>
    <xf numFmtId="0" fontId="48" fillId="17" borderId="0" xfId="0" applyFont="1" applyFill="1" applyAlignment="1">
      <alignment horizontal="center" wrapText="1"/>
    </xf>
    <xf numFmtId="0" fontId="80" fillId="65" borderId="0" xfId="0" applyFont="1" applyFill="1" applyAlignment="1">
      <alignment horizontal="center" wrapText="1"/>
    </xf>
    <xf numFmtId="0" fontId="63" fillId="32" borderId="15" xfId="0" applyFont="1" applyFill="1" applyBorder="1" applyAlignment="1">
      <alignment horizontal="center" vertical="center" wrapText="1"/>
    </xf>
    <xf numFmtId="0" fontId="63" fillId="32" borderId="16" xfId="0" applyFont="1" applyFill="1" applyBorder="1" applyAlignment="1">
      <alignment horizontal="center" vertical="center" wrapText="1"/>
    </xf>
    <xf numFmtId="0" fontId="63" fillId="32" borderId="0" xfId="0" applyFont="1" applyFill="1" applyAlignment="1">
      <alignment horizontal="center" vertical="center" wrapText="1"/>
    </xf>
    <xf numFmtId="0" fontId="63" fillId="32" borderId="17" xfId="0" applyFont="1" applyFill="1" applyBorder="1" applyAlignment="1">
      <alignment horizontal="center" vertical="center" wrapText="1"/>
    </xf>
    <xf numFmtId="1" fontId="80" fillId="65" borderId="0" xfId="0" applyNumberFormat="1" applyFont="1" applyFill="1" applyAlignment="1">
      <alignment wrapText="1"/>
    </xf>
    <xf numFmtId="0" fontId="80" fillId="65" borderId="0" xfId="0" applyFont="1" applyFill="1" applyAlignment="1">
      <alignment horizontal="center"/>
    </xf>
    <xf numFmtId="0" fontId="80" fillId="65" borderId="3" xfId="0" applyFont="1" applyFill="1" applyBorder="1" applyAlignment="1">
      <alignment horizontal="center" wrapText="1"/>
    </xf>
  </cellXfs>
  <cellStyles count="55">
    <cellStyle name="20% - Accent1" xfId="1" builtinId="30" hidden="1" customBuiltin="1"/>
    <cellStyle name="20% - Accent2" xfId="2" builtinId="34" hidden="1" customBuiltin="1"/>
    <cellStyle name="20% - Accent3" xfId="3" builtinId="38" hidden="1" customBuiltin="1"/>
    <cellStyle name="20% - Accent4" xfId="4" builtinId="42" hidden="1" customBuiltin="1"/>
    <cellStyle name="20% - Accent5" xfId="5" builtinId="46" hidden="1" customBuiltin="1"/>
    <cellStyle name="20% - Accent6" xfId="6" builtinId="50" hidden="1" customBuiltin="1"/>
    <cellStyle name="40% - Accent1" xfId="7" builtinId="31" hidden="1" customBuiltin="1"/>
    <cellStyle name="40% - Accent2" xfId="8" builtinId="35" hidden="1" customBuiltin="1"/>
    <cellStyle name="40% - Accent3" xfId="9" builtinId="39" hidden="1" customBuiltin="1"/>
    <cellStyle name="40% - Accent4" xfId="10" builtinId="43" hidden="1" customBuiltin="1"/>
    <cellStyle name="40% - Accent5" xfId="11" builtinId="47" hidden="1" customBuiltin="1"/>
    <cellStyle name="40% - Accent6" xfId="12" builtinId="51" hidden="1" customBuiltin="1"/>
    <cellStyle name="60% - Accent1" xfId="13" builtinId="32" hidden="1" customBuiltin="1"/>
    <cellStyle name="60% - Accent2" xfId="14" builtinId="36" hidden="1" customBuiltin="1"/>
    <cellStyle name="60% - Accent3" xfId="15" builtinId="40" hidden="1" customBuiltin="1"/>
    <cellStyle name="60% - Accent4" xfId="16" builtinId="44" hidden="1" customBuiltin="1"/>
    <cellStyle name="60% - Accent5" xfId="17" builtinId="48" hidden="1" customBuiltin="1"/>
    <cellStyle name="60% - Accent6" xfId="18" builtinId="52" hidden="1" customBuiltin="1"/>
    <cellStyle name="Accent1" xfId="19" builtinId="29" hidden="1" customBuiltin="1"/>
    <cellStyle name="Accent2" xfId="20" builtinId="33" hidden="1" customBuiltin="1"/>
    <cellStyle name="Accent3" xfId="21" builtinId="37" hidden="1" customBuiltin="1"/>
    <cellStyle name="Accent4" xfId="22" builtinId="41" hidden="1" customBuiltin="1"/>
    <cellStyle name="Accent5" xfId="23" builtinId="45" hidden="1" customBuiltin="1"/>
    <cellStyle name="Accent6" xfId="24" builtinId="49" hidden="1" customBuiltin="1"/>
    <cellStyle name="Bad" xfId="25" builtinId="27" hidden="1" customBuiltin="1"/>
    <cellStyle name="Calculation" xfId="26" builtinId="22" hidden="1" customBuiltin="1"/>
    <cellStyle name="Check Cell" xfId="27" builtinId="23" hidden="1" customBuiltin="1"/>
    <cellStyle name="Comma" xfId="28" builtinId="3" hidden="1"/>
    <cellStyle name="Comma" xfId="52" builtinId="3" customBuiltin="1"/>
    <cellStyle name="Comma [0]" xfId="45" builtinId="6" hidden="1"/>
    <cellStyle name="Comma 2" xfId="54" xr:uid="{00000000-0005-0000-0000-00001E000000}"/>
    <cellStyle name="Constants" xfId="51" xr:uid="{00000000-0005-0000-0000-00001F000000}"/>
    <cellStyle name="Currency" xfId="46" builtinId="4" hidden="1"/>
    <cellStyle name="Currency [0]" xfId="47" builtinId="7" hidden="1"/>
    <cellStyle name="Explanatory Text" xfId="29" builtinId="53" hidden="1" customBuiltin="1"/>
    <cellStyle name="Followed Hyperlink" xfId="30" builtinId="9" hidden="1"/>
    <cellStyle name="Good" xfId="31" builtinId="26" hidden="1" customBuiltin="1"/>
    <cellStyle name="Heading 1" xfId="32" builtinId="16" hidden="1" customBuiltin="1"/>
    <cellStyle name="Heading 2" xfId="33" builtinId="17" hidden="1" customBuiltin="1"/>
    <cellStyle name="Heading 3" xfId="34" builtinId="18" hidden="1" customBuiltin="1"/>
    <cellStyle name="Heading 4" xfId="35" builtinId="19" hidden="1" customBuiltin="1"/>
    <cellStyle name="Hyperlink" xfId="36" builtinId="8" hidden="1"/>
    <cellStyle name="Hyperlink" xfId="49" builtinId="8" customBuiltin="1"/>
    <cellStyle name="Input" xfId="37" builtinId="20" hidden="1" customBuiltin="1"/>
    <cellStyle name="Linked Cell" xfId="38" builtinId="24" hidden="1" customBuiltin="1"/>
    <cellStyle name="Neutral" xfId="39" builtinId="28" hidden="1" customBuiltin="1"/>
    <cellStyle name="Normal" xfId="0" builtinId="0" customBuiltin="1"/>
    <cellStyle name="Normal 2" xfId="53" xr:uid="{00000000-0005-0000-0000-00002F000000}"/>
    <cellStyle name="Note" xfId="48" builtinId="10" hidden="1"/>
    <cellStyle name="Output" xfId="40" builtinId="21" hidden="1" customBuiltin="1"/>
    <cellStyle name="Percent" xfId="41" builtinId="5" hidden="1"/>
    <cellStyle name="Raw Data" xfId="50" xr:uid="{00000000-0005-0000-0000-000033000000}"/>
    <cellStyle name="Title" xfId="42" builtinId="15" hidden="1" customBuiltin="1"/>
    <cellStyle name="Total" xfId="43" builtinId="25" hidden="1" customBuiltin="1"/>
    <cellStyle name="Warning Text" xfId="44" builtinId="11" hidden="1" customBuiltin="1"/>
  </cellStyles>
  <dxfs count="18">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22"/>
      </font>
    </dxf>
    <dxf>
      <font>
        <condense val="0"/>
        <extend val="0"/>
        <color indexed="9"/>
      </font>
    </dxf>
    <dxf>
      <font>
        <condense val="0"/>
        <extend val="0"/>
        <color indexed="9"/>
      </font>
    </dxf>
    <dxf>
      <font>
        <condense val="0"/>
        <extend val="0"/>
        <color indexed="9"/>
      </font>
    </dxf>
    <dxf>
      <font>
        <condense val="0"/>
        <extend val="0"/>
        <color rgb="FF9C0006"/>
      </font>
      <fill>
        <patternFill>
          <bgColor rgb="FFFFC7CE"/>
        </patternFill>
      </fill>
    </dxf>
    <dxf>
      <font>
        <condense val="0"/>
        <extend val="0"/>
        <color indexed="9"/>
      </font>
    </dxf>
    <dxf>
      <font>
        <condense val="0"/>
        <extend val="0"/>
        <color indexed="22"/>
      </font>
    </dxf>
    <dxf>
      <font>
        <condense val="0"/>
        <extend val="0"/>
        <color indexed="22"/>
      </font>
    </dxf>
    <dxf>
      <font>
        <condense val="0"/>
        <extend val="0"/>
        <color indexed="20"/>
      </font>
    </dxf>
    <dxf>
      <font>
        <condense val="0"/>
        <extend val="0"/>
        <color indexed="2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E8A7"/>
      <rgbColor rgb="0000A100"/>
      <rgbColor rgb="000000FF"/>
      <rgbColor rgb="00A0C8B4"/>
      <rgbColor rgb="00807F83"/>
      <rgbColor rgb="0099CCFF"/>
      <rgbColor rgb="004C88C4"/>
      <rgbColor rgb="00336600"/>
      <rgbColor rgb="000000FF"/>
      <rgbColor rgb="0041C4DC"/>
      <rgbColor rgb="00FF0000"/>
      <rgbColor rgb="00A9EBE9"/>
      <rgbColor rgb="00C0C0C0"/>
      <rgbColor rgb="00808080"/>
      <rgbColor rgb="00FF9966"/>
      <rgbColor rgb="00FDE349"/>
      <rgbColor rgb="0099BB61"/>
      <rgbColor rgb="00A7BCFF"/>
      <rgbColor rgb="00BCD2A2"/>
      <rgbColor rgb="00FFFFFF"/>
      <rgbColor rgb="00FFFFFF"/>
      <rgbColor rgb="00FFFFFF"/>
      <rgbColor rgb="00FFFFFF"/>
      <rgbColor rgb="00FFFFFF"/>
      <rgbColor rgb="00FFFFFF"/>
      <rgbColor rgb="00FFFFFF"/>
      <rgbColor rgb="00FFFFFF"/>
      <rgbColor rgb="00FFFFFF"/>
      <rgbColor rgb="00FFFFFF"/>
      <rgbColor rgb="00FFFFFF"/>
      <rgbColor rgb="00B0CA90"/>
      <rgbColor rgb="00D7E4BC"/>
      <rgbColor rgb="007CE497"/>
      <rgbColor rgb="00008CF0"/>
      <rgbColor rgb="00005595"/>
      <rgbColor rgb="00C60C13"/>
      <rgbColor rgb="00000000"/>
      <rgbColor rgb="00FFA25D"/>
      <rgbColor rgb="00808080"/>
      <rgbColor rgb="00003366"/>
      <rgbColor rgb="00874F40"/>
      <rgbColor rgb="00B0CA90"/>
      <rgbColor rgb="00FF9900"/>
      <rgbColor rgb="00FFE49C"/>
      <rgbColor rgb="00CCFFCC"/>
      <rgbColor rgb="00BFBFBF"/>
      <rgbColor rgb="0099CC00"/>
      <rgbColor rgb="00005000"/>
      <rgbColor rgb="0000CC99"/>
      <rgbColor rgb="005EA283"/>
      <rgbColor rgb="00E07762"/>
      <rgbColor rgb="00003366"/>
      <rgbColor rgb="00FF9900"/>
      <rgbColor rgb="00C0C0C0"/>
    </indexedColors>
    <mruColors>
      <color rgb="FFFFA25D"/>
      <color rgb="FF0000FF"/>
      <color rgb="FFFFE49C"/>
      <color rgb="FF3A6929"/>
      <color rgb="FF52963A"/>
      <color rgb="FFF1DD93"/>
      <color rgb="FFEED284"/>
      <color rgb="FFA3C6F5"/>
      <color rgb="FFBED7F8"/>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worksheet" Target="worksheets/sheet67.xml"/><Relationship Id="rId7" Type="http://schemas.openxmlformats.org/officeDocument/2006/relationships/worksheet" Target="worksheets/sheet6.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worksheet" Target="worksheets/sheet65.xml"/><Relationship Id="rId5" Type="http://schemas.openxmlformats.org/officeDocument/2006/relationships/worksheet" Target="worksheets/sheet4.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7.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9.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4" Type="http://schemas.openxmlformats.org/officeDocument/2006/relationships/worksheet" Target="worksheets/sheet3.xml"/><Relationship Id="rId9"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summary_chart_data!$A$3</c:f>
          <c:strCache>
            <c:ptCount val="1"/>
            <c:pt idx="0">
              <c:v>Area and Biocapacity compared to Ecological Footprint of Canada in 2018</c:v>
            </c:pt>
          </c:strCache>
        </c:strRef>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3"/>
          <c:order val="0"/>
          <c:tx>
            <c:strRef>
              <c:f>summary_chart_data!$A$9</c:f>
              <c:strCache>
                <c:ptCount val="1"/>
                <c:pt idx="0">
                  <c:v>Fish</c:v>
                </c:pt>
              </c:strCache>
            </c:strRef>
          </c:tx>
          <c:spPr>
            <a:solidFill>
              <a:schemeClr val="accent1"/>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summary_chart_data!$B$9:$G$9</c:f>
              <c:numCache>
                <c:formatCode>#,##0;;\-;</c:formatCode>
                <c:ptCount val="6"/>
                <c:pt idx="0">
                  <c:v>345941900</c:v>
                </c:pt>
                <c:pt idx="1">
                  <c:v>119678101.57024458</c:v>
                </c:pt>
                <c:pt idx="2">
                  <c:v>6525288.7123265425</c:v>
                </c:pt>
                <c:pt idx="3">
                  <c:v>3725694.0386738656</c:v>
                </c:pt>
                <c:pt idx="4">
                  <c:v>4826505.4236819781</c:v>
                </c:pt>
                <c:pt idx="5">
                  <c:v>5424477.3273184299</c:v>
                </c:pt>
              </c:numCache>
            </c:numRef>
          </c:val>
          <c:extLst>
            <c:ext xmlns:c16="http://schemas.microsoft.com/office/drawing/2014/chart" uri="{C3380CC4-5D6E-409C-BE32-E72D297353CC}">
              <c16:uniqueId val="{00000003-0AA9-4E6C-A503-E19E3BEBBEAE}"/>
            </c:ext>
          </c:extLst>
        </c:ser>
        <c:ser>
          <c:idx val="4"/>
          <c:order val="1"/>
          <c:tx>
            <c:strRef>
              <c:f>summary_chart_data!$A$10</c:f>
              <c:strCache>
                <c:ptCount val="1"/>
                <c:pt idx="0">
                  <c:v>Built-up</c:v>
                </c:pt>
              </c:strCache>
            </c:strRef>
          </c:tx>
          <c:spPr>
            <a:solidFill>
              <a:schemeClr val="accent3"/>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summary_chart_data!$B$10:$G$10</c:f>
              <c:numCache>
                <c:formatCode>#,##0;;\-;</c:formatCode>
                <c:ptCount val="6"/>
                <c:pt idx="0">
                  <c:v>1089630.0048828125</c:v>
                </c:pt>
                <c:pt idx="1">
                  <c:v>3354421.443636999</c:v>
                </c:pt>
                <c:pt idx="2">
                  <c:v>3354421.443636999</c:v>
                </c:pt>
                <c:pt idx="3">
                  <c:v>0</c:v>
                </c:pt>
                <c:pt idx="4">
                  <c:v>0</c:v>
                </c:pt>
                <c:pt idx="5">
                  <c:v>3354421.443636999</c:v>
                </c:pt>
              </c:numCache>
            </c:numRef>
          </c:val>
          <c:extLst>
            <c:ext xmlns:c16="http://schemas.microsoft.com/office/drawing/2014/chart" uri="{C3380CC4-5D6E-409C-BE32-E72D297353CC}">
              <c16:uniqueId val="{00000004-0AA9-4E6C-A503-E19E3BEBBEAE}"/>
            </c:ext>
          </c:extLst>
        </c:ser>
        <c:ser>
          <c:idx val="0"/>
          <c:order val="2"/>
          <c:tx>
            <c:strRef>
              <c:f>summary_chart_data!$A$6</c:f>
              <c:strCache>
                <c:ptCount val="1"/>
                <c:pt idx="0">
                  <c:v>Crop</c:v>
                </c:pt>
              </c:strCache>
            </c:strRef>
          </c:tx>
          <c:spPr>
            <a:solidFill>
              <a:schemeClr val="accent2"/>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summary_chart_data!$B$6:$G$6</c:f>
              <c:numCache>
                <c:formatCode>#,##0;;\-;</c:formatCode>
                <c:ptCount val="6"/>
                <c:pt idx="0">
                  <c:v>33135000</c:v>
                </c:pt>
                <c:pt idx="1">
                  <c:v>102005959.85502967</c:v>
                </c:pt>
                <c:pt idx="2">
                  <c:v>102005959.85502966</c:v>
                </c:pt>
                <c:pt idx="3">
                  <c:v>15922858.201156098</c:v>
                </c:pt>
                <c:pt idx="4">
                  <c:v>84814926.19354786</c:v>
                </c:pt>
                <c:pt idx="5">
                  <c:v>33113891.862637892</c:v>
                </c:pt>
              </c:numCache>
            </c:numRef>
          </c:val>
          <c:extLst>
            <c:ext xmlns:c16="http://schemas.microsoft.com/office/drawing/2014/chart" uri="{C3380CC4-5D6E-409C-BE32-E72D297353CC}">
              <c16:uniqueId val="{00000000-0AA9-4E6C-A503-E19E3BEBBEAE}"/>
            </c:ext>
          </c:extLst>
        </c:ser>
        <c:ser>
          <c:idx val="1"/>
          <c:order val="3"/>
          <c:tx>
            <c:strRef>
              <c:f>summary_chart_data!$A$7</c:f>
              <c:strCache>
                <c:ptCount val="1"/>
                <c:pt idx="0">
                  <c:v>Grazing</c:v>
                </c:pt>
              </c:strCache>
            </c:strRef>
          </c:tx>
          <c:spPr>
            <a:solidFill>
              <a:schemeClr val="accent4"/>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summary_chart_data!$B$7:$G$7</c:f>
              <c:numCache>
                <c:formatCode>#,##0;;\-;</c:formatCode>
                <c:ptCount val="6"/>
                <c:pt idx="0">
                  <c:v>25064000</c:v>
                </c:pt>
                <c:pt idx="1">
                  <c:v>12421174.057624212</c:v>
                </c:pt>
                <c:pt idx="2">
                  <c:v>12421174.057624212</c:v>
                </c:pt>
                <c:pt idx="3">
                  <c:v>4748035.2553544594</c:v>
                </c:pt>
                <c:pt idx="4">
                  <c:v>6466959.8228655066</c:v>
                </c:pt>
                <c:pt idx="5">
                  <c:v>10702249.490113163</c:v>
                </c:pt>
              </c:numCache>
            </c:numRef>
          </c:val>
          <c:extLst>
            <c:ext xmlns:c16="http://schemas.microsoft.com/office/drawing/2014/chart" uri="{C3380CC4-5D6E-409C-BE32-E72D297353CC}">
              <c16:uniqueId val="{00000001-0AA9-4E6C-A503-E19E3BEBBEAE}"/>
            </c:ext>
          </c:extLst>
        </c:ser>
        <c:ser>
          <c:idx val="2"/>
          <c:order val="4"/>
          <c:tx>
            <c:strRef>
              <c:f>summary_chart_data!$A$8</c:f>
              <c:strCache>
                <c:ptCount val="1"/>
                <c:pt idx="0">
                  <c:v>Forest Products</c:v>
                </c:pt>
              </c:strCache>
            </c:strRef>
          </c:tx>
          <c:spPr>
            <a:solidFill>
              <a:schemeClr val="accent6"/>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summary_chart_data!$B$8:$G$8</c:f>
              <c:numCache>
                <c:formatCode>#,##0;;\-;</c:formatCode>
                <c:ptCount val="6"/>
                <c:pt idx="2">
                  <c:v>108442633.66216043</c:v>
                </c:pt>
                <c:pt idx="3">
                  <c:v>14780478.788962139</c:v>
                </c:pt>
                <c:pt idx="4">
                  <c:v>72947217.185124502</c:v>
                </c:pt>
                <c:pt idx="5">
                  <c:v>50275895.265998065</c:v>
                </c:pt>
              </c:numCache>
            </c:numRef>
          </c:val>
          <c:extLst>
            <c:ext xmlns:c16="http://schemas.microsoft.com/office/drawing/2014/chart" uri="{C3380CC4-5D6E-409C-BE32-E72D297353CC}">
              <c16:uniqueId val="{00000002-0AA9-4E6C-A503-E19E3BEBBEAE}"/>
            </c:ext>
          </c:extLst>
        </c:ser>
        <c:ser>
          <c:idx val="6"/>
          <c:order val="5"/>
          <c:tx>
            <c:strRef>
              <c:f>summary_chart_data!$A$12</c:f>
              <c:strCache>
                <c:ptCount val="1"/>
                <c:pt idx="0">
                  <c:v>Forest Biocapacity</c:v>
                </c:pt>
              </c:strCache>
            </c:strRef>
          </c:tx>
          <c:spPr>
            <a:pattFill prst="dkVert">
              <a:fgClr>
                <a:schemeClr val="tx1"/>
              </a:fgClr>
              <a:bgClr>
                <a:srgbClr val="00B050"/>
              </a:bgClr>
            </a:patt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summary_chart_data!$B$12:$G$12</c:f>
              <c:numCache>
                <c:formatCode>#,##0;;\-;</c:formatCode>
                <c:ptCount val="6"/>
                <c:pt idx="0">
                  <c:v>347002070</c:v>
                </c:pt>
                <c:pt idx="1">
                  <c:v>308894364.83521152</c:v>
                </c:pt>
              </c:numCache>
            </c:numRef>
          </c:val>
          <c:extLst>
            <c:ext xmlns:c16="http://schemas.microsoft.com/office/drawing/2014/chart" uri="{C3380CC4-5D6E-409C-BE32-E72D297353CC}">
              <c16:uniqueId val="{00000006-0AA9-4E6C-A503-E19E3BEBBEAE}"/>
            </c:ext>
          </c:extLst>
        </c:ser>
        <c:ser>
          <c:idx val="5"/>
          <c:order val="6"/>
          <c:tx>
            <c:strRef>
              <c:f>summary_chart_data!$A$11</c:f>
              <c:strCache>
                <c:ptCount val="1"/>
                <c:pt idx="0">
                  <c:v>Carbon</c:v>
                </c:pt>
              </c:strCache>
            </c:strRef>
          </c:tx>
          <c:spPr>
            <a:solidFill>
              <a:schemeClr val="tx1"/>
            </a:solidFill>
            <a:ln>
              <a:noFill/>
            </a:ln>
            <a:effectLst/>
          </c:spPr>
          <c:invertIfNegative val="0"/>
          <c:cat>
            <c:strRef>
              <c:f>summary_chart_data!$B$5:$G$5</c:f>
              <c:strCache>
                <c:ptCount val="6"/>
                <c:pt idx="0">
                  <c:v>Area 
[ha]</c:v>
                </c:pt>
                <c:pt idx="1">
                  <c:v>Biocapacity
[gha]</c:v>
                </c:pt>
                <c:pt idx="2">
                  <c:v>Ecological Footprint Production [gha]</c:v>
                </c:pt>
                <c:pt idx="3">
                  <c:v>Ecological Footprint Imports [gha]</c:v>
                </c:pt>
                <c:pt idx="4">
                  <c:v>Ecological Footprint Exports [gha]</c:v>
                </c:pt>
                <c:pt idx="5">
                  <c:v>Ecological Footprint Consumption [gha]</c:v>
                </c:pt>
              </c:strCache>
            </c:strRef>
          </c:cat>
          <c:val>
            <c:numRef>
              <c:f>summary_chart_data!$B$11:$G$11</c:f>
              <c:numCache>
                <c:formatCode>#,##0;;\-;</c:formatCode>
                <c:ptCount val="6"/>
                <c:pt idx="2">
                  <c:v>201920511.9389914</c:v>
                </c:pt>
                <c:pt idx="3">
                  <c:v>61309162.289826617</c:v>
                </c:pt>
                <c:pt idx="4">
                  <c:v>67092105.173670992</c:v>
                </c:pt>
                <c:pt idx="5">
                  <c:v>196137569.05514699</c:v>
                </c:pt>
              </c:numCache>
            </c:numRef>
          </c:val>
          <c:extLst>
            <c:ext xmlns:c16="http://schemas.microsoft.com/office/drawing/2014/chart" uri="{C3380CC4-5D6E-409C-BE32-E72D297353CC}">
              <c16:uniqueId val="{00000005-0AA9-4E6C-A503-E19E3BEBBEAE}"/>
            </c:ext>
          </c:extLst>
        </c:ser>
        <c:dLbls>
          <c:showLegendKey val="0"/>
          <c:showVal val="0"/>
          <c:showCatName val="0"/>
          <c:showSerName val="0"/>
          <c:showPercent val="0"/>
          <c:showBubbleSize val="0"/>
        </c:dLbls>
        <c:gapWidth val="150"/>
        <c:overlap val="100"/>
        <c:axId val="1294666703"/>
        <c:axId val="1294680015"/>
      </c:barChart>
      <c:catAx>
        <c:axId val="1294666703"/>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CA"/>
                  <a:t>Production [gha] + Imports [gha] - Exports [gha] = Consumption [gha]</a:t>
                </a:r>
              </a:p>
            </c:rich>
          </c:tx>
          <c:layout>
            <c:manualLayout>
              <c:xMode val="edge"/>
              <c:yMode val="edge"/>
              <c:x val="0.40777853949617154"/>
              <c:y val="0.9642766131701691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94680015"/>
        <c:crosses val="autoZero"/>
        <c:auto val="1"/>
        <c:lblAlgn val="ctr"/>
        <c:lblOffset val="100"/>
        <c:noMultiLvlLbl val="0"/>
      </c:catAx>
      <c:valAx>
        <c:axId val="129468001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294666703"/>
        <c:crosses val="autoZero"/>
        <c:crossBetween val="between"/>
        <c:dispUnits>
          <c:builtInUnit val="millions"/>
          <c:dispUnitsLbl>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Flow of Embodied CO</a:t>
            </a:r>
            <a:r>
              <a:rPr lang="en-US" sz="1800" b="1" i="0" u="none" strike="noStrike" baseline="-25000">
                <a:solidFill>
                  <a:srgbClr val="000000"/>
                </a:solidFill>
                <a:latin typeface="Calibri"/>
                <a:cs typeface="Calibri"/>
              </a:rPr>
              <a:t>2</a:t>
            </a:r>
            <a:r>
              <a:rPr lang="en-US" sz="1800" b="1" i="0" u="none" strike="noStrike" baseline="0">
                <a:solidFill>
                  <a:srgbClr val="000000"/>
                </a:solidFill>
                <a:latin typeface="Calibri"/>
                <a:cs typeface="Calibri"/>
              </a:rPr>
              <a:t> Emissions</a:t>
            </a:r>
          </a:p>
        </c:rich>
      </c:tx>
      <c:layout>
        <c:manualLayout>
          <c:xMode val="edge"/>
          <c:yMode val="edge"/>
          <c:x val="0.37049550624353772"/>
          <c:y val="2.197802197802199E-2"/>
        </c:manualLayout>
      </c:layout>
      <c:overlay val="0"/>
      <c:spPr>
        <a:noFill/>
        <a:ln w="25400">
          <a:noFill/>
        </a:ln>
        <a:effectLst/>
      </c:spPr>
    </c:title>
    <c:autoTitleDeleted val="0"/>
    <c:plotArea>
      <c:layout/>
      <c:barChart>
        <c:barDir val="col"/>
        <c:grouping val="stacked"/>
        <c:varyColors val="0"/>
        <c:ser>
          <c:idx val="0"/>
          <c:order val="0"/>
          <c:spPr>
            <a:solidFill>
              <a:schemeClr val="tx1"/>
            </a:solid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rot lat="0" lon="0" rev="0"/>
              </a:camera>
              <a:lightRig rig="threePt" dir="t">
                <a:rot lat="0" lon="0" rev="1200000"/>
              </a:lightRig>
            </a:scene3d>
            <a:sp3d>
              <a:bevelT w="63500" h="25400"/>
            </a:sp3d>
          </c:spPr>
          <c:invertIfNegative val="0"/>
          <c:dPt>
            <c:idx val="1"/>
            <c:invertIfNegative val="0"/>
            <c:bubble3D val="0"/>
            <c:spPr>
              <a:noFill/>
              <a:ln>
                <a:gradFill>
                  <a:gsLst>
                    <a:gs pos="0">
                      <a:schemeClr val="bg1"/>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extLst>
              <c:ext xmlns:c16="http://schemas.microsoft.com/office/drawing/2014/chart" uri="{C3380CC4-5D6E-409C-BE32-E72D297353CC}">
                <c16:uniqueId val="{00000000-7DD0-4234-8C7E-DCDADD99AA00}"/>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DD0-4234-8C7E-DCDADD99AA00}"/>
                </c:ext>
              </c:extLst>
            </c:dLbl>
            <c:dLbl>
              <c:idx val="1"/>
              <c:delete val="1"/>
              <c:extLst>
                <c:ext xmlns:c15="http://schemas.microsoft.com/office/drawing/2012/chart" uri="{CE6537A1-D6FC-4f65-9D91-7224C49458BB}"/>
                <c:ext xmlns:c16="http://schemas.microsoft.com/office/drawing/2014/chart" uri="{C3380CC4-5D6E-409C-BE32-E72D297353CC}">
                  <c16:uniqueId val="{00000000-7DD0-4234-8C7E-DCDADD99AA00}"/>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DD0-4234-8C7E-DCDADD99AA00}"/>
                </c:ext>
              </c:extLst>
            </c:dLbl>
            <c:spPr>
              <a:noFill/>
              <a:ln w="25400">
                <a:noFill/>
              </a:ln>
              <a:effectLst/>
            </c:spPr>
            <c:txPr>
              <a:bodyPr rot="0" spcFirstLastPara="1" vertOverflow="ellipsis" vert="horz" wrap="square" anchor="ctr" anchorCtr="1"/>
              <a:lstStyle/>
              <a:p>
                <a:pPr>
                  <a:defRPr sz="1100" b="1" i="0" u="none" strike="noStrike" kern="1200" baseline="0">
                    <a:solidFill>
                      <a:srgbClr val="FFFFFF"/>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ef_carbon!$A$39:$C$39</c:f>
              <c:numCache>
                <c:formatCode>_(* #,##0_);_(* \(#,##0\);_(* "-"??_);_(@_)</c:formatCode>
                <c:ptCount val="3"/>
                <c:pt idx="0">
                  <c:v>201920511.9389914</c:v>
                </c:pt>
                <c:pt idx="1">
                  <c:v>196137569.05514699</c:v>
                </c:pt>
                <c:pt idx="2">
                  <c:v>196137569.05514699</c:v>
                </c:pt>
              </c:numCache>
            </c:numRef>
          </c:val>
          <c:extLst>
            <c:ext xmlns:c16="http://schemas.microsoft.com/office/drawing/2014/chart" uri="{C3380CC4-5D6E-409C-BE32-E72D297353CC}">
              <c16:uniqueId val="{00000003-7DD0-4234-8C7E-DCDADD99AA00}"/>
            </c:ext>
          </c:extLst>
        </c:ser>
        <c:ser>
          <c:idx val="1"/>
          <c:order val="1"/>
          <c:spPr>
            <a:noFill/>
            <a:ln>
              <a:solidFill>
                <a:srgbClr val="005595">
                  <a:shade val="50000"/>
                </a:srgbClr>
              </a:solidFill>
            </a:ln>
            <a:effectLst/>
          </c:spPr>
          <c:invertIfNegative val="0"/>
          <c:dPt>
            <c:idx val="1"/>
            <c:invertIfNegative val="0"/>
            <c:bubble3D val="0"/>
            <c:spPr>
              <a:noFill/>
              <a:ln>
                <a:solidFill>
                  <a:srgbClr val="005595">
                    <a:shade val="50000"/>
                  </a:srgbClr>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4-7DD0-4234-8C7E-DCDADD99AA00}"/>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DD0-4234-8C7E-DCDADD99AA00}"/>
                </c:ext>
              </c:extLst>
            </c:dLbl>
            <c:dLbl>
              <c:idx val="1"/>
              <c:tx>
                <c:rich>
                  <a:bodyPr/>
                  <a:lstStyle/>
                  <a:p>
                    <a:r>
                      <a:rPr lang="en-US">
                        <a:solidFill>
                          <a:sysClr val="windowText" lastClr="000000"/>
                        </a:solidFill>
                      </a:rPr>
                      <a:t> Net Trade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DD0-4234-8C7E-DCDADD99AA00}"/>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DD0-4234-8C7E-DCDADD99AA00}"/>
                </c:ext>
              </c:extLst>
            </c:dLbl>
            <c:spPr>
              <a:noFill/>
              <a:ln w="25400">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ef_carbon!$A$40:$C$40</c:f>
              <c:numCache>
                <c:formatCode>_(* #,##0_);_(* \(#,##0\);_(* "-"??_);_(@_)</c:formatCode>
                <c:ptCount val="3"/>
                <c:pt idx="0">
                  <c:v>61309162.289826617</c:v>
                </c:pt>
                <c:pt idx="1">
                  <c:v>5782942.8838444054</c:v>
                </c:pt>
                <c:pt idx="2">
                  <c:v>67092105.173670992</c:v>
                </c:pt>
              </c:numCache>
            </c:numRef>
          </c:val>
          <c:extLst>
            <c:ext xmlns:c16="http://schemas.microsoft.com/office/drawing/2014/chart" uri="{C3380CC4-5D6E-409C-BE32-E72D297353CC}">
              <c16:uniqueId val="{00000007-7DD0-4234-8C7E-DCDADD99AA00}"/>
            </c:ext>
          </c:extLst>
        </c:ser>
        <c:ser>
          <c:idx val="2"/>
          <c:order val="2"/>
          <c:spPr>
            <a:gradFill rotWithShape="1">
              <a:gsLst>
                <a:gs pos="0">
                  <a:schemeClr val="dk1">
                    <a:tint val="75000"/>
                    <a:shade val="51000"/>
                    <a:satMod val="130000"/>
                  </a:schemeClr>
                </a:gs>
                <a:gs pos="80000">
                  <a:schemeClr val="dk1">
                    <a:tint val="75000"/>
                    <a:shade val="93000"/>
                    <a:satMod val="130000"/>
                  </a:schemeClr>
                </a:gs>
                <a:gs pos="100000">
                  <a:schemeClr val="dk1">
                    <a:tint val="75000"/>
                    <a:shade val="94000"/>
                    <a:satMod val="135000"/>
                  </a:schemeClr>
                </a:gs>
              </a:gsLst>
              <a:lin ang="16200000" scaled="0"/>
            </a:gradFill>
            <a:ln>
              <a:noFill/>
            </a:ln>
            <a:effectLst/>
            <a:scene3d>
              <a:camera prst="orthographicFront"/>
              <a:lightRig rig="threePt" dir="t">
                <a:rot lat="0" lon="0" rev="1200000"/>
              </a:lightRig>
            </a:scene3d>
            <a:sp3d>
              <a:bevelT w="0" h="0"/>
            </a:sp3d>
          </c:spPr>
          <c:invertIfNegative val="0"/>
          <c:dPt>
            <c:idx val="1"/>
            <c:invertIfNegative val="0"/>
            <c:bubble3D val="0"/>
            <c:spPr>
              <a:noFill/>
              <a:ln>
                <a:noFill/>
              </a:ln>
              <a:effectLst/>
            </c:spPr>
            <c:extLst>
              <c:ext xmlns:c16="http://schemas.microsoft.com/office/drawing/2014/chart" uri="{C3380CC4-5D6E-409C-BE32-E72D297353CC}">
                <c16:uniqueId val="{00000008-7DD0-4234-8C7E-DCDADD99AA00}"/>
              </c:ext>
            </c:extLst>
          </c:dPt>
          <c:val>
            <c:numRef>
              <c:f>ef_carbon!$A$41:$C$41</c:f>
              <c:numCache>
                <c:formatCode>_(* #,##0_);_(* \(#,##0\);_(* "-"??_);_(@_)</c:formatCode>
                <c:ptCount val="3"/>
                <c:pt idx="0" formatCode="General">
                  <c:v>0</c:v>
                </c:pt>
                <c:pt idx="1">
                  <c:v>61309162.289826602</c:v>
                </c:pt>
                <c:pt idx="2" formatCode="General">
                  <c:v>0</c:v>
                </c:pt>
              </c:numCache>
            </c:numRef>
          </c:val>
          <c:extLst>
            <c:ext xmlns:c16="http://schemas.microsoft.com/office/drawing/2014/chart" uri="{C3380CC4-5D6E-409C-BE32-E72D297353CC}">
              <c16:uniqueId val="{00000009-7DD0-4234-8C7E-DCDADD99AA00}"/>
            </c:ext>
          </c:extLst>
        </c:ser>
        <c:dLbls>
          <c:showLegendKey val="0"/>
          <c:showVal val="0"/>
          <c:showCatName val="0"/>
          <c:showSerName val="0"/>
          <c:showPercent val="0"/>
          <c:showBubbleSize val="0"/>
        </c:dLbls>
        <c:gapWidth val="0"/>
        <c:overlap val="100"/>
        <c:axId val="491547512"/>
        <c:axId val="491545160"/>
      </c:barChart>
      <c:catAx>
        <c:axId val="491547512"/>
        <c:scaling>
          <c:orientation val="minMax"/>
        </c:scaling>
        <c:delete val="1"/>
        <c:axPos val="b"/>
        <c:majorTickMark val="out"/>
        <c:minorTickMark val="none"/>
        <c:tickLblPos val="none"/>
        <c:crossAx val="491545160"/>
        <c:crosses val="autoZero"/>
        <c:auto val="1"/>
        <c:lblAlgn val="ctr"/>
        <c:lblOffset val="100"/>
        <c:noMultiLvlLbl val="0"/>
      </c:catAx>
      <c:valAx>
        <c:axId val="491545160"/>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en-US"/>
                  <a:t>Global Hectares</a:t>
                </a:r>
              </a:p>
            </c:rich>
          </c:tx>
          <c:overlay val="0"/>
          <c:spPr>
            <a:noFill/>
            <a:ln w="25400">
              <a:noFill/>
            </a:ln>
            <a:effectLst/>
          </c:spPr>
        </c:title>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en-US"/>
          </a:p>
        </c:txPr>
        <c:crossAx val="49154751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1800" b="1" i="0" u="none" strike="noStrike" baseline="0">
                <a:solidFill>
                  <a:srgbClr val="000000"/>
                </a:solidFill>
                <a:latin typeface="Calibri"/>
                <a:ea typeface="Calibri"/>
                <a:cs typeface="Calibri"/>
              </a:defRPr>
            </a:pPr>
            <a:r>
              <a:rPr lang="en-US"/>
              <a:t>Resource Throughput</a:t>
            </a:r>
          </a:p>
        </c:rich>
      </c:tx>
      <c:layout>
        <c:manualLayout>
          <c:xMode val="edge"/>
          <c:yMode val="edge"/>
          <c:x val="0.43581081081083423"/>
          <c:y val="1.0989010989010993E-2"/>
        </c:manualLayout>
      </c:layout>
      <c:overlay val="0"/>
      <c:spPr>
        <a:noFill/>
        <a:ln w="25400">
          <a:noFill/>
        </a:ln>
      </c:spPr>
    </c:title>
    <c:autoTitleDeleted val="0"/>
    <c:plotArea>
      <c:layout/>
      <c:barChart>
        <c:barDir val="col"/>
        <c:grouping val="stacked"/>
        <c:varyColors val="0"/>
        <c:ser>
          <c:idx val="0"/>
          <c:order val="0"/>
          <c:spPr>
            <a:solidFill>
              <a:schemeClr val="accent2"/>
            </a:solidFill>
            <a:effectLst/>
          </c:spPr>
          <c:invertIfNegative val="0"/>
          <c:dPt>
            <c:idx val="1"/>
            <c:invertIfNegative val="0"/>
            <c:bubble3D val="0"/>
            <c:spPr>
              <a:noFill/>
              <a:effectLst/>
              <a:scene3d>
                <a:camera prst="orthographicFront"/>
                <a:lightRig rig="threePt" dir="t">
                  <a:rot lat="0" lon="0" rev="1200000"/>
                </a:lightRig>
              </a:scene3d>
              <a:sp3d>
                <a:bevelT w="0" h="0"/>
              </a:sp3d>
            </c:spPr>
            <c:extLst>
              <c:ext xmlns:c16="http://schemas.microsoft.com/office/drawing/2014/chart" uri="{C3380CC4-5D6E-409C-BE32-E72D297353CC}">
                <c16:uniqueId val="{00000000-168C-48E2-9E4C-40B0D9813A2C}"/>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68C-48E2-9E4C-40B0D9813A2C}"/>
                </c:ext>
              </c:extLst>
            </c:dLbl>
            <c:dLbl>
              <c:idx val="1"/>
              <c:delete val="1"/>
              <c:extLst>
                <c:ext xmlns:c15="http://schemas.microsoft.com/office/drawing/2012/chart" uri="{CE6537A1-D6FC-4f65-9D91-7224C49458BB}"/>
                <c:ext xmlns:c16="http://schemas.microsoft.com/office/drawing/2014/chart" uri="{C3380CC4-5D6E-409C-BE32-E72D297353CC}">
                  <c16:uniqueId val="{00000000-168C-48E2-9E4C-40B0D9813A2C}"/>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68C-48E2-9E4C-40B0D9813A2C}"/>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ef_crop!$A$12:$C$12</c:f>
              <c:numCache>
                <c:formatCode>_(* #,##0_);_(* \(#,##0\);_(* "-"??_);_(@_)</c:formatCode>
                <c:ptCount val="3"/>
                <c:pt idx="0">
                  <c:v>102005959.85502966</c:v>
                </c:pt>
                <c:pt idx="1">
                  <c:v>33113891.862637892</c:v>
                </c:pt>
                <c:pt idx="2">
                  <c:v>33113891.862637892</c:v>
                </c:pt>
              </c:numCache>
            </c:numRef>
          </c:val>
          <c:extLst>
            <c:ext xmlns:c16="http://schemas.microsoft.com/office/drawing/2014/chart" uri="{C3380CC4-5D6E-409C-BE32-E72D297353CC}">
              <c16:uniqueId val="{00000003-168C-48E2-9E4C-40B0D9813A2C}"/>
            </c:ext>
          </c:extLst>
        </c:ser>
        <c:ser>
          <c:idx val="1"/>
          <c:order val="1"/>
          <c:spPr>
            <a:noFill/>
            <a:ln>
              <a:solidFill>
                <a:srgbClr val="005595">
                  <a:shade val="50000"/>
                </a:srgbClr>
              </a:solidFill>
            </a:ln>
            <a:effectLst/>
          </c:spPr>
          <c:invertIfNegative val="0"/>
          <c:dPt>
            <c:idx val="0"/>
            <c:invertIfNegative val="0"/>
            <c:bubble3D val="0"/>
            <c:extLst>
              <c:ext xmlns:c16="http://schemas.microsoft.com/office/drawing/2014/chart" uri="{C3380CC4-5D6E-409C-BE32-E72D297353CC}">
                <c16:uniqueId val="{00000004-168C-48E2-9E4C-40B0D9813A2C}"/>
              </c:ext>
            </c:extLst>
          </c:dPt>
          <c:dPt>
            <c:idx val="1"/>
            <c:invertIfNegative val="0"/>
            <c:bubble3D val="0"/>
            <c:spPr>
              <a:noFill/>
              <a:ln w="25400">
                <a:solidFill>
                  <a:srgbClr val="005595">
                    <a:shade val="50000"/>
                  </a:srgbClr>
                </a:solidFill>
              </a:ln>
            </c:spPr>
            <c:extLst>
              <c:ext xmlns:c16="http://schemas.microsoft.com/office/drawing/2014/chart" uri="{C3380CC4-5D6E-409C-BE32-E72D297353CC}">
                <c16:uniqueId val="{00000005-168C-48E2-9E4C-40B0D9813A2C}"/>
              </c:ext>
            </c:extLst>
          </c:dPt>
          <c:dPt>
            <c:idx val="2"/>
            <c:invertIfNegative val="0"/>
            <c:bubble3D val="0"/>
            <c:extLst>
              <c:ext xmlns:c16="http://schemas.microsoft.com/office/drawing/2014/chart" uri="{C3380CC4-5D6E-409C-BE32-E72D297353CC}">
                <c16:uniqueId val="{00000006-168C-48E2-9E4C-40B0D9813A2C}"/>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68C-48E2-9E4C-40B0D9813A2C}"/>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68C-48E2-9E4C-40B0D9813A2C}"/>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68C-48E2-9E4C-40B0D9813A2C}"/>
                </c:ext>
              </c:extLst>
            </c:dLbl>
            <c:spPr>
              <a:noFill/>
              <a:ln w="25400">
                <a:noFill/>
              </a:ln>
            </c:spPr>
            <c:txPr>
              <a:bodyPr/>
              <a:lstStyle/>
              <a:p>
                <a:pPr>
                  <a:defRPr sz="1100" b="1"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ef_crop!$A$13:$C$13</c:f>
              <c:numCache>
                <c:formatCode>_(* #,##0_);_(* \(#,##0\);_(* "-"??_);_(@_)</c:formatCode>
                <c:ptCount val="3"/>
                <c:pt idx="0">
                  <c:v>15922858.201156098</c:v>
                </c:pt>
                <c:pt idx="1">
                  <c:v>68892067.992391765</c:v>
                </c:pt>
                <c:pt idx="2">
                  <c:v>84814926.19354786</c:v>
                </c:pt>
              </c:numCache>
            </c:numRef>
          </c:val>
          <c:extLst>
            <c:ext xmlns:c16="http://schemas.microsoft.com/office/drawing/2014/chart" uri="{C3380CC4-5D6E-409C-BE32-E72D297353CC}">
              <c16:uniqueId val="{00000007-168C-48E2-9E4C-40B0D9813A2C}"/>
            </c:ext>
          </c:extLst>
        </c:ser>
        <c:ser>
          <c:idx val="2"/>
          <c:order val="2"/>
          <c:spPr>
            <a:gradFill>
              <a:gsLst>
                <a:gs pos="0">
                  <a:schemeClr val="accent2"/>
                </a:gs>
                <a:gs pos="50000">
                  <a:srgbClr val="4F81BD">
                    <a:tint val="44500"/>
                    <a:satMod val="160000"/>
                  </a:srgbClr>
                </a:gs>
                <a:gs pos="100000">
                  <a:srgbClr val="4F81BD">
                    <a:tint val="23500"/>
                    <a:satMod val="160000"/>
                  </a:srgbClr>
                </a:gs>
              </a:gsLst>
              <a:lin ang="10800000" scaled="1"/>
            </a:gradFill>
            <a:effectLst/>
          </c:spPr>
          <c:invertIfNegative val="0"/>
          <c:dPt>
            <c:idx val="1"/>
            <c:invertIfNegative val="0"/>
            <c:bubble3D val="0"/>
            <c:spPr>
              <a:noFill/>
              <a:effectLst/>
              <a:scene3d>
                <a:camera prst="orthographicFront"/>
                <a:lightRig rig="threePt" dir="t">
                  <a:rot lat="0" lon="0" rev="1200000"/>
                </a:lightRig>
              </a:scene3d>
              <a:sp3d>
                <a:bevelT w="0" h="0"/>
              </a:sp3d>
            </c:spPr>
            <c:extLst>
              <c:ext xmlns:c16="http://schemas.microsoft.com/office/drawing/2014/chart" uri="{C3380CC4-5D6E-409C-BE32-E72D297353CC}">
                <c16:uniqueId val="{00000008-168C-48E2-9E4C-40B0D9813A2C}"/>
              </c:ext>
            </c:extLst>
          </c:dPt>
          <c:val>
            <c:numRef>
              <c:f>ef_crop!$A$14:$C$14</c:f>
              <c:numCache>
                <c:formatCode>_(* #,##0_);_(* \(#,##0\);_(* "-"??_);_(@_)</c:formatCode>
                <c:ptCount val="3"/>
                <c:pt idx="0" formatCode="General">
                  <c:v>0</c:v>
                </c:pt>
                <c:pt idx="1">
                  <c:v>15922858.201156095</c:v>
                </c:pt>
                <c:pt idx="2">
                  <c:v>0</c:v>
                </c:pt>
              </c:numCache>
            </c:numRef>
          </c:val>
          <c:extLst>
            <c:ext xmlns:c16="http://schemas.microsoft.com/office/drawing/2014/chart" uri="{C3380CC4-5D6E-409C-BE32-E72D297353CC}">
              <c16:uniqueId val="{00000009-168C-48E2-9E4C-40B0D9813A2C}"/>
            </c:ext>
          </c:extLst>
        </c:ser>
        <c:dLbls>
          <c:showLegendKey val="0"/>
          <c:showVal val="0"/>
          <c:showCatName val="0"/>
          <c:showSerName val="0"/>
          <c:showPercent val="0"/>
          <c:showBubbleSize val="0"/>
        </c:dLbls>
        <c:gapWidth val="0"/>
        <c:overlap val="100"/>
        <c:axId val="491544768"/>
        <c:axId val="491546336"/>
      </c:barChart>
      <c:catAx>
        <c:axId val="491544768"/>
        <c:scaling>
          <c:orientation val="minMax"/>
        </c:scaling>
        <c:delete val="1"/>
        <c:axPos val="b"/>
        <c:majorTickMark val="out"/>
        <c:minorTickMark val="none"/>
        <c:tickLblPos val="none"/>
        <c:crossAx val="491546336"/>
        <c:crosses val="autoZero"/>
        <c:auto val="1"/>
        <c:lblAlgn val="ctr"/>
        <c:lblOffset val="100"/>
        <c:noMultiLvlLbl val="0"/>
      </c:catAx>
      <c:valAx>
        <c:axId val="491546336"/>
        <c:scaling>
          <c:orientation val="minMax"/>
        </c:scaling>
        <c:delete val="0"/>
        <c:axPos val="l"/>
        <c:title>
          <c:tx>
            <c:rich>
              <a:bodyPr/>
              <a:lstStyle/>
              <a:p>
                <a:pPr>
                  <a:defRPr sz="1000" b="1" i="0" u="none" strike="noStrike" baseline="0">
                    <a:solidFill>
                      <a:srgbClr val="000000"/>
                    </a:solidFill>
                    <a:latin typeface="Calibri"/>
                    <a:ea typeface="Calibri"/>
                    <a:cs typeface="Calibri"/>
                  </a:defRPr>
                </a:pPr>
                <a:r>
                  <a:rPr lang="en-US"/>
                  <a:t>Global Hectares</a:t>
                </a:r>
              </a:p>
            </c:rich>
          </c:tx>
          <c:overlay val="0"/>
          <c:spPr>
            <a:noFill/>
            <a:ln w="25400">
              <a:noFill/>
            </a:ln>
          </c:spPr>
        </c:title>
        <c:numFmt formatCode="_(* #,##0_);_(* \(#,##0\);_(* &quot;-&quot;??_);_(@_)" sourceLinked="1"/>
        <c:majorTickMark val="out"/>
        <c:minorTickMark val="none"/>
        <c:tickLblPos val="nextTo"/>
        <c:txPr>
          <a:bodyPr rot="0" vert="horz"/>
          <a:lstStyle/>
          <a:p>
            <a:pPr>
              <a:defRPr sz="1000" b="1" i="0" u="none" strike="noStrike" baseline="0">
                <a:solidFill>
                  <a:srgbClr val="000000"/>
                </a:solidFill>
                <a:latin typeface="Calibri"/>
                <a:ea typeface="Calibri"/>
                <a:cs typeface="Calibri"/>
              </a:defRPr>
            </a:pPr>
            <a:endParaRPr lang="en-US"/>
          </a:p>
        </c:txPr>
        <c:crossAx val="491544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baseline="0">
                <a:solidFill>
                  <a:srgbClr val="000000"/>
                </a:solidFill>
                <a:latin typeface="Calibri"/>
                <a:ea typeface="Calibri"/>
                <a:cs typeface="Calibri"/>
              </a:defRPr>
            </a:pPr>
            <a:r>
              <a:rPr lang="en-US"/>
              <a:t>Resource Throughput</a:t>
            </a:r>
          </a:p>
        </c:rich>
      </c:tx>
      <c:layout>
        <c:manualLayout>
          <c:xMode val="edge"/>
          <c:yMode val="edge"/>
          <c:x val="0.43243243243243246"/>
          <c:y val="1.0989010989010993E-2"/>
        </c:manualLayout>
      </c:layout>
      <c:overlay val="0"/>
      <c:spPr>
        <a:noFill/>
        <a:ln w="25400">
          <a:noFill/>
        </a:ln>
        <a:effectLst/>
      </c:spPr>
    </c:title>
    <c:autoTitleDeleted val="0"/>
    <c:plotArea>
      <c:layout/>
      <c:barChart>
        <c:barDir val="col"/>
        <c:grouping val="stacked"/>
        <c:varyColors val="0"/>
        <c:ser>
          <c:idx val="0"/>
          <c:order val="0"/>
          <c:spPr>
            <a:gradFill rotWithShape="1">
              <a:gsLst>
                <a:gs pos="0">
                  <a:schemeClr val="accent4">
                    <a:shade val="58000"/>
                    <a:shade val="51000"/>
                    <a:satMod val="130000"/>
                  </a:schemeClr>
                </a:gs>
                <a:gs pos="80000">
                  <a:schemeClr val="accent4">
                    <a:shade val="58000"/>
                    <a:shade val="93000"/>
                    <a:satMod val="130000"/>
                  </a:schemeClr>
                </a:gs>
                <a:gs pos="100000">
                  <a:schemeClr val="accent4">
                    <a:shade val="58000"/>
                    <a:shade val="94000"/>
                    <a:satMod val="135000"/>
                  </a:schemeClr>
                </a:gs>
              </a:gsLst>
              <a:lin ang="16200000" scaled="0"/>
            </a:gradFill>
            <a:ln>
              <a:noFill/>
            </a:ln>
            <a:effectLst/>
            <a:scene3d>
              <a:camera prst="orthographicFront">
                <a:rot lat="0" lon="0" rev="0"/>
              </a:camera>
              <a:lightRig rig="threePt" dir="t">
                <a:rot lat="0" lon="0" rev="1200000"/>
              </a:lightRig>
            </a:scene3d>
            <a:sp3d>
              <a:bevelT w="63500" h="25400"/>
            </a:sp3d>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8142-4DE9-8600-551219351797}"/>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42-4DE9-8600-551219351797}"/>
                </c:ext>
              </c:extLst>
            </c:dLbl>
            <c:dLbl>
              <c:idx val="1"/>
              <c:delete val="1"/>
              <c:extLst>
                <c:ext xmlns:c15="http://schemas.microsoft.com/office/drawing/2012/chart" uri="{CE6537A1-D6FC-4f65-9D91-7224C49458BB}"/>
                <c:ext xmlns:c16="http://schemas.microsoft.com/office/drawing/2014/chart" uri="{C3380CC4-5D6E-409C-BE32-E72D297353CC}">
                  <c16:uniqueId val="{00000000-8142-4DE9-8600-551219351797}"/>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42-4DE9-8600-551219351797}"/>
                </c:ext>
              </c:extLst>
            </c:dLbl>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ef_grazing!$A$11:$C$11</c:f>
              <c:numCache>
                <c:formatCode>_(* #,##0_);_(* \(#,##0\);_(* "-"??_);_(@_)</c:formatCode>
                <c:ptCount val="3"/>
                <c:pt idx="0">
                  <c:v>12421174.057624212</c:v>
                </c:pt>
                <c:pt idx="1">
                  <c:v>10702249.490113163</c:v>
                </c:pt>
                <c:pt idx="2">
                  <c:v>10702249.490113163</c:v>
                </c:pt>
              </c:numCache>
            </c:numRef>
          </c:val>
          <c:extLst>
            <c:ext xmlns:c16="http://schemas.microsoft.com/office/drawing/2014/chart" uri="{C3380CC4-5D6E-409C-BE32-E72D297353CC}">
              <c16:uniqueId val="{00000003-8142-4DE9-8600-551219351797}"/>
            </c:ext>
          </c:extLst>
        </c:ser>
        <c:ser>
          <c:idx val="1"/>
          <c:order val="1"/>
          <c:spPr>
            <a:noFill/>
            <a:ln>
              <a:solidFill>
                <a:srgbClr val="005595">
                  <a:shade val="50000"/>
                </a:srgbClr>
              </a:solidFill>
            </a:ln>
            <a:effectLst/>
          </c:spPr>
          <c:invertIfNegative val="0"/>
          <c:dPt>
            <c:idx val="1"/>
            <c:invertIfNegative val="0"/>
            <c:bubble3D val="0"/>
            <c:extLst>
              <c:ext xmlns:c16="http://schemas.microsoft.com/office/drawing/2014/chart" uri="{C3380CC4-5D6E-409C-BE32-E72D297353CC}">
                <c16:uniqueId val="{00000004-8142-4DE9-8600-551219351797}"/>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142-4DE9-8600-551219351797}"/>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142-4DE9-8600-551219351797}"/>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42-4DE9-8600-551219351797}"/>
                </c:ext>
              </c:extLst>
            </c:dLbl>
            <c:spPr>
              <a:noFill/>
              <a:ln w="25400">
                <a:noFill/>
              </a:ln>
              <a:effectLst/>
            </c:spPr>
            <c:txPr>
              <a:bodyPr rot="0" spcFirstLastPara="1" vertOverflow="ellipsis" vert="horz" wrap="square" anchor="ctr" anchorCtr="1"/>
              <a:lstStyle/>
              <a:p>
                <a:pPr>
                  <a:defRPr sz="1100" b="1" i="0" u="none" strike="noStrike" kern="1200"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ef_grazing!$A$12:$C$12</c:f>
              <c:numCache>
                <c:formatCode>_(* #,##0_);_(* \(#,##0\);_(* "-"??_);_(@_)</c:formatCode>
                <c:ptCount val="3"/>
                <c:pt idx="0">
                  <c:v>4748035.2553544594</c:v>
                </c:pt>
                <c:pt idx="1">
                  <c:v>1718924.5675110482</c:v>
                </c:pt>
                <c:pt idx="2">
                  <c:v>6466959.8228655066</c:v>
                </c:pt>
              </c:numCache>
            </c:numRef>
          </c:val>
          <c:extLst>
            <c:ext xmlns:c16="http://schemas.microsoft.com/office/drawing/2014/chart" uri="{C3380CC4-5D6E-409C-BE32-E72D297353CC}">
              <c16:uniqueId val="{00000007-8142-4DE9-8600-551219351797}"/>
            </c:ext>
          </c:extLst>
        </c:ser>
        <c:ser>
          <c:idx val="2"/>
          <c:order val="2"/>
          <c:spPr>
            <a:noFill/>
            <a:ln>
              <a:noFill/>
            </a:ln>
            <a:effectLst/>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8142-4DE9-8600-551219351797}"/>
              </c:ext>
            </c:extLst>
          </c:dPt>
          <c:val>
            <c:numRef>
              <c:f>ef_grazing!$A$13:$C$13</c:f>
              <c:numCache>
                <c:formatCode>_(* #,##0_);_(* \(#,##0\);_(* "-"??_);_(@_)</c:formatCode>
                <c:ptCount val="3"/>
                <c:pt idx="0" formatCode="General">
                  <c:v>0</c:v>
                </c:pt>
                <c:pt idx="1">
                  <c:v>4748035.2553544585</c:v>
                </c:pt>
                <c:pt idx="2" formatCode="General">
                  <c:v>0</c:v>
                </c:pt>
              </c:numCache>
            </c:numRef>
          </c:val>
          <c:extLst>
            <c:ext xmlns:c16="http://schemas.microsoft.com/office/drawing/2014/chart" uri="{C3380CC4-5D6E-409C-BE32-E72D297353CC}">
              <c16:uniqueId val="{00000009-8142-4DE9-8600-551219351797}"/>
            </c:ext>
          </c:extLst>
        </c:ser>
        <c:ser>
          <c:idx val="3"/>
          <c:order val="3"/>
          <c:spPr>
            <a:gradFill rotWithShape="1">
              <a:gsLst>
                <a:gs pos="0">
                  <a:schemeClr val="accent4">
                    <a:tint val="58000"/>
                    <a:shade val="51000"/>
                    <a:satMod val="130000"/>
                  </a:schemeClr>
                </a:gs>
                <a:gs pos="80000">
                  <a:schemeClr val="accent4">
                    <a:tint val="58000"/>
                    <a:shade val="93000"/>
                    <a:satMod val="130000"/>
                  </a:schemeClr>
                </a:gs>
                <a:gs pos="100000">
                  <a:schemeClr val="accent4">
                    <a:tint val="58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val>
            <c:numRef>
              <c:f>ef_grazing!$A$14:$C$14</c:f>
              <c:numCache>
                <c:formatCode>General</c:formatCode>
                <c:ptCount val="3"/>
              </c:numCache>
            </c:numRef>
          </c:val>
          <c:extLst>
            <c:ext xmlns:c16="http://schemas.microsoft.com/office/drawing/2014/chart" uri="{C3380CC4-5D6E-409C-BE32-E72D297353CC}">
              <c16:uniqueId val="{0000000A-8142-4DE9-8600-551219351797}"/>
            </c:ext>
          </c:extLst>
        </c:ser>
        <c:dLbls>
          <c:showLegendKey val="0"/>
          <c:showVal val="0"/>
          <c:showCatName val="0"/>
          <c:showSerName val="0"/>
          <c:showPercent val="0"/>
          <c:showBubbleSize val="0"/>
        </c:dLbls>
        <c:gapWidth val="0"/>
        <c:overlap val="100"/>
        <c:axId val="491547904"/>
        <c:axId val="491546728"/>
      </c:barChart>
      <c:catAx>
        <c:axId val="491547904"/>
        <c:scaling>
          <c:orientation val="minMax"/>
        </c:scaling>
        <c:delete val="1"/>
        <c:axPos val="b"/>
        <c:majorTickMark val="out"/>
        <c:minorTickMark val="none"/>
        <c:tickLblPos val="none"/>
        <c:crossAx val="491546728"/>
        <c:crosses val="autoZero"/>
        <c:auto val="1"/>
        <c:lblAlgn val="ctr"/>
        <c:lblOffset val="100"/>
        <c:noMultiLvlLbl val="0"/>
      </c:catAx>
      <c:valAx>
        <c:axId val="491546728"/>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en-US"/>
                  <a:t>Global Hectares</a:t>
                </a:r>
              </a:p>
            </c:rich>
          </c:tx>
          <c:overlay val="0"/>
          <c:spPr>
            <a:noFill/>
            <a:ln w="25400">
              <a:noFill/>
            </a:ln>
            <a:effectLst/>
          </c:spPr>
        </c:title>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en-US"/>
          </a:p>
        </c:txPr>
        <c:crossAx val="49154790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rgbClr val="000000"/>
                </a:solidFill>
                <a:latin typeface="Calibri"/>
                <a:ea typeface="Calibri"/>
                <a:cs typeface="Calibri"/>
              </a:defRPr>
            </a:pPr>
            <a:r>
              <a:rPr lang="en-US"/>
              <a:t>Resource Throughput</a:t>
            </a:r>
          </a:p>
        </c:rich>
      </c:tx>
      <c:layout>
        <c:manualLayout>
          <c:xMode val="edge"/>
          <c:yMode val="edge"/>
          <c:x val="0.42680174705789903"/>
          <c:y val="1.0989010989010993E-2"/>
        </c:manualLayout>
      </c:layout>
      <c:overlay val="0"/>
      <c:spPr>
        <a:noFill/>
        <a:ln w="25400">
          <a:noFill/>
        </a:ln>
        <a:effectLst/>
      </c:spPr>
    </c:title>
    <c:autoTitleDeleted val="0"/>
    <c:plotArea>
      <c:layout>
        <c:manualLayout>
          <c:layoutTarget val="inner"/>
          <c:xMode val="edge"/>
          <c:yMode val="edge"/>
          <c:x val="0.12725225225225226"/>
          <c:y val="0.11428571428571579"/>
          <c:w val="0.84346846846846868"/>
          <c:h val="0.85054945054949105"/>
        </c:manualLayout>
      </c:layout>
      <c:barChart>
        <c:barDir val="col"/>
        <c:grouping val="stacked"/>
        <c:varyColors val="0"/>
        <c:ser>
          <c:idx val="0"/>
          <c:order val="0"/>
          <c:spPr>
            <a:gradFill rotWithShape="1">
              <a:gsLst>
                <a:gs pos="0">
                  <a:schemeClr val="accent5">
                    <a:shade val="65000"/>
                    <a:shade val="51000"/>
                    <a:satMod val="130000"/>
                  </a:schemeClr>
                </a:gs>
                <a:gs pos="80000">
                  <a:schemeClr val="accent5">
                    <a:shade val="65000"/>
                    <a:shade val="93000"/>
                    <a:satMod val="130000"/>
                  </a:schemeClr>
                </a:gs>
                <a:gs pos="100000">
                  <a:schemeClr val="accent5">
                    <a:shade val="65000"/>
                    <a:shade val="94000"/>
                    <a:satMod val="135000"/>
                  </a:schemeClr>
                </a:gs>
              </a:gsLst>
              <a:lin ang="16200000" scaled="0"/>
            </a:gradFill>
            <a:ln>
              <a:noFill/>
            </a:ln>
            <a:effectLst/>
            <a:scene3d>
              <a:camera prst="orthographicFront">
                <a:rot lat="0" lon="0" rev="0"/>
              </a:camera>
              <a:lightRig rig="threePt" dir="t">
                <a:rot lat="0" lon="0" rev="1200000"/>
              </a:lightRig>
            </a:scene3d>
            <a:sp3d>
              <a:bevelT w="63500" h="25400"/>
            </a:sp3d>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87B3-485C-BC3A-6A4DF7295DE1}"/>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7B3-485C-BC3A-6A4DF7295DE1}"/>
                </c:ext>
              </c:extLst>
            </c:dLbl>
            <c:dLbl>
              <c:idx val="1"/>
              <c:delete val="1"/>
              <c:extLst>
                <c:ext xmlns:c15="http://schemas.microsoft.com/office/drawing/2012/chart" uri="{CE6537A1-D6FC-4f65-9D91-7224C49458BB}"/>
                <c:ext xmlns:c16="http://schemas.microsoft.com/office/drawing/2014/chart" uri="{C3380CC4-5D6E-409C-BE32-E72D297353CC}">
                  <c16:uniqueId val="{00000000-87B3-485C-BC3A-6A4DF7295DE1}"/>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7B3-485C-BC3A-6A4DF7295DE1}"/>
                </c:ext>
              </c:extLst>
            </c:dLbl>
            <c:spPr>
              <a:noFill/>
              <a:ln w="25400">
                <a:noFill/>
              </a:ln>
              <a:effectLst/>
            </c:spPr>
            <c:txPr>
              <a:bodyPr rot="0" spcFirstLastPara="1" vertOverflow="ellipsis" vert="horz" wrap="square" anchor="ctr" anchorCtr="1"/>
              <a:lstStyle/>
              <a:p>
                <a:pPr>
                  <a:defRPr sz="1100" b="1" i="0" u="none" strike="noStrike" kern="1200" baseline="0">
                    <a:solidFill>
                      <a:schemeClr val="bg1"/>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ef_fish!$A$38:$C$38</c:f>
              <c:numCache>
                <c:formatCode>_(* #,##0_);_(* \(#,##0\);_(* "-"??_);_(@_)</c:formatCode>
                <c:ptCount val="3"/>
                <c:pt idx="0">
                  <c:v>6525288.7123265425</c:v>
                </c:pt>
                <c:pt idx="1">
                  <c:v>5424477.3273184299</c:v>
                </c:pt>
                <c:pt idx="2">
                  <c:v>5424477.3273184299</c:v>
                </c:pt>
              </c:numCache>
            </c:numRef>
          </c:val>
          <c:extLst>
            <c:ext xmlns:c16="http://schemas.microsoft.com/office/drawing/2014/chart" uri="{C3380CC4-5D6E-409C-BE32-E72D297353CC}">
              <c16:uniqueId val="{00000003-87B3-485C-BC3A-6A4DF7295DE1}"/>
            </c:ext>
          </c:extLst>
        </c:ser>
        <c:ser>
          <c:idx val="1"/>
          <c:order val="1"/>
          <c:spPr>
            <a:noFill/>
            <a:ln>
              <a:solidFill>
                <a:schemeClr val="tx1"/>
              </a:solidFill>
            </a:ln>
            <a:effectLst/>
          </c:spPr>
          <c:invertIfNegative val="0"/>
          <c:dPt>
            <c:idx val="1"/>
            <c:invertIfNegative val="0"/>
            <c:bubble3D val="0"/>
            <c:spPr>
              <a:no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4-87B3-485C-BC3A-6A4DF7295DE1}"/>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7B3-485C-BC3A-6A4DF7295DE1}"/>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7B3-485C-BC3A-6A4DF7295DE1}"/>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B3-485C-BC3A-6A4DF7295DE1}"/>
                </c:ext>
              </c:extLst>
            </c:dLbl>
            <c:spPr>
              <a:noFill/>
              <a:ln w="25400">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ef_fish!$A$39:$C$39</c:f>
              <c:numCache>
                <c:formatCode>_(* #,##0_);_(* \(#,##0\);_(* "-"??_);_(@_)</c:formatCode>
                <c:ptCount val="3"/>
                <c:pt idx="0">
                  <c:v>3725694.0386738656</c:v>
                </c:pt>
                <c:pt idx="1">
                  <c:v>1100811.3850081125</c:v>
                </c:pt>
                <c:pt idx="2">
                  <c:v>4826505.4236819781</c:v>
                </c:pt>
              </c:numCache>
            </c:numRef>
          </c:val>
          <c:extLst>
            <c:ext xmlns:c16="http://schemas.microsoft.com/office/drawing/2014/chart" uri="{C3380CC4-5D6E-409C-BE32-E72D297353CC}">
              <c16:uniqueId val="{00000007-87B3-485C-BC3A-6A4DF7295DE1}"/>
            </c:ext>
          </c:extLst>
        </c:ser>
        <c:ser>
          <c:idx val="2"/>
          <c:order val="2"/>
          <c:spPr>
            <a:gradFill rotWithShape="1">
              <a:gsLst>
                <a:gs pos="0">
                  <a:schemeClr val="accent5">
                    <a:tint val="65000"/>
                    <a:shade val="51000"/>
                    <a:satMod val="130000"/>
                  </a:schemeClr>
                </a:gs>
                <a:gs pos="80000">
                  <a:schemeClr val="accent5">
                    <a:tint val="65000"/>
                    <a:shade val="93000"/>
                    <a:satMod val="130000"/>
                  </a:schemeClr>
                </a:gs>
                <a:gs pos="100000">
                  <a:schemeClr val="accent5">
                    <a:tint val="65000"/>
                    <a:shade val="94000"/>
                    <a:satMod val="135000"/>
                  </a:schemeClr>
                </a:gs>
              </a:gsLst>
              <a:lin ang="16200000" scaled="0"/>
            </a:gradFill>
            <a:ln>
              <a:noFill/>
            </a:ln>
            <a:effectLst/>
            <a:scene3d>
              <a:camera prst="orthographicFront">
                <a:rot lat="0" lon="0" rev="0"/>
              </a:camera>
              <a:lightRig rig="threePt" dir="t">
                <a:rot lat="0" lon="0" rev="1200000"/>
              </a:lightRig>
            </a:scene3d>
            <a:sp3d>
              <a:bevelT w="63500" h="25400"/>
            </a:sp3d>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87B3-485C-BC3A-6A4DF7295DE1}"/>
              </c:ext>
            </c:extLst>
          </c:dPt>
          <c:val>
            <c:numRef>
              <c:f>ef_fish!$A$40:$C$40</c:f>
              <c:numCache>
                <c:formatCode>_(* #,##0_);_(* \(#,##0\);_(* "-"??_);_(@_)</c:formatCode>
                <c:ptCount val="3"/>
                <c:pt idx="0" formatCode="General">
                  <c:v>0</c:v>
                </c:pt>
                <c:pt idx="1">
                  <c:v>3725694.0386738656</c:v>
                </c:pt>
                <c:pt idx="2" formatCode="General">
                  <c:v>0</c:v>
                </c:pt>
              </c:numCache>
            </c:numRef>
          </c:val>
          <c:extLst>
            <c:ext xmlns:c16="http://schemas.microsoft.com/office/drawing/2014/chart" uri="{C3380CC4-5D6E-409C-BE32-E72D297353CC}">
              <c16:uniqueId val="{00000009-87B3-485C-BC3A-6A4DF7295DE1}"/>
            </c:ext>
          </c:extLst>
        </c:ser>
        <c:dLbls>
          <c:showLegendKey val="0"/>
          <c:showVal val="0"/>
          <c:showCatName val="0"/>
          <c:showSerName val="0"/>
          <c:showPercent val="0"/>
          <c:showBubbleSize val="0"/>
        </c:dLbls>
        <c:gapWidth val="0"/>
        <c:overlap val="100"/>
        <c:axId val="491545944"/>
        <c:axId val="367808992"/>
      </c:barChart>
      <c:catAx>
        <c:axId val="491545944"/>
        <c:scaling>
          <c:orientation val="minMax"/>
        </c:scaling>
        <c:delete val="1"/>
        <c:axPos val="b"/>
        <c:majorTickMark val="out"/>
        <c:minorTickMark val="none"/>
        <c:tickLblPos val="none"/>
        <c:crossAx val="367808992"/>
        <c:crosses val="autoZero"/>
        <c:auto val="1"/>
        <c:lblAlgn val="ctr"/>
        <c:lblOffset val="100"/>
        <c:noMultiLvlLbl val="0"/>
      </c:catAx>
      <c:valAx>
        <c:axId val="367808992"/>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en-US"/>
                  <a:t>Global Hectares</a:t>
                </a:r>
              </a:p>
            </c:rich>
          </c:tx>
          <c:overlay val="0"/>
          <c:spPr>
            <a:noFill/>
            <a:ln w="25400">
              <a:noFill/>
            </a:ln>
            <a:effectLst/>
          </c:spPr>
        </c:title>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en-US"/>
          </a:p>
        </c:txPr>
        <c:crossAx val="49154594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rgbClr val="000000"/>
                </a:solidFill>
                <a:latin typeface="Calibri"/>
                <a:ea typeface="Calibri"/>
                <a:cs typeface="Calibri"/>
              </a:defRPr>
            </a:pPr>
            <a:r>
              <a:rPr lang="en-US"/>
              <a:t>Resource Throughput</a:t>
            </a:r>
          </a:p>
        </c:rich>
      </c:tx>
      <c:layout>
        <c:manualLayout>
          <c:xMode val="edge"/>
          <c:yMode val="edge"/>
          <c:x val="0.43806306306307735"/>
          <c:y val="1.7582417582417582E-2"/>
        </c:manualLayout>
      </c:layout>
      <c:overlay val="0"/>
      <c:spPr>
        <a:noFill/>
        <a:ln w="25400">
          <a:noFill/>
        </a:ln>
        <a:effectLst/>
      </c:spPr>
    </c:title>
    <c:autoTitleDeleted val="0"/>
    <c:plotArea>
      <c:layout/>
      <c:barChart>
        <c:barDir val="col"/>
        <c:grouping val="stacked"/>
        <c:varyColors val="0"/>
        <c:ser>
          <c:idx val="0"/>
          <c:order val="0"/>
          <c:spPr>
            <a:gradFill rotWithShape="1">
              <a:gsLst>
                <a:gs pos="0">
                  <a:schemeClr val="accent6">
                    <a:shade val="65000"/>
                    <a:shade val="51000"/>
                    <a:satMod val="130000"/>
                  </a:schemeClr>
                </a:gs>
                <a:gs pos="80000">
                  <a:schemeClr val="accent6">
                    <a:shade val="65000"/>
                    <a:shade val="93000"/>
                    <a:satMod val="130000"/>
                  </a:schemeClr>
                </a:gs>
                <a:gs pos="100000">
                  <a:schemeClr val="accent6">
                    <a:shade val="65000"/>
                    <a:shade val="94000"/>
                    <a:satMod val="135000"/>
                  </a:schemeClr>
                </a:gs>
              </a:gsLst>
              <a:lin ang="16200000" scaled="0"/>
            </a:gradFill>
            <a:ln>
              <a:noFill/>
            </a:ln>
            <a:effectLst/>
            <a:scene3d>
              <a:camera prst="orthographicFront">
                <a:rot lat="0" lon="0" rev="0"/>
              </a:camera>
              <a:lightRig rig="threePt" dir="t">
                <a:rot lat="0" lon="0" rev="1200000"/>
              </a:lightRig>
            </a:scene3d>
            <a:sp3d>
              <a:bevelT w="63500" h="25400"/>
            </a:sp3d>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0-3982-47F2-87A1-622BC39BD604}"/>
              </c:ext>
            </c:extLst>
          </c:dPt>
          <c:dLbls>
            <c:dLbl>
              <c:idx val="0"/>
              <c:tx>
                <c:rich>
                  <a:bodyPr/>
                  <a:lstStyle/>
                  <a:p>
                    <a:r>
                      <a:rPr lang="en-US"/>
                      <a:t> Production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82-47F2-87A1-622BC39BD604}"/>
                </c:ext>
              </c:extLst>
            </c:dLbl>
            <c:dLbl>
              <c:idx val="1"/>
              <c:delete val="1"/>
              <c:extLst>
                <c:ext xmlns:c15="http://schemas.microsoft.com/office/drawing/2012/chart" uri="{CE6537A1-D6FC-4f65-9D91-7224C49458BB}"/>
                <c:ext xmlns:c16="http://schemas.microsoft.com/office/drawing/2014/chart" uri="{C3380CC4-5D6E-409C-BE32-E72D297353CC}">
                  <c16:uniqueId val="{00000000-3982-47F2-87A1-622BC39BD604}"/>
                </c:ext>
              </c:extLst>
            </c:dLbl>
            <c:dLbl>
              <c:idx val="2"/>
              <c:tx>
                <c:rich>
                  <a:bodyPr/>
                  <a:lstStyle/>
                  <a:p>
                    <a:r>
                      <a:rPr lang="en-US"/>
                      <a:t>Consumption</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982-47F2-87A1-622BC39BD604}"/>
                </c:ext>
              </c:extLst>
            </c:dLbl>
            <c:spPr>
              <a:noFill/>
              <a:ln w="25400">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Calibri"/>
                    <a:ea typeface="Calibri"/>
                    <a:cs typeface="Calibri"/>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ef_forest_products!$A$36:$C$36</c:f>
              <c:numCache>
                <c:formatCode>_(* #,##0_);_(* \(#,##0\);_(* "-"??_);_(@_)</c:formatCode>
                <c:ptCount val="3"/>
                <c:pt idx="0">
                  <c:v>108442633.66216043</c:v>
                </c:pt>
                <c:pt idx="1">
                  <c:v>50275895.265998065</c:v>
                </c:pt>
                <c:pt idx="2">
                  <c:v>50275895.265998065</c:v>
                </c:pt>
              </c:numCache>
            </c:numRef>
          </c:val>
          <c:extLst>
            <c:ext xmlns:c16="http://schemas.microsoft.com/office/drawing/2014/chart" uri="{C3380CC4-5D6E-409C-BE32-E72D297353CC}">
              <c16:uniqueId val="{00000003-3982-47F2-87A1-622BC39BD604}"/>
            </c:ext>
          </c:extLst>
        </c:ser>
        <c:ser>
          <c:idx val="1"/>
          <c:order val="1"/>
          <c:spPr>
            <a:noFill/>
            <a:ln>
              <a:solidFill>
                <a:schemeClr val="tx1"/>
              </a:solidFill>
            </a:ln>
            <a:effectLst/>
          </c:spPr>
          <c:invertIfNegative val="0"/>
          <c:dPt>
            <c:idx val="1"/>
            <c:invertIfNegative val="0"/>
            <c:bubble3D val="0"/>
            <c:spPr>
              <a:noFill/>
              <a:ln>
                <a:solidFill>
                  <a:schemeClr val="tx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04-3982-47F2-87A1-622BC39BD604}"/>
              </c:ext>
            </c:extLst>
          </c:dPt>
          <c:dLbls>
            <c:dLbl>
              <c:idx val="0"/>
              <c:tx>
                <c:rich>
                  <a:bodyPr/>
                  <a:lstStyle/>
                  <a:p>
                    <a:r>
                      <a:rPr lang="en-US"/>
                      <a:t> Imports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82-47F2-87A1-622BC39BD604}"/>
                </c:ext>
              </c:extLst>
            </c:dLbl>
            <c:dLbl>
              <c:idx val="1"/>
              <c:tx>
                <c:rich>
                  <a:bodyPr/>
                  <a:lstStyle/>
                  <a:p>
                    <a:r>
                      <a:rPr lang="en-US"/>
                      <a:t> Net Trade </a:t>
                    </a:r>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982-47F2-87A1-622BC39BD604}"/>
                </c:ext>
              </c:extLst>
            </c:dLbl>
            <c:dLbl>
              <c:idx val="2"/>
              <c:tx>
                <c:rich>
                  <a:bodyPr/>
                  <a:lstStyle/>
                  <a:p>
                    <a:r>
                      <a:rPr lang="en-US"/>
                      <a:t>Exports</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982-47F2-87A1-622BC39BD604}"/>
                </c:ext>
              </c:extLst>
            </c:dLbl>
            <c:spPr>
              <a:noFill/>
              <a:ln w="25400">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ef_forest_products!$A$37:$C$37</c:f>
              <c:numCache>
                <c:formatCode>_(* #,##0_);_(* \(#,##0\);_(* "-"??_);_(@_)</c:formatCode>
                <c:ptCount val="3"/>
                <c:pt idx="0">
                  <c:v>14780478.788962139</c:v>
                </c:pt>
                <c:pt idx="1">
                  <c:v>58166738.396162361</c:v>
                </c:pt>
                <c:pt idx="2">
                  <c:v>72947217.185124502</c:v>
                </c:pt>
              </c:numCache>
            </c:numRef>
          </c:val>
          <c:extLst>
            <c:ext xmlns:c16="http://schemas.microsoft.com/office/drawing/2014/chart" uri="{C3380CC4-5D6E-409C-BE32-E72D297353CC}">
              <c16:uniqueId val="{00000007-3982-47F2-87A1-622BC39BD604}"/>
            </c:ext>
          </c:extLst>
        </c:ser>
        <c:ser>
          <c:idx val="2"/>
          <c:order val="2"/>
          <c:spPr>
            <a:gradFill rotWithShape="1">
              <a:gsLst>
                <a:gs pos="0">
                  <a:schemeClr val="accent6">
                    <a:tint val="65000"/>
                    <a:shade val="51000"/>
                    <a:satMod val="130000"/>
                  </a:schemeClr>
                </a:gs>
                <a:gs pos="80000">
                  <a:schemeClr val="accent6">
                    <a:tint val="65000"/>
                    <a:shade val="93000"/>
                    <a:satMod val="130000"/>
                  </a:schemeClr>
                </a:gs>
                <a:gs pos="100000">
                  <a:schemeClr val="accent6">
                    <a:tint val="65000"/>
                    <a:shade val="94000"/>
                    <a:satMod val="135000"/>
                  </a:schemeClr>
                </a:gs>
              </a:gsLst>
              <a:lin ang="16200000" scaled="0"/>
            </a:gradFill>
            <a:ln>
              <a:noFill/>
            </a:ln>
            <a:effectLst/>
            <a:scene3d>
              <a:camera prst="orthographicFront"/>
              <a:lightRig rig="threePt" dir="t">
                <a:rot lat="0" lon="0" rev="1200000"/>
              </a:lightRig>
            </a:scene3d>
            <a:sp3d>
              <a:bevelT w="0" h="0"/>
            </a:sp3d>
          </c:spPr>
          <c:invertIfNegative val="0"/>
          <c:dPt>
            <c:idx val="1"/>
            <c:invertIfNegative val="0"/>
            <c:bubble3D val="0"/>
            <c:spPr>
              <a:no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3982-47F2-87A1-622BC39BD604}"/>
              </c:ext>
            </c:extLst>
          </c:dPt>
          <c:val>
            <c:numRef>
              <c:f>ef_forest_products!$A$38:$C$38</c:f>
              <c:numCache>
                <c:formatCode>_(* #,##0_);_(* \(#,##0\);_(* "-"??_);_(@_)</c:formatCode>
                <c:ptCount val="3"/>
                <c:pt idx="1">
                  <c:v>14780478.788962141</c:v>
                </c:pt>
              </c:numCache>
            </c:numRef>
          </c:val>
          <c:extLst>
            <c:ext xmlns:c16="http://schemas.microsoft.com/office/drawing/2014/chart" uri="{C3380CC4-5D6E-409C-BE32-E72D297353CC}">
              <c16:uniqueId val="{00000009-3982-47F2-87A1-622BC39BD604}"/>
            </c:ext>
          </c:extLst>
        </c:ser>
        <c:dLbls>
          <c:showLegendKey val="0"/>
          <c:showVal val="0"/>
          <c:showCatName val="0"/>
          <c:showSerName val="0"/>
          <c:showPercent val="0"/>
          <c:showBubbleSize val="0"/>
        </c:dLbls>
        <c:gapWidth val="0"/>
        <c:overlap val="100"/>
        <c:axId val="367805464"/>
        <c:axId val="367805856"/>
      </c:barChart>
      <c:catAx>
        <c:axId val="367805464"/>
        <c:scaling>
          <c:orientation val="minMax"/>
        </c:scaling>
        <c:delete val="1"/>
        <c:axPos val="b"/>
        <c:majorTickMark val="out"/>
        <c:minorTickMark val="none"/>
        <c:tickLblPos val="none"/>
        <c:crossAx val="367805856"/>
        <c:crosses val="autoZero"/>
        <c:auto val="1"/>
        <c:lblAlgn val="ctr"/>
        <c:lblOffset val="100"/>
        <c:noMultiLvlLbl val="0"/>
      </c:catAx>
      <c:valAx>
        <c:axId val="367805856"/>
        <c:scaling>
          <c:orientation val="minMax"/>
        </c:scaling>
        <c:delete val="0"/>
        <c:axPos val="l"/>
        <c:title>
          <c:tx>
            <c:rich>
              <a:bodyPr rot="-5400000" spcFirstLastPara="1" vertOverflow="ellipsis" vert="horz" wrap="square" anchor="ctr" anchorCtr="1"/>
              <a:lstStyle/>
              <a:p>
                <a:pPr>
                  <a:defRPr sz="1000" b="1" i="0" u="none" strike="noStrike" kern="1200" baseline="0">
                    <a:solidFill>
                      <a:srgbClr val="000000"/>
                    </a:solidFill>
                    <a:latin typeface="Calibri"/>
                    <a:ea typeface="Calibri"/>
                    <a:cs typeface="Calibri"/>
                  </a:defRPr>
                </a:pPr>
                <a:r>
                  <a:rPr lang="en-US"/>
                  <a:t>Global Hectares</a:t>
                </a:r>
              </a:p>
            </c:rich>
          </c:tx>
          <c:overlay val="0"/>
          <c:spPr>
            <a:noFill/>
            <a:ln w="25400">
              <a:noFill/>
            </a:ln>
            <a:effectLst/>
          </c:spPr>
        </c:title>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horz" wrap="square" anchor="ctr" anchorCtr="1"/>
          <a:lstStyle/>
          <a:p>
            <a:pPr>
              <a:defRPr sz="1000" b="1" i="0" u="none" strike="noStrike" kern="1200" baseline="0">
                <a:solidFill>
                  <a:srgbClr val="000000"/>
                </a:solidFill>
                <a:latin typeface="Calibri"/>
                <a:ea typeface="Calibri"/>
                <a:cs typeface="Calibri"/>
              </a:defRPr>
            </a:pPr>
            <a:endParaRPr lang="en-US"/>
          </a:p>
        </c:txPr>
        <c:crossAx val="367805464"/>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F9D5D6E-B472-40E1-8612-2EEC84069900}">
  <sheetPr>
    <tabColor theme="0"/>
  </sheetPr>
  <sheetViews>
    <sheetView zoomScale="80" workbookViewId="0"/>
  </sheetViews>
  <pageMargins left="0.7" right="0.7" top="0.75" bottom="0.75" header="0.3" footer="0.3"/>
  <pageSetup paperSize="5"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hyperlink" Target="https://www.fodafo.org/" TargetMode="External"/><Relationship Id="rId2" Type="http://schemas.openxmlformats.org/officeDocument/2006/relationships/image" Target="../media/image1.png"/><Relationship Id="rId1" Type="http://schemas.openxmlformats.org/officeDocument/2006/relationships/hyperlink" Target="https://footprint.info.yorku.ca/" TargetMode="External"/><Relationship Id="rId6" Type="http://schemas.openxmlformats.org/officeDocument/2006/relationships/image" Target="../media/image3.jpeg"/><Relationship Id="rId5" Type="http://schemas.openxmlformats.org/officeDocument/2006/relationships/hyperlink" Target="https://www.footprintnetwork.org/" TargetMode="External"/><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hyperlink" Target="#yf!A1"/><Relationship Id="rId1" Type="http://schemas.openxmlformats.org/officeDocument/2006/relationships/hyperlink" Target="#infrastructure_efp!A1"/></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5.xml.rels><?xml version="1.0" encoding="UTF-8" standalone="yes"?>
<Relationships xmlns="http://schemas.openxmlformats.org/package/2006/relationships"><Relationship Id="rId2" Type="http://schemas.openxmlformats.org/officeDocument/2006/relationships/hyperlink" Target="#ef_carbon!A1"/><Relationship Id="rId1" Type="http://schemas.openxmlformats.org/officeDocument/2006/relationships/hyperlink" Target="#summary!A1"/></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arbon!A1"/></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1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crop!A1"/></Relationships>
</file>

<file path=xl/drawings/_rels/drawing2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2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grazing!A1"/></Relationships>
</file>

<file path=xl/drawings/_rels/drawing3.xml.rels><?xml version="1.0" encoding="UTF-8" standalone="yes"?>
<Relationships xmlns="http://schemas.openxmlformats.org/package/2006/relationships"><Relationship Id="rId3" Type="http://schemas.openxmlformats.org/officeDocument/2006/relationships/hyperlink" Target="#bioproductive_area!A1"/><Relationship Id="rId2" Type="http://schemas.openxmlformats.org/officeDocument/2006/relationships/hyperlink" Target="#yf!A1"/><Relationship Id="rId1" Type="http://schemas.openxmlformats.org/officeDocument/2006/relationships/hyperlink" Target="#eqf!A1"/><Relationship Id="rId4" Type="http://schemas.openxmlformats.org/officeDocument/2006/relationships/hyperlink" Target="#iyf!A1"/></Relationships>
</file>

<file path=xl/drawings/_rels/drawing30.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1.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2.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3.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4.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5.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6.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7.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8.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39.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4.xml.rels><?xml version="1.0" encoding="UTF-8" standalone="yes"?>
<Relationships xmlns="http://schemas.openxmlformats.org/package/2006/relationships"><Relationship Id="rId8" Type="http://schemas.openxmlformats.org/officeDocument/2006/relationships/hyperlink" Target="#carbon_intensity_n!A1"/><Relationship Id="rId3" Type="http://schemas.openxmlformats.org/officeDocument/2006/relationships/hyperlink" Target="#fossil_efp!A1"/><Relationship Id="rId7" Type="http://schemas.openxmlformats.org/officeDocument/2006/relationships/hyperlink" Target="#cnst_carbon!A1"/><Relationship Id="rId2" Type="http://schemas.openxmlformats.org/officeDocument/2006/relationships/hyperlink" Target="#carbon_efi_efe!A1"/><Relationship Id="rId1" Type="http://schemas.openxmlformats.org/officeDocument/2006/relationships/chart" Target="../charts/chart2.xml"/><Relationship Id="rId6" Type="http://schemas.openxmlformats.org/officeDocument/2006/relationships/hyperlink" Target="#eqf!A1"/><Relationship Id="rId5" Type="http://schemas.openxmlformats.org/officeDocument/2006/relationships/hyperlink" Target="#other_CO2_efp!A1"/><Relationship Id="rId4" Type="http://schemas.openxmlformats.org/officeDocument/2006/relationships/hyperlink" Target="#Int_transport!A1"/><Relationship Id="rId9" Type="http://schemas.openxmlformats.org/officeDocument/2006/relationships/hyperlink" Target="#electricity_trade!A1"/></Relationships>
</file>

<file path=xl/drawings/_rels/drawing40.xml.rels><?xml version="1.0" encoding="UTF-8" standalone="yes"?>
<Relationships xmlns="http://schemas.openxmlformats.org/package/2006/relationships"><Relationship Id="rId2" Type="http://schemas.openxmlformats.org/officeDocument/2006/relationships/hyperlink" Target="#ef_grazing!A1"/><Relationship Id="rId1" Type="http://schemas.openxmlformats.org/officeDocument/2006/relationships/hyperlink" Target="#summary!A1"/></Relationships>
</file>

<file path=xl/drawings/_rels/drawing4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4.xml.rels><?xml version="1.0" encoding="UTF-8" standalone="yes"?>
<Relationships xmlns="http://schemas.openxmlformats.org/package/2006/relationships"><Relationship Id="rId2" Type="http://schemas.openxmlformats.org/officeDocument/2006/relationships/hyperlink" Target="#ef_fish!A1"/><Relationship Id="rId1" Type="http://schemas.openxmlformats.org/officeDocument/2006/relationships/hyperlink" Target="#summary!A1"/></Relationships>
</file>

<file path=xl/drawings/_rels/drawing45.xml.rels><?xml version="1.0" encoding="UTF-8" standalone="yes"?>
<Relationships xmlns="http://schemas.openxmlformats.org/package/2006/relationships"><Relationship Id="rId2" Type="http://schemas.openxmlformats.org/officeDocument/2006/relationships/hyperlink" Target="#ef_fish!A1"/><Relationship Id="rId1" Type="http://schemas.openxmlformats.org/officeDocument/2006/relationships/hyperlink" Target="#summary!A1"/></Relationships>
</file>

<file path=xl/drawings/_rels/drawing4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4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xml.rels><?xml version="1.0" encoding="UTF-8" standalone="yes"?>
<Relationships xmlns="http://schemas.openxmlformats.org/package/2006/relationships"><Relationship Id="rId8" Type="http://schemas.openxmlformats.org/officeDocument/2006/relationships/hyperlink" Target="#constant_crop_factor!A1"/><Relationship Id="rId3" Type="http://schemas.openxmlformats.org/officeDocument/2006/relationships/hyperlink" Target="#eqf!A1"/><Relationship Id="rId7" Type="http://schemas.openxmlformats.org/officeDocument/2006/relationships/hyperlink" Target="#crop_intensity!A1"/><Relationship Id="rId2" Type="http://schemas.openxmlformats.org/officeDocument/2006/relationships/hyperlink" Target="#crop_efp!A1"/><Relationship Id="rId1" Type="http://schemas.openxmlformats.org/officeDocument/2006/relationships/chart" Target="../charts/chart3.xml"/><Relationship Id="rId6" Type="http://schemas.openxmlformats.org/officeDocument/2006/relationships/hyperlink" Target="#fish_efi_efe!A1"/><Relationship Id="rId5" Type="http://schemas.openxmlformats.org/officeDocument/2006/relationships/hyperlink" Target="#livestock_efi_efe!A1"/><Relationship Id="rId4" Type="http://schemas.openxmlformats.org/officeDocument/2006/relationships/hyperlink" Target="#crop_efi_efe!A1"/></Relationships>
</file>

<file path=xl/drawings/_rels/drawing5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ish!A1"/></Relationships>
</file>

<file path=xl/drawings/_rels/drawing5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_products!A1"/></Relationships>
</file>

<file path=xl/drawings/_rels/drawing5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_products!A1"/></Relationships>
</file>

<file path=xl/drawings/_rels/drawing5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A1"/></Relationships>
</file>

<file path=xl/drawings/_rels/drawing5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forest!A1"/></Relationships>
</file>

<file path=xl/drawings/_rels/drawing6.xml.rels><?xml version="1.0" encoding="UTF-8" standalone="yes"?>
<Relationships xmlns="http://schemas.openxmlformats.org/package/2006/relationships"><Relationship Id="rId8" Type="http://schemas.openxmlformats.org/officeDocument/2006/relationships/hyperlink" Target="#feed_intensity_w!A1"/><Relationship Id="rId13" Type="http://schemas.openxmlformats.org/officeDocument/2006/relationships/hyperlink" Target="#crop_efi_efe!A1"/><Relationship Id="rId18" Type="http://schemas.openxmlformats.org/officeDocument/2006/relationships/hyperlink" Target="#grass_supply_n!A1"/><Relationship Id="rId3" Type="http://schemas.openxmlformats.org/officeDocument/2006/relationships/hyperlink" Target="#resourcestat_livestock_n!A1"/><Relationship Id="rId7" Type="http://schemas.openxmlformats.org/officeDocument/2006/relationships/hyperlink" Target="#crop_efp!A1"/><Relationship Id="rId12" Type="http://schemas.openxmlformats.org/officeDocument/2006/relationships/hyperlink" Target="#livestock_feed_ef_n!A1"/><Relationship Id="rId17" Type="http://schemas.openxmlformats.org/officeDocument/2006/relationships/hyperlink" Target="#prodstat_livestock_n!A1"/><Relationship Id="rId2" Type="http://schemas.openxmlformats.org/officeDocument/2006/relationships/hyperlink" Target="#feed_demand_n!A1"/><Relationship Id="rId16" Type="http://schemas.openxmlformats.org/officeDocument/2006/relationships/hyperlink" Target="#crop_feed_cnst!A1"/><Relationship Id="rId1" Type="http://schemas.openxmlformats.org/officeDocument/2006/relationships/chart" Target="../charts/chart4.xml"/><Relationship Id="rId6" Type="http://schemas.openxmlformats.org/officeDocument/2006/relationships/hyperlink" Target="#residue_supply_n!A1"/><Relationship Id="rId11" Type="http://schemas.openxmlformats.org/officeDocument/2006/relationships/hyperlink" Target="#biocap!A1"/><Relationship Id="rId5" Type="http://schemas.openxmlformats.org/officeDocument/2006/relationships/hyperlink" Target="#grazing_efp!A1"/><Relationship Id="rId15" Type="http://schemas.openxmlformats.org/officeDocument/2006/relationships/hyperlink" Target="#livestock_intensity!A1"/><Relationship Id="rId10" Type="http://schemas.openxmlformats.org/officeDocument/2006/relationships/hyperlink" Target="#livestock_efi_efe!A1"/><Relationship Id="rId4" Type="http://schemas.openxmlformats.org/officeDocument/2006/relationships/hyperlink" Target="#feed_mix_w!A1"/><Relationship Id="rId9" Type="http://schemas.openxmlformats.org/officeDocument/2006/relationships/hyperlink" Target="#market_feed_supply_n!A1"/><Relationship Id="rId14" Type="http://schemas.openxmlformats.org/officeDocument/2006/relationships/hyperlink" Target="#fish_feed_group_yield_n!A1"/></Relationships>
</file>

<file path=xl/drawings/_rels/drawing6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ef_built!A1"/></Relationships>
</file>

<file path=xl/drawings/_rels/drawing6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hyperlink" Target="#biocap!A1"/></Relationships>
</file>

<file path=xl/drawings/_rels/drawing65.xml.rels><?xml version="1.0" encoding="UTF-8" standalone="yes"?>
<Relationships xmlns="http://schemas.openxmlformats.org/package/2006/relationships"><Relationship Id="rId2" Type="http://schemas.openxmlformats.org/officeDocument/2006/relationships/hyperlink" Target="#biocap!A1"/><Relationship Id="rId1" Type="http://schemas.openxmlformats.org/officeDocument/2006/relationships/hyperlink" Target="#summary!A1"/></Relationships>
</file>

<file path=xl/drawings/_rels/drawing66.xml.rels><?xml version="1.0" encoding="UTF-8" standalone="yes"?>
<Relationships xmlns="http://schemas.openxmlformats.org/package/2006/relationships"><Relationship Id="rId1" Type="http://schemas.openxmlformats.org/officeDocument/2006/relationships/hyperlink" Target="#summary!A1"/></Relationships>
</file>

<file path=xl/drawings/_rels/drawing7.xml.rels><?xml version="1.0" encoding="UTF-8" standalone="yes"?>
<Relationships xmlns="http://schemas.openxmlformats.org/package/2006/relationships"><Relationship Id="rId8" Type="http://schemas.openxmlformats.org/officeDocument/2006/relationships/hyperlink" Target="#fish_feed_group_yield_w!A1"/><Relationship Id="rId13" Type="http://schemas.openxmlformats.org/officeDocument/2006/relationships/hyperlink" Target="#aquaculture_production_w!A1"/><Relationship Id="rId3" Type="http://schemas.openxmlformats.org/officeDocument/2006/relationships/hyperlink" Target="#fish_efi_efe!A1"/><Relationship Id="rId7" Type="http://schemas.openxmlformats.org/officeDocument/2006/relationships/hyperlink" Target="#fish_group_yield_n!A1"/><Relationship Id="rId12" Type="http://schemas.openxmlformats.org/officeDocument/2006/relationships/hyperlink" Target="#aquaculture_yields!A1"/><Relationship Id="rId17" Type="http://schemas.openxmlformats.org/officeDocument/2006/relationships/hyperlink" Target="#livestock_efi_efe!A1"/><Relationship Id="rId2" Type="http://schemas.openxmlformats.org/officeDocument/2006/relationships/hyperlink" Target="#fish_efp!A1"/><Relationship Id="rId16" Type="http://schemas.openxmlformats.org/officeDocument/2006/relationships/hyperlink" Target="#crop_efp!A1"/><Relationship Id="rId1" Type="http://schemas.openxmlformats.org/officeDocument/2006/relationships/chart" Target="../charts/chart5.xml"/><Relationship Id="rId6" Type="http://schemas.openxmlformats.org/officeDocument/2006/relationships/hyperlink" Target="#cnst_fish!A1"/><Relationship Id="rId11" Type="http://schemas.openxmlformats.org/officeDocument/2006/relationships/hyperlink" Target="#fishmeal_fishes!A1"/><Relationship Id="rId5" Type="http://schemas.openxmlformats.org/officeDocument/2006/relationships/hyperlink" Target="#eqf!A1"/><Relationship Id="rId15" Type="http://schemas.openxmlformats.org/officeDocument/2006/relationships/hyperlink" Target="#yf!A1"/><Relationship Id="rId10" Type="http://schemas.openxmlformats.org/officeDocument/2006/relationships/hyperlink" Target="#fish_group_yield_w!A1"/><Relationship Id="rId4" Type="http://schemas.openxmlformats.org/officeDocument/2006/relationships/hyperlink" Target="#fish_commodity_yield_n!A1"/><Relationship Id="rId9" Type="http://schemas.openxmlformats.org/officeDocument/2006/relationships/hyperlink" Target="#fish_feed_group_yield_n!A1"/><Relationship Id="rId14" Type="http://schemas.openxmlformats.org/officeDocument/2006/relationships/hyperlink" Target="#aquaculture_production_n!A1"/></Relationships>
</file>

<file path=xl/drawings/_rels/drawing9.xml.rels><?xml version="1.0" encoding="UTF-8" standalone="yes"?>
<Relationships xmlns="http://schemas.openxmlformats.org/package/2006/relationships"><Relationship Id="rId3" Type="http://schemas.openxmlformats.org/officeDocument/2006/relationships/hyperlink" Target="#forest_efi_efe!A1"/><Relationship Id="rId2" Type="http://schemas.openxmlformats.org/officeDocument/2006/relationships/hyperlink" Target="#forest_efp!A1"/><Relationship Id="rId1" Type="http://schemas.openxmlformats.org/officeDocument/2006/relationships/chart" Target="../charts/chart6.xml"/><Relationship Id="rId4" Type="http://schemas.openxmlformats.org/officeDocument/2006/relationships/hyperlink" Target="#eqf!A1"/></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304800</xdr:colOff>
      <xdr:row>3</xdr:row>
      <xdr:rowOff>142875</xdr:rowOff>
    </xdr:to>
    <xdr:sp macro="" textlink="">
      <xdr:nvSpPr>
        <xdr:cNvPr id="1025" name="AutoShape 1" descr="Image result for york university">
          <a:extLst>
            <a:ext uri="{FF2B5EF4-FFF2-40B4-BE49-F238E27FC236}">
              <a16:creationId xmlns:a16="http://schemas.microsoft.com/office/drawing/2014/main" id="{E0B3B4FA-8BD6-4D50-A86B-BEA6FF68E731}"/>
            </a:ext>
          </a:extLst>
        </xdr:cNvPr>
        <xdr:cNvSpPr>
          <a:spLocks noChangeAspect="1" noChangeArrowheads="1"/>
        </xdr:cNvSpPr>
      </xdr:nvSpPr>
      <xdr:spPr bwMode="auto">
        <a:xfrm>
          <a:off x="3143250" y="323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3</xdr:row>
      <xdr:rowOff>142875</xdr:rowOff>
    </xdr:to>
    <xdr:sp macro="" textlink="">
      <xdr:nvSpPr>
        <xdr:cNvPr id="1026" name="AutoShape 2" descr="Image result for york university">
          <a:extLst>
            <a:ext uri="{FF2B5EF4-FFF2-40B4-BE49-F238E27FC236}">
              <a16:creationId xmlns:a16="http://schemas.microsoft.com/office/drawing/2014/main" id="{4F39C17E-FA22-4A75-9F13-6BE7C50CBF24}"/>
            </a:ext>
          </a:extLst>
        </xdr:cNvPr>
        <xdr:cNvSpPr>
          <a:spLocks noChangeAspect="1" noChangeArrowheads="1"/>
        </xdr:cNvSpPr>
      </xdr:nvSpPr>
      <xdr:spPr bwMode="auto">
        <a:xfrm>
          <a:off x="3143250" y="323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2</xdr:row>
      <xdr:rowOff>0</xdr:rowOff>
    </xdr:from>
    <xdr:to>
      <xdr:col>3</xdr:col>
      <xdr:colOff>304800</xdr:colOff>
      <xdr:row>3</xdr:row>
      <xdr:rowOff>142875</xdr:rowOff>
    </xdr:to>
    <xdr:sp macro="" textlink="">
      <xdr:nvSpPr>
        <xdr:cNvPr id="1028" name="AutoShape 4" descr="Image result for york university">
          <a:extLst>
            <a:ext uri="{FF2B5EF4-FFF2-40B4-BE49-F238E27FC236}">
              <a16:creationId xmlns:a16="http://schemas.microsoft.com/office/drawing/2014/main" id="{AEC89D7A-F35B-4D85-A7D1-8C439876ABAA}"/>
            </a:ext>
          </a:extLst>
        </xdr:cNvPr>
        <xdr:cNvSpPr>
          <a:spLocks noChangeAspect="1" noChangeArrowheads="1"/>
        </xdr:cNvSpPr>
      </xdr:nvSpPr>
      <xdr:spPr bwMode="auto">
        <a:xfrm>
          <a:off x="3143250" y="323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254365</xdr:colOff>
      <xdr:row>0</xdr:row>
      <xdr:rowOff>84643</xdr:rowOff>
    </xdr:from>
    <xdr:to>
      <xdr:col>3</xdr:col>
      <xdr:colOff>633908</xdr:colOff>
      <xdr:row>4</xdr:row>
      <xdr:rowOff>127226</xdr:rowOff>
    </xdr:to>
    <xdr:pic>
      <xdr:nvPicPr>
        <xdr:cNvPr id="7" name="Picture 6">
          <a:hlinkClick xmlns:r="http://schemas.openxmlformats.org/officeDocument/2006/relationships" r:id="rId1"/>
          <a:extLst>
            <a:ext uri="{FF2B5EF4-FFF2-40B4-BE49-F238E27FC236}">
              <a16:creationId xmlns:a16="http://schemas.microsoft.com/office/drawing/2014/main" id="{BE1E7612-4A24-41D0-B0E7-5B93B18FBF63}"/>
            </a:ext>
          </a:extLst>
        </xdr:cNvPr>
        <xdr:cNvPicPr/>
      </xdr:nvPicPr>
      <xdr:blipFill>
        <a:blip xmlns:r="http://schemas.openxmlformats.org/officeDocument/2006/relationships" r:embed="rId2"/>
        <a:stretch>
          <a:fillRect/>
        </a:stretch>
      </xdr:blipFill>
      <xdr:spPr>
        <a:xfrm>
          <a:off x="2311765" y="84643"/>
          <a:ext cx="2177863" cy="713143"/>
        </a:xfrm>
        <a:prstGeom prst="rect">
          <a:avLst/>
        </a:prstGeom>
      </xdr:spPr>
    </xdr:pic>
    <xdr:clientData/>
  </xdr:twoCellAnchor>
  <xdr:twoCellAnchor editAs="oneCell">
    <xdr:from>
      <xdr:col>0</xdr:col>
      <xdr:colOff>228599</xdr:colOff>
      <xdr:row>0</xdr:row>
      <xdr:rowOff>77359</xdr:rowOff>
    </xdr:from>
    <xdr:to>
      <xdr:col>2</xdr:col>
      <xdr:colOff>85996</xdr:colOff>
      <xdr:row>4</xdr:row>
      <xdr:rowOff>134510</xdr:rowOff>
    </xdr:to>
    <xdr:pic>
      <xdr:nvPicPr>
        <xdr:cNvPr id="3" name="Picture 2">
          <a:hlinkClick xmlns:r="http://schemas.openxmlformats.org/officeDocument/2006/relationships" r:id="rId3"/>
          <a:extLst>
            <a:ext uri="{FF2B5EF4-FFF2-40B4-BE49-F238E27FC236}">
              <a16:creationId xmlns:a16="http://schemas.microsoft.com/office/drawing/2014/main" id="{F0CAFA81-1240-4AE5-BCCF-5507421BFA2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413" t="14480" r="5854" b="13119"/>
        <a:stretch/>
      </xdr:blipFill>
      <xdr:spPr>
        <a:xfrm>
          <a:off x="228599" y="77359"/>
          <a:ext cx="1875608" cy="710294"/>
        </a:xfrm>
        <a:prstGeom prst="rect">
          <a:avLst/>
        </a:prstGeom>
      </xdr:spPr>
    </xdr:pic>
    <xdr:clientData/>
  </xdr:twoCellAnchor>
  <xdr:twoCellAnchor editAs="oneCell">
    <xdr:from>
      <xdr:col>3</xdr:col>
      <xdr:colOff>901337</xdr:colOff>
      <xdr:row>0</xdr:row>
      <xdr:rowOff>76623</xdr:rowOff>
    </xdr:from>
    <xdr:to>
      <xdr:col>5</xdr:col>
      <xdr:colOff>776150</xdr:colOff>
      <xdr:row>4</xdr:row>
      <xdr:rowOff>135247</xdr:rowOff>
    </xdr:to>
    <xdr:pic>
      <xdr:nvPicPr>
        <xdr:cNvPr id="11" name="Picture 10">
          <a:hlinkClick xmlns:r="http://schemas.openxmlformats.org/officeDocument/2006/relationships" r:id="rId5"/>
          <a:extLst>
            <a:ext uri="{FF2B5EF4-FFF2-40B4-BE49-F238E27FC236}">
              <a16:creationId xmlns:a16="http://schemas.microsoft.com/office/drawing/2014/main" id="{697946BD-4B22-497F-960E-F39AB4D399C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57057" y="76623"/>
          <a:ext cx="1703613" cy="729184"/>
        </a:xfrm>
        <a:prstGeom prst="rect">
          <a:avLst/>
        </a:prstGeom>
      </xdr:spPr>
    </xdr:pic>
    <xdr:clientData/>
  </xdr:twoCellAnchor>
  <xdr:twoCellAnchor editAs="oneCell">
    <xdr:from>
      <xdr:col>3</xdr:col>
      <xdr:colOff>847997</xdr:colOff>
      <xdr:row>0</xdr:row>
      <xdr:rowOff>76623</xdr:rowOff>
    </xdr:from>
    <xdr:to>
      <xdr:col>5</xdr:col>
      <xdr:colOff>722810</xdr:colOff>
      <xdr:row>4</xdr:row>
      <xdr:rowOff>135247</xdr:rowOff>
    </xdr:to>
    <xdr:pic>
      <xdr:nvPicPr>
        <xdr:cNvPr id="8" name="Picture 7">
          <a:hlinkClick xmlns:r="http://schemas.openxmlformats.org/officeDocument/2006/relationships" r:id="rId5"/>
          <a:extLst>
            <a:ext uri="{FF2B5EF4-FFF2-40B4-BE49-F238E27FC236}">
              <a16:creationId xmlns:a16="http://schemas.microsoft.com/office/drawing/2014/main" id="{0A29F660-67AA-4CCF-B169-0858A8F4290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3717" y="76623"/>
          <a:ext cx="1703613" cy="7291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2</xdr:row>
      <xdr:rowOff>28575</xdr:rowOff>
    </xdr:from>
    <xdr:to>
      <xdr:col>6</xdr:col>
      <xdr:colOff>0</xdr:colOff>
      <xdr:row>2</xdr:row>
      <xdr:rowOff>76200</xdr:rowOff>
    </xdr:to>
    <xdr:cxnSp macro="">
      <xdr:nvCxnSpPr>
        <xdr:cNvPr id="2809584" name="AutoShape 37">
          <a:extLst>
            <a:ext uri="{FF2B5EF4-FFF2-40B4-BE49-F238E27FC236}">
              <a16:creationId xmlns:a16="http://schemas.microsoft.com/office/drawing/2014/main" id="{00000000-0008-0000-0700-0000F0DE2A00}"/>
            </a:ext>
          </a:extLst>
        </xdr:cNvPr>
        <xdr:cNvCxnSpPr>
          <a:cxnSpLocks noChangeShapeType="1"/>
          <a:stCxn id="11" idx="1"/>
        </xdr:cNvCxnSpPr>
      </xdr:nvCxnSpPr>
      <xdr:spPr bwMode="auto">
        <a:xfrm rot="10800000" flipV="1">
          <a:off x="9172575" y="371475"/>
          <a:ext cx="1314450" cy="47625"/>
        </a:xfrm>
        <a:prstGeom prst="straightConnector1">
          <a:avLst/>
        </a:prstGeom>
        <a:noFill/>
        <a:ln w="9525">
          <a:solidFill>
            <a:srgbClr val="000000"/>
          </a:solidFill>
          <a:round/>
          <a:headEnd/>
          <a:tailEnd type="triangle" w="med" len="med"/>
        </a:ln>
      </xdr:spPr>
    </xdr:cxnSp>
    <xdr:clientData/>
  </xdr:twoCellAnchor>
  <xdr:twoCellAnchor>
    <xdr:from>
      <xdr:col>6</xdr:col>
      <xdr:colOff>1</xdr:colOff>
      <xdr:row>0</xdr:row>
      <xdr:rowOff>114303</xdr:rowOff>
    </xdr:from>
    <xdr:to>
      <xdr:col>8</xdr:col>
      <xdr:colOff>184202</xdr:colOff>
      <xdr:row>3</xdr:row>
      <xdr:rowOff>0</xdr:rowOff>
    </xdr:to>
    <xdr:sp macro="" textlink="">
      <xdr:nvSpPr>
        <xdr:cNvPr id="11" name="AutoShape 19">
          <a:hlinkClick xmlns:r="http://schemas.openxmlformats.org/officeDocument/2006/relationships" r:id="rId1" tooltip="Go to infrastructure_efp"/>
          <a:extLst>
            <a:ext uri="{FF2B5EF4-FFF2-40B4-BE49-F238E27FC236}">
              <a16:creationId xmlns:a16="http://schemas.microsoft.com/office/drawing/2014/main" id="{00000000-0008-0000-0700-00000B000000}"/>
            </a:ext>
          </a:extLst>
        </xdr:cNvPr>
        <xdr:cNvSpPr>
          <a:spLocks noChangeArrowheads="1"/>
        </xdr:cNvSpPr>
      </xdr:nvSpPr>
      <xdr:spPr bwMode="auto">
        <a:xfrm>
          <a:off x="10487026" y="114303"/>
          <a:ext cx="1403401" cy="504828"/>
        </a:xfrm>
        <a:prstGeom prst="roundRect">
          <a:avLst>
            <a:gd name="adj" fmla="val 16667"/>
          </a:avLst>
        </a:prstGeom>
        <a:solidFill>
          <a:schemeClr val="accent3"/>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ysClr val="windowText" lastClr="000000"/>
              </a:solidFill>
            </a:rPr>
            <a:t>infrastructure_efp</a:t>
          </a:r>
        </a:p>
      </xdr:txBody>
    </xdr:sp>
    <xdr:clientData/>
  </xdr:twoCellAnchor>
  <xdr:twoCellAnchor>
    <xdr:from>
      <xdr:col>9</xdr:col>
      <xdr:colOff>608086</xdr:colOff>
      <xdr:row>0</xdr:row>
      <xdr:rowOff>111138</xdr:rowOff>
    </xdr:from>
    <xdr:to>
      <xdr:col>12</xdr:col>
      <xdr:colOff>182687</xdr:colOff>
      <xdr:row>3</xdr:row>
      <xdr:rowOff>0</xdr:rowOff>
    </xdr:to>
    <xdr:sp macro="" textlink="">
      <xdr:nvSpPr>
        <xdr:cNvPr id="16" name="AutoShape 23">
          <a:hlinkClick xmlns:r="http://schemas.openxmlformats.org/officeDocument/2006/relationships" r:id="rId2" tooltip="Go to yf"/>
          <a:extLst>
            <a:ext uri="{FF2B5EF4-FFF2-40B4-BE49-F238E27FC236}">
              <a16:creationId xmlns:a16="http://schemas.microsoft.com/office/drawing/2014/main" id="{00000000-0008-0000-0700-000010000000}"/>
            </a:ext>
          </a:extLst>
        </xdr:cNvPr>
        <xdr:cNvSpPr>
          <a:spLocks noChangeArrowheads="1"/>
        </xdr:cNvSpPr>
      </xdr:nvSpPr>
      <xdr:spPr bwMode="auto">
        <a:xfrm>
          <a:off x="12923911" y="111138"/>
          <a:ext cx="1403401" cy="504828"/>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yf</a:t>
          </a:r>
        </a:p>
      </xdr:txBody>
    </xdr:sp>
    <xdr:clientData/>
  </xdr:twoCellAnchor>
  <xdr:twoCellAnchor>
    <xdr:from>
      <xdr:col>8</xdr:col>
      <xdr:colOff>180975</xdr:colOff>
      <xdr:row>2</xdr:row>
      <xdr:rowOff>19050</xdr:rowOff>
    </xdr:from>
    <xdr:to>
      <xdr:col>9</xdr:col>
      <xdr:colOff>609600</xdr:colOff>
      <xdr:row>2</xdr:row>
      <xdr:rowOff>28575</xdr:rowOff>
    </xdr:to>
    <xdr:cxnSp macro="">
      <xdr:nvCxnSpPr>
        <xdr:cNvPr id="2809590" name="Straight Connector 16">
          <a:extLst>
            <a:ext uri="{FF2B5EF4-FFF2-40B4-BE49-F238E27FC236}">
              <a16:creationId xmlns:a16="http://schemas.microsoft.com/office/drawing/2014/main" id="{00000000-0008-0000-0700-0000F6DE2A00}"/>
            </a:ext>
          </a:extLst>
        </xdr:cNvPr>
        <xdr:cNvCxnSpPr>
          <a:cxnSpLocks noChangeShapeType="1"/>
          <a:stCxn id="16" idx="1"/>
          <a:endCxn id="11" idx="3"/>
        </xdr:cNvCxnSpPr>
      </xdr:nvCxnSpPr>
      <xdr:spPr bwMode="auto">
        <a:xfrm rot="10800000" flipV="1">
          <a:off x="11887200" y="361950"/>
          <a:ext cx="1038225" cy="9525"/>
        </a:xfrm>
        <a:prstGeom prst="line">
          <a:avLst/>
        </a:prstGeom>
        <a:noFill/>
        <a:ln w="9525" algn="ctr">
          <a:solidFill>
            <a:srgbClr val="000000"/>
          </a:solidFill>
          <a:round/>
          <a:headEnd/>
          <a:tailEnd type="triangle" w="med" len="med"/>
        </a:ln>
      </xdr:spPr>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carbon Footprint summary"/>
          <a:extLst>
            <a:ext uri="{FF2B5EF4-FFF2-40B4-BE49-F238E27FC236}">
              <a16:creationId xmlns:a16="http://schemas.microsoft.com/office/drawing/2014/main" id="{00000000-0008-0000-0900-000003000000}"/>
            </a:ext>
          </a:extLst>
        </xdr:cNvPr>
        <xdr:cNvSpPr>
          <a:spLocks noChangeArrowheads="1"/>
        </xdr:cNvSpPr>
      </xdr:nvSpPr>
      <xdr:spPr bwMode="auto">
        <a:xfrm>
          <a:off x="1881204" y="142876"/>
          <a:ext cx="1142204"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09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A00-000002000000}"/>
            </a:ext>
          </a:extLst>
        </xdr:cNvPr>
        <xdr:cNvSpPr>
          <a:spLocks noChangeArrowheads="1"/>
        </xdr:cNvSpPr>
      </xdr:nvSpPr>
      <xdr:spPr bwMode="auto">
        <a:xfrm>
          <a:off x="1881204" y="142876"/>
          <a:ext cx="1142204"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A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B00-000002000000}"/>
            </a:ext>
          </a:extLst>
        </xdr:cNvPr>
        <xdr:cNvSpPr>
          <a:spLocks noChangeArrowheads="1"/>
        </xdr:cNvSpPr>
      </xdr:nvSpPr>
      <xdr:spPr bwMode="auto">
        <a:xfrm>
          <a:off x="1881204" y="142876"/>
          <a:ext cx="1142204"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B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8" name="AutoShape 9">
          <a:hlinkClick xmlns:r="http://schemas.openxmlformats.org/officeDocument/2006/relationships" r:id="rId1" tooltip="Go to carbon Footprint summary"/>
          <a:extLst>
            <a:ext uri="{FF2B5EF4-FFF2-40B4-BE49-F238E27FC236}">
              <a16:creationId xmlns:a16="http://schemas.microsoft.com/office/drawing/2014/main" id="{00000000-0008-0000-0C00-000008000000}"/>
            </a:ext>
          </a:extLst>
        </xdr:cNvPr>
        <xdr:cNvSpPr>
          <a:spLocks noChangeArrowheads="1"/>
        </xdr:cNvSpPr>
      </xdr:nvSpPr>
      <xdr:spPr bwMode="auto">
        <a:xfrm>
          <a:off x="1881204" y="142876"/>
          <a:ext cx="1142204"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9" name="AutoShape 12">
          <a:hlinkClick xmlns:r="http://schemas.openxmlformats.org/officeDocument/2006/relationships" r:id="rId2" tooltip="Go to summary sheet"/>
          <a:extLst>
            <a:ext uri="{FF2B5EF4-FFF2-40B4-BE49-F238E27FC236}">
              <a16:creationId xmlns:a16="http://schemas.microsoft.com/office/drawing/2014/main" id="{00000000-0008-0000-0C00-000009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1514475</xdr:colOff>
      <xdr:row>3</xdr:row>
      <xdr:rowOff>19050</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0D00-000002000000}"/>
            </a:ext>
          </a:extLst>
        </xdr:cNvPr>
        <xdr:cNvSpPr>
          <a:spLocks noChangeArrowheads="1"/>
        </xdr:cNvSpPr>
      </xdr:nvSpPr>
      <xdr:spPr bwMode="auto">
        <a:xfrm>
          <a:off x="361950" y="142875"/>
          <a:ext cx="1152525" cy="361950"/>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1847850</xdr:colOff>
      <xdr:row>0</xdr:row>
      <xdr:rowOff>142874</xdr:rowOff>
    </xdr:from>
    <xdr:to>
      <xdr:col>0</xdr:col>
      <xdr:colOff>3038475</xdr:colOff>
      <xdr:row>3</xdr:row>
      <xdr:rowOff>22859</xdr:rowOff>
    </xdr:to>
    <xdr:sp macro="" textlink="">
      <xdr:nvSpPr>
        <xdr:cNvPr id="3" name="AutoShape 9">
          <a:hlinkClick xmlns:r="http://schemas.openxmlformats.org/officeDocument/2006/relationships" r:id="rId2" tooltip="Go to carbon Footprint summary"/>
          <a:extLst>
            <a:ext uri="{FF2B5EF4-FFF2-40B4-BE49-F238E27FC236}">
              <a16:creationId xmlns:a16="http://schemas.microsoft.com/office/drawing/2014/main" id="{00000000-0008-0000-0D00-000003000000}"/>
            </a:ext>
          </a:extLst>
        </xdr:cNvPr>
        <xdr:cNvSpPr>
          <a:spLocks noChangeArrowheads="1"/>
        </xdr:cNvSpPr>
      </xdr:nvSpPr>
      <xdr:spPr bwMode="auto">
        <a:xfrm>
          <a:off x="1847850" y="142874"/>
          <a:ext cx="1190625" cy="365760"/>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1790700</xdr:colOff>
      <xdr:row>1</xdr:row>
      <xdr:rowOff>0</xdr:rowOff>
    </xdr:from>
    <xdr:to>
      <xdr:col>0</xdr:col>
      <xdr:colOff>2933700</xdr:colOff>
      <xdr:row>3</xdr:row>
      <xdr:rowOff>42862</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E00-000002000000}"/>
            </a:ext>
          </a:extLst>
        </xdr:cNvPr>
        <xdr:cNvSpPr>
          <a:spLocks noChangeArrowheads="1"/>
        </xdr:cNvSpPr>
      </xdr:nvSpPr>
      <xdr:spPr bwMode="auto">
        <a:xfrm>
          <a:off x="1790700" y="161925"/>
          <a:ext cx="1143000"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342900</xdr:colOff>
      <xdr:row>1</xdr:row>
      <xdr:rowOff>19050</xdr:rowOff>
    </xdr:from>
    <xdr:to>
      <xdr:col>0</xdr:col>
      <xdr:colOff>1485900</xdr:colOff>
      <xdr:row>3</xdr:row>
      <xdr:rowOff>61913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E00-000003000000}"/>
            </a:ext>
          </a:extLst>
        </xdr:cNvPr>
        <xdr:cNvSpPr>
          <a:spLocks noChangeArrowheads="1"/>
        </xdr:cNvSpPr>
      </xdr:nvSpPr>
      <xdr:spPr bwMode="auto">
        <a:xfrm>
          <a:off x="342900" y="1809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arbon Footprint summary"/>
          <a:extLst>
            <a:ext uri="{FF2B5EF4-FFF2-40B4-BE49-F238E27FC236}">
              <a16:creationId xmlns:a16="http://schemas.microsoft.com/office/drawing/2014/main" id="{00000000-0008-0000-0F00-000002000000}"/>
            </a:ext>
          </a:extLst>
        </xdr:cNvPr>
        <xdr:cNvSpPr>
          <a:spLocks noChangeArrowheads="1"/>
        </xdr:cNvSpPr>
      </xdr:nvSpPr>
      <xdr:spPr bwMode="auto">
        <a:xfrm>
          <a:off x="1881204" y="142876"/>
          <a:ext cx="1142204" cy="366712"/>
        </a:xfrm>
        <a:prstGeom prst="roundRect">
          <a:avLst>
            <a:gd name="adj" fmla="val 16667"/>
          </a:avLst>
        </a:prstGeom>
        <a:solidFill>
          <a:schemeClr val="tx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ef_carbon</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0F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1905000</xdr:colOff>
      <xdr:row>0</xdr:row>
      <xdr:rowOff>133351</xdr:rowOff>
    </xdr:from>
    <xdr:to>
      <xdr:col>1</xdr:col>
      <xdr:colOff>895350</xdr:colOff>
      <xdr:row>3</xdr:row>
      <xdr:rowOff>14288</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000-000002000000}"/>
            </a:ext>
          </a:extLst>
        </xdr:cNvPr>
        <xdr:cNvSpPr>
          <a:spLocks noChangeArrowheads="1"/>
        </xdr:cNvSpPr>
      </xdr:nvSpPr>
      <xdr:spPr bwMode="auto">
        <a:xfrm>
          <a:off x="1905000" y="133351"/>
          <a:ext cx="1000125" cy="366712"/>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0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657225</xdr:colOff>
      <xdr:row>2</xdr:row>
      <xdr:rowOff>76200</xdr:rowOff>
    </xdr:from>
    <xdr:to>
      <xdr:col>2</xdr:col>
      <xdr:colOff>581025</xdr:colOff>
      <xdr:row>7</xdr:row>
      <xdr:rowOff>142875</xdr:rowOff>
    </xdr:to>
    <xdr:cxnSp macro="">
      <xdr:nvCxnSpPr>
        <xdr:cNvPr id="5" name="Straight Arrow Connector 4">
          <a:extLst>
            <a:ext uri="{FF2B5EF4-FFF2-40B4-BE49-F238E27FC236}">
              <a16:creationId xmlns:a16="http://schemas.microsoft.com/office/drawing/2014/main" id="{00000000-0008-0000-1000-000005000000}"/>
            </a:ext>
          </a:extLst>
        </xdr:cNvPr>
        <xdr:cNvCxnSpPr/>
      </xdr:nvCxnSpPr>
      <xdr:spPr bwMode="auto">
        <a:xfrm>
          <a:off x="2667000" y="400050"/>
          <a:ext cx="914400" cy="914400"/>
        </a:xfrm>
        <a:prstGeom prst="straightConnector1">
          <a:avLst/>
        </a:prstGeom>
        <a:noFill/>
        <a:ln w="9525" cap="flat" cmpd="sng" algn="ctr">
          <a:noFill/>
          <a:prstDash val="solid"/>
          <a:round/>
          <a:headEnd type="none" w="med" len="med"/>
          <a:tailEnd type="triangle"/>
        </a:ln>
        <a:effectLst/>
      </xdr:spPr>
    </xdr:cxn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1338279</xdr:colOff>
      <xdr:row>1</xdr:row>
      <xdr:rowOff>1</xdr:rowOff>
    </xdr:from>
    <xdr:to>
      <xdr:col>0</xdr:col>
      <xdr:colOff>2480483</xdr:colOff>
      <xdr:row>3</xdr:row>
      <xdr:rowOff>42863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100-000002000000}"/>
            </a:ext>
          </a:extLst>
        </xdr:cNvPr>
        <xdr:cNvSpPr>
          <a:spLocks noChangeArrowheads="1"/>
        </xdr:cNvSpPr>
      </xdr:nvSpPr>
      <xdr:spPr bwMode="auto">
        <a:xfrm>
          <a:off x="1338279" y="161926"/>
          <a:ext cx="1142204" cy="366712"/>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66675</xdr:colOff>
      <xdr:row>0</xdr:row>
      <xdr:rowOff>142875</xdr:rowOff>
    </xdr:from>
    <xdr:to>
      <xdr:col>0</xdr:col>
      <xdr:colOff>1209675</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100-000003000000}"/>
            </a:ext>
          </a:extLst>
        </xdr:cNvPr>
        <xdr:cNvSpPr>
          <a:spLocks noChangeArrowheads="1"/>
        </xdr:cNvSpPr>
      </xdr:nvSpPr>
      <xdr:spPr bwMode="auto">
        <a:xfrm>
          <a:off x="6667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11414125" cy="6294438"/>
    <xdr:graphicFrame macro="">
      <xdr:nvGraphicFramePr>
        <xdr:cNvPr id="2" name="Chart 1">
          <a:extLst>
            <a:ext uri="{FF2B5EF4-FFF2-40B4-BE49-F238E27FC236}">
              <a16:creationId xmlns:a16="http://schemas.microsoft.com/office/drawing/2014/main" id="{68030243-1570-4FEC-A083-A9B1D507982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2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2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cropland Footprint summary"/>
          <a:extLst>
            <a:ext uri="{FF2B5EF4-FFF2-40B4-BE49-F238E27FC236}">
              <a16:creationId xmlns:a16="http://schemas.microsoft.com/office/drawing/2014/main" id="{00000000-0008-0000-13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ef_crop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13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1328737</xdr:colOff>
      <xdr:row>0</xdr:row>
      <xdr:rowOff>133351</xdr:rowOff>
    </xdr:from>
    <xdr:to>
      <xdr:col>0</xdr:col>
      <xdr:colOff>2209800</xdr:colOff>
      <xdr:row>3</xdr:row>
      <xdr:rowOff>14288</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400-000003000000}"/>
            </a:ext>
          </a:extLst>
        </xdr:cNvPr>
        <xdr:cNvSpPr>
          <a:spLocks noChangeArrowheads="1"/>
        </xdr:cNvSpPr>
      </xdr:nvSpPr>
      <xdr:spPr bwMode="auto">
        <a:xfrm>
          <a:off x="1328737" y="133351"/>
          <a:ext cx="881063"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361949</xdr:colOff>
      <xdr:row>0</xdr:row>
      <xdr:rowOff>142875</xdr:rowOff>
    </xdr:from>
    <xdr:to>
      <xdr:col>0</xdr:col>
      <xdr:colOff>1209674</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400-000004000000}"/>
            </a:ext>
          </a:extLst>
        </xdr:cNvPr>
        <xdr:cNvSpPr>
          <a:spLocks noChangeArrowheads="1"/>
        </xdr:cNvSpPr>
      </xdr:nvSpPr>
      <xdr:spPr bwMode="auto">
        <a:xfrm>
          <a:off x="361949" y="142875"/>
          <a:ext cx="847725"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1645452</xdr:colOff>
      <xdr:row>0</xdr:row>
      <xdr:rowOff>142876</xdr:rowOff>
    </xdr:from>
    <xdr:to>
      <xdr:col>0</xdr:col>
      <xdr:colOff>2724150</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500-000003000000}"/>
            </a:ext>
          </a:extLst>
        </xdr:cNvPr>
        <xdr:cNvSpPr>
          <a:spLocks noChangeArrowheads="1"/>
        </xdr:cNvSpPr>
      </xdr:nvSpPr>
      <xdr:spPr bwMode="auto">
        <a:xfrm>
          <a:off x="1645452" y="142876"/>
          <a:ext cx="1078698"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5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1852629</xdr:colOff>
      <xdr:row>0</xdr:row>
      <xdr:rowOff>142876</xdr:rowOff>
    </xdr:from>
    <xdr:to>
      <xdr:col>2</xdr:col>
      <xdr:colOff>314325</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600-000003000000}"/>
            </a:ext>
          </a:extLst>
        </xdr:cNvPr>
        <xdr:cNvSpPr>
          <a:spLocks noChangeArrowheads="1"/>
        </xdr:cNvSpPr>
      </xdr:nvSpPr>
      <xdr:spPr bwMode="auto">
        <a:xfrm>
          <a:off x="1852629" y="142876"/>
          <a:ext cx="995346"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6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1990725</xdr:colOff>
      <xdr:row>0</xdr:row>
      <xdr:rowOff>142876</xdr:rowOff>
    </xdr:from>
    <xdr:to>
      <xdr:col>1</xdr:col>
      <xdr:colOff>870758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700-000003000000}"/>
            </a:ext>
          </a:extLst>
        </xdr:cNvPr>
        <xdr:cNvSpPr>
          <a:spLocks noChangeArrowheads="1"/>
        </xdr:cNvSpPr>
      </xdr:nvSpPr>
      <xdr:spPr bwMode="auto">
        <a:xfrm>
          <a:off x="1990725" y="142876"/>
          <a:ext cx="1042208"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7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800-000003000000}"/>
            </a:ext>
          </a:extLst>
        </xdr:cNvPr>
        <xdr:cNvSpPr>
          <a:spLocks noChangeArrowheads="1"/>
        </xdr:cNvSpPr>
      </xdr:nvSpPr>
      <xdr:spPr bwMode="auto">
        <a:xfrm>
          <a:off x="1881204" y="142876"/>
          <a:ext cx="1142204"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8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900-000003000000}"/>
            </a:ext>
          </a:extLst>
        </xdr:cNvPr>
        <xdr:cNvSpPr>
          <a:spLocks noChangeArrowheads="1"/>
        </xdr:cNvSpPr>
      </xdr:nvSpPr>
      <xdr:spPr bwMode="auto">
        <a:xfrm>
          <a:off x="1881204" y="142876"/>
          <a:ext cx="1142204"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9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A00-000003000000}"/>
            </a:ext>
          </a:extLst>
        </xdr:cNvPr>
        <xdr:cNvSpPr>
          <a:spLocks noChangeArrowheads="1"/>
        </xdr:cNvSpPr>
      </xdr:nvSpPr>
      <xdr:spPr bwMode="auto">
        <a:xfrm>
          <a:off x="1881204" y="142876"/>
          <a:ext cx="1142204"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A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1013226</xdr:colOff>
      <xdr:row>0</xdr:row>
      <xdr:rowOff>133351</xdr:rowOff>
    </xdr:from>
    <xdr:to>
      <xdr:col>1</xdr:col>
      <xdr:colOff>276225</xdr:colOff>
      <xdr:row>3</xdr:row>
      <xdr:rowOff>14288</xdr:rowOff>
    </xdr:to>
    <xdr:sp macro="" textlink="">
      <xdr:nvSpPr>
        <xdr:cNvPr id="3" name="AutoShape 9">
          <a:hlinkClick xmlns:r="http://schemas.openxmlformats.org/officeDocument/2006/relationships" r:id="rId1" tooltip="Go to grazing land Footprint summary"/>
          <a:extLst>
            <a:ext uri="{FF2B5EF4-FFF2-40B4-BE49-F238E27FC236}">
              <a16:creationId xmlns:a16="http://schemas.microsoft.com/office/drawing/2014/main" id="{00000000-0008-0000-1B00-000003000000}"/>
            </a:ext>
          </a:extLst>
        </xdr:cNvPr>
        <xdr:cNvSpPr>
          <a:spLocks noChangeArrowheads="1"/>
        </xdr:cNvSpPr>
      </xdr:nvSpPr>
      <xdr:spPr bwMode="auto">
        <a:xfrm>
          <a:off x="1013226" y="133351"/>
          <a:ext cx="948924"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twoCellAnchor>
    <xdr:from>
      <xdr:col>0</xdr:col>
      <xdr:colOff>104775</xdr:colOff>
      <xdr:row>0</xdr:row>
      <xdr:rowOff>142875</xdr:rowOff>
    </xdr:from>
    <xdr:to>
      <xdr:col>0</xdr:col>
      <xdr:colOff>933450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1B00-000004000000}"/>
            </a:ext>
          </a:extLst>
        </xdr:cNvPr>
        <xdr:cNvSpPr>
          <a:spLocks noChangeArrowheads="1"/>
        </xdr:cNvSpPr>
      </xdr:nvSpPr>
      <xdr:spPr bwMode="auto">
        <a:xfrm>
          <a:off x="104775" y="142875"/>
          <a:ext cx="828675"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1004255</xdr:colOff>
      <xdr:row>17</xdr:row>
      <xdr:rowOff>41278</xdr:rowOff>
    </xdr:from>
    <xdr:to>
      <xdr:col>5</xdr:col>
      <xdr:colOff>931908</xdr:colOff>
      <xdr:row>20</xdr:row>
      <xdr:rowOff>60330</xdr:rowOff>
    </xdr:to>
    <xdr:sp macro="" textlink="">
      <xdr:nvSpPr>
        <xdr:cNvPr id="30" name="AutoShape 22">
          <a:hlinkClick xmlns:r="http://schemas.openxmlformats.org/officeDocument/2006/relationships" r:id="rId1" tooltip="Go to eqf"/>
          <a:extLst>
            <a:ext uri="{FF2B5EF4-FFF2-40B4-BE49-F238E27FC236}">
              <a16:creationId xmlns:a16="http://schemas.microsoft.com/office/drawing/2014/main" id="{00000000-0008-0000-0800-00001E000000}"/>
            </a:ext>
          </a:extLst>
        </xdr:cNvPr>
        <xdr:cNvSpPr>
          <a:spLocks noChangeArrowheads="1"/>
        </xdr:cNvSpPr>
      </xdr:nvSpPr>
      <xdr:spPr bwMode="auto">
        <a:xfrm>
          <a:off x="8729030" y="2813053"/>
          <a:ext cx="1375453"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editAs="absolute">
    <xdr:from>
      <xdr:col>2</xdr:col>
      <xdr:colOff>665012</xdr:colOff>
      <xdr:row>17</xdr:row>
      <xdr:rowOff>50803</xdr:rowOff>
    </xdr:from>
    <xdr:to>
      <xdr:col>3</xdr:col>
      <xdr:colOff>580268</xdr:colOff>
      <xdr:row>20</xdr:row>
      <xdr:rowOff>69855</xdr:rowOff>
    </xdr:to>
    <xdr:sp macro="" textlink="">
      <xdr:nvSpPr>
        <xdr:cNvPr id="31" name="AutoShape 23">
          <a:hlinkClick xmlns:r="http://schemas.openxmlformats.org/officeDocument/2006/relationships" r:id="rId2" tooltip="Go to yf"/>
          <a:extLst>
            <a:ext uri="{FF2B5EF4-FFF2-40B4-BE49-F238E27FC236}">
              <a16:creationId xmlns:a16="http://schemas.microsoft.com/office/drawing/2014/main" id="{00000000-0008-0000-0800-00001F000000}"/>
            </a:ext>
          </a:extLst>
        </xdr:cNvPr>
        <xdr:cNvSpPr>
          <a:spLocks noChangeArrowheads="1"/>
        </xdr:cNvSpPr>
      </xdr:nvSpPr>
      <xdr:spPr bwMode="auto">
        <a:xfrm>
          <a:off x="5494187" y="2822578"/>
          <a:ext cx="1363056"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yf</a:t>
          </a:r>
        </a:p>
      </xdr:txBody>
    </xdr:sp>
    <xdr:clientData/>
  </xdr:twoCellAnchor>
  <xdr:twoCellAnchor editAs="absolute">
    <xdr:from>
      <xdr:col>2</xdr:col>
      <xdr:colOff>1304925</xdr:colOff>
      <xdr:row>8</xdr:row>
      <xdr:rowOff>19050</xdr:rowOff>
    </xdr:from>
    <xdr:to>
      <xdr:col>2</xdr:col>
      <xdr:colOff>1346540</xdr:colOff>
      <xdr:row>17</xdr:row>
      <xdr:rowOff>50803</xdr:rowOff>
    </xdr:to>
    <xdr:cxnSp macro="">
      <xdr:nvCxnSpPr>
        <xdr:cNvPr id="3461348" name="AutoShape 485">
          <a:extLst>
            <a:ext uri="{FF2B5EF4-FFF2-40B4-BE49-F238E27FC236}">
              <a16:creationId xmlns:a16="http://schemas.microsoft.com/office/drawing/2014/main" id="{00000000-0008-0000-0800-0000E4D03400}"/>
            </a:ext>
          </a:extLst>
        </xdr:cNvPr>
        <xdr:cNvCxnSpPr>
          <a:cxnSpLocks noChangeShapeType="1"/>
          <a:stCxn id="31" idx="0"/>
        </xdr:cNvCxnSpPr>
      </xdr:nvCxnSpPr>
      <xdr:spPr bwMode="auto">
        <a:xfrm flipH="1" flipV="1">
          <a:off x="6134100" y="1333500"/>
          <a:ext cx="41615" cy="1489078"/>
        </a:xfrm>
        <a:prstGeom prst="straightConnector1">
          <a:avLst/>
        </a:prstGeom>
        <a:noFill/>
        <a:ln w="9525">
          <a:solidFill>
            <a:srgbClr val="000000"/>
          </a:solidFill>
          <a:round/>
          <a:headEnd/>
          <a:tailEnd type="triangle" w="med" len="med"/>
        </a:ln>
      </xdr:spPr>
    </xdr:cxnSp>
    <xdr:clientData/>
  </xdr:twoCellAnchor>
  <xdr:twoCellAnchor>
    <xdr:from>
      <xdr:col>4</xdr:col>
      <xdr:colOff>1314450</xdr:colOff>
      <xdr:row>8</xdr:row>
      <xdr:rowOff>28575</xdr:rowOff>
    </xdr:from>
    <xdr:to>
      <xdr:col>5</xdr:col>
      <xdr:colOff>244182</xdr:colOff>
      <xdr:row>17</xdr:row>
      <xdr:rowOff>41278</xdr:rowOff>
    </xdr:to>
    <xdr:cxnSp macro="">
      <xdr:nvCxnSpPr>
        <xdr:cNvPr id="3461349" name="AutoShape 486">
          <a:extLst>
            <a:ext uri="{FF2B5EF4-FFF2-40B4-BE49-F238E27FC236}">
              <a16:creationId xmlns:a16="http://schemas.microsoft.com/office/drawing/2014/main" id="{00000000-0008-0000-0800-0000E5D03400}"/>
            </a:ext>
          </a:extLst>
        </xdr:cNvPr>
        <xdr:cNvCxnSpPr>
          <a:cxnSpLocks noChangeShapeType="1"/>
          <a:stCxn id="30" idx="0"/>
        </xdr:cNvCxnSpPr>
      </xdr:nvCxnSpPr>
      <xdr:spPr bwMode="auto">
        <a:xfrm flipH="1" flipV="1">
          <a:off x="9039225" y="1343025"/>
          <a:ext cx="377532" cy="1470028"/>
        </a:xfrm>
        <a:prstGeom prst="straightConnector1">
          <a:avLst/>
        </a:prstGeom>
        <a:noFill/>
        <a:ln w="9525">
          <a:solidFill>
            <a:srgbClr val="000000"/>
          </a:solidFill>
          <a:round/>
          <a:headEnd/>
          <a:tailEnd type="triangle" w="med" len="med"/>
        </a:ln>
      </xdr:spPr>
    </xdr:cxnSp>
    <xdr:clientData/>
  </xdr:twoCellAnchor>
  <xdr:twoCellAnchor>
    <xdr:from>
      <xdr:col>0</xdr:col>
      <xdr:colOff>2984494</xdr:colOff>
      <xdr:row>13</xdr:row>
      <xdr:rowOff>68284</xdr:rowOff>
    </xdr:from>
    <xdr:to>
      <xdr:col>1</xdr:col>
      <xdr:colOff>974719</xdr:colOff>
      <xdr:row>16</xdr:row>
      <xdr:rowOff>87335</xdr:rowOff>
    </xdr:to>
    <xdr:sp macro="" textlink="">
      <xdr:nvSpPr>
        <xdr:cNvPr id="18" name="AutoShape 48">
          <a:hlinkClick xmlns:r="http://schemas.openxmlformats.org/officeDocument/2006/relationships" r:id="rId3" tooltip="Go to land_use"/>
          <a:extLst>
            <a:ext uri="{FF2B5EF4-FFF2-40B4-BE49-F238E27FC236}">
              <a16:creationId xmlns:a16="http://schemas.microsoft.com/office/drawing/2014/main" id="{00000000-0008-0000-0800-000012000000}"/>
            </a:ext>
          </a:extLst>
        </xdr:cNvPr>
        <xdr:cNvSpPr>
          <a:spLocks noChangeArrowheads="1"/>
        </xdr:cNvSpPr>
      </xdr:nvSpPr>
      <xdr:spPr bwMode="auto">
        <a:xfrm>
          <a:off x="2984494" y="2354284"/>
          <a:ext cx="1371600" cy="504826"/>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bioproductive_area</a:t>
          </a:r>
        </a:p>
      </xdr:txBody>
    </xdr:sp>
    <xdr:clientData/>
  </xdr:twoCellAnchor>
  <xdr:twoCellAnchor>
    <xdr:from>
      <xdr:col>1</xdr:col>
      <xdr:colOff>38100</xdr:colOff>
      <xdr:row>8</xdr:row>
      <xdr:rowOff>0</xdr:rowOff>
    </xdr:from>
    <xdr:to>
      <xdr:col>1</xdr:col>
      <xdr:colOff>1076325</xdr:colOff>
      <xdr:row>13</xdr:row>
      <xdr:rowOff>57150</xdr:rowOff>
    </xdr:to>
    <xdr:cxnSp macro="">
      <xdr:nvCxnSpPr>
        <xdr:cNvPr id="3461351" name="AutoShape 483">
          <a:extLst>
            <a:ext uri="{FF2B5EF4-FFF2-40B4-BE49-F238E27FC236}">
              <a16:creationId xmlns:a16="http://schemas.microsoft.com/office/drawing/2014/main" id="{00000000-0008-0000-0800-0000E7D03400}"/>
            </a:ext>
          </a:extLst>
        </xdr:cNvPr>
        <xdr:cNvCxnSpPr>
          <a:cxnSpLocks noChangeShapeType="1"/>
        </xdr:cNvCxnSpPr>
      </xdr:nvCxnSpPr>
      <xdr:spPr bwMode="auto">
        <a:xfrm flipV="1">
          <a:off x="3419475" y="1476375"/>
          <a:ext cx="1038225" cy="866775"/>
        </a:xfrm>
        <a:prstGeom prst="straightConnector1">
          <a:avLst/>
        </a:prstGeom>
        <a:noFill/>
        <a:ln w="9525">
          <a:solidFill>
            <a:srgbClr val="000000"/>
          </a:solidFill>
          <a:round/>
          <a:headEnd/>
          <a:tailEnd type="triangle" w="med" len="med"/>
        </a:ln>
      </xdr:spPr>
    </xdr:cxnSp>
    <xdr:clientData/>
  </xdr:twoCellAnchor>
  <xdr:twoCellAnchor editAs="absolute">
    <xdr:from>
      <xdr:col>3</xdr:col>
      <xdr:colOff>904875</xdr:colOff>
      <xdr:row>17</xdr:row>
      <xdr:rowOff>28575</xdr:rowOff>
    </xdr:from>
    <xdr:to>
      <xdr:col>4</xdr:col>
      <xdr:colOff>820131</xdr:colOff>
      <xdr:row>20</xdr:row>
      <xdr:rowOff>47627</xdr:rowOff>
    </xdr:to>
    <xdr:sp macro="" textlink="">
      <xdr:nvSpPr>
        <xdr:cNvPr id="15" name="AutoShape 23">
          <a:hlinkClick xmlns:r="http://schemas.openxmlformats.org/officeDocument/2006/relationships" r:id="rId4" tooltip="Go to iyf"/>
          <a:extLst>
            <a:ext uri="{FF2B5EF4-FFF2-40B4-BE49-F238E27FC236}">
              <a16:creationId xmlns:a16="http://schemas.microsoft.com/office/drawing/2014/main" id="{00000000-0008-0000-0800-00000F000000}"/>
            </a:ext>
          </a:extLst>
        </xdr:cNvPr>
        <xdr:cNvSpPr>
          <a:spLocks noChangeArrowheads="1"/>
        </xdr:cNvSpPr>
      </xdr:nvSpPr>
      <xdr:spPr bwMode="auto">
        <a:xfrm>
          <a:off x="7181850" y="2800350"/>
          <a:ext cx="1363056"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iyf</a:t>
          </a:r>
        </a:p>
      </xdr:txBody>
    </xdr:sp>
    <xdr:clientData/>
  </xdr:twoCellAnchor>
  <xdr:twoCellAnchor editAs="absolute">
    <xdr:from>
      <xdr:col>3</xdr:col>
      <xdr:colOff>1228725</xdr:colOff>
      <xdr:row>8</xdr:row>
      <xdr:rowOff>28575</xdr:rowOff>
    </xdr:from>
    <xdr:to>
      <xdr:col>3</xdr:col>
      <xdr:colOff>1228726</xdr:colOff>
      <xdr:row>17</xdr:row>
      <xdr:rowOff>19051</xdr:rowOff>
    </xdr:to>
    <xdr:cxnSp macro="">
      <xdr:nvCxnSpPr>
        <xdr:cNvPr id="3461353" name="AutoShape 485">
          <a:extLst>
            <a:ext uri="{FF2B5EF4-FFF2-40B4-BE49-F238E27FC236}">
              <a16:creationId xmlns:a16="http://schemas.microsoft.com/office/drawing/2014/main" id="{00000000-0008-0000-0800-0000E9D03400}"/>
            </a:ext>
          </a:extLst>
        </xdr:cNvPr>
        <xdr:cNvCxnSpPr>
          <a:cxnSpLocks noChangeShapeType="1"/>
        </xdr:cNvCxnSpPr>
      </xdr:nvCxnSpPr>
      <xdr:spPr bwMode="auto">
        <a:xfrm flipH="1" flipV="1">
          <a:off x="7505700" y="1343025"/>
          <a:ext cx="1" cy="1447801"/>
        </a:xfrm>
        <a:prstGeom prst="straightConnector1">
          <a:avLst/>
        </a:prstGeom>
        <a:noFill/>
        <a:ln w="9525">
          <a:solidFill>
            <a:srgbClr val="000000"/>
          </a:solidFill>
          <a:round/>
          <a:headEnd/>
          <a:tailEnd type="triangle" w="med" len="med"/>
        </a:ln>
      </xdr:spPr>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C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1792941</xdr:colOff>
      <xdr:row>0</xdr:row>
      <xdr:rowOff>152400</xdr:rowOff>
    </xdr:from>
    <xdr:to>
      <xdr:col>1</xdr:col>
      <xdr:colOff>649940</xdr:colOff>
      <xdr:row>3</xdr:row>
      <xdr:rowOff>33337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C00-000004000000}"/>
            </a:ext>
          </a:extLst>
        </xdr:cNvPr>
        <xdr:cNvSpPr>
          <a:spLocks noChangeArrowheads="1"/>
        </xdr:cNvSpPr>
      </xdr:nvSpPr>
      <xdr:spPr bwMode="auto">
        <a:xfrm>
          <a:off x="1792941" y="152400"/>
          <a:ext cx="963705" cy="351584"/>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342900</xdr:colOff>
      <xdr:row>0</xdr:row>
      <xdr:rowOff>133350</xdr:rowOff>
    </xdr:from>
    <xdr:to>
      <xdr:col>0</xdr:col>
      <xdr:colOff>1485900</xdr:colOff>
      <xdr:row>3</xdr:row>
      <xdr:rowOff>14288</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D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1704975</xdr:colOff>
      <xdr:row>0</xdr:row>
      <xdr:rowOff>133350</xdr:rowOff>
    </xdr:from>
    <xdr:to>
      <xdr:col>0</xdr:col>
      <xdr:colOff>2847776</xdr:colOff>
      <xdr:row>3</xdr:row>
      <xdr:rowOff>14287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D00-000004000000}"/>
            </a:ext>
          </a:extLst>
        </xdr:cNvPr>
        <xdr:cNvSpPr>
          <a:spLocks noChangeArrowheads="1"/>
        </xdr:cNvSpPr>
      </xdr:nvSpPr>
      <xdr:spPr bwMode="auto">
        <a:xfrm>
          <a:off x="1704975" y="133350"/>
          <a:ext cx="1142801"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342900</xdr:colOff>
      <xdr:row>0</xdr:row>
      <xdr:rowOff>133350</xdr:rowOff>
    </xdr:from>
    <xdr:to>
      <xdr:col>0</xdr:col>
      <xdr:colOff>1485900</xdr:colOff>
      <xdr:row>3</xdr:row>
      <xdr:rowOff>14288</xdr:rowOff>
    </xdr:to>
    <xdr:sp macro="" textlink="">
      <xdr:nvSpPr>
        <xdr:cNvPr id="5" name="AutoShape 12">
          <a:hlinkClick xmlns:r="http://schemas.openxmlformats.org/officeDocument/2006/relationships" r:id="rId1" tooltip="Go to summary sheet"/>
          <a:extLst>
            <a:ext uri="{FF2B5EF4-FFF2-40B4-BE49-F238E27FC236}">
              <a16:creationId xmlns:a16="http://schemas.microsoft.com/office/drawing/2014/main" id="{00000000-0008-0000-1E00-000005000000}"/>
            </a:ext>
          </a:extLst>
        </xdr:cNvPr>
        <xdr:cNvSpPr>
          <a:spLocks noChangeArrowheads="1"/>
        </xdr:cNvSpPr>
      </xdr:nvSpPr>
      <xdr:spPr bwMode="auto">
        <a:xfrm>
          <a:off x="342900" y="133350"/>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1704975</xdr:colOff>
      <xdr:row>0</xdr:row>
      <xdr:rowOff>133350</xdr:rowOff>
    </xdr:from>
    <xdr:to>
      <xdr:col>0</xdr:col>
      <xdr:colOff>2847776</xdr:colOff>
      <xdr:row>3</xdr:row>
      <xdr:rowOff>14287</xdr:rowOff>
    </xdr:to>
    <xdr:sp macro="" textlink="">
      <xdr:nvSpPr>
        <xdr:cNvPr id="6"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E00-000006000000}"/>
            </a:ext>
          </a:extLst>
        </xdr:cNvPr>
        <xdr:cNvSpPr>
          <a:spLocks noChangeArrowheads="1"/>
        </xdr:cNvSpPr>
      </xdr:nvSpPr>
      <xdr:spPr bwMode="auto">
        <a:xfrm>
          <a:off x="1704975" y="133350"/>
          <a:ext cx="1142801"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400050</xdr:colOff>
      <xdr:row>1</xdr:row>
      <xdr:rowOff>0</xdr:rowOff>
    </xdr:from>
    <xdr:to>
      <xdr:col>0</xdr:col>
      <xdr:colOff>1543050</xdr:colOff>
      <xdr:row>3</xdr:row>
      <xdr:rowOff>42863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1F00-000003000000}"/>
            </a:ext>
          </a:extLst>
        </xdr:cNvPr>
        <xdr:cNvSpPr>
          <a:spLocks noChangeArrowheads="1"/>
        </xdr:cNvSpPr>
      </xdr:nvSpPr>
      <xdr:spPr bwMode="auto">
        <a:xfrm>
          <a:off x="400050" y="1619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1897855</xdr:colOff>
      <xdr:row>0</xdr:row>
      <xdr:rowOff>152400</xdr:rowOff>
    </xdr:from>
    <xdr:to>
      <xdr:col>0</xdr:col>
      <xdr:colOff>3040855</xdr:colOff>
      <xdr:row>3</xdr:row>
      <xdr:rowOff>33337</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1F00-000004000000}"/>
            </a:ext>
          </a:extLst>
        </xdr:cNvPr>
        <xdr:cNvSpPr>
          <a:spLocks noChangeArrowheads="1"/>
        </xdr:cNvSpPr>
      </xdr:nvSpPr>
      <xdr:spPr bwMode="auto">
        <a:xfrm>
          <a:off x="1897855" y="152400"/>
          <a:ext cx="1143000"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0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1600200</xdr:colOff>
      <xdr:row>0</xdr:row>
      <xdr:rowOff>123825</xdr:rowOff>
    </xdr:from>
    <xdr:to>
      <xdr:col>0</xdr:col>
      <xdr:colOff>2743001</xdr:colOff>
      <xdr:row>3</xdr:row>
      <xdr:rowOff>4762</xdr:rowOff>
    </xdr:to>
    <xdr:sp macro="" textlink="">
      <xdr:nvSpPr>
        <xdr:cNvPr id="4"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000-000004000000}"/>
            </a:ext>
          </a:extLst>
        </xdr:cNvPr>
        <xdr:cNvSpPr>
          <a:spLocks noChangeArrowheads="1"/>
        </xdr:cNvSpPr>
      </xdr:nvSpPr>
      <xdr:spPr bwMode="auto">
        <a:xfrm>
          <a:off x="1600200" y="123825"/>
          <a:ext cx="1142801"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581025</xdr:colOff>
      <xdr:row>0</xdr:row>
      <xdr:rowOff>142875</xdr:rowOff>
    </xdr:from>
    <xdr:to>
      <xdr:col>0</xdr:col>
      <xdr:colOff>1724025</xdr:colOff>
      <xdr:row>3</xdr:row>
      <xdr:rowOff>23813</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100-000002000000}"/>
            </a:ext>
          </a:extLst>
        </xdr:cNvPr>
        <xdr:cNvSpPr>
          <a:spLocks noChangeArrowheads="1"/>
        </xdr:cNvSpPr>
      </xdr:nvSpPr>
      <xdr:spPr bwMode="auto">
        <a:xfrm>
          <a:off x="58102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1933574</xdr:colOff>
      <xdr:row>0</xdr:row>
      <xdr:rowOff>142875</xdr:rowOff>
    </xdr:from>
    <xdr:to>
      <xdr:col>0</xdr:col>
      <xdr:colOff>3076574</xdr:colOff>
      <xdr:row>3</xdr:row>
      <xdr:rowOff>23812</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100-000003000000}"/>
            </a:ext>
          </a:extLst>
        </xdr:cNvPr>
        <xdr:cNvSpPr>
          <a:spLocks noChangeArrowheads="1"/>
        </xdr:cNvSpPr>
      </xdr:nvSpPr>
      <xdr:spPr bwMode="auto">
        <a:xfrm>
          <a:off x="1933574" y="142875"/>
          <a:ext cx="1143000"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581025</xdr:colOff>
      <xdr:row>0</xdr:row>
      <xdr:rowOff>142875</xdr:rowOff>
    </xdr:from>
    <xdr:to>
      <xdr:col>0</xdr:col>
      <xdr:colOff>1724025</xdr:colOff>
      <xdr:row>3</xdr:row>
      <xdr:rowOff>23813</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200-000002000000}"/>
            </a:ext>
          </a:extLst>
        </xdr:cNvPr>
        <xdr:cNvSpPr>
          <a:spLocks noChangeArrowheads="1"/>
        </xdr:cNvSpPr>
      </xdr:nvSpPr>
      <xdr:spPr bwMode="auto">
        <a:xfrm>
          <a:off x="581025"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1933574</xdr:colOff>
      <xdr:row>0</xdr:row>
      <xdr:rowOff>142875</xdr:rowOff>
    </xdr:from>
    <xdr:to>
      <xdr:col>0</xdr:col>
      <xdr:colOff>3076574</xdr:colOff>
      <xdr:row>3</xdr:row>
      <xdr:rowOff>23812</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200-000003000000}"/>
            </a:ext>
          </a:extLst>
        </xdr:cNvPr>
        <xdr:cNvSpPr>
          <a:spLocks noChangeArrowheads="1"/>
        </xdr:cNvSpPr>
      </xdr:nvSpPr>
      <xdr:spPr bwMode="auto">
        <a:xfrm>
          <a:off x="1933574" y="142875"/>
          <a:ext cx="1143000"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352425</xdr:colOff>
      <xdr:row>1</xdr:row>
      <xdr:rowOff>0</xdr:rowOff>
    </xdr:from>
    <xdr:to>
      <xdr:col>1</xdr:col>
      <xdr:colOff>85725</xdr:colOff>
      <xdr:row>2</xdr:row>
      <xdr:rowOff>204788</xdr:rowOff>
    </xdr:to>
    <xdr:sp macro="" textlink="">
      <xdr:nvSpPr>
        <xdr:cNvPr id="4" name="AutoShape 12">
          <a:hlinkClick xmlns:r="http://schemas.openxmlformats.org/officeDocument/2006/relationships" r:id="rId1" tooltip="Go to summary sheet"/>
          <a:extLst>
            <a:ext uri="{FF2B5EF4-FFF2-40B4-BE49-F238E27FC236}">
              <a16:creationId xmlns:a16="http://schemas.microsoft.com/office/drawing/2014/main" id="{00000000-0008-0000-2300-000004000000}"/>
            </a:ext>
          </a:extLst>
        </xdr:cNvPr>
        <xdr:cNvSpPr>
          <a:spLocks noChangeArrowheads="1"/>
        </xdr:cNvSpPr>
      </xdr:nvSpPr>
      <xdr:spPr bwMode="auto">
        <a:xfrm>
          <a:off x="352425" y="1619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314325</xdr:colOff>
      <xdr:row>1</xdr:row>
      <xdr:rowOff>0</xdr:rowOff>
    </xdr:from>
    <xdr:to>
      <xdr:col>1</xdr:col>
      <xdr:colOff>1457325</xdr:colOff>
      <xdr:row>2</xdr:row>
      <xdr:rowOff>204787</xdr:rowOff>
    </xdr:to>
    <xdr:sp macro="" textlink="">
      <xdr:nvSpPr>
        <xdr:cNvPr id="5"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300-000005000000}"/>
            </a:ext>
          </a:extLst>
        </xdr:cNvPr>
        <xdr:cNvSpPr>
          <a:spLocks noChangeArrowheads="1"/>
        </xdr:cNvSpPr>
      </xdr:nvSpPr>
      <xdr:spPr bwMode="auto">
        <a:xfrm>
          <a:off x="1724025" y="161925"/>
          <a:ext cx="1143000"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352426</xdr:colOff>
      <xdr:row>0</xdr:row>
      <xdr:rowOff>161924</xdr:rowOff>
    </xdr:from>
    <xdr:to>
      <xdr:col>0</xdr:col>
      <xdr:colOff>1552576</xdr:colOff>
      <xdr:row>2</xdr:row>
      <xdr:rowOff>200025</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400-000002000000}"/>
            </a:ext>
          </a:extLst>
        </xdr:cNvPr>
        <xdr:cNvSpPr>
          <a:spLocks noChangeArrowheads="1"/>
        </xdr:cNvSpPr>
      </xdr:nvSpPr>
      <xdr:spPr bwMode="auto">
        <a:xfrm>
          <a:off x="352426" y="161924"/>
          <a:ext cx="1200150" cy="361951"/>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28576</xdr:colOff>
      <xdr:row>1</xdr:row>
      <xdr:rowOff>9525</xdr:rowOff>
    </xdr:from>
    <xdr:to>
      <xdr:col>2</xdr:col>
      <xdr:colOff>495301</xdr:colOff>
      <xdr:row>2</xdr:row>
      <xdr:rowOff>209550</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400-000003000000}"/>
            </a:ext>
          </a:extLst>
        </xdr:cNvPr>
        <xdr:cNvSpPr>
          <a:spLocks noChangeArrowheads="1"/>
        </xdr:cNvSpPr>
      </xdr:nvSpPr>
      <xdr:spPr bwMode="auto">
        <a:xfrm>
          <a:off x="1685926" y="171450"/>
          <a:ext cx="1143000" cy="361950"/>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333375</xdr:colOff>
      <xdr:row>1</xdr:row>
      <xdr:rowOff>0</xdr:rowOff>
    </xdr:from>
    <xdr:to>
      <xdr:col>0</xdr:col>
      <xdr:colOff>1409701</xdr:colOff>
      <xdr:row>2</xdr:row>
      <xdr:rowOff>204788</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500-000002000000}"/>
            </a:ext>
          </a:extLst>
        </xdr:cNvPr>
        <xdr:cNvSpPr>
          <a:spLocks noChangeArrowheads="1"/>
        </xdr:cNvSpPr>
      </xdr:nvSpPr>
      <xdr:spPr bwMode="auto">
        <a:xfrm>
          <a:off x="333375" y="161925"/>
          <a:ext cx="1076326"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1657350</xdr:colOff>
      <xdr:row>1</xdr:row>
      <xdr:rowOff>0</xdr:rowOff>
    </xdr:from>
    <xdr:to>
      <xdr:col>0</xdr:col>
      <xdr:colOff>2771775</xdr:colOff>
      <xdr:row>2</xdr:row>
      <xdr:rowOff>204787</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500-000003000000}"/>
            </a:ext>
          </a:extLst>
        </xdr:cNvPr>
        <xdr:cNvSpPr>
          <a:spLocks noChangeArrowheads="1"/>
        </xdr:cNvSpPr>
      </xdr:nvSpPr>
      <xdr:spPr bwMode="auto">
        <a:xfrm>
          <a:off x="1657350" y="161925"/>
          <a:ext cx="1114425"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2</xdr:row>
      <xdr:rowOff>66675</xdr:rowOff>
    </xdr:from>
    <xdr:to>
      <xdr:col>6</xdr:col>
      <xdr:colOff>9525</xdr:colOff>
      <xdr:row>3</xdr:row>
      <xdr:rowOff>19050</xdr:rowOff>
    </xdr:to>
    <xdr:cxnSp macro="">
      <xdr:nvCxnSpPr>
        <xdr:cNvPr id="3379972" name="AutoShape 27">
          <a:extLst>
            <a:ext uri="{FF2B5EF4-FFF2-40B4-BE49-F238E27FC236}">
              <a16:creationId xmlns:a16="http://schemas.microsoft.com/office/drawing/2014/main" id="{00000000-0008-0000-0200-000004933300}"/>
            </a:ext>
          </a:extLst>
        </xdr:cNvPr>
        <xdr:cNvCxnSpPr>
          <a:cxnSpLocks noChangeShapeType="1"/>
        </xdr:cNvCxnSpPr>
      </xdr:nvCxnSpPr>
      <xdr:spPr bwMode="auto">
        <a:xfrm rot="10800000">
          <a:off x="7743825" y="409575"/>
          <a:ext cx="1457325" cy="114300"/>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2</xdr:row>
      <xdr:rowOff>76200</xdr:rowOff>
    </xdr:from>
    <xdr:to>
      <xdr:col>6</xdr:col>
      <xdr:colOff>9525</xdr:colOff>
      <xdr:row>8</xdr:row>
      <xdr:rowOff>66675</xdr:rowOff>
    </xdr:to>
    <xdr:cxnSp macro="">
      <xdr:nvCxnSpPr>
        <xdr:cNvPr id="3379973" name="AutoShape 27">
          <a:extLst>
            <a:ext uri="{FF2B5EF4-FFF2-40B4-BE49-F238E27FC236}">
              <a16:creationId xmlns:a16="http://schemas.microsoft.com/office/drawing/2014/main" id="{00000000-0008-0000-0200-000005933300}"/>
            </a:ext>
          </a:extLst>
        </xdr:cNvPr>
        <xdr:cNvCxnSpPr>
          <a:cxnSpLocks noChangeShapeType="1"/>
        </xdr:cNvCxnSpPr>
      </xdr:nvCxnSpPr>
      <xdr:spPr bwMode="auto">
        <a:xfrm rot="10800000">
          <a:off x="7753350" y="419100"/>
          <a:ext cx="1447800" cy="962025"/>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3</xdr:row>
      <xdr:rowOff>76200</xdr:rowOff>
    </xdr:from>
    <xdr:to>
      <xdr:col>6</xdr:col>
      <xdr:colOff>0</xdr:colOff>
      <xdr:row>16</xdr:row>
      <xdr:rowOff>152400</xdr:rowOff>
    </xdr:to>
    <xdr:cxnSp macro="">
      <xdr:nvCxnSpPr>
        <xdr:cNvPr id="3379975" name="AutoShape 27">
          <a:extLst>
            <a:ext uri="{FF2B5EF4-FFF2-40B4-BE49-F238E27FC236}">
              <a16:creationId xmlns:a16="http://schemas.microsoft.com/office/drawing/2014/main" id="{00000000-0008-0000-0200-000007933300}"/>
            </a:ext>
          </a:extLst>
        </xdr:cNvPr>
        <xdr:cNvCxnSpPr>
          <a:cxnSpLocks noChangeShapeType="1"/>
        </xdr:cNvCxnSpPr>
      </xdr:nvCxnSpPr>
      <xdr:spPr bwMode="auto">
        <a:xfrm rot="10800000">
          <a:off x="7753350" y="581025"/>
          <a:ext cx="1438275" cy="2181225"/>
        </a:xfrm>
        <a:prstGeom prst="straightConnector1">
          <a:avLst/>
        </a:prstGeom>
        <a:noFill/>
        <a:ln w="9525">
          <a:solidFill>
            <a:srgbClr val="000000"/>
          </a:solidFill>
          <a:round/>
          <a:headEnd/>
          <a:tailEnd type="triangle" w="med" len="med"/>
        </a:ln>
      </xdr:spPr>
    </xdr:cxnSp>
    <xdr:clientData/>
  </xdr:twoCellAnchor>
  <xdr:twoCellAnchor>
    <xdr:from>
      <xdr:col>5</xdr:col>
      <xdr:colOff>9525</xdr:colOff>
      <xdr:row>5</xdr:row>
      <xdr:rowOff>95250</xdr:rowOff>
    </xdr:from>
    <xdr:to>
      <xdr:col>6</xdr:col>
      <xdr:colOff>19050</xdr:colOff>
      <xdr:row>21</xdr:row>
      <xdr:rowOff>28575</xdr:rowOff>
    </xdr:to>
    <xdr:cxnSp macro="">
      <xdr:nvCxnSpPr>
        <xdr:cNvPr id="3379976" name="AutoShape 27">
          <a:extLst>
            <a:ext uri="{FF2B5EF4-FFF2-40B4-BE49-F238E27FC236}">
              <a16:creationId xmlns:a16="http://schemas.microsoft.com/office/drawing/2014/main" id="{00000000-0008-0000-0200-000008933300}"/>
            </a:ext>
          </a:extLst>
        </xdr:cNvPr>
        <xdr:cNvCxnSpPr>
          <a:cxnSpLocks noChangeShapeType="1"/>
        </xdr:cNvCxnSpPr>
      </xdr:nvCxnSpPr>
      <xdr:spPr bwMode="auto">
        <a:xfrm rot="10800000">
          <a:off x="7753350" y="923925"/>
          <a:ext cx="1457325" cy="2524125"/>
        </a:xfrm>
        <a:prstGeom prst="straightConnector1">
          <a:avLst/>
        </a:prstGeom>
        <a:noFill/>
        <a:ln w="9525">
          <a:solidFill>
            <a:srgbClr val="000000"/>
          </a:solidFill>
          <a:round/>
          <a:headEnd/>
          <a:tailEnd type="triangle" w="med" len="med"/>
        </a:ln>
      </xdr:spPr>
    </xdr:cxnSp>
    <xdr:clientData/>
  </xdr:twoCellAnchor>
  <xdr:twoCellAnchor>
    <xdr:from>
      <xdr:col>0</xdr:col>
      <xdr:colOff>0</xdr:colOff>
      <xdr:row>9</xdr:row>
      <xdr:rowOff>9525</xdr:rowOff>
    </xdr:from>
    <xdr:to>
      <xdr:col>4</xdr:col>
      <xdr:colOff>733425</xdr:colOff>
      <xdr:row>35</xdr:row>
      <xdr:rowOff>133350</xdr:rowOff>
    </xdr:to>
    <xdr:graphicFrame macro="">
      <xdr:nvGraphicFramePr>
        <xdr:cNvPr id="3379977" name="Chart 93">
          <a:extLst>
            <a:ext uri="{FF2B5EF4-FFF2-40B4-BE49-F238E27FC236}">
              <a16:creationId xmlns:a16="http://schemas.microsoft.com/office/drawing/2014/main" id="{00000000-0008-0000-0200-00000993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3362326</xdr:colOff>
      <xdr:row>11</xdr:row>
      <xdr:rowOff>66674</xdr:rowOff>
    </xdr:from>
    <xdr:to>
      <xdr:col>2</xdr:col>
      <xdr:colOff>1228725</xdr:colOff>
      <xdr:row>12</xdr:row>
      <xdr:rowOff>152399</xdr:rowOff>
    </xdr:to>
    <xdr:sp macro="" textlink="">
      <xdr:nvSpPr>
        <xdr:cNvPr id="95" name="Right Arrow 94">
          <a:extLst>
            <a:ext uri="{FF2B5EF4-FFF2-40B4-BE49-F238E27FC236}">
              <a16:creationId xmlns:a16="http://schemas.microsoft.com/office/drawing/2014/main" id="{00000000-0008-0000-0200-00005F000000}"/>
            </a:ext>
          </a:extLst>
        </xdr:cNvPr>
        <xdr:cNvSpPr/>
      </xdr:nvSpPr>
      <xdr:spPr>
        <a:xfrm>
          <a:off x="3362326" y="1866899"/>
          <a:ext cx="2695574" cy="247650"/>
        </a:xfrm>
        <a:prstGeom prst="rightArrow">
          <a:avLst/>
        </a:prstGeom>
        <a:noFill/>
        <a:ln>
          <a:solidFill>
            <a:srgbClr val="005595">
              <a:shade val="50000"/>
            </a:srgb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xdr:col>
      <xdr:colOff>7949</xdr:colOff>
      <xdr:row>6</xdr:row>
      <xdr:rowOff>149236</xdr:rowOff>
    </xdr:from>
    <xdr:to>
      <xdr:col>8</xdr:col>
      <xdr:colOff>196925</xdr:colOff>
      <xdr:row>10</xdr:row>
      <xdr:rowOff>4456</xdr:rowOff>
    </xdr:to>
    <xdr:sp macro="" textlink="">
      <xdr:nvSpPr>
        <xdr:cNvPr id="34" name="AutoShape 19">
          <a:hlinkClick xmlns:r="http://schemas.openxmlformats.org/officeDocument/2006/relationships" r:id="rId2" tooltip="Go to carbon_efi"/>
          <a:extLst>
            <a:ext uri="{FF2B5EF4-FFF2-40B4-BE49-F238E27FC236}">
              <a16:creationId xmlns:a16="http://schemas.microsoft.com/office/drawing/2014/main" id="{00000000-0008-0000-0200-000022000000}"/>
            </a:ext>
          </a:extLst>
        </xdr:cNvPr>
        <xdr:cNvSpPr>
          <a:spLocks noChangeArrowheads="1"/>
        </xdr:cNvSpPr>
      </xdr:nvSpPr>
      <xdr:spPr bwMode="auto">
        <a:xfrm>
          <a:off x="9199574" y="1139836"/>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carbon_efi_efe</a:t>
          </a:r>
        </a:p>
      </xdr:txBody>
    </xdr:sp>
    <xdr:clientData/>
  </xdr:twoCellAnchor>
  <xdr:twoCellAnchor>
    <xdr:from>
      <xdr:col>6</xdr:col>
      <xdr:colOff>7950</xdr:colOff>
      <xdr:row>2</xdr:row>
      <xdr:rowOff>76200</xdr:rowOff>
    </xdr:from>
    <xdr:to>
      <xdr:col>8</xdr:col>
      <xdr:colOff>196926</xdr:colOff>
      <xdr:row>5</xdr:row>
      <xdr:rowOff>93345</xdr:rowOff>
    </xdr:to>
    <xdr:sp macro="" textlink="">
      <xdr:nvSpPr>
        <xdr:cNvPr id="36" name="AutoShape 21">
          <a:hlinkClick xmlns:r="http://schemas.openxmlformats.org/officeDocument/2006/relationships" r:id="rId3" tooltip="Go to fossil_efp"/>
          <a:extLst>
            <a:ext uri="{FF2B5EF4-FFF2-40B4-BE49-F238E27FC236}">
              <a16:creationId xmlns:a16="http://schemas.microsoft.com/office/drawing/2014/main" id="{00000000-0008-0000-0200-000024000000}"/>
            </a:ext>
          </a:extLst>
        </xdr:cNvPr>
        <xdr:cNvSpPr>
          <a:spLocks noChangeArrowheads="1"/>
        </xdr:cNvSpPr>
      </xdr:nvSpPr>
      <xdr:spPr bwMode="auto">
        <a:xfrm>
          <a:off x="9199575" y="419100"/>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fossil_efp</a:t>
          </a:r>
        </a:p>
      </xdr:txBody>
    </xdr:sp>
    <xdr:clientData/>
  </xdr:twoCellAnchor>
  <xdr:twoCellAnchor>
    <xdr:from>
      <xdr:col>6</xdr:col>
      <xdr:colOff>6375</xdr:colOff>
      <xdr:row>19</xdr:row>
      <xdr:rowOff>115921</xdr:rowOff>
    </xdr:from>
    <xdr:to>
      <xdr:col>8</xdr:col>
      <xdr:colOff>195351</xdr:colOff>
      <xdr:row>22</xdr:row>
      <xdr:rowOff>133066</xdr:rowOff>
    </xdr:to>
    <xdr:sp macro="" textlink="">
      <xdr:nvSpPr>
        <xdr:cNvPr id="37" name="AutoShape 22">
          <a:hlinkClick xmlns:r="http://schemas.openxmlformats.org/officeDocument/2006/relationships" r:id="rId4" tooltip="Go to bunker_efp"/>
          <a:extLst>
            <a:ext uri="{FF2B5EF4-FFF2-40B4-BE49-F238E27FC236}">
              <a16:creationId xmlns:a16="http://schemas.microsoft.com/office/drawing/2014/main" id="{00000000-0008-0000-0200-000025000000}"/>
            </a:ext>
          </a:extLst>
        </xdr:cNvPr>
        <xdr:cNvSpPr>
          <a:spLocks noChangeArrowheads="1"/>
        </xdr:cNvSpPr>
      </xdr:nvSpPr>
      <xdr:spPr bwMode="auto">
        <a:xfrm>
          <a:off x="10626750" y="3211546"/>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Int_Transport</a:t>
          </a:r>
        </a:p>
      </xdr:txBody>
    </xdr:sp>
    <xdr:clientData/>
  </xdr:twoCellAnchor>
  <xdr:twoCellAnchor>
    <xdr:from>
      <xdr:col>6</xdr:col>
      <xdr:colOff>0</xdr:colOff>
      <xdr:row>15</xdr:row>
      <xdr:rowOff>73051</xdr:rowOff>
    </xdr:from>
    <xdr:to>
      <xdr:col>8</xdr:col>
      <xdr:colOff>188976</xdr:colOff>
      <xdr:row>18</xdr:row>
      <xdr:rowOff>90196</xdr:rowOff>
    </xdr:to>
    <xdr:sp macro="" textlink="">
      <xdr:nvSpPr>
        <xdr:cNvPr id="38" name="AutoShape 23">
          <a:hlinkClick xmlns:r="http://schemas.openxmlformats.org/officeDocument/2006/relationships" r:id="rId5" tooltip="Go to other_C02_efp"/>
          <a:extLst>
            <a:ext uri="{FF2B5EF4-FFF2-40B4-BE49-F238E27FC236}">
              <a16:creationId xmlns:a16="http://schemas.microsoft.com/office/drawing/2014/main" id="{00000000-0008-0000-0200-000026000000}"/>
            </a:ext>
          </a:extLst>
        </xdr:cNvPr>
        <xdr:cNvSpPr>
          <a:spLocks noChangeArrowheads="1"/>
        </xdr:cNvSpPr>
      </xdr:nvSpPr>
      <xdr:spPr bwMode="auto">
        <a:xfrm>
          <a:off x="9191625" y="2520976"/>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p>
          <a:pPr algn="ctr" rtl="1">
            <a:defRPr sz="1000"/>
          </a:pPr>
          <a:r>
            <a:rPr lang="en-US" sz="1000" b="0" i="0" strike="noStrike">
              <a:solidFill>
                <a:srgbClr val="FFFFFF"/>
              </a:solidFill>
              <a:latin typeface="Arial"/>
              <a:cs typeface="Arial"/>
            </a:rPr>
            <a:t>other_co2_efp</a:t>
          </a:r>
        </a:p>
      </xdr:txBody>
    </xdr:sp>
    <xdr:clientData/>
  </xdr:twoCellAnchor>
  <xdr:twoCellAnchor>
    <xdr:from>
      <xdr:col>10</xdr:col>
      <xdr:colOff>360435</xdr:colOff>
      <xdr:row>3</xdr:row>
      <xdr:rowOff>23820</xdr:rowOff>
    </xdr:from>
    <xdr:to>
      <xdr:col>12</xdr:col>
      <xdr:colOff>549411</xdr:colOff>
      <xdr:row>6</xdr:row>
      <xdr:rowOff>40965</xdr:rowOff>
    </xdr:to>
    <xdr:sp macro="" textlink="">
      <xdr:nvSpPr>
        <xdr:cNvPr id="43" name="AutoShape 36">
          <a:hlinkClick xmlns:r="http://schemas.openxmlformats.org/officeDocument/2006/relationships" r:id="rId6" tooltip="Go to eqf"/>
          <a:extLst>
            <a:ext uri="{FF2B5EF4-FFF2-40B4-BE49-F238E27FC236}">
              <a16:creationId xmlns:a16="http://schemas.microsoft.com/office/drawing/2014/main" id="{00000000-0008-0000-0200-00002B000000}"/>
            </a:ext>
          </a:extLst>
        </xdr:cNvPr>
        <xdr:cNvSpPr>
          <a:spLocks noChangeArrowheads="1"/>
        </xdr:cNvSpPr>
      </xdr:nvSpPr>
      <xdr:spPr bwMode="auto">
        <a:xfrm>
          <a:off x="11990460" y="528645"/>
          <a:ext cx="1408176" cy="502920"/>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10</xdr:col>
      <xdr:colOff>330285</xdr:colOff>
      <xdr:row>7</xdr:row>
      <xdr:rowOff>76215</xdr:rowOff>
    </xdr:from>
    <xdr:to>
      <xdr:col>12</xdr:col>
      <xdr:colOff>519261</xdr:colOff>
      <xdr:row>10</xdr:row>
      <xdr:rowOff>93360</xdr:rowOff>
    </xdr:to>
    <xdr:sp macro="" textlink="">
      <xdr:nvSpPr>
        <xdr:cNvPr id="44" name="AutoShape 38">
          <a:hlinkClick xmlns:r="http://schemas.openxmlformats.org/officeDocument/2006/relationships" r:id="rId7" tooltip="Go to cnst_carbon"/>
          <a:extLst>
            <a:ext uri="{FF2B5EF4-FFF2-40B4-BE49-F238E27FC236}">
              <a16:creationId xmlns:a16="http://schemas.microsoft.com/office/drawing/2014/main" id="{00000000-0008-0000-0200-00002C000000}"/>
            </a:ext>
          </a:extLst>
        </xdr:cNvPr>
        <xdr:cNvSpPr>
          <a:spLocks noChangeArrowheads="1"/>
        </xdr:cNvSpPr>
      </xdr:nvSpPr>
      <xdr:spPr bwMode="auto">
        <a:xfrm>
          <a:off x="11960310" y="1228740"/>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cnst_carbon</a:t>
          </a:r>
        </a:p>
      </xdr:txBody>
    </xdr:sp>
    <xdr:clientData/>
  </xdr:twoCellAnchor>
  <xdr:twoCellAnchor>
    <xdr:from>
      <xdr:col>7</xdr:col>
      <xdr:colOff>102437</xdr:colOff>
      <xdr:row>5</xdr:row>
      <xdr:rowOff>93345</xdr:rowOff>
    </xdr:from>
    <xdr:to>
      <xdr:col>8</xdr:col>
      <xdr:colOff>195350</xdr:colOff>
      <xdr:row>21</xdr:row>
      <xdr:rowOff>43531</xdr:rowOff>
    </xdr:to>
    <xdr:cxnSp macro="">
      <xdr:nvCxnSpPr>
        <xdr:cNvPr id="3379993" name="Shape 105">
          <a:extLst>
            <a:ext uri="{FF2B5EF4-FFF2-40B4-BE49-F238E27FC236}">
              <a16:creationId xmlns:a16="http://schemas.microsoft.com/office/drawing/2014/main" id="{00000000-0008-0000-0200-000019933300}"/>
            </a:ext>
          </a:extLst>
        </xdr:cNvPr>
        <xdr:cNvCxnSpPr>
          <a:cxnSpLocks noChangeShapeType="1"/>
          <a:stCxn id="36" idx="2"/>
          <a:endCxn id="37" idx="3"/>
        </xdr:cNvCxnSpPr>
      </xdr:nvCxnSpPr>
      <xdr:spPr bwMode="auto">
        <a:xfrm rot="16200000" flipH="1">
          <a:off x="10413176" y="1841256"/>
          <a:ext cx="2540986" cy="702513"/>
        </a:xfrm>
        <a:prstGeom prst="curvedConnector4">
          <a:avLst>
            <a:gd name="adj1" fmla="val 45052"/>
            <a:gd name="adj2" fmla="val 132765"/>
          </a:avLst>
        </a:prstGeom>
        <a:noFill/>
        <a:ln w="9525" algn="ctr">
          <a:solidFill>
            <a:srgbClr val="000000"/>
          </a:solidFill>
          <a:round/>
          <a:headEnd/>
          <a:tailEnd type="triangle" w="med" len="med"/>
        </a:ln>
      </xdr:spPr>
    </xdr:cxnSp>
    <xdr:clientData/>
  </xdr:twoCellAnchor>
  <xdr:twoCellAnchor>
    <xdr:from>
      <xdr:col>9</xdr:col>
      <xdr:colOff>69056</xdr:colOff>
      <xdr:row>19</xdr:row>
      <xdr:rowOff>85725</xdr:rowOff>
    </xdr:from>
    <xdr:to>
      <xdr:col>11</xdr:col>
      <xdr:colOff>258032</xdr:colOff>
      <xdr:row>22</xdr:row>
      <xdr:rowOff>102870</xdr:rowOff>
    </xdr:to>
    <xdr:sp macro="" textlink="">
      <xdr:nvSpPr>
        <xdr:cNvPr id="24" name="AutoShape 26">
          <a:hlinkClick xmlns:r="http://schemas.openxmlformats.org/officeDocument/2006/relationships" r:id="rId8" tooltip="Go to carbon_intensity_n"/>
          <a:extLst>
            <a:ext uri="{FF2B5EF4-FFF2-40B4-BE49-F238E27FC236}">
              <a16:creationId xmlns:a16="http://schemas.microsoft.com/office/drawing/2014/main" id="{00000000-0008-0000-0200-000018000000}"/>
            </a:ext>
          </a:extLst>
        </xdr:cNvPr>
        <xdr:cNvSpPr>
          <a:spLocks noChangeArrowheads="1"/>
        </xdr:cNvSpPr>
      </xdr:nvSpPr>
      <xdr:spPr bwMode="auto">
        <a:xfrm>
          <a:off x="11089481" y="3181350"/>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carbon_intensity_n</a:t>
          </a:r>
        </a:p>
      </xdr:txBody>
    </xdr:sp>
    <xdr:clientData/>
  </xdr:twoCellAnchor>
  <xdr:twoCellAnchor>
    <xdr:from>
      <xdr:col>10</xdr:col>
      <xdr:colOff>163544</xdr:colOff>
      <xdr:row>10</xdr:row>
      <xdr:rowOff>93360</xdr:rowOff>
    </xdr:from>
    <xdr:to>
      <xdr:col>11</xdr:col>
      <xdr:colOff>424773</xdr:colOff>
      <xdr:row>19</xdr:row>
      <xdr:rowOff>85725</xdr:rowOff>
    </xdr:to>
    <xdr:cxnSp macro="">
      <xdr:nvCxnSpPr>
        <xdr:cNvPr id="3379995" name="Straight Connector 44">
          <a:extLst>
            <a:ext uri="{FF2B5EF4-FFF2-40B4-BE49-F238E27FC236}">
              <a16:creationId xmlns:a16="http://schemas.microsoft.com/office/drawing/2014/main" id="{00000000-0008-0000-0200-00001B933300}"/>
            </a:ext>
          </a:extLst>
        </xdr:cNvPr>
        <xdr:cNvCxnSpPr>
          <a:cxnSpLocks noChangeShapeType="1"/>
          <a:stCxn id="44" idx="2"/>
          <a:endCxn id="24" idx="0"/>
        </xdr:cNvCxnSpPr>
      </xdr:nvCxnSpPr>
      <xdr:spPr bwMode="auto">
        <a:xfrm flipH="1">
          <a:off x="11793569" y="1731660"/>
          <a:ext cx="870829" cy="1449690"/>
        </a:xfrm>
        <a:prstGeom prst="line">
          <a:avLst/>
        </a:prstGeom>
        <a:noFill/>
        <a:ln w="9525" algn="ctr">
          <a:solidFill>
            <a:srgbClr val="000000"/>
          </a:solidFill>
          <a:round/>
          <a:headEnd/>
          <a:tailEnd type="triangle" w="med" len="med"/>
        </a:ln>
      </xdr:spPr>
    </xdr:cxnSp>
    <xdr:clientData/>
  </xdr:twoCellAnchor>
  <xdr:twoCellAnchor>
    <xdr:from>
      <xdr:col>6</xdr:col>
      <xdr:colOff>7948</xdr:colOff>
      <xdr:row>8</xdr:row>
      <xdr:rowOff>76846</xdr:rowOff>
    </xdr:from>
    <xdr:to>
      <xdr:col>11</xdr:col>
      <xdr:colOff>258031</xdr:colOff>
      <xdr:row>21</xdr:row>
      <xdr:rowOff>13335</xdr:rowOff>
    </xdr:to>
    <xdr:cxnSp macro="">
      <xdr:nvCxnSpPr>
        <xdr:cNvPr id="3379996" name="Shape 105">
          <a:extLst>
            <a:ext uri="{FF2B5EF4-FFF2-40B4-BE49-F238E27FC236}">
              <a16:creationId xmlns:a16="http://schemas.microsoft.com/office/drawing/2014/main" id="{00000000-0008-0000-0200-00001C933300}"/>
            </a:ext>
          </a:extLst>
        </xdr:cNvPr>
        <xdr:cNvCxnSpPr>
          <a:cxnSpLocks noChangeShapeType="1"/>
          <a:stCxn id="34" idx="1"/>
          <a:endCxn id="24" idx="3"/>
        </xdr:cNvCxnSpPr>
      </xdr:nvCxnSpPr>
      <xdr:spPr bwMode="auto">
        <a:xfrm rot="10800000" flipH="1" flipV="1">
          <a:off x="9199573" y="1391296"/>
          <a:ext cx="3298083" cy="2041514"/>
        </a:xfrm>
        <a:prstGeom prst="curvedConnector5">
          <a:avLst>
            <a:gd name="adj1" fmla="val -6931"/>
            <a:gd name="adj2" fmla="val 50000"/>
            <a:gd name="adj3" fmla="val 106931"/>
          </a:avLst>
        </a:prstGeom>
        <a:noFill/>
        <a:ln w="9525" algn="ctr">
          <a:solidFill>
            <a:srgbClr val="000000"/>
          </a:solidFill>
          <a:round/>
          <a:headEnd/>
          <a:tailEnd type="triangle" w="med" len="med"/>
        </a:ln>
      </xdr:spPr>
    </xdr:cxnSp>
    <xdr:clientData/>
  </xdr:twoCellAnchor>
  <xdr:twoCellAnchor>
    <xdr:from>
      <xdr:col>6</xdr:col>
      <xdr:colOff>7950</xdr:colOff>
      <xdr:row>4</xdr:row>
      <xdr:rowOff>3810</xdr:rowOff>
    </xdr:from>
    <xdr:to>
      <xdr:col>11</xdr:col>
      <xdr:colOff>258032</xdr:colOff>
      <xdr:row>21</xdr:row>
      <xdr:rowOff>13335</xdr:rowOff>
    </xdr:to>
    <xdr:cxnSp macro="">
      <xdr:nvCxnSpPr>
        <xdr:cNvPr id="3379997" name="Shape 105">
          <a:extLst>
            <a:ext uri="{FF2B5EF4-FFF2-40B4-BE49-F238E27FC236}">
              <a16:creationId xmlns:a16="http://schemas.microsoft.com/office/drawing/2014/main" id="{00000000-0008-0000-0200-00001D933300}"/>
            </a:ext>
          </a:extLst>
        </xdr:cNvPr>
        <xdr:cNvCxnSpPr>
          <a:cxnSpLocks noChangeShapeType="1"/>
          <a:stCxn id="36" idx="1"/>
          <a:endCxn id="24" idx="3"/>
        </xdr:cNvCxnSpPr>
      </xdr:nvCxnSpPr>
      <xdr:spPr bwMode="auto">
        <a:xfrm rot="10800000" flipH="1" flipV="1">
          <a:off x="9199575" y="670560"/>
          <a:ext cx="3298082" cy="2762250"/>
        </a:xfrm>
        <a:prstGeom prst="curvedConnector5">
          <a:avLst>
            <a:gd name="adj1" fmla="val -6931"/>
            <a:gd name="adj2" fmla="val 50000"/>
            <a:gd name="adj3" fmla="val 106931"/>
          </a:avLst>
        </a:prstGeom>
        <a:noFill/>
        <a:ln w="9525" algn="ctr">
          <a:solidFill>
            <a:srgbClr val="000000"/>
          </a:solidFill>
          <a:round/>
          <a:headEnd/>
          <a:tailEnd type="triangle" w="med" len="med"/>
        </a:ln>
      </xdr:spPr>
    </xdr:cxnSp>
    <xdr:clientData/>
  </xdr:twoCellAnchor>
  <xdr:twoCellAnchor>
    <xdr:from>
      <xdr:col>6</xdr:col>
      <xdr:colOff>0</xdr:colOff>
      <xdr:row>24</xdr:row>
      <xdr:rowOff>0</xdr:rowOff>
    </xdr:from>
    <xdr:to>
      <xdr:col>8</xdr:col>
      <xdr:colOff>188976</xdr:colOff>
      <xdr:row>27</xdr:row>
      <xdr:rowOff>17145</xdr:rowOff>
    </xdr:to>
    <xdr:sp macro="" textlink="">
      <xdr:nvSpPr>
        <xdr:cNvPr id="30" name="AutoShape 22">
          <a:hlinkClick xmlns:r="http://schemas.openxmlformats.org/officeDocument/2006/relationships" r:id="rId9" tooltip="Go to bunker_efp"/>
          <a:extLst>
            <a:ext uri="{FF2B5EF4-FFF2-40B4-BE49-F238E27FC236}">
              <a16:creationId xmlns:a16="http://schemas.microsoft.com/office/drawing/2014/main" id="{00000000-0008-0000-0200-00001E000000}"/>
            </a:ext>
          </a:extLst>
        </xdr:cNvPr>
        <xdr:cNvSpPr>
          <a:spLocks noChangeArrowheads="1"/>
        </xdr:cNvSpPr>
      </xdr:nvSpPr>
      <xdr:spPr bwMode="auto">
        <a:xfrm>
          <a:off x="9191625" y="3905250"/>
          <a:ext cx="1408176" cy="502920"/>
        </a:xfrm>
        <a:prstGeom prst="roundRect">
          <a:avLst>
            <a:gd name="adj" fmla="val 16667"/>
          </a:avLst>
        </a:prstGeom>
        <a:solidFill>
          <a:schemeClr val="tx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electricity trade</a:t>
          </a:r>
        </a:p>
      </xdr:txBody>
    </xdr:sp>
    <xdr:clientData/>
  </xdr:twoCellAnchor>
  <xdr:twoCellAnchor>
    <xdr:from>
      <xdr:col>5</xdr:col>
      <xdr:colOff>0</xdr:colOff>
      <xdr:row>4</xdr:row>
      <xdr:rowOff>85725</xdr:rowOff>
    </xdr:from>
    <xdr:to>
      <xdr:col>6</xdr:col>
      <xdr:colOff>0</xdr:colOff>
      <xdr:row>25</xdr:row>
      <xdr:rowOff>85725</xdr:rowOff>
    </xdr:to>
    <xdr:cxnSp macro="">
      <xdr:nvCxnSpPr>
        <xdr:cNvPr id="3380001" name="AutoShape 27">
          <a:extLst>
            <a:ext uri="{FF2B5EF4-FFF2-40B4-BE49-F238E27FC236}">
              <a16:creationId xmlns:a16="http://schemas.microsoft.com/office/drawing/2014/main" id="{00000000-0008-0000-0200-000021933300}"/>
            </a:ext>
          </a:extLst>
        </xdr:cNvPr>
        <xdr:cNvCxnSpPr>
          <a:cxnSpLocks noChangeShapeType="1"/>
          <a:stCxn id="30" idx="1"/>
        </xdr:cNvCxnSpPr>
      </xdr:nvCxnSpPr>
      <xdr:spPr bwMode="auto">
        <a:xfrm rot="10800000">
          <a:off x="7743825" y="752475"/>
          <a:ext cx="1447800" cy="3400425"/>
        </a:xfrm>
        <a:prstGeom prst="straightConnector1">
          <a:avLst/>
        </a:prstGeom>
        <a:noFill/>
        <a:ln w="9525">
          <a:solidFill>
            <a:srgbClr val="000000"/>
          </a:solidFill>
          <a:round/>
          <a:headEnd/>
          <a:tailEnd type="triangle" w="med" len="med"/>
        </a:ln>
      </xdr:spPr>
    </xdr:cxn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333375</xdr:colOff>
      <xdr:row>1</xdr:row>
      <xdr:rowOff>0</xdr:rowOff>
    </xdr:from>
    <xdr:to>
      <xdr:col>0</xdr:col>
      <xdr:colOff>1409701</xdr:colOff>
      <xdr:row>2</xdr:row>
      <xdr:rowOff>204788</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2600-000002000000}"/>
            </a:ext>
          </a:extLst>
        </xdr:cNvPr>
        <xdr:cNvSpPr>
          <a:spLocks noChangeArrowheads="1"/>
        </xdr:cNvSpPr>
      </xdr:nvSpPr>
      <xdr:spPr bwMode="auto">
        <a:xfrm>
          <a:off x="333375" y="161925"/>
          <a:ext cx="1076326"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0</xdr:col>
      <xdr:colOff>1657350</xdr:colOff>
      <xdr:row>1</xdr:row>
      <xdr:rowOff>0</xdr:rowOff>
    </xdr:from>
    <xdr:to>
      <xdr:col>0</xdr:col>
      <xdr:colOff>2771775</xdr:colOff>
      <xdr:row>2</xdr:row>
      <xdr:rowOff>204787</xdr:rowOff>
    </xdr:to>
    <xdr:sp macro="" textlink="">
      <xdr:nvSpPr>
        <xdr:cNvPr id="3" name="AutoShape 9">
          <a:hlinkClick xmlns:r="http://schemas.openxmlformats.org/officeDocument/2006/relationships" r:id="rId2" tooltip="Go to grazing land Footprint summary"/>
          <a:extLst>
            <a:ext uri="{FF2B5EF4-FFF2-40B4-BE49-F238E27FC236}">
              <a16:creationId xmlns:a16="http://schemas.microsoft.com/office/drawing/2014/main" id="{00000000-0008-0000-2600-000003000000}"/>
            </a:ext>
          </a:extLst>
        </xdr:cNvPr>
        <xdr:cNvSpPr>
          <a:spLocks noChangeArrowheads="1"/>
        </xdr:cNvSpPr>
      </xdr:nvSpPr>
      <xdr:spPr bwMode="auto">
        <a:xfrm>
          <a:off x="1657350" y="161925"/>
          <a:ext cx="1114425" cy="366712"/>
        </a:xfrm>
        <a:prstGeom prst="roundRect">
          <a:avLst>
            <a:gd name="adj" fmla="val 16667"/>
          </a:avLst>
        </a:prstGeom>
        <a:solidFill>
          <a:schemeClr val="accent4"/>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ef_grazing</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42879</xdr:colOff>
      <xdr:row>0</xdr:row>
      <xdr:rowOff>152401</xdr:rowOff>
    </xdr:from>
    <xdr:to>
      <xdr:col>1</xdr:col>
      <xdr:colOff>1185083</xdr:colOff>
      <xdr:row>3</xdr:row>
      <xdr:rowOff>33338</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700-000002000000}"/>
            </a:ext>
          </a:extLst>
        </xdr:cNvPr>
        <xdr:cNvSpPr>
          <a:spLocks noChangeArrowheads="1"/>
        </xdr:cNvSpPr>
      </xdr:nvSpPr>
      <xdr:spPr bwMode="auto">
        <a:xfrm>
          <a:off x="3424254" y="152401"/>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7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8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8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9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9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A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114300</xdr:colOff>
      <xdr:row>0</xdr:row>
      <xdr:rowOff>133350</xdr:rowOff>
    </xdr:from>
    <xdr:to>
      <xdr:col>1</xdr:col>
      <xdr:colOff>1256504</xdr:colOff>
      <xdr:row>3</xdr:row>
      <xdr:rowOff>14287</xdr:rowOff>
    </xdr:to>
    <xdr:sp macro="" textlink="">
      <xdr:nvSpPr>
        <xdr:cNvPr id="4" name="AutoShape 9">
          <a:hlinkClick xmlns:r="http://schemas.openxmlformats.org/officeDocument/2006/relationships" r:id="rId2" tooltip="Go to fishing grounds Footprint summary"/>
          <a:extLst>
            <a:ext uri="{FF2B5EF4-FFF2-40B4-BE49-F238E27FC236}">
              <a16:creationId xmlns:a16="http://schemas.microsoft.com/office/drawing/2014/main" id="{00000000-0008-0000-2A00-000004000000}"/>
            </a:ext>
          </a:extLst>
        </xdr:cNvPr>
        <xdr:cNvSpPr>
          <a:spLocks noChangeArrowheads="1"/>
        </xdr:cNvSpPr>
      </xdr:nvSpPr>
      <xdr:spPr bwMode="auto">
        <a:xfrm>
          <a:off x="1714500" y="133350"/>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1" tooltip="Go to summary sheet"/>
          <a:extLst>
            <a:ext uri="{FF2B5EF4-FFF2-40B4-BE49-F238E27FC236}">
              <a16:creationId xmlns:a16="http://schemas.microsoft.com/office/drawing/2014/main" id="{00000000-0008-0000-2B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95250</xdr:colOff>
      <xdr:row>1</xdr:row>
      <xdr:rowOff>0</xdr:rowOff>
    </xdr:from>
    <xdr:to>
      <xdr:col>1</xdr:col>
      <xdr:colOff>1237454</xdr:colOff>
      <xdr:row>3</xdr:row>
      <xdr:rowOff>42862</xdr:rowOff>
    </xdr:to>
    <xdr:sp macro="" textlink="">
      <xdr:nvSpPr>
        <xdr:cNvPr id="4" name="AutoShape 9">
          <a:hlinkClick xmlns:r="http://schemas.openxmlformats.org/officeDocument/2006/relationships" r:id="rId2" tooltip="Go to fishing grounds Footprint summary"/>
          <a:extLst>
            <a:ext uri="{FF2B5EF4-FFF2-40B4-BE49-F238E27FC236}">
              <a16:creationId xmlns:a16="http://schemas.microsoft.com/office/drawing/2014/main" id="{00000000-0008-0000-2B00-000004000000}"/>
            </a:ext>
          </a:extLst>
        </xdr:cNvPr>
        <xdr:cNvSpPr>
          <a:spLocks noChangeArrowheads="1"/>
        </xdr:cNvSpPr>
      </xdr:nvSpPr>
      <xdr:spPr bwMode="auto">
        <a:xfrm>
          <a:off x="1695450" y="161925"/>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99233</xdr:colOff>
      <xdr:row>0</xdr:row>
      <xdr:rowOff>142876</xdr:rowOff>
    </xdr:from>
    <xdr:to>
      <xdr:col>1</xdr:col>
      <xdr:colOff>1057275</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C00-000002000000}"/>
            </a:ext>
          </a:extLst>
        </xdr:cNvPr>
        <xdr:cNvSpPr>
          <a:spLocks noChangeArrowheads="1"/>
        </xdr:cNvSpPr>
      </xdr:nvSpPr>
      <xdr:spPr bwMode="auto">
        <a:xfrm flipH="1">
          <a:off x="1699433" y="142876"/>
          <a:ext cx="958042"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C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D00-000002000000}"/>
            </a:ext>
          </a:extLst>
        </xdr:cNvPr>
        <xdr:cNvSpPr>
          <a:spLocks noChangeArrowheads="1"/>
        </xdr:cNvSpPr>
      </xdr:nvSpPr>
      <xdr:spPr bwMode="auto">
        <a:xfrm>
          <a:off x="604854" y="142876"/>
          <a:ext cx="8729"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D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E00-000002000000}"/>
            </a:ext>
          </a:extLst>
        </xdr:cNvPr>
        <xdr:cNvSpPr>
          <a:spLocks noChangeArrowheads="1"/>
        </xdr:cNvSpPr>
      </xdr:nvSpPr>
      <xdr:spPr bwMode="auto">
        <a:xfrm>
          <a:off x="604854" y="142876"/>
          <a:ext cx="8729"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E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32558</xdr:colOff>
      <xdr:row>0</xdr:row>
      <xdr:rowOff>142876</xdr:rowOff>
    </xdr:from>
    <xdr:to>
      <xdr:col>1</xdr:col>
      <xdr:colOff>1009650</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2F00-000002000000}"/>
            </a:ext>
          </a:extLst>
        </xdr:cNvPr>
        <xdr:cNvSpPr>
          <a:spLocks noChangeArrowheads="1"/>
        </xdr:cNvSpPr>
      </xdr:nvSpPr>
      <xdr:spPr bwMode="auto">
        <a:xfrm flipH="1">
          <a:off x="1928033" y="142876"/>
          <a:ext cx="977092"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2F00-000003000000}"/>
            </a:ext>
          </a:extLst>
        </xdr:cNvPr>
        <xdr:cNvSpPr>
          <a:spLocks noChangeArrowheads="1"/>
        </xdr:cNvSpPr>
      </xdr:nvSpPr>
      <xdr:spPr bwMode="auto">
        <a:xfrm>
          <a:off x="361950" y="142875"/>
          <a:ext cx="24765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47625</xdr:colOff>
      <xdr:row>5</xdr:row>
      <xdr:rowOff>85725</xdr:rowOff>
    </xdr:from>
    <xdr:to>
      <xdr:col>6</xdr:col>
      <xdr:colOff>85725</xdr:colOff>
      <xdr:row>20</xdr:row>
      <xdr:rowOff>9526</xdr:rowOff>
    </xdr:to>
    <xdr:cxnSp macro="">
      <xdr:nvCxnSpPr>
        <xdr:cNvPr id="3456896" name="Straight Connector 62">
          <a:extLst>
            <a:ext uri="{FF2B5EF4-FFF2-40B4-BE49-F238E27FC236}">
              <a16:creationId xmlns:a16="http://schemas.microsoft.com/office/drawing/2014/main" id="{00000000-0008-0000-0300-000080BF3400}"/>
            </a:ext>
          </a:extLst>
        </xdr:cNvPr>
        <xdr:cNvCxnSpPr>
          <a:cxnSpLocks noChangeShapeType="1"/>
        </xdr:cNvCxnSpPr>
      </xdr:nvCxnSpPr>
      <xdr:spPr bwMode="auto">
        <a:xfrm flipH="1" flipV="1">
          <a:off x="9220200" y="914400"/>
          <a:ext cx="1485900" cy="2352676"/>
        </a:xfrm>
        <a:prstGeom prst="line">
          <a:avLst/>
        </a:prstGeom>
        <a:noFill/>
        <a:ln w="9525" algn="ctr">
          <a:solidFill>
            <a:srgbClr val="000000"/>
          </a:solidFill>
          <a:round/>
          <a:headEnd/>
          <a:tailEnd type="triangle" w="med" len="med"/>
        </a:ln>
      </xdr:spPr>
    </xdr:cxnSp>
    <xdr:clientData/>
  </xdr:twoCellAnchor>
  <xdr:twoCellAnchor>
    <xdr:from>
      <xdr:col>0</xdr:col>
      <xdr:colOff>9525</xdr:colOff>
      <xdr:row>8</xdr:row>
      <xdr:rowOff>0</xdr:rowOff>
    </xdr:from>
    <xdr:to>
      <xdr:col>4</xdr:col>
      <xdr:colOff>742950</xdr:colOff>
      <xdr:row>34</xdr:row>
      <xdr:rowOff>123825</xdr:rowOff>
    </xdr:to>
    <xdr:graphicFrame macro="">
      <xdr:nvGraphicFramePr>
        <xdr:cNvPr id="3456852" name="Chart 2">
          <a:extLst>
            <a:ext uri="{FF2B5EF4-FFF2-40B4-BE49-F238E27FC236}">
              <a16:creationId xmlns:a16="http://schemas.microsoft.com/office/drawing/2014/main" id="{00000000-0008-0000-0300-000054BF3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28576</xdr:colOff>
      <xdr:row>10</xdr:row>
      <xdr:rowOff>57150</xdr:rowOff>
    </xdr:from>
    <xdr:to>
      <xdr:col>2</xdr:col>
      <xdr:colOff>1276350</xdr:colOff>
      <xdr:row>11</xdr:row>
      <xdr:rowOff>142875</xdr:rowOff>
    </xdr:to>
    <xdr:sp macro="" textlink="">
      <xdr:nvSpPr>
        <xdr:cNvPr id="5" name="Right Arrow 4">
          <a:extLst>
            <a:ext uri="{FF2B5EF4-FFF2-40B4-BE49-F238E27FC236}">
              <a16:creationId xmlns:a16="http://schemas.microsoft.com/office/drawing/2014/main" id="{00000000-0008-0000-0300-000005000000}"/>
            </a:ext>
          </a:extLst>
        </xdr:cNvPr>
        <xdr:cNvSpPr/>
      </xdr:nvSpPr>
      <xdr:spPr>
        <a:xfrm>
          <a:off x="2400301" y="1647825"/>
          <a:ext cx="1895474" cy="247650"/>
        </a:xfrm>
        <a:prstGeom prst="rightArrow">
          <a:avLst/>
        </a:prstGeom>
        <a:no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57150</xdr:colOff>
      <xdr:row>2</xdr:row>
      <xdr:rowOff>15086</xdr:rowOff>
    </xdr:from>
    <xdr:to>
      <xdr:col>6</xdr:col>
      <xdr:colOff>3</xdr:colOff>
      <xdr:row>2</xdr:row>
      <xdr:rowOff>133350</xdr:rowOff>
    </xdr:to>
    <xdr:cxnSp macro="">
      <xdr:nvCxnSpPr>
        <xdr:cNvPr id="3456854" name="Straight Connector 45">
          <a:extLst>
            <a:ext uri="{FF2B5EF4-FFF2-40B4-BE49-F238E27FC236}">
              <a16:creationId xmlns:a16="http://schemas.microsoft.com/office/drawing/2014/main" id="{00000000-0008-0000-0300-000056BF3400}"/>
            </a:ext>
          </a:extLst>
        </xdr:cNvPr>
        <xdr:cNvCxnSpPr>
          <a:cxnSpLocks noChangeShapeType="1"/>
          <a:stCxn id="89" idx="1"/>
        </xdr:cNvCxnSpPr>
      </xdr:nvCxnSpPr>
      <xdr:spPr bwMode="auto">
        <a:xfrm flipH="1">
          <a:off x="9229725" y="357986"/>
          <a:ext cx="1390653" cy="118264"/>
        </a:xfrm>
        <a:prstGeom prst="line">
          <a:avLst/>
        </a:prstGeom>
        <a:noFill/>
        <a:ln w="9525" algn="ctr">
          <a:solidFill>
            <a:srgbClr val="000000"/>
          </a:solidFill>
          <a:round/>
          <a:headEnd/>
          <a:tailEnd type="triangle" w="med" len="med"/>
        </a:ln>
      </xdr:spPr>
    </xdr:cxnSp>
    <xdr:clientData/>
  </xdr:twoCellAnchor>
  <xdr:twoCellAnchor>
    <xdr:from>
      <xdr:col>5</xdr:col>
      <xdr:colOff>47625</xdr:colOff>
      <xdr:row>2</xdr:row>
      <xdr:rowOff>114300</xdr:rowOff>
    </xdr:from>
    <xdr:to>
      <xdr:col>5</xdr:col>
      <xdr:colOff>1438278</xdr:colOff>
      <xdr:row>9</xdr:row>
      <xdr:rowOff>19699</xdr:rowOff>
    </xdr:to>
    <xdr:cxnSp macro="">
      <xdr:nvCxnSpPr>
        <xdr:cNvPr id="3456855" name="Straight Connector 48">
          <a:extLst>
            <a:ext uri="{FF2B5EF4-FFF2-40B4-BE49-F238E27FC236}">
              <a16:creationId xmlns:a16="http://schemas.microsoft.com/office/drawing/2014/main" id="{00000000-0008-0000-0300-000057BF3400}"/>
            </a:ext>
          </a:extLst>
        </xdr:cNvPr>
        <xdr:cNvCxnSpPr>
          <a:cxnSpLocks noChangeShapeType="1"/>
          <a:stCxn id="93" idx="1"/>
        </xdr:cNvCxnSpPr>
      </xdr:nvCxnSpPr>
      <xdr:spPr bwMode="auto">
        <a:xfrm flipH="1" flipV="1">
          <a:off x="9220200" y="457200"/>
          <a:ext cx="1390653" cy="1038874"/>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3</xdr:row>
      <xdr:rowOff>66675</xdr:rowOff>
    </xdr:from>
    <xdr:to>
      <xdr:col>6</xdr:col>
      <xdr:colOff>9525</xdr:colOff>
      <xdr:row>14</xdr:row>
      <xdr:rowOff>142875</xdr:rowOff>
    </xdr:to>
    <xdr:cxnSp macro="">
      <xdr:nvCxnSpPr>
        <xdr:cNvPr id="3456857" name="Straight Connector 53">
          <a:extLst>
            <a:ext uri="{FF2B5EF4-FFF2-40B4-BE49-F238E27FC236}">
              <a16:creationId xmlns:a16="http://schemas.microsoft.com/office/drawing/2014/main" id="{00000000-0008-0000-0300-000059BF3400}"/>
            </a:ext>
          </a:extLst>
        </xdr:cNvPr>
        <xdr:cNvCxnSpPr>
          <a:cxnSpLocks noChangeShapeType="1"/>
          <a:stCxn id="111" idx="1"/>
        </xdr:cNvCxnSpPr>
      </xdr:nvCxnSpPr>
      <xdr:spPr bwMode="auto">
        <a:xfrm rot="10800000">
          <a:off x="9182100" y="571500"/>
          <a:ext cx="1447800" cy="1857375"/>
        </a:xfrm>
        <a:prstGeom prst="line">
          <a:avLst/>
        </a:prstGeom>
        <a:noFill/>
        <a:ln w="9525" algn="ctr">
          <a:solidFill>
            <a:srgbClr val="000000"/>
          </a:solidFill>
          <a:round/>
          <a:headEnd/>
          <a:tailEnd type="triangle" w="med" len="med"/>
        </a:ln>
      </xdr:spPr>
    </xdr:cxnSp>
    <xdr:clientData/>
  </xdr:twoCellAnchor>
  <xdr:twoCellAnchor>
    <xdr:from>
      <xdr:col>6</xdr:col>
      <xdr:colOff>1408180</xdr:colOff>
      <xdr:row>2</xdr:row>
      <xdr:rowOff>15086</xdr:rowOff>
    </xdr:from>
    <xdr:to>
      <xdr:col>9</xdr:col>
      <xdr:colOff>165250</xdr:colOff>
      <xdr:row>2</xdr:row>
      <xdr:rowOff>124791</xdr:rowOff>
    </xdr:to>
    <xdr:cxnSp macro="">
      <xdr:nvCxnSpPr>
        <xdr:cNvPr id="3456861" name="Straight Connector 62">
          <a:extLst>
            <a:ext uri="{FF2B5EF4-FFF2-40B4-BE49-F238E27FC236}">
              <a16:creationId xmlns:a16="http://schemas.microsoft.com/office/drawing/2014/main" id="{00000000-0008-0000-0300-00005DBF3400}"/>
            </a:ext>
          </a:extLst>
        </xdr:cNvPr>
        <xdr:cNvCxnSpPr>
          <a:cxnSpLocks noChangeShapeType="1"/>
          <a:stCxn id="98" idx="0"/>
          <a:endCxn id="89" idx="3"/>
        </xdr:cNvCxnSpPr>
      </xdr:nvCxnSpPr>
      <xdr:spPr bwMode="auto">
        <a:xfrm rot="16200000" flipV="1">
          <a:off x="12685737" y="-299196"/>
          <a:ext cx="109705" cy="1424070"/>
        </a:xfrm>
        <a:prstGeom prst="curvedConnector2">
          <a:avLst/>
        </a:prstGeom>
        <a:noFill/>
        <a:ln w="9525" algn="ctr">
          <a:solidFill>
            <a:srgbClr val="000000"/>
          </a:solidFill>
          <a:round/>
          <a:headEnd/>
          <a:tailEnd type="triangle" w="med" len="med"/>
        </a:ln>
      </xdr:spPr>
    </xdr:cxnSp>
    <xdr:clientData/>
  </xdr:twoCellAnchor>
  <xdr:twoCellAnchor>
    <xdr:from>
      <xdr:col>6</xdr:col>
      <xdr:colOff>3</xdr:colOff>
      <xdr:row>0</xdr:row>
      <xdr:rowOff>104777</xdr:rowOff>
    </xdr:from>
    <xdr:to>
      <xdr:col>6</xdr:col>
      <xdr:colOff>1408179</xdr:colOff>
      <xdr:row>3</xdr:row>
      <xdr:rowOff>106370</xdr:rowOff>
    </xdr:to>
    <xdr:sp macro="" textlink="">
      <xdr:nvSpPr>
        <xdr:cNvPr id="89" name="AutoShape 20">
          <a:hlinkClick xmlns:r="http://schemas.openxmlformats.org/officeDocument/2006/relationships" r:id="rId2" tooltip="Go to crop_efp"/>
          <a:extLst>
            <a:ext uri="{FF2B5EF4-FFF2-40B4-BE49-F238E27FC236}">
              <a16:creationId xmlns:a16="http://schemas.microsoft.com/office/drawing/2014/main" id="{00000000-0008-0000-0300-000059000000}"/>
            </a:ext>
          </a:extLst>
        </xdr:cNvPr>
        <xdr:cNvSpPr>
          <a:spLocks noChangeArrowheads="1"/>
        </xdr:cNvSpPr>
      </xdr:nvSpPr>
      <xdr:spPr bwMode="auto">
        <a:xfrm>
          <a:off x="10620378" y="104777"/>
          <a:ext cx="1408176"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crop_efp</a:t>
          </a:r>
        </a:p>
      </xdr:txBody>
    </xdr:sp>
    <xdr:clientData/>
  </xdr:twoCellAnchor>
  <xdr:twoCellAnchor>
    <xdr:from>
      <xdr:col>11</xdr:col>
      <xdr:colOff>200161</xdr:colOff>
      <xdr:row>2</xdr:row>
      <xdr:rowOff>123825</xdr:rowOff>
    </xdr:from>
    <xdr:to>
      <xdr:col>13</xdr:col>
      <xdr:colOff>384360</xdr:colOff>
      <xdr:row>5</xdr:row>
      <xdr:rowOff>144469</xdr:rowOff>
    </xdr:to>
    <xdr:sp macro="" textlink="">
      <xdr:nvSpPr>
        <xdr:cNvPr id="92" name="AutoShape 54">
          <a:hlinkClick xmlns:r="http://schemas.openxmlformats.org/officeDocument/2006/relationships" r:id="rId3" tooltip="Go to eqf"/>
          <a:extLst>
            <a:ext uri="{FF2B5EF4-FFF2-40B4-BE49-F238E27FC236}">
              <a16:creationId xmlns:a16="http://schemas.microsoft.com/office/drawing/2014/main" id="{00000000-0008-0000-0300-00005C000000}"/>
            </a:ext>
          </a:extLst>
        </xdr:cNvPr>
        <xdr:cNvSpPr>
          <a:spLocks noChangeArrowheads="1"/>
        </xdr:cNvSpPr>
      </xdr:nvSpPr>
      <xdr:spPr bwMode="auto">
        <a:xfrm>
          <a:off x="14706736" y="466725"/>
          <a:ext cx="1403399" cy="506419"/>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5</xdr:col>
      <xdr:colOff>1438278</xdr:colOff>
      <xdr:row>7</xdr:row>
      <xdr:rowOff>92089</xdr:rowOff>
    </xdr:from>
    <xdr:to>
      <xdr:col>6</xdr:col>
      <xdr:colOff>1398654</xdr:colOff>
      <xdr:row>10</xdr:row>
      <xdr:rowOff>109234</xdr:rowOff>
    </xdr:to>
    <xdr:sp macro="" textlink="">
      <xdr:nvSpPr>
        <xdr:cNvPr id="93" name="AutoShape 20">
          <a:hlinkClick xmlns:r="http://schemas.openxmlformats.org/officeDocument/2006/relationships" r:id="rId4" tooltip="Go to crop_efi"/>
          <a:extLst>
            <a:ext uri="{FF2B5EF4-FFF2-40B4-BE49-F238E27FC236}">
              <a16:creationId xmlns:a16="http://schemas.microsoft.com/office/drawing/2014/main" id="{00000000-0008-0000-0300-00005D000000}"/>
            </a:ext>
          </a:extLst>
        </xdr:cNvPr>
        <xdr:cNvSpPr>
          <a:spLocks noChangeArrowheads="1"/>
        </xdr:cNvSpPr>
      </xdr:nvSpPr>
      <xdr:spPr bwMode="auto">
        <a:xfrm>
          <a:off x="10610853" y="1244614"/>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crop_efi_efe</a:t>
          </a:r>
        </a:p>
      </xdr:txBody>
    </xdr:sp>
    <xdr:clientData/>
  </xdr:twoCellAnchor>
  <xdr:twoCellAnchor>
    <xdr:from>
      <xdr:col>6</xdr:col>
      <xdr:colOff>7953</xdr:colOff>
      <xdr:row>13</xdr:row>
      <xdr:rowOff>54003</xdr:rowOff>
    </xdr:from>
    <xdr:to>
      <xdr:col>6</xdr:col>
      <xdr:colOff>1416129</xdr:colOff>
      <xdr:row>16</xdr:row>
      <xdr:rowOff>74647</xdr:rowOff>
    </xdr:to>
    <xdr:sp macro="" textlink="">
      <xdr:nvSpPr>
        <xdr:cNvPr id="111" name="AutoShape 20">
          <a:hlinkClick xmlns:r="http://schemas.openxmlformats.org/officeDocument/2006/relationships" r:id="rId5" tooltip="Go to livestock_efi"/>
          <a:extLst>
            <a:ext uri="{FF2B5EF4-FFF2-40B4-BE49-F238E27FC236}">
              <a16:creationId xmlns:a16="http://schemas.microsoft.com/office/drawing/2014/main" id="{00000000-0008-0000-0300-00006F000000}"/>
            </a:ext>
          </a:extLst>
        </xdr:cNvPr>
        <xdr:cNvSpPr>
          <a:spLocks noChangeArrowheads="1"/>
        </xdr:cNvSpPr>
      </xdr:nvSpPr>
      <xdr:spPr bwMode="auto">
        <a:xfrm>
          <a:off x="10628328" y="2178078"/>
          <a:ext cx="1408176" cy="506419"/>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livestock_efi_efe</a:t>
          </a:r>
        </a:p>
      </xdr:txBody>
    </xdr:sp>
    <xdr:clientData/>
  </xdr:twoCellAnchor>
  <xdr:twoCellAnchor>
    <xdr:from>
      <xdr:col>6</xdr:col>
      <xdr:colOff>28574</xdr:colOff>
      <xdr:row>18</xdr:row>
      <xdr:rowOff>95251</xdr:rowOff>
    </xdr:from>
    <xdr:to>
      <xdr:col>6</xdr:col>
      <xdr:colOff>1404091</xdr:colOff>
      <xdr:row>21</xdr:row>
      <xdr:rowOff>114300</xdr:rowOff>
    </xdr:to>
    <xdr:sp macro="" textlink="">
      <xdr:nvSpPr>
        <xdr:cNvPr id="47" name="AutoShape 22">
          <a:hlinkClick xmlns:r="http://schemas.openxmlformats.org/officeDocument/2006/relationships" r:id="rId6" tooltip="Go to fish_comodity_efe"/>
          <a:extLst>
            <a:ext uri="{FF2B5EF4-FFF2-40B4-BE49-F238E27FC236}">
              <a16:creationId xmlns:a16="http://schemas.microsoft.com/office/drawing/2014/main" id="{00000000-0008-0000-0300-00002F000000}"/>
            </a:ext>
          </a:extLst>
        </xdr:cNvPr>
        <xdr:cNvSpPr>
          <a:spLocks noChangeArrowheads="1"/>
        </xdr:cNvSpPr>
      </xdr:nvSpPr>
      <xdr:spPr bwMode="auto">
        <a:xfrm>
          <a:off x="10648949" y="3028951"/>
          <a:ext cx="1375517" cy="504824"/>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fish_efi_efe</a:t>
          </a:r>
        </a:p>
      </xdr:txBody>
    </xdr:sp>
    <xdr:clientData/>
  </xdr:twoCellAnchor>
  <xdr:twoCellAnchor>
    <xdr:from>
      <xdr:col>6</xdr:col>
      <xdr:colOff>1398654</xdr:colOff>
      <xdr:row>4</xdr:row>
      <xdr:rowOff>54150</xdr:rowOff>
    </xdr:from>
    <xdr:to>
      <xdr:col>8</xdr:col>
      <xdr:colOff>73482</xdr:colOff>
      <xdr:row>9</xdr:row>
      <xdr:rowOff>19699</xdr:rowOff>
    </xdr:to>
    <xdr:cxnSp macro="">
      <xdr:nvCxnSpPr>
        <xdr:cNvPr id="3456897" name="Straight Connector 62">
          <a:extLst>
            <a:ext uri="{FF2B5EF4-FFF2-40B4-BE49-F238E27FC236}">
              <a16:creationId xmlns:a16="http://schemas.microsoft.com/office/drawing/2014/main" id="{00000000-0008-0000-0300-000081BF3400}"/>
            </a:ext>
          </a:extLst>
        </xdr:cNvPr>
        <xdr:cNvCxnSpPr>
          <a:cxnSpLocks noChangeShapeType="1"/>
          <a:stCxn id="93" idx="3"/>
          <a:endCxn id="98" idx="1"/>
        </xdr:cNvCxnSpPr>
      </xdr:nvCxnSpPr>
      <xdr:spPr bwMode="auto">
        <a:xfrm flipV="1">
          <a:off x="12019029" y="720900"/>
          <a:ext cx="732228" cy="775174"/>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8</xdr:col>
      <xdr:colOff>73482</xdr:colOff>
      <xdr:row>2</xdr:row>
      <xdr:rowOff>124791</xdr:rowOff>
    </xdr:from>
    <xdr:to>
      <xdr:col>10</xdr:col>
      <xdr:colOff>257015</xdr:colOff>
      <xdr:row>5</xdr:row>
      <xdr:rowOff>145434</xdr:rowOff>
    </xdr:to>
    <xdr:sp macro="" textlink="">
      <xdr:nvSpPr>
        <xdr:cNvPr id="98" name="AutoShape 35">
          <a:hlinkClick xmlns:r="http://schemas.openxmlformats.org/officeDocument/2006/relationships" r:id="rId7" tooltip="Go to crop_unharvest"/>
          <a:extLst>
            <a:ext uri="{FF2B5EF4-FFF2-40B4-BE49-F238E27FC236}">
              <a16:creationId xmlns:a16="http://schemas.microsoft.com/office/drawing/2014/main" id="{00000000-0008-0000-0300-000062000000}"/>
            </a:ext>
          </a:extLst>
        </xdr:cNvPr>
        <xdr:cNvSpPr>
          <a:spLocks noChangeArrowheads="1"/>
        </xdr:cNvSpPr>
      </xdr:nvSpPr>
      <xdr:spPr bwMode="auto">
        <a:xfrm>
          <a:off x="12751257" y="467691"/>
          <a:ext cx="1402733"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crop_intensity</a:t>
          </a:r>
        </a:p>
      </xdr:txBody>
    </xdr:sp>
    <xdr:clientData/>
  </xdr:twoCellAnchor>
  <xdr:twoCellAnchor>
    <xdr:from>
      <xdr:col>6</xdr:col>
      <xdr:colOff>694567</xdr:colOff>
      <xdr:row>5</xdr:row>
      <xdr:rowOff>145434</xdr:rowOff>
    </xdr:from>
    <xdr:to>
      <xdr:col>9</xdr:col>
      <xdr:colOff>165250</xdr:colOff>
      <xdr:row>10</xdr:row>
      <xdr:rowOff>109234</xdr:rowOff>
    </xdr:to>
    <xdr:cxnSp macro="">
      <xdr:nvCxnSpPr>
        <xdr:cNvPr id="44" name="Straight Connector 62">
          <a:extLst>
            <a:ext uri="{FF2B5EF4-FFF2-40B4-BE49-F238E27FC236}">
              <a16:creationId xmlns:a16="http://schemas.microsoft.com/office/drawing/2014/main" id="{00000000-0008-0000-0300-00002C000000}"/>
            </a:ext>
          </a:extLst>
        </xdr:cNvPr>
        <xdr:cNvCxnSpPr>
          <a:cxnSpLocks noChangeShapeType="1"/>
          <a:stCxn id="98" idx="2"/>
          <a:endCxn id="93" idx="2"/>
        </xdr:cNvCxnSpPr>
      </xdr:nvCxnSpPr>
      <xdr:spPr bwMode="auto">
        <a:xfrm rot="5400000">
          <a:off x="11997071" y="291980"/>
          <a:ext cx="773425" cy="2137683"/>
        </a:xfrm>
        <a:prstGeom prst="curvedConnector3">
          <a:avLst>
            <a:gd name="adj1" fmla="val 129557"/>
          </a:avLst>
        </a:prstGeom>
        <a:noFill/>
        <a:ln w="9525" algn="ctr">
          <a:solidFill>
            <a:srgbClr val="000000"/>
          </a:solidFill>
          <a:round/>
          <a:headEnd/>
          <a:tailEnd type="triangle" w="med" len="med"/>
        </a:ln>
      </xdr:spPr>
    </xdr:cxnSp>
    <xdr:clientData/>
  </xdr:twoCellAnchor>
  <xdr:twoCellAnchor>
    <xdr:from>
      <xdr:col>7</xdr:col>
      <xdr:colOff>581025</xdr:colOff>
      <xdr:row>6</xdr:row>
      <xdr:rowOff>85725</xdr:rowOff>
    </xdr:from>
    <xdr:to>
      <xdr:col>10</xdr:col>
      <xdr:colOff>323850</xdr:colOff>
      <xdr:row>9</xdr:row>
      <xdr:rowOff>106368</xdr:rowOff>
    </xdr:to>
    <xdr:sp macro="" textlink="">
      <xdr:nvSpPr>
        <xdr:cNvPr id="59" name="AutoShape 35">
          <a:hlinkClick xmlns:r="http://schemas.openxmlformats.org/officeDocument/2006/relationships" r:id="rId8" tooltip="Go to crop_unharvest"/>
          <a:extLst>
            <a:ext uri="{FF2B5EF4-FFF2-40B4-BE49-F238E27FC236}">
              <a16:creationId xmlns:a16="http://schemas.microsoft.com/office/drawing/2014/main" id="{00000000-0008-0000-0300-00003B000000}"/>
            </a:ext>
          </a:extLst>
        </xdr:cNvPr>
        <xdr:cNvSpPr>
          <a:spLocks noChangeArrowheads="1"/>
        </xdr:cNvSpPr>
      </xdr:nvSpPr>
      <xdr:spPr bwMode="auto">
        <a:xfrm>
          <a:off x="12649200" y="1076325"/>
          <a:ext cx="1571625" cy="506418"/>
        </a:xfrm>
        <a:prstGeom prst="roundRect">
          <a:avLst>
            <a:gd name="adj" fmla="val 16667"/>
          </a:avLst>
        </a:prstGeom>
        <a:solidFill>
          <a:schemeClr val="accent2"/>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constant_crop_factor</a:t>
          </a:r>
        </a:p>
      </xdr:txBody>
    </xdr:sp>
    <xdr:clientData/>
  </xdr:twoCellAnchor>
  <xdr:twoCellAnchor>
    <xdr:from>
      <xdr:col>6</xdr:col>
      <xdr:colOff>704091</xdr:colOff>
      <xdr:row>3</xdr:row>
      <xdr:rowOff>106371</xdr:rowOff>
    </xdr:from>
    <xdr:to>
      <xdr:col>7</xdr:col>
      <xdr:colOff>581025</xdr:colOff>
      <xdr:row>8</xdr:row>
      <xdr:rowOff>15085</xdr:rowOff>
    </xdr:to>
    <xdr:cxnSp macro="">
      <xdr:nvCxnSpPr>
        <xdr:cNvPr id="60" name="Straight Connector 62">
          <a:extLst>
            <a:ext uri="{FF2B5EF4-FFF2-40B4-BE49-F238E27FC236}">
              <a16:creationId xmlns:a16="http://schemas.microsoft.com/office/drawing/2014/main" id="{00000000-0008-0000-0300-00003C000000}"/>
            </a:ext>
          </a:extLst>
        </xdr:cNvPr>
        <xdr:cNvCxnSpPr>
          <a:cxnSpLocks noChangeShapeType="1"/>
          <a:stCxn id="59" idx="1"/>
          <a:endCxn id="89" idx="2"/>
        </xdr:cNvCxnSpPr>
      </xdr:nvCxnSpPr>
      <xdr:spPr bwMode="auto">
        <a:xfrm rot="10800000">
          <a:off x="11324466" y="611196"/>
          <a:ext cx="1324734" cy="718339"/>
        </a:xfrm>
        <a:prstGeom prst="curvedConnector2">
          <a:avLst/>
        </a:prstGeom>
        <a:noFill/>
        <a:ln w="9525" algn="ctr">
          <a:solidFill>
            <a:srgbClr val="000000"/>
          </a:solidFill>
          <a:round/>
          <a:headEnd/>
          <a:tailEnd type="triangle" w="med" len="med"/>
        </a:ln>
      </xdr:spPr>
    </xdr:cxn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371474</xdr:colOff>
      <xdr:row>0</xdr:row>
      <xdr:rowOff>142876</xdr:rowOff>
    </xdr:from>
    <xdr:to>
      <xdr:col>1</xdr:col>
      <xdr:colOff>1232707</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000-000002000000}"/>
            </a:ext>
          </a:extLst>
        </xdr:cNvPr>
        <xdr:cNvSpPr>
          <a:spLocks noChangeArrowheads="1"/>
        </xdr:cNvSpPr>
      </xdr:nvSpPr>
      <xdr:spPr bwMode="auto">
        <a:xfrm>
          <a:off x="1371599" y="142876"/>
          <a:ext cx="861233"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85726</xdr:colOff>
      <xdr:row>0</xdr:row>
      <xdr:rowOff>142875</xdr:rowOff>
    </xdr:from>
    <xdr:to>
      <xdr:col>1</xdr:col>
      <xdr:colOff>1</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000-000003000000}"/>
            </a:ext>
          </a:extLst>
        </xdr:cNvPr>
        <xdr:cNvSpPr>
          <a:spLocks noChangeArrowheads="1"/>
        </xdr:cNvSpPr>
      </xdr:nvSpPr>
      <xdr:spPr bwMode="auto">
        <a:xfrm>
          <a:off x="85726" y="142875"/>
          <a:ext cx="9144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466724</xdr:colOff>
      <xdr:row>0</xdr:row>
      <xdr:rowOff>133351</xdr:rowOff>
    </xdr:from>
    <xdr:to>
      <xdr:col>1</xdr:col>
      <xdr:colOff>1270807</xdr:colOff>
      <xdr:row>3</xdr:row>
      <xdr:rowOff>14288</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100-000002000000}"/>
            </a:ext>
          </a:extLst>
        </xdr:cNvPr>
        <xdr:cNvSpPr>
          <a:spLocks noChangeArrowheads="1"/>
        </xdr:cNvSpPr>
      </xdr:nvSpPr>
      <xdr:spPr bwMode="auto">
        <a:xfrm>
          <a:off x="3848099" y="133351"/>
          <a:ext cx="804083"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161926</xdr:colOff>
      <xdr:row>0</xdr:row>
      <xdr:rowOff>142875</xdr:rowOff>
    </xdr:from>
    <xdr:to>
      <xdr:col>1</xdr:col>
      <xdr:colOff>1</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100-000003000000}"/>
            </a:ext>
          </a:extLst>
        </xdr:cNvPr>
        <xdr:cNvSpPr>
          <a:spLocks noChangeArrowheads="1"/>
        </xdr:cNvSpPr>
      </xdr:nvSpPr>
      <xdr:spPr bwMode="auto">
        <a:xfrm>
          <a:off x="161926" y="142875"/>
          <a:ext cx="8382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200-000003000000}"/>
            </a:ext>
          </a:extLst>
        </xdr:cNvPr>
        <xdr:cNvSpPr>
          <a:spLocks noChangeArrowheads="1"/>
        </xdr:cNvSpPr>
      </xdr:nvSpPr>
      <xdr:spPr bwMode="auto">
        <a:xfrm>
          <a:off x="1881204" y="142876"/>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2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3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3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4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4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57151</xdr:colOff>
      <xdr:row>1</xdr:row>
      <xdr:rowOff>1</xdr:rowOff>
    </xdr:from>
    <xdr:to>
      <xdr:col>1</xdr:col>
      <xdr:colOff>857251</xdr:colOff>
      <xdr:row>3</xdr:row>
      <xdr:rowOff>42863</xdr:rowOff>
    </xdr:to>
    <xdr:sp macro="" textlink="">
      <xdr:nvSpPr>
        <xdr:cNvPr id="2" name="AutoShape 9">
          <a:hlinkClick xmlns:r="http://schemas.openxmlformats.org/officeDocument/2006/relationships" r:id="rId1" tooltip="Go to fishing grounds Footprint summary"/>
          <a:extLst>
            <a:ext uri="{FF2B5EF4-FFF2-40B4-BE49-F238E27FC236}">
              <a16:creationId xmlns:a16="http://schemas.microsoft.com/office/drawing/2014/main" id="{00000000-0008-0000-3500-000002000000}"/>
            </a:ext>
          </a:extLst>
        </xdr:cNvPr>
        <xdr:cNvSpPr>
          <a:spLocks noChangeArrowheads="1"/>
        </xdr:cNvSpPr>
      </xdr:nvSpPr>
      <xdr:spPr bwMode="auto">
        <a:xfrm>
          <a:off x="2066926" y="161926"/>
          <a:ext cx="800100" cy="366712"/>
        </a:xfrm>
        <a:prstGeom prst="roundRect">
          <a:avLst>
            <a:gd name="adj" fmla="val 16667"/>
          </a:avLst>
        </a:prstGeom>
        <a:solidFill>
          <a:schemeClr val="accent1"/>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ef_fish</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5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1300178</xdr:colOff>
      <xdr:row>0</xdr:row>
      <xdr:rowOff>133351</xdr:rowOff>
    </xdr:from>
    <xdr:to>
      <xdr:col>1</xdr:col>
      <xdr:colOff>447674</xdr:colOff>
      <xdr:row>3</xdr:row>
      <xdr:rowOff>14288</xdr:rowOff>
    </xdr:to>
    <xdr:sp macro="" textlink="">
      <xdr:nvSpPr>
        <xdr:cNvPr id="3" name="AutoShape 9">
          <a:hlinkClick xmlns:r="http://schemas.openxmlformats.org/officeDocument/2006/relationships" r:id="rId1" tooltip="Go to forest Footprint summary"/>
          <a:extLst>
            <a:ext uri="{FF2B5EF4-FFF2-40B4-BE49-F238E27FC236}">
              <a16:creationId xmlns:a16="http://schemas.microsoft.com/office/drawing/2014/main" id="{00000000-0008-0000-3600-000003000000}"/>
            </a:ext>
          </a:extLst>
        </xdr:cNvPr>
        <xdr:cNvSpPr>
          <a:spLocks noChangeArrowheads="1"/>
        </xdr:cNvSpPr>
      </xdr:nvSpPr>
      <xdr:spPr bwMode="auto">
        <a:xfrm>
          <a:off x="1300178" y="133351"/>
          <a:ext cx="1747821" cy="366712"/>
        </a:xfrm>
        <a:prstGeom prst="roundRect">
          <a:avLst>
            <a:gd name="adj" fmla="val 16667"/>
          </a:avLst>
        </a:prstGeom>
        <a:solidFill>
          <a:schemeClr val="accent6"/>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ef_forest_products</a:t>
          </a:r>
        </a:p>
      </xdr:txBody>
    </xdr:sp>
    <xdr:clientData/>
  </xdr:twoCellAnchor>
  <xdr:twoCellAnchor>
    <xdr:from>
      <xdr:col>0</xdr:col>
      <xdr:colOff>57150</xdr:colOff>
      <xdr:row>0</xdr:row>
      <xdr:rowOff>142875</xdr:rowOff>
    </xdr:from>
    <xdr:to>
      <xdr:col>0</xdr:col>
      <xdr:colOff>1200150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600-000004000000}"/>
            </a:ext>
          </a:extLst>
        </xdr:cNvPr>
        <xdr:cNvSpPr>
          <a:spLocks noChangeArrowheads="1"/>
        </xdr:cNvSpPr>
      </xdr:nvSpPr>
      <xdr:spPr bwMode="auto">
        <a:xfrm>
          <a:off x="571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1243028</xdr:colOff>
      <xdr:row>0</xdr:row>
      <xdr:rowOff>104776</xdr:rowOff>
    </xdr:from>
    <xdr:to>
      <xdr:col>1</xdr:col>
      <xdr:colOff>438149</xdr:colOff>
      <xdr:row>2</xdr:row>
      <xdr:rowOff>147638</xdr:rowOff>
    </xdr:to>
    <xdr:sp macro="" textlink="">
      <xdr:nvSpPr>
        <xdr:cNvPr id="5" name="AutoShape 9">
          <a:hlinkClick xmlns:r="http://schemas.openxmlformats.org/officeDocument/2006/relationships" r:id="rId1" tooltip="Go to forest Footprint summary"/>
          <a:extLst>
            <a:ext uri="{FF2B5EF4-FFF2-40B4-BE49-F238E27FC236}">
              <a16:creationId xmlns:a16="http://schemas.microsoft.com/office/drawing/2014/main" id="{00000000-0008-0000-3700-000005000000}"/>
            </a:ext>
          </a:extLst>
        </xdr:cNvPr>
        <xdr:cNvSpPr>
          <a:spLocks noChangeArrowheads="1"/>
        </xdr:cNvSpPr>
      </xdr:nvSpPr>
      <xdr:spPr bwMode="auto">
        <a:xfrm>
          <a:off x="1243028" y="104776"/>
          <a:ext cx="1747821" cy="366712"/>
        </a:xfrm>
        <a:prstGeom prst="roundRect">
          <a:avLst>
            <a:gd name="adj" fmla="val 16667"/>
          </a:avLst>
        </a:prstGeom>
        <a:solidFill>
          <a:schemeClr val="accent6"/>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ef_forest_products</a:t>
          </a:r>
        </a:p>
      </xdr:txBody>
    </xdr:sp>
    <xdr:clientData/>
  </xdr:twoCellAnchor>
  <xdr:twoCellAnchor>
    <xdr:from>
      <xdr:col>0</xdr:col>
      <xdr:colOff>47625</xdr:colOff>
      <xdr:row>0</xdr:row>
      <xdr:rowOff>123825</xdr:rowOff>
    </xdr:from>
    <xdr:to>
      <xdr:col>0</xdr:col>
      <xdr:colOff>1190625</xdr:colOff>
      <xdr:row>3</xdr:row>
      <xdr:rowOff>4763</xdr:rowOff>
    </xdr:to>
    <xdr:sp macro="" textlink="">
      <xdr:nvSpPr>
        <xdr:cNvPr id="6" name="AutoShape 12">
          <a:hlinkClick xmlns:r="http://schemas.openxmlformats.org/officeDocument/2006/relationships" r:id="rId2" tooltip="Go to summary sheet"/>
          <a:extLst>
            <a:ext uri="{FF2B5EF4-FFF2-40B4-BE49-F238E27FC236}">
              <a16:creationId xmlns:a16="http://schemas.microsoft.com/office/drawing/2014/main" id="{00000000-0008-0000-3700-000006000000}"/>
            </a:ext>
          </a:extLst>
        </xdr:cNvPr>
        <xdr:cNvSpPr>
          <a:spLocks noChangeArrowheads="1"/>
        </xdr:cNvSpPr>
      </xdr:nvSpPr>
      <xdr:spPr bwMode="auto">
        <a:xfrm>
          <a:off x="47625" y="12382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forest Footprint summary"/>
          <a:extLst>
            <a:ext uri="{FF2B5EF4-FFF2-40B4-BE49-F238E27FC236}">
              <a16:creationId xmlns:a16="http://schemas.microsoft.com/office/drawing/2014/main" id="{00000000-0008-0000-3800-000002000000}"/>
            </a:ext>
          </a:extLst>
        </xdr:cNvPr>
        <xdr:cNvSpPr>
          <a:spLocks noChangeArrowheads="1"/>
        </xdr:cNvSpPr>
      </xdr:nvSpPr>
      <xdr:spPr bwMode="auto">
        <a:xfrm>
          <a:off x="1881204" y="142876"/>
          <a:ext cx="1142204" cy="366712"/>
        </a:xfrm>
        <a:prstGeom prst="roundRect">
          <a:avLst>
            <a:gd name="adj" fmla="val 16667"/>
          </a:avLst>
        </a:prstGeom>
        <a:solidFill>
          <a:schemeClr val="accent6"/>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8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271479</xdr:colOff>
      <xdr:row>0</xdr:row>
      <xdr:rowOff>123826</xdr:rowOff>
    </xdr:from>
    <xdr:to>
      <xdr:col>1</xdr:col>
      <xdr:colOff>1413683</xdr:colOff>
      <xdr:row>3</xdr:row>
      <xdr:rowOff>4763</xdr:rowOff>
    </xdr:to>
    <xdr:sp macro="" textlink="">
      <xdr:nvSpPr>
        <xdr:cNvPr id="2" name="AutoShape 9">
          <a:hlinkClick xmlns:r="http://schemas.openxmlformats.org/officeDocument/2006/relationships" r:id="rId1" tooltip="Go to forest Footprint summary"/>
          <a:extLst>
            <a:ext uri="{FF2B5EF4-FFF2-40B4-BE49-F238E27FC236}">
              <a16:creationId xmlns:a16="http://schemas.microsoft.com/office/drawing/2014/main" id="{00000000-0008-0000-3900-000002000000}"/>
            </a:ext>
          </a:extLst>
        </xdr:cNvPr>
        <xdr:cNvSpPr>
          <a:spLocks noChangeArrowheads="1"/>
        </xdr:cNvSpPr>
      </xdr:nvSpPr>
      <xdr:spPr bwMode="auto">
        <a:xfrm>
          <a:off x="1900254" y="123826"/>
          <a:ext cx="1142204" cy="366712"/>
        </a:xfrm>
        <a:prstGeom prst="roundRect">
          <a:avLst>
            <a:gd name="adj" fmla="val 16667"/>
          </a:avLst>
        </a:prstGeom>
        <a:solidFill>
          <a:schemeClr val="accent6"/>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ef_forest</a:t>
          </a:r>
        </a:p>
      </xdr:txBody>
    </xdr:sp>
    <xdr:clientData/>
  </xdr:twoCellAnchor>
  <xdr:twoCellAnchor>
    <xdr:from>
      <xdr:col>0</xdr:col>
      <xdr:colOff>57150</xdr:colOff>
      <xdr:row>0</xdr:row>
      <xdr:rowOff>133350</xdr:rowOff>
    </xdr:from>
    <xdr:to>
      <xdr:col>0</xdr:col>
      <xdr:colOff>1200150</xdr:colOff>
      <xdr:row>3</xdr:row>
      <xdr:rowOff>14288</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900-000003000000}"/>
            </a:ext>
          </a:extLst>
        </xdr:cNvPr>
        <xdr:cNvSpPr>
          <a:spLocks noChangeArrowheads="1"/>
        </xdr:cNvSpPr>
      </xdr:nvSpPr>
      <xdr:spPr bwMode="auto">
        <a:xfrm>
          <a:off x="57150" y="133350"/>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6</xdr:row>
      <xdr:rowOff>104775</xdr:rowOff>
    </xdr:from>
    <xdr:to>
      <xdr:col>4</xdr:col>
      <xdr:colOff>733425</xdr:colOff>
      <xdr:row>33</xdr:row>
      <xdr:rowOff>66675</xdr:rowOff>
    </xdr:to>
    <xdr:graphicFrame macro="">
      <xdr:nvGraphicFramePr>
        <xdr:cNvPr id="3551782" name="Chart 127">
          <a:extLst>
            <a:ext uri="{FF2B5EF4-FFF2-40B4-BE49-F238E27FC236}">
              <a16:creationId xmlns:a16="http://schemas.microsoft.com/office/drawing/2014/main" id="{00000000-0008-0000-0400-000026323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3343276</xdr:colOff>
      <xdr:row>8</xdr:row>
      <xdr:rowOff>152399</xdr:rowOff>
    </xdr:from>
    <xdr:to>
      <xdr:col>2</xdr:col>
      <xdr:colOff>1209675</xdr:colOff>
      <xdr:row>10</xdr:row>
      <xdr:rowOff>76199</xdr:rowOff>
    </xdr:to>
    <xdr:sp macro="" textlink="">
      <xdr:nvSpPr>
        <xdr:cNvPr id="129" name="Right Arrow 128">
          <a:extLst>
            <a:ext uri="{FF2B5EF4-FFF2-40B4-BE49-F238E27FC236}">
              <a16:creationId xmlns:a16="http://schemas.microsoft.com/office/drawing/2014/main" id="{00000000-0008-0000-0400-000081000000}"/>
            </a:ext>
          </a:extLst>
        </xdr:cNvPr>
        <xdr:cNvSpPr/>
      </xdr:nvSpPr>
      <xdr:spPr>
        <a:xfrm>
          <a:off x="3343276" y="1466849"/>
          <a:ext cx="2695574" cy="247650"/>
        </a:xfrm>
        <a:prstGeom prst="rightArrow">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6</xdr:col>
      <xdr:colOff>1266662</xdr:colOff>
      <xdr:row>8</xdr:row>
      <xdr:rowOff>39412</xdr:rowOff>
    </xdr:from>
    <xdr:to>
      <xdr:col>10</xdr:col>
      <xdr:colOff>1430</xdr:colOff>
      <xdr:row>20</xdr:row>
      <xdr:rowOff>36467</xdr:rowOff>
    </xdr:to>
    <xdr:cxnSp macro="">
      <xdr:nvCxnSpPr>
        <xdr:cNvPr id="3551790" name="Straight Connector 325">
          <a:extLst>
            <a:ext uri="{FF2B5EF4-FFF2-40B4-BE49-F238E27FC236}">
              <a16:creationId xmlns:a16="http://schemas.microsoft.com/office/drawing/2014/main" id="{00000000-0008-0000-0400-00002E323600}"/>
            </a:ext>
          </a:extLst>
        </xdr:cNvPr>
        <xdr:cNvCxnSpPr>
          <a:cxnSpLocks noChangeShapeType="1"/>
          <a:stCxn id="144" idx="1"/>
          <a:endCxn id="182" idx="3"/>
        </xdr:cNvCxnSpPr>
      </xdr:nvCxnSpPr>
      <xdr:spPr bwMode="auto">
        <a:xfrm flipH="1">
          <a:off x="11887037" y="1353862"/>
          <a:ext cx="4525968" cy="1940155"/>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123554</xdr:rowOff>
    </xdr:from>
    <xdr:to>
      <xdr:col>10</xdr:col>
      <xdr:colOff>1643</xdr:colOff>
      <xdr:row>13</xdr:row>
      <xdr:rowOff>42823</xdr:rowOff>
    </xdr:to>
    <xdr:cxnSp macro="">
      <xdr:nvCxnSpPr>
        <xdr:cNvPr id="3551791" name="Straight Connector 331">
          <a:extLst>
            <a:ext uri="{FF2B5EF4-FFF2-40B4-BE49-F238E27FC236}">
              <a16:creationId xmlns:a16="http://schemas.microsoft.com/office/drawing/2014/main" id="{00000000-0008-0000-0400-00002F323600}"/>
            </a:ext>
          </a:extLst>
        </xdr:cNvPr>
        <xdr:cNvCxnSpPr>
          <a:cxnSpLocks noChangeShapeType="1"/>
          <a:stCxn id="147" idx="1"/>
          <a:endCxn id="171" idx="3"/>
        </xdr:cNvCxnSpPr>
      </xdr:nvCxnSpPr>
      <xdr:spPr bwMode="auto">
        <a:xfrm flipH="1" flipV="1">
          <a:off x="11887037" y="1923779"/>
          <a:ext cx="4526181" cy="243119"/>
        </a:xfrm>
        <a:prstGeom prst="line">
          <a:avLst/>
        </a:prstGeom>
        <a:noFill/>
        <a:ln w="9525" algn="ctr">
          <a:solidFill>
            <a:srgbClr val="000000"/>
          </a:solidFill>
          <a:round/>
          <a:headEnd/>
          <a:tailEnd type="triangle" w="med" len="med"/>
        </a:ln>
      </xdr:spPr>
    </xdr:cxnSp>
    <xdr:clientData/>
  </xdr:twoCellAnchor>
  <xdr:twoCellAnchor>
    <xdr:from>
      <xdr:col>8</xdr:col>
      <xdr:colOff>685808</xdr:colOff>
      <xdr:row>9</xdr:row>
      <xdr:rowOff>1054</xdr:rowOff>
    </xdr:from>
    <xdr:to>
      <xdr:col>8</xdr:col>
      <xdr:colOff>699414</xdr:colOff>
      <xdr:row>9</xdr:row>
      <xdr:rowOff>122464</xdr:rowOff>
    </xdr:to>
    <xdr:cxnSp macro="">
      <xdr:nvCxnSpPr>
        <xdr:cNvPr id="3551793" name="Curved Connector 343">
          <a:extLst>
            <a:ext uri="{FF2B5EF4-FFF2-40B4-BE49-F238E27FC236}">
              <a16:creationId xmlns:a16="http://schemas.microsoft.com/office/drawing/2014/main" id="{00000000-0008-0000-0400-000031323600}"/>
            </a:ext>
          </a:extLst>
        </xdr:cNvPr>
        <xdr:cNvCxnSpPr>
          <a:cxnSpLocks noChangeShapeType="1"/>
          <a:stCxn id="160" idx="2"/>
          <a:endCxn id="143" idx="0"/>
        </xdr:cNvCxnSpPr>
      </xdr:nvCxnSpPr>
      <xdr:spPr bwMode="auto">
        <a:xfrm rot="5400000">
          <a:off x="14147881" y="1531331"/>
          <a:ext cx="121410" cy="13606"/>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6</xdr:col>
      <xdr:colOff>1266825</xdr:colOff>
      <xdr:row>7</xdr:row>
      <xdr:rowOff>66675</xdr:rowOff>
    </xdr:from>
    <xdr:to>
      <xdr:col>7</xdr:col>
      <xdr:colOff>1400175</xdr:colOff>
      <xdr:row>15</xdr:row>
      <xdr:rowOff>38100</xdr:rowOff>
    </xdr:to>
    <xdr:cxnSp macro="">
      <xdr:nvCxnSpPr>
        <xdr:cNvPr id="3551795" name="Straight Connector 325">
          <a:extLst>
            <a:ext uri="{FF2B5EF4-FFF2-40B4-BE49-F238E27FC236}">
              <a16:creationId xmlns:a16="http://schemas.microsoft.com/office/drawing/2014/main" id="{00000000-0008-0000-0400-000033323600}"/>
            </a:ext>
          </a:extLst>
        </xdr:cNvPr>
        <xdr:cNvCxnSpPr>
          <a:cxnSpLocks noChangeShapeType="1"/>
          <a:stCxn id="161" idx="1"/>
          <a:endCxn id="154" idx="3"/>
        </xdr:cNvCxnSpPr>
      </xdr:nvCxnSpPr>
      <xdr:spPr bwMode="auto">
        <a:xfrm rot="10800000">
          <a:off x="11887200" y="1219200"/>
          <a:ext cx="1581150" cy="1266825"/>
        </a:xfrm>
        <a:prstGeom prst="line">
          <a:avLst/>
        </a:prstGeom>
        <a:noFill/>
        <a:ln w="9525" algn="ctr">
          <a:solidFill>
            <a:srgbClr val="000000"/>
          </a:solidFill>
          <a:round/>
          <a:headEnd/>
          <a:tailEnd type="triangle" w="med" len="med"/>
        </a:ln>
      </xdr:spPr>
    </xdr:cxnSp>
    <xdr:clientData/>
  </xdr:twoCellAnchor>
  <xdr:twoCellAnchor>
    <xdr:from>
      <xdr:col>4</xdr:col>
      <xdr:colOff>1428750</xdr:colOff>
      <xdr:row>2</xdr:row>
      <xdr:rowOff>66675</xdr:rowOff>
    </xdr:from>
    <xdr:to>
      <xdr:col>5</xdr:col>
      <xdr:colOff>1304925</xdr:colOff>
      <xdr:row>7</xdr:row>
      <xdr:rowOff>66675</xdr:rowOff>
    </xdr:to>
    <xdr:cxnSp macro="">
      <xdr:nvCxnSpPr>
        <xdr:cNvPr id="3551796" name="Straight Connector 197">
          <a:extLst>
            <a:ext uri="{FF2B5EF4-FFF2-40B4-BE49-F238E27FC236}">
              <a16:creationId xmlns:a16="http://schemas.microsoft.com/office/drawing/2014/main" id="{00000000-0008-0000-0400-000034323600}"/>
            </a:ext>
          </a:extLst>
        </xdr:cNvPr>
        <xdr:cNvCxnSpPr>
          <a:cxnSpLocks noChangeShapeType="1"/>
          <a:stCxn id="154" idx="1"/>
        </xdr:cNvCxnSpPr>
      </xdr:nvCxnSpPr>
      <xdr:spPr bwMode="auto">
        <a:xfrm rot="10800000">
          <a:off x="9153525" y="409575"/>
          <a:ext cx="1323975" cy="809625"/>
        </a:xfrm>
        <a:prstGeom prst="line">
          <a:avLst/>
        </a:prstGeom>
        <a:noFill/>
        <a:ln w="9525" algn="ctr">
          <a:solidFill>
            <a:srgbClr val="000000"/>
          </a:solidFill>
          <a:round/>
          <a:headEnd/>
          <a:tailEnd type="triangle" w="med" len="med"/>
        </a:ln>
      </xdr:spPr>
    </xdr:cxnSp>
    <xdr:clientData/>
  </xdr:twoCellAnchor>
  <xdr:twoCellAnchor>
    <xdr:from>
      <xdr:col>4</xdr:col>
      <xdr:colOff>1343025</xdr:colOff>
      <xdr:row>3</xdr:row>
      <xdr:rowOff>133350</xdr:rowOff>
    </xdr:from>
    <xdr:to>
      <xdr:col>5</xdr:col>
      <xdr:colOff>1323975</xdr:colOff>
      <xdr:row>32</xdr:row>
      <xdr:rowOff>95250</xdr:rowOff>
    </xdr:to>
    <xdr:cxnSp macro="">
      <xdr:nvCxnSpPr>
        <xdr:cNvPr id="3551797" name="Straight Connector 241">
          <a:extLst>
            <a:ext uri="{FF2B5EF4-FFF2-40B4-BE49-F238E27FC236}">
              <a16:creationId xmlns:a16="http://schemas.microsoft.com/office/drawing/2014/main" id="{00000000-0008-0000-0400-000035323600}"/>
            </a:ext>
          </a:extLst>
        </xdr:cNvPr>
        <xdr:cNvCxnSpPr>
          <a:cxnSpLocks noChangeShapeType="1"/>
          <a:stCxn id="166" idx="1"/>
        </xdr:cNvCxnSpPr>
      </xdr:nvCxnSpPr>
      <xdr:spPr bwMode="auto">
        <a:xfrm rot="10800000">
          <a:off x="9067800" y="638175"/>
          <a:ext cx="1428750" cy="4657725"/>
        </a:xfrm>
        <a:prstGeom prst="line">
          <a:avLst/>
        </a:prstGeom>
        <a:noFill/>
        <a:ln w="9525" algn="ctr">
          <a:solidFill>
            <a:srgbClr val="000000"/>
          </a:solidFill>
          <a:round/>
          <a:headEnd/>
          <a:tailEnd type="triangle" w="med" len="med"/>
        </a:ln>
      </xdr:spPr>
    </xdr:cxnSp>
    <xdr:clientData/>
  </xdr:twoCellAnchor>
  <xdr:twoCellAnchor>
    <xdr:from>
      <xdr:col>7</xdr:col>
      <xdr:colOff>1429520</xdr:colOff>
      <xdr:row>9</xdr:row>
      <xdr:rowOff>122464</xdr:rowOff>
    </xdr:from>
    <xdr:to>
      <xdr:col>8</xdr:col>
      <xdr:colOff>1389896</xdr:colOff>
      <xdr:row>12</xdr:row>
      <xdr:rowOff>139609</xdr:rowOff>
    </xdr:to>
    <xdr:sp macro="" textlink="">
      <xdr:nvSpPr>
        <xdr:cNvPr id="143" name="AutoShape 23">
          <a:hlinkClick xmlns:r="http://schemas.openxmlformats.org/officeDocument/2006/relationships" r:id="rId2" tooltip="Go to feed_demand_n"/>
          <a:extLst>
            <a:ext uri="{FF2B5EF4-FFF2-40B4-BE49-F238E27FC236}">
              <a16:creationId xmlns:a16="http://schemas.microsoft.com/office/drawing/2014/main" id="{00000000-0008-0000-0400-00008F000000}"/>
            </a:ext>
          </a:extLst>
        </xdr:cNvPr>
        <xdr:cNvSpPr>
          <a:spLocks noChangeArrowheads="1"/>
        </xdr:cNvSpPr>
      </xdr:nvSpPr>
      <xdr:spPr bwMode="auto">
        <a:xfrm>
          <a:off x="13497695" y="1598839"/>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feed_demand_n</a:t>
          </a:r>
        </a:p>
      </xdr:txBody>
    </xdr:sp>
    <xdr:clientData/>
  </xdr:twoCellAnchor>
  <xdr:twoCellAnchor>
    <xdr:from>
      <xdr:col>10</xdr:col>
      <xdr:colOff>1430</xdr:colOff>
      <xdr:row>6</xdr:row>
      <xdr:rowOff>111802</xdr:rowOff>
    </xdr:from>
    <xdr:to>
      <xdr:col>10</xdr:col>
      <xdr:colOff>1409606</xdr:colOff>
      <xdr:row>9</xdr:row>
      <xdr:rowOff>128947</xdr:rowOff>
    </xdr:to>
    <xdr:sp macro="" textlink="">
      <xdr:nvSpPr>
        <xdr:cNvPr id="144" name="AutoShape 27">
          <a:hlinkClick xmlns:r="http://schemas.openxmlformats.org/officeDocument/2006/relationships" r:id="rId3" tooltip="Go to resourcestat_livestock_n"/>
          <a:extLst>
            <a:ext uri="{FF2B5EF4-FFF2-40B4-BE49-F238E27FC236}">
              <a16:creationId xmlns:a16="http://schemas.microsoft.com/office/drawing/2014/main" id="{00000000-0008-0000-0400-000090000000}"/>
            </a:ext>
          </a:extLst>
        </xdr:cNvPr>
        <xdr:cNvSpPr>
          <a:spLocks noChangeArrowheads="1"/>
        </xdr:cNvSpPr>
      </xdr:nvSpPr>
      <xdr:spPr bwMode="auto">
        <a:xfrm>
          <a:off x="16413005" y="1102402"/>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resourcestat_</a:t>
          </a:r>
        </a:p>
        <a:p>
          <a:r>
            <a:rPr lang="en-US" sz="1000"/>
            <a:t>livestock_n</a:t>
          </a:r>
        </a:p>
      </xdr:txBody>
    </xdr:sp>
    <xdr:clientData/>
  </xdr:twoCellAnchor>
  <xdr:twoCellAnchor>
    <xdr:from>
      <xdr:col>6</xdr:col>
      <xdr:colOff>1266825</xdr:colOff>
      <xdr:row>7</xdr:row>
      <xdr:rowOff>66675</xdr:rowOff>
    </xdr:from>
    <xdr:to>
      <xdr:col>7</xdr:col>
      <xdr:colOff>1447800</xdr:colOff>
      <xdr:row>27</xdr:row>
      <xdr:rowOff>161925</xdr:rowOff>
    </xdr:to>
    <xdr:cxnSp macro="">
      <xdr:nvCxnSpPr>
        <xdr:cNvPr id="3551800" name="Straight Connector 321">
          <a:extLst>
            <a:ext uri="{FF2B5EF4-FFF2-40B4-BE49-F238E27FC236}">
              <a16:creationId xmlns:a16="http://schemas.microsoft.com/office/drawing/2014/main" id="{00000000-0008-0000-0400-000038323600}"/>
            </a:ext>
          </a:extLst>
        </xdr:cNvPr>
        <xdr:cNvCxnSpPr>
          <a:cxnSpLocks noChangeShapeType="1"/>
          <a:stCxn id="156" idx="1"/>
          <a:endCxn id="154" idx="3"/>
        </xdr:cNvCxnSpPr>
      </xdr:nvCxnSpPr>
      <xdr:spPr bwMode="auto">
        <a:xfrm rot="10800000">
          <a:off x="11887200" y="1219200"/>
          <a:ext cx="1628775" cy="3333750"/>
        </a:xfrm>
        <a:prstGeom prst="line">
          <a:avLst/>
        </a:prstGeom>
        <a:noFill/>
        <a:ln w="9525" algn="ctr">
          <a:solidFill>
            <a:srgbClr val="000000"/>
          </a:solidFill>
          <a:round/>
          <a:headEnd/>
          <a:tailEnd type="triangle" w="med" len="med"/>
        </a:ln>
      </xdr:spPr>
    </xdr:cxnSp>
    <xdr:clientData/>
  </xdr:twoCellAnchor>
  <xdr:twoCellAnchor>
    <xdr:from>
      <xdr:col>6</xdr:col>
      <xdr:colOff>1266663</xdr:colOff>
      <xdr:row>7</xdr:row>
      <xdr:rowOff>70485</xdr:rowOff>
    </xdr:from>
    <xdr:to>
      <xdr:col>7</xdr:col>
      <xdr:colOff>1429520</xdr:colOff>
      <xdr:row>11</xdr:row>
      <xdr:rowOff>50074</xdr:rowOff>
    </xdr:to>
    <xdr:cxnSp macro="">
      <xdr:nvCxnSpPr>
        <xdr:cNvPr id="3551801" name="Straight Connector 322">
          <a:extLst>
            <a:ext uri="{FF2B5EF4-FFF2-40B4-BE49-F238E27FC236}">
              <a16:creationId xmlns:a16="http://schemas.microsoft.com/office/drawing/2014/main" id="{00000000-0008-0000-0400-000039323600}"/>
            </a:ext>
          </a:extLst>
        </xdr:cNvPr>
        <xdr:cNvCxnSpPr>
          <a:cxnSpLocks noChangeShapeType="1"/>
          <a:stCxn id="143" idx="1"/>
          <a:endCxn id="154" idx="3"/>
        </xdr:cNvCxnSpPr>
      </xdr:nvCxnSpPr>
      <xdr:spPr bwMode="auto">
        <a:xfrm flipH="1" flipV="1">
          <a:off x="11887038" y="1223010"/>
          <a:ext cx="1610657" cy="627289"/>
        </a:xfrm>
        <a:prstGeom prst="line">
          <a:avLst/>
        </a:prstGeom>
        <a:noFill/>
        <a:ln w="9525" algn="ctr">
          <a:solidFill>
            <a:srgbClr val="000000"/>
          </a:solidFill>
          <a:round/>
          <a:headEnd/>
          <a:tailEnd type="triangle" w="med" len="med"/>
        </a:ln>
      </xdr:spPr>
    </xdr:cxnSp>
    <xdr:clientData/>
  </xdr:twoCellAnchor>
  <xdr:twoCellAnchor>
    <xdr:from>
      <xdr:col>10</xdr:col>
      <xdr:colOff>1643</xdr:colOff>
      <xdr:row>11</xdr:row>
      <xdr:rowOff>115213</xdr:rowOff>
    </xdr:from>
    <xdr:to>
      <xdr:col>10</xdr:col>
      <xdr:colOff>1409819</xdr:colOff>
      <xdr:row>14</xdr:row>
      <xdr:rowOff>132358</xdr:rowOff>
    </xdr:to>
    <xdr:sp macro="" textlink="">
      <xdr:nvSpPr>
        <xdr:cNvPr id="147" name="AutoShape 15">
          <a:hlinkClick xmlns:r="http://schemas.openxmlformats.org/officeDocument/2006/relationships" r:id="rId4" tooltip="Go to feed_mix_w"/>
          <a:extLst>
            <a:ext uri="{FF2B5EF4-FFF2-40B4-BE49-F238E27FC236}">
              <a16:creationId xmlns:a16="http://schemas.microsoft.com/office/drawing/2014/main" id="{00000000-0008-0000-0400-000093000000}"/>
            </a:ext>
          </a:extLst>
        </xdr:cNvPr>
        <xdr:cNvSpPr>
          <a:spLocks noChangeArrowheads="1"/>
        </xdr:cNvSpPr>
      </xdr:nvSpPr>
      <xdr:spPr bwMode="auto">
        <a:xfrm>
          <a:off x="16413218" y="1915438"/>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feed_mix_w</a:t>
          </a:r>
        </a:p>
      </xdr:txBody>
    </xdr:sp>
    <xdr:clientData/>
  </xdr:twoCellAnchor>
  <xdr:twoCellAnchor>
    <xdr:from>
      <xdr:col>8</xdr:col>
      <xdr:colOff>1389896</xdr:colOff>
      <xdr:row>11</xdr:row>
      <xdr:rowOff>50074</xdr:rowOff>
    </xdr:from>
    <xdr:to>
      <xdr:col>10</xdr:col>
      <xdr:colOff>1643</xdr:colOff>
      <xdr:row>13</xdr:row>
      <xdr:rowOff>42823</xdr:rowOff>
    </xdr:to>
    <xdr:cxnSp macro="">
      <xdr:nvCxnSpPr>
        <xdr:cNvPr id="3551803" name="Straight Connector 325">
          <a:extLst>
            <a:ext uri="{FF2B5EF4-FFF2-40B4-BE49-F238E27FC236}">
              <a16:creationId xmlns:a16="http://schemas.microsoft.com/office/drawing/2014/main" id="{00000000-0008-0000-0400-00003B323600}"/>
            </a:ext>
          </a:extLst>
        </xdr:cNvPr>
        <xdr:cNvCxnSpPr>
          <a:cxnSpLocks noChangeShapeType="1"/>
          <a:stCxn id="147" idx="1"/>
          <a:endCxn id="143" idx="3"/>
        </xdr:cNvCxnSpPr>
      </xdr:nvCxnSpPr>
      <xdr:spPr bwMode="auto">
        <a:xfrm flipH="1" flipV="1">
          <a:off x="14905871" y="1850299"/>
          <a:ext cx="1507347" cy="316599"/>
        </a:xfrm>
        <a:prstGeom prst="line">
          <a:avLst/>
        </a:prstGeom>
        <a:noFill/>
        <a:ln w="9525" algn="ctr">
          <a:solidFill>
            <a:srgbClr val="000000"/>
          </a:solidFill>
          <a:round/>
          <a:headEnd/>
          <a:tailEnd type="triangle" w="med" len="med"/>
        </a:ln>
      </xdr:spPr>
    </xdr:cxnSp>
    <xdr:clientData/>
  </xdr:twoCellAnchor>
  <xdr:twoCellAnchor>
    <xdr:from>
      <xdr:col>6</xdr:col>
      <xdr:colOff>1284352</xdr:colOff>
      <xdr:row>20</xdr:row>
      <xdr:rowOff>57151</xdr:rowOff>
    </xdr:from>
    <xdr:to>
      <xdr:col>7</xdr:col>
      <xdr:colOff>1419225</xdr:colOff>
      <xdr:row>32</xdr:row>
      <xdr:rowOff>99061</xdr:rowOff>
    </xdr:to>
    <xdr:cxnSp macro="">
      <xdr:nvCxnSpPr>
        <xdr:cNvPr id="3551805" name="Straight Connector 327">
          <a:extLst>
            <a:ext uri="{FF2B5EF4-FFF2-40B4-BE49-F238E27FC236}">
              <a16:creationId xmlns:a16="http://schemas.microsoft.com/office/drawing/2014/main" id="{00000000-0008-0000-0400-00003D323600}"/>
            </a:ext>
          </a:extLst>
        </xdr:cNvPr>
        <xdr:cNvCxnSpPr>
          <a:cxnSpLocks noChangeShapeType="1"/>
          <a:stCxn id="166" idx="3"/>
        </xdr:cNvCxnSpPr>
      </xdr:nvCxnSpPr>
      <xdr:spPr bwMode="auto">
        <a:xfrm flipV="1">
          <a:off x="11904727" y="3314701"/>
          <a:ext cx="1582673" cy="1985010"/>
        </a:xfrm>
        <a:prstGeom prst="line">
          <a:avLst/>
        </a:prstGeom>
        <a:noFill/>
        <a:ln w="9525" algn="ctr">
          <a:solidFill>
            <a:srgbClr val="000000"/>
          </a:solidFill>
          <a:round/>
          <a:headEnd/>
          <a:tailEnd type="triangle" w="med" len="med"/>
        </a:ln>
      </xdr:spPr>
    </xdr:cxnSp>
    <xdr:clientData/>
  </xdr:twoCellAnchor>
  <xdr:twoCellAnchor>
    <xdr:from>
      <xdr:col>8</xdr:col>
      <xdr:colOff>1384143</xdr:colOff>
      <xdr:row>19</xdr:row>
      <xdr:rowOff>70066</xdr:rowOff>
    </xdr:from>
    <xdr:to>
      <xdr:col>10</xdr:col>
      <xdr:colOff>17705</xdr:colOff>
      <xdr:row>24</xdr:row>
      <xdr:rowOff>62315</xdr:rowOff>
    </xdr:to>
    <xdr:cxnSp macro="">
      <xdr:nvCxnSpPr>
        <xdr:cNvPr id="3551806" name="Straight Connector 329">
          <a:extLst>
            <a:ext uri="{FF2B5EF4-FFF2-40B4-BE49-F238E27FC236}">
              <a16:creationId xmlns:a16="http://schemas.microsoft.com/office/drawing/2014/main" id="{00000000-0008-0000-0400-00003E323600}"/>
            </a:ext>
          </a:extLst>
        </xdr:cNvPr>
        <xdr:cNvCxnSpPr>
          <a:cxnSpLocks noChangeShapeType="1"/>
          <a:stCxn id="173" idx="1"/>
          <a:endCxn id="155" idx="3"/>
        </xdr:cNvCxnSpPr>
      </xdr:nvCxnSpPr>
      <xdr:spPr bwMode="auto">
        <a:xfrm flipH="1" flipV="1">
          <a:off x="14900118" y="3165691"/>
          <a:ext cx="1529162" cy="801874"/>
        </a:xfrm>
        <a:prstGeom prst="line">
          <a:avLst/>
        </a:prstGeom>
        <a:noFill/>
        <a:ln w="9525" algn="ctr">
          <a:solidFill>
            <a:srgbClr val="000000"/>
          </a:solidFill>
          <a:round/>
          <a:headEnd/>
          <a:tailEnd type="triangle" w="med" len="med"/>
        </a:ln>
      </xdr:spPr>
    </xdr:cxnSp>
    <xdr:clientData/>
  </xdr:twoCellAnchor>
  <xdr:twoCellAnchor>
    <xdr:from>
      <xdr:col>8</xdr:col>
      <xdr:colOff>1389896</xdr:colOff>
      <xdr:row>8</xdr:row>
      <xdr:rowOff>39412</xdr:rowOff>
    </xdr:from>
    <xdr:to>
      <xdr:col>10</xdr:col>
      <xdr:colOff>1430</xdr:colOff>
      <xdr:row>11</xdr:row>
      <xdr:rowOff>50074</xdr:rowOff>
    </xdr:to>
    <xdr:cxnSp macro="">
      <xdr:nvCxnSpPr>
        <xdr:cNvPr id="3551807" name="Straight Connector 331">
          <a:extLst>
            <a:ext uri="{FF2B5EF4-FFF2-40B4-BE49-F238E27FC236}">
              <a16:creationId xmlns:a16="http://schemas.microsoft.com/office/drawing/2014/main" id="{00000000-0008-0000-0400-00003F323600}"/>
            </a:ext>
          </a:extLst>
        </xdr:cNvPr>
        <xdr:cNvCxnSpPr>
          <a:cxnSpLocks noChangeShapeType="1"/>
          <a:stCxn id="144" idx="1"/>
          <a:endCxn id="143" idx="3"/>
        </xdr:cNvCxnSpPr>
      </xdr:nvCxnSpPr>
      <xdr:spPr bwMode="auto">
        <a:xfrm flipH="1">
          <a:off x="14905871" y="1353862"/>
          <a:ext cx="1507134" cy="496437"/>
        </a:xfrm>
        <a:prstGeom prst="line">
          <a:avLst/>
        </a:prstGeom>
        <a:noFill/>
        <a:ln w="9525" algn="ctr">
          <a:solidFill>
            <a:srgbClr val="000000"/>
          </a:solidFill>
          <a:round/>
          <a:headEnd/>
          <a:tailEnd type="triangle" w="med" len="med"/>
        </a:ln>
      </xdr:spPr>
    </xdr:cxnSp>
    <xdr:clientData/>
  </xdr:twoCellAnchor>
  <xdr:twoCellAnchor>
    <xdr:from>
      <xdr:col>5</xdr:col>
      <xdr:colOff>1306287</xdr:colOff>
      <xdr:row>5</xdr:row>
      <xdr:rowOff>142875</xdr:rowOff>
    </xdr:from>
    <xdr:to>
      <xdr:col>6</xdr:col>
      <xdr:colOff>1266663</xdr:colOff>
      <xdr:row>8</xdr:row>
      <xdr:rowOff>160020</xdr:rowOff>
    </xdr:to>
    <xdr:sp macro="" textlink="">
      <xdr:nvSpPr>
        <xdr:cNvPr id="154" name="AutoShape 19">
          <a:hlinkClick xmlns:r="http://schemas.openxmlformats.org/officeDocument/2006/relationships" r:id="rId5" tooltip="Go to livestock_feed_balance"/>
          <a:extLst>
            <a:ext uri="{FF2B5EF4-FFF2-40B4-BE49-F238E27FC236}">
              <a16:creationId xmlns:a16="http://schemas.microsoft.com/office/drawing/2014/main" id="{00000000-0008-0000-0400-00009A000000}"/>
            </a:ext>
          </a:extLst>
        </xdr:cNvPr>
        <xdr:cNvSpPr>
          <a:spLocks noChangeArrowheads="1"/>
        </xdr:cNvSpPr>
      </xdr:nvSpPr>
      <xdr:spPr bwMode="auto">
        <a:xfrm>
          <a:off x="10478862" y="971550"/>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kern="1200">
              <a:solidFill>
                <a:schemeClr val="tx1"/>
              </a:solidFill>
              <a:latin typeface="Arial" charset="0"/>
              <a:ea typeface="+mn-ea"/>
              <a:cs typeface="+mn-cs"/>
            </a:rPr>
            <a:t>grazing_efp</a:t>
          </a:r>
        </a:p>
      </xdr:txBody>
    </xdr:sp>
    <xdr:clientData/>
  </xdr:twoCellAnchor>
  <xdr:twoCellAnchor>
    <xdr:from>
      <xdr:col>7</xdr:col>
      <xdr:colOff>1443693</xdr:colOff>
      <xdr:row>26</xdr:row>
      <xdr:rowOff>71010</xdr:rowOff>
    </xdr:from>
    <xdr:to>
      <xdr:col>8</xdr:col>
      <xdr:colOff>1404069</xdr:colOff>
      <xdr:row>29</xdr:row>
      <xdr:rowOff>88155</xdr:rowOff>
    </xdr:to>
    <xdr:sp macro="" textlink="">
      <xdr:nvSpPr>
        <xdr:cNvPr id="156" name="AutoShape 25">
          <a:hlinkClick xmlns:r="http://schemas.openxmlformats.org/officeDocument/2006/relationships" r:id="rId6" tooltip="Go to residue_supply_n"/>
          <a:extLst>
            <a:ext uri="{FF2B5EF4-FFF2-40B4-BE49-F238E27FC236}">
              <a16:creationId xmlns:a16="http://schemas.microsoft.com/office/drawing/2014/main" id="{00000000-0008-0000-0400-00009C000000}"/>
            </a:ext>
          </a:extLst>
        </xdr:cNvPr>
        <xdr:cNvSpPr>
          <a:spLocks noChangeArrowheads="1"/>
        </xdr:cNvSpPr>
      </xdr:nvSpPr>
      <xdr:spPr bwMode="auto">
        <a:xfrm>
          <a:off x="13511868" y="4300110"/>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residue_supply_n</a:t>
          </a:r>
        </a:p>
      </xdr:txBody>
    </xdr:sp>
    <xdr:clientData/>
  </xdr:twoCellAnchor>
  <xdr:twoCellAnchor>
    <xdr:from>
      <xdr:col>10</xdr:col>
      <xdr:colOff>50346</xdr:colOff>
      <xdr:row>28</xdr:row>
      <xdr:rowOff>87996</xdr:rowOff>
    </xdr:from>
    <xdr:to>
      <xdr:col>11</xdr:col>
      <xdr:colOff>10722</xdr:colOff>
      <xdr:row>31</xdr:row>
      <xdr:rowOff>105141</xdr:rowOff>
    </xdr:to>
    <xdr:sp macro="" textlink="">
      <xdr:nvSpPr>
        <xdr:cNvPr id="158" name="AutoShape 42">
          <a:hlinkClick xmlns:r="http://schemas.openxmlformats.org/officeDocument/2006/relationships" r:id="rId7" tooltip="Go to crop_efp"/>
          <a:extLst>
            <a:ext uri="{FF2B5EF4-FFF2-40B4-BE49-F238E27FC236}">
              <a16:creationId xmlns:a16="http://schemas.microsoft.com/office/drawing/2014/main" id="{00000000-0008-0000-0400-00009E000000}"/>
            </a:ext>
          </a:extLst>
        </xdr:cNvPr>
        <xdr:cNvSpPr>
          <a:spLocks noChangeArrowheads="1"/>
        </xdr:cNvSpPr>
      </xdr:nvSpPr>
      <xdr:spPr bwMode="auto">
        <a:xfrm>
          <a:off x="16461921" y="4640946"/>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crop_efp</a:t>
          </a:r>
        </a:p>
      </xdr:txBody>
    </xdr:sp>
    <xdr:clientData/>
  </xdr:twoCellAnchor>
  <xdr:twoCellAnchor>
    <xdr:from>
      <xdr:col>7</xdr:col>
      <xdr:colOff>1443126</xdr:colOff>
      <xdr:row>5</xdr:row>
      <xdr:rowOff>145834</xdr:rowOff>
    </xdr:from>
    <xdr:to>
      <xdr:col>8</xdr:col>
      <xdr:colOff>1403502</xdr:colOff>
      <xdr:row>9</xdr:row>
      <xdr:rowOff>1054</xdr:rowOff>
    </xdr:to>
    <xdr:sp macro="" textlink="">
      <xdr:nvSpPr>
        <xdr:cNvPr id="160" name="AutoShape 14">
          <a:hlinkClick xmlns:r="http://schemas.openxmlformats.org/officeDocument/2006/relationships" r:id="rId8" tooltip="Go to feed_intensity_w"/>
          <a:extLst>
            <a:ext uri="{FF2B5EF4-FFF2-40B4-BE49-F238E27FC236}">
              <a16:creationId xmlns:a16="http://schemas.microsoft.com/office/drawing/2014/main" id="{00000000-0008-0000-0400-0000A0000000}"/>
            </a:ext>
          </a:extLst>
        </xdr:cNvPr>
        <xdr:cNvSpPr>
          <a:spLocks noChangeArrowheads="1"/>
        </xdr:cNvSpPr>
      </xdr:nvSpPr>
      <xdr:spPr bwMode="auto">
        <a:xfrm>
          <a:off x="13511301" y="974509"/>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feed_intensity_w</a:t>
          </a:r>
        </a:p>
      </xdr:txBody>
    </xdr:sp>
    <xdr:clientData/>
  </xdr:twoCellAnchor>
  <xdr:twoCellAnchor>
    <xdr:from>
      <xdr:col>7</xdr:col>
      <xdr:colOff>1396375</xdr:colOff>
      <xdr:row>13</xdr:row>
      <xdr:rowOff>111373</xdr:rowOff>
    </xdr:from>
    <xdr:to>
      <xdr:col>8</xdr:col>
      <xdr:colOff>1356751</xdr:colOff>
      <xdr:row>16</xdr:row>
      <xdr:rowOff>128518</xdr:rowOff>
    </xdr:to>
    <xdr:sp macro="" textlink="">
      <xdr:nvSpPr>
        <xdr:cNvPr id="161" name="AutoShape 26">
          <a:hlinkClick xmlns:r="http://schemas.openxmlformats.org/officeDocument/2006/relationships" r:id="rId9" tooltip="Go to market_feed_supply_n"/>
          <a:extLst>
            <a:ext uri="{FF2B5EF4-FFF2-40B4-BE49-F238E27FC236}">
              <a16:creationId xmlns:a16="http://schemas.microsoft.com/office/drawing/2014/main" id="{00000000-0008-0000-0400-0000A1000000}"/>
            </a:ext>
          </a:extLst>
        </xdr:cNvPr>
        <xdr:cNvSpPr>
          <a:spLocks noChangeArrowheads="1"/>
        </xdr:cNvSpPr>
      </xdr:nvSpPr>
      <xdr:spPr bwMode="auto">
        <a:xfrm>
          <a:off x="13464550" y="2235448"/>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market_feed_</a:t>
          </a:r>
        </a:p>
        <a:p>
          <a:r>
            <a:rPr lang="en-US" sz="1000"/>
            <a:t>supply_n</a:t>
          </a:r>
        </a:p>
      </xdr:txBody>
    </xdr:sp>
    <xdr:clientData/>
  </xdr:twoCellAnchor>
  <xdr:twoCellAnchor>
    <xdr:from>
      <xdr:col>6</xdr:col>
      <xdr:colOff>561975</xdr:colOff>
      <xdr:row>4</xdr:row>
      <xdr:rowOff>47625</xdr:rowOff>
    </xdr:from>
    <xdr:to>
      <xdr:col>6</xdr:col>
      <xdr:colOff>571500</xdr:colOff>
      <xdr:row>5</xdr:row>
      <xdr:rowOff>142875</xdr:rowOff>
    </xdr:to>
    <xdr:cxnSp macro="">
      <xdr:nvCxnSpPr>
        <xdr:cNvPr id="3551816" name="Shape 233">
          <a:extLst>
            <a:ext uri="{FF2B5EF4-FFF2-40B4-BE49-F238E27FC236}">
              <a16:creationId xmlns:a16="http://schemas.microsoft.com/office/drawing/2014/main" id="{00000000-0008-0000-0400-000048323600}"/>
            </a:ext>
          </a:extLst>
        </xdr:cNvPr>
        <xdr:cNvCxnSpPr>
          <a:cxnSpLocks noChangeShapeType="1"/>
          <a:stCxn id="169" idx="2"/>
          <a:endCxn id="154" idx="0"/>
        </xdr:cNvCxnSpPr>
      </xdr:nvCxnSpPr>
      <xdr:spPr bwMode="auto">
        <a:xfrm rot="5400000">
          <a:off x="11058525" y="838200"/>
          <a:ext cx="257175" cy="9525"/>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6</xdr:col>
      <xdr:colOff>1266663</xdr:colOff>
      <xdr:row>7</xdr:row>
      <xdr:rowOff>70485</xdr:rowOff>
    </xdr:from>
    <xdr:to>
      <xdr:col>7</xdr:col>
      <xdr:colOff>1443126</xdr:colOff>
      <xdr:row>7</xdr:row>
      <xdr:rowOff>73444</xdr:rowOff>
    </xdr:to>
    <xdr:cxnSp macro="">
      <xdr:nvCxnSpPr>
        <xdr:cNvPr id="3551817" name="Straight Connector 346">
          <a:extLst>
            <a:ext uri="{FF2B5EF4-FFF2-40B4-BE49-F238E27FC236}">
              <a16:creationId xmlns:a16="http://schemas.microsoft.com/office/drawing/2014/main" id="{00000000-0008-0000-0400-000049323600}"/>
            </a:ext>
          </a:extLst>
        </xdr:cNvPr>
        <xdr:cNvCxnSpPr>
          <a:cxnSpLocks noChangeShapeType="1"/>
          <a:stCxn id="160" idx="1"/>
          <a:endCxn id="154" idx="3"/>
        </xdr:cNvCxnSpPr>
      </xdr:nvCxnSpPr>
      <xdr:spPr bwMode="auto">
        <a:xfrm flipH="1" flipV="1">
          <a:off x="11887038" y="1223010"/>
          <a:ext cx="1624263" cy="2959"/>
        </a:xfrm>
        <a:prstGeom prst="line">
          <a:avLst/>
        </a:prstGeom>
        <a:noFill/>
        <a:ln w="9525" algn="ctr">
          <a:solidFill>
            <a:srgbClr val="000000"/>
          </a:solidFill>
          <a:round/>
          <a:headEnd/>
          <a:tailEnd type="triangle" w="med" len="med"/>
        </a:ln>
      </xdr:spPr>
    </xdr:cxnSp>
    <xdr:clientData/>
  </xdr:twoCellAnchor>
  <xdr:twoCellAnchor>
    <xdr:from>
      <xdr:col>5</xdr:col>
      <xdr:colOff>1323976</xdr:colOff>
      <xdr:row>31</xdr:row>
      <xdr:rowOff>9526</xdr:rowOff>
    </xdr:from>
    <xdr:to>
      <xdr:col>6</xdr:col>
      <xdr:colOff>1284352</xdr:colOff>
      <xdr:row>34</xdr:row>
      <xdr:rowOff>26671</xdr:rowOff>
    </xdr:to>
    <xdr:sp macro="" textlink="">
      <xdr:nvSpPr>
        <xdr:cNvPr id="166" name="AutoShape 5">
          <a:hlinkClick xmlns:r="http://schemas.openxmlformats.org/officeDocument/2006/relationships" r:id="rId10" tooltip="Go to livestock_efi"/>
          <a:extLst>
            <a:ext uri="{FF2B5EF4-FFF2-40B4-BE49-F238E27FC236}">
              <a16:creationId xmlns:a16="http://schemas.microsoft.com/office/drawing/2014/main" id="{00000000-0008-0000-0400-0000A6000000}"/>
            </a:ext>
          </a:extLst>
        </xdr:cNvPr>
        <xdr:cNvSpPr>
          <a:spLocks noChangeArrowheads="1"/>
        </xdr:cNvSpPr>
      </xdr:nvSpPr>
      <xdr:spPr bwMode="auto">
        <a:xfrm>
          <a:off x="10496551" y="5048251"/>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livestock_efi_efe</a:t>
          </a:r>
        </a:p>
      </xdr:txBody>
    </xdr:sp>
    <xdr:clientData/>
  </xdr:twoCellAnchor>
  <xdr:twoCellAnchor>
    <xdr:from>
      <xdr:col>5</xdr:col>
      <xdr:colOff>1317171</xdr:colOff>
      <xdr:row>1</xdr:row>
      <xdr:rowOff>34016</xdr:rowOff>
    </xdr:from>
    <xdr:to>
      <xdr:col>6</xdr:col>
      <xdr:colOff>1277547</xdr:colOff>
      <xdr:row>4</xdr:row>
      <xdr:rowOff>51161</xdr:rowOff>
    </xdr:to>
    <xdr:sp macro="" textlink="">
      <xdr:nvSpPr>
        <xdr:cNvPr id="169" name="AutoShape 19">
          <a:hlinkClick xmlns:r="http://schemas.openxmlformats.org/officeDocument/2006/relationships" r:id="rId11" tooltip="Go to biocap"/>
          <a:extLst>
            <a:ext uri="{FF2B5EF4-FFF2-40B4-BE49-F238E27FC236}">
              <a16:creationId xmlns:a16="http://schemas.microsoft.com/office/drawing/2014/main" id="{00000000-0008-0000-0400-0000A9000000}"/>
            </a:ext>
          </a:extLst>
        </xdr:cNvPr>
        <xdr:cNvSpPr>
          <a:spLocks noChangeArrowheads="1"/>
        </xdr:cNvSpPr>
      </xdr:nvSpPr>
      <xdr:spPr bwMode="auto">
        <a:xfrm>
          <a:off x="10489746" y="214991"/>
          <a:ext cx="1408176" cy="502920"/>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biocap</a:t>
          </a:r>
        </a:p>
      </xdr:txBody>
    </xdr:sp>
    <xdr:clientData/>
  </xdr:twoCellAnchor>
  <xdr:twoCellAnchor>
    <xdr:from>
      <xdr:col>6</xdr:col>
      <xdr:colOff>561975</xdr:colOff>
      <xdr:row>8</xdr:row>
      <xdr:rowOff>161925</xdr:rowOff>
    </xdr:from>
    <xdr:to>
      <xdr:col>6</xdr:col>
      <xdr:colOff>561975</xdr:colOff>
      <xdr:row>10</xdr:row>
      <xdr:rowOff>38100</xdr:rowOff>
    </xdr:to>
    <xdr:cxnSp macro="">
      <xdr:nvCxnSpPr>
        <xdr:cNvPr id="3551822" name="Shape 233">
          <a:extLst>
            <a:ext uri="{FF2B5EF4-FFF2-40B4-BE49-F238E27FC236}">
              <a16:creationId xmlns:a16="http://schemas.microsoft.com/office/drawing/2014/main" id="{00000000-0008-0000-0400-00004E323600}"/>
            </a:ext>
          </a:extLst>
        </xdr:cNvPr>
        <xdr:cNvCxnSpPr>
          <a:cxnSpLocks noChangeShapeType="1"/>
          <a:stCxn id="154" idx="2"/>
          <a:endCxn id="171" idx="0"/>
        </xdr:cNvCxnSpPr>
      </xdr:nvCxnSpPr>
      <xdr:spPr bwMode="auto">
        <a:xfrm rot="5400000">
          <a:off x="11082337" y="1576388"/>
          <a:ext cx="200025" cy="0"/>
        </a:xfrm>
        <a:prstGeom prst="curvedConnector3">
          <a:avLst>
            <a:gd name="adj1" fmla="val 50000"/>
          </a:avLst>
        </a:prstGeom>
        <a:noFill/>
        <a:ln w="9525" algn="ctr">
          <a:solidFill>
            <a:srgbClr val="000000"/>
          </a:solidFill>
          <a:round/>
          <a:headEnd/>
          <a:tailEnd type="triangle" w="med" len="med"/>
        </a:ln>
      </xdr:spPr>
    </xdr:cxnSp>
    <xdr:clientData/>
  </xdr:twoCellAnchor>
  <xdr:twoCellAnchor>
    <xdr:from>
      <xdr:col>5</xdr:col>
      <xdr:colOff>1306286</xdr:colOff>
      <xdr:row>10</xdr:row>
      <xdr:rowOff>34019</xdr:rowOff>
    </xdr:from>
    <xdr:to>
      <xdr:col>6</xdr:col>
      <xdr:colOff>1266662</xdr:colOff>
      <xdr:row>13</xdr:row>
      <xdr:rowOff>51164</xdr:rowOff>
    </xdr:to>
    <xdr:sp macro="" textlink="">
      <xdr:nvSpPr>
        <xdr:cNvPr id="171" name="AutoShape 9">
          <a:hlinkClick xmlns:r="http://schemas.openxmlformats.org/officeDocument/2006/relationships" r:id="rId12" tooltip="Go to livestock_feed_ef_n"/>
          <a:extLst>
            <a:ext uri="{FF2B5EF4-FFF2-40B4-BE49-F238E27FC236}">
              <a16:creationId xmlns:a16="http://schemas.microsoft.com/office/drawing/2014/main" id="{00000000-0008-0000-0400-0000AB000000}"/>
            </a:ext>
          </a:extLst>
        </xdr:cNvPr>
        <xdr:cNvSpPr>
          <a:spLocks noChangeArrowheads="1"/>
        </xdr:cNvSpPr>
      </xdr:nvSpPr>
      <xdr:spPr bwMode="auto">
        <a:xfrm>
          <a:off x="10478861" y="1672319"/>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p>
          <a:pPr algn="ctr" rtl="1">
            <a:defRPr sz="1000"/>
          </a:pPr>
          <a:r>
            <a:rPr lang="en-US" sz="1000" kern="1200">
              <a:solidFill>
                <a:schemeClr val="tx1"/>
              </a:solidFill>
              <a:latin typeface="Arial" charset="0"/>
              <a:ea typeface="+mn-ea"/>
              <a:cs typeface="+mn-cs"/>
            </a:rPr>
            <a:t>livestock_feed</a:t>
          </a:r>
          <a:r>
            <a:rPr lang="en-US" sz="1000" b="0" i="0" strike="noStrike">
              <a:solidFill>
                <a:sysClr val="windowText" lastClr="000000"/>
              </a:solidFill>
              <a:latin typeface="Arial"/>
              <a:cs typeface="Arial"/>
            </a:rPr>
            <a:t>_</a:t>
          </a:r>
        </a:p>
        <a:p>
          <a:pPr algn="ctr" rtl="1">
            <a:defRPr sz="1000"/>
          </a:pPr>
          <a:r>
            <a:rPr lang="en-US" sz="1000" kern="1200">
              <a:solidFill>
                <a:schemeClr val="tx1"/>
              </a:solidFill>
              <a:latin typeface="Arial" charset="0"/>
              <a:ea typeface="+mn-ea"/>
              <a:cs typeface="+mn-cs"/>
            </a:rPr>
            <a:t>ef_n</a:t>
          </a:r>
        </a:p>
      </xdr:txBody>
    </xdr:sp>
    <xdr:clientData/>
  </xdr:twoCellAnchor>
  <xdr:twoCellAnchor>
    <xdr:from>
      <xdr:col>6</xdr:col>
      <xdr:colOff>1266825</xdr:colOff>
      <xdr:row>7</xdr:row>
      <xdr:rowOff>66675</xdr:rowOff>
    </xdr:from>
    <xdr:to>
      <xdr:col>7</xdr:col>
      <xdr:colOff>1419225</xdr:colOff>
      <xdr:row>19</xdr:row>
      <xdr:rowOff>66675</xdr:rowOff>
    </xdr:to>
    <xdr:cxnSp macro="">
      <xdr:nvCxnSpPr>
        <xdr:cNvPr id="3551824" name="Straight Connector 321">
          <a:extLst>
            <a:ext uri="{FF2B5EF4-FFF2-40B4-BE49-F238E27FC236}">
              <a16:creationId xmlns:a16="http://schemas.microsoft.com/office/drawing/2014/main" id="{00000000-0008-0000-0400-000050323600}"/>
            </a:ext>
          </a:extLst>
        </xdr:cNvPr>
        <xdr:cNvCxnSpPr>
          <a:cxnSpLocks noChangeShapeType="1"/>
          <a:stCxn id="155" idx="1"/>
          <a:endCxn id="154" idx="3"/>
        </xdr:cNvCxnSpPr>
      </xdr:nvCxnSpPr>
      <xdr:spPr bwMode="auto">
        <a:xfrm rot="10800000">
          <a:off x="11887200" y="1219200"/>
          <a:ext cx="1600200" cy="1943100"/>
        </a:xfrm>
        <a:prstGeom prst="line">
          <a:avLst/>
        </a:prstGeom>
        <a:noFill/>
        <a:ln w="9525" algn="ctr">
          <a:solidFill>
            <a:srgbClr val="000000"/>
          </a:solidFill>
          <a:round/>
          <a:headEnd/>
          <a:tailEnd type="triangle" w="med" len="med"/>
        </a:ln>
      </xdr:spPr>
    </xdr:cxnSp>
    <xdr:clientData/>
  </xdr:twoCellAnchor>
  <xdr:twoCellAnchor>
    <xdr:from>
      <xdr:col>10</xdr:col>
      <xdr:colOff>17705</xdr:colOff>
      <xdr:row>22</xdr:row>
      <xdr:rowOff>134705</xdr:rowOff>
    </xdr:from>
    <xdr:to>
      <xdr:col>10</xdr:col>
      <xdr:colOff>1425881</xdr:colOff>
      <xdr:row>25</xdr:row>
      <xdr:rowOff>151850</xdr:rowOff>
    </xdr:to>
    <xdr:sp macro="" textlink="">
      <xdr:nvSpPr>
        <xdr:cNvPr id="173" name="AutoShape 43">
          <a:hlinkClick xmlns:r="http://schemas.openxmlformats.org/officeDocument/2006/relationships" r:id="rId13" tooltip="Go to crop_efe"/>
          <a:extLst>
            <a:ext uri="{FF2B5EF4-FFF2-40B4-BE49-F238E27FC236}">
              <a16:creationId xmlns:a16="http://schemas.microsoft.com/office/drawing/2014/main" id="{00000000-0008-0000-0400-0000AD000000}"/>
            </a:ext>
          </a:extLst>
        </xdr:cNvPr>
        <xdr:cNvSpPr>
          <a:spLocks noChangeArrowheads="1"/>
        </xdr:cNvSpPr>
      </xdr:nvSpPr>
      <xdr:spPr bwMode="auto">
        <a:xfrm>
          <a:off x="16429280" y="3716105"/>
          <a:ext cx="1408176" cy="502920"/>
        </a:xfrm>
        <a:prstGeom prst="roundRect">
          <a:avLst>
            <a:gd name="adj" fmla="val 16667"/>
          </a:avLst>
        </a:prstGeom>
        <a:solidFill>
          <a:schemeClr val="accent2"/>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ysClr val="windowText" lastClr="000000"/>
              </a:solidFill>
            </a:rPr>
            <a:t>crop_efi_efe</a:t>
          </a:r>
        </a:p>
      </xdr:txBody>
    </xdr:sp>
    <xdr:clientData/>
  </xdr:twoCellAnchor>
  <xdr:twoCellAnchor>
    <xdr:from>
      <xdr:col>10</xdr:col>
      <xdr:colOff>23134</xdr:colOff>
      <xdr:row>17</xdr:row>
      <xdr:rowOff>43538</xdr:rowOff>
    </xdr:from>
    <xdr:to>
      <xdr:col>10</xdr:col>
      <xdr:colOff>1431310</xdr:colOff>
      <xdr:row>20</xdr:row>
      <xdr:rowOff>60683</xdr:rowOff>
    </xdr:to>
    <xdr:sp macro="" textlink="">
      <xdr:nvSpPr>
        <xdr:cNvPr id="174" name="AutoShape 43">
          <a:hlinkClick xmlns:r="http://schemas.openxmlformats.org/officeDocument/2006/relationships" r:id="rId14" tooltip="Go to fish_feed_group_yield_n"/>
          <a:extLst>
            <a:ext uri="{FF2B5EF4-FFF2-40B4-BE49-F238E27FC236}">
              <a16:creationId xmlns:a16="http://schemas.microsoft.com/office/drawing/2014/main" id="{00000000-0008-0000-0400-0000AE000000}"/>
            </a:ext>
          </a:extLst>
        </xdr:cNvPr>
        <xdr:cNvSpPr>
          <a:spLocks noChangeArrowheads="1"/>
        </xdr:cNvSpPr>
      </xdr:nvSpPr>
      <xdr:spPr bwMode="auto">
        <a:xfrm>
          <a:off x="16434709" y="2815313"/>
          <a:ext cx="1408176" cy="502920"/>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fish_feed_group_yield_n</a:t>
          </a:r>
        </a:p>
      </xdr:txBody>
    </xdr:sp>
    <xdr:clientData/>
  </xdr:twoCellAnchor>
  <xdr:twoCellAnchor>
    <xdr:from>
      <xdr:col>8</xdr:col>
      <xdr:colOff>1352550</xdr:colOff>
      <xdr:row>15</xdr:row>
      <xdr:rowOff>38100</xdr:rowOff>
    </xdr:from>
    <xdr:to>
      <xdr:col>10</xdr:col>
      <xdr:colOff>19050</xdr:colOff>
      <xdr:row>18</xdr:row>
      <xdr:rowOff>133350</xdr:rowOff>
    </xdr:to>
    <xdr:cxnSp macro="">
      <xdr:nvCxnSpPr>
        <xdr:cNvPr id="3551828" name="Straight Connector 325">
          <a:extLst>
            <a:ext uri="{FF2B5EF4-FFF2-40B4-BE49-F238E27FC236}">
              <a16:creationId xmlns:a16="http://schemas.microsoft.com/office/drawing/2014/main" id="{00000000-0008-0000-0400-000054323600}"/>
            </a:ext>
          </a:extLst>
        </xdr:cNvPr>
        <xdr:cNvCxnSpPr>
          <a:cxnSpLocks noChangeShapeType="1"/>
          <a:stCxn id="174" idx="1"/>
          <a:endCxn id="161" idx="3"/>
        </xdr:cNvCxnSpPr>
      </xdr:nvCxnSpPr>
      <xdr:spPr bwMode="auto">
        <a:xfrm rot="10800000">
          <a:off x="14868525" y="2486025"/>
          <a:ext cx="1562100" cy="581025"/>
        </a:xfrm>
        <a:prstGeom prst="line">
          <a:avLst/>
        </a:prstGeom>
        <a:noFill/>
        <a:ln w="9525" algn="ctr">
          <a:solidFill>
            <a:srgbClr val="000000"/>
          </a:solidFill>
          <a:round/>
          <a:headEnd/>
          <a:tailEnd type="triangle" w="med" len="med"/>
        </a:ln>
      </xdr:spPr>
    </xdr:cxnSp>
    <xdr:clientData/>
  </xdr:twoCellAnchor>
  <xdr:twoCellAnchor>
    <xdr:from>
      <xdr:col>8</xdr:col>
      <xdr:colOff>1356751</xdr:colOff>
      <xdr:row>15</xdr:row>
      <xdr:rowOff>38983</xdr:rowOff>
    </xdr:from>
    <xdr:to>
      <xdr:col>10</xdr:col>
      <xdr:colOff>17705</xdr:colOff>
      <xdr:row>24</xdr:row>
      <xdr:rowOff>62315</xdr:rowOff>
    </xdr:to>
    <xdr:cxnSp macro="">
      <xdr:nvCxnSpPr>
        <xdr:cNvPr id="3551830" name="Straight Connector 325">
          <a:extLst>
            <a:ext uri="{FF2B5EF4-FFF2-40B4-BE49-F238E27FC236}">
              <a16:creationId xmlns:a16="http://schemas.microsoft.com/office/drawing/2014/main" id="{00000000-0008-0000-0400-000056323600}"/>
            </a:ext>
          </a:extLst>
        </xdr:cNvPr>
        <xdr:cNvCxnSpPr>
          <a:cxnSpLocks noChangeShapeType="1"/>
          <a:stCxn id="173" idx="1"/>
          <a:endCxn id="161" idx="3"/>
        </xdr:cNvCxnSpPr>
      </xdr:nvCxnSpPr>
      <xdr:spPr bwMode="auto">
        <a:xfrm flipH="1" flipV="1">
          <a:off x="14872726" y="2486908"/>
          <a:ext cx="1556554" cy="1480657"/>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50074</xdr:rowOff>
    </xdr:from>
    <xdr:to>
      <xdr:col>7</xdr:col>
      <xdr:colOff>1429520</xdr:colOff>
      <xdr:row>11</xdr:row>
      <xdr:rowOff>123554</xdr:rowOff>
    </xdr:to>
    <xdr:cxnSp macro="">
      <xdr:nvCxnSpPr>
        <xdr:cNvPr id="3551832" name="Straight Connector 346">
          <a:extLst>
            <a:ext uri="{FF2B5EF4-FFF2-40B4-BE49-F238E27FC236}">
              <a16:creationId xmlns:a16="http://schemas.microsoft.com/office/drawing/2014/main" id="{00000000-0008-0000-0400-000058323600}"/>
            </a:ext>
          </a:extLst>
        </xdr:cNvPr>
        <xdr:cNvCxnSpPr>
          <a:cxnSpLocks noChangeShapeType="1"/>
          <a:stCxn id="143" idx="1"/>
          <a:endCxn id="171" idx="3"/>
        </xdr:cNvCxnSpPr>
      </xdr:nvCxnSpPr>
      <xdr:spPr bwMode="auto">
        <a:xfrm flipH="1">
          <a:off x="11887037" y="1850299"/>
          <a:ext cx="1610658" cy="73480"/>
        </a:xfrm>
        <a:prstGeom prst="line">
          <a:avLst/>
        </a:prstGeom>
        <a:noFill/>
        <a:ln w="9525" algn="ctr">
          <a:solidFill>
            <a:srgbClr val="000000"/>
          </a:solidFill>
          <a:round/>
          <a:headEnd/>
          <a:tailEnd type="triangle" w="med" len="med"/>
        </a:ln>
      </xdr:spPr>
    </xdr:cxnSp>
    <xdr:clientData/>
  </xdr:twoCellAnchor>
  <xdr:twoCellAnchor>
    <xdr:from>
      <xdr:col>5</xdr:col>
      <xdr:colOff>1306286</xdr:colOff>
      <xdr:row>18</xdr:row>
      <xdr:rowOff>108857</xdr:rowOff>
    </xdr:from>
    <xdr:to>
      <xdr:col>6</xdr:col>
      <xdr:colOff>1266662</xdr:colOff>
      <xdr:row>21</xdr:row>
      <xdr:rowOff>126002</xdr:rowOff>
    </xdr:to>
    <xdr:sp macro="" textlink="">
      <xdr:nvSpPr>
        <xdr:cNvPr id="182" name="AutoShape 9">
          <a:hlinkClick xmlns:r="http://schemas.openxmlformats.org/officeDocument/2006/relationships" r:id="rId15" tooltip="Go to livestock_intensity_n_grazing"/>
          <a:extLst>
            <a:ext uri="{FF2B5EF4-FFF2-40B4-BE49-F238E27FC236}">
              <a16:creationId xmlns:a16="http://schemas.microsoft.com/office/drawing/2014/main" id="{00000000-0008-0000-0400-0000B6000000}"/>
            </a:ext>
          </a:extLst>
        </xdr:cNvPr>
        <xdr:cNvSpPr>
          <a:spLocks noChangeArrowheads="1"/>
        </xdr:cNvSpPr>
      </xdr:nvSpPr>
      <xdr:spPr bwMode="auto">
        <a:xfrm>
          <a:off x="10478861" y="3042557"/>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livestock_intensity</a:t>
          </a:r>
        </a:p>
      </xdr:txBody>
    </xdr:sp>
    <xdr:clientData/>
  </xdr:twoCellAnchor>
  <xdr:twoCellAnchor>
    <xdr:from>
      <xdr:col>6</xdr:col>
      <xdr:colOff>562574</xdr:colOff>
      <xdr:row>13</xdr:row>
      <xdr:rowOff>51164</xdr:rowOff>
    </xdr:from>
    <xdr:to>
      <xdr:col>6</xdr:col>
      <xdr:colOff>562574</xdr:colOff>
      <xdr:row>18</xdr:row>
      <xdr:rowOff>108857</xdr:rowOff>
    </xdr:to>
    <xdr:cxnSp macro="">
      <xdr:nvCxnSpPr>
        <xdr:cNvPr id="3551836" name="Straight Connector 321">
          <a:extLst>
            <a:ext uri="{FF2B5EF4-FFF2-40B4-BE49-F238E27FC236}">
              <a16:creationId xmlns:a16="http://schemas.microsoft.com/office/drawing/2014/main" id="{00000000-0008-0000-0400-00005C323600}"/>
            </a:ext>
          </a:extLst>
        </xdr:cNvPr>
        <xdr:cNvCxnSpPr>
          <a:cxnSpLocks noChangeShapeType="1"/>
          <a:stCxn id="171" idx="2"/>
          <a:endCxn id="182" idx="0"/>
        </xdr:cNvCxnSpPr>
      </xdr:nvCxnSpPr>
      <xdr:spPr bwMode="auto">
        <a:xfrm>
          <a:off x="11182949" y="2175239"/>
          <a:ext cx="0" cy="867318"/>
        </a:xfrm>
        <a:prstGeom prst="line">
          <a:avLst/>
        </a:prstGeom>
        <a:noFill/>
        <a:ln w="9525" algn="ctr">
          <a:solidFill>
            <a:srgbClr val="000000"/>
          </a:solidFill>
          <a:round/>
          <a:headEnd/>
          <a:tailEnd type="triangle" w="med" len="med"/>
        </a:ln>
      </xdr:spPr>
    </xdr:cxnSp>
    <xdr:clientData/>
  </xdr:twoCellAnchor>
  <xdr:twoCellAnchor>
    <xdr:from>
      <xdr:col>6</xdr:col>
      <xdr:colOff>1266662</xdr:colOff>
      <xdr:row>11</xdr:row>
      <xdr:rowOff>123554</xdr:rowOff>
    </xdr:from>
    <xdr:to>
      <xdr:col>6</xdr:col>
      <xdr:colOff>1268250</xdr:colOff>
      <xdr:row>20</xdr:row>
      <xdr:rowOff>36467</xdr:rowOff>
    </xdr:to>
    <xdr:cxnSp macro="">
      <xdr:nvCxnSpPr>
        <xdr:cNvPr id="185" name="Shape 233">
          <a:extLst>
            <a:ext uri="{FF2B5EF4-FFF2-40B4-BE49-F238E27FC236}">
              <a16:creationId xmlns:a16="http://schemas.microsoft.com/office/drawing/2014/main" id="{00000000-0008-0000-0400-0000B9000000}"/>
            </a:ext>
          </a:extLst>
        </xdr:cNvPr>
        <xdr:cNvCxnSpPr>
          <a:cxnSpLocks noChangeShapeType="1"/>
          <a:stCxn id="171" idx="3"/>
          <a:endCxn id="182" idx="3"/>
        </xdr:cNvCxnSpPr>
      </xdr:nvCxnSpPr>
      <xdr:spPr bwMode="auto">
        <a:xfrm>
          <a:off x="11887037" y="1923779"/>
          <a:ext cx="1588" cy="1370238"/>
        </a:xfrm>
        <a:prstGeom prst="curvedConnector3">
          <a:avLst>
            <a:gd name="adj1" fmla="val 14395466"/>
          </a:avLst>
        </a:prstGeom>
        <a:ln>
          <a:solidFill>
            <a:sysClr val="windowText" lastClr="000000"/>
          </a:solidFill>
          <a:headEnd/>
          <a:tailEnd type="triangle" w="med" len="med"/>
        </a:ln>
      </xdr:spPr>
      <xdr:style>
        <a:lnRef idx="1">
          <a:schemeClr val="accent6"/>
        </a:lnRef>
        <a:fillRef idx="0">
          <a:schemeClr val="accent6"/>
        </a:fillRef>
        <a:effectRef idx="0">
          <a:schemeClr val="accent6"/>
        </a:effectRef>
        <a:fontRef idx="minor">
          <a:schemeClr val="tx1"/>
        </a:fontRef>
      </xdr:style>
    </xdr:cxnSp>
    <xdr:clientData/>
  </xdr:twoCellAnchor>
  <xdr:twoCellAnchor>
    <xdr:from>
      <xdr:col>8</xdr:col>
      <xdr:colOff>1403502</xdr:colOff>
      <xdr:row>7</xdr:row>
      <xdr:rowOff>73444</xdr:rowOff>
    </xdr:from>
    <xdr:to>
      <xdr:col>10</xdr:col>
      <xdr:colOff>23134</xdr:colOff>
      <xdr:row>18</xdr:row>
      <xdr:rowOff>133073</xdr:rowOff>
    </xdr:to>
    <xdr:cxnSp macro="">
      <xdr:nvCxnSpPr>
        <xdr:cNvPr id="3551839" name="Straight Connector 325">
          <a:extLst>
            <a:ext uri="{FF2B5EF4-FFF2-40B4-BE49-F238E27FC236}">
              <a16:creationId xmlns:a16="http://schemas.microsoft.com/office/drawing/2014/main" id="{00000000-0008-0000-0400-00005F323600}"/>
            </a:ext>
          </a:extLst>
        </xdr:cNvPr>
        <xdr:cNvCxnSpPr>
          <a:cxnSpLocks noChangeShapeType="1"/>
          <a:stCxn id="174" idx="1"/>
          <a:endCxn id="160" idx="3"/>
        </xdr:cNvCxnSpPr>
      </xdr:nvCxnSpPr>
      <xdr:spPr bwMode="auto">
        <a:xfrm flipH="1" flipV="1">
          <a:off x="14919477" y="1225969"/>
          <a:ext cx="1515232" cy="1840804"/>
        </a:xfrm>
        <a:prstGeom prst="line">
          <a:avLst/>
        </a:prstGeom>
        <a:noFill/>
        <a:ln w="9525" algn="ctr">
          <a:solidFill>
            <a:srgbClr val="000000"/>
          </a:solidFill>
          <a:round/>
          <a:headEnd/>
          <a:tailEnd type="triangle" w="med" len="med"/>
        </a:ln>
      </xdr:spPr>
    </xdr:cxnSp>
    <xdr:clientData/>
  </xdr:twoCellAnchor>
  <xdr:twoCellAnchor>
    <xdr:from>
      <xdr:col>10</xdr:col>
      <xdr:colOff>9526</xdr:colOff>
      <xdr:row>1</xdr:row>
      <xdr:rowOff>123825</xdr:rowOff>
    </xdr:from>
    <xdr:to>
      <xdr:col>10</xdr:col>
      <xdr:colOff>1417702</xdr:colOff>
      <xdr:row>4</xdr:row>
      <xdr:rowOff>140970</xdr:rowOff>
    </xdr:to>
    <xdr:sp macro="" textlink="">
      <xdr:nvSpPr>
        <xdr:cNvPr id="191" name="AutoShape 15">
          <a:hlinkClick xmlns:r="http://schemas.openxmlformats.org/officeDocument/2006/relationships" r:id="rId16" tooltip="Go to crop_feed_cnst"/>
          <a:extLst>
            <a:ext uri="{FF2B5EF4-FFF2-40B4-BE49-F238E27FC236}">
              <a16:creationId xmlns:a16="http://schemas.microsoft.com/office/drawing/2014/main" id="{00000000-0008-0000-0400-0000BF000000}"/>
            </a:ext>
          </a:extLst>
        </xdr:cNvPr>
        <xdr:cNvSpPr>
          <a:spLocks noChangeArrowheads="1"/>
        </xdr:cNvSpPr>
      </xdr:nvSpPr>
      <xdr:spPr bwMode="auto">
        <a:xfrm>
          <a:off x="16421101" y="304800"/>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crop_feed_cnst</a:t>
          </a:r>
        </a:p>
      </xdr:txBody>
    </xdr:sp>
    <xdr:clientData/>
  </xdr:twoCellAnchor>
  <xdr:twoCellAnchor>
    <xdr:from>
      <xdr:col>8</xdr:col>
      <xdr:colOff>1403502</xdr:colOff>
      <xdr:row>3</xdr:row>
      <xdr:rowOff>51435</xdr:rowOff>
    </xdr:from>
    <xdr:to>
      <xdr:col>10</xdr:col>
      <xdr:colOff>9526</xdr:colOff>
      <xdr:row>7</xdr:row>
      <xdr:rowOff>73444</xdr:rowOff>
    </xdr:to>
    <xdr:cxnSp macro="">
      <xdr:nvCxnSpPr>
        <xdr:cNvPr id="3551844" name="Straight Connector 331">
          <a:extLst>
            <a:ext uri="{FF2B5EF4-FFF2-40B4-BE49-F238E27FC236}">
              <a16:creationId xmlns:a16="http://schemas.microsoft.com/office/drawing/2014/main" id="{00000000-0008-0000-0400-000064323600}"/>
            </a:ext>
          </a:extLst>
        </xdr:cNvPr>
        <xdr:cNvCxnSpPr>
          <a:cxnSpLocks noChangeShapeType="1"/>
          <a:stCxn id="191" idx="1"/>
          <a:endCxn id="160" idx="3"/>
        </xdr:cNvCxnSpPr>
      </xdr:nvCxnSpPr>
      <xdr:spPr bwMode="auto">
        <a:xfrm flipH="1">
          <a:off x="14919477" y="556260"/>
          <a:ext cx="1501624" cy="669709"/>
        </a:xfrm>
        <a:prstGeom prst="line">
          <a:avLst/>
        </a:prstGeom>
        <a:noFill/>
        <a:ln w="9525" algn="ctr">
          <a:solidFill>
            <a:srgbClr val="000000"/>
          </a:solidFill>
          <a:round/>
          <a:headEnd/>
          <a:tailEnd type="triangle" w="med" len="med"/>
        </a:ln>
      </xdr:spPr>
    </xdr:cxnSp>
    <xdr:clientData/>
  </xdr:twoCellAnchor>
  <xdr:twoCellAnchor>
    <xdr:from>
      <xdr:col>8</xdr:col>
      <xdr:colOff>1403502</xdr:colOff>
      <xdr:row>7</xdr:row>
      <xdr:rowOff>73444</xdr:rowOff>
    </xdr:from>
    <xdr:to>
      <xdr:col>10</xdr:col>
      <xdr:colOff>1643</xdr:colOff>
      <xdr:row>13</xdr:row>
      <xdr:rowOff>42823</xdr:rowOff>
    </xdr:to>
    <xdr:cxnSp macro="">
      <xdr:nvCxnSpPr>
        <xdr:cNvPr id="3551845" name="Straight Connector 325">
          <a:extLst>
            <a:ext uri="{FF2B5EF4-FFF2-40B4-BE49-F238E27FC236}">
              <a16:creationId xmlns:a16="http://schemas.microsoft.com/office/drawing/2014/main" id="{00000000-0008-0000-0400-000065323600}"/>
            </a:ext>
          </a:extLst>
        </xdr:cNvPr>
        <xdr:cNvCxnSpPr>
          <a:cxnSpLocks noChangeShapeType="1"/>
          <a:stCxn id="147" idx="1"/>
          <a:endCxn id="160" idx="3"/>
        </xdr:cNvCxnSpPr>
      </xdr:nvCxnSpPr>
      <xdr:spPr bwMode="auto">
        <a:xfrm flipH="1" flipV="1">
          <a:off x="14919477" y="1225969"/>
          <a:ext cx="1493741" cy="940929"/>
        </a:xfrm>
        <a:prstGeom prst="line">
          <a:avLst/>
        </a:prstGeom>
        <a:noFill/>
        <a:ln w="9525" algn="ctr">
          <a:solidFill>
            <a:srgbClr val="000000"/>
          </a:solidFill>
          <a:round/>
          <a:headEnd/>
          <a:tailEnd type="triangle" w="med" len="med"/>
        </a:ln>
      </xdr:spPr>
    </xdr:cxnSp>
    <xdr:clientData/>
  </xdr:twoCellAnchor>
  <xdr:twoCellAnchor>
    <xdr:from>
      <xdr:col>6</xdr:col>
      <xdr:colOff>1266825</xdr:colOff>
      <xdr:row>20</xdr:row>
      <xdr:rowOff>38100</xdr:rowOff>
    </xdr:from>
    <xdr:to>
      <xdr:col>7</xdr:col>
      <xdr:colOff>1438275</xdr:colOff>
      <xdr:row>32</xdr:row>
      <xdr:rowOff>95250</xdr:rowOff>
    </xdr:to>
    <xdr:cxnSp macro="">
      <xdr:nvCxnSpPr>
        <xdr:cNvPr id="3551847" name="Straight Connector 321">
          <a:extLst>
            <a:ext uri="{FF2B5EF4-FFF2-40B4-BE49-F238E27FC236}">
              <a16:creationId xmlns:a16="http://schemas.microsoft.com/office/drawing/2014/main" id="{00000000-0008-0000-0400-000067323600}"/>
            </a:ext>
          </a:extLst>
        </xdr:cNvPr>
        <xdr:cNvCxnSpPr>
          <a:cxnSpLocks noChangeShapeType="1"/>
          <a:stCxn id="219" idx="1"/>
          <a:endCxn id="182" idx="3"/>
        </xdr:cNvCxnSpPr>
      </xdr:nvCxnSpPr>
      <xdr:spPr bwMode="auto">
        <a:xfrm rot="10800000">
          <a:off x="11887200" y="3295650"/>
          <a:ext cx="1619250" cy="2000250"/>
        </a:xfrm>
        <a:prstGeom prst="line">
          <a:avLst/>
        </a:prstGeom>
        <a:noFill/>
        <a:ln w="9525" algn="ctr">
          <a:solidFill>
            <a:srgbClr val="000000"/>
          </a:solidFill>
          <a:round/>
          <a:headEnd/>
          <a:tailEnd type="triangle" w="med" len="med"/>
        </a:ln>
      </xdr:spPr>
    </xdr:cxnSp>
    <xdr:clientData/>
  </xdr:twoCellAnchor>
  <xdr:twoCellAnchor>
    <xdr:from>
      <xdr:col>6</xdr:col>
      <xdr:colOff>1284352</xdr:colOff>
      <xdr:row>7</xdr:row>
      <xdr:rowOff>73444</xdr:rowOff>
    </xdr:from>
    <xdr:to>
      <xdr:col>7</xdr:col>
      <xdr:colOff>1443126</xdr:colOff>
      <xdr:row>32</xdr:row>
      <xdr:rowOff>99061</xdr:rowOff>
    </xdr:to>
    <xdr:cxnSp macro="">
      <xdr:nvCxnSpPr>
        <xdr:cNvPr id="3551859" name="AutoShape 30">
          <a:extLst>
            <a:ext uri="{FF2B5EF4-FFF2-40B4-BE49-F238E27FC236}">
              <a16:creationId xmlns:a16="http://schemas.microsoft.com/office/drawing/2014/main" id="{00000000-0008-0000-0400-000073323600}"/>
            </a:ext>
          </a:extLst>
        </xdr:cNvPr>
        <xdr:cNvCxnSpPr>
          <a:cxnSpLocks noChangeShapeType="1"/>
          <a:stCxn id="160" idx="1"/>
          <a:endCxn id="166" idx="3"/>
        </xdr:cNvCxnSpPr>
      </xdr:nvCxnSpPr>
      <xdr:spPr bwMode="auto">
        <a:xfrm flipH="1">
          <a:off x="11904727" y="1225969"/>
          <a:ext cx="1606574" cy="4073742"/>
        </a:xfrm>
        <a:prstGeom prst="straightConnector1">
          <a:avLst/>
        </a:prstGeom>
        <a:noFill/>
        <a:ln w="9525">
          <a:solidFill>
            <a:srgbClr val="000000"/>
          </a:solidFill>
          <a:round/>
          <a:headEnd/>
          <a:tailEnd type="triangle" w="med" len="med"/>
        </a:ln>
      </xdr:spPr>
    </xdr:cxnSp>
    <xdr:clientData/>
  </xdr:twoCellAnchor>
  <xdr:twoCellAnchor>
    <xdr:from>
      <xdr:col>5</xdr:col>
      <xdr:colOff>1306286</xdr:colOff>
      <xdr:row>20</xdr:row>
      <xdr:rowOff>36467</xdr:rowOff>
    </xdr:from>
    <xdr:to>
      <xdr:col>5</xdr:col>
      <xdr:colOff>1323976</xdr:colOff>
      <xdr:row>32</xdr:row>
      <xdr:rowOff>99061</xdr:rowOff>
    </xdr:to>
    <xdr:cxnSp macro="">
      <xdr:nvCxnSpPr>
        <xdr:cNvPr id="3551861" name="Curved Connector 140">
          <a:extLst>
            <a:ext uri="{FF2B5EF4-FFF2-40B4-BE49-F238E27FC236}">
              <a16:creationId xmlns:a16="http://schemas.microsoft.com/office/drawing/2014/main" id="{00000000-0008-0000-0400-000075323600}"/>
            </a:ext>
          </a:extLst>
        </xdr:cNvPr>
        <xdr:cNvCxnSpPr>
          <a:cxnSpLocks noChangeShapeType="1"/>
          <a:stCxn id="166" idx="1"/>
          <a:endCxn id="182" idx="1"/>
        </xdr:cNvCxnSpPr>
      </xdr:nvCxnSpPr>
      <xdr:spPr bwMode="auto">
        <a:xfrm rot="10800000">
          <a:off x="10478861" y="3294017"/>
          <a:ext cx="17690" cy="2005694"/>
        </a:xfrm>
        <a:prstGeom prst="curvedConnector3">
          <a:avLst>
            <a:gd name="adj1" fmla="val 1392256"/>
          </a:avLst>
        </a:prstGeom>
        <a:noFill/>
        <a:ln w="9525" algn="ctr">
          <a:solidFill>
            <a:srgbClr val="000000"/>
          </a:solidFill>
          <a:round/>
          <a:headEnd/>
          <a:tailEnd type="triangle" w="med" len="med"/>
        </a:ln>
      </xdr:spPr>
    </xdr:cxnSp>
    <xdr:clientData/>
  </xdr:twoCellAnchor>
  <xdr:twoCellAnchor>
    <xdr:from>
      <xdr:col>6</xdr:col>
      <xdr:colOff>1266662</xdr:colOff>
      <xdr:row>20</xdr:row>
      <xdr:rowOff>36467</xdr:rowOff>
    </xdr:from>
    <xdr:to>
      <xdr:col>6</xdr:col>
      <xdr:colOff>1284352</xdr:colOff>
      <xdr:row>32</xdr:row>
      <xdr:rowOff>99061</xdr:rowOff>
    </xdr:to>
    <xdr:cxnSp macro="">
      <xdr:nvCxnSpPr>
        <xdr:cNvPr id="3551866" name="Shape 233">
          <a:extLst>
            <a:ext uri="{FF2B5EF4-FFF2-40B4-BE49-F238E27FC236}">
              <a16:creationId xmlns:a16="http://schemas.microsoft.com/office/drawing/2014/main" id="{00000000-0008-0000-0400-00007A323600}"/>
            </a:ext>
          </a:extLst>
        </xdr:cNvPr>
        <xdr:cNvCxnSpPr>
          <a:cxnSpLocks noChangeShapeType="1"/>
          <a:stCxn id="182" idx="3"/>
          <a:endCxn id="166" idx="3"/>
        </xdr:cNvCxnSpPr>
      </xdr:nvCxnSpPr>
      <xdr:spPr bwMode="auto">
        <a:xfrm>
          <a:off x="11887037" y="3294017"/>
          <a:ext cx="17690" cy="2005694"/>
        </a:xfrm>
        <a:prstGeom prst="curvedConnector3">
          <a:avLst>
            <a:gd name="adj1" fmla="val 1392256"/>
          </a:avLst>
        </a:prstGeom>
        <a:noFill/>
        <a:ln w="9525" algn="ctr">
          <a:solidFill>
            <a:srgbClr val="000000"/>
          </a:solidFill>
          <a:round/>
          <a:headEnd/>
          <a:tailEnd type="triangle" w="med" len="med"/>
        </a:ln>
      </xdr:spPr>
    </xdr:cxnSp>
    <xdr:clientData/>
  </xdr:twoCellAnchor>
  <xdr:twoCellAnchor>
    <xdr:from>
      <xdr:col>7</xdr:col>
      <xdr:colOff>1439636</xdr:colOff>
      <xdr:row>31</xdr:row>
      <xdr:rowOff>4083</xdr:rowOff>
    </xdr:from>
    <xdr:to>
      <xdr:col>8</xdr:col>
      <xdr:colOff>1400012</xdr:colOff>
      <xdr:row>34</xdr:row>
      <xdr:rowOff>21228</xdr:rowOff>
    </xdr:to>
    <xdr:sp macro="" textlink="">
      <xdr:nvSpPr>
        <xdr:cNvPr id="219" name="AutoShape 27">
          <a:hlinkClick xmlns:r="http://schemas.openxmlformats.org/officeDocument/2006/relationships" r:id="rId17" tooltip="Go to resourcestat_livestock_n"/>
          <a:extLst>
            <a:ext uri="{FF2B5EF4-FFF2-40B4-BE49-F238E27FC236}">
              <a16:creationId xmlns:a16="http://schemas.microsoft.com/office/drawing/2014/main" id="{00000000-0008-0000-0400-0000DB000000}"/>
            </a:ext>
          </a:extLst>
        </xdr:cNvPr>
        <xdr:cNvSpPr>
          <a:spLocks noChangeArrowheads="1"/>
        </xdr:cNvSpPr>
      </xdr:nvSpPr>
      <xdr:spPr bwMode="auto">
        <a:xfrm>
          <a:off x="13507811" y="5042808"/>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prodstat_</a:t>
          </a:r>
        </a:p>
        <a:p>
          <a:r>
            <a:rPr lang="en-US" sz="1000"/>
            <a:t>livestock_n</a:t>
          </a:r>
        </a:p>
      </xdr:txBody>
    </xdr:sp>
    <xdr:clientData/>
  </xdr:twoCellAnchor>
  <xdr:twoCellAnchor>
    <xdr:from>
      <xdr:col>8</xdr:col>
      <xdr:colOff>1404069</xdr:colOff>
      <xdr:row>27</xdr:row>
      <xdr:rowOff>160545</xdr:rowOff>
    </xdr:from>
    <xdr:to>
      <xdr:col>10</xdr:col>
      <xdr:colOff>50346</xdr:colOff>
      <xdr:row>30</xdr:row>
      <xdr:rowOff>15606</xdr:rowOff>
    </xdr:to>
    <xdr:cxnSp macro="">
      <xdr:nvCxnSpPr>
        <xdr:cNvPr id="27" name="Straight Arrow Connector 26">
          <a:extLst>
            <a:ext uri="{FF2B5EF4-FFF2-40B4-BE49-F238E27FC236}">
              <a16:creationId xmlns:a16="http://schemas.microsoft.com/office/drawing/2014/main" id="{00000000-0008-0000-0400-00001B000000}"/>
            </a:ext>
          </a:extLst>
        </xdr:cNvPr>
        <xdr:cNvCxnSpPr>
          <a:stCxn id="158" idx="1"/>
          <a:endCxn id="156" idx="3"/>
        </xdr:cNvCxnSpPr>
      </xdr:nvCxnSpPr>
      <xdr:spPr bwMode="auto">
        <a:xfrm flipH="1" flipV="1">
          <a:off x="14920044" y="4551570"/>
          <a:ext cx="1541877" cy="340836"/>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8</xdr:col>
      <xdr:colOff>1384143</xdr:colOff>
      <xdr:row>19</xdr:row>
      <xdr:rowOff>70066</xdr:rowOff>
    </xdr:from>
    <xdr:to>
      <xdr:col>10</xdr:col>
      <xdr:colOff>50346</xdr:colOff>
      <xdr:row>30</xdr:row>
      <xdr:rowOff>15606</xdr:rowOff>
    </xdr:to>
    <xdr:cxnSp macro="">
      <xdr:nvCxnSpPr>
        <xdr:cNvPr id="103" name="Straight Arrow Connector 102">
          <a:extLst>
            <a:ext uri="{FF2B5EF4-FFF2-40B4-BE49-F238E27FC236}">
              <a16:creationId xmlns:a16="http://schemas.microsoft.com/office/drawing/2014/main" id="{00000000-0008-0000-0400-000067000000}"/>
            </a:ext>
          </a:extLst>
        </xdr:cNvPr>
        <xdr:cNvCxnSpPr>
          <a:stCxn id="158" idx="1"/>
          <a:endCxn id="155" idx="3"/>
        </xdr:cNvCxnSpPr>
      </xdr:nvCxnSpPr>
      <xdr:spPr bwMode="auto">
        <a:xfrm flipH="1" flipV="1">
          <a:off x="14900118" y="3165691"/>
          <a:ext cx="1561803" cy="1726715"/>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6</xdr:col>
      <xdr:colOff>1284352</xdr:colOff>
      <xdr:row>13</xdr:row>
      <xdr:rowOff>42823</xdr:rowOff>
    </xdr:from>
    <xdr:to>
      <xdr:col>10</xdr:col>
      <xdr:colOff>1643</xdr:colOff>
      <xdr:row>32</xdr:row>
      <xdr:rowOff>99061</xdr:rowOff>
    </xdr:to>
    <xdr:cxnSp macro="">
      <xdr:nvCxnSpPr>
        <xdr:cNvPr id="109" name="Straight Arrow Connector 108">
          <a:extLst>
            <a:ext uri="{FF2B5EF4-FFF2-40B4-BE49-F238E27FC236}">
              <a16:creationId xmlns:a16="http://schemas.microsoft.com/office/drawing/2014/main" id="{00000000-0008-0000-0400-00006D000000}"/>
            </a:ext>
          </a:extLst>
        </xdr:cNvPr>
        <xdr:cNvCxnSpPr>
          <a:stCxn id="147" idx="1"/>
          <a:endCxn id="166" idx="3"/>
        </xdr:cNvCxnSpPr>
      </xdr:nvCxnSpPr>
      <xdr:spPr bwMode="auto">
        <a:xfrm flipH="1">
          <a:off x="11904727" y="2166898"/>
          <a:ext cx="4508491" cy="3132813"/>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8</xdr:col>
      <xdr:colOff>1356751</xdr:colOff>
      <xdr:row>13</xdr:row>
      <xdr:rowOff>42823</xdr:rowOff>
    </xdr:from>
    <xdr:to>
      <xdr:col>10</xdr:col>
      <xdr:colOff>1643</xdr:colOff>
      <xdr:row>15</xdr:row>
      <xdr:rowOff>38983</xdr:rowOff>
    </xdr:to>
    <xdr:cxnSp macro="">
      <xdr:nvCxnSpPr>
        <xdr:cNvPr id="112" name="Straight Arrow Connector 111">
          <a:extLst>
            <a:ext uri="{FF2B5EF4-FFF2-40B4-BE49-F238E27FC236}">
              <a16:creationId xmlns:a16="http://schemas.microsoft.com/office/drawing/2014/main" id="{00000000-0008-0000-0400-000070000000}"/>
            </a:ext>
          </a:extLst>
        </xdr:cNvPr>
        <xdr:cNvCxnSpPr>
          <a:stCxn id="147" idx="1"/>
          <a:endCxn id="161" idx="3"/>
        </xdr:cNvCxnSpPr>
      </xdr:nvCxnSpPr>
      <xdr:spPr bwMode="auto">
        <a:xfrm flipH="1">
          <a:off x="14872726" y="2166898"/>
          <a:ext cx="1540492" cy="320010"/>
        </a:xfrm>
        <a:prstGeom prst="straightConnector1">
          <a:avLst/>
        </a:prstGeom>
        <a:noFill/>
        <a:ln w="9525" cap="flat" cmpd="sng" algn="ctr">
          <a:solidFill>
            <a:sysClr val="windowText" lastClr="000000"/>
          </a:solidFill>
          <a:prstDash val="solid"/>
          <a:round/>
          <a:headEnd type="none" w="med" len="med"/>
          <a:tailEnd type="triangle"/>
        </a:ln>
        <a:effectLst/>
      </xdr:spPr>
    </xdr:cxnSp>
    <xdr:clientData/>
  </xdr:twoCellAnchor>
  <xdr:twoCellAnchor>
    <xdr:from>
      <xdr:col>7</xdr:col>
      <xdr:colOff>1423767</xdr:colOff>
      <xdr:row>17</xdr:row>
      <xdr:rowOff>142456</xdr:rowOff>
    </xdr:from>
    <xdr:to>
      <xdr:col>8</xdr:col>
      <xdr:colOff>1384143</xdr:colOff>
      <xdr:row>20</xdr:row>
      <xdr:rowOff>159601</xdr:rowOff>
    </xdr:to>
    <xdr:sp macro="" textlink="">
      <xdr:nvSpPr>
        <xdr:cNvPr id="155" name="AutoShape 22">
          <a:hlinkClick xmlns:r="http://schemas.openxmlformats.org/officeDocument/2006/relationships" r:id="rId18" tooltip="Go to grass_supply_n"/>
          <a:extLst>
            <a:ext uri="{FF2B5EF4-FFF2-40B4-BE49-F238E27FC236}">
              <a16:creationId xmlns:a16="http://schemas.microsoft.com/office/drawing/2014/main" id="{00000000-0008-0000-0400-00009B000000}"/>
            </a:ext>
          </a:extLst>
        </xdr:cNvPr>
        <xdr:cNvSpPr>
          <a:spLocks noChangeArrowheads="1"/>
        </xdr:cNvSpPr>
      </xdr:nvSpPr>
      <xdr:spPr bwMode="auto">
        <a:xfrm>
          <a:off x="13491942" y="2914231"/>
          <a:ext cx="1408176" cy="502920"/>
        </a:xfrm>
        <a:prstGeom prst="roundRect">
          <a:avLst>
            <a:gd name="adj" fmla="val 16667"/>
          </a:avLst>
        </a:prstGeom>
        <a:solidFill>
          <a:schemeClr val="accent4"/>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grass_supply_n</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uilt-up land Footprint summary"/>
          <a:extLst>
            <a:ext uri="{FF2B5EF4-FFF2-40B4-BE49-F238E27FC236}">
              <a16:creationId xmlns:a16="http://schemas.microsoft.com/office/drawing/2014/main" id="{00000000-0008-0000-3A00-000003000000}"/>
            </a:ext>
          </a:extLst>
        </xdr:cNvPr>
        <xdr:cNvSpPr>
          <a:spLocks noChangeArrowheads="1"/>
        </xdr:cNvSpPr>
      </xdr:nvSpPr>
      <xdr:spPr bwMode="auto">
        <a:xfrm>
          <a:off x="1881204" y="142876"/>
          <a:ext cx="1142204" cy="366712"/>
        </a:xfrm>
        <a:prstGeom prst="roundRect">
          <a:avLst>
            <a:gd name="adj" fmla="val 16667"/>
          </a:avLst>
        </a:prstGeom>
        <a:solidFill>
          <a:schemeClr val="accent3"/>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ef_built</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A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B00-000003000000}"/>
            </a:ext>
          </a:extLst>
        </xdr:cNvPr>
        <xdr:cNvSpPr>
          <a:spLocks noChangeArrowheads="1"/>
        </xdr:cNvSpPr>
      </xdr:nvSpPr>
      <xdr:spPr bwMode="auto">
        <a:xfrm>
          <a:off x="1881204" y="142876"/>
          <a:ext cx="1142204" cy="366712"/>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B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C00-000003000000}"/>
            </a:ext>
          </a:extLst>
        </xdr:cNvPr>
        <xdr:cNvSpPr>
          <a:spLocks noChangeArrowheads="1"/>
        </xdr:cNvSpPr>
      </xdr:nvSpPr>
      <xdr:spPr bwMode="auto">
        <a:xfrm>
          <a:off x="1881204" y="142876"/>
          <a:ext cx="1142204" cy="366712"/>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C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2" name="AutoShape 9">
          <a:hlinkClick xmlns:r="http://schemas.openxmlformats.org/officeDocument/2006/relationships" r:id="rId1" tooltip="Go to biocapacity summary"/>
          <a:extLst>
            <a:ext uri="{FF2B5EF4-FFF2-40B4-BE49-F238E27FC236}">
              <a16:creationId xmlns:a16="http://schemas.microsoft.com/office/drawing/2014/main" id="{00000000-0008-0000-3D00-000002000000}"/>
            </a:ext>
          </a:extLst>
        </xdr:cNvPr>
        <xdr:cNvSpPr>
          <a:spLocks noChangeArrowheads="1"/>
        </xdr:cNvSpPr>
      </xdr:nvSpPr>
      <xdr:spPr bwMode="auto">
        <a:xfrm>
          <a:off x="1881204" y="142876"/>
          <a:ext cx="1142204" cy="366712"/>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3" name="AutoShape 12">
          <a:hlinkClick xmlns:r="http://schemas.openxmlformats.org/officeDocument/2006/relationships" r:id="rId2" tooltip="Go to summary sheet"/>
          <a:extLst>
            <a:ext uri="{FF2B5EF4-FFF2-40B4-BE49-F238E27FC236}">
              <a16:creationId xmlns:a16="http://schemas.microsoft.com/office/drawing/2014/main" id="{00000000-0008-0000-3D00-000003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1881204</xdr:colOff>
      <xdr:row>0</xdr:row>
      <xdr:rowOff>142876</xdr:rowOff>
    </xdr:from>
    <xdr:to>
      <xdr:col>0</xdr:col>
      <xdr:colOff>3023408</xdr:colOff>
      <xdr:row>3</xdr:row>
      <xdr:rowOff>23813</xdr:rowOff>
    </xdr:to>
    <xdr:sp macro="" textlink="">
      <xdr:nvSpPr>
        <xdr:cNvPr id="3" name="AutoShape 9">
          <a:hlinkClick xmlns:r="http://schemas.openxmlformats.org/officeDocument/2006/relationships" r:id="rId1" tooltip="Go to biocapacity summary"/>
          <a:extLst>
            <a:ext uri="{FF2B5EF4-FFF2-40B4-BE49-F238E27FC236}">
              <a16:creationId xmlns:a16="http://schemas.microsoft.com/office/drawing/2014/main" id="{00000000-0008-0000-3E00-000003000000}"/>
            </a:ext>
          </a:extLst>
        </xdr:cNvPr>
        <xdr:cNvSpPr>
          <a:spLocks noChangeArrowheads="1"/>
        </xdr:cNvSpPr>
      </xdr:nvSpPr>
      <xdr:spPr bwMode="auto">
        <a:xfrm>
          <a:off x="1881204" y="142876"/>
          <a:ext cx="1142204" cy="366712"/>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2" tooltip="Go to summary sheet"/>
          <a:extLst>
            <a:ext uri="{FF2B5EF4-FFF2-40B4-BE49-F238E27FC236}">
              <a16:creationId xmlns:a16="http://schemas.microsoft.com/office/drawing/2014/main" id="{00000000-0008-0000-3E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325532</xdr:colOff>
      <xdr:row>0</xdr:row>
      <xdr:rowOff>145676</xdr:rowOff>
    </xdr:from>
    <xdr:to>
      <xdr:col>1</xdr:col>
      <xdr:colOff>472329</xdr:colOff>
      <xdr:row>3</xdr:row>
      <xdr:rowOff>31657</xdr:rowOff>
    </xdr:to>
    <xdr:sp macro="" textlink="">
      <xdr:nvSpPr>
        <xdr:cNvPr id="2" name="AutoShape 12">
          <a:hlinkClick xmlns:r="http://schemas.openxmlformats.org/officeDocument/2006/relationships" r:id="rId1" tooltip="Go to summary sheet"/>
          <a:extLst>
            <a:ext uri="{FF2B5EF4-FFF2-40B4-BE49-F238E27FC236}">
              <a16:creationId xmlns:a16="http://schemas.microsoft.com/office/drawing/2014/main" id="{00000000-0008-0000-3F00-000002000000}"/>
            </a:ext>
          </a:extLst>
        </xdr:cNvPr>
        <xdr:cNvSpPr>
          <a:spLocks noChangeArrowheads="1"/>
        </xdr:cNvSpPr>
      </xdr:nvSpPr>
      <xdr:spPr bwMode="auto">
        <a:xfrm>
          <a:off x="325532" y="145676"/>
          <a:ext cx="1042147" cy="371756"/>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twoCellAnchor>
    <xdr:from>
      <xdr:col>1</xdr:col>
      <xdr:colOff>662266</xdr:colOff>
      <xdr:row>0</xdr:row>
      <xdr:rowOff>142875</xdr:rowOff>
    </xdr:from>
    <xdr:to>
      <xdr:col>1</xdr:col>
      <xdr:colOff>1566345</xdr:colOff>
      <xdr:row>3</xdr:row>
      <xdr:rowOff>23812</xdr:rowOff>
    </xdr:to>
    <xdr:sp macro="" textlink="">
      <xdr:nvSpPr>
        <xdr:cNvPr id="3" name="AutoShape 9">
          <a:hlinkClick xmlns:r="http://schemas.openxmlformats.org/officeDocument/2006/relationships" r:id="rId2" tooltip="Go to biocapacity summary"/>
          <a:extLst>
            <a:ext uri="{FF2B5EF4-FFF2-40B4-BE49-F238E27FC236}">
              <a16:creationId xmlns:a16="http://schemas.microsoft.com/office/drawing/2014/main" id="{00000000-0008-0000-3F00-000003000000}"/>
            </a:ext>
          </a:extLst>
        </xdr:cNvPr>
        <xdr:cNvSpPr>
          <a:spLocks noChangeArrowheads="1"/>
        </xdr:cNvSpPr>
      </xdr:nvSpPr>
      <xdr:spPr bwMode="auto">
        <a:xfrm>
          <a:off x="1557616" y="142875"/>
          <a:ext cx="904079" cy="366712"/>
        </a:xfrm>
        <a:prstGeom prst="roundRect">
          <a:avLst>
            <a:gd name="adj" fmla="val 16667"/>
          </a:avLst>
        </a:prstGeom>
        <a:solidFill>
          <a:srgbClr val="7030A0"/>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solidFill>
                <a:schemeClr val="bg1"/>
              </a:solidFill>
            </a:rPr>
            <a:t>biocap</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361950</xdr:colOff>
      <xdr:row>0</xdr:row>
      <xdr:rowOff>142875</xdr:rowOff>
    </xdr:from>
    <xdr:to>
      <xdr:col>0</xdr:col>
      <xdr:colOff>1504950</xdr:colOff>
      <xdr:row>3</xdr:row>
      <xdr:rowOff>23813</xdr:rowOff>
    </xdr:to>
    <xdr:sp macro="" textlink="">
      <xdr:nvSpPr>
        <xdr:cNvPr id="4" name="AutoShape 12">
          <a:hlinkClick xmlns:r="http://schemas.openxmlformats.org/officeDocument/2006/relationships" r:id="rId1" tooltip="Go to summary sheet"/>
          <a:extLst>
            <a:ext uri="{FF2B5EF4-FFF2-40B4-BE49-F238E27FC236}">
              <a16:creationId xmlns:a16="http://schemas.microsoft.com/office/drawing/2014/main" id="{00000000-0008-0000-4000-000004000000}"/>
            </a:ext>
          </a:extLst>
        </xdr:cNvPr>
        <xdr:cNvSpPr>
          <a:spLocks noChangeArrowheads="1"/>
        </xdr:cNvSpPr>
      </xdr:nvSpPr>
      <xdr:spPr bwMode="auto">
        <a:xfrm>
          <a:off x="361950" y="142875"/>
          <a:ext cx="1143000" cy="366713"/>
        </a:xfrm>
        <a:prstGeom prst="roundRect">
          <a:avLst>
            <a:gd name="adj" fmla="val 16667"/>
          </a:avLst>
        </a:prstGeom>
        <a:solidFill>
          <a:srgbClr val="CCFFCC"/>
        </a:solidFill>
        <a:ln w="9525">
          <a:solidFill>
            <a:schemeClr val="tx1"/>
          </a:solidFill>
          <a:round/>
          <a:headEnd/>
          <a:tailEnd/>
        </a:ln>
        <a:effectLst/>
        <a:scene3d>
          <a:camera prst="orthographicFront"/>
          <a:lightRig rig="sof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b="1"/>
            <a:t>summary</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733425</xdr:colOff>
      <xdr:row>34</xdr:row>
      <xdr:rowOff>123825</xdr:rowOff>
    </xdr:to>
    <xdr:graphicFrame macro="">
      <xdr:nvGraphicFramePr>
        <xdr:cNvPr id="3511084" name="Chart 5">
          <a:extLst>
            <a:ext uri="{FF2B5EF4-FFF2-40B4-BE49-F238E27FC236}">
              <a16:creationId xmlns:a16="http://schemas.microsoft.com/office/drawing/2014/main" id="{00000000-0008-0000-0500-00002C933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11210</xdr:colOff>
      <xdr:row>3</xdr:row>
      <xdr:rowOff>64995</xdr:rowOff>
    </xdr:from>
    <xdr:to>
      <xdr:col>6</xdr:col>
      <xdr:colOff>149087</xdr:colOff>
      <xdr:row>3</xdr:row>
      <xdr:rowOff>66261</xdr:rowOff>
    </xdr:to>
    <xdr:cxnSp macro="">
      <xdr:nvCxnSpPr>
        <xdr:cNvPr id="3511085" name="Straight Connector 36">
          <a:extLst>
            <a:ext uri="{FF2B5EF4-FFF2-40B4-BE49-F238E27FC236}">
              <a16:creationId xmlns:a16="http://schemas.microsoft.com/office/drawing/2014/main" id="{00000000-0008-0000-0500-00002D933500}"/>
            </a:ext>
          </a:extLst>
        </xdr:cNvPr>
        <xdr:cNvCxnSpPr>
          <a:cxnSpLocks noChangeShapeType="1"/>
        </xdr:cNvCxnSpPr>
      </xdr:nvCxnSpPr>
      <xdr:spPr bwMode="auto">
        <a:xfrm flipH="1" flipV="1">
          <a:off x="7697471" y="578517"/>
          <a:ext cx="1454812" cy="1266"/>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5</xdr:row>
      <xdr:rowOff>57151</xdr:rowOff>
    </xdr:from>
    <xdr:to>
      <xdr:col>6</xdr:col>
      <xdr:colOff>40821</xdr:colOff>
      <xdr:row>12</xdr:row>
      <xdr:rowOff>27214</xdr:rowOff>
    </xdr:to>
    <xdr:cxnSp macro="">
      <xdr:nvCxnSpPr>
        <xdr:cNvPr id="3511087" name="Straight Connector 40">
          <a:extLst>
            <a:ext uri="{FF2B5EF4-FFF2-40B4-BE49-F238E27FC236}">
              <a16:creationId xmlns:a16="http://schemas.microsoft.com/office/drawing/2014/main" id="{00000000-0008-0000-0500-00002F933500}"/>
            </a:ext>
          </a:extLst>
        </xdr:cNvPr>
        <xdr:cNvCxnSpPr>
          <a:cxnSpLocks noChangeShapeType="1"/>
        </xdr:cNvCxnSpPr>
      </xdr:nvCxnSpPr>
      <xdr:spPr bwMode="auto">
        <a:xfrm flipH="1" flipV="1">
          <a:off x="7697561" y="887187"/>
          <a:ext cx="1351189" cy="1113063"/>
        </a:xfrm>
        <a:prstGeom prst="line">
          <a:avLst/>
        </a:prstGeom>
        <a:noFill/>
        <a:ln w="9525" algn="ctr">
          <a:solidFill>
            <a:srgbClr val="000000"/>
          </a:solidFill>
          <a:round/>
          <a:headEnd/>
          <a:tailEnd type="triangle" w="med" len="med"/>
        </a:ln>
      </xdr:spPr>
    </xdr:cxnSp>
    <xdr:clientData/>
  </xdr:twoCellAnchor>
  <xdr:twoCellAnchor>
    <xdr:from>
      <xdr:col>5</xdr:col>
      <xdr:colOff>1221443</xdr:colOff>
      <xdr:row>1</xdr:row>
      <xdr:rowOff>80683</xdr:rowOff>
    </xdr:from>
    <xdr:to>
      <xdr:col>8</xdr:col>
      <xdr:colOff>94554</xdr:colOff>
      <xdr:row>4</xdr:row>
      <xdr:rowOff>103097</xdr:rowOff>
    </xdr:to>
    <xdr:sp macro="" textlink="">
      <xdr:nvSpPr>
        <xdr:cNvPr id="64" name="AutoShape 19">
          <a:hlinkClick xmlns:r="http://schemas.openxmlformats.org/officeDocument/2006/relationships" r:id="rId2" tooltip="Go to fish_marine_efp"/>
          <a:extLst>
            <a:ext uri="{FF2B5EF4-FFF2-40B4-BE49-F238E27FC236}">
              <a16:creationId xmlns:a16="http://schemas.microsoft.com/office/drawing/2014/main" id="{00000000-0008-0000-0500-000040000000}"/>
            </a:ext>
          </a:extLst>
        </xdr:cNvPr>
        <xdr:cNvSpPr>
          <a:spLocks noChangeArrowheads="1"/>
        </xdr:cNvSpPr>
      </xdr:nvSpPr>
      <xdr:spPr bwMode="auto">
        <a:xfrm>
          <a:off x="8908678" y="259977"/>
          <a:ext cx="1394435" cy="493061"/>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fish_efp</a:t>
          </a:r>
        </a:p>
      </xdr:txBody>
    </xdr:sp>
    <xdr:clientData/>
  </xdr:twoCellAnchor>
  <xdr:twoCellAnchor>
    <xdr:from>
      <xdr:col>5</xdr:col>
      <xdr:colOff>1250497</xdr:colOff>
      <xdr:row>10</xdr:row>
      <xdr:rowOff>45837</xdr:rowOff>
    </xdr:from>
    <xdr:to>
      <xdr:col>8</xdr:col>
      <xdr:colOff>120247</xdr:colOff>
      <xdr:row>13</xdr:row>
      <xdr:rowOff>64889</xdr:rowOff>
    </xdr:to>
    <xdr:sp macro="" textlink="">
      <xdr:nvSpPr>
        <xdr:cNvPr id="66" name="AutoShape 21">
          <a:hlinkClick xmlns:r="http://schemas.openxmlformats.org/officeDocument/2006/relationships" r:id="rId3" tooltip="Go to fish_commodity_efi"/>
          <a:extLst>
            <a:ext uri="{FF2B5EF4-FFF2-40B4-BE49-F238E27FC236}">
              <a16:creationId xmlns:a16="http://schemas.microsoft.com/office/drawing/2014/main" id="{00000000-0008-0000-0500-000042000000}"/>
            </a:ext>
          </a:extLst>
        </xdr:cNvPr>
        <xdr:cNvSpPr>
          <a:spLocks noChangeArrowheads="1"/>
        </xdr:cNvSpPr>
      </xdr:nvSpPr>
      <xdr:spPr bwMode="auto">
        <a:xfrm>
          <a:off x="8938533" y="1692301"/>
          <a:ext cx="1414285" cy="508909"/>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fish_efi_efe</a:t>
          </a:r>
        </a:p>
      </xdr:txBody>
    </xdr:sp>
    <xdr:clientData/>
  </xdr:twoCellAnchor>
  <xdr:twoCellAnchor>
    <xdr:from>
      <xdr:col>10</xdr:col>
      <xdr:colOff>123856</xdr:colOff>
      <xdr:row>12</xdr:row>
      <xdr:rowOff>42900</xdr:rowOff>
    </xdr:from>
    <xdr:to>
      <xdr:col>12</xdr:col>
      <xdr:colOff>308056</xdr:colOff>
      <xdr:row>15</xdr:row>
      <xdr:rowOff>61952</xdr:rowOff>
    </xdr:to>
    <xdr:sp macro="" textlink="">
      <xdr:nvSpPr>
        <xdr:cNvPr id="68" name="AutoShape 27">
          <a:hlinkClick xmlns:r="http://schemas.openxmlformats.org/officeDocument/2006/relationships" r:id="rId4" tooltip="Go to fish_commodity_yield_n"/>
          <a:extLst>
            <a:ext uri="{FF2B5EF4-FFF2-40B4-BE49-F238E27FC236}">
              <a16:creationId xmlns:a16="http://schemas.microsoft.com/office/drawing/2014/main" id="{00000000-0008-0000-0500-000044000000}"/>
            </a:ext>
          </a:extLst>
        </xdr:cNvPr>
        <xdr:cNvSpPr>
          <a:spLocks noChangeArrowheads="1"/>
        </xdr:cNvSpPr>
      </xdr:nvSpPr>
      <xdr:spPr bwMode="auto">
        <a:xfrm>
          <a:off x="13249306" y="3567150"/>
          <a:ext cx="1403400" cy="504827"/>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fish_commodity_</a:t>
          </a:r>
        </a:p>
        <a:p>
          <a:r>
            <a:rPr lang="en-US" sz="1000">
              <a:solidFill>
                <a:schemeClr val="bg1"/>
              </a:solidFill>
            </a:rPr>
            <a:t>yield_n</a:t>
          </a:r>
        </a:p>
      </xdr:txBody>
    </xdr:sp>
    <xdr:clientData/>
  </xdr:twoCellAnchor>
  <xdr:twoCellAnchor>
    <xdr:from>
      <xdr:col>13</xdr:col>
      <xdr:colOff>474736</xdr:colOff>
      <xdr:row>43</xdr:row>
      <xdr:rowOff>101626</xdr:rowOff>
    </xdr:from>
    <xdr:to>
      <xdr:col>16</xdr:col>
      <xdr:colOff>49336</xdr:colOff>
      <xdr:row>46</xdr:row>
      <xdr:rowOff>120678</xdr:rowOff>
    </xdr:to>
    <xdr:sp macro="" textlink="">
      <xdr:nvSpPr>
        <xdr:cNvPr id="73" name="AutoShape 41">
          <a:hlinkClick xmlns:r="http://schemas.openxmlformats.org/officeDocument/2006/relationships" r:id="rId5" tooltip="Go to eqf"/>
          <a:extLst>
            <a:ext uri="{FF2B5EF4-FFF2-40B4-BE49-F238E27FC236}">
              <a16:creationId xmlns:a16="http://schemas.microsoft.com/office/drawing/2014/main" id="{00000000-0008-0000-0500-000049000000}"/>
            </a:ext>
          </a:extLst>
        </xdr:cNvPr>
        <xdr:cNvSpPr>
          <a:spLocks noChangeArrowheads="1"/>
        </xdr:cNvSpPr>
      </xdr:nvSpPr>
      <xdr:spPr bwMode="auto">
        <a:xfrm>
          <a:off x="16019536" y="2187601"/>
          <a:ext cx="1403400"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twoCellAnchor>
    <xdr:from>
      <xdr:col>13</xdr:col>
      <xdr:colOff>465211</xdr:colOff>
      <xdr:row>39</xdr:row>
      <xdr:rowOff>92116</xdr:rowOff>
    </xdr:from>
    <xdr:to>
      <xdr:col>16</xdr:col>
      <xdr:colOff>39811</xdr:colOff>
      <xdr:row>42</xdr:row>
      <xdr:rowOff>111168</xdr:rowOff>
    </xdr:to>
    <xdr:sp macro="" textlink="">
      <xdr:nvSpPr>
        <xdr:cNvPr id="74" name="AutoShape 43">
          <a:hlinkClick xmlns:r="http://schemas.openxmlformats.org/officeDocument/2006/relationships" r:id="rId6" tooltip="Go to cnst_fish"/>
          <a:extLst>
            <a:ext uri="{FF2B5EF4-FFF2-40B4-BE49-F238E27FC236}">
              <a16:creationId xmlns:a16="http://schemas.microsoft.com/office/drawing/2014/main" id="{00000000-0008-0000-0500-00004A000000}"/>
            </a:ext>
          </a:extLst>
        </xdr:cNvPr>
        <xdr:cNvSpPr>
          <a:spLocks noChangeArrowheads="1"/>
        </xdr:cNvSpPr>
      </xdr:nvSpPr>
      <xdr:spPr bwMode="auto">
        <a:xfrm>
          <a:off x="16019536" y="3568741"/>
          <a:ext cx="1403400"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cnst_fish</a:t>
          </a:r>
        </a:p>
      </xdr:txBody>
    </xdr:sp>
    <xdr:clientData/>
  </xdr:twoCellAnchor>
  <xdr:twoCellAnchor>
    <xdr:from>
      <xdr:col>10</xdr:col>
      <xdr:colOff>122280</xdr:colOff>
      <xdr:row>7</xdr:row>
      <xdr:rowOff>82576</xdr:rowOff>
    </xdr:from>
    <xdr:to>
      <xdr:col>12</xdr:col>
      <xdr:colOff>306480</xdr:colOff>
      <xdr:row>10</xdr:row>
      <xdr:rowOff>101628</xdr:rowOff>
    </xdr:to>
    <xdr:sp macro="" textlink="">
      <xdr:nvSpPr>
        <xdr:cNvPr id="83" name="AutoShape 27">
          <a:hlinkClick xmlns:r="http://schemas.openxmlformats.org/officeDocument/2006/relationships" r:id="rId7" tooltip="Go to fish_group_yield_n"/>
          <a:extLst>
            <a:ext uri="{FF2B5EF4-FFF2-40B4-BE49-F238E27FC236}">
              <a16:creationId xmlns:a16="http://schemas.microsoft.com/office/drawing/2014/main" id="{00000000-0008-0000-0500-000053000000}"/>
            </a:ext>
          </a:extLst>
        </xdr:cNvPr>
        <xdr:cNvSpPr>
          <a:spLocks noChangeArrowheads="1"/>
        </xdr:cNvSpPr>
      </xdr:nvSpPr>
      <xdr:spPr bwMode="auto">
        <a:xfrm>
          <a:off x="13257255" y="2187601"/>
          <a:ext cx="1403400" cy="504827"/>
        </a:xfrm>
        <a:prstGeom prst="roundRect">
          <a:avLst>
            <a:gd name="adj" fmla="val 16667"/>
          </a:avLst>
        </a:prstGeom>
        <a:solidFill>
          <a:schemeClr val="accent1"/>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fish_group_</a:t>
          </a:r>
        </a:p>
        <a:p>
          <a:r>
            <a:rPr lang="en-US" sz="1000">
              <a:solidFill>
                <a:schemeClr val="bg1"/>
              </a:solidFill>
            </a:rPr>
            <a:t>yield_n</a:t>
          </a:r>
        </a:p>
      </xdr:txBody>
    </xdr:sp>
    <xdr:clientData/>
  </xdr:twoCellAnchor>
  <xdr:twoCellAnchor>
    <xdr:from>
      <xdr:col>10</xdr:col>
      <xdr:colOff>104775</xdr:colOff>
      <xdr:row>33</xdr:row>
      <xdr:rowOff>114300</xdr:rowOff>
    </xdr:from>
    <xdr:to>
      <xdr:col>12</xdr:col>
      <xdr:colOff>285750</xdr:colOff>
      <xdr:row>36</xdr:row>
      <xdr:rowOff>133350</xdr:rowOff>
    </xdr:to>
    <xdr:sp macro="" textlink="">
      <xdr:nvSpPr>
        <xdr:cNvPr id="672630" name="AutoShape 886">
          <a:hlinkClick xmlns:r="http://schemas.openxmlformats.org/officeDocument/2006/relationships" r:id="rId8" tooltip="Go to fish_feed_group_yield_w"/>
          <a:extLst>
            <a:ext uri="{FF2B5EF4-FFF2-40B4-BE49-F238E27FC236}">
              <a16:creationId xmlns:a16="http://schemas.microsoft.com/office/drawing/2014/main" id="{00000000-0008-0000-0500-000076430A00}"/>
            </a:ext>
          </a:extLst>
        </xdr:cNvPr>
        <xdr:cNvSpPr>
          <a:spLocks noChangeArrowheads="1"/>
        </xdr:cNvSpPr>
      </xdr:nvSpPr>
      <xdr:spPr bwMode="auto">
        <a:xfrm>
          <a:off x="14859000" y="547687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fish_feed_group_yield_w</a:t>
          </a:r>
        </a:p>
      </xdr:txBody>
    </xdr:sp>
    <xdr:clientData/>
  </xdr:twoCellAnchor>
  <xdr:twoCellAnchor>
    <xdr:from>
      <xdr:col>10</xdr:col>
      <xdr:colOff>104775</xdr:colOff>
      <xdr:row>29</xdr:row>
      <xdr:rowOff>0</xdr:rowOff>
    </xdr:from>
    <xdr:to>
      <xdr:col>12</xdr:col>
      <xdr:colOff>285750</xdr:colOff>
      <xdr:row>32</xdr:row>
      <xdr:rowOff>19050</xdr:rowOff>
    </xdr:to>
    <xdr:sp macro="" textlink="">
      <xdr:nvSpPr>
        <xdr:cNvPr id="672631" name="AutoShape 887">
          <a:hlinkClick xmlns:r="http://schemas.openxmlformats.org/officeDocument/2006/relationships" r:id="rId9" tooltip="Go to fish_feed_group_yield_n"/>
          <a:extLst>
            <a:ext uri="{FF2B5EF4-FFF2-40B4-BE49-F238E27FC236}">
              <a16:creationId xmlns:a16="http://schemas.microsoft.com/office/drawing/2014/main" id="{00000000-0008-0000-0500-000077430A00}"/>
            </a:ext>
          </a:extLst>
        </xdr:cNvPr>
        <xdr:cNvSpPr>
          <a:spLocks noChangeArrowheads="1"/>
        </xdr:cNvSpPr>
      </xdr:nvSpPr>
      <xdr:spPr bwMode="auto">
        <a:xfrm>
          <a:off x="14859000" y="471487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fish_feed_group_yield_n</a:t>
          </a:r>
        </a:p>
      </xdr:txBody>
    </xdr:sp>
    <xdr:clientData/>
  </xdr:twoCellAnchor>
  <xdr:twoCellAnchor>
    <xdr:from>
      <xdr:col>10</xdr:col>
      <xdr:colOff>104775</xdr:colOff>
      <xdr:row>19</xdr:row>
      <xdr:rowOff>133350</xdr:rowOff>
    </xdr:from>
    <xdr:to>
      <xdr:col>12</xdr:col>
      <xdr:colOff>285750</xdr:colOff>
      <xdr:row>22</xdr:row>
      <xdr:rowOff>152400</xdr:rowOff>
    </xdr:to>
    <xdr:sp macro="" textlink="">
      <xdr:nvSpPr>
        <xdr:cNvPr id="672632" name="AutoShape 888">
          <a:hlinkClick xmlns:r="http://schemas.openxmlformats.org/officeDocument/2006/relationships" r:id="rId10" tooltip="Go to fish_group_yield_w"/>
          <a:extLst>
            <a:ext uri="{FF2B5EF4-FFF2-40B4-BE49-F238E27FC236}">
              <a16:creationId xmlns:a16="http://schemas.microsoft.com/office/drawing/2014/main" id="{00000000-0008-0000-0500-000078430A00}"/>
            </a:ext>
          </a:extLst>
        </xdr:cNvPr>
        <xdr:cNvSpPr>
          <a:spLocks noChangeArrowheads="1"/>
        </xdr:cNvSpPr>
      </xdr:nvSpPr>
      <xdr:spPr bwMode="auto">
        <a:xfrm>
          <a:off x="14859000" y="322897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fish_group_yield_w</a:t>
          </a:r>
        </a:p>
      </xdr:txBody>
    </xdr:sp>
    <xdr:clientData/>
  </xdr:twoCellAnchor>
  <xdr:twoCellAnchor>
    <xdr:from>
      <xdr:col>10</xdr:col>
      <xdr:colOff>104775</xdr:colOff>
      <xdr:row>38</xdr:row>
      <xdr:rowOff>9525</xdr:rowOff>
    </xdr:from>
    <xdr:to>
      <xdr:col>12</xdr:col>
      <xdr:colOff>285750</xdr:colOff>
      <xdr:row>41</xdr:row>
      <xdr:rowOff>28575</xdr:rowOff>
    </xdr:to>
    <xdr:sp macro="" textlink="">
      <xdr:nvSpPr>
        <xdr:cNvPr id="672633" name="AutoShape 889">
          <a:hlinkClick xmlns:r="http://schemas.openxmlformats.org/officeDocument/2006/relationships" r:id="rId11" tooltip="Go to fishmeal_fishes"/>
          <a:extLst>
            <a:ext uri="{FF2B5EF4-FFF2-40B4-BE49-F238E27FC236}">
              <a16:creationId xmlns:a16="http://schemas.microsoft.com/office/drawing/2014/main" id="{00000000-0008-0000-0500-000079430A00}"/>
            </a:ext>
          </a:extLst>
        </xdr:cNvPr>
        <xdr:cNvSpPr>
          <a:spLocks noChangeArrowheads="1"/>
        </xdr:cNvSpPr>
      </xdr:nvSpPr>
      <xdr:spPr bwMode="auto">
        <a:xfrm>
          <a:off x="14859000" y="618172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fishmeal_fishes</a:t>
          </a:r>
        </a:p>
      </xdr:txBody>
    </xdr:sp>
    <xdr:clientData/>
  </xdr:twoCellAnchor>
  <xdr:twoCellAnchor>
    <xdr:from>
      <xdr:col>10</xdr:col>
      <xdr:colOff>104775</xdr:colOff>
      <xdr:row>24</xdr:row>
      <xdr:rowOff>85725</xdr:rowOff>
    </xdr:from>
    <xdr:to>
      <xdr:col>12</xdr:col>
      <xdr:colOff>285750</xdr:colOff>
      <xdr:row>27</xdr:row>
      <xdr:rowOff>104775</xdr:rowOff>
    </xdr:to>
    <xdr:sp macro="" textlink="">
      <xdr:nvSpPr>
        <xdr:cNvPr id="672634" name="AutoShape 890">
          <a:hlinkClick xmlns:r="http://schemas.openxmlformats.org/officeDocument/2006/relationships" r:id="rId12" tooltip="Go to aquaculture_yields"/>
          <a:extLst>
            <a:ext uri="{FF2B5EF4-FFF2-40B4-BE49-F238E27FC236}">
              <a16:creationId xmlns:a16="http://schemas.microsoft.com/office/drawing/2014/main" id="{00000000-0008-0000-0500-00007A430A00}"/>
            </a:ext>
          </a:extLst>
        </xdr:cNvPr>
        <xdr:cNvSpPr>
          <a:spLocks noChangeArrowheads="1"/>
        </xdr:cNvSpPr>
      </xdr:nvSpPr>
      <xdr:spPr bwMode="auto">
        <a:xfrm>
          <a:off x="14859000" y="399097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aquaculture_yields</a:t>
          </a:r>
        </a:p>
      </xdr:txBody>
    </xdr:sp>
    <xdr:clientData/>
  </xdr:twoCellAnchor>
  <xdr:twoCellAnchor>
    <xdr:from>
      <xdr:col>13</xdr:col>
      <xdr:colOff>466725</xdr:colOff>
      <xdr:row>29</xdr:row>
      <xdr:rowOff>57150</xdr:rowOff>
    </xdr:from>
    <xdr:to>
      <xdr:col>16</xdr:col>
      <xdr:colOff>38100</xdr:colOff>
      <xdr:row>32</xdr:row>
      <xdr:rowOff>76200</xdr:rowOff>
    </xdr:to>
    <xdr:sp macro="" textlink="">
      <xdr:nvSpPr>
        <xdr:cNvPr id="672636" name="AutoShape 892">
          <a:hlinkClick xmlns:r="http://schemas.openxmlformats.org/officeDocument/2006/relationships" r:id="rId13" tooltip="Go to aquaculture_production_w"/>
          <a:extLst>
            <a:ext uri="{FF2B5EF4-FFF2-40B4-BE49-F238E27FC236}">
              <a16:creationId xmlns:a16="http://schemas.microsoft.com/office/drawing/2014/main" id="{00000000-0008-0000-0500-00007C430A00}"/>
            </a:ext>
          </a:extLst>
        </xdr:cNvPr>
        <xdr:cNvSpPr>
          <a:spLocks noChangeArrowheads="1"/>
        </xdr:cNvSpPr>
      </xdr:nvSpPr>
      <xdr:spPr bwMode="auto">
        <a:xfrm>
          <a:off x="18878550" y="477202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aquaculture_production_w</a:t>
          </a:r>
        </a:p>
      </xdr:txBody>
    </xdr:sp>
    <xdr:clientData/>
  </xdr:twoCellAnchor>
  <xdr:twoCellAnchor>
    <xdr:from>
      <xdr:col>13</xdr:col>
      <xdr:colOff>466725</xdr:colOff>
      <xdr:row>25</xdr:row>
      <xdr:rowOff>76200</xdr:rowOff>
    </xdr:from>
    <xdr:to>
      <xdr:col>16</xdr:col>
      <xdr:colOff>38100</xdr:colOff>
      <xdr:row>28</xdr:row>
      <xdr:rowOff>95250</xdr:rowOff>
    </xdr:to>
    <xdr:sp macro="" textlink="">
      <xdr:nvSpPr>
        <xdr:cNvPr id="672637" name="AutoShape 893">
          <a:hlinkClick xmlns:r="http://schemas.openxmlformats.org/officeDocument/2006/relationships" r:id="rId14" tooltip="Go to aquaculture_production_n"/>
          <a:extLst>
            <a:ext uri="{FF2B5EF4-FFF2-40B4-BE49-F238E27FC236}">
              <a16:creationId xmlns:a16="http://schemas.microsoft.com/office/drawing/2014/main" id="{00000000-0008-0000-0500-00007D430A00}"/>
            </a:ext>
          </a:extLst>
        </xdr:cNvPr>
        <xdr:cNvSpPr>
          <a:spLocks noChangeArrowheads="1"/>
        </xdr:cNvSpPr>
      </xdr:nvSpPr>
      <xdr:spPr bwMode="auto">
        <a:xfrm>
          <a:off x="18878550" y="4143375"/>
          <a:ext cx="1400175" cy="504825"/>
        </a:xfrm>
        <a:prstGeom prst="flowChartAlternateProcess">
          <a:avLst/>
        </a:prstGeom>
        <a:solidFill>
          <a:schemeClr val="accent1"/>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aquaculture_production_n</a:t>
          </a:r>
        </a:p>
      </xdr:txBody>
    </xdr:sp>
    <xdr:clientData/>
  </xdr:twoCellAnchor>
  <xdr:twoCellAnchor>
    <xdr:from>
      <xdr:col>13</xdr:col>
      <xdr:colOff>484261</xdr:colOff>
      <xdr:row>47</xdr:row>
      <xdr:rowOff>120676</xdr:rowOff>
    </xdr:from>
    <xdr:to>
      <xdr:col>16</xdr:col>
      <xdr:colOff>58861</xdr:colOff>
      <xdr:row>50</xdr:row>
      <xdr:rowOff>139728</xdr:rowOff>
    </xdr:to>
    <xdr:sp macro="" textlink="">
      <xdr:nvSpPr>
        <xdr:cNvPr id="2" name="AutoShape 41">
          <a:hlinkClick xmlns:r="http://schemas.openxmlformats.org/officeDocument/2006/relationships" r:id="rId15" tooltip="Go to yf"/>
          <a:extLst>
            <a:ext uri="{FF2B5EF4-FFF2-40B4-BE49-F238E27FC236}">
              <a16:creationId xmlns:a16="http://schemas.microsoft.com/office/drawing/2014/main" id="{00000000-0008-0000-0500-000002000000}"/>
            </a:ext>
          </a:extLst>
        </xdr:cNvPr>
        <xdr:cNvSpPr>
          <a:spLocks noChangeArrowheads="1"/>
        </xdr:cNvSpPr>
      </xdr:nvSpPr>
      <xdr:spPr bwMode="auto">
        <a:xfrm>
          <a:off x="16019536" y="2187601"/>
          <a:ext cx="1403400" cy="504827"/>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p>
          <a:pPr algn="ctr" rtl="0">
            <a:defRPr sz="1000"/>
          </a:pPr>
          <a:r>
            <a:rPr lang="en-US" sz="1000" b="0" i="0" u="none" strike="noStrike" baseline="0">
              <a:solidFill>
                <a:srgbClr val="FFFFFF"/>
              </a:solidFill>
              <a:latin typeface="Arial"/>
              <a:cs typeface="Arial"/>
            </a:rPr>
            <a:t>yf</a:t>
          </a:r>
        </a:p>
      </xdr:txBody>
    </xdr:sp>
    <xdr:clientData/>
  </xdr:twoCellAnchor>
  <xdr:twoCellAnchor>
    <xdr:from>
      <xdr:col>8</xdr:col>
      <xdr:colOff>120247</xdr:colOff>
      <xdr:row>11</xdr:row>
      <xdr:rowOff>137006</xdr:rowOff>
    </xdr:from>
    <xdr:to>
      <xdr:col>10</xdr:col>
      <xdr:colOff>123856</xdr:colOff>
      <xdr:row>13</xdr:row>
      <xdr:rowOff>134070</xdr:rowOff>
    </xdr:to>
    <xdr:cxnSp macro="">
      <xdr:nvCxnSpPr>
        <xdr:cNvPr id="3511120" name="AutoShape 910">
          <a:extLst>
            <a:ext uri="{FF2B5EF4-FFF2-40B4-BE49-F238E27FC236}">
              <a16:creationId xmlns:a16="http://schemas.microsoft.com/office/drawing/2014/main" id="{00000000-0008-0000-0500-000050933500}"/>
            </a:ext>
          </a:extLst>
        </xdr:cNvPr>
        <xdr:cNvCxnSpPr>
          <a:cxnSpLocks noChangeShapeType="1"/>
          <a:stCxn id="68" idx="1"/>
          <a:endCxn id="66" idx="3"/>
        </xdr:cNvCxnSpPr>
      </xdr:nvCxnSpPr>
      <xdr:spPr bwMode="auto">
        <a:xfrm flipH="1" flipV="1">
          <a:off x="10352818" y="1946756"/>
          <a:ext cx="3065217" cy="323635"/>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13</xdr:row>
      <xdr:rowOff>142875</xdr:rowOff>
    </xdr:from>
    <xdr:to>
      <xdr:col>12</xdr:col>
      <xdr:colOff>304800</xdr:colOff>
      <xdr:row>30</xdr:row>
      <xdr:rowOff>95250</xdr:rowOff>
    </xdr:to>
    <xdr:cxnSp macro="">
      <xdr:nvCxnSpPr>
        <xdr:cNvPr id="3511127" name="AutoShape 925">
          <a:extLst>
            <a:ext uri="{FF2B5EF4-FFF2-40B4-BE49-F238E27FC236}">
              <a16:creationId xmlns:a16="http://schemas.microsoft.com/office/drawing/2014/main" id="{00000000-0008-0000-0500-000057933500}"/>
            </a:ext>
          </a:extLst>
        </xdr:cNvPr>
        <xdr:cNvCxnSpPr>
          <a:cxnSpLocks noChangeShapeType="1"/>
          <a:stCxn id="672631" idx="3"/>
          <a:endCxn id="68" idx="3"/>
        </xdr:cNvCxnSpPr>
      </xdr:nvCxnSpPr>
      <xdr:spPr bwMode="auto">
        <a:xfrm flipV="1">
          <a:off x="14773275" y="2266950"/>
          <a:ext cx="19050" cy="2705100"/>
        </a:xfrm>
        <a:prstGeom prst="curvedConnector3">
          <a:avLst>
            <a:gd name="adj1" fmla="val 3800000"/>
          </a:avLst>
        </a:prstGeom>
        <a:noFill/>
        <a:ln w="9525">
          <a:solidFill>
            <a:srgbClr val="000000"/>
          </a:solidFill>
          <a:round/>
          <a:headEnd/>
          <a:tailEnd type="triangle" w="med" len="med"/>
        </a:ln>
      </xdr:spPr>
    </xdr:cxnSp>
    <xdr:clientData/>
  </xdr:twoCellAnchor>
  <xdr:twoCellAnchor>
    <xdr:from>
      <xdr:col>13</xdr:col>
      <xdr:colOff>476250</xdr:colOff>
      <xdr:row>18</xdr:row>
      <xdr:rowOff>38100</xdr:rowOff>
    </xdr:from>
    <xdr:to>
      <xdr:col>13</xdr:col>
      <xdr:colOff>476250</xdr:colOff>
      <xdr:row>18</xdr:row>
      <xdr:rowOff>38100</xdr:rowOff>
    </xdr:to>
    <xdr:cxnSp macro="">
      <xdr:nvCxnSpPr>
        <xdr:cNvPr id="3511128" name="AutoShape 926">
          <a:extLst>
            <a:ext uri="{FF2B5EF4-FFF2-40B4-BE49-F238E27FC236}">
              <a16:creationId xmlns:a16="http://schemas.microsoft.com/office/drawing/2014/main" id="{00000000-0008-0000-0500-000058933500}"/>
            </a:ext>
          </a:extLst>
        </xdr:cNvPr>
        <xdr:cNvCxnSpPr>
          <a:cxnSpLocks noChangeShapeType="1"/>
          <a:endCxn id="72" idx="1"/>
        </xdr:cNvCxnSpPr>
      </xdr:nvCxnSpPr>
      <xdr:spPr bwMode="auto">
        <a:xfrm>
          <a:off x="17402175" y="2971800"/>
          <a:ext cx="0" cy="0"/>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13</xdr:row>
      <xdr:rowOff>142875</xdr:rowOff>
    </xdr:from>
    <xdr:to>
      <xdr:col>12</xdr:col>
      <xdr:colOff>304800</xdr:colOff>
      <xdr:row>21</xdr:row>
      <xdr:rowOff>66675</xdr:rowOff>
    </xdr:to>
    <xdr:cxnSp macro="">
      <xdr:nvCxnSpPr>
        <xdr:cNvPr id="3511130" name="AutoShape 928">
          <a:extLst>
            <a:ext uri="{FF2B5EF4-FFF2-40B4-BE49-F238E27FC236}">
              <a16:creationId xmlns:a16="http://schemas.microsoft.com/office/drawing/2014/main" id="{00000000-0008-0000-0500-00005A933500}"/>
            </a:ext>
          </a:extLst>
        </xdr:cNvPr>
        <xdr:cNvCxnSpPr>
          <a:cxnSpLocks noChangeShapeType="1"/>
          <a:stCxn id="672632" idx="3"/>
          <a:endCxn id="68" idx="3"/>
        </xdr:cNvCxnSpPr>
      </xdr:nvCxnSpPr>
      <xdr:spPr bwMode="auto">
        <a:xfrm flipV="1">
          <a:off x="14773275" y="2266950"/>
          <a:ext cx="19050" cy="1219200"/>
        </a:xfrm>
        <a:prstGeom prst="curvedConnector3">
          <a:avLst>
            <a:gd name="adj1" fmla="val 2000000"/>
          </a:avLst>
        </a:prstGeom>
        <a:noFill/>
        <a:ln w="9525">
          <a:solidFill>
            <a:srgbClr val="000000"/>
          </a:solidFill>
          <a:round/>
          <a:headEnd/>
          <a:tailEnd type="triangle" w="med" len="med"/>
        </a:ln>
      </xdr:spPr>
    </xdr:cxnSp>
    <xdr:clientData/>
  </xdr:twoCellAnchor>
  <xdr:twoCellAnchor>
    <xdr:from>
      <xdr:col>11</xdr:col>
      <xdr:colOff>219075</xdr:colOff>
      <xdr:row>10</xdr:row>
      <xdr:rowOff>104775</xdr:rowOff>
    </xdr:from>
    <xdr:to>
      <xdr:col>11</xdr:col>
      <xdr:colOff>219075</xdr:colOff>
      <xdr:row>12</xdr:row>
      <xdr:rowOff>47625</xdr:rowOff>
    </xdr:to>
    <xdr:cxnSp macro="">
      <xdr:nvCxnSpPr>
        <xdr:cNvPr id="3511132" name="AutoShape 931">
          <a:extLst>
            <a:ext uri="{FF2B5EF4-FFF2-40B4-BE49-F238E27FC236}">
              <a16:creationId xmlns:a16="http://schemas.microsoft.com/office/drawing/2014/main" id="{00000000-0008-0000-0500-00005C933500}"/>
            </a:ext>
          </a:extLst>
        </xdr:cNvPr>
        <xdr:cNvCxnSpPr>
          <a:cxnSpLocks noChangeShapeType="1"/>
          <a:stCxn id="68" idx="0"/>
          <a:endCxn id="83" idx="2"/>
        </xdr:cNvCxnSpPr>
      </xdr:nvCxnSpPr>
      <xdr:spPr bwMode="auto">
        <a:xfrm rot="-5400000">
          <a:off x="13963650" y="1876425"/>
          <a:ext cx="266700" cy="0"/>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9</xdr:row>
      <xdr:rowOff>19050</xdr:rowOff>
    </xdr:from>
    <xdr:to>
      <xdr:col>12</xdr:col>
      <xdr:colOff>304800</xdr:colOff>
      <xdr:row>21</xdr:row>
      <xdr:rowOff>66675</xdr:rowOff>
    </xdr:to>
    <xdr:cxnSp macro="">
      <xdr:nvCxnSpPr>
        <xdr:cNvPr id="3511133" name="AutoShape 932">
          <a:extLst>
            <a:ext uri="{FF2B5EF4-FFF2-40B4-BE49-F238E27FC236}">
              <a16:creationId xmlns:a16="http://schemas.microsoft.com/office/drawing/2014/main" id="{00000000-0008-0000-0500-00005D933500}"/>
            </a:ext>
          </a:extLst>
        </xdr:cNvPr>
        <xdr:cNvCxnSpPr>
          <a:cxnSpLocks noChangeShapeType="1"/>
          <a:stCxn id="672632" idx="3"/>
          <a:endCxn id="83" idx="3"/>
        </xdr:cNvCxnSpPr>
      </xdr:nvCxnSpPr>
      <xdr:spPr bwMode="auto">
        <a:xfrm flipV="1">
          <a:off x="14773275" y="1495425"/>
          <a:ext cx="19050" cy="1990725"/>
        </a:xfrm>
        <a:prstGeom prst="curvedConnector3">
          <a:avLst>
            <a:gd name="adj1" fmla="val 3050000"/>
          </a:avLst>
        </a:prstGeom>
        <a:noFill/>
        <a:ln w="9525">
          <a:solidFill>
            <a:srgbClr val="000000"/>
          </a:solidFill>
          <a:round/>
          <a:headEnd/>
          <a:tailEnd type="triangle" w="med" len="med"/>
        </a:ln>
      </xdr:spPr>
    </xdr:cxnSp>
    <xdr:clientData/>
  </xdr:twoCellAnchor>
  <xdr:twoCellAnchor>
    <xdr:from>
      <xdr:col>12</xdr:col>
      <xdr:colOff>304800</xdr:colOff>
      <xdr:row>9</xdr:row>
      <xdr:rowOff>19050</xdr:rowOff>
    </xdr:from>
    <xdr:to>
      <xdr:col>13</xdr:col>
      <xdr:colOff>466725</xdr:colOff>
      <xdr:row>27</xdr:row>
      <xdr:rowOff>9525</xdr:rowOff>
    </xdr:to>
    <xdr:cxnSp macro="">
      <xdr:nvCxnSpPr>
        <xdr:cNvPr id="3511134" name="AutoShape 933">
          <a:extLst>
            <a:ext uri="{FF2B5EF4-FFF2-40B4-BE49-F238E27FC236}">
              <a16:creationId xmlns:a16="http://schemas.microsoft.com/office/drawing/2014/main" id="{00000000-0008-0000-0500-00005E933500}"/>
            </a:ext>
          </a:extLst>
        </xdr:cNvPr>
        <xdr:cNvCxnSpPr>
          <a:cxnSpLocks noChangeShapeType="1"/>
          <a:stCxn id="672637" idx="1"/>
          <a:endCxn id="83" idx="3"/>
        </xdr:cNvCxnSpPr>
      </xdr:nvCxnSpPr>
      <xdr:spPr bwMode="auto">
        <a:xfrm flipH="1" flipV="1">
          <a:off x="14792325" y="1495425"/>
          <a:ext cx="2600325" cy="2905125"/>
        </a:xfrm>
        <a:prstGeom prst="straightConnector1">
          <a:avLst/>
        </a:prstGeom>
        <a:noFill/>
        <a:ln w="9525">
          <a:solidFill>
            <a:srgbClr val="000000"/>
          </a:solidFill>
          <a:round/>
          <a:headEnd/>
          <a:tailEnd type="triangle" w="med" len="med"/>
        </a:ln>
      </xdr:spPr>
    </xdr:cxnSp>
    <xdr:clientData/>
  </xdr:twoCellAnchor>
  <xdr:twoCellAnchor>
    <xdr:from>
      <xdr:col>12</xdr:col>
      <xdr:colOff>285750</xdr:colOff>
      <xdr:row>9</xdr:row>
      <xdr:rowOff>19050</xdr:rowOff>
    </xdr:from>
    <xdr:to>
      <xdr:col>12</xdr:col>
      <xdr:colOff>304800</xdr:colOff>
      <xdr:row>26</xdr:row>
      <xdr:rowOff>19050</xdr:rowOff>
    </xdr:to>
    <xdr:cxnSp macro="">
      <xdr:nvCxnSpPr>
        <xdr:cNvPr id="3511135" name="AutoShape 934">
          <a:extLst>
            <a:ext uri="{FF2B5EF4-FFF2-40B4-BE49-F238E27FC236}">
              <a16:creationId xmlns:a16="http://schemas.microsoft.com/office/drawing/2014/main" id="{00000000-0008-0000-0500-00005F933500}"/>
            </a:ext>
          </a:extLst>
        </xdr:cNvPr>
        <xdr:cNvCxnSpPr>
          <a:cxnSpLocks noChangeShapeType="1"/>
          <a:stCxn id="672634" idx="3"/>
          <a:endCxn id="83" idx="3"/>
        </xdr:cNvCxnSpPr>
      </xdr:nvCxnSpPr>
      <xdr:spPr bwMode="auto">
        <a:xfrm flipV="1">
          <a:off x="14773275" y="1495425"/>
          <a:ext cx="19050" cy="2752725"/>
        </a:xfrm>
        <a:prstGeom prst="curvedConnector3">
          <a:avLst>
            <a:gd name="adj1" fmla="val 4550000"/>
          </a:avLst>
        </a:prstGeom>
        <a:noFill/>
        <a:ln w="9525">
          <a:solidFill>
            <a:srgbClr val="000000"/>
          </a:solidFill>
          <a:round/>
          <a:headEnd/>
          <a:tailEnd type="triangle" w="med" len="med"/>
        </a:ln>
      </xdr:spPr>
    </xdr:cxnSp>
    <xdr:clientData/>
  </xdr:twoCellAnchor>
  <xdr:twoCellAnchor>
    <xdr:from>
      <xdr:col>8</xdr:col>
      <xdr:colOff>51281</xdr:colOff>
      <xdr:row>3</xdr:row>
      <xdr:rowOff>100694</xdr:rowOff>
    </xdr:from>
    <xdr:to>
      <xdr:col>10</xdr:col>
      <xdr:colOff>54428</xdr:colOff>
      <xdr:row>21</xdr:row>
      <xdr:rowOff>54429</xdr:rowOff>
    </xdr:to>
    <xdr:cxnSp macro="">
      <xdr:nvCxnSpPr>
        <xdr:cNvPr id="3511136" name="AutoShape 936">
          <a:extLst>
            <a:ext uri="{FF2B5EF4-FFF2-40B4-BE49-F238E27FC236}">
              <a16:creationId xmlns:a16="http://schemas.microsoft.com/office/drawing/2014/main" id="{00000000-0008-0000-0500-000060933500}"/>
            </a:ext>
          </a:extLst>
        </xdr:cNvPr>
        <xdr:cNvCxnSpPr>
          <a:cxnSpLocks noChangeShapeType="1"/>
        </xdr:cNvCxnSpPr>
      </xdr:nvCxnSpPr>
      <xdr:spPr bwMode="auto">
        <a:xfrm>
          <a:off x="10283852" y="604158"/>
          <a:ext cx="3064755" cy="2892878"/>
        </a:xfrm>
        <a:prstGeom prst="curvedConnector3">
          <a:avLst>
            <a:gd name="adj1" fmla="val 24693"/>
          </a:avLst>
        </a:prstGeom>
        <a:noFill/>
        <a:ln w="9525">
          <a:solidFill>
            <a:srgbClr val="000000"/>
          </a:solidFill>
          <a:round/>
          <a:headEnd/>
          <a:tailEnd type="triangle" w="med" len="med"/>
        </a:ln>
      </xdr:spPr>
    </xdr:cxnSp>
    <xdr:clientData/>
  </xdr:twoCellAnchor>
  <xdr:twoCellAnchor>
    <xdr:from>
      <xdr:col>11</xdr:col>
      <xdr:colOff>200025</xdr:colOff>
      <xdr:row>22</xdr:row>
      <xdr:rowOff>152400</xdr:rowOff>
    </xdr:from>
    <xdr:to>
      <xdr:col>13</xdr:col>
      <xdr:colOff>466725</xdr:colOff>
      <xdr:row>30</xdr:row>
      <xdr:rowOff>152400</xdr:rowOff>
    </xdr:to>
    <xdr:cxnSp macro="">
      <xdr:nvCxnSpPr>
        <xdr:cNvPr id="3511137" name="AutoShape 937">
          <a:extLst>
            <a:ext uri="{FF2B5EF4-FFF2-40B4-BE49-F238E27FC236}">
              <a16:creationId xmlns:a16="http://schemas.microsoft.com/office/drawing/2014/main" id="{00000000-0008-0000-0500-000061933500}"/>
            </a:ext>
          </a:extLst>
        </xdr:cNvPr>
        <xdr:cNvCxnSpPr>
          <a:cxnSpLocks noChangeShapeType="1"/>
          <a:stCxn id="672636" idx="1"/>
          <a:endCxn id="672632" idx="2"/>
        </xdr:cNvCxnSpPr>
      </xdr:nvCxnSpPr>
      <xdr:spPr bwMode="auto">
        <a:xfrm flipH="1" flipV="1">
          <a:off x="14077950" y="3733800"/>
          <a:ext cx="3314700" cy="1295400"/>
        </a:xfrm>
        <a:prstGeom prst="straightConnector1">
          <a:avLst/>
        </a:prstGeom>
        <a:noFill/>
        <a:ln w="9525">
          <a:solidFill>
            <a:srgbClr val="000000"/>
          </a:solidFill>
          <a:round/>
          <a:headEnd/>
          <a:tailEnd type="triangle" w="med" len="med"/>
        </a:ln>
      </xdr:spPr>
    </xdr:cxnSp>
    <xdr:clientData/>
  </xdr:twoCellAnchor>
  <xdr:twoCellAnchor>
    <xdr:from>
      <xdr:col>11</xdr:col>
      <xdr:colOff>200025</xdr:colOff>
      <xdr:row>22</xdr:row>
      <xdr:rowOff>152400</xdr:rowOff>
    </xdr:from>
    <xdr:to>
      <xdr:col>11</xdr:col>
      <xdr:colOff>200025</xdr:colOff>
      <xdr:row>24</xdr:row>
      <xdr:rowOff>85725</xdr:rowOff>
    </xdr:to>
    <xdr:cxnSp macro="">
      <xdr:nvCxnSpPr>
        <xdr:cNvPr id="3511138" name="AutoShape 938">
          <a:extLst>
            <a:ext uri="{FF2B5EF4-FFF2-40B4-BE49-F238E27FC236}">
              <a16:creationId xmlns:a16="http://schemas.microsoft.com/office/drawing/2014/main" id="{00000000-0008-0000-0500-000062933500}"/>
            </a:ext>
          </a:extLst>
        </xdr:cNvPr>
        <xdr:cNvCxnSpPr>
          <a:cxnSpLocks noChangeShapeType="1"/>
          <a:stCxn id="672634" idx="0"/>
          <a:endCxn id="672632" idx="2"/>
        </xdr:cNvCxnSpPr>
      </xdr:nvCxnSpPr>
      <xdr:spPr bwMode="auto">
        <a:xfrm flipV="1">
          <a:off x="14077950" y="3733800"/>
          <a:ext cx="0" cy="257175"/>
        </a:xfrm>
        <a:prstGeom prst="straightConnector1">
          <a:avLst/>
        </a:prstGeom>
        <a:noFill/>
        <a:ln w="9525">
          <a:solidFill>
            <a:srgbClr val="000000"/>
          </a:solidFill>
          <a:round/>
          <a:headEnd/>
          <a:tailEnd type="triangle" w="med" len="med"/>
        </a:ln>
      </xdr:spPr>
    </xdr:cxnSp>
    <xdr:clientData/>
  </xdr:twoCellAnchor>
  <xdr:twoCellAnchor>
    <xdr:from>
      <xdr:col>11</xdr:col>
      <xdr:colOff>200025</xdr:colOff>
      <xdr:row>27</xdr:row>
      <xdr:rowOff>104775</xdr:rowOff>
    </xdr:from>
    <xdr:to>
      <xdr:col>11</xdr:col>
      <xdr:colOff>200025</xdr:colOff>
      <xdr:row>29</xdr:row>
      <xdr:rowOff>0</xdr:rowOff>
    </xdr:to>
    <xdr:cxnSp macro="">
      <xdr:nvCxnSpPr>
        <xdr:cNvPr id="3511139" name="AutoShape 940">
          <a:extLst>
            <a:ext uri="{FF2B5EF4-FFF2-40B4-BE49-F238E27FC236}">
              <a16:creationId xmlns:a16="http://schemas.microsoft.com/office/drawing/2014/main" id="{00000000-0008-0000-0500-000063933500}"/>
            </a:ext>
          </a:extLst>
        </xdr:cNvPr>
        <xdr:cNvCxnSpPr>
          <a:cxnSpLocks noChangeShapeType="1"/>
          <a:stCxn id="672631" idx="0"/>
          <a:endCxn id="672634" idx="2"/>
        </xdr:cNvCxnSpPr>
      </xdr:nvCxnSpPr>
      <xdr:spPr bwMode="auto">
        <a:xfrm flipV="1">
          <a:off x="14077950" y="4495800"/>
          <a:ext cx="0" cy="219075"/>
        </a:xfrm>
        <a:prstGeom prst="straightConnector1">
          <a:avLst/>
        </a:prstGeom>
        <a:noFill/>
        <a:ln w="9525">
          <a:solidFill>
            <a:srgbClr val="000000"/>
          </a:solidFill>
          <a:round/>
          <a:headEnd/>
          <a:tailEnd type="triangle" w="med" len="med"/>
        </a:ln>
      </xdr:spPr>
    </xdr:cxnSp>
    <xdr:clientData/>
  </xdr:twoCellAnchor>
  <xdr:twoCellAnchor>
    <xdr:from>
      <xdr:col>10</xdr:col>
      <xdr:colOff>104775</xdr:colOff>
      <xdr:row>26</xdr:row>
      <xdr:rowOff>19050</xdr:rowOff>
    </xdr:from>
    <xdr:to>
      <xdr:col>10</xdr:col>
      <xdr:colOff>114300</xdr:colOff>
      <xdr:row>35</xdr:row>
      <xdr:rowOff>47625</xdr:rowOff>
    </xdr:to>
    <xdr:cxnSp macro="">
      <xdr:nvCxnSpPr>
        <xdr:cNvPr id="3511140" name="AutoShape 941">
          <a:extLst>
            <a:ext uri="{FF2B5EF4-FFF2-40B4-BE49-F238E27FC236}">
              <a16:creationId xmlns:a16="http://schemas.microsoft.com/office/drawing/2014/main" id="{00000000-0008-0000-0500-000064933500}"/>
            </a:ext>
          </a:extLst>
        </xdr:cNvPr>
        <xdr:cNvCxnSpPr>
          <a:cxnSpLocks noChangeShapeType="1"/>
          <a:stCxn id="672630" idx="1"/>
          <a:endCxn id="672634" idx="1"/>
        </xdr:cNvCxnSpPr>
      </xdr:nvCxnSpPr>
      <xdr:spPr bwMode="auto">
        <a:xfrm rot="10800000" flipH="1">
          <a:off x="13373100" y="4248150"/>
          <a:ext cx="9525" cy="1485900"/>
        </a:xfrm>
        <a:prstGeom prst="curvedConnector3">
          <a:avLst>
            <a:gd name="adj1" fmla="val -5000000"/>
          </a:avLst>
        </a:prstGeom>
        <a:noFill/>
        <a:ln w="9525">
          <a:solidFill>
            <a:srgbClr val="000000"/>
          </a:solidFill>
          <a:round/>
          <a:headEnd/>
          <a:tailEnd type="triangle" w="med" len="med"/>
        </a:ln>
      </xdr:spPr>
    </xdr:cxnSp>
    <xdr:clientData/>
  </xdr:twoCellAnchor>
  <xdr:twoCellAnchor>
    <xdr:from>
      <xdr:col>8</xdr:col>
      <xdr:colOff>94554</xdr:colOff>
      <xdr:row>3</xdr:row>
      <xdr:rowOff>13449</xdr:rowOff>
    </xdr:from>
    <xdr:to>
      <xdr:col>10</xdr:col>
      <xdr:colOff>104775</xdr:colOff>
      <xdr:row>30</xdr:row>
      <xdr:rowOff>87967</xdr:rowOff>
    </xdr:to>
    <xdr:cxnSp macro="">
      <xdr:nvCxnSpPr>
        <xdr:cNvPr id="3511141" name="AutoShape 942">
          <a:extLst>
            <a:ext uri="{FF2B5EF4-FFF2-40B4-BE49-F238E27FC236}">
              <a16:creationId xmlns:a16="http://schemas.microsoft.com/office/drawing/2014/main" id="{00000000-0008-0000-0500-000065933500}"/>
            </a:ext>
          </a:extLst>
        </xdr:cNvPr>
        <xdr:cNvCxnSpPr>
          <a:cxnSpLocks noChangeShapeType="1"/>
          <a:stCxn id="64" idx="3"/>
          <a:endCxn id="672631" idx="1"/>
        </xdr:cNvCxnSpPr>
      </xdr:nvCxnSpPr>
      <xdr:spPr bwMode="auto">
        <a:xfrm>
          <a:off x="10303113" y="506508"/>
          <a:ext cx="3035809" cy="4310341"/>
        </a:xfrm>
        <a:prstGeom prst="curvedConnector3">
          <a:avLst>
            <a:gd name="adj1" fmla="val 50000"/>
          </a:avLst>
        </a:prstGeom>
        <a:noFill/>
        <a:ln w="9525">
          <a:solidFill>
            <a:srgbClr val="000000"/>
          </a:solidFill>
          <a:round/>
          <a:headEnd/>
          <a:tailEnd type="triangle" w="med" len="med"/>
        </a:ln>
      </xdr:spPr>
    </xdr:cxnSp>
    <xdr:clientData/>
  </xdr:twoCellAnchor>
  <xdr:twoCellAnchor>
    <xdr:from>
      <xdr:col>10</xdr:col>
      <xdr:colOff>104775</xdr:colOff>
      <xdr:row>13</xdr:row>
      <xdr:rowOff>142875</xdr:rowOff>
    </xdr:from>
    <xdr:to>
      <xdr:col>10</xdr:col>
      <xdr:colOff>123825</xdr:colOff>
      <xdr:row>30</xdr:row>
      <xdr:rowOff>95250</xdr:rowOff>
    </xdr:to>
    <xdr:cxnSp macro="">
      <xdr:nvCxnSpPr>
        <xdr:cNvPr id="3511142" name="AutoShape 943">
          <a:extLst>
            <a:ext uri="{FF2B5EF4-FFF2-40B4-BE49-F238E27FC236}">
              <a16:creationId xmlns:a16="http://schemas.microsoft.com/office/drawing/2014/main" id="{00000000-0008-0000-0500-000066933500}"/>
            </a:ext>
          </a:extLst>
        </xdr:cNvPr>
        <xdr:cNvCxnSpPr>
          <a:cxnSpLocks noChangeShapeType="1"/>
          <a:stCxn id="68" idx="1"/>
          <a:endCxn id="672631" idx="1"/>
        </xdr:cNvCxnSpPr>
      </xdr:nvCxnSpPr>
      <xdr:spPr bwMode="auto">
        <a:xfrm rot="10800000" flipV="1">
          <a:off x="13373100" y="2266950"/>
          <a:ext cx="19050" cy="2705100"/>
        </a:xfrm>
        <a:prstGeom prst="curvedConnector3">
          <a:avLst>
            <a:gd name="adj1" fmla="val 2500000"/>
          </a:avLst>
        </a:prstGeom>
        <a:noFill/>
        <a:ln w="9525">
          <a:solidFill>
            <a:srgbClr val="000000"/>
          </a:solidFill>
          <a:round/>
          <a:headEnd/>
          <a:tailEnd type="triangle" w="med" len="med"/>
        </a:ln>
      </xdr:spPr>
    </xdr:cxnSp>
    <xdr:clientData/>
  </xdr:twoCellAnchor>
  <xdr:twoCellAnchor>
    <xdr:from>
      <xdr:col>11</xdr:col>
      <xdr:colOff>200025</xdr:colOff>
      <xdr:row>32</xdr:row>
      <xdr:rowOff>19050</xdr:rowOff>
    </xdr:from>
    <xdr:to>
      <xdr:col>11</xdr:col>
      <xdr:colOff>200025</xdr:colOff>
      <xdr:row>33</xdr:row>
      <xdr:rowOff>114300</xdr:rowOff>
    </xdr:to>
    <xdr:cxnSp macro="">
      <xdr:nvCxnSpPr>
        <xdr:cNvPr id="3511143" name="AutoShape 944">
          <a:extLst>
            <a:ext uri="{FF2B5EF4-FFF2-40B4-BE49-F238E27FC236}">
              <a16:creationId xmlns:a16="http://schemas.microsoft.com/office/drawing/2014/main" id="{00000000-0008-0000-0500-000067933500}"/>
            </a:ext>
          </a:extLst>
        </xdr:cNvPr>
        <xdr:cNvCxnSpPr>
          <a:cxnSpLocks noChangeShapeType="1"/>
          <a:stCxn id="672630" idx="0"/>
          <a:endCxn id="672631" idx="2"/>
        </xdr:cNvCxnSpPr>
      </xdr:nvCxnSpPr>
      <xdr:spPr bwMode="auto">
        <a:xfrm flipV="1">
          <a:off x="14077950" y="5219700"/>
          <a:ext cx="0" cy="257175"/>
        </a:xfrm>
        <a:prstGeom prst="straightConnector1">
          <a:avLst/>
        </a:prstGeom>
        <a:noFill/>
        <a:ln w="9525">
          <a:solidFill>
            <a:srgbClr val="000000"/>
          </a:solidFill>
          <a:round/>
          <a:headEnd/>
          <a:tailEnd type="triangle" w="med" len="med"/>
        </a:ln>
      </xdr:spPr>
    </xdr:cxnSp>
    <xdr:clientData/>
  </xdr:twoCellAnchor>
  <xdr:twoCellAnchor>
    <xdr:from>
      <xdr:col>10</xdr:col>
      <xdr:colOff>104775</xdr:colOff>
      <xdr:row>30</xdr:row>
      <xdr:rowOff>95250</xdr:rowOff>
    </xdr:from>
    <xdr:to>
      <xdr:col>10</xdr:col>
      <xdr:colOff>114300</xdr:colOff>
      <xdr:row>39</xdr:row>
      <xdr:rowOff>104775</xdr:rowOff>
    </xdr:to>
    <xdr:cxnSp macro="">
      <xdr:nvCxnSpPr>
        <xdr:cNvPr id="3511144" name="AutoShape 945">
          <a:extLst>
            <a:ext uri="{FF2B5EF4-FFF2-40B4-BE49-F238E27FC236}">
              <a16:creationId xmlns:a16="http://schemas.microsoft.com/office/drawing/2014/main" id="{00000000-0008-0000-0500-000068933500}"/>
            </a:ext>
          </a:extLst>
        </xdr:cNvPr>
        <xdr:cNvCxnSpPr>
          <a:cxnSpLocks noChangeShapeType="1"/>
          <a:stCxn id="672633" idx="1"/>
          <a:endCxn id="672631" idx="1"/>
        </xdr:cNvCxnSpPr>
      </xdr:nvCxnSpPr>
      <xdr:spPr bwMode="auto">
        <a:xfrm rot="10800000" flipH="1">
          <a:off x="13373100" y="4972050"/>
          <a:ext cx="9525" cy="1466850"/>
        </a:xfrm>
        <a:prstGeom prst="curvedConnector3">
          <a:avLst>
            <a:gd name="adj1" fmla="val -4000000"/>
          </a:avLst>
        </a:prstGeom>
        <a:noFill/>
        <a:ln w="9525">
          <a:solidFill>
            <a:srgbClr val="000000"/>
          </a:solidFill>
          <a:round/>
          <a:headEnd/>
          <a:tailEnd type="triangle" w="med" len="med"/>
        </a:ln>
      </xdr:spPr>
    </xdr:cxnSp>
    <xdr:clientData/>
  </xdr:twoCellAnchor>
  <xdr:twoCellAnchor>
    <xdr:from>
      <xdr:col>8</xdr:col>
      <xdr:colOff>108858</xdr:colOff>
      <xdr:row>3</xdr:row>
      <xdr:rowOff>136071</xdr:rowOff>
    </xdr:from>
    <xdr:to>
      <xdr:col>10</xdr:col>
      <xdr:colOff>104775</xdr:colOff>
      <xdr:row>39</xdr:row>
      <xdr:rowOff>100692</xdr:rowOff>
    </xdr:to>
    <xdr:cxnSp macro="">
      <xdr:nvCxnSpPr>
        <xdr:cNvPr id="3511145" name="AutoShape 946">
          <a:extLst>
            <a:ext uri="{FF2B5EF4-FFF2-40B4-BE49-F238E27FC236}">
              <a16:creationId xmlns:a16="http://schemas.microsoft.com/office/drawing/2014/main" id="{00000000-0008-0000-0500-000069933500}"/>
            </a:ext>
          </a:extLst>
        </xdr:cNvPr>
        <xdr:cNvCxnSpPr>
          <a:cxnSpLocks noChangeShapeType="1"/>
          <a:endCxn id="672633" idx="1"/>
        </xdr:cNvCxnSpPr>
      </xdr:nvCxnSpPr>
      <xdr:spPr bwMode="auto">
        <a:xfrm rot="16200000" flipH="1">
          <a:off x="8948738" y="2032226"/>
          <a:ext cx="5842907" cy="3057525"/>
        </a:xfrm>
        <a:prstGeom prst="curvedConnector2">
          <a:avLst/>
        </a:prstGeom>
        <a:noFill/>
        <a:ln w="9525">
          <a:solidFill>
            <a:srgbClr val="000000"/>
          </a:solidFill>
          <a:round/>
          <a:headEnd/>
          <a:tailEnd type="triangle" w="med" len="med"/>
        </a:ln>
      </xdr:spPr>
    </xdr:cxnSp>
    <xdr:clientData/>
  </xdr:twoCellAnchor>
  <xdr:twoCellAnchor>
    <xdr:from>
      <xdr:col>11</xdr:col>
      <xdr:colOff>200025</xdr:colOff>
      <xdr:row>36</xdr:row>
      <xdr:rowOff>133350</xdr:rowOff>
    </xdr:from>
    <xdr:to>
      <xdr:col>11</xdr:col>
      <xdr:colOff>200025</xdr:colOff>
      <xdr:row>38</xdr:row>
      <xdr:rowOff>9525</xdr:rowOff>
    </xdr:to>
    <xdr:cxnSp macro="">
      <xdr:nvCxnSpPr>
        <xdr:cNvPr id="3511146" name="AutoShape 947">
          <a:extLst>
            <a:ext uri="{FF2B5EF4-FFF2-40B4-BE49-F238E27FC236}">
              <a16:creationId xmlns:a16="http://schemas.microsoft.com/office/drawing/2014/main" id="{00000000-0008-0000-0500-00006A933500}"/>
            </a:ext>
          </a:extLst>
        </xdr:cNvPr>
        <xdr:cNvCxnSpPr>
          <a:cxnSpLocks noChangeShapeType="1"/>
          <a:stCxn id="672633" idx="0"/>
          <a:endCxn id="672630" idx="2"/>
        </xdr:cNvCxnSpPr>
      </xdr:nvCxnSpPr>
      <xdr:spPr bwMode="auto">
        <a:xfrm flipV="1">
          <a:off x="14077950" y="5981700"/>
          <a:ext cx="0" cy="200025"/>
        </a:xfrm>
        <a:prstGeom prst="straightConnector1">
          <a:avLst/>
        </a:prstGeom>
        <a:noFill/>
        <a:ln w="9525">
          <a:solidFill>
            <a:srgbClr val="000000"/>
          </a:solidFill>
          <a:round/>
          <a:headEnd/>
          <a:tailEnd type="triangle" w="med" len="med"/>
        </a:ln>
      </xdr:spPr>
    </xdr:cxnSp>
    <xdr:clientData/>
  </xdr:twoCellAnchor>
  <xdr:twoCellAnchor>
    <xdr:from>
      <xdr:col>13</xdr:col>
      <xdr:colOff>476250</xdr:colOff>
      <xdr:row>33</xdr:row>
      <xdr:rowOff>28575</xdr:rowOff>
    </xdr:from>
    <xdr:to>
      <xdr:col>16</xdr:col>
      <xdr:colOff>47625</xdr:colOff>
      <xdr:row>36</xdr:row>
      <xdr:rowOff>47625</xdr:rowOff>
    </xdr:to>
    <xdr:sp macro="" textlink="">
      <xdr:nvSpPr>
        <xdr:cNvPr id="672692" name="AutoShape 948">
          <a:hlinkClick xmlns:r="http://schemas.openxmlformats.org/officeDocument/2006/relationships" r:id="rId16" tooltip="Go to crop_yield_w"/>
          <a:extLst>
            <a:ext uri="{FF2B5EF4-FFF2-40B4-BE49-F238E27FC236}">
              <a16:creationId xmlns:a16="http://schemas.microsoft.com/office/drawing/2014/main" id="{00000000-0008-0000-0500-0000B4430A00}"/>
            </a:ext>
          </a:extLst>
        </xdr:cNvPr>
        <xdr:cNvSpPr>
          <a:spLocks noChangeArrowheads="1"/>
        </xdr:cNvSpPr>
      </xdr:nvSpPr>
      <xdr:spPr bwMode="auto">
        <a:xfrm>
          <a:off x="18888075" y="5391150"/>
          <a:ext cx="1400175" cy="504825"/>
        </a:xfrm>
        <a:prstGeom prst="flowChartAlternateProcess">
          <a:avLst/>
        </a:prstGeom>
        <a:solidFill>
          <a:schemeClr val="accent2"/>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crop_efp</a:t>
          </a:r>
        </a:p>
      </xdr:txBody>
    </xdr:sp>
    <xdr:clientData/>
  </xdr:twoCellAnchor>
  <xdr:twoCellAnchor>
    <xdr:from>
      <xdr:col>12</xdr:col>
      <xdr:colOff>285750</xdr:colOff>
      <xdr:row>34</xdr:row>
      <xdr:rowOff>123825</xdr:rowOff>
    </xdr:from>
    <xdr:to>
      <xdr:col>13</xdr:col>
      <xdr:colOff>476250</xdr:colOff>
      <xdr:row>35</xdr:row>
      <xdr:rowOff>47625</xdr:rowOff>
    </xdr:to>
    <xdr:cxnSp macro="">
      <xdr:nvCxnSpPr>
        <xdr:cNvPr id="3511148" name="AutoShape 949">
          <a:extLst>
            <a:ext uri="{FF2B5EF4-FFF2-40B4-BE49-F238E27FC236}">
              <a16:creationId xmlns:a16="http://schemas.microsoft.com/office/drawing/2014/main" id="{00000000-0008-0000-0500-00006C933500}"/>
            </a:ext>
          </a:extLst>
        </xdr:cNvPr>
        <xdr:cNvCxnSpPr>
          <a:cxnSpLocks noChangeShapeType="1"/>
          <a:stCxn id="672692" idx="1"/>
          <a:endCxn id="672630" idx="3"/>
        </xdr:cNvCxnSpPr>
      </xdr:nvCxnSpPr>
      <xdr:spPr bwMode="auto">
        <a:xfrm flipH="1">
          <a:off x="14773275" y="5648325"/>
          <a:ext cx="2628900" cy="85725"/>
        </a:xfrm>
        <a:prstGeom prst="straightConnector1">
          <a:avLst/>
        </a:prstGeom>
        <a:noFill/>
        <a:ln w="9525">
          <a:solidFill>
            <a:srgbClr val="000000"/>
          </a:solidFill>
          <a:round/>
          <a:headEnd/>
          <a:tailEnd type="triangle" w="med" len="med"/>
        </a:ln>
      </xdr:spPr>
    </xdr:cxnSp>
    <xdr:clientData/>
  </xdr:twoCellAnchor>
  <xdr:twoCellAnchor>
    <xdr:from>
      <xdr:col>8</xdr:col>
      <xdr:colOff>94554</xdr:colOff>
      <xdr:row>3</xdr:row>
      <xdr:rowOff>13449</xdr:rowOff>
    </xdr:from>
    <xdr:to>
      <xdr:col>11</xdr:col>
      <xdr:colOff>195262</xdr:colOff>
      <xdr:row>41</xdr:row>
      <xdr:rowOff>28575</xdr:rowOff>
    </xdr:to>
    <xdr:cxnSp macro="">
      <xdr:nvCxnSpPr>
        <xdr:cNvPr id="3511149" name="AutoShape 950">
          <a:extLst>
            <a:ext uri="{FF2B5EF4-FFF2-40B4-BE49-F238E27FC236}">
              <a16:creationId xmlns:a16="http://schemas.microsoft.com/office/drawing/2014/main" id="{00000000-0008-0000-0500-00006D933500}"/>
            </a:ext>
          </a:extLst>
        </xdr:cNvPr>
        <xdr:cNvCxnSpPr>
          <a:cxnSpLocks noChangeShapeType="1"/>
          <a:stCxn id="64" idx="3"/>
          <a:endCxn id="672633" idx="2"/>
        </xdr:cNvCxnSpPr>
      </xdr:nvCxnSpPr>
      <xdr:spPr bwMode="auto">
        <a:xfrm>
          <a:off x="10303113" y="506508"/>
          <a:ext cx="3731414" cy="5976655"/>
        </a:xfrm>
        <a:prstGeom prst="curvedConnector4">
          <a:avLst>
            <a:gd name="adj1" fmla="val 40679"/>
            <a:gd name="adj2" fmla="val 103825"/>
          </a:avLst>
        </a:prstGeom>
        <a:noFill/>
        <a:ln w="9525">
          <a:solidFill>
            <a:srgbClr val="000000"/>
          </a:solidFill>
          <a:round/>
          <a:headEnd/>
          <a:tailEnd type="triangle" w="med" len="med"/>
        </a:ln>
      </xdr:spPr>
    </xdr:cxnSp>
    <xdr:clientData/>
  </xdr:twoCellAnchor>
  <xdr:twoCellAnchor>
    <xdr:from>
      <xdr:col>5</xdr:col>
      <xdr:colOff>1215118</xdr:colOff>
      <xdr:row>5</xdr:row>
      <xdr:rowOff>137432</xdr:rowOff>
    </xdr:from>
    <xdr:to>
      <xdr:col>8</xdr:col>
      <xdr:colOff>78922</xdr:colOff>
      <xdr:row>8</xdr:row>
      <xdr:rowOff>108857</xdr:rowOff>
    </xdr:to>
    <xdr:sp macro="" textlink="">
      <xdr:nvSpPr>
        <xdr:cNvPr id="965970" name="AutoShape 1362">
          <a:hlinkClick xmlns:r="http://schemas.openxmlformats.org/officeDocument/2006/relationships" r:id="rId17" tooltip="Go to livestock_efi"/>
          <a:extLst>
            <a:ext uri="{FF2B5EF4-FFF2-40B4-BE49-F238E27FC236}">
              <a16:creationId xmlns:a16="http://schemas.microsoft.com/office/drawing/2014/main" id="{00000000-0008-0000-0500-000052BD0E00}"/>
            </a:ext>
          </a:extLst>
        </xdr:cNvPr>
        <xdr:cNvSpPr>
          <a:spLocks noChangeArrowheads="1"/>
        </xdr:cNvSpPr>
      </xdr:nvSpPr>
      <xdr:spPr bwMode="auto">
        <a:xfrm>
          <a:off x="8903154" y="967468"/>
          <a:ext cx="1408339" cy="461282"/>
        </a:xfrm>
        <a:prstGeom prst="flowChartAlternateProcess">
          <a:avLst/>
        </a:prstGeom>
        <a:solidFill>
          <a:schemeClr val="accent4"/>
        </a:solidFill>
        <a:ln w="9525">
          <a:solidFill>
            <a:srgbClr val="00000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en-US" sz="1000" b="0" i="0" u="none" strike="noStrike" baseline="0">
              <a:solidFill>
                <a:srgbClr val="FFFFFF"/>
              </a:solidFill>
              <a:latin typeface="Arial"/>
              <a:cs typeface="Arial"/>
            </a:rPr>
            <a:t>livestock_efi_efe</a:t>
          </a:r>
        </a:p>
      </xdr:txBody>
    </xdr:sp>
    <xdr:clientData/>
  </xdr:twoCellAnchor>
  <xdr:twoCellAnchor>
    <xdr:from>
      <xdr:col>5</xdr:col>
      <xdr:colOff>0</xdr:colOff>
      <xdr:row>4</xdr:row>
      <xdr:rowOff>76200</xdr:rowOff>
    </xdr:from>
    <xdr:to>
      <xdr:col>5</xdr:col>
      <xdr:colOff>1215118</xdr:colOff>
      <xdr:row>7</xdr:row>
      <xdr:rowOff>42182</xdr:rowOff>
    </xdr:to>
    <xdr:cxnSp macro="">
      <xdr:nvCxnSpPr>
        <xdr:cNvPr id="3511154" name="AutoShape 1364">
          <a:extLst>
            <a:ext uri="{FF2B5EF4-FFF2-40B4-BE49-F238E27FC236}">
              <a16:creationId xmlns:a16="http://schemas.microsoft.com/office/drawing/2014/main" id="{00000000-0008-0000-0500-000072933500}"/>
            </a:ext>
          </a:extLst>
        </xdr:cNvPr>
        <xdr:cNvCxnSpPr>
          <a:cxnSpLocks noChangeShapeType="1"/>
          <a:stCxn id="965970" idx="1"/>
        </xdr:cNvCxnSpPr>
      </xdr:nvCxnSpPr>
      <xdr:spPr bwMode="auto">
        <a:xfrm flipH="1" flipV="1">
          <a:off x="7686675" y="742950"/>
          <a:ext cx="1215118" cy="451757"/>
        </a:xfrm>
        <a:prstGeom prst="straightConnector1">
          <a:avLst/>
        </a:prstGeom>
        <a:noFill/>
        <a:ln w="9525">
          <a:solidFill>
            <a:srgbClr val="000000"/>
          </a:solidFill>
          <a:round/>
          <a:headEnd/>
          <a:tailEnd type="triangle" w="med" len="med"/>
        </a:ln>
      </xdr:spPr>
    </xdr:cxnSp>
    <xdr:clientData/>
  </xdr:twoCellAnchor>
  <xdr:twoCellAnchor>
    <xdr:from>
      <xdr:col>5</xdr:col>
      <xdr:colOff>2</xdr:colOff>
      <xdr:row>2</xdr:row>
      <xdr:rowOff>92448</xdr:rowOff>
    </xdr:from>
    <xdr:to>
      <xdr:col>5</xdr:col>
      <xdr:colOff>1200978</xdr:colOff>
      <xdr:row>2</xdr:row>
      <xdr:rowOff>99391</xdr:rowOff>
    </xdr:to>
    <xdr:cxnSp macro="">
      <xdr:nvCxnSpPr>
        <xdr:cNvPr id="75" name="Straight Connector 36">
          <a:extLst>
            <a:ext uri="{FF2B5EF4-FFF2-40B4-BE49-F238E27FC236}">
              <a16:creationId xmlns:a16="http://schemas.microsoft.com/office/drawing/2014/main" id="{00000000-0008-0000-0500-00004B000000}"/>
            </a:ext>
          </a:extLst>
        </xdr:cNvPr>
        <xdr:cNvCxnSpPr>
          <a:cxnSpLocks noChangeShapeType="1"/>
        </xdr:cNvCxnSpPr>
      </xdr:nvCxnSpPr>
      <xdr:spPr bwMode="auto">
        <a:xfrm flipH="1" flipV="1">
          <a:off x="7686263" y="440318"/>
          <a:ext cx="1200976" cy="6943"/>
        </a:xfrm>
        <a:prstGeom prst="line">
          <a:avLst/>
        </a:prstGeom>
        <a:noFill/>
        <a:ln w="9525" algn="ctr">
          <a:solidFill>
            <a:srgbClr val="000000"/>
          </a:solidFill>
          <a:round/>
          <a:headEnd/>
          <a:tailEnd type="triangle" w="med" len="med"/>
        </a:ln>
      </xdr:spPr>
    </xdr:cxnSp>
    <xdr:clientData/>
  </xdr:twoCellAnchor>
</xdr:wsDr>
</file>

<file path=xl/drawings/drawing8.xml><?xml version="1.0" encoding="utf-8"?>
<c:userShapes xmlns:c="http://schemas.openxmlformats.org/drawingml/2006/chart">
  <cdr:relSizeAnchor xmlns:cdr="http://schemas.openxmlformats.org/drawingml/2006/chartDrawing">
    <cdr:from>
      <cdr:x>0.43671</cdr:x>
      <cdr:y>0.0862</cdr:y>
    </cdr:from>
    <cdr:to>
      <cdr:x>0.65487</cdr:x>
      <cdr:y>0.14359</cdr:y>
    </cdr:to>
    <cdr:sp macro="" textlink="">
      <cdr:nvSpPr>
        <cdr:cNvPr id="4" name="Right Arrow 3"/>
        <cdr:cNvSpPr/>
      </cdr:nvSpPr>
      <cdr:spPr>
        <a:xfrm xmlns:a="http://schemas.openxmlformats.org/drawingml/2006/main">
          <a:off x="3693804" y="373580"/>
          <a:ext cx="1845241" cy="248721"/>
        </a:xfrm>
        <a:prstGeom xmlns:a="http://schemas.openxmlformats.org/drawingml/2006/main" prst="rightArrow">
          <a:avLst/>
        </a:prstGeom>
        <a:noFill xmlns:a="http://schemas.openxmlformats.org/drawingml/2006/main"/>
        <a:ln xmlns:a="http://schemas.openxmlformats.org/drawingml/2006/main" w="25400" cap="flat" cmpd="sng" algn="ctr">
          <a:solidFill>
            <a:srgbClr val="005595">
              <a:shade val="50000"/>
            </a:srgb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p xmlns:a="http://schemas.openxmlformats.org/drawingml/2006/main">
          <a:endParaRPr lang="en-US"/>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733425</xdr:colOff>
      <xdr:row>34</xdr:row>
      <xdr:rowOff>123825</xdr:rowOff>
    </xdr:to>
    <xdr:graphicFrame macro="">
      <xdr:nvGraphicFramePr>
        <xdr:cNvPr id="3215286" name="Chart 5">
          <a:extLst>
            <a:ext uri="{FF2B5EF4-FFF2-40B4-BE49-F238E27FC236}">
              <a16:creationId xmlns:a16="http://schemas.microsoft.com/office/drawing/2014/main" id="{00000000-0008-0000-0600-0000B60F3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76201</xdr:colOff>
      <xdr:row>10</xdr:row>
      <xdr:rowOff>85724</xdr:rowOff>
    </xdr:from>
    <xdr:to>
      <xdr:col>2</xdr:col>
      <xdr:colOff>1323975</xdr:colOff>
      <xdr:row>12</xdr:row>
      <xdr:rowOff>9524</xdr:rowOff>
    </xdr:to>
    <xdr:sp macro="" textlink="">
      <xdr:nvSpPr>
        <xdr:cNvPr id="7" name="Right Arrow 6">
          <a:extLst>
            <a:ext uri="{FF2B5EF4-FFF2-40B4-BE49-F238E27FC236}">
              <a16:creationId xmlns:a16="http://schemas.microsoft.com/office/drawing/2014/main" id="{00000000-0008-0000-0600-000007000000}"/>
            </a:ext>
          </a:extLst>
        </xdr:cNvPr>
        <xdr:cNvSpPr/>
      </xdr:nvSpPr>
      <xdr:spPr>
        <a:xfrm>
          <a:off x="2362201" y="1362074"/>
          <a:ext cx="1895474" cy="247650"/>
        </a:xfrm>
        <a:prstGeom prst="rightArrow">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US"/>
        </a:p>
      </xdr:txBody>
    </xdr:sp>
    <xdr:clientData/>
  </xdr:twoCellAnchor>
  <xdr:twoCellAnchor>
    <xdr:from>
      <xdr:col>5</xdr:col>
      <xdr:colOff>0</xdr:colOff>
      <xdr:row>2</xdr:row>
      <xdr:rowOff>9525</xdr:rowOff>
    </xdr:from>
    <xdr:to>
      <xdr:col>6</xdr:col>
      <xdr:colOff>0</xdr:colOff>
      <xdr:row>2</xdr:row>
      <xdr:rowOff>76200</xdr:rowOff>
    </xdr:to>
    <xdr:cxnSp macro="">
      <xdr:nvCxnSpPr>
        <xdr:cNvPr id="3215288" name="Straight Connector 22">
          <a:extLst>
            <a:ext uri="{FF2B5EF4-FFF2-40B4-BE49-F238E27FC236}">
              <a16:creationId xmlns:a16="http://schemas.microsoft.com/office/drawing/2014/main" id="{00000000-0008-0000-0600-0000B80F3100}"/>
            </a:ext>
          </a:extLst>
        </xdr:cNvPr>
        <xdr:cNvCxnSpPr>
          <a:cxnSpLocks noChangeShapeType="1"/>
          <a:stCxn id="46" idx="1"/>
        </xdr:cNvCxnSpPr>
      </xdr:nvCxnSpPr>
      <xdr:spPr bwMode="auto">
        <a:xfrm rot="10800000" flipV="1">
          <a:off x="9172575" y="352425"/>
          <a:ext cx="1314450" cy="66675"/>
        </a:xfrm>
        <a:prstGeom prst="line">
          <a:avLst/>
        </a:prstGeom>
        <a:noFill/>
        <a:ln w="9525" algn="ctr">
          <a:solidFill>
            <a:srgbClr val="000000"/>
          </a:solidFill>
          <a:round/>
          <a:headEnd/>
          <a:tailEnd type="triangle" w="med" len="med"/>
        </a:ln>
      </xdr:spPr>
    </xdr:cxnSp>
    <xdr:clientData/>
  </xdr:twoCellAnchor>
  <xdr:twoCellAnchor>
    <xdr:from>
      <xdr:col>5</xdr:col>
      <xdr:colOff>9525</xdr:colOff>
      <xdr:row>2</xdr:row>
      <xdr:rowOff>85725</xdr:rowOff>
    </xdr:from>
    <xdr:to>
      <xdr:col>6</xdr:col>
      <xdr:colOff>0</xdr:colOff>
      <xdr:row>6</xdr:row>
      <xdr:rowOff>47625</xdr:rowOff>
    </xdr:to>
    <xdr:cxnSp macro="">
      <xdr:nvCxnSpPr>
        <xdr:cNvPr id="3215289" name="Straight Connector 24">
          <a:extLst>
            <a:ext uri="{FF2B5EF4-FFF2-40B4-BE49-F238E27FC236}">
              <a16:creationId xmlns:a16="http://schemas.microsoft.com/office/drawing/2014/main" id="{00000000-0008-0000-0600-0000B90F3100}"/>
            </a:ext>
          </a:extLst>
        </xdr:cNvPr>
        <xdr:cNvCxnSpPr>
          <a:cxnSpLocks noChangeShapeType="1"/>
          <a:stCxn id="47" idx="1"/>
        </xdr:cNvCxnSpPr>
      </xdr:nvCxnSpPr>
      <xdr:spPr bwMode="auto">
        <a:xfrm rot="10800000">
          <a:off x="9182100" y="428625"/>
          <a:ext cx="1304925" cy="609600"/>
        </a:xfrm>
        <a:prstGeom prst="line">
          <a:avLst/>
        </a:prstGeom>
        <a:noFill/>
        <a:ln w="9525" algn="ctr">
          <a:solidFill>
            <a:srgbClr val="000000"/>
          </a:solidFill>
          <a:round/>
          <a:headEnd/>
          <a:tailEnd type="triangle" w="med" len="med"/>
        </a:ln>
      </xdr:spPr>
    </xdr:cxnSp>
    <xdr:clientData/>
  </xdr:twoCellAnchor>
  <xdr:twoCellAnchor>
    <xdr:from>
      <xdr:col>5</xdr:col>
      <xdr:colOff>0</xdr:colOff>
      <xdr:row>2</xdr:row>
      <xdr:rowOff>9525</xdr:rowOff>
    </xdr:from>
    <xdr:to>
      <xdr:col>6</xdr:col>
      <xdr:colOff>0</xdr:colOff>
      <xdr:row>3</xdr:row>
      <xdr:rowOff>76200</xdr:rowOff>
    </xdr:to>
    <xdr:cxnSp macro="">
      <xdr:nvCxnSpPr>
        <xdr:cNvPr id="3215291" name="Straight Connector 28">
          <a:extLst>
            <a:ext uri="{FF2B5EF4-FFF2-40B4-BE49-F238E27FC236}">
              <a16:creationId xmlns:a16="http://schemas.microsoft.com/office/drawing/2014/main" id="{00000000-0008-0000-0600-0000BB0F3100}"/>
            </a:ext>
          </a:extLst>
        </xdr:cNvPr>
        <xdr:cNvCxnSpPr>
          <a:cxnSpLocks noChangeShapeType="1"/>
          <a:stCxn id="46" idx="1"/>
        </xdr:cNvCxnSpPr>
      </xdr:nvCxnSpPr>
      <xdr:spPr bwMode="auto">
        <a:xfrm rot="10800000" flipV="1">
          <a:off x="9172575" y="352425"/>
          <a:ext cx="1314450" cy="228600"/>
        </a:xfrm>
        <a:prstGeom prst="line">
          <a:avLst/>
        </a:prstGeom>
        <a:noFill/>
        <a:ln w="9525" algn="ctr">
          <a:solidFill>
            <a:srgbClr val="000000"/>
          </a:solidFill>
          <a:round/>
          <a:headEnd/>
          <a:tailEnd type="triangle" w="med" len="med"/>
        </a:ln>
      </xdr:spPr>
    </xdr:cxnSp>
    <xdr:clientData/>
  </xdr:twoCellAnchor>
  <xdr:twoCellAnchor>
    <xdr:from>
      <xdr:col>5</xdr:col>
      <xdr:colOff>0</xdr:colOff>
      <xdr:row>3</xdr:row>
      <xdr:rowOff>76200</xdr:rowOff>
    </xdr:from>
    <xdr:to>
      <xdr:col>6</xdr:col>
      <xdr:colOff>0</xdr:colOff>
      <xdr:row>6</xdr:row>
      <xdr:rowOff>47625</xdr:rowOff>
    </xdr:to>
    <xdr:cxnSp macro="">
      <xdr:nvCxnSpPr>
        <xdr:cNvPr id="3215292" name="Straight Connector 30">
          <a:extLst>
            <a:ext uri="{FF2B5EF4-FFF2-40B4-BE49-F238E27FC236}">
              <a16:creationId xmlns:a16="http://schemas.microsoft.com/office/drawing/2014/main" id="{00000000-0008-0000-0600-0000BC0F3100}"/>
            </a:ext>
          </a:extLst>
        </xdr:cNvPr>
        <xdr:cNvCxnSpPr>
          <a:cxnSpLocks noChangeShapeType="1"/>
          <a:stCxn id="47" idx="1"/>
        </xdr:cNvCxnSpPr>
      </xdr:nvCxnSpPr>
      <xdr:spPr bwMode="auto">
        <a:xfrm rot="10800000">
          <a:off x="9172575" y="581025"/>
          <a:ext cx="1314450" cy="457200"/>
        </a:xfrm>
        <a:prstGeom prst="line">
          <a:avLst/>
        </a:prstGeom>
        <a:noFill/>
        <a:ln w="9525" algn="ctr">
          <a:solidFill>
            <a:srgbClr val="000000"/>
          </a:solidFill>
          <a:round/>
          <a:headEnd/>
          <a:tailEnd type="triangle" w="med" len="med"/>
        </a:ln>
      </xdr:spPr>
    </xdr:cxnSp>
    <xdr:clientData/>
  </xdr:twoCellAnchor>
  <xdr:twoCellAnchor>
    <xdr:from>
      <xdr:col>6</xdr:col>
      <xdr:colOff>0</xdr:colOff>
      <xdr:row>0</xdr:row>
      <xdr:rowOff>114300</xdr:rowOff>
    </xdr:from>
    <xdr:to>
      <xdr:col>8</xdr:col>
      <xdr:colOff>184200</xdr:colOff>
      <xdr:row>3</xdr:row>
      <xdr:rowOff>84164</xdr:rowOff>
    </xdr:to>
    <xdr:sp macro="" textlink="">
      <xdr:nvSpPr>
        <xdr:cNvPr id="46" name="AutoShape 19">
          <a:hlinkClick xmlns:r="http://schemas.openxmlformats.org/officeDocument/2006/relationships" r:id="rId2" tooltip="Go to forest_efp"/>
          <a:extLst>
            <a:ext uri="{FF2B5EF4-FFF2-40B4-BE49-F238E27FC236}">
              <a16:creationId xmlns:a16="http://schemas.microsoft.com/office/drawing/2014/main" id="{00000000-0008-0000-0600-00002E000000}"/>
            </a:ext>
          </a:extLst>
        </xdr:cNvPr>
        <xdr:cNvSpPr>
          <a:spLocks noChangeArrowheads="1"/>
        </xdr:cNvSpPr>
      </xdr:nvSpPr>
      <xdr:spPr bwMode="auto">
        <a:xfrm>
          <a:off x="10487025" y="114300"/>
          <a:ext cx="1403400" cy="474689"/>
        </a:xfrm>
        <a:prstGeom prst="roundRect">
          <a:avLst>
            <a:gd name="adj" fmla="val 16667"/>
          </a:avLst>
        </a:prstGeom>
        <a:solidFill>
          <a:schemeClr val="accent6"/>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forest_efp</a:t>
          </a:r>
        </a:p>
      </xdr:txBody>
    </xdr:sp>
    <xdr:clientData/>
  </xdr:twoCellAnchor>
  <xdr:twoCellAnchor>
    <xdr:from>
      <xdr:col>6</xdr:col>
      <xdr:colOff>0</xdr:colOff>
      <xdr:row>4</xdr:row>
      <xdr:rowOff>138120</xdr:rowOff>
    </xdr:from>
    <xdr:to>
      <xdr:col>8</xdr:col>
      <xdr:colOff>184200</xdr:colOff>
      <xdr:row>7</xdr:row>
      <xdr:rowOff>127034</xdr:rowOff>
    </xdr:to>
    <xdr:sp macro="" textlink="">
      <xdr:nvSpPr>
        <xdr:cNvPr id="47" name="AutoShape 20">
          <a:hlinkClick xmlns:r="http://schemas.openxmlformats.org/officeDocument/2006/relationships" r:id="rId3" tooltip="Go to forest_efi"/>
          <a:extLst>
            <a:ext uri="{FF2B5EF4-FFF2-40B4-BE49-F238E27FC236}">
              <a16:creationId xmlns:a16="http://schemas.microsoft.com/office/drawing/2014/main" id="{00000000-0008-0000-0600-00002F000000}"/>
            </a:ext>
          </a:extLst>
        </xdr:cNvPr>
        <xdr:cNvSpPr>
          <a:spLocks noChangeArrowheads="1"/>
        </xdr:cNvSpPr>
      </xdr:nvSpPr>
      <xdr:spPr bwMode="auto">
        <a:xfrm>
          <a:off x="10487025" y="804870"/>
          <a:ext cx="1403400" cy="474689"/>
        </a:xfrm>
        <a:prstGeom prst="roundRect">
          <a:avLst>
            <a:gd name="adj" fmla="val 16667"/>
          </a:avLst>
        </a:prstGeom>
        <a:solidFill>
          <a:schemeClr val="accent6"/>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t>forest_efi_efe</a:t>
          </a:r>
        </a:p>
      </xdr:txBody>
    </xdr:sp>
    <xdr:clientData/>
  </xdr:twoCellAnchor>
  <xdr:twoCellAnchor>
    <xdr:from>
      <xdr:col>9</xdr:col>
      <xdr:colOff>217560</xdr:colOff>
      <xdr:row>2</xdr:row>
      <xdr:rowOff>47662</xdr:rowOff>
    </xdr:from>
    <xdr:to>
      <xdr:col>11</xdr:col>
      <xdr:colOff>401760</xdr:colOff>
      <xdr:row>5</xdr:row>
      <xdr:rowOff>36567</xdr:rowOff>
    </xdr:to>
    <xdr:sp macro="" textlink="">
      <xdr:nvSpPr>
        <xdr:cNvPr id="51" name="AutoShape 34">
          <a:hlinkClick xmlns:r="http://schemas.openxmlformats.org/officeDocument/2006/relationships" r:id="rId4" tooltip="Go to eqf"/>
          <a:extLst>
            <a:ext uri="{FF2B5EF4-FFF2-40B4-BE49-F238E27FC236}">
              <a16:creationId xmlns:a16="http://schemas.microsoft.com/office/drawing/2014/main" id="{00000000-0008-0000-0600-000033000000}"/>
            </a:ext>
          </a:extLst>
        </xdr:cNvPr>
        <xdr:cNvSpPr>
          <a:spLocks noChangeArrowheads="1"/>
        </xdr:cNvSpPr>
      </xdr:nvSpPr>
      <xdr:spPr bwMode="auto">
        <a:xfrm>
          <a:off x="12533385" y="390562"/>
          <a:ext cx="1403400" cy="474680"/>
        </a:xfrm>
        <a:prstGeom prst="roundRect">
          <a:avLst>
            <a:gd name="adj" fmla="val 16667"/>
          </a:avLst>
        </a:prstGeom>
        <a:solidFill>
          <a:srgbClr val="7030A0"/>
        </a:solidFill>
        <a:ln w="9525">
          <a:solidFill>
            <a:schemeClr val="tx1"/>
          </a:solidFill>
          <a:round/>
          <a:headEnd/>
          <a:tailEnd/>
        </a:ln>
        <a:effectLst/>
        <a:scene3d>
          <a:camera prst="orthographicFront"/>
          <a:lightRig rig="threePt" dir="t"/>
        </a:scene3d>
        <a:sp3d>
          <a:bevelT/>
        </a:sp3d>
      </xdr:spPr>
      <xdr:txBody>
        <a:bodyPr wrap="square" anchor="ctr"/>
        <a:lstStyle>
          <a:defPPr>
            <a:defRPr lang="en-US"/>
          </a:defPPr>
          <a:lvl1pPr algn="ctr" rtl="0" fontAlgn="base">
            <a:spcBef>
              <a:spcPct val="0"/>
            </a:spcBef>
            <a:spcAft>
              <a:spcPct val="0"/>
            </a:spcAft>
            <a:defRPr kern="1200">
              <a:solidFill>
                <a:schemeClr val="tx1"/>
              </a:solidFill>
              <a:latin typeface="Arial" charset="0"/>
              <a:ea typeface="+mn-ea"/>
              <a:cs typeface="+mn-cs"/>
            </a:defRPr>
          </a:lvl1pPr>
          <a:lvl2pPr marL="457200" algn="ctr" rtl="0" fontAlgn="base">
            <a:spcBef>
              <a:spcPct val="0"/>
            </a:spcBef>
            <a:spcAft>
              <a:spcPct val="0"/>
            </a:spcAft>
            <a:defRPr kern="1200">
              <a:solidFill>
                <a:schemeClr val="tx1"/>
              </a:solidFill>
              <a:latin typeface="Arial" charset="0"/>
              <a:ea typeface="+mn-ea"/>
              <a:cs typeface="+mn-cs"/>
            </a:defRPr>
          </a:lvl2pPr>
          <a:lvl3pPr marL="914400" algn="ctr" rtl="0" fontAlgn="base">
            <a:spcBef>
              <a:spcPct val="0"/>
            </a:spcBef>
            <a:spcAft>
              <a:spcPct val="0"/>
            </a:spcAft>
            <a:defRPr kern="1200">
              <a:solidFill>
                <a:schemeClr val="tx1"/>
              </a:solidFill>
              <a:latin typeface="Arial" charset="0"/>
              <a:ea typeface="+mn-ea"/>
              <a:cs typeface="+mn-cs"/>
            </a:defRPr>
          </a:lvl3pPr>
          <a:lvl4pPr marL="1371600" algn="ctr" rtl="0" fontAlgn="base">
            <a:spcBef>
              <a:spcPct val="0"/>
            </a:spcBef>
            <a:spcAft>
              <a:spcPct val="0"/>
            </a:spcAft>
            <a:defRPr kern="1200">
              <a:solidFill>
                <a:schemeClr val="tx1"/>
              </a:solidFill>
              <a:latin typeface="Arial" charset="0"/>
              <a:ea typeface="+mn-ea"/>
              <a:cs typeface="+mn-cs"/>
            </a:defRPr>
          </a:lvl4pPr>
          <a:lvl5pPr marL="1828800" algn="ctr"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en-US" sz="1000">
              <a:solidFill>
                <a:schemeClr val="bg1"/>
              </a:solidFill>
            </a:rPr>
            <a:t>eqf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data.footprintnetwork.org/" TargetMode="External"/><Relationship Id="rId2" Type="http://schemas.openxmlformats.org/officeDocument/2006/relationships/hyperlink" Target="mailto:footprint@yorku.ca" TargetMode="External"/><Relationship Id="rId1" Type="http://schemas.openxmlformats.org/officeDocument/2006/relationships/hyperlink" Target="https://footprint.info.yorku.ca/nfba_guideboo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dx.doi.org/10.3390/resources7030058"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1.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6.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9.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1.xml"/><Relationship Id="rId1" Type="http://schemas.openxmlformats.org/officeDocument/2006/relationships/printerSettings" Target="../printerSettings/printerSettings28.bin"/><Relationship Id="rId4"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2.xml"/><Relationship Id="rId1" Type="http://schemas.openxmlformats.org/officeDocument/2006/relationships/printerSettings" Target="../printerSettings/printerSettings29.bin"/><Relationship Id="rId4"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4.xml"/><Relationship Id="rId1" Type="http://schemas.openxmlformats.org/officeDocument/2006/relationships/printerSettings" Target="../printerSettings/printerSettings30.bin"/><Relationship Id="rId4" Type="http://schemas.openxmlformats.org/officeDocument/2006/relationships/comments" Target="../comments2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6.xml"/><Relationship Id="rId1" Type="http://schemas.openxmlformats.org/officeDocument/2006/relationships/printerSettings" Target="../printerSettings/printerSettings31.bin"/><Relationship Id="rId4" Type="http://schemas.openxmlformats.org/officeDocument/2006/relationships/comments" Target="../comments2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7.xml"/><Relationship Id="rId1" Type="http://schemas.openxmlformats.org/officeDocument/2006/relationships/printerSettings" Target="../printerSettings/printerSettings32.bin"/><Relationship Id="rId4" Type="http://schemas.openxmlformats.org/officeDocument/2006/relationships/comments" Target="../comments2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8.xml"/><Relationship Id="rId1" Type="http://schemas.openxmlformats.org/officeDocument/2006/relationships/printerSettings" Target="../printerSettings/printerSettings33.bin"/><Relationship Id="rId4" Type="http://schemas.openxmlformats.org/officeDocument/2006/relationships/comments" Target="../comments25.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4.bin"/><Relationship Id="rId1" Type="http://schemas.openxmlformats.org/officeDocument/2006/relationships/hyperlink" Target="http://www.pnas.org/cgi/content/full/0704243104/DC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1.xml"/><Relationship Id="rId1" Type="http://schemas.openxmlformats.org/officeDocument/2006/relationships/printerSettings" Target="../printerSettings/printerSettings35.bin"/><Relationship Id="rId4"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43.xml"/><Relationship Id="rId1" Type="http://schemas.openxmlformats.org/officeDocument/2006/relationships/printerSettings" Target="../printerSettings/printerSettings37.bin"/><Relationship Id="rId4"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44.xml"/><Relationship Id="rId1" Type="http://schemas.openxmlformats.org/officeDocument/2006/relationships/printerSettings" Target="../printerSettings/printerSettings38.bin"/><Relationship Id="rId4" Type="http://schemas.openxmlformats.org/officeDocument/2006/relationships/comments" Target="../comments28.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9.xml"/><Relationship Id="rId1" Type="http://schemas.openxmlformats.org/officeDocument/2006/relationships/printerSettings" Target="../printerSettings/printerSettings40.bin"/><Relationship Id="rId4" Type="http://schemas.openxmlformats.org/officeDocument/2006/relationships/comments" Target="../comments3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2.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6.xml"/><Relationship Id="rId1" Type="http://schemas.openxmlformats.org/officeDocument/2006/relationships/printerSettings" Target="../printerSettings/printerSettings43.bin"/><Relationship Id="rId4" Type="http://schemas.openxmlformats.org/officeDocument/2006/relationships/comments" Target="../comments3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57.xml"/><Relationship Id="rId1" Type="http://schemas.openxmlformats.org/officeDocument/2006/relationships/printerSettings" Target="../printerSettings/printerSettings44.bin"/><Relationship Id="rId4" Type="http://schemas.openxmlformats.org/officeDocument/2006/relationships/comments" Target="../comments3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47.bin"/><Relationship Id="rId4" Type="http://schemas.openxmlformats.org/officeDocument/2006/relationships/comments" Target="../comments38.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48.bin"/><Relationship Id="rId4" Type="http://schemas.openxmlformats.org/officeDocument/2006/relationships/comments" Target="../comments39.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49.bin"/><Relationship Id="rId4" Type="http://schemas.openxmlformats.org/officeDocument/2006/relationships/comments" Target="../comments40.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4.xml"/><Relationship Id="rId1" Type="http://schemas.openxmlformats.org/officeDocument/2006/relationships/printerSettings" Target="../printerSettings/printerSettings50.bin"/><Relationship Id="rId4" Type="http://schemas.openxmlformats.org/officeDocument/2006/relationships/comments" Target="../comments41.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65.xml"/><Relationship Id="rId1" Type="http://schemas.openxmlformats.org/officeDocument/2006/relationships/printerSettings" Target="../printerSettings/printerSettings51.bin"/><Relationship Id="rId4" Type="http://schemas.openxmlformats.org/officeDocument/2006/relationships/comments" Target="../comments4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4">
    <tabColor theme="0"/>
    <pageSetUpPr autoPageBreaks="0"/>
  </sheetPr>
  <dimension ref="A1:I23"/>
  <sheetViews>
    <sheetView zoomScaleNormal="100" workbookViewId="0">
      <selection activeCell="A65536" sqref="A65536"/>
    </sheetView>
  </sheetViews>
  <sheetFormatPr defaultColWidth="9.1796875" defaultRowHeight="12.5"/>
  <cols>
    <col min="1" max="1" width="3.7265625" style="38" customWidth="1"/>
    <col min="2" max="3" width="26.26953125" style="38" customWidth="1"/>
    <col min="4" max="4" width="21.7265625" style="38" customWidth="1"/>
    <col min="5" max="5" width="5" style="38" customWidth="1"/>
    <col min="6" max="6" width="31.453125" style="38" customWidth="1"/>
    <col min="7" max="7" width="29.7265625" style="38" customWidth="1"/>
    <col min="8" max="9" width="21.7265625" style="38" customWidth="1"/>
    <col min="10" max="16384" width="9.1796875" style="38"/>
  </cols>
  <sheetData>
    <row r="1" spans="1:9" s="1" customFormat="1"/>
    <row r="2" spans="1:9" s="1" customFormat="1"/>
    <row r="3" spans="1:9" s="1" customFormat="1">
      <c r="D3"/>
    </row>
    <row r="4" spans="1:9" s="1" customFormat="1"/>
    <row r="5" spans="1:9" s="1" customFormat="1"/>
    <row r="6" spans="1:9" s="1" customFormat="1" ht="28">
      <c r="A6" s="5"/>
      <c r="B6" s="1153" t="s">
        <v>9198</v>
      </c>
      <c r="C6" s="1154"/>
      <c r="D6" s="1154"/>
      <c r="E6" s="1154"/>
      <c r="F6" s="1154"/>
      <c r="G6" s="1154"/>
      <c r="H6" s="1154"/>
      <c r="I6" s="1155"/>
    </row>
    <row r="7" spans="1:9" s="1" customFormat="1" ht="14">
      <c r="A7" s="5"/>
      <c r="B7" s="1156" t="str">
        <f>" 2022 Edition"</f>
        <v xml:space="preserve"> 2022 Edition</v>
      </c>
      <c r="C7" s="1157"/>
      <c r="D7" s="1157"/>
      <c r="E7" s="1157"/>
      <c r="F7" s="1157"/>
      <c r="G7" s="1157"/>
      <c r="H7" s="1157"/>
      <c r="I7" s="1158"/>
    </row>
    <row r="8" spans="1:9" s="1" customFormat="1" ht="13">
      <c r="B8" s="418"/>
      <c r="C8" s="419"/>
      <c r="D8" s="419"/>
      <c r="E8" s="3"/>
      <c r="F8" s="3"/>
      <c r="G8" s="3"/>
      <c r="H8" s="3"/>
      <c r="I8" s="3"/>
    </row>
    <row r="9" spans="1:9" s="1" customFormat="1" ht="13">
      <c r="A9" s="5"/>
      <c r="B9" s="772" t="s">
        <v>4769</v>
      </c>
      <c r="C9" s="772" t="s">
        <v>5588</v>
      </c>
      <c r="D9" s="772"/>
      <c r="E9" s="8"/>
    </row>
    <row r="10" spans="1:9" s="1" customFormat="1" ht="13">
      <c r="A10" s="5"/>
      <c r="B10" s="772" t="s">
        <v>6864</v>
      </c>
      <c r="C10" s="772">
        <v>33</v>
      </c>
      <c r="D10" s="772"/>
      <c r="E10" s="8"/>
    </row>
    <row r="11" spans="1:9" ht="13">
      <c r="A11" s="416"/>
      <c r="B11" s="772" t="s">
        <v>5255</v>
      </c>
      <c r="C11" s="772">
        <v>2018</v>
      </c>
      <c r="D11" s="772"/>
      <c r="E11" s="417"/>
    </row>
    <row r="12" spans="1:9" ht="13">
      <c r="B12" s="413"/>
      <c r="C12" s="414"/>
      <c r="D12" s="415"/>
    </row>
    <row r="13" spans="1:9" ht="12.75" customHeight="1">
      <c r="B13" s="126" t="s">
        <v>1784</v>
      </c>
      <c r="C13" s="1159" t="str">
        <f>"The 2022 edition of the National Footprint and Biocapacity Accounts contains detailed Ecological Footprint and biocapacity data for over 150 countries, from 1961 to 2018. This document provides all calculations for the Ecological Footprint of " &amp; COUNTRY &amp; " in " &amp; YEAR &amp; ". The summary sheet in this workbook lists each component of biocapacity (ecological supply) and Ecological Footprint (ecological demand) on an aggregate and a per capita basis. Subsequent sheets provide detailed data and supporting calculations for each " &amp; "component of Ecological Footprint and biocapacity. In general, sheets with names ending in '_efp' calculate the Ecological Footprint of domestic production" &amp; ", while sheets with names ending in _efi_efe account for the Ecological Footprints of imports and exports."</f>
        <v>The 2022 edition of the National Footprint and Biocapacity Accounts contains detailed Ecological Footprint and biocapacity data for over 150 countries, from 1961 to 2018. This document provides all calculations for the Ecological Footprint of Canada in 2018. The summary sheet in this workbook lists each component of biocapacity (ecological supply) and Ecological Footprint (ecological demand) on an aggregate and a per capita basis. Subsequent sheets provide detailed data and supporting calculations for each component of Ecological Footprint and biocapacity. In general, sheets with names ending in '_efp' calculate the Ecological Footprint of domestic production, while sheets with names ending in _efi_efe account for the Ecological Footprints of imports and exports.</v>
      </c>
      <c r="D13" s="1160"/>
      <c r="E13" s="1160"/>
      <c r="F13" s="1160"/>
      <c r="G13" s="1160"/>
      <c r="H13" s="1160"/>
      <c r="I13" s="143"/>
    </row>
    <row r="14" spans="1:9" ht="13">
      <c r="B14" s="126"/>
      <c r="C14" s="1161"/>
      <c r="D14" s="1162"/>
      <c r="E14" s="1162"/>
      <c r="F14" s="1162"/>
      <c r="G14" s="1162"/>
      <c r="H14" s="1162"/>
      <c r="I14" s="144"/>
    </row>
    <row r="15" spans="1:9" ht="13">
      <c r="B15" s="126"/>
      <c r="C15" s="1161"/>
      <c r="D15" s="1162"/>
      <c r="E15" s="1162"/>
      <c r="F15" s="1162"/>
      <c r="G15" s="1162"/>
      <c r="H15" s="1162"/>
      <c r="I15" s="144"/>
    </row>
    <row r="16" spans="1:9" ht="13">
      <c r="B16" s="126"/>
      <c r="C16" s="1161"/>
      <c r="D16" s="1162"/>
      <c r="E16" s="1162"/>
      <c r="F16" s="1162"/>
      <c r="G16" s="1162"/>
      <c r="H16" s="1162"/>
      <c r="I16" s="144"/>
    </row>
    <row r="17" spans="2:9" ht="13">
      <c r="B17" s="126"/>
      <c r="C17" s="1161"/>
      <c r="D17" s="1162"/>
      <c r="E17" s="1162"/>
      <c r="F17" s="1162"/>
      <c r="G17" s="1162"/>
      <c r="H17" s="1162"/>
      <c r="I17" s="144"/>
    </row>
    <row r="18" spans="2:9" ht="13">
      <c r="B18" s="126"/>
    </row>
    <row r="19" spans="2:9" ht="13">
      <c r="B19" s="126" t="s">
        <v>9261</v>
      </c>
      <c r="C19" s="38" t="s">
        <v>9258</v>
      </c>
      <c r="D19" s="1152" t="s">
        <v>8921</v>
      </c>
    </row>
    <row r="20" spans="2:9" ht="13">
      <c r="B20" s="126"/>
      <c r="C20" s="38" t="s">
        <v>9257</v>
      </c>
      <c r="D20" s="1152" t="s">
        <v>9251</v>
      </c>
    </row>
    <row r="21" spans="2:9">
      <c r="C21" s="38" t="s">
        <v>9259</v>
      </c>
      <c r="D21" s="1152" t="s">
        <v>9260</v>
      </c>
    </row>
    <row r="23" spans="2:9" ht="13">
      <c r="B23" s="126" t="s">
        <v>1785</v>
      </c>
      <c r="C23" s="1152" t="s">
        <v>9250</v>
      </c>
    </row>
  </sheetData>
  <mergeCells count="3">
    <mergeCell ref="B6:I6"/>
    <mergeCell ref="B7:I7"/>
    <mergeCell ref="C13:H17"/>
  </mergeCells>
  <phoneticPr fontId="5" type="noConversion"/>
  <hyperlinks>
    <hyperlink ref="D19" r:id="rId1" xr:uid="{00000000-0004-0000-0000-000002000000}"/>
    <hyperlink ref="C23" r:id="rId2" xr:uid="{00000000-0004-0000-0000-000003000000}"/>
    <hyperlink ref="D20" r:id="rId3" xr:uid="{00000000-0004-0000-0000-000004000000}"/>
    <hyperlink ref="D21" r:id="rId4" xr:uid="{9D34F663-39F5-40C6-974E-CC9997276ADB}"/>
  </hyperlinks>
  <pageMargins left="0.75" right="0.75" top="1" bottom="1" header="0.5" footer="0.5"/>
  <pageSetup orientation="portrait"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6"/>
    <pageSetUpPr autoPageBreaks="0"/>
  </sheetPr>
  <dimension ref="A1:E4"/>
  <sheetViews>
    <sheetView zoomScaleNormal="100" workbookViewId="0">
      <selection activeCell="A65536" sqref="A65536"/>
    </sheetView>
  </sheetViews>
  <sheetFormatPr defaultColWidth="9.1796875" defaultRowHeight="12.75" customHeight="1"/>
  <cols>
    <col min="1" max="1" width="50.7265625" style="36" customWidth="1"/>
    <col min="2" max="5" width="21.7265625" style="36" customWidth="1"/>
    <col min="6" max="6" width="19.7265625" style="36" customWidth="1"/>
    <col min="7" max="16384" width="9.1796875" style="36"/>
  </cols>
  <sheetData>
    <row r="1" spans="1:5" ht="15">
      <c r="A1" s="940" t="s">
        <v>1923</v>
      </c>
      <c r="B1" s="745" t="s">
        <v>3841</v>
      </c>
      <c r="C1" s="745" t="s">
        <v>3840</v>
      </c>
      <c r="D1" s="745" t="s">
        <v>3842</v>
      </c>
      <c r="E1" s="746" t="s">
        <v>1626</v>
      </c>
    </row>
    <row r="2" spans="1:5" ht="12.5">
      <c r="A2" s="941" t="s">
        <v>542</v>
      </c>
      <c r="B2" s="942" t="s">
        <v>720</v>
      </c>
      <c r="C2" s="942" t="s">
        <v>720</v>
      </c>
      <c r="D2" s="942" t="s">
        <v>720</v>
      </c>
      <c r="E2" s="943" t="s">
        <v>720</v>
      </c>
    </row>
    <row r="3" spans="1:5" ht="12.5">
      <c r="A3" s="4" t="s">
        <v>2993</v>
      </c>
      <c r="B3" s="31">
        <f>infrastructure_efp!F7</f>
        <v>3354421.443636999</v>
      </c>
      <c r="C3" s="29">
        <v>0</v>
      </c>
      <c r="D3" s="29">
        <v>0</v>
      </c>
      <c r="E3" s="30">
        <f>B3+C3-D3</f>
        <v>3354421.443636999</v>
      </c>
    </row>
    <row r="4" spans="1:5" ht="13">
      <c r="A4" s="42" t="s">
        <v>3843</v>
      </c>
      <c r="B4" s="40">
        <f>SUM(B3:B3)</f>
        <v>3354421.443636999</v>
      </c>
      <c r="C4" s="50">
        <v>0</v>
      </c>
      <c r="D4" s="50">
        <v>0</v>
      </c>
      <c r="E4" s="41">
        <f>B4+C4-D4</f>
        <v>3354421.443636999</v>
      </c>
    </row>
  </sheetData>
  <phoneticPr fontId="5" type="noConversion"/>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8">
    <tabColor theme="1"/>
    <pageSetUpPr autoPageBreaks="0"/>
  </sheetPr>
  <dimension ref="A2:F62"/>
  <sheetViews>
    <sheetView topLeftCell="A31" zoomScaleNormal="100" workbookViewId="0">
      <selection activeCell="A65536" sqref="A65536"/>
    </sheetView>
  </sheetViews>
  <sheetFormatPr defaultColWidth="9.1796875" defaultRowHeight="12.75" customHeight="1"/>
  <cols>
    <col min="1" max="1" width="59.7265625" style="36" bestFit="1" customWidth="1"/>
    <col min="2" max="2" width="21.7265625" style="36" customWidth="1"/>
    <col min="3" max="3" width="18.7265625" style="36" customWidth="1"/>
    <col min="4" max="5" width="21.7265625" style="36" customWidth="1"/>
    <col min="6" max="6" width="19.26953125" style="36" customWidth="1"/>
    <col min="7" max="7" width="21.7265625" style="36" customWidth="1"/>
    <col min="8" max="16384" width="9.1796875" style="36"/>
  </cols>
  <sheetData>
    <row r="2" spans="1:6" ht="12.75" customHeight="1">
      <c r="B2" s="37" t="s">
        <v>985</v>
      </c>
      <c r="C2" s="466" t="s">
        <v>988</v>
      </c>
      <c r="D2" s="466" t="s">
        <v>6145</v>
      </c>
      <c r="E2" s="466" t="s">
        <v>2004</v>
      </c>
    </row>
    <row r="3" spans="1:6" ht="12.75" customHeight="1">
      <c r="B3" s="37" t="s">
        <v>986</v>
      </c>
      <c r="C3" s="466" t="s">
        <v>987</v>
      </c>
      <c r="D3" s="466" t="s">
        <v>463</v>
      </c>
      <c r="E3" s="466"/>
    </row>
    <row r="6" spans="1:6" ht="15">
      <c r="A6" s="944" t="s">
        <v>1923</v>
      </c>
      <c r="B6" s="906" t="s">
        <v>1925</v>
      </c>
      <c r="C6" s="906" t="s">
        <v>1926</v>
      </c>
      <c r="D6" s="906" t="s">
        <v>6022</v>
      </c>
      <c r="E6" s="906" t="s">
        <v>1771</v>
      </c>
      <c r="F6" s="945" t="s">
        <v>2978</v>
      </c>
    </row>
    <row r="7" spans="1:6" ht="15.5">
      <c r="A7" s="946" t="s">
        <v>542</v>
      </c>
      <c r="B7" s="947" t="s">
        <v>2979</v>
      </c>
      <c r="C7" s="947" t="s">
        <v>914</v>
      </c>
      <c r="D7" s="947" t="s">
        <v>542</v>
      </c>
      <c r="E7" s="947" t="s">
        <v>915</v>
      </c>
      <c r="F7" s="948" t="s">
        <v>720</v>
      </c>
    </row>
    <row r="8" spans="1:6" ht="12.5">
      <c r="A8" s="440" t="s">
        <v>8231</v>
      </c>
      <c r="B8" s="495">
        <v>570.54</v>
      </c>
      <c r="C8" s="441">
        <f>(cnst_carbon!$C$7/cnst_carbon!$C$6)</f>
        <v>2.675045795170691</v>
      </c>
      <c r="D8" s="441">
        <f t="shared" ref="D8:D57" si="0">VLOOKUP("Forest Land",iyf,2,FALSE)</f>
        <v>1</v>
      </c>
      <c r="E8" s="441">
        <f>VLOOKUP("Forest Land",eqf,2,FALSE)</f>
        <v>1.2621587876897493</v>
      </c>
      <c r="F8" s="442">
        <f>(IF(ISBLANK(B8),B62/1000,B8)*1000000*(1-cnst_carbon!$C$8))/C8*E8*D8</f>
        <v>192084346.76125029</v>
      </c>
    </row>
    <row r="9" spans="1:6" ht="12.5">
      <c r="A9" s="436" t="s">
        <v>3660</v>
      </c>
      <c r="B9" s="494">
        <v>71.846000000000004</v>
      </c>
      <c r="C9" s="292">
        <f>$C$8</f>
        <v>2.675045795170691</v>
      </c>
      <c r="D9" s="292">
        <f t="shared" si="0"/>
        <v>1</v>
      </c>
      <c r="E9" s="292">
        <f>$E$8</f>
        <v>1.2621587876897493</v>
      </c>
      <c r="F9" s="293">
        <f>(B9*1000000*(1-cnst_carbon!$C$8))/C9*E9*D9</f>
        <v>24188474.037593838</v>
      </c>
    </row>
    <row r="10" spans="1:6" ht="12.5">
      <c r="A10" s="796" t="s">
        <v>3661</v>
      </c>
      <c r="B10" s="491">
        <v>66.498000000000005</v>
      </c>
      <c r="C10" s="292">
        <f t="shared" ref="C10:C57" si="1">$C$8</f>
        <v>2.675045795170691</v>
      </c>
      <c r="D10" s="292">
        <f t="shared" si="0"/>
        <v>1</v>
      </c>
      <c r="E10" s="292">
        <f t="shared" ref="E10:E57" si="2">$E$8</f>
        <v>1.2621587876897493</v>
      </c>
      <c r="F10" s="293">
        <f>(B10*1000000*(1-cnst_carbon!$C$8))/C10*E10*D10</f>
        <v>22387956.832000606</v>
      </c>
    </row>
    <row r="11" spans="1:6" ht="12.5">
      <c r="A11" s="796" t="s">
        <v>3662</v>
      </c>
      <c r="B11" s="491">
        <v>5.1470000000000002</v>
      </c>
      <c r="C11" s="292">
        <f t="shared" si="1"/>
        <v>2.675045795170691</v>
      </c>
      <c r="D11" s="292">
        <f t="shared" si="0"/>
        <v>1</v>
      </c>
      <c r="E11" s="292">
        <f t="shared" si="2"/>
        <v>1.2621587876897493</v>
      </c>
      <c r="F11" s="293">
        <f>(B11*1000000*(1-cnst_carbon!$C$8))/C11*E11*D11</f>
        <v>1732846.3083747944</v>
      </c>
    </row>
    <row r="12" spans="1:6" ht="12.5">
      <c r="A12" s="796" t="s">
        <v>3663</v>
      </c>
      <c r="B12" s="491">
        <v>0.2</v>
      </c>
      <c r="C12" s="292">
        <f t="shared" si="1"/>
        <v>2.675045795170691</v>
      </c>
      <c r="D12" s="292">
        <f t="shared" si="0"/>
        <v>1</v>
      </c>
      <c r="E12" s="292">
        <f t="shared" si="2"/>
        <v>1.2621587876897493</v>
      </c>
      <c r="F12" s="293">
        <f>(B12*1000000*(1-cnst_carbon!$C$8))/C12*E12*D12</f>
        <v>67334.226088004434</v>
      </c>
    </row>
    <row r="13" spans="1:6" ht="12.5">
      <c r="A13" s="796" t="s">
        <v>977</v>
      </c>
      <c r="B13" s="491">
        <v>0</v>
      </c>
      <c r="C13" s="292">
        <f t="shared" si="1"/>
        <v>2.675045795170691</v>
      </c>
      <c r="D13" s="292">
        <f t="shared" si="0"/>
        <v>1</v>
      </c>
      <c r="E13" s="292">
        <f t="shared" si="2"/>
        <v>1.2621587876897493</v>
      </c>
      <c r="F13" s="293">
        <f>(B13*1000000*(1-cnst_carbon!$C$8))/C13*E13*D13</f>
        <v>0</v>
      </c>
    </row>
    <row r="14" spans="1:6" ht="12.5">
      <c r="A14" s="436" t="s">
        <v>978</v>
      </c>
      <c r="B14" s="491">
        <v>16.300999999999998</v>
      </c>
      <c r="C14" s="292">
        <f t="shared" si="1"/>
        <v>2.675045795170691</v>
      </c>
      <c r="D14" s="292">
        <f t="shared" si="0"/>
        <v>1</v>
      </c>
      <c r="E14" s="292">
        <f t="shared" si="2"/>
        <v>1.2621587876897493</v>
      </c>
      <c r="F14" s="293">
        <f>(B14*1000000*(1-cnst_carbon!$C$8))/C14*E14*D14</f>
        <v>5488076.0973028019</v>
      </c>
    </row>
    <row r="15" spans="1:6" ht="12.5">
      <c r="A15" s="796" t="s">
        <v>979</v>
      </c>
      <c r="B15" s="491">
        <v>16.298999999999999</v>
      </c>
      <c r="C15" s="292">
        <f t="shared" si="1"/>
        <v>2.675045795170691</v>
      </c>
      <c r="D15" s="292">
        <f t="shared" si="0"/>
        <v>1</v>
      </c>
      <c r="E15" s="292">
        <f t="shared" si="2"/>
        <v>1.2621587876897493</v>
      </c>
      <c r="F15" s="293">
        <f>(B15*1000000*(1-cnst_carbon!$C$8))/C15*E15*D15</f>
        <v>5487402.7550419224</v>
      </c>
    </row>
    <row r="16" spans="1:6" ht="12.5">
      <c r="A16" s="796" t="s">
        <v>980</v>
      </c>
      <c r="B16" s="491">
        <v>0</v>
      </c>
      <c r="C16" s="292">
        <f t="shared" si="1"/>
        <v>2.675045795170691</v>
      </c>
      <c r="D16" s="292">
        <f t="shared" si="0"/>
        <v>1</v>
      </c>
      <c r="E16" s="292">
        <f t="shared" si="2"/>
        <v>1.2621587876897493</v>
      </c>
      <c r="F16" s="293">
        <f>(B16*1000000*(1-cnst_carbon!$C$8))/C16*E16*D16</f>
        <v>0</v>
      </c>
    </row>
    <row r="17" spans="1:6" ht="12.5">
      <c r="A17" s="796" t="s">
        <v>981</v>
      </c>
      <c r="B17" s="491">
        <v>2E-3</v>
      </c>
      <c r="C17" s="292">
        <f t="shared" si="1"/>
        <v>2.675045795170691</v>
      </c>
      <c r="D17" s="292">
        <f t="shared" si="0"/>
        <v>1</v>
      </c>
      <c r="E17" s="292">
        <f t="shared" si="2"/>
        <v>1.2621587876897493</v>
      </c>
      <c r="F17" s="293">
        <f>(B17*1000000*(1-cnst_carbon!$C$8))/C17*E17*D17</f>
        <v>673.34226088004448</v>
      </c>
    </row>
    <row r="18" spans="1:6" ht="12.5">
      <c r="A18" s="436" t="s">
        <v>7564</v>
      </c>
      <c r="B18" s="491">
        <v>122.667</v>
      </c>
      <c r="C18" s="292">
        <f t="shared" si="1"/>
        <v>2.675045795170691</v>
      </c>
      <c r="D18" s="292">
        <f t="shared" si="0"/>
        <v>1</v>
      </c>
      <c r="E18" s="292">
        <f t="shared" si="2"/>
        <v>1.2621587876897493</v>
      </c>
      <c r="F18" s="293">
        <f>(B18*1000000*(1-cnst_carbon!$C$8))/C18*E18*D18</f>
        <v>41298437.55768621</v>
      </c>
    </row>
    <row r="19" spans="1:6" ht="12.5">
      <c r="A19" s="436" t="s">
        <v>4924</v>
      </c>
      <c r="B19" s="491">
        <v>70.802000000000007</v>
      </c>
      <c r="C19" s="292">
        <f t="shared" si="1"/>
        <v>2.675045795170691</v>
      </c>
      <c r="D19" s="292">
        <f t="shared" si="0"/>
        <v>1</v>
      </c>
      <c r="E19" s="292">
        <f t="shared" si="2"/>
        <v>1.2621587876897493</v>
      </c>
      <c r="F19" s="293">
        <f>(B19*1000000*(1-cnst_carbon!$C$8))/C19*E19*D19</f>
        <v>23836989.377414454</v>
      </c>
    </row>
    <row r="20" spans="1:6" ht="12.5">
      <c r="A20" s="796" t="s">
        <v>4925</v>
      </c>
      <c r="B20" s="491">
        <v>14.385</v>
      </c>
      <c r="C20" s="292">
        <f t="shared" si="1"/>
        <v>2.675045795170691</v>
      </c>
      <c r="D20" s="292">
        <f t="shared" si="0"/>
        <v>1</v>
      </c>
      <c r="E20" s="292">
        <f t="shared" si="2"/>
        <v>1.2621587876897493</v>
      </c>
      <c r="F20" s="293">
        <f>(B20*1000000*(1-cnst_carbon!$C$8))/C20*E20*D20</f>
        <v>4843014.2113797199</v>
      </c>
    </row>
    <row r="21" spans="1:6" ht="12.5">
      <c r="A21" s="796" t="s">
        <v>4926</v>
      </c>
      <c r="B21" s="491">
        <v>8.093</v>
      </c>
      <c r="C21" s="292">
        <f t="shared" si="1"/>
        <v>2.675045795170691</v>
      </c>
      <c r="D21" s="292">
        <f t="shared" si="0"/>
        <v>1</v>
      </c>
      <c r="E21" s="292">
        <f t="shared" si="2"/>
        <v>1.2621587876897493</v>
      </c>
      <c r="F21" s="293">
        <f>(B21*1000000*(1-cnst_carbon!$C$8))/C21*E21*D21</f>
        <v>2724679.4586511003</v>
      </c>
    </row>
    <row r="22" spans="1:6" ht="12.5">
      <c r="A22" s="796" t="s">
        <v>4927</v>
      </c>
      <c r="B22" s="491">
        <v>2.964</v>
      </c>
      <c r="C22" s="292">
        <f t="shared" si="1"/>
        <v>2.675045795170691</v>
      </c>
      <c r="D22" s="292">
        <f t="shared" si="0"/>
        <v>1</v>
      </c>
      <c r="E22" s="292">
        <f t="shared" si="2"/>
        <v>1.2621587876897493</v>
      </c>
      <c r="F22" s="293">
        <f>(B22*1000000*(1-cnst_carbon!$C$8))/C22*E22*D22</f>
        <v>997893.23062422604</v>
      </c>
    </row>
    <row r="23" spans="1:6" ht="12.5">
      <c r="A23" s="796" t="s">
        <v>3386</v>
      </c>
      <c r="B23" s="491">
        <v>5.8929999999999998</v>
      </c>
      <c r="C23" s="292">
        <f t="shared" si="1"/>
        <v>2.675045795170691</v>
      </c>
      <c r="D23" s="292">
        <f t="shared" si="0"/>
        <v>1</v>
      </c>
      <c r="E23" s="292">
        <f t="shared" si="2"/>
        <v>1.2621587876897493</v>
      </c>
      <c r="F23" s="293">
        <f>(B23*1000000*(1-cnst_carbon!$C$8))/C23*E23*D23</f>
        <v>1984002.971683051</v>
      </c>
    </row>
    <row r="24" spans="1:6" ht="12.5">
      <c r="A24" s="796" t="s">
        <v>3387</v>
      </c>
      <c r="B24" s="491">
        <v>1.0609999999999999</v>
      </c>
      <c r="C24" s="292">
        <f t="shared" si="1"/>
        <v>2.675045795170691</v>
      </c>
      <c r="D24" s="292">
        <f t="shared" si="0"/>
        <v>1</v>
      </c>
      <c r="E24" s="292">
        <f t="shared" si="2"/>
        <v>1.2621587876897493</v>
      </c>
      <c r="F24" s="293">
        <f>(B24*1000000*(1-cnst_carbon!$C$8))/C24*E24*D24</f>
        <v>357208.06939686363</v>
      </c>
    </row>
    <row r="25" spans="1:6" ht="12.5">
      <c r="A25" s="796" t="s">
        <v>2576</v>
      </c>
      <c r="B25" s="491">
        <v>0.57099999999999995</v>
      </c>
      <c r="C25" s="292">
        <f t="shared" si="1"/>
        <v>2.675045795170691</v>
      </c>
      <c r="D25" s="292">
        <f t="shared" si="0"/>
        <v>1</v>
      </c>
      <c r="E25" s="292">
        <f t="shared" si="2"/>
        <v>1.2621587876897493</v>
      </c>
      <c r="F25" s="293">
        <f>(B25*1000000*(1-cnst_carbon!$C$8))/C25*E25*D25</f>
        <v>192239.21548125267</v>
      </c>
    </row>
    <row r="26" spans="1:6" ht="12.5">
      <c r="A26" s="796" t="s">
        <v>2577</v>
      </c>
      <c r="B26" s="491">
        <v>7.069</v>
      </c>
      <c r="C26" s="292">
        <f t="shared" si="1"/>
        <v>2.675045795170691</v>
      </c>
      <c r="D26" s="292">
        <f t="shared" si="0"/>
        <v>1</v>
      </c>
      <c r="E26" s="292">
        <f t="shared" si="2"/>
        <v>1.2621587876897493</v>
      </c>
      <c r="F26" s="293">
        <f>(B26*1000000*(1-cnst_carbon!$C$8))/C26*E26*D26</f>
        <v>2379928.2210805174</v>
      </c>
    </row>
    <row r="27" spans="1:6" ht="12.5">
      <c r="A27" s="796" t="s">
        <v>2578</v>
      </c>
      <c r="B27" s="491">
        <v>3.9609999999999999</v>
      </c>
      <c r="C27" s="292">
        <f t="shared" si="1"/>
        <v>2.675045795170691</v>
      </c>
      <c r="D27" s="292">
        <f t="shared" si="0"/>
        <v>1</v>
      </c>
      <c r="E27" s="292">
        <f t="shared" si="2"/>
        <v>1.2621587876897493</v>
      </c>
      <c r="F27" s="293">
        <f>(B27*1000000*(1-cnst_carbon!$C$8))/C27*E27*D27</f>
        <v>1333554.3476729281</v>
      </c>
    </row>
    <row r="28" spans="1:6" ht="12.5">
      <c r="A28" s="796" t="s">
        <v>2579</v>
      </c>
      <c r="B28" s="491">
        <v>5.476</v>
      </c>
      <c r="C28" s="292">
        <f t="shared" si="1"/>
        <v>2.675045795170691</v>
      </c>
      <c r="D28" s="292">
        <f t="shared" si="0"/>
        <v>1</v>
      </c>
      <c r="E28" s="292">
        <f t="shared" si="2"/>
        <v>1.2621587876897493</v>
      </c>
      <c r="F28" s="293">
        <f>(B28*1000000*(1-cnst_carbon!$C$8))/C28*E28*D28</f>
        <v>1843611.1102895618</v>
      </c>
    </row>
    <row r="29" spans="1:6" ht="12.5">
      <c r="A29" s="796" t="s">
        <v>2580</v>
      </c>
      <c r="B29" s="491">
        <v>3.0289999999999999</v>
      </c>
      <c r="C29" s="292">
        <f t="shared" si="1"/>
        <v>2.675045795170691</v>
      </c>
      <c r="D29" s="292">
        <f t="shared" si="0"/>
        <v>1</v>
      </c>
      <c r="E29" s="292">
        <f t="shared" si="2"/>
        <v>1.2621587876897493</v>
      </c>
      <c r="F29" s="293">
        <f>(B29*1000000*(1-cnst_carbon!$C$8))/C29*E29*D29</f>
        <v>1019776.8541028275</v>
      </c>
    </row>
    <row r="30" spans="1:6" ht="12.5">
      <c r="A30" s="796" t="s">
        <v>2581</v>
      </c>
      <c r="B30" s="491">
        <v>7.625</v>
      </c>
      <c r="C30" s="292">
        <f t="shared" si="1"/>
        <v>2.675045795170691</v>
      </c>
      <c r="D30" s="292">
        <f t="shared" si="0"/>
        <v>1</v>
      </c>
      <c r="E30" s="292">
        <f t="shared" si="2"/>
        <v>1.2621587876897493</v>
      </c>
      <c r="F30" s="293">
        <f>(B30*1000000*(1-cnst_carbon!$C$8))/C30*E30*D30</f>
        <v>2567117.3696051696</v>
      </c>
    </row>
    <row r="31" spans="1:6" ht="12.5">
      <c r="A31" s="796" t="s">
        <v>2582</v>
      </c>
      <c r="B31" s="491">
        <v>0.155</v>
      </c>
      <c r="C31" s="292">
        <f t="shared" si="1"/>
        <v>2.675045795170691</v>
      </c>
      <c r="D31" s="292">
        <f t="shared" si="0"/>
        <v>1</v>
      </c>
      <c r="E31" s="292">
        <f t="shared" si="2"/>
        <v>1.2621587876897493</v>
      </c>
      <c r="F31" s="293">
        <f>(B31*1000000*(1-cnst_carbon!$C$8))/C31*E31*D31</f>
        <v>52184.025218203446</v>
      </c>
    </row>
    <row r="32" spans="1:6" ht="12.5">
      <c r="A32" s="796" t="s">
        <v>2583</v>
      </c>
      <c r="B32" s="491"/>
      <c r="C32" s="292">
        <f t="shared" si="1"/>
        <v>2.675045795170691</v>
      </c>
      <c r="D32" s="292">
        <f t="shared" si="0"/>
        <v>1</v>
      </c>
      <c r="E32" s="292">
        <f t="shared" si="2"/>
        <v>1.2621587876897493</v>
      </c>
      <c r="F32" s="293">
        <f>(B32*1000000*(1-cnst_carbon!$C$8))/C32*E32*D32</f>
        <v>0</v>
      </c>
    </row>
    <row r="33" spans="1:6" ht="12.5">
      <c r="A33" s="436" t="s">
        <v>4746</v>
      </c>
      <c r="B33" s="491">
        <v>192.13</v>
      </c>
      <c r="C33" s="292">
        <f t="shared" si="1"/>
        <v>2.675045795170691</v>
      </c>
      <c r="D33" s="292">
        <f t="shared" si="0"/>
        <v>1</v>
      </c>
      <c r="E33" s="292">
        <f t="shared" si="2"/>
        <v>1.2621587876897493</v>
      </c>
      <c r="F33" s="293">
        <f>(B33*1000000*(1-cnst_carbon!$C$8))/C33*E33*D33</f>
        <v>64684624.29144147</v>
      </c>
    </row>
    <row r="34" spans="1:6" ht="12.5">
      <c r="A34" s="796" t="s">
        <v>7565</v>
      </c>
      <c r="B34" s="491">
        <v>20.260000000000002</v>
      </c>
      <c r="C34" s="292">
        <f t="shared" si="1"/>
        <v>2.675045795170691</v>
      </c>
      <c r="D34" s="292">
        <f t="shared" si="0"/>
        <v>1</v>
      </c>
      <c r="E34" s="292">
        <f t="shared" si="2"/>
        <v>1.2621587876897493</v>
      </c>
      <c r="F34" s="293">
        <f>(B34*1000000*(1-cnst_carbon!$C$8))/C34*E34*D34</f>
        <v>6820957.1027148506</v>
      </c>
    </row>
    <row r="35" spans="1:6" ht="12.5">
      <c r="A35" s="796" t="s">
        <v>4747</v>
      </c>
      <c r="B35" s="491">
        <v>152.66499999999999</v>
      </c>
      <c r="C35" s="292">
        <f t="shared" si="1"/>
        <v>2.675045795170691</v>
      </c>
      <c r="D35" s="292">
        <f t="shared" si="0"/>
        <v>1</v>
      </c>
      <c r="E35" s="292">
        <f t="shared" si="2"/>
        <v>1.2621587876897493</v>
      </c>
      <c r="F35" s="293">
        <f>(B35*1000000*(1-cnst_carbon!$C$8))/C35*E35*D35</f>
        <v>51397898.128625996</v>
      </c>
    </row>
    <row r="36" spans="1:6" ht="12.5">
      <c r="A36" s="796" t="s">
        <v>4748</v>
      </c>
      <c r="B36" s="491">
        <v>6.9160000000000004</v>
      </c>
      <c r="C36" s="292">
        <f t="shared" si="1"/>
        <v>2.675045795170691</v>
      </c>
      <c r="D36" s="292">
        <f t="shared" si="0"/>
        <v>1</v>
      </c>
      <c r="E36" s="292">
        <f t="shared" si="2"/>
        <v>1.2621587876897493</v>
      </c>
      <c r="F36" s="293">
        <f>(B36*1000000*(1-cnst_carbon!$C$8))/C36*E36*D36</f>
        <v>2328417.5381231941</v>
      </c>
    </row>
    <row r="37" spans="1:6" ht="12.5">
      <c r="A37" s="796" t="s">
        <v>4749</v>
      </c>
      <c r="B37" s="491">
        <v>8.2650000000000006</v>
      </c>
      <c r="C37" s="292">
        <f t="shared" si="1"/>
        <v>2.675045795170691</v>
      </c>
      <c r="D37" s="292">
        <f t="shared" si="0"/>
        <v>1</v>
      </c>
      <c r="E37" s="292">
        <f t="shared" si="2"/>
        <v>1.2621587876897493</v>
      </c>
      <c r="F37" s="293">
        <f>(B37*1000000*(1-cnst_carbon!$C$8))/C37*E37*D37</f>
        <v>2782586.8930867836</v>
      </c>
    </row>
    <row r="38" spans="1:6" ht="12.5">
      <c r="A38" s="796" t="s">
        <v>7566</v>
      </c>
      <c r="B38" s="491">
        <v>3.6139999999999999</v>
      </c>
      <c r="C38" s="292">
        <f t="shared" si="1"/>
        <v>2.675045795170691</v>
      </c>
      <c r="D38" s="292">
        <f t="shared" si="0"/>
        <v>1</v>
      </c>
      <c r="E38" s="292">
        <f t="shared" si="2"/>
        <v>1.2621587876897493</v>
      </c>
      <c r="F38" s="293">
        <f>(B38*1000000*(1-cnst_carbon!$C$8))/C38*E38*D38</f>
        <v>1216729.4654102402</v>
      </c>
    </row>
    <row r="39" spans="1:6" ht="12.5">
      <c r="A39" s="796" t="s">
        <v>2000</v>
      </c>
      <c r="B39" s="491"/>
      <c r="C39" s="292">
        <f t="shared" si="1"/>
        <v>2.675045795170691</v>
      </c>
      <c r="D39" s="292">
        <f t="shared" si="0"/>
        <v>1</v>
      </c>
      <c r="E39" s="292">
        <f t="shared" si="2"/>
        <v>1.2621587876897493</v>
      </c>
      <c r="F39" s="293">
        <f>(B39*1000000*(1-cnst_carbon!$C$8))/C39*E39*D39</f>
        <v>0</v>
      </c>
    </row>
    <row r="40" spans="1:6" ht="12.5">
      <c r="A40" s="436" t="s">
        <v>7567</v>
      </c>
      <c r="B40" s="491"/>
      <c r="C40" s="292">
        <f t="shared" si="1"/>
        <v>2.675045795170691</v>
      </c>
      <c r="D40" s="292">
        <f t="shared" si="0"/>
        <v>1</v>
      </c>
      <c r="E40" s="292">
        <f t="shared" si="2"/>
        <v>1.2621587876897493</v>
      </c>
      <c r="F40" s="293">
        <f>(B40*1000000*(1-cnst_carbon!$C$8))/C40*E40*D40</f>
        <v>0</v>
      </c>
    </row>
    <row r="41" spans="1:6" ht="12.5">
      <c r="A41" s="796" t="s">
        <v>7568</v>
      </c>
      <c r="B41" s="491">
        <v>18.736000000000001</v>
      </c>
      <c r="C41" s="292">
        <f t="shared" si="1"/>
        <v>2.675045795170691</v>
      </c>
      <c r="D41" s="292">
        <f t="shared" si="0"/>
        <v>1</v>
      </c>
      <c r="E41" s="292">
        <f t="shared" si="2"/>
        <v>1.2621587876897493</v>
      </c>
      <c r="F41" s="293">
        <f>(B41*1000000*(1-cnst_carbon!$C$8))/C41*E41*D41</f>
        <v>6307870.2999242563</v>
      </c>
    </row>
    <row r="42" spans="1:6" ht="12.5">
      <c r="A42" s="796" t="s">
        <v>5178</v>
      </c>
      <c r="B42" s="491">
        <v>35.868000000000002</v>
      </c>
      <c r="C42" s="292">
        <f t="shared" si="1"/>
        <v>2.675045795170691</v>
      </c>
      <c r="D42" s="292">
        <f t="shared" si="0"/>
        <v>1</v>
      </c>
      <c r="E42" s="292">
        <f t="shared" si="2"/>
        <v>1.2621587876897493</v>
      </c>
      <c r="F42" s="293">
        <f>(B42*1000000*(1-cnst_carbon!$C$8))/C42*E42*D42</f>
        <v>12075720.106622718</v>
      </c>
    </row>
    <row r="43" spans="1:6" ht="12.5">
      <c r="A43" s="796" t="s">
        <v>5179</v>
      </c>
      <c r="B43" s="491">
        <v>42.19</v>
      </c>
      <c r="C43" s="292">
        <f t="shared" si="1"/>
        <v>2.675045795170691</v>
      </c>
      <c r="D43" s="292">
        <f t="shared" si="0"/>
        <v>1</v>
      </c>
      <c r="E43" s="292">
        <f t="shared" si="2"/>
        <v>1.2621587876897493</v>
      </c>
      <c r="F43" s="293">
        <f>(B43*1000000*(1-cnst_carbon!$C$8))/C43*E43*D43</f>
        <v>14204154.993264539</v>
      </c>
    </row>
    <row r="44" spans="1:6" ht="12.5">
      <c r="A44" s="796" t="s">
        <v>5180</v>
      </c>
      <c r="B44" s="491"/>
      <c r="C44" s="292">
        <f t="shared" si="1"/>
        <v>2.675045795170691</v>
      </c>
      <c r="D44" s="292">
        <f t="shared" si="0"/>
        <v>1</v>
      </c>
      <c r="E44" s="292">
        <f t="shared" si="2"/>
        <v>1.2621587876897493</v>
      </c>
      <c r="F44" s="293">
        <f>(B44*1000000*(1-cnst_carbon!$C$8))/C44*E44*D44</f>
        <v>0</v>
      </c>
    </row>
    <row r="45" spans="1:6" ht="12.5">
      <c r="A45" s="796" t="s">
        <v>7570</v>
      </c>
      <c r="B45" s="491">
        <v>0</v>
      </c>
      <c r="C45" s="292">
        <f t="shared" si="1"/>
        <v>2.675045795170691</v>
      </c>
      <c r="D45" s="292">
        <f t="shared" si="0"/>
        <v>1</v>
      </c>
      <c r="E45" s="292">
        <f t="shared" si="2"/>
        <v>1.2621587876897493</v>
      </c>
      <c r="F45" s="293">
        <f>(B45*1000000*(1-cnst_carbon!$C$8))/C45*E45*D45</f>
        <v>0</v>
      </c>
    </row>
    <row r="46" spans="1:6" ht="12.5">
      <c r="A46" s="799" t="s">
        <v>8232</v>
      </c>
      <c r="B46" s="491">
        <v>561.27599999999995</v>
      </c>
      <c r="C46" s="292">
        <f t="shared" si="1"/>
        <v>2.675045795170691</v>
      </c>
      <c r="D46" s="292">
        <f t="shared" si="0"/>
        <v>1</v>
      </c>
      <c r="E46" s="292">
        <f t="shared" si="2"/>
        <v>1.2621587876897493</v>
      </c>
      <c r="F46" s="293">
        <f>(B46*1000000*(1-cnst_carbon!$C$8))/C46*E46*D46</f>
        <v>188965425.40885392</v>
      </c>
    </row>
    <row r="47" spans="1:6" ht="12.5">
      <c r="A47" s="799" t="s">
        <v>8233</v>
      </c>
      <c r="B47" s="491">
        <v>9.2639999999999993</v>
      </c>
      <c r="C47" s="292">
        <f t="shared" si="1"/>
        <v>2.675045795170691</v>
      </c>
      <c r="D47" s="292">
        <f t="shared" si="0"/>
        <v>1</v>
      </c>
      <c r="E47" s="292">
        <f t="shared" si="2"/>
        <v>1.2621587876897493</v>
      </c>
      <c r="F47" s="293">
        <f>(B47*1000000*(1-cnst_carbon!$C$8))/C47*E47*D47</f>
        <v>3118921.3523963662</v>
      </c>
    </row>
    <row r="48" spans="1:6" ht="12.5">
      <c r="A48" s="435" t="s">
        <v>8234</v>
      </c>
      <c r="B48" s="491">
        <v>0</v>
      </c>
      <c r="C48" s="292">
        <f t="shared" si="1"/>
        <v>2.675045795170691</v>
      </c>
      <c r="D48" s="292">
        <f t="shared" si="0"/>
        <v>1</v>
      </c>
      <c r="E48" s="292">
        <f t="shared" si="2"/>
        <v>1.2621587876897493</v>
      </c>
      <c r="F48" s="293">
        <f>(B48*1000000*(1-cnst_carbon!$C$8))/C48*E48*D48</f>
        <v>0</v>
      </c>
    </row>
    <row r="49" spans="1:6" ht="12.5">
      <c r="A49" s="435" t="s">
        <v>8235</v>
      </c>
      <c r="B49" s="491">
        <v>9.1940000000000008</v>
      </c>
      <c r="C49" s="292">
        <f t="shared" si="1"/>
        <v>2.675045795170691</v>
      </c>
      <c r="D49" s="292">
        <f t="shared" si="0"/>
        <v>1</v>
      </c>
      <c r="E49" s="292">
        <f t="shared" si="2"/>
        <v>1.2621587876897493</v>
      </c>
      <c r="F49" s="293">
        <f>(B49*1000000*(1-cnst_carbon!$C$8))/C49*E49*D49</f>
        <v>3095354.3732655649</v>
      </c>
    </row>
    <row r="50" spans="1:6" ht="12.5">
      <c r="A50" s="435" t="s">
        <v>8236</v>
      </c>
      <c r="B50" s="491">
        <v>0</v>
      </c>
      <c r="C50" s="292">
        <f t="shared" si="1"/>
        <v>2.675045795170691</v>
      </c>
      <c r="D50" s="292">
        <f t="shared" si="0"/>
        <v>1</v>
      </c>
      <c r="E50" s="292">
        <f t="shared" si="2"/>
        <v>1.2621587876897493</v>
      </c>
      <c r="F50" s="293">
        <f>(B50*1000000*(1-cnst_carbon!$C$8))/C50*E50*D50</f>
        <v>0</v>
      </c>
    </row>
    <row r="51" spans="1:6" ht="12.5">
      <c r="A51" s="435" t="s">
        <v>8237</v>
      </c>
      <c r="B51" s="491">
        <v>0</v>
      </c>
      <c r="C51" s="292">
        <f t="shared" si="1"/>
        <v>2.675045795170691</v>
      </c>
      <c r="D51" s="292">
        <f t="shared" si="0"/>
        <v>1</v>
      </c>
      <c r="E51" s="292">
        <f t="shared" si="2"/>
        <v>1.2621587876897493</v>
      </c>
      <c r="F51" s="293">
        <f>(B51*1000000*(1-cnst_carbon!$C$8))/C51*E51*D51</f>
        <v>0</v>
      </c>
    </row>
    <row r="52" spans="1:6" ht="12.5">
      <c r="A52" s="435" t="s">
        <v>8238</v>
      </c>
      <c r="B52" s="491">
        <v>7.0000000000000007E-2</v>
      </c>
      <c r="C52" s="292">
        <f t="shared" si="1"/>
        <v>2.675045795170691</v>
      </c>
      <c r="D52" s="292">
        <f t="shared" si="0"/>
        <v>1</v>
      </c>
      <c r="E52" s="292">
        <f t="shared" si="2"/>
        <v>1.2621587876897493</v>
      </c>
      <c r="F52" s="293">
        <f>(B52*1000000*(1-cnst_carbon!$C$8))/C52*E52*D52</f>
        <v>23566.979130801556</v>
      </c>
    </row>
    <row r="53" spans="1:6" ht="12.5">
      <c r="A53" s="800" t="s">
        <v>8239</v>
      </c>
      <c r="B53" s="797">
        <v>575.29999999999995</v>
      </c>
      <c r="C53" s="292">
        <f t="shared" si="1"/>
        <v>2.675045795170691</v>
      </c>
      <c r="D53" s="292">
        <f t="shared" si="0"/>
        <v>1</v>
      </c>
      <c r="E53" s="292">
        <f t="shared" si="2"/>
        <v>1.2621587876897493</v>
      </c>
      <c r="F53" s="798">
        <f>(B53*1000000*(1-cnst_carbon!$C$8))/C53*E53*D53</f>
        <v>193686901.34214482</v>
      </c>
    </row>
    <row r="54" spans="1:6" ht="12.5">
      <c r="A54" s="800" t="s">
        <v>8240</v>
      </c>
      <c r="B54" s="797">
        <v>27.356999999999999</v>
      </c>
      <c r="C54" s="292">
        <f t="shared" si="1"/>
        <v>2.675045795170691</v>
      </c>
      <c r="D54" s="292">
        <f t="shared" si="0"/>
        <v>1</v>
      </c>
      <c r="E54" s="292">
        <f t="shared" si="2"/>
        <v>1.2621587876897493</v>
      </c>
      <c r="F54" s="798">
        <f>(B54*1000000*(1-cnst_carbon!$C$8))/C54*E54*D54</f>
        <v>9210312.115447687</v>
      </c>
    </row>
    <row r="55" spans="1:6" ht="12.5">
      <c r="A55" s="437" t="s">
        <v>8241</v>
      </c>
      <c r="B55" s="797">
        <v>-13.333</v>
      </c>
      <c r="C55" s="292">
        <f t="shared" si="1"/>
        <v>2.675045795170691</v>
      </c>
      <c r="D55" s="292">
        <f t="shared" si="0"/>
        <v>1</v>
      </c>
      <c r="E55" s="292">
        <f t="shared" si="2"/>
        <v>1.2621587876897493</v>
      </c>
      <c r="F55" s="798">
        <f>(B55*1000000*(1-cnst_carbon!$C$8))/C55*E55*D55</f>
        <v>-4488836.1821568161</v>
      </c>
    </row>
    <row r="56" spans="1:6" ht="12.5">
      <c r="A56" s="437" t="s">
        <v>4066</v>
      </c>
      <c r="B56" s="797">
        <v>1.444</v>
      </c>
      <c r="C56" s="292">
        <f t="shared" si="1"/>
        <v>2.675045795170691</v>
      </c>
      <c r="D56" s="292">
        <f t="shared" si="0"/>
        <v>1</v>
      </c>
      <c r="E56" s="292">
        <f t="shared" si="2"/>
        <v>1.2621587876897493</v>
      </c>
      <c r="F56" s="798">
        <f>(B56*1000000*(1-cnst_carbon!$C$8))/C56*E56*D56</f>
        <v>486153.11235539214</v>
      </c>
    </row>
    <row r="57" spans="1:6" ht="12.5">
      <c r="A57" s="438" t="s">
        <v>7569</v>
      </c>
      <c r="B57" s="492">
        <v>2.6720000000000002</v>
      </c>
      <c r="C57" s="294">
        <f t="shared" si="1"/>
        <v>2.675045795170691</v>
      </c>
      <c r="D57" s="294">
        <f t="shared" si="0"/>
        <v>1</v>
      </c>
      <c r="E57" s="294">
        <f t="shared" si="2"/>
        <v>1.2621587876897493</v>
      </c>
      <c r="F57" s="295">
        <f>(B57*1000000*(1-cnst_carbon!$C$8))/C57*E57*D57</f>
        <v>899585.26053573948</v>
      </c>
    </row>
    <row r="60" spans="1:6" ht="12.75" customHeight="1">
      <c r="A60" s="952" t="s">
        <v>1923</v>
      </c>
      <c r="B60" s="907" t="s">
        <v>2390</v>
      </c>
    </row>
    <row r="61" spans="1:6" ht="12.75" customHeight="1">
      <c r="A61" s="956" t="s">
        <v>542</v>
      </c>
      <c r="B61" s="960" t="s">
        <v>6170</v>
      </c>
    </row>
    <row r="62" spans="1:6" ht="12.75" customHeight="1">
      <c r="A62" s="21" t="s">
        <v>2391</v>
      </c>
      <c r="B62" s="493">
        <v>537360.95589132386</v>
      </c>
    </row>
  </sheetData>
  <phoneticPr fontId="5" type="noConversion"/>
  <hyperlinks>
    <hyperlink ref="C3" location="ef_carbon!A1" tooltip="Go to ef_carbon" display="ef_carbon" xr:uid="{00000000-0004-0000-0900-000000000000}"/>
    <hyperlink ref="C2" location="cnst_carbon!A1" display="cnst_carbon" xr:uid="{00000000-0004-0000-0900-000001000000}"/>
    <hyperlink ref="E2" location="eqf" display="eqf" xr:uid="{00000000-0004-0000-0900-000002000000}"/>
    <hyperlink ref="D2" location="iyf" display="iyf" xr:uid="{00000000-0004-0000-0900-000003000000}"/>
    <hyperlink ref="D3" location="carbon_intensity_n!A1" display="carbon_intensity_n" xr:uid="{00000000-0004-0000-0900-000004000000}"/>
  </hyperlinks>
  <pageMargins left="0.75" right="0.75" top="1" bottom="1" header="0.5" footer="0.5"/>
  <pageSetup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9">
    <tabColor theme="1"/>
  </sheetPr>
  <dimension ref="A1:C11"/>
  <sheetViews>
    <sheetView zoomScaleNormal="100" workbookViewId="0">
      <selection activeCell="A65536" sqref="A65536"/>
    </sheetView>
  </sheetViews>
  <sheetFormatPr defaultColWidth="9.1796875" defaultRowHeight="12.5"/>
  <cols>
    <col min="1" max="1" width="50.7265625" style="36" customWidth="1"/>
    <col min="2" max="3" width="21.7265625" style="36" customWidth="1"/>
    <col min="4" max="16384" width="9.1796875" style="36"/>
  </cols>
  <sheetData>
    <row r="1" spans="1:3" ht="12.75" customHeight="1"/>
    <row r="2" spans="1:3" ht="12.75" customHeight="1">
      <c r="B2" s="37" t="s">
        <v>985</v>
      </c>
      <c r="C2" s="466" t="s">
        <v>988</v>
      </c>
    </row>
    <row r="3" spans="1:3" ht="12.75" customHeight="1">
      <c r="B3" s="37" t="s">
        <v>986</v>
      </c>
      <c r="C3" s="466" t="s">
        <v>987</v>
      </c>
    </row>
    <row r="4" spans="1:3" ht="12.75" customHeight="1"/>
    <row r="5" spans="1:3" ht="13">
      <c r="A5" s="949" t="s">
        <v>1923</v>
      </c>
      <c r="B5" s="950" t="s">
        <v>2532</v>
      </c>
      <c r="C5" s="951" t="s">
        <v>2533</v>
      </c>
    </row>
    <row r="6" spans="1:3" ht="15.5">
      <c r="A6" s="771" t="s">
        <v>8226</v>
      </c>
      <c r="B6" s="78" t="s">
        <v>4089</v>
      </c>
      <c r="C6" s="792">
        <v>7.9097874609767898</v>
      </c>
    </row>
    <row r="7" spans="1:3" ht="14.5">
      <c r="A7" s="771" t="s">
        <v>8227</v>
      </c>
      <c r="B7" s="78" t="s">
        <v>8228</v>
      </c>
      <c r="C7" s="793">
        <v>21.306157383731026</v>
      </c>
    </row>
    <row r="8" spans="1:3" ht="16">
      <c r="A8" s="14" t="s">
        <v>2668</v>
      </c>
      <c r="B8" s="79" t="s">
        <v>989</v>
      </c>
      <c r="C8" s="54">
        <f>cnst_carbon!C13</f>
        <v>0.33667113044002217</v>
      </c>
    </row>
    <row r="9" spans="1:3">
      <c r="A9" s="19" t="s">
        <v>1690</v>
      </c>
      <c r="B9" s="80" t="s">
        <v>720</v>
      </c>
      <c r="C9" s="73">
        <f>(C6+C7)*C8*10^6</f>
        <v>9836165.1777411196</v>
      </c>
    </row>
    <row r="11" spans="1:3" ht="13">
      <c r="A11" s="1201" t="s">
        <v>2003</v>
      </c>
      <c r="B11" s="1201"/>
      <c r="C11" s="1201"/>
    </row>
  </sheetData>
  <mergeCells count="1">
    <mergeCell ref="A11:C11"/>
  </mergeCells>
  <phoneticPr fontId="5" type="noConversion"/>
  <hyperlinks>
    <hyperlink ref="C2" location="cnst_carbon!A1" display="cnst_carbon" xr:uid="{00000000-0004-0000-0A00-000000000000}"/>
    <hyperlink ref="C3" location="ef_carbon!A1" display="ef_carbon" xr:uid="{00000000-0004-0000-0A00-000001000000}"/>
  </hyperlinks>
  <pageMargins left="0.75" right="0.75" top="1" bottom="1" header="0.5" footer="0.5"/>
  <pageSetup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1">
    <tabColor theme="1"/>
    <pageSetUpPr autoPageBreaks="0"/>
  </sheetPr>
  <dimension ref="A2:K632"/>
  <sheetViews>
    <sheetView topLeftCell="A43" zoomScaleNormal="100" workbookViewId="0">
      <selection activeCell="A65536" sqref="A65536"/>
    </sheetView>
  </sheetViews>
  <sheetFormatPr defaultColWidth="9.1796875" defaultRowHeight="12.75" customHeight="1"/>
  <cols>
    <col min="1" max="1" width="50.7265625" style="36" customWidth="1"/>
    <col min="2" max="2" width="17.26953125" style="36" bestFit="1" customWidth="1"/>
    <col min="3" max="4" width="16.7265625" style="36" customWidth="1"/>
    <col min="5" max="5" width="7.26953125" style="36" bestFit="1" customWidth="1"/>
    <col min="6" max="7" width="16.7265625" style="36" customWidth="1"/>
    <col min="8" max="10" width="16.7265625" style="208" customWidth="1"/>
    <col min="11" max="11" width="16.7265625" style="36" customWidth="1"/>
    <col min="12" max="16384" width="9.1796875" style="36"/>
  </cols>
  <sheetData>
    <row r="2" spans="1:11" ht="12.75" customHeight="1">
      <c r="B2" s="37" t="s">
        <v>985</v>
      </c>
      <c r="C2" s="466" t="s">
        <v>988</v>
      </c>
      <c r="D2" s="466" t="s">
        <v>463</v>
      </c>
    </row>
    <row r="3" spans="1:11" ht="12.75" customHeight="1">
      <c r="B3" s="37" t="s">
        <v>986</v>
      </c>
      <c r="C3" s="466" t="s">
        <v>987</v>
      </c>
      <c r="D3" s="466" t="s">
        <v>463</v>
      </c>
    </row>
    <row r="5" spans="1:11" ht="15">
      <c r="A5" s="952" t="s">
        <v>1923</v>
      </c>
      <c r="B5" s="953" t="s">
        <v>1338</v>
      </c>
      <c r="C5" s="906" t="s">
        <v>5396</v>
      </c>
      <c r="D5" s="906" t="s">
        <v>1005</v>
      </c>
      <c r="E5" s="953" t="s">
        <v>1676</v>
      </c>
      <c r="F5" s="953" t="s">
        <v>3747</v>
      </c>
      <c r="G5" s="906" t="s">
        <v>6165</v>
      </c>
      <c r="H5" s="954" t="s">
        <v>3746</v>
      </c>
      <c r="I5" s="955" t="s">
        <v>3748</v>
      </c>
      <c r="J5" s="955" t="s">
        <v>1020</v>
      </c>
      <c r="K5" s="907" t="s">
        <v>1021</v>
      </c>
    </row>
    <row r="6" spans="1:11" ht="16">
      <c r="A6" s="956" t="s">
        <v>542</v>
      </c>
      <c r="B6" s="957" t="s">
        <v>542</v>
      </c>
      <c r="C6" s="957" t="s">
        <v>7563</v>
      </c>
      <c r="D6" s="957" t="s">
        <v>7563</v>
      </c>
      <c r="E6" s="958" t="s">
        <v>4805</v>
      </c>
      <c r="F6" s="957" t="s">
        <v>4806</v>
      </c>
      <c r="G6" s="957" t="s">
        <v>4806</v>
      </c>
      <c r="H6" s="959" t="s">
        <v>2979</v>
      </c>
      <c r="I6" s="959" t="s">
        <v>2979</v>
      </c>
      <c r="J6" s="959" t="s">
        <v>720</v>
      </c>
      <c r="K6" s="960" t="s">
        <v>720</v>
      </c>
    </row>
    <row r="7" spans="1:11" ht="12.5">
      <c r="A7" s="14" t="s">
        <v>3049</v>
      </c>
      <c r="B7" s="770" t="s">
        <v>7595</v>
      </c>
      <c r="C7" s="501">
        <v>3274667.5158990799</v>
      </c>
      <c r="D7" s="504">
        <v>355568413.85726398</v>
      </c>
      <c r="E7" s="538">
        <v>53</v>
      </c>
      <c r="F7" s="31">
        <f>C7*$E7/1000</f>
        <v>173557.37834265121</v>
      </c>
      <c r="G7" s="31">
        <f>D7*E7/1000</f>
        <v>18845125.934434991</v>
      </c>
      <c r="H7" s="209">
        <f>F7*cnst_carbon!$C$11/10^6</f>
        <v>9.7350820346132003E-3</v>
      </c>
      <c r="I7" s="209">
        <f>G7*carbon_intensity_n!$C$9</f>
        <v>0.87671650314242355</v>
      </c>
      <c r="J7" s="233">
        <f>H7*cnst_carbon!$C$13*1000000</f>
        <v>3277.5210735195769</v>
      </c>
      <c r="K7" s="30">
        <f>I7*cnst_carbon!$C$13*1000000</f>
        <v>295165.13618838298</v>
      </c>
    </row>
    <row r="8" spans="1:11" ht="12.5">
      <c r="A8" s="14" t="s">
        <v>3050</v>
      </c>
      <c r="B8" s="770" t="s">
        <v>7596</v>
      </c>
      <c r="C8" s="502">
        <v>172909.08429259399</v>
      </c>
      <c r="D8" s="505">
        <v>119597</v>
      </c>
      <c r="E8" s="539">
        <v>31.28</v>
      </c>
      <c r="F8" s="31">
        <f t="shared" ref="F8:F71" si="0">C8*$E8/1000</f>
        <v>5408.5961566723399</v>
      </c>
      <c r="G8" s="31">
        <f t="shared" ref="G8:G71" si="1">D8*E8/1000</f>
        <v>3740.9941600000002</v>
      </c>
      <c r="H8" s="209">
        <f>F8*cnst_carbon!$C$11/10^6</f>
        <v>3.0337590818724393E-4</v>
      </c>
      <c r="I8" s="209">
        <f>G8*carbon_intensity_n!$C$9</f>
        <v>1.7403923590865418E-4</v>
      </c>
      <c r="J8" s="233">
        <f>H8*cnst_carbon!$C$13*1000000</f>
        <v>102.13790995766779</v>
      </c>
      <c r="K8" s="30">
        <f>I8*cnst_carbon!$C$13*1000000</f>
        <v>58.593986294284299</v>
      </c>
    </row>
    <row r="9" spans="1:11" ht="12.5">
      <c r="A9" s="14" t="s">
        <v>3051</v>
      </c>
      <c r="B9" s="770" t="s">
        <v>7597</v>
      </c>
      <c r="C9" s="502">
        <v>271458.202191527</v>
      </c>
      <c r="D9" s="505">
        <v>156765561</v>
      </c>
      <c r="E9" s="539">
        <v>36.4</v>
      </c>
      <c r="F9" s="31">
        <f t="shared" si="0"/>
        <v>9881.0785597715821</v>
      </c>
      <c r="G9" s="31">
        <f t="shared" si="1"/>
        <v>5706266.4203999992</v>
      </c>
      <c r="H9" s="209">
        <f>F9*cnst_carbon!$C$11/10^6</f>
        <v>5.5424385461689608E-4</v>
      </c>
      <c r="I9" s="209">
        <f>G9*carbon_intensity_n!$C$9</f>
        <v>0.26546800268130516</v>
      </c>
      <c r="J9" s="233">
        <f>H9*cnst_carbon!$C$13*1000000</f>
        <v>186.5979050733057</v>
      </c>
      <c r="K9" s="30">
        <f>I9*cnst_carbon!$C$13*1000000</f>
        <v>89375.412558369833</v>
      </c>
    </row>
    <row r="10" spans="1:11" ht="12.5">
      <c r="A10" s="14" t="s">
        <v>3052</v>
      </c>
      <c r="B10" s="770" t="s">
        <v>7598</v>
      </c>
      <c r="C10" s="502">
        <v>14117058.662811801</v>
      </c>
      <c r="D10" s="505">
        <v>795863.56378605904</v>
      </c>
      <c r="E10" s="539">
        <v>28.2</v>
      </c>
      <c r="F10" s="31">
        <f t="shared" si="0"/>
        <v>398101.05429129279</v>
      </c>
      <c r="G10" s="31">
        <f t="shared" si="1"/>
        <v>22443.352498766864</v>
      </c>
      <c r="H10" s="209">
        <f>F10*cnst_carbon!$C$11/10^6</f>
        <v>2.2330058558157739E-2</v>
      </c>
      <c r="I10" s="209">
        <f>G10*carbon_intensity_n!$C$9</f>
        <v>1.044113878037695E-3</v>
      </c>
      <c r="J10" s="233">
        <f>H10*cnst_carbon!$C$13*1000000</f>
        <v>7517.8860575668568</v>
      </c>
      <c r="K10" s="30">
        <f>I10*cnst_carbon!$C$13*1000000</f>
        <v>351.52299962706621</v>
      </c>
    </row>
    <row r="11" spans="1:11" ht="12.5">
      <c r="A11" s="14" t="s">
        <v>3053</v>
      </c>
      <c r="B11" s="770" t="s">
        <v>7599</v>
      </c>
      <c r="C11" s="502">
        <v>1438275.56280361</v>
      </c>
      <c r="D11" s="505">
        <v>1526870.7348344401</v>
      </c>
      <c r="E11" s="539">
        <v>61</v>
      </c>
      <c r="F11" s="31">
        <f t="shared" si="0"/>
        <v>87734.809331020209</v>
      </c>
      <c r="G11" s="31">
        <f t="shared" si="1"/>
        <v>93139.11482490084</v>
      </c>
      <c r="H11" s="209">
        <f>F11*cnst_carbon!$C$11/10^6</f>
        <v>4.921171167049921E-3</v>
      </c>
      <c r="I11" s="209">
        <f>G11*carbon_intensity_n!$C$9</f>
        <v>4.3330354670572772E-3</v>
      </c>
      <c r="J11" s="233">
        <f>H11*cnst_carbon!$C$13*1000000</f>
        <v>1656.81625989954</v>
      </c>
      <c r="K11" s="30">
        <f>I11*cnst_carbon!$C$13*1000000</f>
        <v>1458.807948930883</v>
      </c>
    </row>
    <row r="12" spans="1:11" ht="12.5">
      <c r="A12" s="14" t="s">
        <v>1743</v>
      </c>
      <c r="B12" s="770" t="s">
        <v>7600</v>
      </c>
      <c r="C12" s="502"/>
      <c r="D12" s="506"/>
      <c r="E12" s="539">
        <v>62.16</v>
      </c>
      <c r="F12" s="31">
        <f t="shared" si="0"/>
        <v>0</v>
      </c>
      <c r="G12" s="31">
        <f t="shared" si="1"/>
        <v>0</v>
      </c>
      <c r="H12" s="209">
        <f>F12*cnst_carbon!$C$11/10^6</f>
        <v>0</v>
      </c>
      <c r="I12" s="209">
        <f>G12*carbon_intensity_n!$C$9</f>
        <v>0</v>
      </c>
      <c r="J12" s="233">
        <f>H12*cnst_carbon!$C$13*1000000</f>
        <v>0</v>
      </c>
      <c r="K12" s="30">
        <f>I12*cnst_carbon!$C$13*1000000</f>
        <v>0</v>
      </c>
    </row>
    <row r="13" spans="1:11" ht="12.5">
      <c r="A13" s="14" t="s">
        <v>1744</v>
      </c>
      <c r="B13" s="770" t="s">
        <v>7601</v>
      </c>
      <c r="C13" s="502">
        <v>119135129.799824</v>
      </c>
      <c r="D13" s="505">
        <v>351219590</v>
      </c>
      <c r="E13" s="539">
        <v>53</v>
      </c>
      <c r="F13" s="31">
        <f t="shared" si="0"/>
        <v>6314161.8793906718</v>
      </c>
      <c r="G13" s="31">
        <f t="shared" si="1"/>
        <v>18614638.27</v>
      </c>
      <c r="H13" s="209">
        <f>F13*cnst_carbon!$C$11/10^6</f>
        <v>0.35417038712314924</v>
      </c>
      <c r="I13" s="209">
        <f>G13*carbon_intensity_n!$C$9</f>
        <v>0.86599371254479363</v>
      </c>
      <c r="J13" s="233">
        <f>H13*cnst_carbon!$C$13*1000000</f>
        <v>119238.94460113092</v>
      </c>
      <c r="K13" s="30">
        <f>I13*cnst_carbon!$C$13*1000000</f>
        <v>291555.0821564073</v>
      </c>
    </row>
    <row r="14" spans="1:11" ht="12.5">
      <c r="A14" s="14" t="s">
        <v>2717</v>
      </c>
      <c r="B14" s="770" t="s">
        <v>7602</v>
      </c>
      <c r="C14" s="502">
        <v>20110964.713293899</v>
      </c>
      <c r="D14" s="505">
        <v>153530</v>
      </c>
      <c r="E14" s="539">
        <v>31.28</v>
      </c>
      <c r="F14" s="31">
        <f t="shared" si="0"/>
        <v>629070.97623183322</v>
      </c>
      <c r="G14" s="31">
        <f t="shared" si="1"/>
        <v>4802.4184000000005</v>
      </c>
      <c r="H14" s="209">
        <f>F14*cnst_carbon!$C$11/10^6</f>
        <v>3.5285492427296818E-2</v>
      </c>
      <c r="I14" s="209">
        <f>G14*carbon_intensity_n!$C$9</f>
        <v>2.2341901459949393E-4</v>
      </c>
      <c r="J14" s="233">
        <f>H14*cnst_carbon!$C$13*1000000</f>
        <v>11879.606623630862</v>
      </c>
      <c r="K14" s="30">
        <f>I14*cnst_carbon!$C$13*1000000</f>
        <v>75.218732207007434</v>
      </c>
    </row>
    <row r="15" spans="1:11" ht="12.5">
      <c r="A15" s="14" t="s">
        <v>1832</v>
      </c>
      <c r="B15" s="770" t="s">
        <v>7603</v>
      </c>
      <c r="C15" s="502">
        <v>86709892.145378903</v>
      </c>
      <c r="D15" s="505">
        <v>961677075</v>
      </c>
      <c r="E15" s="539">
        <v>36.4</v>
      </c>
      <c r="F15" s="31">
        <f t="shared" si="0"/>
        <v>3156240.0740917921</v>
      </c>
      <c r="G15" s="31">
        <f t="shared" si="1"/>
        <v>35005045.530000001</v>
      </c>
      <c r="H15" s="209">
        <f>F15*cnst_carbon!$C$11/10^6</f>
        <v>0.1770380282050294</v>
      </c>
      <c r="I15" s="209">
        <f>G15*carbon_intensity_n!$C$9</f>
        <v>1.6285113305252661</v>
      </c>
      <c r="J15" s="233">
        <f>H15*cnst_carbon!$C$13*1000000</f>
        <v>59603.59308665977</v>
      </c>
      <c r="K15" s="30">
        <f>I15*cnst_carbon!$C$13*1000000</f>
        <v>548272.75058232597</v>
      </c>
    </row>
    <row r="16" spans="1:11" ht="12.5">
      <c r="A16" s="14" t="s">
        <v>1833</v>
      </c>
      <c r="B16" s="770" t="s">
        <v>7604</v>
      </c>
      <c r="C16" s="502">
        <v>54751561.186956197</v>
      </c>
      <c r="D16" s="505">
        <v>108450931</v>
      </c>
      <c r="E16" s="539">
        <v>28.2</v>
      </c>
      <c r="F16" s="31">
        <f t="shared" si="0"/>
        <v>1543994.0254721646</v>
      </c>
      <c r="G16" s="31">
        <f t="shared" si="1"/>
        <v>3058316.2541999999</v>
      </c>
      <c r="H16" s="209">
        <f>F16*cnst_carbon!$C$11/10^6</f>
        <v>8.6604837215557243E-2</v>
      </c>
      <c r="I16" s="209">
        <f>G16*carbon_intensity_n!$C$9</f>
        <v>0.14227956561364569</v>
      </c>
      <c r="J16" s="233">
        <f>H16*cnst_carbon!$C$13*1000000</f>
        <v>29157.348446935757</v>
      </c>
      <c r="K16" s="30">
        <f>I16*cnst_carbon!$C$13*1000000</f>
        <v>47901.422193661398</v>
      </c>
    </row>
    <row r="17" spans="1:11" ht="12.5">
      <c r="A17" s="14" t="s">
        <v>1834</v>
      </c>
      <c r="B17" s="770" t="s">
        <v>7605</v>
      </c>
      <c r="C17" s="502">
        <v>1526.0611808255901</v>
      </c>
      <c r="D17" s="505">
        <v>5315914</v>
      </c>
      <c r="E17" s="539">
        <v>61</v>
      </c>
      <c r="F17" s="31">
        <f t="shared" si="0"/>
        <v>93.089732030361006</v>
      </c>
      <c r="G17" s="31">
        <f t="shared" si="1"/>
        <v>324270.75400000002</v>
      </c>
      <c r="H17" s="209">
        <f>F17*cnst_carbon!$C$11/10^6</f>
        <v>5.2215364541089041E-6</v>
      </c>
      <c r="I17" s="209">
        <f>G17*carbon_intensity_n!$C$9</f>
        <v>1.5085785179007914E-2</v>
      </c>
      <c r="J17" s="233">
        <f>H17*cnst_carbon!$C$13*1000000</f>
        <v>1.7579405806386297</v>
      </c>
      <c r="K17" s="30">
        <f>I17*cnst_carbon!$C$13*1000000</f>
        <v>5078.9483497919264</v>
      </c>
    </row>
    <row r="18" spans="1:11" ht="12.5">
      <c r="A18" s="14" t="s">
        <v>1800</v>
      </c>
      <c r="B18" s="770" t="s">
        <v>7606</v>
      </c>
      <c r="C18" s="502">
        <v>33011503</v>
      </c>
      <c r="D18" s="505">
        <v>168323095</v>
      </c>
      <c r="E18" s="539">
        <v>15</v>
      </c>
      <c r="F18" s="31">
        <f t="shared" si="0"/>
        <v>495172.54499999998</v>
      </c>
      <c r="G18" s="31">
        <f t="shared" si="1"/>
        <v>2524846.4249999998</v>
      </c>
      <c r="H18" s="209">
        <f>F18*cnst_carbon!$C$11/10^6</f>
        <v>2.7774937561836643E-2</v>
      </c>
      <c r="I18" s="209">
        <f>G18*carbon_intensity_n!$C$9</f>
        <v>0.11746138160068581</v>
      </c>
      <c r="J18" s="233">
        <f>H18*cnst_carbon!$C$13*1000000</f>
        <v>9351.0196268445743</v>
      </c>
      <c r="K18" s="30">
        <f>I18*cnst_carbon!$C$13*1000000</f>
        <v>39545.856126549712</v>
      </c>
    </row>
    <row r="19" spans="1:11" ht="12.5">
      <c r="A19" s="14" t="s">
        <v>1801</v>
      </c>
      <c r="B19" s="770" t="s">
        <v>7607</v>
      </c>
      <c r="C19" s="502">
        <v>858885.31769189204</v>
      </c>
      <c r="D19" s="505">
        <v>1503768</v>
      </c>
      <c r="E19" s="539">
        <v>40.159999999999997</v>
      </c>
      <c r="F19" s="31">
        <f t="shared" si="0"/>
        <v>34492.834358506385</v>
      </c>
      <c r="G19" s="31">
        <f t="shared" si="1"/>
        <v>60391.322879999992</v>
      </c>
      <c r="H19" s="209">
        <f>F19*cnst_carbon!$C$11/10^6</f>
        <v>1.9347525025610792E-3</v>
      </c>
      <c r="I19" s="209">
        <f>G19*carbon_intensity_n!$C$9</f>
        <v>2.8095365135635555E-3</v>
      </c>
      <c r="J19" s="233">
        <f>H19*cnst_carbon!$C$13*1000000</f>
        <v>651.37531215890044</v>
      </c>
      <c r="K19" s="30">
        <f>I19*cnst_carbon!$C$13*1000000</f>
        <v>945.88983403396094</v>
      </c>
    </row>
    <row r="20" spans="1:11" ht="12.5">
      <c r="A20" s="14" t="s">
        <v>1802</v>
      </c>
      <c r="B20" s="770" t="s">
        <v>7608</v>
      </c>
      <c r="C20" s="502">
        <v>10643683.7666039</v>
      </c>
      <c r="D20" s="505">
        <v>31606070</v>
      </c>
      <c r="E20" s="539">
        <v>36.4</v>
      </c>
      <c r="F20" s="31">
        <f t="shared" si="0"/>
        <v>387430.08910438197</v>
      </c>
      <c r="G20" s="31">
        <f t="shared" si="1"/>
        <v>1150460.9480000001</v>
      </c>
      <c r="H20" s="209">
        <f>F20*cnst_carbon!$C$11/10^6</f>
        <v>2.1731508830827882E-2</v>
      </c>
      <c r="I20" s="209">
        <f>G20*carbon_intensity_n!$C$9</f>
        <v>5.352196121382502E-2</v>
      </c>
      <c r="J20" s="233">
        <f>H20*cnst_carbon!$C$13*1000000</f>
        <v>7316.3716442421482</v>
      </c>
      <c r="K20" s="30">
        <f>I20*cnst_carbon!$C$13*1000000</f>
        <v>18019.299185225489</v>
      </c>
    </row>
    <row r="21" spans="1:11" ht="12.5">
      <c r="A21" s="14" t="s">
        <v>1803</v>
      </c>
      <c r="B21" s="770" t="s">
        <v>7609</v>
      </c>
      <c r="C21" s="502">
        <v>87641</v>
      </c>
      <c r="D21" s="505">
        <v>882414</v>
      </c>
      <c r="E21" s="539">
        <v>30</v>
      </c>
      <c r="F21" s="31">
        <f t="shared" si="0"/>
        <v>2629.23</v>
      </c>
      <c r="G21" s="31">
        <f t="shared" si="1"/>
        <v>26472.42</v>
      </c>
      <c r="H21" s="209">
        <f>F21*cnst_carbon!$C$11/10^6</f>
        <v>1.4747727801772161E-4</v>
      </c>
      <c r="I21" s="209">
        <f>G21*carbon_intensity_n!$C$9</f>
        <v>1.2315549162613432E-3</v>
      </c>
      <c r="J21" s="233">
        <f>H21*cnst_carbon!$C$13*1000000</f>
        <v>49.651341904443768</v>
      </c>
      <c r="K21" s="30">
        <f>I21*cnst_carbon!$C$13*1000000</f>
        <v>414.62898585667324</v>
      </c>
    </row>
    <row r="22" spans="1:11" ht="12.5">
      <c r="A22" s="14" t="s">
        <v>1804</v>
      </c>
      <c r="B22" s="770" t="s">
        <v>7610</v>
      </c>
      <c r="C22" s="502">
        <v>993974.19471168797</v>
      </c>
      <c r="D22" s="505">
        <v>35577</v>
      </c>
      <c r="E22" s="539">
        <v>30</v>
      </c>
      <c r="F22" s="31">
        <f t="shared" si="0"/>
        <v>29819.225841350639</v>
      </c>
      <c r="G22" s="31">
        <f t="shared" si="1"/>
        <v>1067.31</v>
      </c>
      <c r="H22" s="209">
        <f>F22*cnst_carbon!$C$11/10^6</f>
        <v>1.6726031042084933E-3</v>
      </c>
      <c r="I22" s="209">
        <f>G22*carbon_intensity_n!$C$9</f>
        <v>4.965359712768588E-5</v>
      </c>
      <c r="J22" s="233">
        <f>H22*cnst_carbon!$C$13*1000000</f>
        <v>563.11717787136365</v>
      </c>
      <c r="K22" s="30">
        <f>I22*cnst_carbon!$C$13*1000000</f>
        <v>16.716932675391444</v>
      </c>
    </row>
    <row r="23" spans="1:11" ht="12.5">
      <c r="A23" s="14" t="s">
        <v>1805</v>
      </c>
      <c r="B23" s="770" t="s">
        <v>7611</v>
      </c>
      <c r="C23" s="502">
        <v>20053981.960289299</v>
      </c>
      <c r="D23" s="505">
        <v>11387707</v>
      </c>
      <c r="E23" s="539">
        <v>44.7</v>
      </c>
      <c r="F23" s="31">
        <f t="shared" si="0"/>
        <v>896412.99362493167</v>
      </c>
      <c r="G23" s="31">
        <f t="shared" si="1"/>
        <v>509030.50290000002</v>
      </c>
      <c r="H23" s="209">
        <f>F23*cnst_carbon!$C$11/10^6</f>
        <v>5.0281089246479824E-2</v>
      </c>
      <c r="I23" s="209">
        <f>G23*carbon_intensity_n!$C$9</f>
        <v>2.3681213065276201E-2</v>
      </c>
      <c r="J23" s="233">
        <f>H23*cnst_carbon!$C$13*1000000</f>
        <v>16928.191156368004</v>
      </c>
      <c r="K23" s="30">
        <f>I23*cnst_carbon!$C$13*1000000</f>
        <v>7972.7807728775615</v>
      </c>
    </row>
    <row r="24" spans="1:11" ht="12.5">
      <c r="A24" s="14" t="s">
        <v>1806</v>
      </c>
      <c r="B24" s="770" t="s">
        <v>7612</v>
      </c>
      <c r="C24" s="502">
        <v>57401231.074259304</v>
      </c>
      <c r="D24" s="505">
        <v>78755375</v>
      </c>
      <c r="E24" s="539">
        <v>30</v>
      </c>
      <c r="F24" s="31">
        <f t="shared" si="0"/>
        <v>1722036.9322277792</v>
      </c>
      <c r="G24" s="31">
        <f t="shared" si="1"/>
        <v>2362661.25</v>
      </c>
      <c r="H24" s="209">
        <f>F24*cnst_carbon!$C$11/10^6</f>
        <v>9.6591518965986473E-2</v>
      </c>
      <c r="I24" s="209">
        <f>G24*carbon_intensity_n!$C$9</f>
        <v>0.10991617229923335</v>
      </c>
      <c r="J24" s="233">
        <f>H24*cnst_carbon!$C$13*1000000</f>
        <v>32519.575881197507</v>
      </c>
      <c r="K24" s="30">
        <f>I24*cnst_carbon!$C$13*1000000</f>
        <v>37005.601981623142</v>
      </c>
    </row>
    <row r="25" spans="1:11" ht="12.5">
      <c r="A25" s="14" t="s">
        <v>1807</v>
      </c>
      <c r="B25" s="770" t="s">
        <v>7613</v>
      </c>
      <c r="C25" s="502">
        <v>943785</v>
      </c>
      <c r="D25" s="505">
        <v>578128</v>
      </c>
      <c r="E25" s="539">
        <v>46.9</v>
      </c>
      <c r="F25" s="31">
        <f t="shared" si="0"/>
        <v>44263.516499999998</v>
      </c>
      <c r="G25" s="31">
        <f t="shared" si="1"/>
        <v>27114.2032</v>
      </c>
      <c r="H25" s="209">
        <f>F25*cnst_carbon!$C$11/10^6</f>
        <v>2.4828040638941846E-3</v>
      </c>
      <c r="I25" s="209">
        <f>G25*carbon_intensity_n!$C$9</f>
        <v>1.2614120753398838E-3</v>
      </c>
      <c r="J25" s="233">
        <f>H25*cnst_carbon!$C$13*1000000</f>
        <v>835.88845085233618</v>
      </c>
      <c r="K25" s="30">
        <f>I25*cnst_carbon!$C$13*1000000</f>
        <v>424.68102935537308</v>
      </c>
    </row>
    <row r="26" spans="1:11" ht="12.5">
      <c r="A26" s="14" t="s">
        <v>1808</v>
      </c>
      <c r="B26" s="770" t="s">
        <v>7614</v>
      </c>
      <c r="C26" s="502">
        <v>2875422.8206224102</v>
      </c>
      <c r="D26" s="505">
        <v>66544854</v>
      </c>
      <c r="E26" s="539">
        <v>46.9</v>
      </c>
      <c r="F26" s="31">
        <f t="shared" si="0"/>
        <v>134857.33028719103</v>
      </c>
      <c r="G26" s="31">
        <f t="shared" si="1"/>
        <v>3120953.6525999997</v>
      </c>
      <c r="H26" s="209">
        <f>F26*cnst_carbon!$C$11/10^6</f>
        <v>7.5643408874430081E-3</v>
      </c>
      <c r="I26" s="209">
        <f>G26*carbon_intensity_n!$C$9</f>
        <v>0.1451935944761879</v>
      </c>
      <c r="J26" s="233">
        <f>H26*cnst_carbon!$C$13*1000000</f>
        <v>2546.6951976091182</v>
      </c>
      <c r="K26" s="30">
        <f>I26*cnst_carbon!$C$13*1000000</f>
        <v>48882.491584948337</v>
      </c>
    </row>
    <row r="27" spans="1:11" ht="12.5">
      <c r="A27" s="14" t="s">
        <v>1809</v>
      </c>
      <c r="B27" s="770" t="s">
        <v>7615</v>
      </c>
      <c r="C27" s="502">
        <v>40701001.850451298</v>
      </c>
      <c r="D27" s="505">
        <v>7090450</v>
      </c>
      <c r="E27" s="539">
        <v>4.6500000000000004</v>
      </c>
      <c r="F27" s="31">
        <f t="shared" si="0"/>
        <v>189259.65860459855</v>
      </c>
      <c r="G27" s="31">
        <f t="shared" si="1"/>
        <v>32970.592500000006</v>
      </c>
      <c r="H27" s="209">
        <f>F27*cnst_carbon!$C$11/10^6</f>
        <v>1.0615845433670487E-2</v>
      </c>
      <c r="I27" s="209">
        <f>G27*carbon_intensity_n!$C$9</f>
        <v>1.5338641229409469E-3</v>
      </c>
      <c r="J27" s="233">
        <f>H27*cnst_carbon!$C$13*1000000</f>
        <v>3574.0486827303903</v>
      </c>
      <c r="K27" s="30">
        <f>I27*cnst_carbon!$C$13*1000000</f>
        <v>516.40776821192173</v>
      </c>
    </row>
    <row r="28" spans="1:11" ht="12.5">
      <c r="A28" s="14" t="s">
        <v>2400</v>
      </c>
      <c r="B28" s="770" t="s">
        <v>7616</v>
      </c>
      <c r="C28" s="502">
        <v>39704290.539234899</v>
      </c>
      <c r="D28" s="505">
        <v>2043947</v>
      </c>
      <c r="E28" s="539">
        <v>67.84</v>
      </c>
      <c r="F28" s="31">
        <f t="shared" si="0"/>
        <v>2693539.0701816953</v>
      </c>
      <c r="G28" s="31">
        <f t="shared" si="1"/>
        <v>138661.36448000002</v>
      </c>
      <c r="H28" s="209">
        <f>F28*cnst_carbon!$C$11/10^6</f>
        <v>0.1510844659100882</v>
      </c>
      <c r="I28" s="209">
        <f>G28*carbon_intensity_n!$C$9</f>
        <v>6.4508301515634019E-3</v>
      </c>
      <c r="J28" s="233">
        <f>H28*cnst_carbon!$C$13*1000000</f>
        <v>50865.777929876385</v>
      </c>
      <c r="K28" s="30">
        <f>I28*cnst_carbon!$C$13*1000000</f>
        <v>2171.8082794034299</v>
      </c>
    </row>
    <row r="29" spans="1:11" ht="12.5">
      <c r="A29" s="14" t="s">
        <v>2401</v>
      </c>
      <c r="B29" s="770" t="s">
        <v>7617</v>
      </c>
      <c r="C29" s="502">
        <v>37155370.376400404</v>
      </c>
      <c r="D29" s="505">
        <v>9968328</v>
      </c>
      <c r="E29" s="539">
        <v>33.340000000000003</v>
      </c>
      <c r="F29" s="31">
        <f t="shared" si="0"/>
        <v>1238760.0483491896</v>
      </c>
      <c r="G29" s="31">
        <f t="shared" si="1"/>
        <v>332344.05552000005</v>
      </c>
      <c r="H29" s="209">
        <f>F29*cnst_carbon!$C$11/10^6</f>
        <v>6.9483826081263217E-2</v>
      </c>
      <c r="I29" s="209">
        <f>G29*carbon_intensity_n!$C$9</f>
        <v>1.5461372835044507E-2</v>
      </c>
      <c r="J29" s="233">
        <f>H29*cnst_carbon!$C$13*1000000</f>
        <v>23393.198274076782</v>
      </c>
      <c r="K29" s="30">
        <f>I29*cnst_carbon!$C$13*1000000</f>
        <v>5205.3978705290838</v>
      </c>
    </row>
    <row r="30" spans="1:11" ht="12.5">
      <c r="A30" s="14" t="s">
        <v>2402</v>
      </c>
      <c r="B30" s="770" t="s">
        <v>7618</v>
      </c>
      <c r="C30" s="502">
        <v>16321449.3218504</v>
      </c>
      <c r="D30" s="505">
        <v>11253041</v>
      </c>
      <c r="E30" s="539">
        <v>19.23</v>
      </c>
      <c r="F30" s="31">
        <f t="shared" si="0"/>
        <v>313861.47045918321</v>
      </c>
      <c r="G30" s="31">
        <f t="shared" si="1"/>
        <v>216395.97843000002</v>
      </c>
      <c r="H30" s="209">
        <f>F30*cnst_carbon!$C$11/10^6</f>
        <v>1.7604939597509493E-2</v>
      </c>
      <c r="I30" s="209">
        <f>G30*carbon_intensity_n!$C$9</f>
        <v>1.006721452344176E-2</v>
      </c>
      <c r="J30" s="233">
        <f>H30*cnst_carbon!$C$13*1000000</f>
        <v>5927.0749156218299</v>
      </c>
      <c r="K30" s="30">
        <f>I30*cnst_carbon!$C$13*1000000</f>
        <v>3389.3404939893467</v>
      </c>
    </row>
    <row r="31" spans="1:11" ht="12.5">
      <c r="A31" s="14" t="s">
        <v>2403</v>
      </c>
      <c r="B31" s="770" t="s">
        <v>7619</v>
      </c>
      <c r="C31" s="502">
        <v>172051519.842143</v>
      </c>
      <c r="D31" s="505">
        <v>280441614</v>
      </c>
      <c r="E31" s="539">
        <v>59.69</v>
      </c>
      <c r="F31" s="31">
        <f t="shared" si="0"/>
        <v>10269755.219377516</v>
      </c>
      <c r="G31" s="31">
        <f t="shared" si="1"/>
        <v>16739559.93966</v>
      </c>
      <c r="H31" s="209">
        <f>F31*cnst_carbon!$C$11/10^6</f>
        <v>0.57604528537331667</v>
      </c>
      <c r="I31" s="209">
        <f>G31*carbon_intensity_n!$C$9</f>
        <v>0.77876096479806944</v>
      </c>
      <c r="J31" s="233">
        <f>H31*cnst_carbon!$C$13*1000000</f>
        <v>193937.81741127968</v>
      </c>
      <c r="K31" s="30">
        <f>I31*cnst_carbon!$C$13*1000000</f>
        <v>262186.33436112839</v>
      </c>
    </row>
    <row r="32" spans="1:11" ht="12.5">
      <c r="A32" s="14" t="s">
        <v>638</v>
      </c>
      <c r="B32" s="770" t="s">
        <v>7620</v>
      </c>
      <c r="C32" s="502">
        <v>9082338.4438504204</v>
      </c>
      <c r="D32" s="505">
        <v>24510740</v>
      </c>
      <c r="E32" s="539">
        <v>59.69</v>
      </c>
      <c r="F32" s="31">
        <f t="shared" si="0"/>
        <v>542124.78171343158</v>
      </c>
      <c r="G32" s="31">
        <f t="shared" si="1"/>
        <v>1463046.0706</v>
      </c>
      <c r="H32" s="209">
        <f>F32*cnst_carbon!$C$11/10^6</f>
        <v>3.0408555795061059E-2</v>
      </c>
      <c r="I32" s="209">
        <f>G32*carbon_intensity_n!$C$9</f>
        <v>6.8064105244789494E-2</v>
      </c>
      <c r="J32" s="233">
        <f>H32*cnst_carbon!$C$13*1000000</f>
        <v>10237.682854571694</v>
      </c>
      <c r="K32" s="30">
        <f>I32*cnst_carbon!$C$13*1000000</f>
        <v>22915.219255151922</v>
      </c>
    </row>
    <row r="33" spans="1:11" ht="12.5">
      <c r="A33" s="14" t="s">
        <v>1685</v>
      </c>
      <c r="B33" s="770" t="s">
        <v>7621</v>
      </c>
      <c r="C33" s="502">
        <v>83402333.161935896</v>
      </c>
      <c r="D33" s="505">
        <v>217461317</v>
      </c>
      <c r="E33" s="539">
        <v>57.52</v>
      </c>
      <c r="F33" s="31">
        <f t="shared" si="0"/>
        <v>4797302.2034745533</v>
      </c>
      <c r="G33" s="31">
        <f t="shared" si="1"/>
        <v>12508374.953840001</v>
      </c>
      <c r="H33" s="209">
        <f>F33*cnst_carbon!$C$11/10^6</f>
        <v>0.2690875544539067</v>
      </c>
      <c r="I33" s="209">
        <f>G33*carbon_intensity_n!$C$9</f>
        <v>0.58191697883464777</v>
      </c>
      <c r="J33" s="233">
        <f>H33*cnst_carbon!$C$13*1000000</f>
        <v>90594.01114533779</v>
      </c>
      <c r="K33" s="30">
        <f>I33*cnst_carbon!$C$13*1000000</f>
        <v>195914.64708650333</v>
      </c>
    </row>
    <row r="34" spans="1:11" ht="12.5">
      <c r="A34" s="14" t="s">
        <v>2305</v>
      </c>
      <c r="B34" s="770" t="s">
        <v>7622</v>
      </c>
      <c r="C34" s="502">
        <v>84248194.823837698</v>
      </c>
      <c r="D34" s="505">
        <v>34820349</v>
      </c>
      <c r="E34" s="539">
        <v>59.69</v>
      </c>
      <c r="F34" s="31">
        <f t="shared" si="0"/>
        <v>5028774.7490348723</v>
      </c>
      <c r="G34" s="31">
        <f t="shared" si="1"/>
        <v>2078426.6318099999</v>
      </c>
      <c r="H34" s="209">
        <f>F34*cnst_carbon!$C$11/10^6</f>
        <v>0.28207118120206831</v>
      </c>
      <c r="I34" s="209">
        <f>G34*carbon_intensity_n!$C$9</f>
        <v>9.6692955781681855E-2</v>
      </c>
      <c r="J34" s="233">
        <f>H34*cnst_carbon!$C$13*1000000</f>
        <v>94965.223439852663</v>
      </c>
      <c r="K34" s="30">
        <f>I34*cnst_carbon!$C$13*1000000</f>
        <v>32553.72672860591</v>
      </c>
    </row>
    <row r="35" spans="1:11" ht="12.5">
      <c r="A35" s="14" t="s">
        <v>2306</v>
      </c>
      <c r="B35" s="770" t="s">
        <v>7623</v>
      </c>
      <c r="C35" s="502">
        <v>155213093.42768899</v>
      </c>
      <c r="D35" s="505">
        <v>10301510190</v>
      </c>
      <c r="E35" s="539">
        <v>3.7</v>
      </c>
      <c r="F35" s="31">
        <f t="shared" si="0"/>
        <v>574288.44568244927</v>
      </c>
      <c r="G35" s="31">
        <f t="shared" si="1"/>
        <v>38115587.703000002</v>
      </c>
      <c r="H35" s="209">
        <f>F35*cnst_carbon!$C$11/10^6</f>
        <v>3.2212661793101317E-2</v>
      </c>
      <c r="I35" s="209">
        <f>G35*carbon_intensity_n!$C$9</f>
        <v>1.7732205601837707</v>
      </c>
      <c r="J35" s="233">
        <f>H35*cnst_carbon!$C$13*1000000</f>
        <v>10845.073260365531</v>
      </c>
      <c r="K35" s="30">
        <f>I35*cnst_carbon!$C$13*1000000</f>
        <v>596992.1705165595</v>
      </c>
    </row>
    <row r="36" spans="1:11" ht="12.5">
      <c r="A36" s="14" t="s">
        <v>1347</v>
      </c>
      <c r="B36" s="770" t="s">
        <v>7624</v>
      </c>
      <c r="C36" s="502">
        <v>24690974.2453354</v>
      </c>
      <c r="D36" s="505">
        <v>3280823</v>
      </c>
      <c r="E36" s="539">
        <v>7.4</v>
      </c>
      <c r="F36" s="31">
        <f t="shared" si="0"/>
        <v>182713.20941548195</v>
      </c>
      <c r="G36" s="31">
        <f t="shared" si="1"/>
        <v>24278.090200000002</v>
      </c>
      <c r="H36" s="209">
        <f>F36*cnst_carbon!$C$11/10^6</f>
        <v>1.0248645718509686E-2</v>
      </c>
      <c r="I36" s="209">
        <f>G36*carbon_intensity_n!$C$9</f>
        <v>1.129469891428375E-3</v>
      </c>
      <c r="J36" s="233">
        <f>H36*cnst_carbon!$C$13*1000000</f>
        <v>3450.4231395299494</v>
      </c>
      <c r="K36" s="30">
        <f>I36*cnst_carbon!$C$13*1000000</f>
        <v>380.25990514516013</v>
      </c>
    </row>
    <row r="37" spans="1:11" ht="12.5">
      <c r="A37" s="14" t="s">
        <v>1348</v>
      </c>
      <c r="B37" s="770" t="s">
        <v>7625</v>
      </c>
      <c r="C37" s="502">
        <v>274855145.77604002</v>
      </c>
      <c r="D37" s="505">
        <v>10295199</v>
      </c>
      <c r="E37" s="539">
        <v>7.4</v>
      </c>
      <c r="F37" s="31">
        <f t="shared" si="0"/>
        <v>2033928.0787426962</v>
      </c>
      <c r="G37" s="31">
        <f t="shared" si="1"/>
        <v>76184.472600000008</v>
      </c>
      <c r="H37" s="209">
        <f>F37*cnst_carbon!$C$11/10^6</f>
        <v>0.11408594027026428</v>
      </c>
      <c r="I37" s="209">
        <f>G37*carbon_intensity_n!$C$9</f>
        <v>3.5442684036180909E-3</v>
      </c>
      <c r="J37" s="233">
        <f>H37*cnst_carbon!$C$13*1000000</f>
        <v>38409.442478102726</v>
      </c>
      <c r="K37" s="30">
        <f>I37*cnst_carbon!$C$13*1000000</f>
        <v>1193.2528500289554</v>
      </c>
    </row>
    <row r="38" spans="1:11" ht="12.5">
      <c r="A38" s="14" t="s">
        <v>1349</v>
      </c>
      <c r="B38" s="770" t="s">
        <v>7626</v>
      </c>
      <c r="C38" s="502">
        <v>48099513.043917097</v>
      </c>
      <c r="D38" s="505">
        <v>2238683175</v>
      </c>
      <c r="E38" s="539">
        <v>4.2</v>
      </c>
      <c r="F38" s="31">
        <f t="shared" si="0"/>
        <v>202017.95478445181</v>
      </c>
      <c r="G38" s="31">
        <f t="shared" si="1"/>
        <v>9402469.3350000009</v>
      </c>
      <c r="H38" s="209">
        <f>F38*cnst_carbon!$C$11/10^6</f>
        <v>1.1331476547246956E-2</v>
      </c>
      <c r="I38" s="209">
        <f>G38*carbon_intensity_n!$C$9</f>
        <v>0.43742345182328535</v>
      </c>
      <c r="J38" s="233">
        <f>H38*cnst_carbon!$C$13*1000000</f>
        <v>3814.981018716232</v>
      </c>
      <c r="K38" s="30">
        <f>I38*cnst_carbon!$C$13*1000000</f>
        <v>147267.84800632205</v>
      </c>
    </row>
    <row r="39" spans="1:11" ht="12.5">
      <c r="A39" s="14" t="s">
        <v>379</v>
      </c>
      <c r="B39" s="770" t="s">
        <v>7627</v>
      </c>
      <c r="C39" s="502">
        <v>336481662.63483697</v>
      </c>
      <c r="D39" s="505">
        <v>2150249637</v>
      </c>
      <c r="E39" s="539">
        <v>4</v>
      </c>
      <c r="F39" s="31">
        <f t="shared" si="0"/>
        <v>1345926.6505393479</v>
      </c>
      <c r="G39" s="31">
        <f t="shared" si="1"/>
        <v>8600998.5480000004</v>
      </c>
      <c r="H39" s="209">
        <f>F39*cnst_carbon!$C$11/10^6</f>
        <v>7.5494954352815169E-2</v>
      </c>
      <c r="I39" s="209">
        <f>G39*carbon_intensity_n!$C$9</f>
        <v>0.4001372767033039</v>
      </c>
      <c r="J39" s="233">
        <f>H39*cnst_carbon!$C$13*1000000</f>
        <v>25416.971624480157</v>
      </c>
      <c r="K39" s="30">
        <f>I39*cnst_carbon!$C$13*1000000</f>
        <v>134714.66927889327</v>
      </c>
    </row>
    <row r="40" spans="1:11" ht="12.5">
      <c r="A40" s="14" t="s">
        <v>380</v>
      </c>
      <c r="B40" s="770" t="s">
        <v>7628</v>
      </c>
      <c r="C40" s="502">
        <v>724821.69970504497</v>
      </c>
      <c r="D40" s="505">
        <v>225340000</v>
      </c>
      <c r="E40" s="539">
        <v>3.7</v>
      </c>
      <c r="F40" s="31">
        <f t="shared" si="0"/>
        <v>2681.8402889086665</v>
      </c>
      <c r="G40" s="31">
        <f t="shared" si="1"/>
        <v>833758</v>
      </c>
      <c r="H40" s="209">
        <f>F40*cnst_carbon!$C$11/10^6</f>
        <v>1.5042826450577175E-4</v>
      </c>
      <c r="I40" s="209">
        <f>G40*carbon_intensity_n!$C$9</f>
        <v>3.8788246932929635E-2</v>
      </c>
      <c r="J40" s="233">
        <f>H40*cnst_carbon!$C$13*1000000</f>
        <v>50.644853861288844</v>
      </c>
      <c r="K40" s="30">
        <f>I40*cnst_carbon!$C$13*1000000</f>
        <v>13058.882942696142</v>
      </c>
    </row>
    <row r="41" spans="1:11" ht="12.5">
      <c r="A41" s="14" t="s">
        <v>767</v>
      </c>
      <c r="B41" s="770" t="s">
        <v>7629</v>
      </c>
      <c r="C41" s="502">
        <v>15123542.5026395</v>
      </c>
      <c r="D41" s="505">
        <v>1717835728</v>
      </c>
      <c r="E41" s="539">
        <v>3.7</v>
      </c>
      <c r="F41" s="31">
        <f t="shared" si="0"/>
        <v>55957.107259766155</v>
      </c>
      <c r="G41" s="31">
        <f t="shared" si="1"/>
        <v>6355992.1936000008</v>
      </c>
      <c r="H41" s="209">
        <f>F41*cnst_carbon!$C$11/10^6</f>
        <v>3.1387143248844721E-3</v>
      </c>
      <c r="I41" s="209">
        <f>G41*carbon_intensity_n!$C$9</f>
        <v>0.29569466764832231</v>
      </c>
      <c r="J41" s="233">
        <f>H41*cnst_carbon!$C$13*1000000</f>
        <v>1056.7144998871463</v>
      </c>
      <c r="K41" s="30">
        <f>I41*cnst_carbon!$C$13*1000000</f>
        <v>99551.858022247325</v>
      </c>
    </row>
    <row r="42" spans="1:11" ht="12.5">
      <c r="A42" s="14" t="s">
        <v>768</v>
      </c>
      <c r="B42" s="770" t="s">
        <v>7630</v>
      </c>
      <c r="C42" s="502">
        <v>23480484.75</v>
      </c>
      <c r="D42" s="505">
        <v>123491552.70901901</v>
      </c>
      <c r="E42" s="539">
        <v>3.7</v>
      </c>
      <c r="F42" s="31">
        <f t="shared" si="0"/>
        <v>86877.793575000003</v>
      </c>
      <c r="G42" s="31">
        <f t="shared" si="1"/>
        <v>456918.74502337031</v>
      </c>
      <c r="H42" s="209">
        <f>F42*cnst_carbon!$C$11/10^6</f>
        <v>4.8730999253114044E-3</v>
      </c>
      <c r="I42" s="209">
        <f>G42*carbon_intensity_n!$C$9</f>
        <v>2.1256860036426399E-2</v>
      </c>
      <c r="J42" s="233">
        <f>H42*cnst_carbon!$C$13*1000000</f>
        <v>1640.632060601778</v>
      </c>
      <c r="K42" s="30">
        <f>I42*cnst_carbon!$C$13*1000000</f>
        <v>7156.5710980690064</v>
      </c>
    </row>
    <row r="43" spans="1:11" ht="12.5">
      <c r="A43" s="14" t="s">
        <v>3622</v>
      </c>
      <c r="B43" s="770" t="s">
        <v>7631</v>
      </c>
      <c r="C43" s="502">
        <v>104885917.73148599</v>
      </c>
      <c r="D43" s="505">
        <v>286118621</v>
      </c>
      <c r="E43" s="539">
        <v>4.9000000000000004</v>
      </c>
      <c r="F43" s="31">
        <f t="shared" si="0"/>
        <v>513940.9968842814</v>
      </c>
      <c r="G43" s="31">
        <f t="shared" si="1"/>
        <v>1401981.2429000002</v>
      </c>
      <c r="H43" s="209">
        <f>F43*cnst_carbon!$C$11/10^6</f>
        <v>2.8827686920584416E-2</v>
      </c>
      <c r="I43" s="209">
        <f>G43*carbon_intensity_n!$C$9</f>
        <v>6.5223235812958691E-2</v>
      </c>
      <c r="J43" s="233">
        <f>H43*cnst_carbon!$C$13*1000000</f>
        <v>9705.4499435241978</v>
      </c>
      <c r="K43" s="30">
        <f>I43*cnst_carbon!$C$13*1000000</f>
        <v>21958.780532104942</v>
      </c>
    </row>
    <row r="44" spans="1:11" ht="12.5">
      <c r="A44" s="14" t="s">
        <v>1578</v>
      </c>
      <c r="B44" s="770" t="s">
        <v>7632</v>
      </c>
      <c r="C44" s="502">
        <v>64162214.187036</v>
      </c>
      <c r="D44" s="505">
        <v>249177239</v>
      </c>
      <c r="E44" s="539">
        <v>4.9000000000000004</v>
      </c>
      <c r="F44" s="31">
        <f t="shared" si="0"/>
        <v>314394.84951647645</v>
      </c>
      <c r="G44" s="31">
        <f t="shared" si="1"/>
        <v>1220968.4711000002</v>
      </c>
      <c r="H44" s="209">
        <f>F44*cnst_carbon!$C$11/10^6</f>
        <v>1.7634857593090428E-2</v>
      </c>
      <c r="I44" s="209">
        <f>G44*carbon_intensity_n!$C$9</f>
        <v>5.6802125502062192E-2</v>
      </c>
      <c r="J44" s="233">
        <f>H44*cnst_carbon!$C$13*1000000</f>
        <v>5937.1474410145629</v>
      </c>
      <c r="K44" s="30">
        <f>I44*cnst_carbon!$C$13*1000000</f>
        <v>19123.63580417529</v>
      </c>
    </row>
    <row r="45" spans="1:11" ht="12.5">
      <c r="A45" s="14" t="s">
        <v>4149</v>
      </c>
      <c r="B45" s="770" t="s">
        <v>7633</v>
      </c>
      <c r="C45" s="502">
        <v>192430613.25</v>
      </c>
      <c r="D45" s="505">
        <v>397998179</v>
      </c>
      <c r="E45" s="539">
        <v>3.7</v>
      </c>
      <c r="F45" s="31">
        <f t="shared" si="0"/>
        <v>711993.26902499993</v>
      </c>
      <c r="G45" s="31">
        <f t="shared" si="1"/>
        <v>1472593.2623000001</v>
      </c>
      <c r="H45" s="209">
        <f>F45*cnst_carbon!$C$11/10^6</f>
        <v>3.9936722646077505E-2</v>
      </c>
      <c r="I45" s="209">
        <f>G45*carbon_intensity_n!$C$9</f>
        <v>6.8508261497773726E-2</v>
      </c>
      <c r="J45" s="233">
        <f>H45*cnst_carbon!$C$13*1000000</f>
        <v>13445.541559324547</v>
      </c>
      <c r="K45" s="30">
        <f>I45*cnst_carbon!$C$13*1000000</f>
        <v>23064.753842936127</v>
      </c>
    </row>
    <row r="46" spans="1:11" ht="12.5">
      <c r="A46" s="14" t="s">
        <v>4150</v>
      </c>
      <c r="B46" s="770" t="s">
        <v>7634</v>
      </c>
      <c r="C46" s="502">
        <v>86340893.626780704</v>
      </c>
      <c r="D46" s="505">
        <v>571764787</v>
      </c>
      <c r="E46" s="539">
        <v>6.4</v>
      </c>
      <c r="F46" s="31">
        <f t="shared" si="0"/>
        <v>552581.71921139653</v>
      </c>
      <c r="G46" s="31">
        <f t="shared" si="1"/>
        <v>3659294.6368</v>
      </c>
      <c r="H46" s="209">
        <f>F46*cnst_carbon!$C$11/10^6</f>
        <v>3.0995100402646289E-2</v>
      </c>
      <c r="I46" s="209">
        <f>G46*carbon_intensity_n!$C$9</f>
        <v>0.17023839528081705</v>
      </c>
      <c r="J46" s="233">
        <f>H46*cnst_carbon!$C$13*1000000</f>
        <v>10435.155490660913</v>
      </c>
      <c r="K46" s="30">
        <f>I46*cnst_carbon!$C$13*1000000</f>
        <v>57314.35298348801</v>
      </c>
    </row>
    <row r="47" spans="1:11" ht="12.5">
      <c r="A47" s="14" t="s">
        <v>4151</v>
      </c>
      <c r="B47" s="770" t="s">
        <v>7635</v>
      </c>
      <c r="C47" s="502">
        <v>86850954.474971905</v>
      </c>
      <c r="D47" s="505">
        <v>40307434</v>
      </c>
      <c r="E47" s="539">
        <v>13</v>
      </c>
      <c r="F47" s="31">
        <f t="shared" si="0"/>
        <v>1129062.4081746347</v>
      </c>
      <c r="G47" s="31">
        <f t="shared" si="1"/>
        <v>523996.64199999999</v>
      </c>
      <c r="H47" s="209">
        <f>F47*cnst_carbon!$C$11/10^6</f>
        <v>6.3330728262544114E-2</v>
      </c>
      <c r="I47" s="209">
        <f>G47*carbon_intensity_n!$C$9</f>
        <v>2.4377470611282804E-2</v>
      </c>
      <c r="J47" s="233">
        <f>H47*cnst_carbon!$C$13*1000000</f>
        <v>21321.627875740585</v>
      </c>
      <c r="K47" s="30">
        <f>I47*cnst_carbon!$C$13*1000000</f>
        <v>8207.1905879690003</v>
      </c>
    </row>
    <row r="48" spans="1:11" ht="12.5">
      <c r="A48" s="14" t="s">
        <v>3928</v>
      </c>
      <c r="B48" s="770" t="s">
        <v>7636</v>
      </c>
      <c r="C48" s="502">
        <v>272988620.91535902</v>
      </c>
      <c r="D48" s="505">
        <v>267102138.10497001</v>
      </c>
      <c r="E48" s="539">
        <v>30</v>
      </c>
      <c r="F48" s="31">
        <f t="shared" si="0"/>
        <v>8189658.6274607703</v>
      </c>
      <c r="G48" s="31">
        <f t="shared" si="1"/>
        <v>8013064.1431491002</v>
      </c>
      <c r="H48" s="209">
        <f>F48*cnst_carbon!$C$11/10^6</f>
        <v>0.45936968704611786</v>
      </c>
      <c r="I48" s="209">
        <f>G48*carbon_intensity_n!$C$9</f>
        <v>0.37278528142922951</v>
      </c>
      <c r="J48" s="233">
        <f>H48*cnst_carbon!$C$13*1000000</f>
        <v>154656.51182769571</v>
      </c>
      <c r="K48" s="30">
        <f>I48*cnst_carbon!$C$13*1000000</f>
        <v>125506.04211018051</v>
      </c>
    </row>
    <row r="49" spans="1:11" ht="12.5">
      <c r="A49" s="14" t="s">
        <v>3449</v>
      </c>
      <c r="B49" s="770" t="s">
        <v>7637</v>
      </c>
      <c r="C49" s="502">
        <v>121809623.816865</v>
      </c>
      <c r="D49" s="505">
        <v>152736600</v>
      </c>
      <c r="E49" s="539">
        <v>4</v>
      </c>
      <c r="F49" s="31">
        <f t="shared" si="0"/>
        <v>487238.49526746001</v>
      </c>
      <c r="G49" s="31">
        <f t="shared" si="1"/>
        <v>610946.4</v>
      </c>
      <c r="H49" s="209">
        <f>F49*cnst_carbon!$C$11/10^6</f>
        <v>2.7329905343958318E-2</v>
      </c>
      <c r="I49" s="209">
        <f>G49*carbon_intensity_n!$C$9</f>
        <v>2.8422563652743846E-2</v>
      </c>
      <c r="J49" s="233">
        <f>H49*cnst_carbon!$C$13*1000000</f>
        <v>9201.1901269692517</v>
      </c>
      <c r="K49" s="30">
        <f>I49*cnst_carbon!$C$13*1000000</f>
        <v>9569.056634972756</v>
      </c>
    </row>
    <row r="50" spans="1:11" ht="12.5">
      <c r="A50" s="14" t="s">
        <v>3450</v>
      </c>
      <c r="B50" s="770" t="s">
        <v>7638</v>
      </c>
      <c r="C50" s="502">
        <v>238022273.081714</v>
      </c>
      <c r="D50" s="505">
        <v>61415</v>
      </c>
      <c r="E50" s="539">
        <v>7.62</v>
      </c>
      <c r="F50" s="31">
        <f t="shared" si="0"/>
        <v>1813729.7208826607</v>
      </c>
      <c r="G50" s="31">
        <f t="shared" si="1"/>
        <v>467.98230000000001</v>
      </c>
      <c r="H50" s="209">
        <f>F50*cnst_carbon!$C$11/10^6</f>
        <v>0.10173469886454085</v>
      </c>
      <c r="I50" s="209">
        <f>G50*carbon_intensity_n!$C$9</f>
        <v>2.1771560827770595E-5</v>
      </c>
      <c r="J50" s="233">
        <f>H50*cnst_carbon!$C$13*1000000</f>
        <v>34251.13607170021</v>
      </c>
      <c r="K50" s="30">
        <f>I50*cnst_carbon!$C$13*1000000</f>
        <v>7.3298559953292308</v>
      </c>
    </row>
    <row r="51" spans="1:11" ht="12.5">
      <c r="A51" s="14" t="s">
        <v>5</v>
      </c>
      <c r="B51" s="770" t="s">
        <v>7639</v>
      </c>
      <c r="C51" s="502">
        <v>129701685.20502</v>
      </c>
      <c r="D51" s="505">
        <v>220847</v>
      </c>
      <c r="E51" s="539">
        <v>7.62</v>
      </c>
      <c r="F51" s="31">
        <f t="shared" si="0"/>
        <v>988326.8412622523</v>
      </c>
      <c r="G51" s="31">
        <f t="shared" si="1"/>
        <v>1682.8541400000001</v>
      </c>
      <c r="H51" s="209">
        <f>F51*cnst_carbon!$C$11/10^6</f>
        <v>5.5436668660105728E-2</v>
      </c>
      <c r="I51" s="209">
        <f>G51*carbon_intensity_n!$C$9</f>
        <v>7.8290057707899587E-5</v>
      </c>
      <c r="J51" s="233">
        <f>H51*cnst_carbon!$C$13*1000000</f>
        <v>18663.925905626744</v>
      </c>
      <c r="K51" s="30">
        <f>I51*cnst_carbon!$C$13*1000000</f>
        <v>26.358002230733128</v>
      </c>
    </row>
    <row r="52" spans="1:11" ht="12.5">
      <c r="A52" s="14" t="s">
        <v>6</v>
      </c>
      <c r="B52" s="770" t="s">
        <v>7640</v>
      </c>
      <c r="C52" s="502">
        <v>598691626</v>
      </c>
      <c r="D52" s="505">
        <v>99097</v>
      </c>
      <c r="E52" s="539">
        <v>2</v>
      </c>
      <c r="F52" s="31">
        <f t="shared" si="0"/>
        <v>1197383.2520000001</v>
      </c>
      <c r="G52" s="31">
        <f t="shared" si="1"/>
        <v>198.19399999999999</v>
      </c>
      <c r="H52" s="209">
        <f>F52*cnst_carbon!$C$11/10^6</f>
        <v>6.7162942286892985E-2</v>
      </c>
      <c r="I52" s="209">
        <f>G52*carbon_intensity_n!$C$9</f>
        <v>9.2204186498061247E-6</v>
      </c>
      <c r="J52" s="233">
        <f>H52*cnst_carbon!$C$13*1000000</f>
        <v>22611.823703406229</v>
      </c>
      <c r="K52" s="30">
        <f>I52*cnst_carbon!$C$13*1000000</f>
        <v>3.104248769960491</v>
      </c>
    </row>
    <row r="53" spans="1:11" ht="12.5">
      <c r="A53" s="14" t="s">
        <v>7</v>
      </c>
      <c r="B53" s="770" t="s">
        <v>7641</v>
      </c>
      <c r="C53" s="502">
        <v>219227130</v>
      </c>
      <c r="D53" s="505">
        <v>27452453</v>
      </c>
      <c r="E53" s="539">
        <v>6.8</v>
      </c>
      <c r="F53" s="31">
        <f t="shared" si="0"/>
        <v>1490744.4839999999</v>
      </c>
      <c r="G53" s="31">
        <f t="shared" si="1"/>
        <v>186676.68040000001</v>
      </c>
      <c r="H53" s="209">
        <f>F53*cnst_carbon!$C$11/10^6</f>
        <v>8.3617994135261248E-2</v>
      </c>
      <c r="I53" s="209">
        <f>G53*carbon_intensity_n!$C$9</f>
        <v>8.6846077350679531E-3</v>
      </c>
      <c r="J53" s="233">
        <f>H53*cnst_carbon!$C$13*1000000</f>
        <v>28151.764610645547</v>
      </c>
      <c r="K53" s="30">
        <f>I53*cnst_carbon!$C$13*1000000</f>
        <v>2923.8567035934884</v>
      </c>
    </row>
    <row r="54" spans="1:11" ht="12.5">
      <c r="A54" s="14" t="s">
        <v>8</v>
      </c>
      <c r="B54" s="770" t="s">
        <v>7642</v>
      </c>
      <c r="C54" s="502">
        <v>185591880</v>
      </c>
      <c r="D54" s="505">
        <v>1588535</v>
      </c>
      <c r="E54" s="539">
        <v>7.2</v>
      </c>
      <c r="F54" s="31">
        <f t="shared" si="0"/>
        <v>1336261.5360000001</v>
      </c>
      <c r="G54" s="31">
        <f t="shared" si="1"/>
        <v>11437.451999999999</v>
      </c>
      <c r="H54" s="209">
        <f>F54*cnst_carbon!$C$11/10^6</f>
        <v>7.4952824229549991E-2</v>
      </c>
      <c r="I54" s="209">
        <f>G54*carbon_intensity_n!$C$9</f>
        <v>5.3209529918697024E-4</v>
      </c>
      <c r="J54" s="233">
        <f>H54*cnst_carbon!$C$13*1000000</f>
        <v>25234.452063034882</v>
      </c>
      <c r="K54" s="30">
        <f>I54*cnst_carbon!$C$13*1000000</f>
        <v>179.14112587909906</v>
      </c>
    </row>
    <row r="55" spans="1:11" ht="12.5">
      <c r="A55" s="14" t="s">
        <v>1252</v>
      </c>
      <c r="B55" s="770" t="s">
        <v>7643</v>
      </c>
      <c r="C55" s="502">
        <v>81548056.627775103</v>
      </c>
      <c r="D55" s="505">
        <v>3328956</v>
      </c>
      <c r="E55" s="539">
        <v>16.3</v>
      </c>
      <c r="F55" s="31">
        <f t="shared" si="0"/>
        <v>1329233.3230327342</v>
      </c>
      <c r="G55" s="31">
        <f t="shared" si="1"/>
        <v>54261.982800000005</v>
      </c>
      <c r="H55" s="209">
        <f>F55*cnst_carbon!$C$11/10^6</f>
        <v>7.4558601693772888E-2</v>
      </c>
      <c r="I55" s="209">
        <f>G55*carbon_intensity_n!$C$9</f>
        <v>2.5243861982934867E-3</v>
      </c>
      <c r="J55" s="233">
        <f>H55*cnst_carbon!$C$13*1000000</f>
        <v>25101.72871626987</v>
      </c>
      <c r="K55" s="30">
        <f>I55*cnst_carbon!$C$13*1000000</f>
        <v>849.88795504665813</v>
      </c>
    </row>
    <row r="56" spans="1:11" ht="12.5">
      <c r="A56" s="14" t="s">
        <v>1253</v>
      </c>
      <c r="B56" s="770" t="s">
        <v>7644</v>
      </c>
      <c r="C56" s="502">
        <v>924061754.08934903</v>
      </c>
      <c r="D56" s="505">
        <v>123407668</v>
      </c>
      <c r="E56" s="539">
        <v>7.62</v>
      </c>
      <c r="F56" s="31">
        <f t="shared" si="0"/>
        <v>7041350.56616084</v>
      </c>
      <c r="G56" s="31">
        <f t="shared" si="1"/>
        <v>940366.43015999999</v>
      </c>
      <c r="H56" s="209">
        <f>F56*cnst_carbon!$C$11/10^6</f>
        <v>0.394959442523455</v>
      </c>
      <c r="I56" s="209">
        <f>G56*carbon_intensity_n!$C$9</f>
        <v>4.3747904428483572E-2</v>
      </c>
      <c r="J56" s="233">
        <f>H56*cnst_carbon!$C$13*1000000</f>
        <v>132971.44199233255</v>
      </c>
      <c r="K56" s="30">
        <f>I56*cnst_carbon!$C$13*1000000</f>
        <v>14728.656438319616</v>
      </c>
    </row>
    <row r="57" spans="1:11" ht="12.5">
      <c r="A57" s="14" t="s">
        <v>2739</v>
      </c>
      <c r="B57" s="770" t="s">
        <v>7645</v>
      </c>
      <c r="C57" s="502">
        <v>39398645.25</v>
      </c>
      <c r="D57" s="505">
        <v>654327</v>
      </c>
      <c r="E57" s="539">
        <v>1.55</v>
      </c>
      <c r="F57" s="31">
        <f t="shared" si="0"/>
        <v>61067.900137500001</v>
      </c>
      <c r="G57" s="31">
        <f t="shared" si="1"/>
        <v>1014.20685</v>
      </c>
      <c r="H57" s="209">
        <f>F57*cnst_carbon!$C$11/10^6</f>
        <v>3.4253860204457379E-3</v>
      </c>
      <c r="I57" s="209">
        <f>G57*carbon_intensity_n!$C$9</f>
        <v>4.7183122367484003E-5</v>
      </c>
      <c r="J57" s="233">
        <f>H57*cnst_carbon!$C$13*1000000</f>
        <v>1153.2285836969156</v>
      </c>
      <c r="K57" s="30">
        <f>I57*cnst_carbon!$C$13*1000000</f>
        <v>15.885195145150735</v>
      </c>
    </row>
    <row r="58" spans="1:11" ht="12.5">
      <c r="A58" s="14" t="s">
        <v>2740</v>
      </c>
      <c r="B58" s="770" t="s">
        <v>7646</v>
      </c>
      <c r="C58" s="502">
        <v>2399840.49839471</v>
      </c>
      <c r="D58" s="505">
        <v>41751</v>
      </c>
      <c r="E58" s="539">
        <v>7.62</v>
      </c>
      <c r="F58" s="31">
        <f t="shared" si="0"/>
        <v>18286.784597767692</v>
      </c>
      <c r="G58" s="31">
        <f t="shared" si="1"/>
        <v>318.14262000000002</v>
      </c>
      <c r="H58" s="209">
        <f>F58*cnst_carbon!$C$11/10^6</f>
        <v>1.02573195048557E-3</v>
      </c>
      <c r="I58" s="209">
        <f>G58*carbon_intensity_n!$C$9</f>
        <v>1.4800690973219086E-5</v>
      </c>
      <c r="J58" s="233">
        <f>H58*cnst_carbon!$C$13*1000000</f>
        <v>345.33433529842574</v>
      </c>
      <c r="K58" s="30">
        <f>I58*cnst_carbon!$C$13*1000000</f>
        <v>4.9829653612471008</v>
      </c>
    </row>
    <row r="59" spans="1:11" ht="12.5">
      <c r="A59" s="14" t="s">
        <v>2741</v>
      </c>
      <c r="B59" s="770" t="s">
        <v>7647</v>
      </c>
      <c r="C59" s="502">
        <v>36240756.420643002</v>
      </c>
      <c r="D59" s="505">
        <v>11747977</v>
      </c>
      <c r="E59" s="539">
        <v>2.68</v>
      </c>
      <c r="F59" s="31">
        <f t="shared" si="0"/>
        <v>97125.22720732326</v>
      </c>
      <c r="G59" s="31">
        <f t="shared" si="1"/>
        <v>31484.578360000003</v>
      </c>
      <c r="H59" s="209">
        <f>F59*cnst_carbon!$C$11/10^6</f>
        <v>5.447893160883145E-3</v>
      </c>
      <c r="I59" s="209">
        <f>G59*carbon_intensity_n!$C$9</f>
        <v>1.4647314928394725E-3</v>
      </c>
      <c r="J59" s="233">
        <f>H59*cnst_carbon!$C$13*1000000</f>
        <v>1834.148348990994</v>
      </c>
      <c r="K59" s="30">
        <f>I59*cnst_carbon!$C$13*1000000</f>
        <v>493.13280748536641</v>
      </c>
    </row>
    <row r="60" spans="1:11" ht="12.5">
      <c r="A60" s="14" t="s">
        <v>2742</v>
      </c>
      <c r="B60" s="770" t="s">
        <v>7648</v>
      </c>
      <c r="C60" s="502">
        <v>522551081.04456699</v>
      </c>
      <c r="D60" s="505">
        <v>77889744</v>
      </c>
      <c r="E60" s="539">
        <v>16.73</v>
      </c>
      <c r="F60" s="31">
        <f t="shared" si="0"/>
        <v>8742279.5858756062</v>
      </c>
      <c r="G60" s="31">
        <f t="shared" si="1"/>
        <v>1303095.4171200001</v>
      </c>
      <c r="H60" s="209">
        <f>F60*cnst_carbon!$C$11/10^6</f>
        <v>0.49036698843190929</v>
      </c>
      <c r="I60" s="209">
        <f>G60*carbon_intensity_n!$C$9</f>
        <v>6.0622850774948493E-2</v>
      </c>
      <c r="J60" s="233">
        <f>H60*cnst_carbon!$C$13*1000000</f>
        <v>165092.4083258402</v>
      </c>
      <c r="K60" s="30">
        <f>I60*cnst_carbon!$C$13*1000000</f>
        <v>20409.963700898683</v>
      </c>
    </row>
    <row r="61" spans="1:11" ht="12.5">
      <c r="A61" s="14" t="s">
        <v>1688</v>
      </c>
      <c r="B61" s="770" t="s">
        <v>7649</v>
      </c>
      <c r="C61" s="502">
        <v>89302783.887397796</v>
      </c>
      <c r="D61" s="505">
        <v>169023264</v>
      </c>
      <c r="E61" s="539">
        <v>7.62</v>
      </c>
      <c r="F61" s="31">
        <f t="shared" si="0"/>
        <v>680487.21322197129</v>
      </c>
      <c r="G61" s="31">
        <f t="shared" si="1"/>
        <v>1287957.27168</v>
      </c>
      <c r="H61" s="209">
        <f>F61*cnst_carbon!$C$11/10^6</f>
        <v>3.8169502832327819E-2</v>
      </c>
      <c r="I61" s="209">
        <f>G61*carbon_intensity_n!$C$9</f>
        <v>5.9918591117549914E-2</v>
      </c>
      <c r="J61" s="233">
        <f>H61*cnst_carbon!$C$13*1000000</f>
        <v>12850.569666893436</v>
      </c>
      <c r="K61" s="30">
        <f>I61*cnst_carbon!$C$13*1000000</f>
        <v>20172.859805919001</v>
      </c>
    </row>
    <row r="62" spans="1:11" ht="12.5">
      <c r="A62" s="14" t="s">
        <v>1689</v>
      </c>
      <c r="B62" s="770" t="s">
        <v>7650</v>
      </c>
      <c r="C62" s="502">
        <v>67519597.5</v>
      </c>
      <c r="D62" s="505">
        <v>89290453.5</v>
      </c>
      <c r="E62" s="539">
        <v>11.96</v>
      </c>
      <c r="F62" s="31">
        <f t="shared" si="0"/>
        <v>807534.3861</v>
      </c>
      <c r="G62" s="31">
        <f t="shared" si="1"/>
        <v>1067913.8238600001</v>
      </c>
      <c r="H62" s="209">
        <f>F62*cnst_carbon!$C$11/10^6</f>
        <v>4.5295760799831074E-2</v>
      </c>
      <c r="I62" s="209">
        <f>G62*carbon_intensity_n!$C$9</f>
        <v>4.9681688335189357E-2</v>
      </c>
      <c r="J62" s="233">
        <f>H62*cnst_carbon!$C$13*1000000</f>
        <v>15249.77499261997</v>
      </c>
      <c r="K62" s="30">
        <f>I62*cnst_carbon!$C$13*1000000</f>
        <v>16726.390173977063</v>
      </c>
    </row>
    <row r="63" spans="1:11" ht="12.5">
      <c r="A63" s="14" t="s">
        <v>223</v>
      </c>
      <c r="B63" s="770" t="s">
        <v>7651</v>
      </c>
      <c r="C63" s="502">
        <v>109849263.479957</v>
      </c>
      <c r="D63" s="505">
        <v>253082755.829519</v>
      </c>
      <c r="E63" s="539">
        <v>25.84</v>
      </c>
      <c r="F63" s="31">
        <f t="shared" si="0"/>
        <v>2838504.9683220889</v>
      </c>
      <c r="G63" s="31">
        <f t="shared" si="1"/>
        <v>6539658.410634771</v>
      </c>
      <c r="H63" s="209">
        <f>F63*cnst_carbon!$C$11/10^6</f>
        <v>0.15921581085257688</v>
      </c>
      <c r="I63" s="209">
        <f>G63*carbon_intensity_n!$C$9</f>
        <v>0.30423922203890297</v>
      </c>
      <c r="J63" s="233">
        <f>H63*cnst_carbon!$C$13*1000000</f>
        <v>53603.367023661805</v>
      </c>
      <c r="K63" s="30">
        <f>I63*cnst_carbon!$C$13*1000000</f>
        <v>102428.56280803037</v>
      </c>
    </row>
    <row r="64" spans="1:11" ht="12.5">
      <c r="A64" s="14" t="s">
        <v>224</v>
      </c>
      <c r="B64" s="770" t="s">
        <v>7652</v>
      </c>
      <c r="C64" s="502">
        <v>216934578.642562</v>
      </c>
      <c r="D64" s="505">
        <v>2699875525.5</v>
      </c>
      <c r="E64" s="539">
        <v>7.6</v>
      </c>
      <c r="F64" s="31">
        <f t="shared" si="0"/>
        <v>1648702.7976834711</v>
      </c>
      <c r="G64" s="31">
        <f t="shared" si="1"/>
        <v>20519053.993799999</v>
      </c>
      <c r="H64" s="209">
        <f>F64*cnst_carbon!$C$11/10^6</f>
        <v>9.2478102281869853E-2</v>
      </c>
      <c r="I64" s="209">
        <f>G64*carbon_intensity_n!$C$9</f>
        <v>0.95459130004345438</v>
      </c>
      <c r="J64" s="233">
        <f>H64*cnst_carbon!$C$13*1000000</f>
        <v>31134.707236185117</v>
      </c>
      <c r="K64" s="30">
        <f>I64*cnst_carbon!$C$13*1000000</f>
        <v>321383.33209384017</v>
      </c>
    </row>
    <row r="65" spans="1:11" ht="12.5">
      <c r="A65" s="14" t="s">
        <v>225</v>
      </c>
      <c r="B65" s="770" t="s">
        <v>7653</v>
      </c>
      <c r="C65" s="502">
        <v>227536456</v>
      </c>
      <c r="D65" s="505">
        <v>191373684</v>
      </c>
      <c r="E65" s="539">
        <v>7.62</v>
      </c>
      <c r="F65" s="31">
        <f t="shared" si="0"/>
        <v>1733827.7947200001</v>
      </c>
      <c r="G65" s="31">
        <f t="shared" si="1"/>
        <v>1458267.47208</v>
      </c>
      <c r="H65" s="209">
        <f>F65*cnst_carbon!$C$11/10^6</f>
        <v>9.7252885337826903E-2</v>
      </c>
      <c r="I65" s="209">
        <f>G65*carbon_intensity_n!$C$9</f>
        <v>6.7841794383140086E-2</v>
      </c>
      <c r="J65" s="233">
        <f>H65*cnst_carbon!$C$13*1000000</f>
        <v>32742.238845240037</v>
      </c>
      <c r="K65" s="30">
        <f>I65*cnst_carbon!$C$13*1000000</f>
        <v>22840.373606051322</v>
      </c>
    </row>
    <row r="66" spans="1:11" ht="12.5">
      <c r="A66" s="14" t="s">
        <v>3083</v>
      </c>
      <c r="B66" s="770" t="s">
        <v>7654</v>
      </c>
      <c r="C66" s="502">
        <v>792184089.438375</v>
      </c>
      <c r="D66" s="505">
        <v>529022259</v>
      </c>
      <c r="E66" s="539">
        <v>25.84</v>
      </c>
      <c r="F66" s="31">
        <f t="shared" si="0"/>
        <v>20470036.871087607</v>
      </c>
      <c r="G66" s="31">
        <f t="shared" si="1"/>
        <v>13669935.172559999</v>
      </c>
      <c r="H66" s="209">
        <f>F66*cnst_carbon!$C$11/10^6</f>
        <v>1.1481936987902919</v>
      </c>
      <c r="I66" s="209">
        <f>G66*carbon_intensity_n!$C$9</f>
        <v>0.63595530241436637</v>
      </c>
      <c r="J66" s="233">
        <f>H66*cnst_carbon!$C$13*1000000</f>
        <v>386563.67053583788</v>
      </c>
      <c r="K66" s="30">
        <f>I66*cnst_carbon!$C$13*1000000</f>
        <v>214107.7905731709</v>
      </c>
    </row>
    <row r="67" spans="1:11" ht="12.5">
      <c r="A67" s="14" t="s">
        <v>3295</v>
      </c>
      <c r="B67" s="770" t="s">
        <v>7655</v>
      </c>
      <c r="C67" s="502">
        <v>89319491.654515401</v>
      </c>
      <c r="D67" s="505">
        <v>109960058</v>
      </c>
      <c r="E67" s="539">
        <v>25.84</v>
      </c>
      <c r="F67" s="31">
        <f t="shared" si="0"/>
        <v>2308015.6643526778</v>
      </c>
      <c r="G67" s="31">
        <f t="shared" si="1"/>
        <v>2841367.8987199999</v>
      </c>
      <c r="H67" s="209">
        <f>F67*cnst_carbon!$C$11/10^6</f>
        <v>0.12945990567618515</v>
      </c>
      <c r="I67" s="209">
        <f>G67*carbon_intensity_n!$C$9</f>
        <v>0.13218665330089877</v>
      </c>
      <c r="J67" s="233">
        <f>H67*cnst_carbon!$C$13*1000000</f>
        <v>43585.412790659895</v>
      </c>
      <c r="K67" s="30">
        <f>I67*cnst_carbon!$C$13*1000000</f>
        <v>44503.429995896877</v>
      </c>
    </row>
    <row r="68" spans="1:11" ht="12.5">
      <c r="A68" s="14" t="s">
        <v>1711</v>
      </c>
      <c r="B68" s="770" t="s">
        <v>7656</v>
      </c>
      <c r="C68" s="502">
        <v>98733959.006159306</v>
      </c>
      <c r="D68" s="505">
        <v>37173514</v>
      </c>
      <c r="E68" s="539">
        <v>25.84</v>
      </c>
      <c r="F68" s="31">
        <f t="shared" si="0"/>
        <v>2551285.5007191561</v>
      </c>
      <c r="G68" s="31">
        <f t="shared" si="1"/>
        <v>960563.60175999999</v>
      </c>
      <c r="H68" s="209">
        <f>F68*cnst_carbon!$C$11/10^6</f>
        <v>0.14310525936952684</v>
      </c>
      <c r="I68" s="209">
        <f>G68*carbon_intensity_n!$C$9</f>
        <v>4.4687521055091724E-2</v>
      </c>
      <c r="J68" s="233">
        <f>H68*cnst_carbon!$C$13*1000000</f>
        <v>48179.409443851175</v>
      </c>
      <c r="K68" s="30">
        <f>I68*cnst_carbon!$C$13*1000000</f>
        <v>15044.998230180023</v>
      </c>
    </row>
    <row r="69" spans="1:11" ht="12.5">
      <c r="A69" s="14" t="s">
        <v>3947</v>
      </c>
      <c r="B69" s="770" t="s">
        <v>7657</v>
      </c>
      <c r="C69" s="502">
        <v>12890577.7741118</v>
      </c>
      <c r="D69" s="505">
        <v>1327176</v>
      </c>
      <c r="E69" s="539">
        <v>25.84</v>
      </c>
      <c r="F69" s="31">
        <f t="shared" si="0"/>
        <v>333092.5296830489</v>
      </c>
      <c r="G69" s="31">
        <f t="shared" si="1"/>
        <v>34294.22784</v>
      </c>
      <c r="H69" s="209">
        <f>F69*cnst_carbon!$C$11/10^6</f>
        <v>1.868363726478596E-2</v>
      </c>
      <c r="I69" s="209">
        <f>G69*carbon_intensity_n!$C$9</f>
        <v>1.5954425358821985E-3</v>
      </c>
      <c r="J69" s="233">
        <f>H69*cnst_carbon!$C$13*1000000</f>
        <v>6290.2412786668128</v>
      </c>
      <c r="K69" s="30">
        <f>I69*cnst_carbon!$C$13*1000000</f>
        <v>537.1394421075554</v>
      </c>
    </row>
    <row r="70" spans="1:11" ht="12.5">
      <c r="A70" s="14" t="s">
        <v>1713</v>
      </c>
      <c r="B70" s="770" t="s">
        <v>7658</v>
      </c>
      <c r="C70" s="502">
        <v>54489217.378566504</v>
      </c>
      <c r="D70" s="505">
        <v>47197168</v>
      </c>
      <c r="E70" s="539">
        <v>6.4</v>
      </c>
      <c r="F70" s="31">
        <f t="shared" si="0"/>
        <v>348730.99122282566</v>
      </c>
      <c r="G70" s="31">
        <f t="shared" si="1"/>
        <v>302061.87520000001</v>
      </c>
      <c r="H70" s="209">
        <f>F70*cnst_carbon!$C$11/10^6</f>
        <v>1.9560820980273425E-2</v>
      </c>
      <c r="I70" s="209">
        <f>G70*carbon_intensity_n!$C$9</f>
        <v>1.4052579530608851E-2</v>
      </c>
      <c r="J70" s="233">
        <f>H70*cnst_carbon!$C$13*1000000</f>
        <v>6585.5637117635561</v>
      </c>
      <c r="K70" s="30">
        <f>I70*cnst_carbon!$C$13*1000000</f>
        <v>4731.0978361683974</v>
      </c>
    </row>
    <row r="71" spans="1:11" ht="12.5">
      <c r="A71" s="14" t="s">
        <v>1714</v>
      </c>
      <c r="B71" s="770" t="s">
        <v>7659</v>
      </c>
      <c r="C71" s="502">
        <v>100918172.08337399</v>
      </c>
      <c r="D71" s="505">
        <v>20891346.5</v>
      </c>
      <c r="E71" s="539">
        <v>25.84</v>
      </c>
      <c r="F71" s="31">
        <f t="shared" si="0"/>
        <v>2607725.566634384</v>
      </c>
      <c r="G71" s="31">
        <f t="shared" si="1"/>
        <v>539832.39356</v>
      </c>
      <c r="H71" s="209">
        <f>F71*cnst_carbon!$C$11/10^6</f>
        <v>0.14627106353740815</v>
      </c>
      <c r="I71" s="209">
        <f>G71*carbon_intensity_n!$C$9</f>
        <v>2.5114184432173045E-2</v>
      </c>
      <c r="J71" s="233">
        <f>H71*cnst_carbon!$C$13*1000000</f>
        <v>49245.244311803515</v>
      </c>
      <c r="K71" s="30">
        <f>I71*cnst_carbon!$C$13*1000000</f>
        <v>8455.2208628589051</v>
      </c>
    </row>
    <row r="72" spans="1:11" ht="12.5">
      <c r="A72" s="14" t="s">
        <v>769</v>
      </c>
      <c r="B72" s="770" t="s">
        <v>7660</v>
      </c>
      <c r="C72" s="502">
        <v>717857893.79845405</v>
      </c>
      <c r="D72" s="505">
        <v>144858.10093988801</v>
      </c>
      <c r="E72" s="539">
        <v>0.55000000000000004</v>
      </c>
      <c r="F72" s="31">
        <f t="shared" ref="F72:F135" si="2">C72*$E72/1000</f>
        <v>394821.84158914979</v>
      </c>
      <c r="G72" s="31">
        <f t="shared" ref="G72:G135" si="3">D72*E72/1000</f>
        <v>79.671955516938411</v>
      </c>
      <c r="H72" s="209">
        <f>F72*cnst_carbon!$C$11/10^6</f>
        <v>2.2146122819042793E-2</v>
      </c>
      <c r="I72" s="209">
        <f>G72*carbon_intensity_n!$C$9</f>
        <v>3.7065137416617201E-6</v>
      </c>
      <c r="J72" s="233">
        <f>H72*cnst_carbon!$C$13*1000000</f>
        <v>7455.9602043507075</v>
      </c>
      <c r="K72" s="30">
        <f>I72*cnst_carbon!$C$13*1000000</f>
        <v>1.2478761713967277</v>
      </c>
    </row>
    <row r="73" spans="1:11" ht="12.5">
      <c r="A73" s="14" t="s">
        <v>770</v>
      </c>
      <c r="B73" s="770" t="s">
        <v>7661</v>
      </c>
      <c r="C73" s="502">
        <v>26997436.1465066</v>
      </c>
      <c r="D73" s="505">
        <v>28885178.25</v>
      </c>
      <c r="E73" s="539">
        <v>14.92</v>
      </c>
      <c r="F73" s="31">
        <f t="shared" si="2"/>
        <v>402801.74730587844</v>
      </c>
      <c r="G73" s="31">
        <f t="shared" si="3"/>
        <v>430966.85949</v>
      </c>
      <c r="H73" s="209">
        <f>F73*cnst_carbon!$C$11/10^6</f>
        <v>2.2593727164779451E-2</v>
      </c>
      <c r="I73" s="209">
        <f>G73*carbon_intensity_n!$C$9</f>
        <v>2.0049521522800751E-2</v>
      </c>
      <c r="J73" s="233">
        <f>H73*cnst_carbon!$C$13*1000000</f>
        <v>7606.6556654197357</v>
      </c>
      <c r="K73" s="30">
        <f>I73*cnst_carbon!$C$13*1000000</f>
        <v>6750.0950758628842</v>
      </c>
    </row>
    <row r="74" spans="1:11" ht="12.5">
      <c r="A74" s="14" t="s">
        <v>771</v>
      </c>
      <c r="B74" s="770" t="s">
        <v>7662</v>
      </c>
      <c r="C74" s="502">
        <v>49985000.000757203</v>
      </c>
      <c r="D74" s="505">
        <v>9497803.7696289103</v>
      </c>
      <c r="E74" s="539">
        <v>3.64</v>
      </c>
      <c r="F74" s="31">
        <f t="shared" si="2"/>
        <v>181945.40000275624</v>
      </c>
      <c r="G74" s="31">
        <f t="shared" si="3"/>
        <v>34572.005721449234</v>
      </c>
      <c r="H74" s="209">
        <f>F74*cnst_carbon!$C$11/10^6</f>
        <v>1.0205578188386733E-2</v>
      </c>
      <c r="I74" s="209">
        <f>G74*carbon_intensity_n!$C$9</f>
        <v>1.6083653708752767E-3</v>
      </c>
      <c r="J74" s="233">
        <f>H74*cnst_carbon!$C$13*1000000</f>
        <v>3435.9235454781951</v>
      </c>
      <c r="K74" s="30">
        <f>I74*cnst_carbon!$C$13*1000000</f>
        <v>541.49018757316492</v>
      </c>
    </row>
    <row r="75" spans="1:11" ht="12.5">
      <c r="A75" s="14" t="s">
        <v>772</v>
      </c>
      <c r="B75" s="770" t="s">
        <v>7663</v>
      </c>
      <c r="C75" s="502">
        <v>7502390.2223139899</v>
      </c>
      <c r="D75" s="505">
        <v>18837339</v>
      </c>
      <c r="E75" s="539">
        <v>15</v>
      </c>
      <c r="F75" s="31">
        <f t="shared" si="2"/>
        <v>112535.85333470986</v>
      </c>
      <c r="G75" s="31">
        <f t="shared" si="3"/>
        <v>282560.08500000002</v>
      </c>
      <c r="H75" s="209">
        <f>F75*cnst_carbon!$C$11/10^6</f>
        <v>6.3122972616334629E-3</v>
      </c>
      <c r="I75" s="209">
        <f>G75*carbon_intensity_n!$C$9</f>
        <v>1.3145313568648922E-2</v>
      </c>
      <c r="J75" s="233">
        <f>H75*cnst_carbon!$C$13*1000000</f>
        <v>2125.1682547475943</v>
      </c>
      <c r="K75" s="30">
        <f>I75*cnst_carbon!$C$13*1000000</f>
        <v>4425.647579145595</v>
      </c>
    </row>
    <row r="76" spans="1:11" ht="12.5">
      <c r="A76" s="14" t="s">
        <v>1520</v>
      </c>
      <c r="B76" s="770" t="s">
        <v>7664</v>
      </c>
      <c r="C76" s="502">
        <v>222129765.75267801</v>
      </c>
      <c r="D76" s="505">
        <v>290696082</v>
      </c>
      <c r="E76" s="539">
        <v>14.92</v>
      </c>
      <c r="F76" s="31">
        <f t="shared" si="2"/>
        <v>3314176.105029956</v>
      </c>
      <c r="G76" s="31">
        <f t="shared" si="3"/>
        <v>4337185.5434399992</v>
      </c>
      <c r="H76" s="209">
        <f>F76*cnst_carbon!$C$11/10^6</f>
        <v>0.18589688648052569</v>
      </c>
      <c r="I76" s="209">
        <f>G76*carbon_intensity_n!$C$9</f>
        <v>0.20177536389801753</v>
      </c>
      <c r="J76" s="233">
        <f>H76*cnst_carbon!$C$13*1000000</f>
        <v>62586.114916679049</v>
      </c>
      <c r="K76" s="30">
        <f>I76*cnst_carbon!$C$13*1000000</f>
        <v>67931.939858492406</v>
      </c>
    </row>
    <row r="77" spans="1:11" ht="12.5">
      <c r="A77" s="14" t="s">
        <v>1521</v>
      </c>
      <c r="B77" s="770" t="s">
        <v>7665</v>
      </c>
      <c r="C77" s="502">
        <v>116206720.436967</v>
      </c>
      <c r="D77" s="505">
        <v>155128374</v>
      </c>
      <c r="E77" s="539">
        <v>14.92</v>
      </c>
      <c r="F77" s="31">
        <f t="shared" si="2"/>
        <v>1733804.2689195476</v>
      </c>
      <c r="G77" s="31">
        <f t="shared" si="3"/>
        <v>2314515.34008</v>
      </c>
      <c r="H77" s="209">
        <f>F77*cnst_carbon!$C$11/10^6</f>
        <v>9.7251565741970331E-2</v>
      </c>
      <c r="I77" s="209">
        <f>G77*carbon_intensity_n!$C$9</f>
        <v>0.10767631919702918</v>
      </c>
      <c r="J77" s="233">
        <f>H77*cnst_carbon!$C$13*1000000</f>
        <v>32741.794575411284</v>
      </c>
      <c r="K77" s="30">
        <f>I77*cnst_carbon!$C$13*1000000</f>
        <v>36251.508105684479</v>
      </c>
    </row>
    <row r="78" spans="1:11" ht="12.5">
      <c r="A78" s="14" t="s">
        <v>601</v>
      </c>
      <c r="B78" s="770" t="s">
        <v>7666</v>
      </c>
      <c r="C78" s="502">
        <v>213183589.57579499</v>
      </c>
      <c r="D78" s="505">
        <v>67011138</v>
      </c>
      <c r="E78" s="539">
        <v>15</v>
      </c>
      <c r="F78" s="31">
        <f t="shared" si="2"/>
        <v>3197753.8436369249</v>
      </c>
      <c r="G78" s="31">
        <f t="shared" si="3"/>
        <v>1005167.07</v>
      </c>
      <c r="H78" s="209">
        <f>F78*cnst_carbon!$C$11/10^6</f>
        <v>0.17936659502222349</v>
      </c>
      <c r="I78" s="209">
        <f>G78*carbon_intensity_n!$C$9</f>
        <v>4.6762572017311217E-2</v>
      </c>
      <c r="J78" s="233">
        <f>H78*cnst_carbon!$C$13*1000000</f>
        <v>60387.554309309635</v>
      </c>
      <c r="K78" s="30">
        <f>I78*cnst_carbon!$C$13*1000000</f>
        <v>15743.607983351116</v>
      </c>
    </row>
    <row r="79" spans="1:11" ht="12.5">
      <c r="A79" s="14" t="s">
        <v>1262</v>
      </c>
      <c r="B79" s="770" t="s">
        <v>7667</v>
      </c>
      <c r="C79" s="502">
        <v>20146027.341122702</v>
      </c>
      <c r="D79" s="505">
        <v>7245</v>
      </c>
      <c r="E79" s="539">
        <v>30</v>
      </c>
      <c r="F79" s="31">
        <f t="shared" si="2"/>
        <v>604380.82023368112</v>
      </c>
      <c r="G79" s="31">
        <f t="shared" si="3"/>
        <v>217.35</v>
      </c>
      <c r="H79" s="209">
        <f>F79*cnst_carbon!$C$11/10^6</f>
        <v>3.3900586199830829E-2</v>
      </c>
      <c r="I79" s="209">
        <f>G79*carbon_intensity_n!$C$9</f>
        <v>1.0111597694861406E-5</v>
      </c>
      <c r="J79" s="233">
        <f>H79*cnst_carbon!$C$13*1000000</f>
        <v>11413.348678476461</v>
      </c>
      <c r="K79" s="30">
        <f>I79*cnst_carbon!$C$13*1000000</f>
        <v>3.4042830264837121</v>
      </c>
    </row>
    <row r="80" spans="1:11" ht="12.5">
      <c r="A80" s="14" t="s">
        <v>1263</v>
      </c>
      <c r="B80" s="770" t="s">
        <v>7668</v>
      </c>
      <c r="C80" s="502">
        <v>51704239.448672697</v>
      </c>
      <c r="D80" s="505">
        <v>241175.77124911</v>
      </c>
      <c r="E80" s="539">
        <v>3.42</v>
      </c>
      <c r="F80" s="31">
        <f t="shared" si="2"/>
        <v>176828.49891446062</v>
      </c>
      <c r="G80" s="31">
        <f t="shared" si="3"/>
        <v>824.82113767195619</v>
      </c>
      <c r="H80" s="209">
        <f>F80*cnst_carbon!$C$11/10^6</f>
        <v>9.9185638745428479E-3</v>
      </c>
      <c r="I80" s="209">
        <f>G80*carbon_intensity_n!$C$9</f>
        <v>3.8372484538103127E-5</v>
      </c>
      <c r="J80" s="233">
        <f>H80*cnst_carbon!$C$13*1000000</f>
        <v>3339.294111983907</v>
      </c>
      <c r="K80" s="30">
        <f>I80*cnst_carbon!$C$13*1000000</f>
        <v>12.918907747235451</v>
      </c>
    </row>
    <row r="81" spans="1:11" ht="12.5">
      <c r="A81" s="14" t="s">
        <v>1264</v>
      </c>
      <c r="B81" s="770" t="s">
        <v>7669</v>
      </c>
      <c r="C81" s="502">
        <v>15967762.794663901</v>
      </c>
      <c r="D81" s="505">
        <v>5107577</v>
      </c>
      <c r="E81" s="539">
        <v>4.78</v>
      </c>
      <c r="F81" s="31">
        <f t="shared" si="2"/>
        <v>76325.906158493439</v>
      </c>
      <c r="G81" s="31">
        <f t="shared" si="3"/>
        <v>24414.218060000003</v>
      </c>
      <c r="H81" s="209">
        <f>F81*cnst_carbon!$C$11/10^6</f>
        <v>4.2812294407452624E-3</v>
      </c>
      <c r="I81" s="209">
        <f>G81*carbon_intensity_n!$C$9</f>
        <v>1.13580285740667E-3</v>
      </c>
      <c r="J81" s="233">
        <f>H81*cnst_carbon!$C$13*1000000</f>
        <v>1441.3663554888115</v>
      </c>
      <c r="K81" s="30">
        <f>I81*cnst_carbon!$C$13*1000000</f>
        <v>382.3920319601109</v>
      </c>
    </row>
    <row r="82" spans="1:11" ht="12.5">
      <c r="A82" s="14" t="s">
        <v>1265</v>
      </c>
      <c r="B82" s="770" t="s">
        <v>7670</v>
      </c>
      <c r="C82" s="502">
        <v>50907920.3229331</v>
      </c>
      <c r="D82" s="505">
        <v>5618350.7035079198</v>
      </c>
      <c r="E82" s="539">
        <v>12.8</v>
      </c>
      <c r="F82" s="31">
        <f t="shared" si="2"/>
        <v>651621.38013354375</v>
      </c>
      <c r="G82" s="31">
        <f t="shared" si="3"/>
        <v>71914.889004901386</v>
      </c>
      <c r="H82" s="209">
        <f>F82*cnst_carbon!$C$11/10^6</f>
        <v>3.6550376893708839E-2</v>
      </c>
      <c r="I82" s="209">
        <f>G82*carbon_intensity_n!$C$9</f>
        <v>3.345638030311363E-3</v>
      </c>
      <c r="J82" s="233">
        <f>H82*cnst_carbon!$C$13*1000000</f>
        <v>12305.45670681382</v>
      </c>
      <c r="K82" s="30">
        <f>I82*cnst_carbon!$C$13*1000000</f>
        <v>1126.3797377080557</v>
      </c>
    </row>
    <row r="83" spans="1:11" ht="12.5">
      <c r="A83" s="14" t="s">
        <v>1266</v>
      </c>
      <c r="B83" s="770" t="s">
        <v>7671</v>
      </c>
      <c r="C83" s="502">
        <v>199259611.73997599</v>
      </c>
      <c r="D83" s="505">
        <v>459340454</v>
      </c>
      <c r="E83" s="539">
        <v>30</v>
      </c>
      <c r="F83" s="31">
        <f t="shared" si="2"/>
        <v>5977788.3521992797</v>
      </c>
      <c r="G83" s="31">
        <f t="shared" si="3"/>
        <v>13780213.619999999</v>
      </c>
      <c r="H83" s="209">
        <f>F83*cnst_carbon!$C$11/10^6</f>
        <v>0.3353027140069112</v>
      </c>
      <c r="I83" s="209">
        <f>G83*carbon_intensity_n!$C$9</f>
        <v>0.64108569714603059</v>
      </c>
      <c r="J83" s="233">
        <f>H83*cnst_carbon!$C$13*1000000</f>
        <v>112886.74376431425</v>
      </c>
      <c r="K83" s="30">
        <f>I83*cnst_carbon!$C$13*1000000</f>
        <v>215835.04636708382</v>
      </c>
    </row>
    <row r="84" spans="1:11" ht="12.5">
      <c r="A84" s="14" t="s">
        <v>4420</v>
      </c>
      <c r="B84" s="770" t="s">
        <v>7672</v>
      </c>
      <c r="C84" s="502">
        <v>15556220.507463001</v>
      </c>
      <c r="D84" s="505">
        <v>2683868</v>
      </c>
      <c r="E84" s="539">
        <v>16</v>
      </c>
      <c r="F84" s="31">
        <f t="shared" si="2"/>
        <v>248899.528119408</v>
      </c>
      <c r="G84" s="31">
        <f t="shared" si="3"/>
        <v>42941.887999999999</v>
      </c>
      <c r="H84" s="209">
        <f>F84*cnst_carbon!$C$11/10^6</f>
        <v>1.3961131170321977E-2</v>
      </c>
      <c r="I84" s="209">
        <f>G84*carbon_intensity_n!$C$9</f>
        <v>1.9977506128999157E-3</v>
      </c>
      <c r="J84" s="233">
        <f>H84*cnst_carbon!$C$13*1000000</f>
        <v>4700.3098133337298</v>
      </c>
      <c r="K84" s="30">
        <f>I84*cnst_carbon!$C$13*1000000</f>
        <v>672.58495718226175</v>
      </c>
    </row>
    <row r="85" spans="1:11" ht="12.5">
      <c r="A85" s="14" t="s">
        <v>1267</v>
      </c>
      <c r="B85" s="770" t="s">
        <v>7673</v>
      </c>
      <c r="C85" s="502">
        <v>167205.18979760099</v>
      </c>
      <c r="D85" s="505">
        <v>21829</v>
      </c>
      <c r="E85" s="539">
        <v>10</v>
      </c>
      <c r="F85" s="31">
        <f t="shared" si="2"/>
        <v>1672.05189797601</v>
      </c>
      <c r="G85" s="31">
        <f t="shared" si="3"/>
        <v>218.29</v>
      </c>
      <c r="H85" s="209">
        <f>F85*cnst_carbon!$C$11/10^6</f>
        <v>9.3787786773263322E-5</v>
      </c>
      <c r="I85" s="209">
        <f>G85*carbon_intensity_n!$C$9</f>
        <v>1.0155328552156872E-5</v>
      </c>
      <c r="J85" s="233">
        <f>H85*cnst_carbon!$C$13*1000000</f>
        <v>31.575640194422324</v>
      </c>
      <c r="K85" s="30">
        <f>I85*cnst_carbon!$C$13*1000000</f>
        <v>3.4190059436444877</v>
      </c>
    </row>
    <row r="86" spans="1:11" ht="12.5">
      <c r="A86" s="14" t="s">
        <v>1268</v>
      </c>
      <c r="B86" s="770" t="s">
        <v>7674</v>
      </c>
      <c r="C86" s="502">
        <v>6529259.1154904496</v>
      </c>
      <c r="D86" s="505">
        <v>674908</v>
      </c>
      <c r="E86" s="539">
        <v>7.62</v>
      </c>
      <c r="F86" s="31">
        <f t="shared" si="2"/>
        <v>49752.954460037225</v>
      </c>
      <c r="G86" s="31">
        <f t="shared" si="3"/>
        <v>5142.7989600000001</v>
      </c>
      <c r="H86" s="209">
        <f>F86*cnst_carbon!$C$11/10^6</f>
        <v>2.7907145046671277E-3</v>
      </c>
      <c r="I86" s="209">
        <f>G86*carbon_intensity_n!$C$9</f>
        <v>2.3925426321173975E-4</v>
      </c>
      <c r="J86" s="233">
        <f>H86*cnst_carbon!$C$13*1000000</f>
        <v>939.55300702164845</v>
      </c>
      <c r="K86" s="30">
        <f>I86*cnst_carbon!$C$13*1000000</f>
        <v>80.550003258091024</v>
      </c>
    </row>
    <row r="87" spans="1:11" ht="12.5">
      <c r="A87" s="14" t="s">
        <v>1269</v>
      </c>
      <c r="B87" s="770" t="s">
        <v>7675</v>
      </c>
      <c r="C87" s="502">
        <v>25876953.563259199</v>
      </c>
      <c r="D87" s="505">
        <v>8338869</v>
      </c>
      <c r="E87" s="539">
        <v>30</v>
      </c>
      <c r="F87" s="31">
        <f t="shared" si="2"/>
        <v>776308.60689777602</v>
      </c>
      <c r="G87" s="31">
        <f t="shared" si="3"/>
        <v>250166.07</v>
      </c>
      <c r="H87" s="209">
        <f>F87*cnst_carbon!$C$11/10^6</f>
        <v>4.3544262102217561E-2</v>
      </c>
      <c r="I87" s="209">
        <f>G87*carbon_intensity_n!$C$9</f>
        <v>1.1638273092912524E-2</v>
      </c>
      <c r="J87" s="233">
        <f>H87*cnst_carbon!$C$13*1000000</f>
        <v>14660.095946130201</v>
      </c>
      <c r="K87" s="30">
        <f>I87*cnst_carbon!$C$13*1000000</f>
        <v>3918.2705585605527</v>
      </c>
    </row>
    <row r="88" spans="1:11" ht="12.5">
      <c r="A88" s="14" t="s">
        <v>1329</v>
      </c>
      <c r="B88" s="770" t="s">
        <v>7676</v>
      </c>
      <c r="C88" s="502">
        <v>122909773.001076</v>
      </c>
      <c r="D88" s="505">
        <v>402572636.97953999</v>
      </c>
      <c r="E88" s="539">
        <v>4</v>
      </c>
      <c r="F88" s="31">
        <f t="shared" si="2"/>
        <v>491639.092004304</v>
      </c>
      <c r="G88" s="31">
        <f t="shared" si="3"/>
        <v>1610290.54791816</v>
      </c>
      <c r="H88" s="209">
        <f>F88*cnst_carbon!$C$11/10^6</f>
        <v>2.7576741120365639E-2</v>
      </c>
      <c r="I88" s="209">
        <f>G88*carbon_intensity_n!$C$9</f>
        <v>7.491424059068956E-2</v>
      </c>
      <c r="J88" s="233">
        <f>H88*cnst_carbon!$C$13*1000000</f>
        <v>9284.2926068453435</v>
      </c>
      <c r="K88" s="30">
        <f>I88*cnst_carbon!$C$13*1000000</f>
        <v>25221.462065723248</v>
      </c>
    </row>
    <row r="89" spans="1:11" ht="12.5">
      <c r="A89" s="14" t="s">
        <v>1330</v>
      </c>
      <c r="B89" s="770" t="s">
        <v>7677</v>
      </c>
      <c r="C89" s="502">
        <v>75636637.539993003</v>
      </c>
      <c r="D89" s="505">
        <v>129428104</v>
      </c>
      <c r="E89" s="539">
        <v>4</v>
      </c>
      <c r="F89" s="31">
        <f t="shared" si="2"/>
        <v>302546.55015997199</v>
      </c>
      <c r="G89" s="31">
        <f t="shared" si="3"/>
        <v>517712.41600000003</v>
      </c>
      <c r="H89" s="209">
        <f>F89*cnst_carbon!$C$11/10^6</f>
        <v>1.6970269505233372E-2</v>
      </c>
      <c r="I89" s="209">
        <f>G89*carbon_intensity_n!$C$9</f>
        <v>2.4085114664029121E-2</v>
      </c>
      <c r="J89" s="233">
        <f>H89*cnst_carbon!$C$13*1000000</f>
        <v>5713.3998181987554</v>
      </c>
      <c r="K89" s="30">
        <f>I89*cnst_carbon!$C$13*1000000</f>
        <v>8108.762780716238</v>
      </c>
    </row>
    <row r="90" spans="1:11" ht="12.5">
      <c r="A90" s="14" t="s">
        <v>476</v>
      </c>
      <c r="B90" s="770" t="s">
        <v>7678</v>
      </c>
      <c r="C90" s="502">
        <v>613010455.82913494</v>
      </c>
      <c r="D90" s="505">
        <v>5086139400</v>
      </c>
      <c r="E90" s="539">
        <v>21.45</v>
      </c>
      <c r="F90" s="31">
        <f t="shared" si="2"/>
        <v>13149074.277534945</v>
      </c>
      <c r="G90" s="31">
        <f t="shared" si="3"/>
        <v>109097690.13</v>
      </c>
      <c r="H90" s="209">
        <f>F90*cnst_carbon!$C$11/10^6</f>
        <v>0.73755041700562252</v>
      </c>
      <c r="I90" s="209">
        <f>G90*carbon_intensity_n!$C$9</f>
        <v>5.0754633173830772</v>
      </c>
      <c r="J90" s="233">
        <f>H90*cnst_carbon!$C$13*1000000</f>
        <v>248311.93264979267</v>
      </c>
      <c r="K90" s="30">
        <f>I90*cnst_carbon!$C$13*1000000</f>
        <v>1708761.9725702256</v>
      </c>
    </row>
    <row r="91" spans="1:11" ht="12.5">
      <c r="A91" s="14" t="s">
        <v>4329</v>
      </c>
      <c r="B91" s="770" t="s">
        <v>7679</v>
      </c>
      <c r="C91" s="502">
        <v>78895316.710829407</v>
      </c>
      <c r="D91" s="505">
        <v>37785492</v>
      </c>
      <c r="E91" s="539">
        <v>59.69</v>
      </c>
      <c r="F91" s="31">
        <f t="shared" si="2"/>
        <v>4709261.454469407</v>
      </c>
      <c r="G91" s="31">
        <f t="shared" si="3"/>
        <v>2255416.0174799999</v>
      </c>
      <c r="H91" s="209">
        <f>F91*cnst_carbon!$C$11/10^6</f>
        <v>0.26414922269216645</v>
      </c>
      <c r="I91" s="209">
        <f>G91*carbon_intensity_n!$C$9</f>
        <v>0.10492688936417879</v>
      </c>
      <c r="J91" s="233">
        <f>H91*cnst_carbon!$C$13*1000000</f>
        <v>88931.417408624839</v>
      </c>
      <c r="K91" s="30">
        <f>I91*cnst_carbon!$C$13*1000000</f>
        <v>35325.854455793211</v>
      </c>
    </row>
    <row r="92" spans="1:11" ht="12.5">
      <c r="A92" s="14" t="s">
        <v>4330</v>
      </c>
      <c r="B92" s="770" t="s">
        <v>7680</v>
      </c>
      <c r="C92" s="502">
        <v>623159736.49710703</v>
      </c>
      <c r="D92" s="505">
        <v>956002937</v>
      </c>
      <c r="E92" s="539">
        <v>7.4533333333333331</v>
      </c>
      <c r="F92" s="31">
        <f t="shared" si="2"/>
        <v>4644617.2360251043</v>
      </c>
      <c r="G92" s="31">
        <f t="shared" si="3"/>
        <v>7125408.5571066663</v>
      </c>
      <c r="H92" s="209">
        <f>F92*cnst_carbon!$C$11/10^6</f>
        <v>0.26052323585352977</v>
      </c>
      <c r="I92" s="209">
        <f>G92*carbon_intensity_n!$C$9</f>
        <v>0.33148960083269152</v>
      </c>
      <c r="J92" s="233">
        <f>H92*cnst_carbon!$C$13*1000000</f>
        <v>87710.652320700377</v>
      </c>
      <c r="K92" s="30">
        <f>I92*cnst_carbon!$C$13*1000000</f>
        <v>111602.97864145397</v>
      </c>
    </row>
    <row r="93" spans="1:11" ht="12.5">
      <c r="A93" s="14" t="s">
        <v>4331</v>
      </c>
      <c r="B93" s="770" t="s">
        <v>7681</v>
      </c>
      <c r="C93" s="502">
        <v>2658437.5</v>
      </c>
      <c r="D93" s="505">
        <v>8105137</v>
      </c>
      <c r="E93" s="539">
        <v>4.42</v>
      </c>
      <c r="F93" s="31">
        <f t="shared" si="2"/>
        <v>11750.293750000001</v>
      </c>
      <c r="G93" s="31">
        <f t="shared" si="3"/>
        <v>35824.705540000003</v>
      </c>
      <c r="H93" s="209">
        <f>F93*cnst_carbon!$C$11/10^6</f>
        <v>6.5909081295993383E-4</v>
      </c>
      <c r="I93" s="209">
        <f>G93*carbon_intensity_n!$C$9</f>
        <v>1.6666437081083629E-3</v>
      </c>
      <c r="J93" s="233">
        <f>H93*cnst_carbon!$C$13*1000000</f>
        <v>221.89684906185414</v>
      </c>
      <c r="K93" s="30">
        <f>I93*cnst_carbon!$C$13*1000000</f>
        <v>561.11082124959296</v>
      </c>
    </row>
    <row r="94" spans="1:11" ht="12.5">
      <c r="A94" s="14" t="s">
        <v>1831</v>
      </c>
      <c r="B94" s="770" t="s">
        <v>7682</v>
      </c>
      <c r="C94" s="502">
        <v>1739147</v>
      </c>
      <c r="D94" s="505">
        <v>8790111</v>
      </c>
      <c r="E94" s="539">
        <v>30</v>
      </c>
      <c r="F94" s="31">
        <f t="shared" si="2"/>
        <v>52174.41</v>
      </c>
      <c r="G94" s="31">
        <f t="shared" si="3"/>
        <v>263703.33</v>
      </c>
      <c r="H94" s="209">
        <f>F94*cnst_carbon!$C$11/10^6</f>
        <v>2.9265374155097103E-3</v>
      </c>
      <c r="I94" s="209">
        <f>G94*carbon_intensity_n!$C$9</f>
        <v>1.22680560559249E-2</v>
      </c>
      <c r="J94" s="233">
        <f>H94*cnst_carbon!$C$13*1000000</f>
        <v>985.280659954675</v>
      </c>
      <c r="K94" s="30">
        <f>I94*cnst_carbon!$C$13*1000000</f>
        <v>4130.3003006497956</v>
      </c>
    </row>
    <row r="95" spans="1:11" ht="12.5">
      <c r="A95" s="14" t="s">
        <v>778</v>
      </c>
      <c r="B95" s="770" t="s">
        <v>7683</v>
      </c>
      <c r="C95" s="502">
        <v>624215179.80585206</v>
      </c>
      <c r="D95" s="505">
        <v>355288702.101551</v>
      </c>
      <c r="E95" s="539">
        <v>30</v>
      </c>
      <c r="F95" s="31">
        <f t="shared" si="2"/>
        <v>18726455.394175559</v>
      </c>
      <c r="G95" s="31">
        <f t="shared" si="3"/>
        <v>10658661.06304653</v>
      </c>
      <c r="H95" s="209">
        <f>F95*cnst_carbon!$C$11/10^6</f>
        <v>1.0503937154426548</v>
      </c>
      <c r="I95" s="209">
        <f>G95*carbon_intensity_n!$C$9</f>
        <v>0.49586424032854987</v>
      </c>
      <c r="J95" s="233">
        <f>H95*cnst_carbon!$C$13*1000000</f>
        <v>353637.23958517355</v>
      </c>
      <c r="K95" s="30">
        <f>I95*cnst_carbon!$C$13*1000000</f>
        <v>166943.17433619572</v>
      </c>
    </row>
    <row r="96" spans="1:11" ht="12.5">
      <c r="A96" s="14" t="s">
        <v>779</v>
      </c>
      <c r="B96" s="770" t="s">
        <v>7684</v>
      </c>
      <c r="C96" s="502">
        <v>641084987.49861705</v>
      </c>
      <c r="D96" s="505">
        <v>402114643</v>
      </c>
      <c r="E96" s="539">
        <v>10</v>
      </c>
      <c r="F96" s="31">
        <f t="shared" si="2"/>
        <v>6410849.8749861708</v>
      </c>
      <c r="G96" s="31">
        <f t="shared" si="3"/>
        <v>4021146.43</v>
      </c>
      <c r="H96" s="209">
        <f>F96*cnst_carbon!$C$11/10^6</f>
        <v>0.35959375533643362</v>
      </c>
      <c r="I96" s="209">
        <f>G96*carbon_intensity_n!$C$9</f>
        <v>0.18707253265372981</v>
      </c>
      <c r="J96" s="233">
        <f>H96*cnst_carbon!$C$13*1000000</f>
        <v>121064.83610828986</v>
      </c>
      <c r="K96" s="30">
        <f>I96*cnst_carbon!$C$13*1000000</f>
        <v>62981.921042809168</v>
      </c>
    </row>
    <row r="97" spans="1:11" ht="12.5">
      <c r="A97" s="14" t="s">
        <v>780</v>
      </c>
      <c r="B97" s="770" t="s">
        <v>7685</v>
      </c>
      <c r="C97" s="502">
        <v>117493420.33327401</v>
      </c>
      <c r="D97" s="505">
        <v>770921</v>
      </c>
      <c r="E97" s="539">
        <v>7.2</v>
      </c>
      <c r="F97" s="31">
        <f t="shared" si="2"/>
        <v>845952.62639957282</v>
      </c>
      <c r="G97" s="31">
        <f t="shared" si="3"/>
        <v>5550.6311999999998</v>
      </c>
      <c r="H97" s="209">
        <f>F97*cnst_carbon!$C$11/10^6</f>
        <v>4.7450694946182564E-2</v>
      </c>
      <c r="I97" s="209">
        <f>G97*carbon_intensity_n!$C$9</f>
        <v>2.5822751160315527E-4</v>
      </c>
      <c r="J97" s="233">
        <f>H97*cnst_carbon!$C$13*1000000</f>
        <v>15975.279107695931</v>
      </c>
      <c r="K97" s="30">
        <f>I97*cnst_carbon!$C$13*1000000</f>
        <v>86.937748242148231</v>
      </c>
    </row>
    <row r="98" spans="1:11" ht="12.5">
      <c r="A98" s="14" t="s">
        <v>781</v>
      </c>
      <c r="B98" s="770" t="s">
        <v>7686</v>
      </c>
      <c r="C98" s="502">
        <v>17604408.632956602</v>
      </c>
      <c r="D98" s="505">
        <v>26334119</v>
      </c>
      <c r="E98" s="539">
        <v>7.62</v>
      </c>
      <c r="F98" s="31">
        <f t="shared" si="2"/>
        <v>134145.5937831293</v>
      </c>
      <c r="G98" s="31">
        <f t="shared" si="3"/>
        <v>200665.98678000001</v>
      </c>
      <c r="H98" s="209">
        <f>F98*cnst_carbon!$C$11/10^6</f>
        <v>7.5244185671116282E-3</v>
      </c>
      <c r="I98" s="209">
        <f>G98*carbon_intensity_n!$C$9</f>
        <v>9.3354208850321488E-3</v>
      </c>
      <c r="J98" s="233">
        <f>H98*cnst_carbon!$C$13*1000000</f>
        <v>2533.2545048933634</v>
      </c>
      <c r="K98" s="30">
        <f>I98*cnst_carbon!$C$13*1000000</f>
        <v>3142.9667024971659</v>
      </c>
    </row>
    <row r="99" spans="1:11" ht="12.5">
      <c r="A99" s="14" t="s">
        <v>2026</v>
      </c>
      <c r="B99" s="770" t="s">
        <v>7687</v>
      </c>
      <c r="C99" s="502">
        <v>306806743.87285799</v>
      </c>
      <c r="D99" s="505">
        <v>163406058</v>
      </c>
      <c r="E99" s="539">
        <v>23.94</v>
      </c>
      <c r="F99" s="31">
        <f t="shared" si="2"/>
        <v>7344953.4483162202</v>
      </c>
      <c r="G99" s="31">
        <f t="shared" si="3"/>
        <v>3911941.0285200002</v>
      </c>
      <c r="H99" s="209">
        <f>F99*cnst_carbon!$C$11/10^6</f>
        <v>0.41198896320388639</v>
      </c>
      <c r="I99" s="209">
        <f>G99*carbon_intensity_n!$C$9</f>
        <v>0.18199205836860635</v>
      </c>
      <c r="J99" s="233">
        <f>H99*cnst_carbon!$C$13*1000000</f>
        <v>138704.78997066512</v>
      </c>
      <c r="K99" s="30">
        <f>I99*cnst_carbon!$C$13*1000000</f>
        <v>61271.472022065194</v>
      </c>
    </row>
    <row r="100" spans="1:11" ht="12.5">
      <c r="A100" s="14" t="s">
        <v>2027</v>
      </c>
      <c r="B100" s="770" t="s">
        <v>7688</v>
      </c>
      <c r="C100" s="502">
        <v>31684862.257405601</v>
      </c>
      <c r="D100" s="505">
        <v>150604553.310709</v>
      </c>
      <c r="E100" s="539">
        <v>23.94</v>
      </c>
      <c r="F100" s="31">
        <f t="shared" si="2"/>
        <v>758535.60244229017</v>
      </c>
      <c r="G100" s="31">
        <f t="shared" si="3"/>
        <v>3605473.0062583736</v>
      </c>
      <c r="H100" s="209">
        <f>F100*cnst_carbon!$C$11/10^6</f>
        <v>4.2547348816087439E-2</v>
      </c>
      <c r="I100" s="209">
        <f>G100*carbon_intensity_n!$C$9</f>
        <v>0.16773449523334344</v>
      </c>
      <c r="J100" s="233">
        <f>H100*cnst_carbon!$C$13*1000000</f>
        <v>14324.464023138098</v>
      </c>
      <c r="K100" s="30">
        <f>I100*cnst_carbon!$C$13*1000000</f>
        <v>56471.362123996245</v>
      </c>
    </row>
    <row r="101" spans="1:11" ht="12.5">
      <c r="A101" s="14" t="s">
        <v>4324</v>
      </c>
      <c r="B101" s="770" t="s">
        <v>7689</v>
      </c>
      <c r="C101" s="502">
        <v>9577449.7386347093</v>
      </c>
      <c r="D101" s="505">
        <v>17685261</v>
      </c>
      <c r="E101" s="539">
        <v>25.84</v>
      </c>
      <c r="F101" s="31">
        <f t="shared" si="2"/>
        <v>247481.30124632089</v>
      </c>
      <c r="G101" s="31">
        <f t="shared" si="3"/>
        <v>456987.14423999999</v>
      </c>
      <c r="H101" s="209">
        <f>F101*cnst_carbon!$C$11/10^6</f>
        <v>1.3881580792890381E-2</v>
      </c>
      <c r="I101" s="209">
        <f>G101*carbon_intensity_n!$C$9</f>
        <v>2.126004211768337E-2</v>
      </c>
      <c r="J101" s="233">
        <f>H101*cnst_carbon!$C$13*1000000</f>
        <v>4673.5274978369043</v>
      </c>
      <c r="K101" s="30">
        <f>I101*cnst_carbon!$C$13*1000000</f>
        <v>7157.6424129629431</v>
      </c>
    </row>
    <row r="102" spans="1:11" ht="12.5">
      <c r="A102" s="14" t="s">
        <v>4325</v>
      </c>
      <c r="B102" s="770" t="s">
        <v>7690</v>
      </c>
      <c r="C102" s="502">
        <v>472166.80163766199</v>
      </c>
      <c r="D102" s="505">
        <v>5627.4790189619098</v>
      </c>
      <c r="E102" s="539">
        <v>100</v>
      </c>
      <c r="F102" s="31">
        <f t="shared" si="2"/>
        <v>47216.680163766199</v>
      </c>
      <c r="G102" s="31">
        <f t="shared" si="3"/>
        <v>562.74790189619091</v>
      </c>
      <c r="H102" s="209">
        <f>F102*cnst_carbon!$C$11/10^6</f>
        <v>2.6484512452640465E-3</v>
      </c>
      <c r="I102" s="209">
        <f>G102*carbon_intensity_n!$C$9</f>
        <v>2.6180264033133732E-5</v>
      </c>
      <c r="J102" s="233">
        <f>H102*cnst_carbon!$C$13*1000000</f>
        <v>891.657074658331</v>
      </c>
      <c r="K102" s="30">
        <f>I102*cnst_carbon!$C$13*1000000</f>
        <v>8.8141390872533876</v>
      </c>
    </row>
    <row r="103" spans="1:11" ht="12.5">
      <c r="A103" s="14" t="s">
        <v>4326</v>
      </c>
      <c r="B103" s="770" t="s">
        <v>7691</v>
      </c>
      <c r="C103" s="502">
        <v>147818.99925942</v>
      </c>
      <c r="D103" s="505">
        <v>3765347.0155565501</v>
      </c>
      <c r="E103" s="539">
        <v>100</v>
      </c>
      <c r="F103" s="31">
        <f t="shared" si="2"/>
        <v>14781.899925942</v>
      </c>
      <c r="G103" s="31">
        <f t="shared" si="3"/>
        <v>376534.70155565499</v>
      </c>
      <c r="H103" s="209">
        <f>F103*cnst_carbon!$C$11/10^6</f>
        <v>8.2913794723485075E-4</v>
      </c>
      <c r="I103" s="209">
        <f>G103*carbon_intensity_n!$C$9</f>
        <v>1.7517218404810162E-2</v>
      </c>
      <c r="J103" s="233">
        <f>H103*cnst_carbon!$C$13*1000000</f>
        <v>279.14680998627665</v>
      </c>
      <c r="K103" s="30">
        <f>I103*cnst_carbon!$C$13*1000000</f>
        <v>5897.5417225121992</v>
      </c>
    </row>
    <row r="104" spans="1:11" ht="12.5">
      <c r="A104" s="14" t="s">
        <v>5045</v>
      </c>
      <c r="B104" s="770" t="s">
        <v>7692</v>
      </c>
      <c r="C104" s="502">
        <v>2794427.41092744</v>
      </c>
      <c r="D104" s="505">
        <v>285529</v>
      </c>
      <c r="E104" s="539">
        <v>16</v>
      </c>
      <c r="F104" s="31">
        <f t="shared" si="2"/>
        <v>44710.838574839043</v>
      </c>
      <c r="G104" s="31">
        <f t="shared" si="3"/>
        <v>4568.4639999999999</v>
      </c>
      <c r="H104" s="209">
        <f>F104*cnst_carbon!$C$11/10^6</f>
        <v>2.5078950000216827E-3</v>
      </c>
      <c r="I104" s="209">
        <f>G104*carbon_intensity_n!$C$9</f>
        <v>2.1253494387604011E-4</v>
      </c>
      <c r="J104" s="233">
        <f>H104*cnst_carbon!$C$13*1000000</f>
        <v>844.3358446821793</v>
      </c>
      <c r="K104" s="30">
        <f>I104*cnst_carbon!$C$13*1000000</f>
        <v>71.554379812753098</v>
      </c>
    </row>
    <row r="105" spans="1:11" ht="12.5">
      <c r="A105" s="14" t="s">
        <v>5046</v>
      </c>
      <c r="B105" s="770" t="s">
        <v>7693</v>
      </c>
      <c r="C105" s="502">
        <v>437189.65250260901</v>
      </c>
      <c r="D105" s="505">
        <v>15129383.0559914</v>
      </c>
      <c r="E105" s="539">
        <v>35</v>
      </c>
      <c r="F105" s="31">
        <f t="shared" si="2"/>
        <v>15301.637837591315</v>
      </c>
      <c r="G105" s="31">
        <f t="shared" si="3"/>
        <v>529528.406959699</v>
      </c>
      <c r="H105" s="209">
        <f>F105*cnst_carbon!$C$11/10^6</f>
        <v>8.582907914107716E-4</v>
      </c>
      <c r="I105" s="209">
        <f>G105*carbon_intensity_n!$C$9</f>
        <v>2.4634820424096274E-2</v>
      </c>
      <c r="J105" s="233">
        <f>H105*cnst_carbon!$C$13*1000000</f>
        <v>288.96173099052578</v>
      </c>
      <c r="K105" s="30">
        <f>I105*cnst_carbon!$C$13*1000000</f>
        <v>8293.8328403674386</v>
      </c>
    </row>
    <row r="106" spans="1:11" ht="12.5">
      <c r="A106" s="14" t="s">
        <v>5047</v>
      </c>
      <c r="B106" s="770" t="s">
        <v>7694</v>
      </c>
      <c r="C106" s="502">
        <v>22561.3430539031</v>
      </c>
      <c r="D106" s="505">
        <v>44886.303707690102</v>
      </c>
      <c r="E106" s="539">
        <v>35</v>
      </c>
      <c r="F106" s="31">
        <f t="shared" si="2"/>
        <v>789.64700688660844</v>
      </c>
      <c r="G106" s="31">
        <f t="shared" si="3"/>
        <v>1571.0206297691536</v>
      </c>
      <c r="H106" s="209">
        <f>F106*cnst_carbon!$C$11/10^6</f>
        <v>4.4292432069647037E-5</v>
      </c>
      <c r="I106" s="209">
        <f>G106*carbon_intensity_n!$C$9</f>
        <v>7.3087318051775888E-5</v>
      </c>
      <c r="J106" s="233">
        <f>H106*cnst_carbon!$C$13*1000000</f>
        <v>14.911983174825959</v>
      </c>
      <c r="K106" s="30">
        <f>I106*cnst_carbon!$C$13*1000000</f>
        <v>24.606389989320828</v>
      </c>
    </row>
    <row r="107" spans="1:11" ht="12.5">
      <c r="A107" s="14" t="s">
        <v>5048</v>
      </c>
      <c r="B107" s="770" t="s">
        <v>7695</v>
      </c>
      <c r="C107" s="502">
        <v>192.55588171173599</v>
      </c>
      <c r="D107" s="505">
        <v>5303.4935417318702</v>
      </c>
      <c r="E107" s="539">
        <v>35</v>
      </c>
      <c r="F107" s="31">
        <f t="shared" si="2"/>
        <v>6.7394558599107599</v>
      </c>
      <c r="G107" s="31">
        <f t="shared" si="3"/>
        <v>185.62227396061544</v>
      </c>
      <c r="H107" s="209">
        <f>F107*cnst_carbon!$C$11/10^6</f>
        <v>3.7802573587712834E-7</v>
      </c>
      <c r="I107" s="209">
        <f>G107*carbon_intensity_n!$C$9</f>
        <v>8.6355544398209871E-6</v>
      </c>
      <c r="J107" s="233">
        <f>H107*cnst_carbon!$C$13*1000000</f>
        <v>0.12727035183317403</v>
      </c>
      <c r="K107" s="30">
        <f>I107*cnst_carbon!$C$13*1000000</f>
        <v>2.9073418752308844</v>
      </c>
    </row>
    <row r="108" spans="1:11" ht="12.5">
      <c r="A108" s="14" t="s">
        <v>2615</v>
      </c>
      <c r="B108" s="770" t="s">
        <v>7696</v>
      </c>
      <c r="C108" s="502">
        <v>25929.232925358599</v>
      </c>
      <c r="D108" s="505">
        <v>276177</v>
      </c>
      <c r="E108" s="539">
        <v>10</v>
      </c>
      <c r="F108" s="31">
        <f t="shared" si="2"/>
        <v>259.29232925358599</v>
      </c>
      <c r="G108" s="31">
        <f t="shared" si="3"/>
        <v>2761.77</v>
      </c>
      <c r="H108" s="209">
        <f>F108*cnst_carbon!$C$11/10^6</f>
        <v>1.4544078277363985E-5</v>
      </c>
      <c r="I108" s="209">
        <f>G108*carbon_intensity_n!$C$9</f>
        <v>1.2848358484351222E-4</v>
      </c>
      <c r="J108" s="233">
        <f>H108*cnst_carbon!$C$13*1000000</f>
        <v>4.896571274848303</v>
      </c>
      <c r="K108" s="30">
        <f>I108*cnst_carbon!$C$13*1000000</f>
        <v>43.256713752251763</v>
      </c>
    </row>
    <row r="109" spans="1:11" ht="12.5">
      <c r="A109" s="14" t="s">
        <v>2616</v>
      </c>
      <c r="B109" s="770" t="s">
        <v>7697</v>
      </c>
      <c r="C109" s="502">
        <v>1006</v>
      </c>
      <c r="D109" s="505">
        <v>41800</v>
      </c>
      <c r="E109" s="539">
        <v>35</v>
      </c>
      <c r="F109" s="31">
        <f t="shared" si="2"/>
        <v>35.21</v>
      </c>
      <c r="G109" s="31">
        <f t="shared" si="3"/>
        <v>1463</v>
      </c>
      <c r="H109" s="209">
        <f>F109*cnst_carbon!$C$11/10^6</f>
        <v>1.9749793509902052E-6</v>
      </c>
      <c r="I109" s="209">
        <f>G109*carbon_intensity_n!$C$9</f>
        <v>6.8061961939646818E-5</v>
      </c>
      <c r="J109" s="233">
        <f>H109*cnst_carbon!$C$13*1000000</f>
        <v>0.66491853069357376</v>
      </c>
      <c r="K109" s="30">
        <f>I109*cnst_carbon!$C$13*1000000</f>
        <v>22.914497666186655</v>
      </c>
    </row>
    <row r="110" spans="1:11" ht="12.5">
      <c r="A110" s="14" t="s">
        <v>2547</v>
      </c>
      <c r="B110" s="770" t="s">
        <v>7698</v>
      </c>
      <c r="C110" s="502">
        <v>8609.6300586279503</v>
      </c>
      <c r="D110" s="505">
        <v>20577</v>
      </c>
      <c r="E110" s="539">
        <v>35</v>
      </c>
      <c r="F110" s="31">
        <f t="shared" si="2"/>
        <v>301.33705205197822</v>
      </c>
      <c r="G110" s="31">
        <f t="shared" si="3"/>
        <v>720.19500000000005</v>
      </c>
      <c r="H110" s="209">
        <f>F110*cnst_carbon!$C$11/10^6</f>
        <v>1.6902427023314904E-5</v>
      </c>
      <c r="I110" s="209">
        <f>G110*carbon_intensity_n!$C$9</f>
        <v>3.3505047627562503E-5</v>
      </c>
      <c r="J110" s="233">
        <f>H110*cnst_carbon!$C$13*1000000</f>
        <v>5.6905592131194078</v>
      </c>
      <c r="K110" s="30">
        <f>I110*cnst_carbon!$C$13*1000000</f>
        <v>11.28018226021825</v>
      </c>
    </row>
    <row r="111" spans="1:11" ht="12.5">
      <c r="A111" s="14" t="s">
        <v>2548</v>
      </c>
      <c r="B111" s="770" t="s">
        <v>7699</v>
      </c>
      <c r="C111" s="502">
        <v>73131.293447223798</v>
      </c>
      <c r="D111" s="505">
        <v>1009637.625</v>
      </c>
      <c r="E111" s="539">
        <v>35</v>
      </c>
      <c r="F111" s="31">
        <f t="shared" si="2"/>
        <v>2559.5952706528328</v>
      </c>
      <c r="G111" s="31">
        <f t="shared" si="3"/>
        <v>35337.316874999997</v>
      </c>
      <c r="H111" s="209">
        <f>F111*cnst_carbon!$C$11/10^6</f>
        <v>1.4357136627184128E-4</v>
      </c>
      <c r="I111" s="209">
        <f>G111*carbon_intensity_n!$C$9</f>
        <v>1.6439693207077849E-3</v>
      </c>
      <c r="J111" s="233">
        <f>H111*cnst_carbon!$C$13*1000000</f>
        <v>48.336334181559273</v>
      </c>
      <c r="K111" s="30">
        <f>I111*cnst_carbon!$C$13*1000000</f>
        <v>553.47700961140526</v>
      </c>
    </row>
    <row r="112" spans="1:11" ht="12.5">
      <c r="A112" s="14" t="s">
        <v>4656</v>
      </c>
      <c r="B112" s="770" t="s">
        <v>7700</v>
      </c>
      <c r="C112" s="502">
        <v>635753.78191569704</v>
      </c>
      <c r="D112" s="505">
        <v>1350072.39516887</v>
      </c>
      <c r="E112" s="539">
        <v>35</v>
      </c>
      <c r="F112" s="31">
        <f t="shared" si="2"/>
        <v>22251.382367049395</v>
      </c>
      <c r="G112" s="31">
        <f t="shared" si="3"/>
        <v>47252.533830910448</v>
      </c>
      <c r="H112" s="209">
        <f>F112*cnst_carbon!$C$11/10^6</f>
        <v>1.24811192007697E-3</v>
      </c>
      <c r="I112" s="209">
        <f>G112*carbon_intensity_n!$C$9</f>
        <v>2.1982912912859201E-3</v>
      </c>
      <c r="J112" s="233">
        <f>H112*cnst_carbon!$C$13*1000000</f>
        <v>420.20325104798013</v>
      </c>
      <c r="K112" s="30">
        <f>I112*cnst_carbon!$C$13*1000000</f>
        <v>740.10121407368683</v>
      </c>
    </row>
    <row r="113" spans="1:11" ht="12.5">
      <c r="A113" s="14" t="s">
        <v>4657</v>
      </c>
      <c r="B113" s="770" t="s">
        <v>7701</v>
      </c>
      <c r="C113" s="502">
        <v>109794156</v>
      </c>
      <c r="D113" s="505">
        <v>27700</v>
      </c>
      <c r="E113" s="539">
        <v>16.670000000000002</v>
      </c>
      <c r="F113" s="31">
        <f t="shared" si="2"/>
        <v>1830268.5805200003</v>
      </c>
      <c r="G113" s="31">
        <f t="shared" si="3"/>
        <v>461.75900000000007</v>
      </c>
      <c r="H113" s="209">
        <f>F113*cnst_carbon!$C$11/10^6</f>
        <v>0.10266238719946477</v>
      </c>
      <c r="I113" s="209">
        <f>G113*carbon_intensity_n!$C$9</f>
        <v>2.1482039291380302E-5</v>
      </c>
      <c r="J113" s="233">
        <f>H113*cnst_carbon!$C$13*1000000</f>
        <v>34563.461952115067</v>
      </c>
      <c r="K113" s="30">
        <f>I113*cnst_carbon!$C$13*1000000</f>
        <v>7.2323824523859797</v>
      </c>
    </row>
    <row r="114" spans="1:11" ht="12.5">
      <c r="A114" s="14" t="s">
        <v>4658</v>
      </c>
      <c r="B114" s="770" t="s">
        <v>7702</v>
      </c>
      <c r="C114" s="502">
        <v>7020</v>
      </c>
      <c r="D114" s="505"/>
      <c r="E114" s="539">
        <v>4</v>
      </c>
      <c r="F114" s="31">
        <f t="shared" si="2"/>
        <v>28.08</v>
      </c>
      <c r="G114" s="31">
        <f t="shared" si="3"/>
        <v>0</v>
      </c>
      <c r="H114" s="209">
        <f>F114*cnst_carbon!$C$11/10^6</f>
        <v>1.5750474347005101E-6</v>
      </c>
      <c r="I114" s="209">
        <f>G114*carbon_intensity_n!$C$9</f>
        <v>0</v>
      </c>
      <c r="J114" s="233">
        <f>H114*cnst_carbon!$C$13*1000000</f>
        <v>0.53027300033727776</v>
      </c>
      <c r="K114" s="30">
        <f>I114*cnst_carbon!$C$13*1000000</f>
        <v>0</v>
      </c>
    </row>
    <row r="115" spans="1:11" ht="12.5">
      <c r="A115" s="14" t="s">
        <v>4659</v>
      </c>
      <c r="B115" s="770" t="s">
        <v>7703</v>
      </c>
      <c r="C115" s="502">
        <v>29.0598004845716</v>
      </c>
      <c r="D115" s="505">
        <v>445.10585988794401</v>
      </c>
      <c r="E115" s="539">
        <v>20</v>
      </c>
      <c r="F115" s="31">
        <f t="shared" si="2"/>
        <v>0.58119600969143204</v>
      </c>
      <c r="G115" s="31">
        <f t="shared" si="3"/>
        <v>8.90211719775888</v>
      </c>
      <c r="H115" s="209">
        <f>F115*cnst_carbon!$C$11/10^6</f>
        <v>3.260011695593529E-8</v>
      </c>
      <c r="I115" s="209">
        <f>G115*carbon_intensity_n!$C$9</f>
        <v>4.1414597532203711E-7</v>
      </c>
      <c r="J115" s="233">
        <f>H115*cnst_carbon!$C$13*1000000</f>
        <v>1.0975518228031668E-2</v>
      </c>
      <c r="K115" s="30">
        <f>I115*cnst_carbon!$C$13*1000000</f>
        <v>0.13943099367885575</v>
      </c>
    </row>
    <row r="116" spans="1:11" ht="12.5">
      <c r="A116" s="14" t="s">
        <v>4660</v>
      </c>
      <c r="B116" s="770" t="s">
        <v>7704</v>
      </c>
      <c r="C116" s="502">
        <v>1005937098</v>
      </c>
      <c r="D116" s="505">
        <v>5503912101</v>
      </c>
      <c r="E116" s="539">
        <v>7.6</v>
      </c>
      <c r="F116" s="31">
        <f t="shared" si="2"/>
        <v>7645121.9447999988</v>
      </c>
      <c r="G116" s="31">
        <f t="shared" si="3"/>
        <v>41829731.967599995</v>
      </c>
      <c r="H116" s="209">
        <f>F116*cnst_carbon!$C$11/10^6</f>
        <v>0.42882584427100479</v>
      </c>
      <c r="I116" s="209">
        <f>G116*carbon_intensity_n!$C$9</f>
        <v>1.9460106801944079</v>
      </c>
      <c r="J116" s="233">
        <f>H116*cnst_carbon!$C$13*1000000</f>
        <v>144373.28175261608</v>
      </c>
      <c r="K116" s="30">
        <f>I116*cnst_carbon!$C$13*1000000</f>
        <v>655165.61554940778</v>
      </c>
    </row>
    <row r="117" spans="1:11" ht="12.5">
      <c r="A117" s="14" t="s">
        <v>259</v>
      </c>
      <c r="B117" s="770" t="s">
        <v>7705</v>
      </c>
      <c r="C117" s="502">
        <v>25151401.8503513</v>
      </c>
      <c r="D117" s="505">
        <v>511728046</v>
      </c>
      <c r="E117" s="539">
        <v>7</v>
      </c>
      <c r="F117" s="31">
        <f t="shared" si="2"/>
        <v>176059.81295245909</v>
      </c>
      <c r="G117" s="31">
        <f t="shared" si="3"/>
        <v>3582096.3220000002</v>
      </c>
      <c r="H117" s="209">
        <f>F117*cnst_carbon!$C$11/10^6</f>
        <v>9.8754471775150416E-3</v>
      </c>
      <c r="I117" s="209">
        <f>G117*carbon_intensity_n!$C$9</f>
        <v>0.16664696071914756</v>
      </c>
      <c r="J117" s="233">
        <f>H117*cnst_carbon!$C$13*1000000</f>
        <v>3324.7779648547153</v>
      </c>
      <c r="K117" s="30">
        <f>I117*cnst_carbon!$C$13*1000000</f>
        <v>56105.220649709379</v>
      </c>
    </row>
    <row r="118" spans="1:11" ht="12.5">
      <c r="A118" s="14" t="s">
        <v>4661</v>
      </c>
      <c r="B118" s="770" t="s">
        <v>7706</v>
      </c>
      <c r="C118" s="502">
        <v>9288553</v>
      </c>
      <c r="D118" s="505">
        <v>16267.5650320282</v>
      </c>
      <c r="E118" s="539">
        <v>7.85</v>
      </c>
      <c r="F118" s="31">
        <f t="shared" si="2"/>
        <v>72915.141049999991</v>
      </c>
      <c r="G118" s="31">
        <f t="shared" si="3"/>
        <v>127.70038550142137</v>
      </c>
      <c r="H118" s="209">
        <f>F118*cnst_carbon!$C$11/10^6</f>
        <v>4.0899147386619789E-3</v>
      </c>
      <c r="I118" s="209">
        <f>G118*carbon_intensity_n!$C$9</f>
        <v>5.9409014201476199E-6</v>
      </c>
      <c r="J118" s="233">
        <f>H118*cnst_carbon!$C$13*1000000</f>
        <v>1376.9562184686363</v>
      </c>
      <c r="K118" s="30">
        <f>I118*cnst_carbon!$C$13*1000000</f>
        <v>2.0001299969538326</v>
      </c>
    </row>
    <row r="119" spans="1:11" ht="12.5">
      <c r="A119" s="14" t="s">
        <v>3739</v>
      </c>
      <c r="B119" s="770" t="s">
        <v>7707</v>
      </c>
      <c r="C119" s="502">
        <v>171.831862120783</v>
      </c>
      <c r="D119" s="505"/>
      <c r="E119" s="539">
        <v>7.85</v>
      </c>
      <c r="F119" s="31">
        <f t="shared" si="2"/>
        <v>1.3488801176481466</v>
      </c>
      <c r="G119" s="31">
        <f t="shared" si="3"/>
        <v>0</v>
      </c>
      <c r="H119" s="209">
        <f>F119*cnst_carbon!$C$11/10^6</f>
        <v>7.5660618554851707E-8</v>
      </c>
      <c r="I119" s="209">
        <f>G119*carbon_intensity_n!$C$9</f>
        <v>0</v>
      </c>
      <c r="J119" s="233">
        <f>H119*cnst_carbon!$C$13*1000000</f>
        <v>2.5472745978653243E-2</v>
      </c>
      <c r="K119" s="30">
        <f>I119*cnst_carbon!$C$13*1000000</f>
        <v>0</v>
      </c>
    </row>
    <row r="120" spans="1:11" ht="12.5">
      <c r="A120" s="14" t="s">
        <v>1188</v>
      </c>
      <c r="B120" s="770" t="s">
        <v>7708</v>
      </c>
      <c r="C120" s="502">
        <v>127169537.69297899</v>
      </c>
      <c r="D120" s="505">
        <v>10453175322</v>
      </c>
      <c r="E120" s="539">
        <v>7.2</v>
      </c>
      <c r="F120" s="31">
        <f t="shared" si="2"/>
        <v>915620.67138944881</v>
      </c>
      <c r="G120" s="31">
        <f t="shared" si="3"/>
        <v>75262862.31840001</v>
      </c>
      <c r="H120" s="209">
        <f>F120*cnst_carbon!$C$11/10^6</f>
        <v>5.1358475414199085E-2</v>
      </c>
      <c r="I120" s="209">
        <f>G120*carbon_intensity_n!$C$9</f>
        <v>3.5013930762705541</v>
      </c>
      <c r="J120" s="233">
        <f>H120*cnst_carbon!$C$13*1000000</f>
        <v>17290.915975374493</v>
      </c>
      <c r="K120" s="30">
        <f>I120*cnst_carbon!$C$13*1000000</f>
        <v>1178817.9651028742</v>
      </c>
    </row>
    <row r="121" spans="1:11" ht="12.5">
      <c r="A121" s="14" t="s">
        <v>1189</v>
      </c>
      <c r="B121" s="770" t="s">
        <v>7709</v>
      </c>
      <c r="C121" s="502">
        <v>12121150.5</v>
      </c>
      <c r="D121" s="505">
        <v>13389179</v>
      </c>
      <c r="E121" s="539">
        <v>6.4</v>
      </c>
      <c r="F121" s="31">
        <f t="shared" si="2"/>
        <v>77575.363200000007</v>
      </c>
      <c r="G121" s="31">
        <f t="shared" si="3"/>
        <v>85690.745600000009</v>
      </c>
      <c r="H121" s="209">
        <f>F121*cnst_carbon!$C$11/10^6</f>
        <v>4.3513132765000137E-3</v>
      </c>
      <c r="I121" s="209">
        <f>G121*carbon_intensity_n!$C$9</f>
        <v>3.9865210291231438E-3</v>
      </c>
      <c r="J121" s="233">
        <f>H121*cnst_carbon!$C$13*1000000</f>
        <v>1464.9615596979363</v>
      </c>
      <c r="K121" s="30">
        <f>I121*cnst_carbon!$C$13*1000000</f>
        <v>1342.1465413978094</v>
      </c>
    </row>
    <row r="122" spans="1:11" ht="12.5">
      <c r="A122" s="14" t="s">
        <v>85</v>
      </c>
      <c r="B122" s="770" t="s">
        <v>7710</v>
      </c>
      <c r="C122" s="502">
        <v>112618606.128905</v>
      </c>
      <c r="D122" s="505">
        <v>1901188</v>
      </c>
      <c r="E122" s="539">
        <v>91</v>
      </c>
      <c r="F122" s="31">
        <f t="shared" si="2"/>
        <v>10248293.157730354</v>
      </c>
      <c r="G122" s="31">
        <f t="shared" si="3"/>
        <v>173008.10800000001</v>
      </c>
      <c r="H122" s="209">
        <f>F122*cnst_carbon!$C$11/10^6</f>
        <v>0.57484144758340405</v>
      </c>
      <c r="I122" s="209">
        <f>G122*carbon_intensity_n!$C$9</f>
        <v>8.0487158318156577E-3</v>
      </c>
      <c r="J122" s="233">
        <f>H122*cnst_carbon!$C$13*1000000</f>
        <v>193532.51998168338</v>
      </c>
      <c r="K122" s="30">
        <f>I122*cnst_carbon!$C$13*1000000</f>
        <v>2709.770257687881</v>
      </c>
    </row>
    <row r="123" spans="1:11" ht="12.5">
      <c r="A123" s="14" t="s">
        <v>1794</v>
      </c>
      <c r="B123" s="770" t="s">
        <v>7711</v>
      </c>
      <c r="C123" s="502">
        <v>57185920.25</v>
      </c>
      <c r="D123" s="505">
        <v>26393622.25</v>
      </c>
      <c r="E123" s="539">
        <v>91</v>
      </c>
      <c r="F123" s="31">
        <f t="shared" si="2"/>
        <v>5203918.7427500002</v>
      </c>
      <c r="G123" s="31">
        <f t="shared" si="3"/>
        <v>2401819.62475</v>
      </c>
      <c r="H123" s="209">
        <f>F123*cnst_carbon!$C$11/10^6</f>
        <v>0.29189525876632094</v>
      </c>
      <c r="I123" s="209">
        <f>G123*carbon_intensity_n!$C$9</f>
        <v>0.11173790559510001</v>
      </c>
      <c r="J123" s="233">
        <f>H123*cnst_carbon!$C$13*1000000</f>
        <v>98272.706738940062</v>
      </c>
      <c r="K123" s="30">
        <f>I123*cnst_carbon!$C$13*1000000</f>
        <v>37618.926989702799</v>
      </c>
    </row>
    <row r="124" spans="1:11" ht="12.5">
      <c r="A124" s="14" t="s">
        <v>1795</v>
      </c>
      <c r="B124" s="770" t="s">
        <v>7712</v>
      </c>
      <c r="C124" s="502">
        <v>21453564</v>
      </c>
      <c r="D124" s="505">
        <v>48855644</v>
      </c>
      <c r="E124" s="539">
        <v>91</v>
      </c>
      <c r="F124" s="31">
        <f t="shared" si="2"/>
        <v>1952274.324</v>
      </c>
      <c r="G124" s="31">
        <f t="shared" si="3"/>
        <v>4445863.6040000003</v>
      </c>
      <c r="H124" s="209">
        <f>F124*cnst_carbon!$C$11/10^6</f>
        <v>0.10950586416837153</v>
      </c>
      <c r="I124" s="209">
        <f>G124*carbon_intensity_n!$C$9</f>
        <v>0.20683130512939787</v>
      </c>
      <c r="J124" s="233">
        <f>H124*cnst_carbon!$C$13*1000000</f>
        <v>36867.463079377158</v>
      </c>
      <c r="K124" s="30">
        <f>I124*cnst_carbon!$C$13*1000000</f>
        <v>69634.12930829954</v>
      </c>
    </row>
    <row r="125" spans="1:11" ht="12.5">
      <c r="A125" s="14" t="s">
        <v>1796</v>
      </c>
      <c r="B125" s="770" t="s">
        <v>7713</v>
      </c>
      <c r="C125" s="502">
        <v>14191382</v>
      </c>
      <c r="D125" s="505">
        <v>73553781.725003704</v>
      </c>
      <c r="E125" s="539">
        <v>91</v>
      </c>
      <c r="F125" s="31">
        <f t="shared" si="2"/>
        <v>1291415.7620000001</v>
      </c>
      <c r="G125" s="31">
        <f t="shared" si="3"/>
        <v>6693394.1369753368</v>
      </c>
      <c r="H125" s="209">
        <f>F125*cnst_carbon!$C$11/10^6</f>
        <v>7.2437360508187498E-2</v>
      </c>
      <c r="I125" s="209">
        <f>G125*carbon_intensity_n!$C$9</f>
        <v>0.31139134449615213</v>
      </c>
      <c r="J125" s="233">
        <f>H125*cnst_carbon!$C$13*1000000</f>
        <v>24387.568048382902</v>
      </c>
      <c r="K125" s="30">
        <f>I125*cnst_carbon!$C$13*1000000</f>
        <v>104836.47596075792</v>
      </c>
    </row>
    <row r="126" spans="1:11" ht="12.5">
      <c r="A126" s="14" t="s">
        <v>1797</v>
      </c>
      <c r="B126" s="770" t="s">
        <v>7714</v>
      </c>
      <c r="C126" s="502">
        <v>223430073</v>
      </c>
      <c r="D126" s="505">
        <v>2888790129</v>
      </c>
      <c r="E126" s="539">
        <v>1</v>
      </c>
      <c r="F126" s="31">
        <f t="shared" si="2"/>
        <v>223430.073</v>
      </c>
      <c r="G126" s="31">
        <f t="shared" si="3"/>
        <v>2888790.1290000002</v>
      </c>
      <c r="H126" s="209">
        <f>F126*cnst_carbon!$C$11/10^6</f>
        <v>1.2532512938518439E-2</v>
      </c>
      <c r="I126" s="209">
        <f>G126*carbon_intensity_n!$C$9</f>
        <v>0.13439283924239606</v>
      </c>
      <c r="J126" s="233">
        <f>H126*cnst_carbon!$C$13*1000000</f>
        <v>4219.3352982652068</v>
      </c>
      <c r="K126" s="30">
        <f>I126*cnst_carbon!$C$13*1000000</f>
        <v>45246.189110781655</v>
      </c>
    </row>
    <row r="127" spans="1:11" ht="12.5">
      <c r="A127" s="14" t="s">
        <v>1798</v>
      </c>
      <c r="B127" s="770" t="s">
        <v>7715</v>
      </c>
      <c r="C127" s="502">
        <v>20379646.462307099</v>
      </c>
      <c r="D127" s="505">
        <v>1779794.5067785699</v>
      </c>
      <c r="E127" s="539">
        <v>1</v>
      </c>
      <c r="F127" s="31">
        <f t="shared" si="2"/>
        <v>20379.646462307101</v>
      </c>
      <c r="G127" s="31">
        <f t="shared" si="3"/>
        <v>1779.7945067785699</v>
      </c>
      <c r="H127" s="209">
        <f>F127*cnst_carbon!$C$11/10^6</f>
        <v>1.143123571245019E-3</v>
      </c>
      <c r="I127" s="209">
        <f>G127*carbon_intensity_n!$C$9</f>
        <v>8.2799935735307942E-5</v>
      </c>
      <c r="J127" s="233">
        <f>H127*cnst_carbon!$C$13*1000000</f>
        <v>384.85670496369573</v>
      </c>
      <c r="K127" s="30">
        <f>I127*cnst_carbon!$C$13*1000000</f>
        <v>27.876347964367312</v>
      </c>
    </row>
    <row r="128" spans="1:11" ht="12.5">
      <c r="A128" s="14" t="s">
        <v>1799</v>
      </c>
      <c r="B128" s="770" t="s">
        <v>7716</v>
      </c>
      <c r="C128" s="502">
        <v>4264774.2206252301</v>
      </c>
      <c r="D128" s="505">
        <v>31346883.173196301</v>
      </c>
      <c r="E128" s="539">
        <v>9.5</v>
      </c>
      <c r="F128" s="31">
        <f t="shared" si="2"/>
        <v>40515.355095939689</v>
      </c>
      <c r="G128" s="31">
        <f t="shared" si="3"/>
        <v>297795.39014536486</v>
      </c>
      <c r="H128" s="209">
        <f>F128*cnst_carbon!$C$11/10^6</f>
        <v>2.2725643201509994E-3</v>
      </c>
      <c r="I128" s="209">
        <f>G128*carbon_intensity_n!$C$9</f>
        <v>1.3854093308185987E-2</v>
      </c>
      <c r="J128" s="233">
        <f>H128*cnst_carbon!$C$13*1000000</f>
        <v>765.1067986628974</v>
      </c>
      <c r="K128" s="30">
        <f>I128*cnst_carbon!$C$13*1000000</f>
        <v>4664.2732552885227</v>
      </c>
    </row>
    <row r="129" spans="1:11" ht="12.5">
      <c r="A129" s="14" t="s">
        <v>97</v>
      </c>
      <c r="B129" s="770" t="s">
        <v>7717</v>
      </c>
      <c r="C129" s="502">
        <v>624180016.03973603</v>
      </c>
      <c r="D129" s="505">
        <v>5849968806.3730402</v>
      </c>
      <c r="E129" s="539">
        <v>7.4</v>
      </c>
      <c r="F129" s="31">
        <f t="shared" si="2"/>
        <v>4618932.1186940465</v>
      </c>
      <c r="G129" s="31">
        <f t="shared" si="3"/>
        <v>43289769.167160496</v>
      </c>
      <c r="H129" s="209">
        <f>F129*cnst_carbon!$C$11/10^6</f>
        <v>0.25908252081926109</v>
      </c>
      <c r="I129" s="209">
        <f>G129*carbon_intensity_n!$C$9</f>
        <v>2.0139348061731881</v>
      </c>
      <c r="J129" s="233">
        <f>H129*cnst_carbon!$C$13*1000000</f>
        <v>87225.605161471205</v>
      </c>
      <c r="K129" s="30">
        <f>I129*cnst_carbon!$C$13*1000000</f>
        <v>678033.70782683417</v>
      </c>
    </row>
    <row r="130" spans="1:11" ht="12.5">
      <c r="A130" s="14" t="s">
        <v>3014</v>
      </c>
      <c r="B130" s="770" t="s">
        <v>7718</v>
      </c>
      <c r="C130" s="502">
        <v>216373166.14160401</v>
      </c>
      <c r="D130" s="505">
        <v>281304633.063353</v>
      </c>
      <c r="E130" s="539">
        <v>10.5</v>
      </c>
      <c r="F130" s="31">
        <f t="shared" si="2"/>
        <v>2271918.2444868423</v>
      </c>
      <c r="G130" s="31">
        <f t="shared" si="3"/>
        <v>2953698.6471652063</v>
      </c>
      <c r="H130" s="209">
        <f>F130*cnst_carbon!$C$11/10^6</f>
        <v>0.12743514967337208</v>
      </c>
      <c r="I130" s="209">
        <f>G130*carbon_intensity_n!$C$9</f>
        <v>0.13741252556701611</v>
      </c>
      <c r="J130" s="233">
        <f>H130*cnst_carbon!$C$13*1000000</f>
        <v>42903.735898327599</v>
      </c>
      <c r="K130" s="30">
        <f>I130*cnst_carbon!$C$13*1000000</f>
        <v>46262.830319265762</v>
      </c>
    </row>
    <row r="131" spans="1:11" ht="12.5">
      <c r="A131" s="14" t="s">
        <v>3015</v>
      </c>
      <c r="B131" s="770" t="s">
        <v>7719</v>
      </c>
      <c r="C131" s="502"/>
      <c r="D131" s="505"/>
      <c r="E131" s="539">
        <v>5</v>
      </c>
      <c r="F131" s="31">
        <f t="shared" si="2"/>
        <v>0</v>
      </c>
      <c r="G131" s="31">
        <f t="shared" si="3"/>
        <v>0</v>
      </c>
      <c r="H131" s="209">
        <f>F131*cnst_carbon!$C$11/10^6</f>
        <v>0</v>
      </c>
      <c r="I131" s="209">
        <f>G131*carbon_intensity_n!$C$9</f>
        <v>0</v>
      </c>
      <c r="J131" s="233">
        <f>H131*cnst_carbon!$C$13*1000000</f>
        <v>0</v>
      </c>
      <c r="K131" s="30">
        <f>I131*cnst_carbon!$C$13*1000000</f>
        <v>0</v>
      </c>
    </row>
    <row r="132" spans="1:11" ht="12.5">
      <c r="A132" s="14" t="s">
        <v>5150</v>
      </c>
      <c r="B132" s="770" t="s">
        <v>7720</v>
      </c>
      <c r="C132" s="502">
        <v>707985.37124777096</v>
      </c>
      <c r="D132" s="505">
        <v>20704756.085279301</v>
      </c>
      <c r="E132" s="539">
        <v>9.5</v>
      </c>
      <c r="F132" s="31">
        <f t="shared" si="2"/>
        <v>6725.8610268538241</v>
      </c>
      <c r="G132" s="31">
        <f t="shared" si="3"/>
        <v>196695.18281015338</v>
      </c>
      <c r="H132" s="209">
        <f>F132*cnst_carbon!$C$11/10^6</f>
        <v>3.7726318221147634E-4</v>
      </c>
      <c r="I132" s="209">
        <f>G132*carbon_intensity_n!$C$9</f>
        <v>9.1506903938048754E-3</v>
      </c>
      <c r="J132" s="233">
        <f>H132*cnst_carbon!$C$13*1000000</f>
        <v>127.0136220285378</v>
      </c>
      <c r="K132" s="30">
        <f>I132*cnst_carbon!$C$13*1000000</f>
        <v>3080.7732791889389</v>
      </c>
    </row>
    <row r="133" spans="1:11" ht="12.5">
      <c r="A133" s="14" t="s">
        <v>2259</v>
      </c>
      <c r="B133" s="770" t="s">
        <v>7721</v>
      </c>
      <c r="C133" s="502">
        <v>76644372.749486893</v>
      </c>
      <c r="D133" s="505">
        <v>8322499.5424957601</v>
      </c>
      <c r="E133" s="539">
        <v>5</v>
      </c>
      <c r="F133" s="31">
        <f t="shared" si="2"/>
        <v>383221.86374743452</v>
      </c>
      <c r="G133" s="31">
        <f t="shared" si="3"/>
        <v>41612.497712478798</v>
      </c>
      <c r="H133" s="209">
        <f>F133*cnst_carbon!$C$11/10^6</f>
        <v>2.149546344076016E-2</v>
      </c>
      <c r="I133" s="209">
        <f>G133*carbon_intensity_n!$C$9</f>
        <v>1.9359044672046292E-3</v>
      </c>
      <c r="J133" s="233">
        <f>H133*cnst_carbon!$C$13*1000000</f>
        <v>7236.9019759328912</v>
      </c>
      <c r="K133" s="30">
        <f>I133*cnst_carbon!$C$13*1000000</f>
        <v>651.76314539767134</v>
      </c>
    </row>
    <row r="134" spans="1:11" ht="12.5">
      <c r="A134" s="14" t="s">
        <v>2260</v>
      </c>
      <c r="B134" s="770" t="s">
        <v>7722</v>
      </c>
      <c r="C134" s="502">
        <v>213046229.65235901</v>
      </c>
      <c r="D134" s="505">
        <v>9272997189.0401497</v>
      </c>
      <c r="E134" s="539">
        <v>7.4</v>
      </c>
      <c r="F134" s="31">
        <f t="shared" si="2"/>
        <v>1576542.099427457</v>
      </c>
      <c r="G134" s="31">
        <f t="shared" si="3"/>
        <v>68620179.198897108</v>
      </c>
      <c r="H134" s="209">
        <f>F134*cnst_carbon!$C$11/10^6</f>
        <v>8.8430505320533218E-2</v>
      </c>
      <c r="I134" s="209">
        <f>G134*carbon_intensity_n!$C$9</f>
        <v>3.192360919293971</v>
      </c>
      <c r="J134" s="233">
        <f>H134*cnst_carbon!$C$13*1000000</f>
        <v>29771.998191646315</v>
      </c>
      <c r="K134" s="30">
        <f>I134*cnst_carbon!$C$13*1000000</f>
        <v>1074775.7594712498</v>
      </c>
    </row>
    <row r="135" spans="1:11" ht="12.5">
      <c r="A135" s="14" t="s">
        <v>3737</v>
      </c>
      <c r="B135" s="770" t="s">
        <v>7723</v>
      </c>
      <c r="C135" s="502">
        <v>134817476.253418</v>
      </c>
      <c r="D135" s="505">
        <v>34083433.3861816</v>
      </c>
      <c r="E135" s="539">
        <v>10.5</v>
      </c>
      <c r="F135" s="31">
        <f t="shared" si="2"/>
        <v>1415583.5006608889</v>
      </c>
      <c r="G135" s="31">
        <f t="shared" si="3"/>
        <v>357876.05055490677</v>
      </c>
      <c r="H135" s="209">
        <f>F135*cnst_carbon!$C$11/10^6</f>
        <v>7.9402106884626109E-2</v>
      </c>
      <c r="I135" s="209">
        <f>G135*carbon_intensity_n!$C$9</f>
        <v>1.6649177123704159E-2</v>
      </c>
      <c r="J135" s="233">
        <f>H135*cnst_carbon!$C$13*1000000</f>
        <v>26732.39708416654</v>
      </c>
      <c r="K135" s="30">
        <f>I135*cnst_carbon!$C$13*1000000</f>
        <v>5605.2972831336356</v>
      </c>
    </row>
    <row r="136" spans="1:11" ht="12.5">
      <c r="A136" s="14" t="s">
        <v>3738</v>
      </c>
      <c r="B136" s="770" t="s">
        <v>7724</v>
      </c>
      <c r="C136" s="502">
        <v>195568.16030021099</v>
      </c>
      <c r="D136" s="505">
        <v>35279.132905092702</v>
      </c>
      <c r="E136" s="539">
        <v>10</v>
      </c>
      <c r="F136" s="31">
        <f t="shared" ref="F136:F199" si="4">C136*$E136/1000</f>
        <v>1955.68160300211</v>
      </c>
      <c r="G136" s="31">
        <f t="shared" ref="G136:G199" si="5">D136*E136/1000</f>
        <v>352.791329050927</v>
      </c>
      <c r="H136" s="209">
        <f>F136*cnst_carbon!$C$11/10^6</f>
        <v>1.0969698332975268E-4</v>
      </c>
      <c r="I136" s="209">
        <f>G136*carbon_intensity_n!$C$9</f>
        <v>1.6412624750855512E-5</v>
      </c>
      <c r="J136" s="233">
        <f>H136*cnst_carbon!$C$13*1000000</f>
        <v>36.931807383488106</v>
      </c>
      <c r="K136" s="30">
        <f>I136*cnst_carbon!$C$13*1000000</f>
        <v>5.5256569283584129</v>
      </c>
    </row>
    <row r="137" spans="1:11" ht="12.5">
      <c r="A137" s="14" t="s">
        <v>775</v>
      </c>
      <c r="B137" s="770" t="s">
        <v>7725</v>
      </c>
      <c r="C137" s="502">
        <v>361667144.42317498</v>
      </c>
      <c r="D137" s="505">
        <v>2196752769.3943601</v>
      </c>
      <c r="E137" s="539">
        <v>28.2</v>
      </c>
      <c r="F137" s="31">
        <f t="shared" si="4"/>
        <v>10199013.472733533</v>
      </c>
      <c r="G137" s="31">
        <f t="shared" si="5"/>
        <v>61948428.096920952</v>
      </c>
      <c r="H137" s="209">
        <f>F137*cnst_carbon!$C$11/10^6</f>
        <v>0.57207727944105746</v>
      </c>
      <c r="I137" s="209">
        <f>G137*carbon_intensity_n!$C$9</f>
        <v>2.8819764561541912</v>
      </c>
      <c r="J137" s="233">
        <f>H137*cnst_carbon!$C$13*1000000</f>
        <v>192601.90436847328</v>
      </c>
      <c r="K137" s="30">
        <f>I137*cnst_carbon!$C$13*1000000</f>
        <v>970278.27139496047</v>
      </c>
    </row>
    <row r="138" spans="1:11" ht="12.5">
      <c r="A138" s="14" t="s">
        <v>347</v>
      </c>
      <c r="B138" s="770" t="s">
        <v>7726</v>
      </c>
      <c r="C138" s="502">
        <v>15913653.1530637</v>
      </c>
      <c r="D138" s="505">
        <v>43100000</v>
      </c>
      <c r="E138" s="539">
        <v>32.840000000000003</v>
      </c>
      <c r="F138" s="31">
        <f t="shared" si="4"/>
        <v>522604.36954661197</v>
      </c>
      <c r="G138" s="31">
        <f t="shared" si="5"/>
        <v>1415404.0000000002</v>
      </c>
      <c r="H138" s="209">
        <f>F138*cnst_carbon!$C$11/10^6</f>
        <v>2.9313627906612131E-2</v>
      </c>
      <c r="I138" s="209">
        <f>G138*carbon_intensity_n!$C$9</f>
        <v>6.5847691850460618E-2</v>
      </c>
      <c r="J138" s="233">
        <f>H138*cnst_carbon!$C$13*1000000</f>
        <v>9869.0522446172854</v>
      </c>
      <c r="K138" s="30">
        <f>I138*cnst_carbon!$C$13*1000000</f>
        <v>22169.01685216081</v>
      </c>
    </row>
    <row r="139" spans="1:11" ht="12.5">
      <c r="A139" s="14" t="s">
        <v>348</v>
      </c>
      <c r="B139" s="770" t="s">
        <v>7727</v>
      </c>
      <c r="C139" s="502">
        <v>10917854.1261792</v>
      </c>
      <c r="D139" s="505">
        <v>47677702.845102198</v>
      </c>
      <c r="E139" s="539">
        <v>32.840000000000003</v>
      </c>
      <c r="F139" s="31">
        <f t="shared" si="4"/>
        <v>358542.32950372493</v>
      </c>
      <c r="G139" s="31">
        <f t="shared" si="5"/>
        <v>1565735.7614331562</v>
      </c>
      <c r="H139" s="209">
        <f>F139*cnst_carbon!$C$11/10^6</f>
        <v>2.0111153002720338E-2</v>
      </c>
      <c r="I139" s="209">
        <f>G139*carbon_intensity_n!$C$9</f>
        <v>7.284145441025798E-2</v>
      </c>
      <c r="J139" s="233">
        <f>H139*cnst_carbon!$C$13*1000000</f>
        <v>6770.8446158781026</v>
      </c>
      <c r="K139" s="30">
        <f>I139*cnst_carbon!$C$13*1000000</f>
        <v>24523.61479919689</v>
      </c>
    </row>
    <row r="140" spans="1:11" ht="12.5">
      <c r="A140" s="14" t="s">
        <v>386</v>
      </c>
      <c r="B140" s="770" t="s">
        <v>7728</v>
      </c>
      <c r="C140" s="502">
        <v>22600.663317795999</v>
      </c>
      <c r="D140" s="505">
        <v>522060000</v>
      </c>
      <c r="E140" s="539">
        <v>50</v>
      </c>
      <c r="F140" s="31">
        <f t="shared" si="4"/>
        <v>1130.0331658898001</v>
      </c>
      <c r="G140" s="31">
        <f t="shared" si="5"/>
        <v>26103000</v>
      </c>
      <c r="H140" s="209">
        <f>F140*cnst_carbon!$C$11/10^6</f>
        <v>6.3385179453747357E-5</v>
      </c>
      <c r="I140" s="209">
        <f>G140*carbon_intensity_n!$C$9</f>
        <v>1.2143686893442249</v>
      </c>
      <c r="J140" s="233">
        <f>H140*cnst_carbon!$C$13*1000000</f>
        <v>21.339960019836788</v>
      </c>
      <c r="K140" s="30">
        <f>I140*cnst_carbon!$C$13*1000000</f>
        <v>408842.87941248831</v>
      </c>
    </row>
    <row r="141" spans="1:11" ht="12.5">
      <c r="A141" s="14" t="s">
        <v>387</v>
      </c>
      <c r="B141" s="770" t="s">
        <v>7729</v>
      </c>
      <c r="C141" s="502">
        <v>334278681.98710603</v>
      </c>
      <c r="D141" s="505">
        <v>6906240000</v>
      </c>
      <c r="E141" s="539">
        <v>30</v>
      </c>
      <c r="F141" s="31">
        <f t="shared" si="4"/>
        <v>10028360.45961318</v>
      </c>
      <c r="G141" s="31">
        <f t="shared" si="5"/>
        <v>207187200</v>
      </c>
      <c r="H141" s="209">
        <f>F141*cnst_carbon!$C$11/10^6</f>
        <v>0.56250510741331095</v>
      </c>
      <c r="I141" s="209">
        <f>G141*carbon_intensity_n!$C$9</f>
        <v>9.6388019964333527</v>
      </c>
      <c r="J141" s="233">
        <f>H141*cnst_carbon!$C$13*1000000</f>
        <v>189379.23039112551</v>
      </c>
      <c r="K141" s="30">
        <f>I141*cnst_carbon!$C$13*1000000</f>
        <v>3245106.3642267594</v>
      </c>
    </row>
    <row r="142" spans="1:11" ht="12.5">
      <c r="A142" s="14" t="s">
        <v>388</v>
      </c>
      <c r="B142" s="770" t="s">
        <v>7730</v>
      </c>
      <c r="C142" s="502">
        <v>5302214.9333829796</v>
      </c>
      <c r="D142" s="505">
        <v>271447000</v>
      </c>
      <c r="E142" s="539">
        <v>30</v>
      </c>
      <c r="F142" s="31">
        <f t="shared" si="4"/>
        <v>159066.44800148939</v>
      </c>
      <c r="G142" s="31">
        <f t="shared" si="5"/>
        <v>8143410</v>
      </c>
      <c r="H142" s="209">
        <f>F142*cnst_carbon!$C$11/10^6</f>
        <v>8.9222649883072651E-3</v>
      </c>
      <c r="I142" s="209">
        <f>G142*carbon_intensity_n!$C$9</f>
        <v>0.37884925596646568</v>
      </c>
      <c r="J142" s="233">
        <f>H142*cnst_carbon!$C$13*1000000</f>
        <v>3003.8690396988382</v>
      </c>
      <c r="K142" s="30">
        <f>I142*cnst_carbon!$C$13*1000000</f>
        <v>127547.60727259131</v>
      </c>
    </row>
    <row r="143" spans="1:11" ht="12.5">
      <c r="A143" s="14" t="s">
        <v>2727</v>
      </c>
      <c r="B143" s="770" t="s">
        <v>7731</v>
      </c>
      <c r="C143" s="502">
        <v>2152291.8956230199</v>
      </c>
      <c r="D143" s="505">
        <v>2006544000</v>
      </c>
      <c r="E143" s="539">
        <v>30</v>
      </c>
      <c r="F143" s="31">
        <f t="shared" si="4"/>
        <v>64568.756868690594</v>
      </c>
      <c r="G143" s="31">
        <f t="shared" si="5"/>
        <v>60196320</v>
      </c>
      <c r="H143" s="209">
        <f>F143*cnst_carbon!$C$11/10^6</f>
        <v>3.6217540907347609E-3</v>
      </c>
      <c r="I143" s="209">
        <f>G143*carbon_intensity_n!$C$9</f>
        <v>2.8004645528002738</v>
      </c>
      <c r="J143" s="233">
        <f>H143*cnst_carbon!$C$13*1000000</f>
        <v>1219.3400439034465</v>
      </c>
      <c r="K143" s="30">
        <f>I143*cnst_carbon!$C$13*1000000</f>
        <v>942835.56674847938</v>
      </c>
    </row>
    <row r="144" spans="1:11" ht="12.5">
      <c r="A144" s="14" t="s">
        <v>2575</v>
      </c>
      <c r="B144" s="770" t="s">
        <v>7732</v>
      </c>
      <c r="C144" s="502">
        <v>821</v>
      </c>
      <c r="D144" s="505">
        <v>2</v>
      </c>
      <c r="E144" s="539">
        <v>70</v>
      </c>
      <c r="F144" s="31">
        <f t="shared" si="4"/>
        <v>57.47</v>
      </c>
      <c r="G144" s="31">
        <f t="shared" si="5"/>
        <v>0.14000000000000001</v>
      </c>
      <c r="H144" s="209">
        <f>F144*cnst_carbon!$C$11/10^6</f>
        <v>3.2235746464472335E-6</v>
      </c>
      <c r="I144" s="209">
        <f>G144*carbon_intensity_n!$C$9</f>
        <v>6.5131064057078309E-9</v>
      </c>
      <c r="J144" s="233">
        <f>H144*cnst_carbon!$C$13*1000000</f>
        <v>1.085284520277185</v>
      </c>
      <c r="K144" s="30">
        <f>I144*cnst_carbon!$C$13*1000000</f>
        <v>2.1927748962858053E-3</v>
      </c>
    </row>
    <row r="145" spans="1:11" ht="12.5">
      <c r="A145" s="14" t="s">
        <v>2795</v>
      </c>
      <c r="B145" s="770" t="s">
        <v>7733</v>
      </c>
      <c r="C145" s="502">
        <v>2229</v>
      </c>
      <c r="D145" s="505">
        <v>768</v>
      </c>
      <c r="E145" s="539">
        <v>70</v>
      </c>
      <c r="F145" s="31">
        <f t="shared" si="4"/>
        <v>156.03</v>
      </c>
      <c r="G145" s="31">
        <f t="shared" si="5"/>
        <v>53.76</v>
      </c>
      <c r="H145" s="209">
        <f>F145*cnst_carbon!$C$11/10^6</f>
        <v>8.7519462690997373E-6</v>
      </c>
      <c r="I145" s="209">
        <f>G145*carbon_intensity_n!$C$9</f>
        <v>2.5010328597918065E-6</v>
      </c>
      <c r="J145" s="233">
        <f>H145*cnst_carbon!$C$13*1000000</f>
        <v>2.9465276439681429</v>
      </c>
      <c r="K145" s="30">
        <f>I145*cnst_carbon!$C$13*1000000</f>
        <v>0.84202556017374908</v>
      </c>
    </row>
    <row r="146" spans="1:11" ht="12.5">
      <c r="A146" s="14" t="s">
        <v>1140</v>
      </c>
      <c r="B146" s="770" t="s">
        <v>7734</v>
      </c>
      <c r="C146" s="502">
        <v>1538.6995289367401</v>
      </c>
      <c r="D146" s="505">
        <v>14.360362549929199</v>
      </c>
      <c r="E146" s="539">
        <v>70</v>
      </c>
      <c r="F146" s="31">
        <f t="shared" si="4"/>
        <v>107.70896702557181</v>
      </c>
      <c r="G146" s="31">
        <f t="shared" si="5"/>
        <v>1.005225378495044</v>
      </c>
      <c r="H146" s="209">
        <f>F146*cnst_carbon!$C$11/10^6</f>
        <v>6.0415502923030171E-6</v>
      </c>
      <c r="I146" s="209">
        <f>G146*carbon_intensity_n!$C$9</f>
        <v>4.6765284656115347E-8</v>
      </c>
      <c r="J146" s="233">
        <f>H146*cnst_carbon!$C$13*1000000</f>
        <v>2.0340155665199031</v>
      </c>
      <c r="K146" s="30">
        <f>I146*cnst_carbon!$C$13*1000000</f>
        <v>1.5744521250523776E-2</v>
      </c>
    </row>
    <row r="147" spans="1:11" ht="12.5">
      <c r="A147" s="14" t="s">
        <v>86</v>
      </c>
      <c r="B147" s="770" t="s">
        <v>7735</v>
      </c>
      <c r="C147" s="502">
        <v>6416</v>
      </c>
      <c r="D147" s="505">
        <v>1278083</v>
      </c>
      <c r="E147" s="539">
        <v>20</v>
      </c>
      <c r="F147" s="31">
        <f t="shared" si="4"/>
        <v>128.32</v>
      </c>
      <c r="G147" s="31">
        <f t="shared" si="5"/>
        <v>25561.66</v>
      </c>
      <c r="H147" s="209">
        <f>F147*cnst_carbon!$C$11/10^6</f>
        <v>7.1976526645573171E-6</v>
      </c>
      <c r="I147" s="209">
        <f>G147*carbon_intensity_n!$C$9</f>
        <v>1.1891843677608973E-3</v>
      </c>
      <c r="J147" s="233">
        <f>H147*cnst_carbon!$C$13*1000000</f>
        <v>2.4232418590911493</v>
      </c>
      <c r="K147" s="30">
        <f>I147*cnst_carbon!$C$13*1000000</f>
        <v>400.36404539566433</v>
      </c>
    </row>
    <row r="148" spans="1:11" ht="12.5">
      <c r="A148" s="14" t="s">
        <v>87</v>
      </c>
      <c r="B148" s="770" t="s">
        <v>7736</v>
      </c>
      <c r="C148" s="502">
        <v>473809.93151690502</v>
      </c>
      <c r="D148" s="505">
        <v>45911</v>
      </c>
      <c r="E148" s="539">
        <v>20</v>
      </c>
      <c r="F148" s="31">
        <f t="shared" si="4"/>
        <v>9476.1986303381</v>
      </c>
      <c r="G148" s="31">
        <f t="shared" si="5"/>
        <v>918.22</v>
      </c>
      <c r="H148" s="209">
        <f>F148*cnst_carbon!$C$11/10^6</f>
        <v>5.3153355923883595E-4</v>
      </c>
      <c r="I148" s="209">
        <f>G148*carbon_intensity_n!$C$9</f>
        <v>4.2717604027493168E-5</v>
      </c>
      <c r="J148" s="233">
        <f>H148*cnst_carbon!$C$13*1000000</f>
        <v>178.9520042557474</v>
      </c>
      <c r="K148" s="30">
        <f>I148*cnst_carbon!$C$13*1000000</f>
        <v>14.381784037625369</v>
      </c>
    </row>
    <row r="149" spans="1:11" ht="12.5">
      <c r="A149" s="14" t="s">
        <v>88</v>
      </c>
      <c r="B149" s="770" t="s">
        <v>7737</v>
      </c>
      <c r="C149" s="502">
        <v>56134</v>
      </c>
      <c r="D149" s="505">
        <v>12334</v>
      </c>
      <c r="E149" s="539">
        <v>20</v>
      </c>
      <c r="F149" s="31">
        <f t="shared" si="4"/>
        <v>1122.68</v>
      </c>
      <c r="G149" s="31">
        <f t="shared" si="5"/>
        <v>246.68</v>
      </c>
      <c r="H149" s="209">
        <f>F149*cnst_carbon!$C$11/10^6</f>
        <v>6.2972729842933369E-5</v>
      </c>
      <c r="I149" s="209">
        <f>G149*carbon_intensity_n!$C$9</f>
        <v>1.1476093486857197E-5</v>
      </c>
      <c r="J149" s="233">
        <f>H149*cnst_carbon!$C$13*1000000</f>
        <v>21.201100143114495</v>
      </c>
      <c r="K149" s="30">
        <f>I149*cnst_carbon!$C$13*1000000</f>
        <v>3.8636693672555884</v>
      </c>
    </row>
    <row r="150" spans="1:11" ht="12.5">
      <c r="A150" s="14" t="s">
        <v>5139</v>
      </c>
      <c r="B150" s="770" t="s">
        <v>7738</v>
      </c>
      <c r="C150" s="502">
        <v>9799.9850942046305</v>
      </c>
      <c r="D150" s="505">
        <v>2528</v>
      </c>
      <c r="E150" s="539">
        <v>20</v>
      </c>
      <c r="F150" s="31">
        <f t="shared" si="4"/>
        <v>195.99970188409262</v>
      </c>
      <c r="G150" s="31">
        <f t="shared" si="5"/>
        <v>50.56</v>
      </c>
      <c r="H150" s="209">
        <f>F150*cnst_carbon!$C$11/10^6</f>
        <v>1.0993904118753734E-5</v>
      </c>
      <c r="I150" s="209">
        <f>G150*carbon_intensity_n!$C$9</f>
        <v>2.3521618562327708E-6</v>
      </c>
      <c r="J150" s="233">
        <f>H150*cnst_carbon!$C$13*1000000</f>
        <v>3.7013301276100354</v>
      </c>
      <c r="K150" s="30">
        <f>I150*cnst_carbon!$C$13*1000000</f>
        <v>0.79190499111578794</v>
      </c>
    </row>
    <row r="151" spans="1:11" ht="12.5">
      <c r="A151" s="14" t="s">
        <v>2984</v>
      </c>
      <c r="B151" s="770" t="s">
        <v>7739</v>
      </c>
      <c r="C151" s="502">
        <v>8663</v>
      </c>
      <c r="D151" s="505">
        <v>1156</v>
      </c>
      <c r="E151" s="539">
        <v>106</v>
      </c>
      <c r="F151" s="31">
        <f t="shared" si="4"/>
        <v>918.27800000000002</v>
      </c>
      <c r="G151" s="31">
        <f t="shared" si="5"/>
        <v>122.536</v>
      </c>
      <c r="H151" s="209">
        <f>F151*cnst_carbon!$C$11/10^6</f>
        <v>5.150752878354399E-5</v>
      </c>
      <c r="I151" s="209">
        <f>G151*carbon_intensity_n!$C$9</f>
        <v>5.7006429037843902E-6</v>
      </c>
      <c r="J151" s="233">
        <f>H151*cnst_carbon!$C$13*1000000</f>
        <v>17.341097941727735</v>
      </c>
      <c r="K151" s="30">
        <f>I151*cnst_carbon!$C$13*1000000</f>
        <v>1.919241890651981</v>
      </c>
    </row>
    <row r="152" spans="1:11" ht="12.5">
      <c r="A152" s="14" t="s">
        <v>2985</v>
      </c>
      <c r="B152" s="770" t="s">
        <v>7740</v>
      </c>
      <c r="C152" s="502">
        <v>95076</v>
      </c>
      <c r="D152" s="505">
        <v>2628</v>
      </c>
      <c r="E152" s="539">
        <v>106</v>
      </c>
      <c r="F152" s="31">
        <f t="shared" si="4"/>
        <v>10078.056</v>
      </c>
      <c r="G152" s="31">
        <f t="shared" si="5"/>
        <v>278.56799999999998</v>
      </c>
      <c r="H152" s="209">
        <f>F152*cnst_carbon!$C$11/10^6</f>
        <v>5.6529260148034492E-4</v>
      </c>
      <c r="I152" s="209">
        <f>G152*carbon_intensity_n!$C$9</f>
        <v>1.295959303732299E-5</v>
      </c>
      <c r="J152" s="233">
        <f>H152*cnst_carbon!$C$13*1000000</f>
        <v>190.31769916976867</v>
      </c>
      <c r="K152" s="30">
        <f>I152*cnst_carbon!$C$13*1000000</f>
        <v>4.3631208379181716</v>
      </c>
    </row>
    <row r="153" spans="1:11" ht="12.5">
      <c r="A153" s="14" t="s">
        <v>2986</v>
      </c>
      <c r="B153" s="770" t="s">
        <v>7741</v>
      </c>
      <c r="C153" s="502">
        <v>313768.04466398299</v>
      </c>
      <c r="D153" s="505">
        <v>5939</v>
      </c>
      <c r="E153" s="539">
        <v>106</v>
      </c>
      <c r="F153" s="31">
        <f t="shared" si="4"/>
        <v>33259.412734382197</v>
      </c>
      <c r="G153" s="31">
        <f t="shared" si="5"/>
        <v>629.53399999999999</v>
      </c>
      <c r="H153" s="209">
        <f>F153*cnst_carbon!$C$11/10^6</f>
        <v>1.8655681163438091E-3</v>
      </c>
      <c r="I153" s="209">
        <f>G153*carbon_intensity_n!$C$9</f>
        <v>2.9287299485791949E-5</v>
      </c>
      <c r="J153" s="233">
        <f>H153*cnst_carbon!$C$13*1000000</f>
        <v>628.08292664233306</v>
      </c>
      <c r="K153" s="30">
        <f>I153*cnst_carbon!$C$13*1000000</f>
        <v>9.8601882254170565</v>
      </c>
    </row>
    <row r="154" spans="1:11" ht="12.5">
      <c r="A154" s="14" t="s">
        <v>1532</v>
      </c>
      <c r="B154" s="770" t="s">
        <v>7742</v>
      </c>
      <c r="C154" s="502">
        <v>150982</v>
      </c>
      <c r="D154" s="505">
        <v>193254</v>
      </c>
      <c r="E154" s="539">
        <v>20</v>
      </c>
      <c r="F154" s="31">
        <f t="shared" si="4"/>
        <v>3019.64</v>
      </c>
      <c r="G154" s="31">
        <f t="shared" si="5"/>
        <v>3865.08</v>
      </c>
      <c r="H154" s="209">
        <f>F154*cnst_carbon!$C$11/10^6</f>
        <v>1.6937593432047893E-4</v>
      </c>
      <c r="I154" s="209">
        <f>G154*carbon_intensity_n!$C$9</f>
        <v>1.7981198076123727E-4</v>
      </c>
      <c r="J154" s="233">
        <f>H154*cnst_carbon!$C$13*1000000</f>
        <v>57.02398727701059</v>
      </c>
      <c r="K154" s="30">
        <f>I154*cnst_carbon!$C$13*1000000</f>
        <v>60.537502829545268</v>
      </c>
    </row>
    <row r="155" spans="1:11" ht="12.5">
      <c r="A155" s="14" t="s">
        <v>854</v>
      </c>
      <c r="B155" s="770" t="s">
        <v>7743</v>
      </c>
      <c r="C155" s="502">
        <v>143353.81695708499</v>
      </c>
      <c r="D155" s="505">
        <v>811</v>
      </c>
      <c r="E155" s="539">
        <v>27.1</v>
      </c>
      <c r="F155" s="31">
        <f t="shared" si="4"/>
        <v>3884.8884395370033</v>
      </c>
      <c r="G155" s="31">
        <f t="shared" si="5"/>
        <v>21.978100000000001</v>
      </c>
      <c r="H155" s="209">
        <f>F155*cnst_carbon!$C$11/10^6</f>
        <v>2.1790895907373311E-4</v>
      </c>
      <c r="I155" s="209">
        <f>G155*carbon_intensity_n!$C$9</f>
        <v>1.0224693135377661E-6</v>
      </c>
      <c r="J155" s="233">
        <f>H155*cnst_carbon!$C$13*1000000</f>
        <v>73.363655584362249</v>
      </c>
      <c r="K155" s="30">
        <f>I155*cnst_carbon!$C$13*1000000</f>
        <v>0.3442358996289932</v>
      </c>
    </row>
    <row r="156" spans="1:11" ht="12.5">
      <c r="A156" s="14" t="s">
        <v>4078</v>
      </c>
      <c r="B156" s="770" t="s">
        <v>7744</v>
      </c>
      <c r="C156" s="502">
        <v>91780</v>
      </c>
      <c r="D156" s="505">
        <v>3060</v>
      </c>
      <c r="E156" s="539">
        <v>143</v>
      </c>
      <c r="F156" s="31">
        <f t="shared" si="4"/>
        <v>13124.54</v>
      </c>
      <c r="G156" s="31">
        <f t="shared" si="5"/>
        <v>437.58</v>
      </c>
      <c r="H156" s="209">
        <f>F156*cnst_carbon!$C$11/10^6</f>
        <v>7.3617425422450985E-4</v>
      </c>
      <c r="I156" s="209">
        <f>G156*carbon_intensity_n!$C$9</f>
        <v>2.0357179292925943E-5</v>
      </c>
      <c r="J156" s="233">
        <f>H156*cnst_carbon!$C$13*1000000</f>
        <v>247.84861837060603</v>
      </c>
      <c r="K156" s="30">
        <f>I156*cnst_carbon!$C$13*1000000</f>
        <v>6.8536745651195883</v>
      </c>
    </row>
    <row r="157" spans="1:11" ht="12.5">
      <c r="A157" s="14" t="s">
        <v>4079</v>
      </c>
      <c r="B157" s="770" t="s">
        <v>7745</v>
      </c>
      <c r="C157" s="502">
        <v>7857650</v>
      </c>
      <c r="D157" s="505">
        <v>357371</v>
      </c>
      <c r="E157" s="539">
        <v>5</v>
      </c>
      <c r="F157" s="31">
        <f t="shared" si="4"/>
        <v>39288.25</v>
      </c>
      <c r="G157" s="31">
        <f t="shared" si="5"/>
        <v>1786.855</v>
      </c>
      <c r="H157" s="209">
        <f>F157*cnst_carbon!$C$11/10^6</f>
        <v>2.2037342370502967E-3</v>
      </c>
      <c r="I157" s="209">
        <f>G157*carbon_intensity_n!$C$9</f>
        <v>8.3128405332650468E-5</v>
      </c>
      <c r="J157" s="233">
        <f>H157*cnst_carbon!$C$13*1000000</f>
        <v>741.93369677710325</v>
      </c>
      <c r="K157" s="30">
        <f>I157*cnst_carbon!$C$13*1000000</f>
        <v>27.986934195019799</v>
      </c>
    </row>
    <row r="158" spans="1:11" ht="12.5">
      <c r="A158" s="14" t="s">
        <v>4080</v>
      </c>
      <c r="B158" s="770" t="s">
        <v>7746</v>
      </c>
      <c r="C158" s="502">
        <v>31844.2535320684</v>
      </c>
      <c r="D158" s="505">
        <v>1126</v>
      </c>
      <c r="E158" s="539">
        <v>143</v>
      </c>
      <c r="F158" s="31">
        <f t="shared" si="4"/>
        <v>4553.7282550857808</v>
      </c>
      <c r="G158" s="31">
        <f t="shared" si="5"/>
        <v>161.018</v>
      </c>
      <c r="H158" s="209">
        <f>F158*cnst_carbon!$C$11/10^6</f>
        <v>2.5542514268148467E-4</v>
      </c>
      <c r="I158" s="209">
        <f>G158*carbon_intensity_n!$C$9</f>
        <v>7.4909097659590237E-6</v>
      </c>
      <c r="J158" s="233">
        <f>H158*cnst_carbon!$C$13*1000000</f>
        <v>85.994271529379404</v>
      </c>
      <c r="K158" s="30">
        <f>I158*cnst_carbon!$C$13*1000000</f>
        <v>2.5219730589296265</v>
      </c>
    </row>
    <row r="159" spans="1:11" ht="12.5">
      <c r="A159" s="14" t="s">
        <v>363</v>
      </c>
      <c r="B159" s="770" t="s">
        <v>7747</v>
      </c>
      <c r="C159" s="502">
        <v>249352.38934012101</v>
      </c>
      <c r="D159" s="505">
        <v>4364.5615845192197</v>
      </c>
      <c r="E159" s="539">
        <v>20</v>
      </c>
      <c r="F159" s="31">
        <f t="shared" si="4"/>
        <v>4987.04778680242</v>
      </c>
      <c r="G159" s="31">
        <f t="shared" si="5"/>
        <v>87.291231690384393</v>
      </c>
      <c r="H159" s="209">
        <f>F159*cnst_carbon!$C$11/10^6</f>
        <v>2.7973065610156729E-4</v>
      </c>
      <c r="I159" s="209">
        <f>G159*carbon_intensity_n!$C$9</f>
        <v>4.0609791448912069E-6</v>
      </c>
      <c r="J159" s="233">
        <f>H159*cnst_carbon!$C$13*1000000</f>
        <v>94.177236208443745</v>
      </c>
      <c r="K159" s="30">
        <f>I159*cnst_carbon!$C$13*1000000</f>
        <v>1.3672144394038772</v>
      </c>
    </row>
    <row r="160" spans="1:11" ht="12.5">
      <c r="A160" s="14" t="s">
        <v>2441</v>
      </c>
      <c r="B160" s="770" t="s">
        <v>7748</v>
      </c>
      <c r="C160" s="502">
        <v>340942</v>
      </c>
      <c r="D160" s="505">
        <v>11089888</v>
      </c>
      <c r="E160" s="539">
        <v>33.5</v>
      </c>
      <c r="F160" s="31">
        <f t="shared" si="4"/>
        <v>11421.557000000001</v>
      </c>
      <c r="G160" s="31">
        <f t="shared" si="5"/>
        <v>371511.24800000002</v>
      </c>
      <c r="H160" s="209">
        <f>F160*cnst_carbon!$C$11/10^6</f>
        <v>6.4065149761879123E-4</v>
      </c>
      <c r="I160" s="209">
        <f>G160*carbon_intensity_n!$C$9</f>
        <v>1.7283516351009359E-2</v>
      </c>
      <c r="J160" s="233">
        <f>H160*cnst_carbon!$C$13*1000000</f>
        <v>215.68886392141161</v>
      </c>
      <c r="K160" s="30">
        <f>I160*cnst_carbon!$C$13*1000000</f>
        <v>5818.8609878729276</v>
      </c>
    </row>
    <row r="161" spans="1:11" ht="12.5">
      <c r="A161" s="14" t="s">
        <v>2442</v>
      </c>
      <c r="B161" s="770" t="s">
        <v>7749</v>
      </c>
      <c r="C161" s="502">
        <v>56094.496790073303</v>
      </c>
      <c r="D161" s="505">
        <v>41000</v>
      </c>
      <c r="E161" s="539">
        <v>20</v>
      </c>
      <c r="F161" s="31">
        <f t="shared" si="4"/>
        <v>1121.889935801466</v>
      </c>
      <c r="G161" s="31">
        <f t="shared" si="5"/>
        <v>820</v>
      </c>
      <c r="H161" s="209">
        <f>F161*cnst_carbon!$C$11/10^6</f>
        <v>6.2928414009986441E-5</v>
      </c>
      <c r="I161" s="209">
        <f>G161*carbon_intensity_n!$C$9</f>
        <v>3.8148194662003003E-5</v>
      </c>
      <c r="J161" s="233">
        <f>H161*cnst_carbon!$C$13*1000000</f>
        <v>21.186180281539862</v>
      </c>
      <c r="K161" s="30">
        <f>I161*cnst_carbon!$C$13*1000000</f>
        <v>12.843395821102572</v>
      </c>
    </row>
    <row r="162" spans="1:11" ht="12.5">
      <c r="A162" s="14" t="s">
        <v>2443</v>
      </c>
      <c r="B162" s="770" t="s">
        <v>7750</v>
      </c>
      <c r="C162" s="502">
        <v>2648.5241276292099</v>
      </c>
      <c r="D162" s="505">
        <v>396.30192859581001</v>
      </c>
      <c r="E162" s="539">
        <v>20</v>
      </c>
      <c r="F162" s="31">
        <f t="shared" si="4"/>
        <v>52.970482552584201</v>
      </c>
      <c r="G162" s="31">
        <f t="shared" si="5"/>
        <v>7.9260385719162008</v>
      </c>
      <c r="H162" s="209">
        <f>F162*cnst_carbon!$C$11/10^6</f>
        <v>2.9711902656444402E-6</v>
      </c>
      <c r="I162" s="209">
        <f>G162*carbon_intensity_n!$C$9</f>
        <v>3.6873666139024821E-7</v>
      </c>
      <c r="J162" s="233">
        <f>H162*cnst_carbon!$C$13*1000000</f>
        <v>1.0003139854869036</v>
      </c>
      <c r="K162" s="30">
        <f>I162*cnst_carbon!$C$13*1000000</f>
        <v>0.12414298862493454</v>
      </c>
    </row>
    <row r="163" spans="1:11" ht="12.5">
      <c r="A163" s="14" t="s">
        <v>2083</v>
      </c>
      <c r="B163" s="770" t="s">
        <v>7751</v>
      </c>
      <c r="C163" s="502">
        <v>32321.605830717101</v>
      </c>
      <c r="D163" s="505">
        <v>1670.4222387140901</v>
      </c>
      <c r="E163" s="539">
        <v>20</v>
      </c>
      <c r="F163" s="31">
        <f t="shared" si="4"/>
        <v>646.43211661434202</v>
      </c>
      <c r="G163" s="31">
        <f t="shared" si="5"/>
        <v>33.408444774281804</v>
      </c>
      <c r="H163" s="209">
        <f>F163*cnst_carbon!$C$11/10^6</f>
        <v>3.6259303667430217E-5</v>
      </c>
      <c r="I163" s="209">
        <f>G163*carbon_intensity_n!$C$9</f>
        <v>1.5542339690293649E-6</v>
      </c>
      <c r="J163" s="233">
        <f>H163*cnst_carbon!$C$13*1000000</f>
        <v>12.207460754681774</v>
      </c>
      <c r="K163" s="30">
        <f>I163*cnst_carbon!$C$13*1000000</f>
        <v>0.52326570732139865</v>
      </c>
    </row>
    <row r="164" spans="1:11" ht="12.5">
      <c r="A164" s="14" t="s">
        <v>2084</v>
      </c>
      <c r="B164" s="770" t="s">
        <v>7752</v>
      </c>
      <c r="C164" s="502">
        <v>2759.2672723866499</v>
      </c>
      <c r="D164" s="505">
        <v>1.45696129070835</v>
      </c>
      <c r="E164" s="539">
        <v>20</v>
      </c>
      <c r="F164" s="31">
        <f t="shared" si="4"/>
        <v>55.185345447732992</v>
      </c>
      <c r="G164" s="31">
        <f t="shared" si="5"/>
        <v>2.9139225814166999E-2</v>
      </c>
      <c r="H164" s="209">
        <f>F164*cnst_carbon!$C$11/10^6</f>
        <v>3.0954250990211302E-6</v>
      </c>
      <c r="I164" s="209">
        <f>G164*carbon_intensity_n!$C$9</f>
        <v>1.3556205593401288E-9</v>
      </c>
      <c r="J164" s="233">
        <f>H164*cnst_carbon!$C$13*1000000</f>
        <v>1.0421402672798614</v>
      </c>
      <c r="K164" s="30">
        <f>I164*cnst_carbon!$C$13*1000000</f>
        <v>4.5639830616077637E-4</v>
      </c>
    </row>
    <row r="165" spans="1:11" ht="12.5">
      <c r="A165" s="14" t="s">
        <v>89</v>
      </c>
      <c r="B165" s="770" t="s">
        <v>7753</v>
      </c>
      <c r="C165" s="502">
        <v>569877.41472739005</v>
      </c>
      <c r="D165" s="505">
        <v>244879.97157622699</v>
      </c>
      <c r="E165" s="539">
        <v>25.84</v>
      </c>
      <c r="F165" s="31">
        <f t="shared" si="4"/>
        <v>14725.632396555759</v>
      </c>
      <c r="G165" s="31">
        <f t="shared" si="5"/>
        <v>6327.6984655297056</v>
      </c>
      <c r="H165" s="209">
        <f>F165*cnst_carbon!$C$11/10^6</f>
        <v>8.2598182088810092E-4</v>
      </c>
      <c r="I165" s="209">
        <f>G165*carbon_intensity_n!$C$9</f>
        <v>2.943783814944938E-4</v>
      </c>
      <c r="J165" s="233">
        <f>H165*cnst_carbon!$C$13*1000000</f>
        <v>278.08423336130483</v>
      </c>
      <c r="K165" s="30">
        <f>I165*cnst_carbon!$C$13*1000000</f>
        <v>99.108702474855335</v>
      </c>
    </row>
    <row r="166" spans="1:11" ht="12.5">
      <c r="A166" s="14" t="s">
        <v>4528</v>
      </c>
      <c r="B166" s="770" t="s">
        <v>7754</v>
      </c>
      <c r="C166" s="502">
        <v>59443717.783881098</v>
      </c>
      <c r="D166" s="505">
        <v>870210</v>
      </c>
      <c r="E166" s="539">
        <v>70</v>
      </c>
      <c r="F166" s="31">
        <f t="shared" si="4"/>
        <v>4161060.2448716769</v>
      </c>
      <c r="G166" s="31">
        <f t="shared" si="5"/>
        <v>60914.7</v>
      </c>
      <c r="H166" s="209">
        <f>F166*cnst_carbon!$C$11/10^6</f>
        <v>0.2333998313504064</v>
      </c>
      <c r="I166" s="209">
        <f>G166*carbon_intensity_n!$C$9</f>
        <v>2.8338851626555053E-3</v>
      </c>
      <c r="J166" s="233">
        <f>H166*cnst_carbon!$C$13*1000000</f>
        <v>78578.985065251851</v>
      </c>
      <c r="K166" s="30">
        <f>I166*cnst_carbon!$C$13*1000000</f>
        <v>954.08732124843516</v>
      </c>
    </row>
    <row r="167" spans="1:11" ht="12.5">
      <c r="A167" s="14" t="s">
        <v>1405</v>
      </c>
      <c r="B167" s="770" t="s">
        <v>7755</v>
      </c>
      <c r="C167" s="502">
        <v>5417271</v>
      </c>
      <c r="D167" s="505">
        <v>116338</v>
      </c>
      <c r="E167" s="539">
        <v>20</v>
      </c>
      <c r="F167" s="31">
        <f t="shared" si="4"/>
        <v>108345.42</v>
      </c>
      <c r="G167" s="31">
        <f t="shared" si="5"/>
        <v>2326.7600000000002</v>
      </c>
      <c r="H167" s="209">
        <f>F167*cnst_carbon!$C$11/10^6</f>
        <v>6.0772498515865156E-3</v>
      </c>
      <c r="I167" s="209">
        <f>G167*carbon_intensity_n!$C$9</f>
        <v>1.0824596757531966E-4</v>
      </c>
      <c r="J167" s="233">
        <f>H167*cnst_carbon!$C$13*1000000</f>
        <v>2046.034577500089</v>
      </c>
      <c r="K167" s="30">
        <f>I167*cnst_carbon!$C$13*1000000</f>
        <v>36.443292269156856</v>
      </c>
    </row>
    <row r="168" spans="1:11" ht="12.5">
      <c r="A168" s="14" t="s">
        <v>2395</v>
      </c>
      <c r="B168" s="770" t="s">
        <v>7756</v>
      </c>
      <c r="C168" s="502">
        <v>10221427</v>
      </c>
      <c r="D168" s="505">
        <v>5391976</v>
      </c>
      <c r="E168" s="539">
        <v>70</v>
      </c>
      <c r="F168" s="31">
        <f t="shared" si="4"/>
        <v>715499.89</v>
      </c>
      <c r="G168" s="31">
        <f t="shared" si="5"/>
        <v>377438.32</v>
      </c>
      <c r="H168" s="209">
        <f>F168*cnst_carbon!$C$11/10^6</f>
        <v>4.0133414041061161E-2</v>
      </c>
      <c r="I168" s="209">
        <f>G168*carbon_intensity_n!$C$9</f>
        <v>1.7559256712511441E-2</v>
      </c>
      <c r="J168" s="233">
        <f>H168*cnst_carbon!$C$13*1000000</f>
        <v>13511.761873621519</v>
      </c>
      <c r="K168" s="30">
        <f>I168*cnst_carbon!$C$13*1000000</f>
        <v>5911.6948070877743</v>
      </c>
    </row>
    <row r="169" spans="1:11" ht="12.5">
      <c r="A169" s="14" t="s">
        <v>2295</v>
      </c>
      <c r="B169" s="770" t="s">
        <v>7757</v>
      </c>
      <c r="C169" s="502">
        <v>149987714</v>
      </c>
      <c r="D169" s="505">
        <v>44970106.406246699</v>
      </c>
      <c r="E169" s="539">
        <v>143</v>
      </c>
      <c r="F169" s="31">
        <f t="shared" si="4"/>
        <v>21448243.102000002</v>
      </c>
      <c r="G169" s="31">
        <f t="shared" si="5"/>
        <v>6430725.2160932776</v>
      </c>
      <c r="H169" s="209">
        <f>F169*cnst_carbon!$C$11/10^6</f>
        <v>1.2030626879144593</v>
      </c>
      <c r="I169" s="209">
        <f>G169*carbon_intensity_n!$C$9</f>
        <v>0.29917141141631426</v>
      </c>
      <c r="J169" s="233">
        <f>H169*cnst_carbon!$C$13*1000000</f>
        <v>405036.47513037262</v>
      </c>
      <c r="K169" s="30">
        <f>I169*cnst_carbon!$C$13*1000000</f>
        <v>100722.37727686747</v>
      </c>
    </row>
    <row r="170" spans="1:11" ht="12.5">
      <c r="A170" s="14" t="s">
        <v>2296</v>
      </c>
      <c r="B170" s="770" t="s">
        <v>7758</v>
      </c>
      <c r="C170" s="502">
        <v>4537222.75</v>
      </c>
      <c r="D170" s="505">
        <v>10625834.75</v>
      </c>
      <c r="E170" s="539">
        <v>20</v>
      </c>
      <c r="F170" s="31">
        <f t="shared" si="4"/>
        <v>90744.455000000002</v>
      </c>
      <c r="G170" s="31">
        <f t="shared" si="5"/>
        <v>212516.69500000001</v>
      </c>
      <c r="H170" s="209">
        <f>F170*cnst_carbon!$C$11/10^6</f>
        <v>5.0899865050230021E-3</v>
      </c>
      <c r="I170" s="209">
        <f>G170*carbon_intensity_n!$C$9</f>
        <v>9.8867417680311223E-3</v>
      </c>
      <c r="J170" s="233">
        <f>H170*cnst_carbon!$C$13*1000000</f>
        <v>1713.6515105705516</v>
      </c>
      <c r="K170" s="30">
        <f>I170*cnst_carbon!$C$13*1000000</f>
        <v>3328.5805274116215</v>
      </c>
    </row>
    <row r="171" spans="1:11" ht="12.5">
      <c r="A171" s="14" t="s">
        <v>2297</v>
      </c>
      <c r="B171" s="770" t="s">
        <v>7759</v>
      </c>
      <c r="C171" s="502">
        <v>846353.5</v>
      </c>
      <c r="D171" s="505">
        <v>215915.5</v>
      </c>
      <c r="E171" s="539">
        <v>15</v>
      </c>
      <c r="F171" s="31">
        <f t="shared" si="4"/>
        <v>12695.3025</v>
      </c>
      <c r="G171" s="31">
        <f t="shared" si="5"/>
        <v>3238.7325000000001</v>
      </c>
      <c r="H171" s="209">
        <f>F171*cnst_carbon!$C$11/10^6</f>
        <v>7.1209770781239233E-4</v>
      </c>
      <c r="I171" s="209">
        <f>G171*carbon_intensity_n!$C$9</f>
        <v>1.506729242294581E-4</v>
      </c>
      <c r="J171" s="233">
        <f>H171*cnst_carbon!$C$13*1000000</f>
        <v>239.74274027294675</v>
      </c>
      <c r="K171" s="30">
        <f>I171*cnst_carbon!$C$13*1000000</f>
        <v>50.727223727035465</v>
      </c>
    </row>
    <row r="172" spans="1:11" ht="12.5">
      <c r="A172" s="14" t="s">
        <v>2230</v>
      </c>
      <c r="B172" s="770" t="s">
        <v>7760</v>
      </c>
      <c r="C172" s="502">
        <v>462269656.54352498</v>
      </c>
      <c r="D172" s="505">
        <v>2930000</v>
      </c>
      <c r="E172" s="539">
        <v>15</v>
      </c>
      <c r="F172" s="31">
        <f t="shared" si="4"/>
        <v>6934044.848152875</v>
      </c>
      <c r="G172" s="31">
        <f t="shared" si="5"/>
        <v>43950</v>
      </c>
      <c r="H172" s="209">
        <f>F172*cnst_carbon!$C$11/10^6</f>
        <v>0.38894051104634886</v>
      </c>
      <c r="I172" s="209">
        <f>G172*carbon_intensity_n!$C$9</f>
        <v>2.0446501895061368E-3</v>
      </c>
      <c r="J172" s="233">
        <f>H172*cnst_carbon!$C$13*1000000</f>
        <v>130945.04152789421</v>
      </c>
      <c r="K172" s="30">
        <f>I172*cnst_carbon!$C$13*1000000</f>
        <v>688.37469065543667</v>
      </c>
    </row>
    <row r="173" spans="1:11" ht="12.5">
      <c r="A173" s="14" t="s">
        <v>2231</v>
      </c>
      <c r="B173" s="770" t="s">
        <v>7761</v>
      </c>
      <c r="C173" s="502">
        <v>574.11660173906603</v>
      </c>
      <c r="D173" s="505">
        <v>539016.55422075698</v>
      </c>
      <c r="E173" s="539">
        <v>15</v>
      </c>
      <c r="F173" s="31">
        <f t="shared" si="4"/>
        <v>8.6117490260859899</v>
      </c>
      <c r="G173" s="31">
        <f t="shared" si="5"/>
        <v>8085.2483133113556</v>
      </c>
      <c r="H173" s="209">
        <f>F173*cnst_carbon!$C$11/10^6</f>
        <v>4.830453423013303E-7</v>
      </c>
      <c r="I173" s="209">
        <f>G173*carbon_intensity_n!$C$9</f>
        <v>3.7614344700833297E-4</v>
      </c>
      <c r="J173" s="233">
        <f>H173*cnst_carbon!$C$13*1000000</f>
        <v>0.16262742144637635</v>
      </c>
      <c r="K173" s="30">
        <f>I173*cnst_carbon!$C$13*1000000</f>
        <v>126.63663951190202</v>
      </c>
    </row>
    <row r="174" spans="1:11" ht="12.5">
      <c r="A174" s="14" t="s">
        <v>2232</v>
      </c>
      <c r="B174" s="770" t="s">
        <v>7762</v>
      </c>
      <c r="C174" s="502">
        <v>123636233.55013099</v>
      </c>
      <c r="D174" s="505">
        <v>45038424.097438201</v>
      </c>
      <c r="E174" s="539">
        <v>1.26</v>
      </c>
      <c r="F174" s="31">
        <f t="shared" si="4"/>
        <v>155781.65427316504</v>
      </c>
      <c r="G174" s="31">
        <f t="shared" si="5"/>
        <v>56748.414362772135</v>
      </c>
      <c r="H174" s="209">
        <f>F174*cnst_carbon!$C$11/10^6</f>
        <v>8.7380162014369794E-3</v>
      </c>
      <c r="I174" s="209">
        <f>G174*carbon_intensity_n!$C$9</f>
        <v>2.640060436428096E-3</v>
      </c>
      <c r="J174" s="233">
        <f>H174*cnst_carbon!$C$13*1000000</f>
        <v>2941.8377923410162</v>
      </c>
      <c r="K174" s="30">
        <f>I174*cnst_carbon!$C$13*1000000</f>
        <v>888.83213156222541</v>
      </c>
    </row>
    <row r="175" spans="1:11" ht="12.5">
      <c r="A175" s="14" t="s">
        <v>1383</v>
      </c>
      <c r="B175" s="770" t="s">
        <v>7763</v>
      </c>
      <c r="C175" s="502">
        <v>1206575004.95436</v>
      </c>
      <c r="D175" s="505">
        <v>2746879389</v>
      </c>
      <c r="E175" s="539">
        <v>1.8</v>
      </c>
      <c r="F175" s="31">
        <f t="shared" si="4"/>
        <v>2171835.0089178481</v>
      </c>
      <c r="G175" s="31">
        <f t="shared" si="5"/>
        <v>4944382.9002</v>
      </c>
      <c r="H175" s="209">
        <f>F175*cnst_carbon!$C$11/10^6</f>
        <v>0.12182133758507181</v>
      </c>
      <c r="I175" s="209">
        <f>G175*carbon_intensity_n!$C$9</f>
        <v>0.23002351385403486</v>
      </c>
      <c r="J175" s="233">
        <f>H175*cnst_carbon!$C$13*1000000</f>
        <v>41013.727436481691</v>
      </c>
      <c r="K175" s="30">
        <f>I175*cnst_carbon!$C$13*1000000</f>
        <v>77442.276437024018</v>
      </c>
    </row>
    <row r="176" spans="1:11" ht="12.5">
      <c r="A176" s="14" t="s">
        <v>1384</v>
      </c>
      <c r="B176" s="770" t="s">
        <v>7764</v>
      </c>
      <c r="C176" s="502">
        <v>3221465250</v>
      </c>
      <c r="D176" s="505">
        <v>1541549088.3112299</v>
      </c>
      <c r="E176" s="539">
        <v>8.3000000000000004E-2</v>
      </c>
      <c r="F176" s="31">
        <f t="shared" si="4"/>
        <v>267381.61575</v>
      </c>
      <c r="G176" s="31">
        <f t="shared" si="5"/>
        <v>127948.57432983209</v>
      </c>
      <c r="H176" s="209">
        <f>F176*cnst_carbon!$C$11/10^6</f>
        <v>1.4997817947760507E-2</v>
      </c>
      <c r="I176" s="209">
        <f>G176*carbon_intensity_n!$C$9</f>
        <v>5.9524477076343838E-3</v>
      </c>
      <c r="J176" s="233">
        <f>H176*cnst_carbon!$C$13*1000000</f>
        <v>5049.332322606183</v>
      </c>
      <c r="K176" s="30">
        <f>I176*cnst_carbon!$C$13*1000000</f>
        <v>2004.0172986143866</v>
      </c>
    </row>
    <row r="177" spans="1:11" ht="12.5">
      <c r="A177" s="14" t="s">
        <v>1385</v>
      </c>
      <c r="B177" s="770" t="s">
        <v>7765</v>
      </c>
      <c r="C177" s="502">
        <v>29703831532.364101</v>
      </c>
      <c r="D177" s="505">
        <v>1765871094.7604499</v>
      </c>
      <c r="E177" s="539">
        <v>1.26</v>
      </c>
      <c r="F177" s="31">
        <f t="shared" si="4"/>
        <v>37426827.730778769</v>
      </c>
      <c r="G177" s="31">
        <f t="shared" si="5"/>
        <v>2224997.5793981669</v>
      </c>
      <c r="H177" s="209">
        <f>F177*cnst_carbon!$C$11/10^6</f>
        <v>2.0993243948127143</v>
      </c>
      <c r="I177" s="209">
        <f>G177*carbon_intensity_n!$C$9</f>
        <v>0.10351175705044725</v>
      </c>
      <c r="J177" s="233">
        <f>H177*cnst_carbon!$C$13*1000000</f>
        <v>706781.91716191196</v>
      </c>
      <c r="K177" s="30">
        <f>I177*cnst_carbon!$C$13*1000000</f>
        <v>34849.420260007013</v>
      </c>
    </row>
    <row r="178" spans="1:11" ht="12.5">
      <c r="A178" s="14" t="s">
        <v>3296</v>
      </c>
      <c r="B178" s="770" t="s">
        <v>7766</v>
      </c>
      <c r="C178" s="502">
        <v>64398517.538145803</v>
      </c>
      <c r="D178" s="505">
        <v>2825138000</v>
      </c>
      <c r="E178" s="539">
        <v>1</v>
      </c>
      <c r="F178" s="31">
        <f t="shared" si="4"/>
        <v>64398.517538145803</v>
      </c>
      <c r="G178" s="31">
        <f t="shared" si="5"/>
        <v>2825138</v>
      </c>
      <c r="H178" s="209">
        <f>F178*cnst_carbon!$C$11/10^6</f>
        <v>3.6122051227554263E-3</v>
      </c>
      <c r="I178" s="209">
        <f>G178*carbon_intensity_n!$C$9</f>
        <v>0.13143160289149006</v>
      </c>
      <c r="J178" s="233">
        <f>H178*cnst_carbon!$C$13*1000000</f>
        <v>1216.1251820593084</v>
      </c>
      <c r="K178" s="30">
        <f>I178*cnst_carbon!$C$13*1000000</f>
        <v>44249.226321022048</v>
      </c>
    </row>
    <row r="179" spans="1:11" ht="12.5">
      <c r="A179" s="14" t="s">
        <v>1065</v>
      </c>
      <c r="B179" s="770" t="s">
        <v>7767</v>
      </c>
      <c r="C179" s="502">
        <v>6057850.3546222299</v>
      </c>
      <c r="D179" s="505">
        <v>30000</v>
      </c>
      <c r="E179" s="539">
        <v>2</v>
      </c>
      <c r="F179" s="31">
        <f t="shared" si="4"/>
        <v>12115.70070924446</v>
      </c>
      <c r="G179" s="31">
        <f t="shared" si="5"/>
        <v>60</v>
      </c>
      <c r="H179" s="209">
        <f>F179*cnst_carbon!$C$11/10^6</f>
        <v>6.795870128808632E-4</v>
      </c>
      <c r="I179" s="209">
        <f>G179*carbon_intensity_n!$C$9</f>
        <v>2.7913313167319271E-6</v>
      </c>
      <c r="J179" s="233">
        <f>H179*cnst_carbon!$C$13*1000000</f>
        <v>228.79732785895811</v>
      </c>
      <c r="K179" s="30">
        <f>I179*cnst_carbon!$C$13*1000000</f>
        <v>0.93976066983677342</v>
      </c>
    </row>
    <row r="180" spans="1:11" ht="12.5">
      <c r="A180" s="14" t="s">
        <v>1066</v>
      </c>
      <c r="B180" s="770" t="s">
        <v>7768</v>
      </c>
      <c r="C180" s="502">
        <v>25476.812730248501</v>
      </c>
      <c r="D180" s="505">
        <v>1</v>
      </c>
      <c r="E180" s="539">
        <v>50</v>
      </c>
      <c r="F180" s="31">
        <f t="shared" si="4"/>
        <v>1273.8406365124251</v>
      </c>
      <c r="G180" s="31">
        <f t="shared" si="5"/>
        <v>0.05</v>
      </c>
      <c r="H180" s="209">
        <f>F180*cnst_carbon!$C$11/10^6</f>
        <v>7.1451546536900295E-5</v>
      </c>
      <c r="I180" s="209">
        <f>G180*carbon_intensity_n!$C$9</f>
        <v>2.3261094306099395E-9</v>
      </c>
      <c r="J180" s="233">
        <f>H180*cnst_carbon!$C$13*1000000</f>
        <v>24.055672944266071</v>
      </c>
      <c r="K180" s="30">
        <f>I180*cnst_carbon!$C$13*1000000</f>
        <v>7.8313389153064465E-4</v>
      </c>
    </row>
    <row r="181" spans="1:11" ht="12.5">
      <c r="A181" s="14" t="s">
        <v>1067</v>
      </c>
      <c r="B181" s="770" t="s">
        <v>7769</v>
      </c>
      <c r="C181" s="502">
        <v>48016272.153170504</v>
      </c>
      <c r="D181" s="505">
        <v>9258091</v>
      </c>
      <c r="E181" s="539">
        <v>2</v>
      </c>
      <c r="F181" s="31">
        <f t="shared" si="4"/>
        <v>96032.544306341006</v>
      </c>
      <c r="G181" s="31">
        <f t="shared" si="5"/>
        <v>18516.182000000001</v>
      </c>
      <c r="H181" s="209">
        <f>F181*cnst_carbon!$C$11/10^6</f>
        <v>5.3866030113057517E-3</v>
      </c>
      <c r="I181" s="209">
        <f>G181*carbon_intensity_n!$C$9</f>
        <v>8.6141331138180012E-4</v>
      </c>
      <c r="J181" s="233">
        <f>H181*cnst_carbon!$C$13*1000000</f>
        <v>1813.5137250479349</v>
      </c>
      <c r="K181" s="30">
        <f>I181*cnst_carbon!$C$13*1000000</f>
        <v>290.01299331899344</v>
      </c>
    </row>
    <row r="182" spans="1:11" ht="12.5">
      <c r="A182" s="14" t="s">
        <v>4531</v>
      </c>
      <c r="B182" s="770" t="s">
        <v>7770</v>
      </c>
      <c r="C182" s="502">
        <v>200431214</v>
      </c>
      <c r="D182" s="505">
        <v>89293983</v>
      </c>
      <c r="E182" s="539">
        <v>51</v>
      </c>
      <c r="F182" s="31">
        <f t="shared" si="4"/>
        <v>10221991.914000001</v>
      </c>
      <c r="G182" s="31">
        <f t="shared" si="5"/>
        <v>4553993.1330000004</v>
      </c>
      <c r="H182" s="209">
        <f>F182*cnst_carbon!$C$11/10^6</f>
        <v>0.57336617313657623</v>
      </c>
      <c r="I182" s="209">
        <f>G182*carbon_intensity_n!$C$9</f>
        <v>0.21186172747208409</v>
      </c>
      <c r="J182" s="233">
        <f>H182*cnst_carbon!$C$13*1000000</f>
        <v>193035.83766596057</v>
      </c>
      <c r="K182" s="30">
        <f>I182*cnst_carbon!$C$13*1000000</f>
        <v>71327.727285002446</v>
      </c>
    </row>
    <row r="183" spans="1:11" ht="12.5">
      <c r="A183" s="14" t="s">
        <v>4532</v>
      </c>
      <c r="B183" s="770" t="s">
        <v>7771</v>
      </c>
      <c r="C183" s="502">
        <v>879376126.72752905</v>
      </c>
      <c r="D183" s="505">
        <v>1300852971.1117001</v>
      </c>
      <c r="E183" s="539">
        <v>3</v>
      </c>
      <c r="F183" s="31">
        <f t="shared" si="4"/>
        <v>2638128.3801825871</v>
      </c>
      <c r="G183" s="31">
        <f t="shared" si="5"/>
        <v>3902558.9133351003</v>
      </c>
      <c r="H183" s="209">
        <f>F183*cnst_carbon!$C$11/10^6</f>
        <v>0.14797640091229333</v>
      </c>
      <c r="I183" s="209">
        <f>G183*carbon_intensity_n!$C$9</f>
        <v>0.18155558183639306</v>
      </c>
      <c r="J183" s="233">
        <f>H183*cnst_carbon!$C$13*1000000</f>
        <v>49819.382173587721</v>
      </c>
      <c r="K183" s="30">
        <f>I183*cnst_carbon!$C$13*1000000</f>
        <v>61124.522974554413</v>
      </c>
    </row>
    <row r="184" spans="1:11" ht="12.5">
      <c r="A184" s="14" t="s">
        <v>4533</v>
      </c>
      <c r="B184" s="770" t="s">
        <v>7772</v>
      </c>
      <c r="C184" s="502">
        <v>2309008134.1648598</v>
      </c>
      <c r="D184" s="505">
        <v>1405124550.3833301</v>
      </c>
      <c r="E184" s="539">
        <v>1</v>
      </c>
      <c r="F184" s="31">
        <f t="shared" si="4"/>
        <v>2309008.1341648595</v>
      </c>
      <c r="G184" s="31">
        <f t="shared" si="5"/>
        <v>1405124.5503833301</v>
      </c>
      <c r="H184" s="209">
        <f>F184*cnst_carbon!$C$11/10^6</f>
        <v>0.12951557473002043</v>
      </c>
      <c r="I184" s="209">
        <f>G184*carbon_intensity_n!$C$9</f>
        <v>6.5369469356564291E-2</v>
      </c>
      <c r="J184" s="233">
        <f>H184*cnst_carbon!$C$13*1000000</f>
        <v>43604.154953945144</v>
      </c>
      <c r="K184" s="30">
        <f>I184*cnst_carbon!$C$13*1000000</f>
        <v>22008.013144538887</v>
      </c>
    </row>
    <row r="185" spans="1:11" ht="12.5">
      <c r="A185" s="14" t="s">
        <v>4534</v>
      </c>
      <c r="B185" s="770" t="s">
        <v>7773</v>
      </c>
      <c r="C185" s="502">
        <v>128250</v>
      </c>
      <c r="D185" s="505">
        <v>59787176.629229203</v>
      </c>
      <c r="E185" s="539">
        <v>7.4</v>
      </c>
      <c r="F185" s="31">
        <f t="shared" si="4"/>
        <v>949.05</v>
      </c>
      <c r="G185" s="31">
        <f t="shared" si="5"/>
        <v>442425.10705629608</v>
      </c>
      <c r="H185" s="209">
        <f>F185*cnst_carbon!$C$11/10^6</f>
        <v>5.3233574355502825E-5</v>
      </c>
      <c r="I185" s="209">
        <f>G185*carbon_intensity_n!$C$9</f>
        <v>2.0582584277245245E-2</v>
      </c>
      <c r="J185" s="233">
        <f>H185*cnst_carbon!$C$13*1000000</f>
        <v>17.92220765563011</v>
      </c>
      <c r="K185" s="30">
        <f>I185*cnst_carbon!$C$13*1000000</f>
        <v>6929.561915997183</v>
      </c>
    </row>
    <row r="186" spans="1:11" ht="12.5">
      <c r="A186" s="14" t="s">
        <v>4535</v>
      </c>
      <c r="B186" s="770" t="s">
        <v>7774</v>
      </c>
      <c r="C186" s="502">
        <v>854207279.49846804</v>
      </c>
      <c r="D186" s="505">
        <v>1165808837</v>
      </c>
      <c r="E186" s="539">
        <v>2</v>
      </c>
      <c r="F186" s="31">
        <f t="shared" si="4"/>
        <v>1708414.5589969361</v>
      </c>
      <c r="G186" s="31">
        <f t="shared" si="5"/>
        <v>2331617.6740000001</v>
      </c>
      <c r="H186" s="209">
        <f>F186*cnst_carbon!$C$11/10^6</f>
        <v>9.5827420532518789E-2</v>
      </c>
      <c r="I186" s="209">
        <f>G186*carbon_intensity_n!$C$9</f>
        <v>0.10847195720136422</v>
      </c>
      <c r="J186" s="233">
        <f>H186*cnst_carbon!$C$13*1000000</f>
        <v>32262.32599783449</v>
      </c>
      <c r="K186" s="30">
        <f>I186*cnst_carbon!$C$13*1000000</f>
        <v>36519.376452024997</v>
      </c>
    </row>
    <row r="187" spans="1:11" ht="12.5">
      <c r="A187" s="14" t="s">
        <v>4536</v>
      </c>
      <c r="B187" s="770" t="s">
        <v>7775</v>
      </c>
      <c r="C187" s="502">
        <v>64054432</v>
      </c>
      <c r="D187" s="505">
        <v>414557550</v>
      </c>
      <c r="E187" s="539">
        <v>10</v>
      </c>
      <c r="F187" s="31">
        <f t="shared" si="4"/>
        <v>640544.31999999995</v>
      </c>
      <c r="G187" s="31">
        <f t="shared" si="5"/>
        <v>4145575.5</v>
      </c>
      <c r="H187" s="209">
        <f>F187*cnst_carbon!$C$11/10^6</f>
        <v>3.5929048718945256E-2</v>
      </c>
      <c r="I187" s="209">
        <f>G187*carbon_intensity_n!$C$9</f>
        <v>0.1928612453171103</v>
      </c>
      <c r="J187" s="233">
        <f>H187*cnst_carbon!$C$13*1000000</f>
        <v>12096.27344784193</v>
      </c>
      <c r="K187" s="30">
        <f>I187*cnst_carbon!$C$13*1000000</f>
        <v>64930.813478981952</v>
      </c>
    </row>
    <row r="188" spans="1:11" ht="12.5">
      <c r="A188" s="14" t="s">
        <v>4537</v>
      </c>
      <c r="B188" s="770" t="s">
        <v>7776</v>
      </c>
      <c r="C188" s="502">
        <v>427414562.143233</v>
      </c>
      <c r="D188" s="505">
        <v>316683240</v>
      </c>
      <c r="E188" s="539">
        <v>2</v>
      </c>
      <c r="F188" s="31">
        <f t="shared" si="4"/>
        <v>854829.12428646605</v>
      </c>
      <c r="G188" s="31">
        <f t="shared" si="5"/>
        <v>633366.48</v>
      </c>
      <c r="H188" s="209">
        <f>F188*cnst_carbon!$C$11/10^6</f>
        <v>4.7948590431434547E-2</v>
      </c>
      <c r="I188" s="209">
        <f>G188*carbon_intensity_n!$C$9</f>
        <v>2.9465594843204428E-2</v>
      </c>
      <c r="J188" s="233">
        <f>H188*cnst_carbon!$C$13*1000000</f>
        <v>16142.9061435567</v>
      </c>
      <c r="K188" s="30">
        <f>I188*cnst_carbon!$C$13*1000000</f>
        <v>9920.2151249493236</v>
      </c>
    </row>
    <row r="189" spans="1:11" ht="12.5">
      <c r="A189" s="14" t="s">
        <v>4538</v>
      </c>
      <c r="B189" s="770" t="s">
        <v>7777</v>
      </c>
      <c r="C189" s="502">
        <v>3960548087.7059498</v>
      </c>
      <c r="D189" s="505">
        <v>47806233000</v>
      </c>
      <c r="E189" s="539">
        <v>0.33579583124206203</v>
      </c>
      <c r="F189" s="31">
        <f t="shared" si="4"/>
        <v>1329935.5372853787</v>
      </c>
      <c r="G189" s="31">
        <f t="shared" si="5"/>
        <v>16053133.748786697</v>
      </c>
      <c r="H189" s="209">
        <f>F189*cnst_carbon!$C$11/10^6</f>
        <v>7.4597989897378231E-2</v>
      </c>
      <c r="I189" s="209">
        <f>G189*carbon_intensity_n!$C$9</f>
        <v>0.74682691607790852</v>
      </c>
      <c r="J189" s="233">
        <f>H189*cnst_carbon!$C$13*1000000</f>
        <v>25114.989587303684</v>
      </c>
      <c r="K189" s="30">
        <f>I189*cnst_carbon!$C$13*1000000</f>
        <v>251435.06207898504</v>
      </c>
    </row>
    <row r="190" spans="1:11" ht="12.5">
      <c r="A190" s="14" t="s">
        <v>3107</v>
      </c>
      <c r="B190" s="770" t="s">
        <v>7778</v>
      </c>
      <c r="C190" s="502">
        <v>76500</v>
      </c>
      <c r="D190" s="505">
        <v>776676</v>
      </c>
      <c r="E190" s="539">
        <v>2</v>
      </c>
      <c r="F190" s="31">
        <f t="shared" si="4"/>
        <v>153</v>
      </c>
      <c r="G190" s="31">
        <f t="shared" si="5"/>
        <v>1553.3520000000001</v>
      </c>
      <c r="H190" s="209">
        <f>F190*cnst_carbon!$C$11/10^6</f>
        <v>8.581989227534832E-6</v>
      </c>
      <c r="I190" s="209">
        <f>G190*carbon_intensity_n!$C$9</f>
        <v>7.2265334725136213E-5</v>
      </c>
      <c r="J190" s="233">
        <f>H190*cnst_carbon!$C$13*1000000</f>
        <v>2.8893080146582446</v>
      </c>
      <c r="K190" s="30">
        <f>I190*cnst_carbon!$C$13*1000000</f>
        <v>24.329651933538198</v>
      </c>
    </row>
    <row r="191" spans="1:11" ht="12.5">
      <c r="A191" s="14" t="s">
        <v>1389</v>
      </c>
      <c r="B191" s="770" t="s">
        <v>7779</v>
      </c>
      <c r="C191" s="502">
        <v>1626468161.94894</v>
      </c>
      <c r="D191" s="505">
        <v>3820547958.6825399</v>
      </c>
      <c r="E191" s="539">
        <v>25.3</v>
      </c>
      <c r="F191" s="31">
        <f t="shared" si="4"/>
        <v>41149644.49730818</v>
      </c>
      <c r="G191" s="31">
        <f t="shared" si="5"/>
        <v>96659863.35466826</v>
      </c>
      <c r="H191" s="209">
        <f>F191*cnst_carbon!$C$11/10^6</f>
        <v>2.3081425215214821</v>
      </c>
      <c r="I191" s="209">
        <f>G191*carbon_intensity_n!$C$9</f>
        <v>4.4968283942152381</v>
      </c>
      <c r="J191" s="233">
        <f>H191*cnst_carbon!$C$13*1000000</f>
        <v>777084.95193732064</v>
      </c>
      <c r="K191" s="30">
        <f>I191*cnst_carbon!$C$13*1000000</f>
        <v>1513952.2988752339</v>
      </c>
    </row>
    <row r="192" spans="1:11" ht="12.5">
      <c r="A192" s="14" t="s">
        <v>1390</v>
      </c>
      <c r="B192" s="770" t="s">
        <v>7780</v>
      </c>
      <c r="C192" s="502">
        <v>21390856.082568299</v>
      </c>
      <c r="D192" s="505">
        <v>388477021</v>
      </c>
      <c r="E192" s="539">
        <v>10.043893876551085</v>
      </c>
      <c r="F192" s="31">
        <f t="shared" si="4"/>
        <v>214847.48842189327</v>
      </c>
      <c r="G192" s="31">
        <f t="shared" si="5"/>
        <v>3901821.9724027072</v>
      </c>
      <c r="H192" s="209">
        <f>F192*cnst_carbon!$C$11/10^6</f>
        <v>1.2051103471892827E-2</v>
      </c>
      <c r="I192" s="209">
        <f>G192*carbon_intensity_n!$C$9</f>
        <v>0.18152129773134024</v>
      </c>
      <c r="J192" s="233">
        <f>H192*cnst_carbon!$C$13*1000000</f>
        <v>4057.2586289318338</v>
      </c>
      <c r="K192" s="30">
        <f>I192*cnst_carbon!$C$13*1000000</f>
        <v>61112.980506150147</v>
      </c>
    </row>
    <row r="193" spans="1:11" ht="12.5">
      <c r="A193" s="14" t="s">
        <v>1391</v>
      </c>
      <c r="B193" s="770" t="s">
        <v>7781</v>
      </c>
      <c r="C193" s="502">
        <v>27427578.2689096</v>
      </c>
      <c r="D193" s="505">
        <v>120094551</v>
      </c>
      <c r="E193" s="539">
        <v>16.100000000000001</v>
      </c>
      <c r="F193" s="31">
        <f t="shared" si="4"/>
        <v>441584.01012944459</v>
      </c>
      <c r="G193" s="31">
        <f t="shared" si="5"/>
        <v>1933522.2711000002</v>
      </c>
      <c r="H193" s="209">
        <f>F193*cnst_carbon!$C$11/10^6</f>
        <v>2.4769079856094937E-2</v>
      </c>
      <c r="I193" s="209">
        <f>G193*carbon_intensity_n!$C$9</f>
        <v>8.9951687782001161E-2</v>
      </c>
      <c r="J193" s="233">
        <f>H193*cnst_carbon!$C$13*1000000</f>
        <v>8339.0341151106641</v>
      </c>
      <c r="K193" s="30">
        <f>I193*cnst_carbon!$C$13*1000000</f>
        <v>30284.13641055426</v>
      </c>
    </row>
    <row r="194" spans="1:11" ht="12.5">
      <c r="A194" s="14" t="s">
        <v>4374</v>
      </c>
      <c r="B194" s="770" t="s">
        <v>7782</v>
      </c>
      <c r="C194" s="502">
        <v>1739708528.2412901</v>
      </c>
      <c r="D194" s="505">
        <v>13820994</v>
      </c>
      <c r="E194" s="539">
        <v>0.12748680662294265</v>
      </c>
      <c r="F194" s="31">
        <f t="shared" si="4"/>
        <v>221789.88472018152</v>
      </c>
      <c r="G194" s="31">
        <f t="shared" si="5"/>
        <v>1761.9943894148507</v>
      </c>
      <c r="H194" s="209">
        <f>F194*cnst_carbon!$C$11/10^6</f>
        <v>1.2440512427743727E-2</v>
      </c>
      <c r="I194" s="209">
        <f>G194*carbon_intensity_n!$C$9</f>
        <v>8.1971835317993721E-5</v>
      </c>
      <c r="J194" s="233">
        <f>H194*cnst_carbon!$C$13*1000000</f>
        <v>4188.3613823016249</v>
      </c>
      <c r="K194" s="30">
        <f>I194*cnst_carbon!$C$13*1000000</f>
        <v>27.597550460752281</v>
      </c>
    </row>
    <row r="195" spans="1:11" ht="12.5">
      <c r="A195" s="14" t="s">
        <v>4375</v>
      </c>
      <c r="B195" s="770" t="s">
        <v>7783</v>
      </c>
      <c r="C195" s="502">
        <v>114393555</v>
      </c>
      <c r="D195" s="505">
        <v>1850325</v>
      </c>
      <c r="E195" s="539">
        <v>3.5069385886364035</v>
      </c>
      <c r="F195" s="31">
        <f t="shared" si="4"/>
        <v>401171.17232080078</v>
      </c>
      <c r="G195" s="31">
        <f t="shared" si="5"/>
        <v>6488.9761440186539</v>
      </c>
      <c r="H195" s="209">
        <f>F195*cnst_carbon!$C$11/10^6</f>
        <v>2.2502265877481255E-2</v>
      </c>
      <c r="I195" s="209">
        <f>G195*carbon_intensity_n!$C$9</f>
        <v>3.0188137207209421E-4</v>
      </c>
      <c r="J195" s="233">
        <f>H195*cnst_carbon!$C$13*1000000</f>
        <v>7575.8632904335518</v>
      </c>
      <c r="K195" s="30">
        <f>I195*cnst_carbon!$C$13*1000000</f>
        <v>101.6347427942969</v>
      </c>
    </row>
    <row r="196" spans="1:11" ht="12.5">
      <c r="A196" s="14" t="s">
        <v>4376</v>
      </c>
      <c r="B196" s="770" t="s">
        <v>7784</v>
      </c>
      <c r="C196" s="502">
        <v>103560569</v>
      </c>
      <c r="D196" s="505">
        <v>3106891</v>
      </c>
      <c r="E196" s="539">
        <v>5.371669317672886</v>
      </c>
      <c r="F196" s="31">
        <f t="shared" si="4"/>
        <v>556293.13101804582</v>
      </c>
      <c r="G196" s="31">
        <f t="shared" si="5"/>
        <v>16689.191058054032</v>
      </c>
      <c r="H196" s="209">
        <f>F196*cnst_carbon!$C$11/10^6</f>
        <v>3.1203278808813673E-2</v>
      </c>
      <c r="I196" s="209">
        <f>G196*carbon_intensity_n!$C$9</f>
        <v>7.7641769418781102E-4</v>
      </c>
      <c r="J196" s="233">
        <f>H196*cnst_carbon!$C$13*1000000</f>
        <v>10505.243149998489</v>
      </c>
      <c r="K196" s="30">
        <f>I196*cnst_carbon!$C$13*1000000</f>
        <v>261.39742279584578</v>
      </c>
    </row>
    <row r="197" spans="1:11" ht="12.5">
      <c r="A197" s="14" t="s">
        <v>4377</v>
      </c>
      <c r="B197" s="770" t="s">
        <v>7785</v>
      </c>
      <c r="C197" s="502">
        <v>9</v>
      </c>
      <c r="D197" s="505">
        <v>917.47846889952098</v>
      </c>
      <c r="E197" s="539">
        <v>2</v>
      </c>
      <c r="F197" s="31">
        <f t="shared" si="4"/>
        <v>1.7999999999999999E-2</v>
      </c>
      <c r="G197" s="31">
        <f t="shared" si="5"/>
        <v>1.834956937799042</v>
      </c>
      <c r="H197" s="209">
        <f>F197*cnst_carbon!$C$11/10^6</f>
        <v>1.0096457914746862E-9</v>
      </c>
      <c r="I197" s="209">
        <f>G197*carbon_intensity_n!$C$9</f>
        <v>8.5366212755549749E-8</v>
      </c>
      <c r="J197" s="233">
        <f>H197*cnst_carbon!$C$13*1000000</f>
        <v>3.3991858995979351E-4</v>
      </c>
      <c r="K197" s="30">
        <f>I197*cnst_carbon!$C$13*1000000</f>
        <v>2.8740339349794374E-2</v>
      </c>
    </row>
    <row r="198" spans="1:11" ht="12.5">
      <c r="A198" s="14" t="s">
        <v>3218</v>
      </c>
      <c r="B198" s="770" t="s">
        <v>7786</v>
      </c>
      <c r="C198" s="502">
        <v>441063</v>
      </c>
      <c r="D198" s="505">
        <v>183643.5</v>
      </c>
      <c r="E198" s="539">
        <v>0.25375768419496836</v>
      </c>
      <c r="F198" s="31">
        <f t="shared" si="4"/>
        <v>111.92312546408533</v>
      </c>
      <c r="G198" s="31">
        <f t="shared" si="5"/>
        <v>46.600949277458668</v>
      </c>
      <c r="H198" s="209">
        <f>F198*cnst_carbon!$C$11/10^6</f>
        <v>6.2779284774170573E-6</v>
      </c>
      <c r="I198" s="209">
        <f>G198*carbon_intensity_n!$C$9</f>
        <v>2.1679781517934406E-6</v>
      </c>
      <c r="J198" s="233">
        <f>H198*cnst_carbon!$C$13*1000000</f>
        <v>2.1135972773136076</v>
      </c>
      <c r="K198" s="30">
        <f>I198*cnst_carbon!$C$13*1000000</f>
        <v>0.72989565513356769</v>
      </c>
    </row>
    <row r="199" spans="1:11" ht="12.5">
      <c r="A199" s="14" t="s">
        <v>3219</v>
      </c>
      <c r="B199" s="770" t="s">
        <v>7787</v>
      </c>
      <c r="C199" s="502">
        <v>153623653.91651699</v>
      </c>
      <c r="D199" s="505">
        <v>18898903</v>
      </c>
      <c r="E199" s="539">
        <v>2</v>
      </c>
      <c r="F199" s="31">
        <f t="shared" si="4"/>
        <v>307247.30783303396</v>
      </c>
      <c r="G199" s="31">
        <f t="shared" si="5"/>
        <v>37797.805999999997</v>
      </c>
      <c r="H199" s="209">
        <f>F199*cnst_carbon!$C$11/10^6</f>
        <v>1.7233941738641671E-2</v>
      </c>
      <c r="I199" s="209">
        <f>G199*carbon_intensity_n!$C$9</f>
        <v>1.7584366598592989E-3</v>
      </c>
      <c r="J199" s="233">
        <f>H199*cnst_carbon!$C$13*1000000</f>
        <v>5802.1706470859726</v>
      </c>
      <c r="K199" s="30">
        <f>I199*cnst_carbon!$C$13*1000000</f>
        <v>592.01485808200687</v>
      </c>
    </row>
    <row r="200" spans="1:11" ht="12.5">
      <c r="A200" s="14" t="s">
        <v>3220</v>
      </c>
      <c r="B200" s="770" t="s">
        <v>7788</v>
      </c>
      <c r="C200" s="502">
        <v>446764118.96355301</v>
      </c>
      <c r="D200" s="505">
        <v>1413890948</v>
      </c>
      <c r="E200" s="539">
        <v>10</v>
      </c>
      <c r="F200" s="31">
        <f t="shared" ref="F200:F263" si="6">C200*$E200/1000</f>
        <v>4467641.1896355301</v>
      </c>
      <c r="G200" s="31">
        <f t="shared" ref="G200:G263" si="7">D200*E200/1000</f>
        <v>14138909.48</v>
      </c>
      <c r="H200" s="209">
        <f>F200*cnst_carbon!$C$11/10^6</f>
        <v>0.25059639582969295</v>
      </c>
      <c r="I200" s="209">
        <f>G200*carbon_intensity_n!$C$9</f>
        <v>0.65777301359936546</v>
      </c>
      <c r="J200" s="233">
        <f>H200*cnst_carbon!$C$13*1000000</f>
        <v>84368.571868177984</v>
      </c>
      <c r="K200" s="30">
        <f>I200*cnst_carbon!$C$13*1000000</f>
        <v>221453.18406143843</v>
      </c>
    </row>
    <row r="201" spans="1:11" ht="12.5">
      <c r="A201" s="14" t="s">
        <v>3221</v>
      </c>
      <c r="B201" s="770" t="s">
        <v>7789</v>
      </c>
      <c r="C201" s="502">
        <v>34310342.718725003</v>
      </c>
      <c r="D201" s="505">
        <v>2814912.67117042</v>
      </c>
      <c r="E201" s="539">
        <v>128.19999999999999</v>
      </c>
      <c r="F201" s="31">
        <f t="shared" si="6"/>
        <v>4398585.9365405459</v>
      </c>
      <c r="G201" s="31">
        <f t="shared" si="7"/>
        <v>360871.8044440478</v>
      </c>
      <c r="H201" s="209">
        <f>F201*cnst_carbon!$C$11/10^6</f>
        <v>0.24672298773710571</v>
      </c>
      <c r="I201" s="209">
        <f>G201*carbon_intensity_n!$C$9</f>
        <v>1.6788546151170508E-2</v>
      </c>
      <c r="J201" s="233">
        <f>H201*cnst_carbon!$C$13*1000000</f>
        <v>83064.507186991119</v>
      </c>
      <c r="K201" s="30">
        <f>I201*cnst_carbon!$C$13*1000000</f>
        <v>5652.2188111590576</v>
      </c>
    </row>
    <row r="202" spans="1:11" ht="12.5">
      <c r="A202" s="14" t="s">
        <v>3222</v>
      </c>
      <c r="B202" s="770" t="s">
        <v>7790</v>
      </c>
      <c r="C202" s="502">
        <v>951.13435968239105</v>
      </c>
      <c r="D202" s="505">
        <v>1004</v>
      </c>
      <c r="E202" s="539">
        <v>2</v>
      </c>
      <c r="F202" s="31">
        <f t="shared" si="6"/>
        <v>1.902268719364782</v>
      </c>
      <c r="G202" s="31">
        <f t="shared" si="7"/>
        <v>2.008</v>
      </c>
      <c r="H202" s="209">
        <f>F202*cnst_carbon!$C$11/10^6</f>
        <v>1.0670097815336627E-7</v>
      </c>
      <c r="I202" s="209">
        <f>G202*carbon_intensity_n!$C$9</f>
        <v>9.3416554733295155E-8</v>
      </c>
      <c r="J202" s="233">
        <f>H202*cnst_carbon!$C$13*1000000</f>
        <v>3.5923138933949932E-2</v>
      </c>
      <c r="K202" s="30">
        <f>I202*cnst_carbon!$C$13*1000000</f>
        <v>3.1450657083870681E-2</v>
      </c>
    </row>
    <row r="203" spans="1:11" ht="12.5">
      <c r="A203" s="14" t="s">
        <v>3054</v>
      </c>
      <c r="B203" s="770" t="s">
        <v>7791</v>
      </c>
      <c r="C203" s="502">
        <v>2483952.6514862701</v>
      </c>
      <c r="D203" s="505">
        <v>7285888</v>
      </c>
      <c r="E203" s="539">
        <v>1</v>
      </c>
      <c r="F203" s="31">
        <f t="shared" si="6"/>
        <v>2483.95265148627</v>
      </c>
      <c r="G203" s="31">
        <f t="shared" si="7"/>
        <v>7285.8879999999999</v>
      </c>
      <c r="H203" s="209">
        <f>F203*cnst_carbon!$C$11/10^6</f>
        <v>1.3932846337752779E-4</v>
      </c>
      <c r="I203" s="209">
        <f>G203*carbon_intensity_n!$C$9</f>
        <v>3.3895545574335576E-4</v>
      </c>
      <c r="J203" s="233">
        <f>H203*cnst_carbon!$C$13*1000000</f>
        <v>46.907871267783506</v>
      </c>
      <c r="K203" s="30">
        <f>I203*cnst_carbon!$C$13*1000000</f>
        <v>114.11651645392848</v>
      </c>
    </row>
    <row r="204" spans="1:11" ht="12.5">
      <c r="A204" s="14" t="s">
        <v>3495</v>
      </c>
      <c r="B204" s="770" t="s">
        <v>7792</v>
      </c>
      <c r="C204" s="502">
        <v>47972271.826108702</v>
      </c>
      <c r="D204" s="505">
        <v>109922320.706049</v>
      </c>
      <c r="E204" s="539">
        <v>5</v>
      </c>
      <c r="F204" s="31">
        <f t="shared" si="6"/>
        <v>239861.35913054351</v>
      </c>
      <c r="G204" s="31">
        <f t="shared" si="7"/>
        <v>549611.6035302449</v>
      </c>
      <c r="H204" s="209">
        <f>F204*cnst_carbon!$C$11/10^6</f>
        <v>1.3454167321308417E-2</v>
      </c>
      <c r="I204" s="209">
        <f>G204*carbon_intensity_n!$C$9</f>
        <v>2.5569134682887074E-2</v>
      </c>
      <c r="J204" s="233">
        <f>H204*cnst_carbon!$C$13*1000000</f>
        <v>4529.6297211941101</v>
      </c>
      <c r="K204" s="30">
        <f>I204*cnst_carbon!$C$13*1000000</f>
        <v>8608.3894780607698</v>
      </c>
    </row>
    <row r="205" spans="1:11" ht="12.5">
      <c r="A205" s="14" t="s">
        <v>761</v>
      </c>
      <c r="B205" s="770" t="s">
        <v>7793</v>
      </c>
      <c r="C205" s="502"/>
      <c r="D205" s="505"/>
      <c r="E205" s="539">
        <v>5</v>
      </c>
      <c r="F205" s="31">
        <f t="shared" si="6"/>
        <v>0</v>
      </c>
      <c r="G205" s="31">
        <f t="shared" si="7"/>
        <v>0</v>
      </c>
      <c r="H205" s="209">
        <f>F205*cnst_carbon!$C$11/10^6</f>
        <v>0</v>
      </c>
      <c r="I205" s="209">
        <f>G205*carbon_intensity_n!$C$9</f>
        <v>0</v>
      </c>
      <c r="J205" s="233">
        <f>H205*cnst_carbon!$C$13*1000000</f>
        <v>0</v>
      </c>
      <c r="K205" s="30">
        <f>I205*cnst_carbon!$C$13*1000000</f>
        <v>0</v>
      </c>
    </row>
    <row r="206" spans="1:11" ht="12.5">
      <c r="A206" s="14" t="s">
        <v>762</v>
      </c>
      <c r="B206" s="770" t="s">
        <v>7794</v>
      </c>
      <c r="C206" s="502">
        <v>1314144.84208253</v>
      </c>
      <c r="D206" s="505">
        <v>242307</v>
      </c>
      <c r="E206" s="539">
        <v>5</v>
      </c>
      <c r="F206" s="31">
        <f t="shared" si="6"/>
        <v>6570.7242104126508</v>
      </c>
      <c r="G206" s="31">
        <f t="shared" si="7"/>
        <v>1211.5350000000001</v>
      </c>
      <c r="H206" s="209">
        <f>F206*cnst_carbon!$C$11/10^6</f>
        <v>3.6856133588799791E-4</v>
      </c>
      <c r="I206" s="209">
        <f>G206*carbon_intensity_n!$C$9</f>
        <v>5.6363259780280257E-5</v>
      </c>
      <c r="J206" s="233">
        <f>H206*cnst_carbon!$C$13*1000000</f>
        <v>124.08396158989697</v>
      </c>
      <c r="K206" s="30">
        <f>I206*cnst_carbon!$C$13*1000000</f>
        <v>18.975882385511589</v>
      </c>
    </row>
    <row r="207" spans="1:11" ht="12.5">
      <c r="A207" s="14" t="s">
        <v>763</v>
      </c>
      <c r="B207" s="770" t="s">
        <v>7795</v>
      </c>
      <c r="C207" s="502">
        <v>2122295.5802651299</v>
      </c>
      <c r="D207" s="505">
        <v>101320.777048189</v>
      </c>
      <c r="E207" s="539">
        <v>25.84</v>
      </c>
      <c r="F207" s="31">
        <f t="shared" si="6"/>
        <v>54840.117794050951</v>
      </c>
      <c r="G207" s="31">
        <f t="shared" si="7"/>
        <v>2618.1288789252039</v>
      </c>
      <c r="H207" s="209">
        <f>F207*cnst_carbon!$C$11/10^6</f>
        <v>3.0760607852633108E-3</v>
      </c>
      <c r="I207" s="209">
        <f>G207*carbon_intensity_n!$C$9</f>
        <v>1.218010855164029E-4</v>
      </c>
      <c r="J207" s="233">
        <f>H207*cnst_carbon!$C$13*1000000</f>
        <v>1035.6208618768212</v>
      </c>
      <c r="K207" s="30">
        <f>I207*cnst_carbon!$C$13*1000000</f>
        <v>41.006909149629173</v>
      </c>
    </row>
    <row r="208" spans="1:11" ht="12.5">
      <c r="A208" s="14" t="s">
        <v>1112</v>
      </c>
      <c r="B208" s="770" t="s">
        <v>7796</v>
      </c>
      <c r="C208" s="502">
        <v>5595</v>
      </c>
      <c r="D208" s="505">
        <v>1540</v>
      </c>
      <c r="E208" s="539">
        <v>1</v>
      </c>
      <c r="F208" s="31">
        <f t="shared" si="6"/>
        <v>5.5949999999999998</v>
      </c>
      <c r="G208" s="31">
        <f t="shared" si="7"/>
        <v>1.54</v>
      </c>
      <c r="H208" s="209">
        <f>F208*cnst_carbon!$C$11/10^6</f>
        <v>3.1383156685004824E-7</v>
      </c>
      <c r="I208" s="209">
        <f>G208*carbon_intensity_n!$C$9</f>
        <v>7.1644170462786136E-8</v>
      </c>
      <c r="J208" s="233">
        <f>H208*cnst_carbon!$C$13*1000000</f>
        <v>0.10565802837916913</v>
      </c>
      <c r="K208" s="30">
        <f>I208*cnst_carbon!$C$13*1000000</f>
        <v>2.4120523859143855E-2</v>
      </c>
    </row>
    <row r="209" spans="1:11" ht="12.5">
      <c r="A209" s="14" t="s">
        <v>970</v>
      </c>
      <c r="B209" s="770" t="s">
        <v>7797</v>
      </c>
      <c r="C209" s="502">
        <v>21842343.044068102</v>
      </c>
      <c r="D209" s="505">
        <v>55657861</v>
      </c>
      <c r="E209" s="539">
        <v>1</v>
      </c>
      <c r="F209" s="31">
        <f t="shared" si="6"/>
        <v>21842.3430440681</v>
      </c>
      <c r="G209" s="31">
        <f t="shared" si="7"/>
        <v>55657.860999999997</v>
      </c>
      <c r="H209" s="209">
        <f>F209*cnst_carbon!$C$11/10^6</f>
        <v>1.2251683183549856E-3</v>
      </c>
      <c r="I209" s="209">
        <f>G209*carbon_intensity_n!$C$9</f>
        <v>2.5893255071935428E-3</v>
      </c>
      <c r="J209" s="233">
        <f>H209*cnst_carbon!$C$13*1000000</f>
        <v>412.47880271987395</v>
      </c>
      <c r="K209" s="30">
        <f>I209*cnst_carbon!$C$13*1000000</f>
        <v>871.75114558403379</v>
      </c>
    </row>
    <row r="210" spans="1:11" ht="12.5">
      <c r="A210" s="14" t="s">
        <v>971</v>
      </c>
      <c r="B210" s="770" t="s">
        <v>7798</v>
      </c>
      <c r="C210" s="502">
        <v>58821363.819296896</v>
      </c>
      <c r="D210" s="505">
        <v>52805913.343532197</v>
      </c>
      <c r="E210" s="539">
        <v>25.84</v>
      </c>
      <c r="F210" s="31">
        <f t="shared" si="6"/>
        <v>1519944.0410906316</v>
      </c>
      <c r="G210" s="31">
        <f t="shared" si="7"/>
        <v>1364504.800796872</v>
      </c>
      <c r="H210" s="209">
        <f>F210*cnst_carbon!$C$11/10^6</f>
        <v>8.5255839131343533E-2</v>
      </c>
      <c r="I210" s="209">
        <f>G210*carbon_intensity_n!$C$9</f>
        <v>6.3479749704922817E-2</v>
      </c>
      <c r="J210" s="233">
        <f>H210*cnst_carbon!$C$13*1000000</f>
        <v>28703.179736962105</v>
      </c>
      <c r="K210" s="30">
        <f>I210*cnst_carbon!$C$13*1000000</f>
        <v>21371.799093206031</v>
      </c>
    </row>
    <row r="211" spans="1:11" ht="12.5">
      <c r="A211" s="14" t="s">
        <v>972</v>
      </c>
      <c r="B211" s="770" t="s">
        <v>7799</v>
      </c>
      <c r="C211" s="502">
        <v>13457035.611041499</v>
      </c>
      <c r="D211" s="505">
        <v>13763712.4865641</v>
      </c>
      <c r="E211" s="539">
        <v>1</v>
      </c>
      <c r="F211" s="31">
        <f t="shared" si="6"/>
        <v>13457.0356110415</v>
      </c>
      <c r="G211" s="31">
        <f t="shared" si="7"/>
        <v>13763.7124865641</v>
      </c>
      <c r="H211" s="209">
        <f>F211*cnst_carbon!$C$11/10^6</f>
        <v>7.5482440946739063E-4</v>
      </c>
      <c r="I211" s="209">
        <f>G211*carbon_intensity_n!$C$9</f>
        <v>6.4031802830401057E-4</v>
      </c>
      <c r="J211" s="233">
        <f>H211*cnst_carbon!$C$13*1000000</f>
        <v>254.12758721910856</v>
      </c>
      <c r="K211" s="30">
        <f>I211*cnst_carbon!$C$13*1000000</f>
        <v>215.57659443023735</v>
      </c>
    </row>
    <row r="212" spans="1:11" ht="12.5">
      <c r="A212" s="14" t="s">
        <v>1340</v>
      </c>
      <c r="B212" s="770" t="s">
        <v>7800</v>
      </c>
      <c r="C212" s="502">
        <v>17040179.889754701</v>
      </c>
      <c r="D212" s="505">
        <v>6613525.2708902098</v>
      </c>
      <c r="E212" s="539">
        <v>25.84</v>
      </c>
      <c r="F212" s="31">
        <f t="shared" si="6"/>
        <v>440318.24835126149</v>
      </c>
      <c r="G212" s="31">
        <f t="shared" si="7"/>
        <v>170893.49299980301</v>
      </c>
      <c r="H212" s="209">
        <f>F212*cnst_carbon!$C$11/10^6</f>
        <v>2.4698081464297601E-2</v>
      </c>
      <c r="I212" s="209">
        <f>G212*carbon_intensity_n!$C$9</f>
        <v>7.9503393139343081E-3</v>
      </c>
      <c r="J212" s="233">
        <f>H212*cnst_carbon!$C$13*1000000</f>
        <v>8315.1310062848315</v>
      </c>
      <c r="K212" s="30">
        <f>I212*cnst_carbon!$C$13*1000000</f>
        <v>2676.6497242040136</v>
      </c>
    </row>
    <row r="213" spans="1:11" ht="12.5">
      <c r="A213" s="14" t="s">
        <v>1341</v>
      </c>
      <c r="B213" s="770" t="s">
        <v>7801</v>
      </c>
      <c r="C213" s="502">
        <v>2405312557.1675</v>
      </c>
      <c r="D213" s="505">
        <v>33701234565</v>
      </c>
      <c r="E213" s="539">
        <v>0.75</v>
      </c>
      <c r="F213" s="31">
        <f t="shared" si="6"/>
        <v>1803984.4178756252</v>
      </c>
      <c r="G213" s="31">
        <f t="shared" si="7"/>
        <v>25275925.923749998</v>
      </c>
      <c r="H213" s="209">
        <f>F213*cnst_carbon!$C$11/10^6</f>
        <v>0.10118807085522424</v>
      </c>
      <c r="I213" s="209">
        <f>G213*carbon_intensity_n!$C$9</f>
        <v>1.1758913931726622</v>
      </c>
      <c r="J213" s="233">
        <f>H213*cnst_carbon!$C$13*1000000</f>
        <v>34067.102201873407</v>
      </c>
      <c r="K213" s="30">
        <f>I213*cnst_carbon!$C$13*1000000</f>
        <v>395888.68461413274</v>
      </c>
    </row>
    <row r="214" spans="1:11" ht="12.5">
      <c r="A214" s="14" t="s">
        <v>1342</v>
      </c>
      <c r="B214" s="770" t="s">
        <v>7802</v>
      </c>
      <c r="C214" s="502">
        <v>1164750</v>
      </c>
      <c r="D214" s="505">
        <v>249000</v>
      </c>
      <c r="E214" s="539">
        <v>0.75</v>
      </c>
      <c r="F214" s="31">
        <f t="shared" si="6"/>
        <v>873.5625</v>
      </c>
      <c r="G214" s="31">
        <f t="shared" si="7"/>
        <v>186.75</v>
      </c>
      <c r="H214" s="209">
        <f>F214*cnst_carbon!$C$11/10^6</f>
        <v>4.8999372317505862E-5</v>
      </c>
      <c r="I214" s="209">
        <f>G214*carbon_intensity_n!$C$9</f>
        <v>8.6880187233281235E-6</v>
      </c>
      <c r="J214" s="233">
        <f>H214*cnst_carbon!$C$13*1000000</f>
        <v>16.496674068986227</v>
      </c>
      <c r="K214" s="30">
        <f>I214*cnst_carbon!$C$13*1000000</f>
        <v>2.9250050848669575</v>
      </c>
    </row>
    <row r="215" spans="1:11" ht="12.5">
      <c r="A215" s="14" t="s">
        <v>365</v>
      </c>
      <c r="B215" s="770" t="s">
        <v>7803</v>
      </c>
      <c r="C215" s="502">
        <v>7005907.5704948604</v>
      </c>
      <c r="D215" s="505">
        <v>66273000</v>
      </c>
      <c r="E215" s="539">
        <v>0.75</v>
      </c>
      <c r="F215" s="31">
        <f t="shared" si="6"/>
        <v>5254.4306778711452</v>
      </c>
      <c r="G215" s="31">
        <f t="shared" si="7"/>
        <v>49704.75</v>
      </c>
      <c r="H215" s="209">
        <f>F215*cnst_carbon!$C$11/10^6</f>
        <v>2.9472854558378243E-4</v>
      </c>
      <c r="I215" s="209">
        <f>G215*carbon_intensity_n!$C$9</f>
        <v>2.3123737544221874E-3</v>
      </c>
      <c r="J215" s="233">
        <f>H215*cnst_carbon!$C$13*1000000</f>
        <v>99.226592614635635</v>
      </c>
      <c r="K215" s="30">
        <f>I215*cnst_carbon!$C$13*1000000</f>
        <v>778.50948590115604</v>
      </c>
    </row>
    <row r="216" spans="1:11" ht="12.5">
      <c r="A216" s="14" t="s">
        <v>366</v>
      </c>
      <c r="B216" s="770" t="s">
        <v>7804</v>
      </c>
      <c r="C216" s="502">
        <v>136996897.51995099</v>
      </c>
      <c r="D216" s="505">
        <v>600513591.55331397</v>
      </c>
      <c r="E216" s="539">
        <v>0</v>
      </c>
      <c r="F216" s="31">
        <f t="shared" si="6"/>
        <v>0</v>
      </c>
      <c r="G216" s="31">
        <f t="shared" si="7"/>
        <v>0</v>
      </c>
      <c r="H216" s="209">
        <f>F216*cnst_carbon!$C$11/10^6</f>
        <v>0</v>
      </c>
      <c r="I216" s="209">
        <f>G216*carbon_intensity_n!$C$9</f>
        <v>0</v>
      </c>
      <c r="J216" s="233">
        <f>H216*cnst_carbon!$C$13*1000000</f>
        <v>0</v>
      </c>
      <c r="K216" s="30">
        <f>I216*cnst_carbon!$C$13*1000000</f>
        <v>0</v>
      </c>
    </row>
    <row r="217" spans="1:11" ht="12.5">
      <c r="A217" s="14" t="s">
        <v>1524</v>
      </c>
      <c r="B217" s="770" t="s">
        <v>7805</v>
      </c>
      <c r="C217" s="502">
        <v>733783500</v>
      </c>
      <c r="D217" s="505">
        <v>38890000</v>
      </c>
      <c r="E217" s="539">
        <v>0</v>
      </c>
      <c r="F217" s="31">
        <f t="shared" si="6"/>
        <v>0</v>
      </c>
      <c r="G217" s="31">
        <f t="shared" si="7"/>
        <v>0</v>
      </c>
      <c r="H217" s="209">
        <f>F217*cnst_carbon!$C$11/10^6</f>
        <v>0</v>
      </c>
      <c r="I217" s="209">
        <f>G217*carbon_intensity_n!$C$9</f>
        <v>0</v>
      </c>
      <c r="J217" s="233">
        <f>H217*cnst_carbon!$C$13*1000000</f>
        <v>0</v>
      </c>
      <c r="K217" s="30">
        <f>I217*cnst_carbon!$C$13*1000000</f>
        <v>0</v>
      </c>
    </row>
    <row r="218" spans="1:11" ht="12.5">
      <c r="A218" s="14" t="s">
        <v>1525</v>
      </c>
      <c r="B218" s="770" t="s">
        <v>7806</v>
      </c>
      <c r="C218" s="502">
        <v>33592024535.125702</v>
      </c>
      <c r="D218" s="505">
        <v>186069589614.612</v>
      </c>
      <c r="E218" s="539">
        <v>3.5</v>
      </c>
      <c r="F218" s="31">
        <f t="shared" si="6"/>
        <v>117572085.87293996</v>
      </c>
      <c r="G218" s="31">
        <f t="shared" si="7"/>
        <v>651243563.651142</v>
      </c>
      <c r="H218" s="209">
        <f>F218*cnst_carbon!$C$11/10^6</f>
        <v>6.5947867609174571</v>
      </c>
      <c r="I218" s="209">
        <f>G218*carbon_intensity_n!$C$9</f>
        <v>30.297275900658914</v>
      </c>
      <c r="J218" s="233">
        <f>H218*cnst_carbon!$C$13*1000000</f>
        <v>2220274.3138089725</v>
      </c>
      <c r="K218" s="30">
        <f>I218*cnst_carbon!$C$13*1000000</f>
        <v>10200218.126728076</v>
      </c>
    </row>
    <row r="219" spans="1:11" ht="12.5">
      <c r="A219" s="14" t="s">
        <v>2045</v>
      </c>
      <c r="B219" s="770" t="s">
        <v>7807</v>
      </c>
      <c r="C219" s="502">
        <v>414391787.69027299</v>
      </c>
      <c r="D219" s="505">
        <v>1001611865.5773799</v>
      </c>
      <c r="E219" s="539">
        <v>48.84</v>
      </c>
      <c r="F219" s="31">
        <f t="shared" si="6"/>
        <v>20238894.910792936</v>
      </c>
      <c r="G219" s="31">
        <f t="shared" si="7"/>
        <v>48918723.514799237</v>
      </c>
      <c r="H219" s="209">
        <f>F219*cnst_carbon!$C$11/10^6</f>
        <v>1.1352286150433628</v>
      </c>
      <c r="I219" s="209">
        <f>G219*carbon_intensity_n!$C$9</f>
        <v>2.275806082023494</v>
      </c>
      <c r="J219" s="233">
        <f>H219*cnst_carbon!$C$13*1000000</f>
        <v>382198.7011345097</v>
      </c>
      <c r="K219" s="30">
        <f>I219*cnst_carbon!$C$13*1000000</f>
        <v>766198.20629712753</v>
      </c>
    </row>
    <row r="220" spans="1:11" ht="12.5">
      <c r="A220" s="14" t="s">
        <v>893</v>
      </c>
      <c r="B220" s="770" t="s">
        <v>7808</v>
      </c>
      <c r="C220" s="502">
        <v>252849227.57565501</v>
      </c>
      <c r="D220" s="505">
        <v>53125896.357380398</v>
      </c>
      <c r="E220" s="539">
        <v>21.45</v>
      </c>
      <c r="F220" s="31">
        <f t="shared" si="6"/>
        <v>5423615.9314978002</v>
      </c>
      <c r="G220" s="31">
        <f t="shared" si="7"/>
        <v>1139550.4768658094</v>
      </c>
      <c r="H220" s="209">
        <f>F220*cnst_carbon!$C$11/10^6</f>
        <v>0.30421838887843405</v>
      </c>
      <c r="I220" s="209">
        <f>G220*carbon_intensity_n!$C$9</f>
        <v>5.3014382217872254E-2</v>
      </c>
      <c r="J220" s="233">
        <f>H220*cnst_carbon!$C$13*1000000</f>
        <v>102421.54888434467</v>
      </c>
      <c r="K220" s="30">
        <f>I220*cnst_carbon!$C$13*1000000</f>
        <v>17848.41199087046</v>
      </c>
    </row>
    <row r="221" spans="1:11" ht="12.5">
      <c r="A221" s="14" t="s">
        <v>95</v>
      </c>
      <c r="B221" s="770" t="s">
        <v>7809</v>
      </c>
      <c r="C221" s="502">
        <v>20565614.4216327</v>
      </c>
      <c r="D221" s="505">
        <v>409827983.50662702</v>
      </c>
      <c r="E221" s="539">
        <v>0</v>
      </c>
      <c r="F221" s="31">
        <f t="shared" si="6"/>
        <v>0</v>
      </c>
      <c r="G221" s="31">
        <f t="shared" si="7"/>
        <v>0</v>
      </c>
      <c r="H221" s="209">
        <f>F221*cnst_carbon!$C$11/10^6</f>
        <v>0</v>
      </c>
      <c r="I221" s="209">
        <f>G221*carbon_intensity_n!$C$9</f>
        <v>0</v>
      </c>
      <c r="J221" s="233">
        <f>H221*cnst_carbon!$C$13*1000000</f>
        <v>0</v>
      </c>
      <c r="K221" s="30">
        <f>I221*cnst_carbon!$C$13*1000000</f>
        <v>0</v>
      </c>
    </row>
    <row r="222" spans="1:11" ht="12.5">
      <c r="A222" s="14" t="s">
        <v>96</v>
      </c>
      <c r="B222" s="770" t="s">
        <v>7810</v>
      </c>
      <c r="C222" s="502">
        <v>27577534.0611719</v>
      </c>
      <c r="D222" s="505">
        <v>91014047.182115793</v>
      </c>
      <c r="E222" s="539">
        <v>0</v>
      </c>
      <c r="F222" s="31">
        <f t="shared" si="6"/>
        <v>0</v>
      </c>
      <c r="G222" s="31">
        <f t="shared" si="7"/>
        <v>0</v>
      </c>
      <c r="H222" s="209">
        <f>F222*cnst_carbon!$C$11/10^6</f>
        <v>0</v>
      </c>
      <c r="I222" s="209">
        <f>G222*carbon_intensity_n!$C$9</f>
        <v>0</v>
      </c>
      <c r="J222" s="233">
        <f>H222*cnst_carbon!$C$13*1000000</f>
        <v>0</v>
      </c>
      <c r="K222" s="30">
        <f>I222*cnst_carbon!$C$13*1000000</f>
        <v>0</v>
      </c>
    </row>
    <row r="223" spans="1:11" ht="12.5">
      <c r="A223" s="14" t="s">
        <v>2786</v>
      </c>
      <c r="B223" s="770" t="s">
        <v>7811</v>
      </c>
      <c r="C223" s="502">
        <v>37314085.453468896</v>
      </c>
      <c r="D223" s="505">
        <v>22459411.5</v>
      </c>
      <c r="E223" s="539">
        <v>21.45</v>
      </c>
      <c r="F223" s="31">
        <f t="shared" si="6"/>
        <v>800387.13297690789</v>
      </c>
      <c r="G223" s="31">
        <f t="shared" si="7"/>
        <v>481754.37667500001</v>
      </c>
      <c r="H223" s="209">
        <f>F223*cnst_carbon!$C$11/10^6</f>
        <v>4.4894861131145831E-2</v>
      </c>
      <c r="I223" s="209">
        <f>G223*carbon_intensity_n!$C$9</f>
        <v>2.2412267976426609E-2</v>
      </c>
      <c r="J223" s="233">
        <f>H223*cnst_carbon!$C$13*1000000</f>
        <v>15114.803647970681</v>
      </c>
      <c r="K223" s="30">
        <f>I223*cnst_carbon!$C$13*1000000</f>
        <v>7545.5635953482551</v>
      </c>
    </row>
    <row r="224" spans="1:11" ht="12.5">
      <c r="A224" s="14" t="s">
        <v>4525</v>
      </c>
      <c r="B224" s="770" t="s">
        <v>7812</v>
      </c>
      <c r="C224" s="502">
        <v>108133210.922042</v>
      </c>
      <c r="D224" s="505">
        <v>87272975</v>
      </c>
      <c r="E224" s="539">
        <v>0</v>
      </c>
      <c r="F224" s="31">
        <f t="shared" si="6"/>
        <v>0</v>
      </c>
      <c r="G224" s="31">
        <f t="shared" si="7"/>
        <v>0</v>
      </c>
      <c r="H224" s="209">
        <f>F224*cnst_carbon!$C$11/10^6</f>
        <v>0</v>
      </c>
      <c r="I224" s="209">
        <f>G224*carbon_intensity_n!$C$9</f>
        <v>0</v>
      </c>
      <c r="J224" s="233">
        <f>H224*cnst_carbon!$C$13*1000000</f>
        <v>0</v>
      </c>
      <c r="K224" s="30">
        <f>I224*cnst_carbon!$C$13*1000000</f>
        <v>0</v>
      </c>
    </row>
    <row r="225" spans="1:11" ht="12.5">
      <c r="A225" s="14" t="s">
        <v>4526</v>
      </c>
      <c r="B225" s="770" t="s">
        <v>7813</v>
      </c>
      <c r="C225" s="502">
        <v>1969840759.2837501</v>
      </c>
      <c r="D225" s="505">
        <v>4326389918</v>
      </c>
      <c r="E225" s="539">
        <v>0</v>
      </c>
      <c r="F225" s="31">
        <f t="shared" si="6"/>
        <v>0</v>
      </c>
      <c r="G225" s="31">
        <f t="shared" si="7"/>
        <v>0</v>
      </c>
      <c r="H225" s="209">
        <f>F225*cnst_carbon!$C$11/10^6</f>
        <v>0</v>
      </c>
      <c r="I225" s="209">
        <f>G225*carbon_intensity_n!$C$9</f>
        <v>0</v>
      </c>
      <c r="J225" s="233">
        <f>H225*cnst_carbon!$C$13*1000000</f>
        <v>0</v>
      </c>
      <c r="K225" s="30">
        <f>I225*cnst_carbon!$C$13*1000000</f>
        <v>0</v>
      </c>
    </row>
    <row r="226" spans="1:11" ht="12.5">
      <c r="A226" s="14" t="s">
        <v>4527</v>
      </c>
      <c r="B226" s="770" t="s">
        <v>7814</v>
      </c>
      <c r="C226" s="502">
        <v>7345666445.2596397</v>
      </c>
      <c r="D226" s="505">
        <v>12259883834.880199</v>
      </c>
      <c r="E226" s="539">
        <v>1.25</v>
      </c>
      <c r="F226" s="31">
        <f t="shared" si="6"/>
        <v>9182083.0565745514</v>
      </c>
      <c r="G226" s="31">
        <f t="shared" si="7"/>
        <v>15324854.79360025</v>
      </c>
      <c r="H226" s="209">
        <f>F226*cnst_carbon!$C$11/10^6</f>
        <v>0.51503619528008437</v>
      </c>
      <c r="I226" s="209">
        <f>G226*carbon_intensity_n!$C$9</f>
        <v>0.71294578516242957</v>
      </c>
      <c r="J226" s="233">
        <f>H226*cnst_carbon!$C$13*1000000</f>
        <v>173397.818082474</v>
      </c>
      <c r="K226" s="30">
        <f>I226*cnst_carbon!$C$13*1000000</f>
        <v>240028.26343308433</v>
      </c>
    </row>
    <row r="227" spans="1:11" ht="12.5">
      <c r="A227" s="14" t="s">
        <v>3038</v>
      </c>
      <c r="B227" s="770" t="s">
        <v>7815</v>
      </c>
      <c r="C227" s="502">
        <v>1311</v>
      </c>
      <c r="D227" s="505">
        <v>59556.810794685203</v>
      </c>
      <c r="E227" s="539">
        <v>0</v>
      </c>
      <c r="F227" s="31">
        <f t="shared" si="6"/>
        <v>0</v>
      </c>
      <c r="G227" s="31">
        <f t="shared" si="7"/>
        <v>0</v>
      </c>
      <c r="H227" s="209">
        <f>F227*cnst_carbon!$C$11/10^6</f>
        <v>0</v>
      </c>
      <c r="I227" s="209">
        <f>G227*carbon_intensity_n!$C$9</f>
        <v>0</v>
      </c>
      <c r="J227" s="233">
        <f>H227*cnst_carbon!$C$13*1000000</f>
        <v>0</v>
      </c>
      <c r="K227" s="30">
        <f>I227*cnst_carbon!$C$13*1000000</f>
        <v>0</v>
      </c>
    </row>
    <row r="228" spans="1:11" ht="12.5">
      <c r="A228" s="14" t="s">
        <v>3039</v>
      </c>
      <c r="B228" s="770" t="s">
        <v>7816</v>
      </c>
      <c r="C228" s="502"/>
      <c r="D228" s="505"/>
      <c r="E228" s="539">
        <v>0</v>
      </c>
      <c r="F228" s="31">
        <f t="shared" si="6"/>
        <v>0</v>
      </c>
      <c r="G228" s="31">
        <f t="shared" si="7"/>
        <v>0</v>
      </c>
      <c r="H228" s="209">
        <f>F228*cnst_carbon!$C$11/10^6</f>
        <v>0</v>
      </c>
      <c r="I228" s="209">
        <f>G228*carbon_intensity_n!$C$9</f>
        <v>0</v>
      </c>
      <c r="J228" s="233">
        <f>H228*cnst_carbon!$C$13*1000000</f>
        <v>0</v>
      </c>
      <c r="K228" s="30">
        <f>I228*cnst_carbon!$C$13*1000000</f>
        <v>0</v>
      </c>
    </row>
    <row r="229" spans="1:11" ht="12.5">
      <c r="A229" s="14" t="s">
        <v>4667</v>
      </c>
      <c r="B229" s="770" t="s">
        <v>7817</v>
      </c>
      <c r="C229" s="502">
        <v>9836545</v>
      </c>
      <c r="D229" s="505">
        <v>778786.14392177702</v>
      </c>
      <c r="E229" s="539">
        <v>57.52</v>
      </c>
      <c r="F229" s="31">
        <f t="shared" si="6"/>
        <v>565798.06839999999</v>
      </c>
      <c r="G229" s="31">
        <f t="shared" si="7"/>
        <v>44795.778998380614</v>
      </c>
      <c r="H229" s="209">
        <f>F229*cnst_carbon!$C$11/10^6</f>
        <v>3.173642436580925E-2</v>
      </c>
      <c r="I229" s="209">
        <f>G229*carbon_intensity_n!$C$9</f>
        <v>2.0839976795930361E-3</v>
      </c>
      <c r="J229" s="233">
        <f>H229*cnst_carbon!$C$13*1000000</f>
        <v>10684.737867361264</v>
      </c>
      <c r="K229" s="30">
        <f>I229*cnst_carbon!$C$13*1000000</f>
        <v>701.62185462297066</v>
      </c>
    </row>
    <row r="230" spans="1:11" ht="12.5">
      <c r="A230" s="14" t="s">
        <v>3109</v>
      </c>
      <c r="B230" s="770" t="s">
        <v>7818</v>
      </c>
      <c r="C230" s="502">
        <v>33990591.732930496</v>
      </c>
      <c r="D230" s="505">
        <v>232276046</v>
      </c>
      <c r="E230" s="539">
        <v>4.42</v>
      </c>
      <c r="F230" s="31">
        <f t="shared" si="6"/>
        <v>150238.41545955281</v>
      </c>
      <c r="G230" s="31">
        <f t="shared" si="7"/>
        <v>1026660.1233199999</v>
      </c>
      <c r="H230" s="209">
        <f>F230*cnst_carbon!$C$11/10^6</f>
        <v>8.4270879936979397E-3</v>
      </c>
      <c r="I230" s="209">
        <f>G230*carbon_intensity_n!$C$9</f>
        <v>4.7762475897716303E-2</v>
      </c>
      <c r="J230" s="233">
        <f>H230*cnst_carbon!$C$13*1000000</f>
        <v>2837.1572411558241</v>
      </c>
      <c r="K230" s="30">
        <f>I230*cnst_carbon!$C$13*1000000</f>
        <v>16080.246753098461</v>
      </c>
    </row>
    <row r="231" spans="1:11" ht="12.5">
      <c r="A231" s="14" t="s">
        <v>3110</v>
      </c>
      <c r="B231" s="770" t="s">
        <v>7819</v>
      </c>
      <c r="C231" s="502">
        <v>2806971</v>
      </c>
      <c r="D231" s="505">
        <v>28213241</v>
      </c>
      <c r="E231" s="539">
        <v>21.45</v>
      </c>
      <c r="F231" s="31">
        <f t="shared" si="6"/>
        <v>60209.527949999996</v>
      </c>
      <c r="G231" s="31">
        <f t="shared" si="7"/>
        <v>605174.01944999991</v>
      </c>
      <c r="H231" s="209">
        <f>F231*cnst_carbon!$C$11/10^6</f>
        <v>3.3772386945219433E-3</v>
      </c>
      <c r="I231" s="209">
        <f>G231*carbon_intensity_n!$C$9</f>
        <v>2.8154019876055352E-2</v>
      </c>
      <c r="J231" s="233">
        <f>H231*cnst_carbon!$C$13*1000000</f>
        <v>1137.0187690504874</v>
      </c>
      <c r="K231" s="30">
        <f>I231*cnst_carbon!$C$13*1000000</f>
        <v>9478.6456981024076</v>
      </c>
    </row>
    <row r="232" spans="1:11" ht="12.5">
      <c r="A232" s="14" t="s">
        <v>491</v>
      </c>
      <c r="B232" s="770" t="s">
        <v>7820</v>
      </c>
      <c r="C232" s="502">
        <v>21479</v>
      </c>
      <c r="D232" s="505">
        <v>31742.113573724801</v>
      </c>
      <c r="E232" s="539">
        <v>21.45</v>
      </c>
      <c r="F232" s="31">
        <f t="shared" si="6"/>
        <v>460.72454999999997</v>
      </c>
      <c r="G232" s="31">
        <f t="shared" si="7"/>
        <v>680.86833615639694</v>
      </c>
      <c r="H232" s="209">
        <f>F232*cnst_carbon!$C$11/10^6</f>
        <v>2.5842700163142699E-5</v>
      </c>
      <c r="I232" s="209">
        <f>G232*carbon_intensity_n!$C$9</f>
        <v>3.1675485154741865E-5</v>
      </c>
      <c r="J232" s="233">
        <f>H232*cnst_carbon!$C$13*1000000</f>
        <v>8.700491077547797</v>
      </c>
      <c r="K232" s="30">
        <f>I232*cnst_carbon!$C$13*1000000</f>
        <v>10.664221394283084</v>
      </c>
    </row>
    <row r="233" spans="1:11" ht="12.5">
      <c r="A233" s="14" t="s">
        <v>492</v>
      </c>
      <c r="B233" s="770" t="s">
        <v>7821</v>
      </c>
      <c r="C233" s="502">
        <v>727919</v>
      </c>
      <c r="D233" s="505">
        <v>6496</v>
      </c>
      <c r="E233" s="539">
        <v>21.45</v>
      </c>
      <c r="F233" s="31">
        <f t="shared" si="6"/>
        <v>15613.862549999998</v>
      </c>
      <c r="G233" s="31">
        <f t="shared" si="7"/>
        <v>139.33919999999998</v>
      </c>
      <c r="H233" s="209">
        <f>F233*cnst_carbon!$C$11/10^6</f>
        <v>8.7580392290398379E-4</v>
      </c>
      <c r="I233" s="209">
        <f>G233*carbon_intensity_n!$C$9</f>
        <v>6.4823645434728881E-6</v>
      </c>
      <c r="J233" s="233">
        <f>H233*cnst_carbon!$C$13*1000000</f>
        <v>294.85789676789022</v>
      </c>
      <c r="K233" s="30">
        <f>I233*cnst_carbon!$C$13*1000000</f>
        <v>2.1824249987753355</v>
      </c>
    </row>
    <row r="234" spans="1:11" ht="12.5">
      <c r="A234" s="14" t="s">
        <v>493</v>
      </c>
      <c r="B234" s="770" t="s">
        <v>7822</v>
      </c>
      <c r="C234" s="502">
        <v>29278804.730926</v>
      </c>
      <c r="D234" s="505">
        <v>248090</v>
      </c>
      <c r="E234" s="539">
        <v>21.45</v>
      </c>
      <c r="F234" s="31">
        <f t="shared" si="6"/>
        <v>628030.3614783627</v>
      </c>
      <c r="G234" s="31">
        <f t="shared" si="7"/>
        <v>5321.5304999999998</v>
      </c>
      <c r="H234" s="209">
        <f>F234*cnst_carbon!$C$11/10^6</f>
        <v>3.5227122854719711E-2</v>
      </c>
      <c r="I234" s="209">
        <f>G234*carbon_intensity_n!$C$9</f>
        <v>2.4756924562656851E-4</v>
      </c>
      <c r="J234" s="233">
        <f>H234*cnst_carbon!$C$13*1000000</f>
        <v>11859.955273648025</v>
      </c>
      <c r="K234" s="30">
        <f>I234*cnst_carbon!$C$13*1000000</f>
        <v>83.349417787280331</v>
      </c>
    </row>
    <row r="235" spans="1:11" ht="12.5">
      <c r="A235" s="14" t="s">
        <v>494</v>
      </c>
      <c r="B235" s="770" t="s">
        <v>7823</v>
      </c>
      <c r="C235" s="502">
        <v>697723</v>
      </c>
      <c r="D235" s="505">
        <v>122650</v>
      </c>
      <c r="E235" s="539">
        <v>20.149999999999999</v>
      </c>
      <c r="F235" s="31">
        <f t="shared" si="6"/>
        <v>14059.11845</v>
      </c>
      <c r="G235" s="31">
        <f t="shared" si="7"/>
        <v>2471.3975</v>
      </c>
      <c r="H235" s="209">
        <f>F235*cnst_carbon!$C$11/10^6</f>
        <v>7.8859609860481184E-4</v>
      </c>
      <c r="I235" s="209">
        <f>G235*carbon_intensity_n!$C$9</f>
        <v>1.1497482063071655E-4</v>
      </c>
      <c r="J235" s="233">
        <f>H235*cnst_carbon!$C$13*1000000</f>
        <v>265.4975399778732</v>
      </c>
      <c r="K235" s="30">
        <f>I235*cnst_carbon!$C$13*1000000</f>
        <v>38.708702833882128</v>
      </c>
    </row>
    <row r="236" spans="1:11" ht="12.5">
      <c r="A236" s="14" t="s">
        <v>495</v>
      </c>
      <c r="B236" s="770" t="s">
        <v>7824</v>
      </c>
      <c r="C236" s="502">
        <v>1783244</v>
      </c>
      <c r="D236" s="505">
        <v>1714684361</v>
      </c>
      <c r="E236" s="539">
        <v>21.45</v>
      </c>
      <c r="F236" s="31">
        <f t="shared" si="6"/>
        <v>38250.5838</v>
      </c>
      <c r="G236" s="31">
        <f t="shared" si="7"/>
        <v>36779979.543449998</v>
      </c>
      <c r="H236" s="209">
        <f>F236*cnst_carbon!$C$11/10^6</f>
        <v>2.1455300530622118E-3</v>
      </c>
      <c r="I236" s="209">
        <f>G236*carbon_intensity_n!$C$9</f>
        <v>1.7110851454731937</v>
      </c>
      <c r="J236" s="233">
        <f>H236*cnst_carbon!$C$13*1000000</f>
        <v>722.33802835749555</v>
      </c>
      <c r="K236" s="30">
        <f>I236*cnst_carbon!$C$13*1000000</f>
        <v>576072.9702055899</v>
      </c>
    </row>
    <row r="237" spans="1:11" ht="12.5">
      <c r="A237" s="14" t="s">
        <v>260</v>
      </c>
      <c r="B237" s="770" t="s">
        <v>7825</v>
      </c>
      <c r="C237" s="502">
        <v>798890.03060146398</v>
      </c>
      <c r="D237" s="505">
        <v>803878</v>
      </c>
      <c r="E237" s="539">
        <v>7.2</v>
      </c>
      <c r="F237" s="31">
        <f t="shared" si="6"/>
        <v>5752.008220330541</v>
      </c>
      <c r="G237" s="31">
        <f t="shared" si="7"/>
        <v>5787.9216000000006</v>
      </c>
      <c r="H237" s="209">
        <f>F237*cnst_carbon!$C$11/10^6</f>
        <v>3.2263838289914055E-4</v>
      </c>
      <c r="I237" s="209">
        <f>G237*carbon_intensity_n!$C$9</f>
        <v>2.692667803478194E-4</v>
      </c>
      <c r="J237" s="233">
        <f>H237*cnst_carbon!$C$13*1000000</f>
        <v>108.62302909399436</v>
      </c>
      <c r="K237" s="30">
        <f>I237*cnst_carbon!$C$13*1000000</f>
        <v>90.654351329645507</v>
      </c>
    </row>
    <row r="238" spans="1:11" ht="12.5">
      <c r="A238" s="14" t="s">
        <v>298</v>
      </c>
      <c r="B238" s="770" t="s">
        <v>7826</v>
      </c>
      <c r="C238" s="502">
        <v>108943576</v>
      </c>
      <c r="D238" s="505">
        <v>4713578</v>
      </c>
      <c r="E238" s="539">
        <v>21.45</v>
      </c>
      <c r="F238" s="31">
        <f t="shared" si="6"/>
        <v>2336839.7051999997</v>
      </c>
      <c r="G238" s="31">
        <f t="shared" si="7"/>
        <v>101106.2481</v>
      </c>
      <c r="H238" s="209">
        <f>F238*cnst_carbon!$C$11/10^6</f>
        <v>0.13107668742811812</v>
      </c>
      <c r="I238" s="209">
        <f>G238*carbon_intensity_n!$C$9</f>
        <v>4.7036839439799647E-3</v>
      </c>
      <c r="J238" s="233">
        <f>H238*cnst_carbon!$C$13*1000000</f>
        <v>44129.736530757968</v>
      </c>
      <c r="K238" s="30">
        <f>I238*cnst_carbon!$C$13*1000000</f>
        <v>1583.5945906523166</v>
      </c>
    </row>
    <row r="239" spans="1:11" ht="12.5">
      <c r="A239" s="14" t="s">
        <v>496</v>
      </c>
      <c r="B239" s="770" t="s">
        <v>7827</v>
      </c>
      <c r="C239" s="502">
        <v>15723332.9982074</v>
      </c>
      <c r="D239" s="505">
        <v>1444380</v>
      </c>
      <c r="E239" s="539">
        <v>21.45</v>
      </c>
      <c r="F239" s="31">
        <f t="shared" si="6"/>
        <v>337265.4928115487</v>
      </c>
      <c r="G239" s="31">
        <f t="shared" si="7"/>
        <v>30981.951000000001</v>
      </c>
      <c r="H239" s="209">
        <f>F239*cnst_carbon!$C$11/10^6</f>
        <v>1.8917704745934228E-2</v>
      </c>
      <c r="I239" s="209">
        <f>G239*carbon_intensity_n!$C$9</f>
        <v>1.4413481679959009E-3</v>
      </c>
      <c r="J239" s="233">
        <f>H239*cnst_carbon!$C$13*1000000</f>
        <v>6369.0450421442492</v>
      </c>
      <c r="K239" s="30">
        <f>I239*cnst_carbon!$C$13*1000000</f>
        <v>485.26031707683495</v>
      </c>
    </row>
    <row r="240" spans="1:11" ht="12.5">
      <c r="A240" s="14" t="s">
        <v>3099</v>
      </c>
      <c r="B240" s="770" t="s">
        <v>7828</v>
      </c>
      <c r="C240" s="502">
        <v>5841022.55465349</v>
      </c>
      <c r="D240" s="505">
        <v>19322.0765984016</v>
      </c>
      <c r="E240" s="539">
        <v>21.45</v>
      </c>
      <c r="F240" s="31">
        <f t="shared" si="6"/>
        <v>125289.93379731735</v>
      </c>
      <c r="G240" s="31">
        <f t="shared" si="7"/>
        <v>414.45854303571429</v>
      </c>
      <c r="H240" s="209">
        <f>F240*cnst_carbon!$C$11/10^6</f>
        <v>7.0276919095890837E-3</v>
      </c>
      <c r="I240" s="209">
        <f>G240*carbon_intensity_n!$C$9</f>
        <v>1.9281518511044607E-5</v>
      </c>
      <c r="J240" s="233">
        <f>H240*cnst_carbon!$C$13*1000000</f>
        <v>2366.0209795855549</v>
      </c>
      <c r="K240" s="30">
        <f>I240*cnst_carbon!$C$13*1000000</f>
        <v>6.4915306337136007</v>
      </c>
    </row>
    <row r="241" spans="1:11" ht="12.5">
      <c r="A241" s="14" t="s">
        <v>497</v>
      </c>
      <c r="B241" s="770" t="s">
        <v>7829</v>
      </c>
      <c r="C241" s="502">
        <v>1007859.59831751</v>
      </c>
      <c r="D241" s="505">
        <v>71294.25</v>
      </c>
      <c r="E241" s="539">
        <v>21.45</v>
      </c>
      <c r="F241" s="31">
        <f t="shared" si="6"/>
        <v>21618.588383910588</v>
      </c>
      <c r="G241" s="31">
        <f t="shared" si="7"/>
        <v>1529.2616624999998</v>
      </c>
      <c r="H241" s="209">
        <f>F241*cnst_carbon!$C$11/10^6</f>
        <v>1.2126175988577145E-3</v>
      </c>
      <c r="I241" s="209">
        <f>G241*carbon_intensity_n!$C$9</f>
        <v>7.1144599500229673E-5</v>
      </c>
      <c r="J241" s="233">
        <f>H241*cnst_carbon!$C$13*1000000</f>
        <v>408.25333779889206</v>
      </c>
      <c r="K241" s="30">
        <f>I241*cnst_carbon!$C$13*1000000</f>
        <v>23.952332738444962</v>
      </c>
    </row>
    <row r="242" spans="1:11" ht="12.5">
      <c r="A242" s="14" t="s">
        <v>2718</v>
      </c>
      <c r="B242" s="770" t="s">
        <v>7830</v>
      </c>
      <c r="C242" s="502">
        <v>543713</v>
      </c>
      <c r="D242" s="505">
        <v>13458334</v>
      </c>
      <c r="E242" s="539">
        <v>21.45</v>
      </c>
      <c r="F242" s="31">
        <f t="shared" si="6"/>
        <v>11662.64385</v>
      </c>
      <c r="G242" s="31">
        <f t="shared" si="7"/>
        <v>288681.26430000004</v>
      </c>
      <c r="H242" s="209">
        <f>F242*cnst_carbon!$C$11/10^6</f>
        <v>6.5417440447892398E-4</v>
      </c>
      <c r="I242" s="209">
        <f>G242*carbon_intensity_n!$C$9</f>
        <v>1.343008422657261E-2</v>
      </c>
      <c r="J242" s="233">
        <f>H242*cnst_carbon!$C$13*1000000</f>
        <v>220.24163626084766</v>
      </c>
      <c r="K242" s="30">
        <f>I242*cnst_carbon!$C$13*1000000</f>
        <v>4521.521638464912</v>
      </c>
    </row>
    <row r="243" spans="1:11" ht="12.5">
      <c r="A243" s="14" t="s">
        <v>2719</v>
      </c>
      <c r="B243" s="770" t="s">
        <v>7831</v>
      </c>
      <c r="C243" s="502">
        <v>6734156.25</v>
      </c>
      <c r="D243" s="505">
        <v>19082738</v>
      </c>
      <c r="E243" s="539">
        <v>21.45</v>
      </c>
      <c r="F243" s="31">
        <f t="shared" si="6"/>
        <v>144447.65156249999</v>
      </c>
      <c r="G243" s="31">
        <f t="shared" si="7"/>
        <v>409324.73009999999</v>
      </c>
      <c r="H243" s="209">
        <f>F243*cnst_carbon!$C$11/10^6</f>
        <v>8.1022757493599985E-3</v>
      </c>
      <c r="I243" s="209">
        <f>G243*carbon_intensity_n!$C$9</f>
        <v>1.904268229734956E-2</v>
      </c>
      <c r="J243" s="233">
        <f>H243*cnst_carbon!$C$13*1000000</f>
        <v>2727.8023356738081</v>
      </c>
      <c r="K243" s="30">
        <f>I243*cnst_carbon!$C$13*1000000</f>
        <v>6411.1213756588741</v>
      </c>
    </row>
    <row r="244" spans="1:11" ht="12.5">
      <c r="A244" s="14" t="s">
        <v>2720</v>
      </c>
      <c r="B244" s="770" t="s">
        <v>7832</v>
      </c>
      <c r="C244" s="502">
        <v>57320534.252553202</v>
      </c>
      <c r="D244" s="505">
        <v>1716851</v>
      </c>
      <c r="E244" s="539">
        <v>30</v>
      </c>
      <c r="F244" s="31">
        <f t="shared" si="6"/>
        <v>1719616.027576596</v>
      </c>
      <c r="G244" s="31">
        <f t="shared" si="7"/>
        <v>51505.53</v>
      </c>
      <c r="H244" s="209">
        <f>F244*cnst_carbon!$C$11/10^6</f>
        <v>9.6455726955284884E-2</v>
      </c>
      <c r="I244" s="209">
        <f>G244*carbon_intensity_n!$C$9</f>
        <v>2.3961499812312627E-3</v>
      </c>
      <c r="J244" s="233">
        <f>H244*cnst_carbon!$C$13*1000000</f>
        <v>32473.858631449879</v>
      </c>
      <c r="K244" s="30">
        <f>I244*cnst_carbon!$C$13*1000000</f>
        <v>806.7145228849671</v>
      </c>
    </row>
    <row r="245" spans="1:11" ht="12.5">
      <c r="A245" s="14" t="s">
        <v>2721</v>
      </c>
      <c r="B245" s="770" t="s">
        <v>7833</v>
      </c>
      <c r="C245" s="502">
        <v>45053508.281104602</v>
      </c>
      <c r="D245" s="505">
        <v>15693820</v>
      </c>
      <c r="E245" s="539">
        <v>21.45</v>
      </c>
      <c r="F245" s="31">
        <f t="shared" si="6"/>
        <v>966397.7526296936</v>
      </c>
      <c r="G245" s="31">
        <f t="shared" si="7"/>
        <v>336632.43900000001</v>
      </c>
      <c r="H245" s="209">
        <f>F245*cnst_carbon!$C$11/10^6</f>
        <v>5.4206634657398049E-2</v>
      </c>
      <c r="I245" s="209">
        <f>G245*carbon_intensity_n!$C$9</f>
        <v>1.5660877820142503E-2</v>
      </c>
      <c r="J245" s="233">
        <f>H245*cnst_carbon!$C$13*1000000</f>
        <v>18249.808967455487</v>
      </c>
      <c r="K245" s="30">
        <f>I245*cnst_carbon!$C$13*1000000</f>
        <v>5272.565439390447</v>
      </c>
    </row>
    <row r="246" spans="1:11" ht="12.5">
      <c r="A246" s="14" t="s">
        <v>2425</v>
      </c>
      <c r="B246" s="770" t="s">
        <v>7834</v>
      </c>
      <c r="C246" s="502">
        <v>591236.82762228604</v>
      </c>
      <c r="D246" s="505">
        <v>353352.78594904899</v>
      </c>
      <c r="E246" s="539">
        <v>21</v>
      </c>
      <c r="F246" s="31">
        <f t="shared" si="6"/>
        <v>12415.973380068008</v>
      </c>
      <c r="G246" s="31">
        <f t="shared" si="7"/>
        <v>7420.4085049300284</v>
      </c>
      <c r="H246" s="209">
        <f>F246*cnst_carbon!$C$11/10^6</f>
        <v>6.9642973723596654E-4</v>
      </c>
      <c r="I246" s="209">
        <f>G246*carbon_intensity_n!$C$9</f>
        <v>3.4521364404591879E-4</v>
      </c>
      <c r="J246" s="233">
        <f>H246*cnst_carbon!$C$13*1000000</f>
        <v>234.46778690728044</v>
      </c>
      <c r="K246" s="30">
        <f>I246*cnst_carbon!$C$13*1000000</f>
        <v>116.2234677842589</v>
      </c>
    </row>
    <row r="247" spans="1:11" ht="12.5">
      <c r="A247" s="14" t="s">
        <v>2832</v>
      </c>
      <c r="B247" s="770" t="s">
        <v>7835</v>
      </c>
      <c r="C247" s="502">
        <v>1528603274.6148801</v>
      </c>
      <c r="D247" s="505">
        <v>1747403230.74067</v>
      </c>
      <c r="E247" s="539">
        <v>40</v>
      </c>
      <c r="F247" s="31">
        <f t="shared" si="6"/>
        <v>61144130.984595202</v>
      </c>
      <c r="G247" s="31">
        <f t="shared" si="7"/>
        <v>69896129.229626805</v>
      </c>
      <c r="H247" s="209">
        <f>F247*cnst_carbon!$C$11/10^6</f>
        <v>3.4296619178874166</v>
      </c>
      <c r="I247" s="209">
        <f>G247*carbon_intensity_n!$C$9</f>
        <v>3.2517209072833189</v>
      </c>
      <c r="J247" s="233">
        <f>H247*cnst_carbon!$C$13*1000000</f>
        <v>1154668.1549222511</v>
      </c>
      <c r="K247" s="30">
        <f>I247*cnst_carbon!$C$13*1000000</f>
        <v>1094760.5537305295</v>
      </c>
    </row>
    <row r="248" spans="1:11" ht="12.5">
      <c r="A248" s="14" t="s">
        <v>153</v>
      </c>
      <c r="B248" s="770" t="s">
        <v>7836</v>
      </c>
      <c r="C248" s="502">
        <v>973380412.74522805</v>
      </c>
      <c r="D248" s="505">
        <v>789887876.60432994</v>
      </c>
      <c r="E248" s="539">
        <v>88</v>
      </c>
      <c r="F248" s="31">
        <f t="shared" si="6"/>
        <v>85657476.321580067</v>
      </c>
      <c r="G248" s="31">
        <f t="shared" si="7"/>
        <v>69510133.141181037</v>
      </c>
      <c r="H248" s="209">
        <f>F248*cnst_carbon!$C$11/10^6</f>
        <v>4.8046505820236609</v>
      </c>
      <c r="I248" s="209">
        <f>G248*carbon_intensity_n!$C$9</f>
        <v>3.2337635244530736</v>
      </c>
      <c r="J248" s="233">
        <f>H248*cnst_carbon!$C$13*1000000</f>
        <v>1617587.1428192162</v>
      </c>
      <c r="K248" s="30">
        <f>I248*cnst_carbon!$C$13*1000000</f>
        <v>1088714.8213533266</v>
      </c>
    </row>
    <row r="249" spans="1:11" ht="12.5">
      <c r="A249" s="14" t="s">
        <v>936</v>
      </c>
      <c r="B249" s="770" t="s">
        <v>7837</v>
      </c>
      <c r="C249" s="502">
        <v>24190763.661455698</v>
      </c>
      <c r="D249" s="505">
        <v>165617777.774187</v>
      </c>
      <c r="E249" s="539">
        <v>137</v>
      </c>
      <c r="F249" s="31">
        <f t="shared" si="6"/>
        <v>3314134.6216194304</v>
      </c>
      <c r="G249" s="31">
        <f t="shared" si="7"/>
        <v>22689635.555063616</v>
      </c>
      <c r="H249" s="209">
        <f>F249*cnst_carbon!$C$11/10^6</f>
        <v>0.18589455961658941</v>
      </c>
      <c r="I249" s="209">
        <f>G249*carbon_intensity_n!$C$9</f>
        <v>1.0555715048347212</v>
      </c>
      <c r="J249" s="233">
        <f>H249*cnst_carbon!$C$13*1000000</f>
        <v>62585.331528767245</v>
      </c>
      <c r="K249" s="30">
        <f>I249*cnst_carbon!$C$13*1000000</f>
        <v>355380.45179298089</v>
      </c>
    </row>
    <row r="250" spans="1:11" ht="12.5">
      <c r="A250" s="14" t="s">
        <v>2621</v>
      </c>
      <c r="B250" s="770" t="s">
        <v>7838</v>
      </c>
      <c r="C250" s="502">
        <v>36539278.6017133</v>
      </c>
      <c r="D250" s="505">
        <v>8972498</v>
      </c>
      <c r="E250" s="539">
        <v>40</v>
      </c>
      <c r="F250" s="31">
        <f t="shared" si="6"/>
        <v>1461571.1440685319</v>
      </c>
      <c r="G250" s="31">
        <f t="shared" si="7"/>
        <v>358899.92</v>
      </c>
      <c r="H250" s="209">
        <f>F250*cnst_carbon!$C$11/10^6</f>
        <v>8.1981619697201968E-2</v>
      </c>
      <c r="I250" s="209">
        <f>G250*carbon_intensity_n!$C$9</f>
        <v>1.6696809771143056E-2</v>
      </c>
      <c r="J250" s="233">
        <f>H250*cnst_carbon!$C$13*1000000</f>
        <v>27600.844578760974</v>
      </c>
      <c r="K250" s="30">
        <f>I250*cnst_carbon!$C$13*1000000</f>
        <v>5621.3338203927406</v>
      </c>
    </row>
    <row r="251" spans="1:11" ht="12.5">
      <c r="A251" s="14" t="s">
        <v>2465</v>
      </c>
      <c r="B251" s="770" t="s">
        <v>7839</v>
      </c>
      <c r="C251" s="502">
        <v>321332171.25</v>
      </c>
      <c r="D251" s="505">
        <v>93155292.570598096</v>
      </c>
      <c r="E251" s="539">
        <v>21.45</v>
      </c>
      <c r="F251" s="31">
        <f t="shared" si="6"/>
        <v>6892575.0733124996</v>
      </c>
      <c r="G251" s="31">
        <f t="shared" si="7"/>
        <v>1998181.0256393291</v>
      </c>
      <c r="H251" s="209">
        <f>F251*cnst_carbon!$C$11/10^6</f>
        <v>0.38661441195518287</v>
      </c>
      <c r="I251" s="209">
        <f>G251*carbon_intensity_n!$C$9</f>
        <v>9.2959754556109692E-2</v>
      </c>
      <c r="J251" s="233">
        <f>H251*cnst_carbon!$C$13*1000000</f>
        <v>130161.91111735583</v>
      </c>
      <c r="K251" s="30">
        <f>I251*cnst_carbon!$C$13*1000000</f>
        <v>31296.86565183245</v>
      </c>
    </row>
    <row r="252" spans="1:11" ht="12.5">
      <c r="A252" s="14" t="s">
        <v>3507</v>
      </c>
      <c r="B252" s="770" t="s">
        <v>7840</v>
      </c>
      <c r="C252" s="502">
        <v>22428727.0560745</v>
      </c>
      <c r="D252" s="505">
        <v>449639</v>
      </c>
      <c r="E252" s="539">
        <v>40</v>
      </c>
      <c r="F252" s="31">
        <f t="shared" si="6"/>
        <v>897149.08224298002</v>
      </c>
      <c r="G252" s="31">
        <f t="shared" si="7"/>
        <v>17985.560000000001</v>
      </c>
      <c r="H252" s="209">
        <f>F252*cnst_carbon!$C$11/10^6</f>
        <v>5.0322377511777878E-2</v>
      </c>
      <c r="I252" s="209">
        <f>G252*carbon_intensity_n!$C$9</f>
        <v>8.3672761461601802E-4</v>
      </c>
      <c r="J252" s="233">
        <f>H252*cnst_carbon!$C$13*1000000</f>
        <v>16942.091723319809</v>
      </c>
      <c r="K252" s="30">
        <f>I252*cnst_carbon!$C$13*1000000</f>
        <v>281.70203188315799</v>
      </c>
    </row>
    <row r="253" spans="1:11" ht="12.5">
      <c r="A253" s="14" t="s">
        <v>1772</v>
      </c>
      <c r="B253" s="770" t="s">
        <v>7841</v>
      </c>
      <c r="C253" s="502">
        <v>267175029.732234</v>
      </c>
      <c r="D253" s="505">
        <v>16466344.520641901</v>
      </c>
      <c r="E253" s="539">
        <v>40</v>
      </c>
      <c r="F253" s="31">
        <f t="shared" si="6"/>
        <v>10687001.189289359</v>
      </c>
      <c r="G253" s="31">
        <f t="shared" si="7"/>
        <v>658653.78082567593</v>
      </c>
      <c r="H253" s="209">
        <f>F253*cnst_carbon!$C$11/10^6</f>
        <v>0.59944920968060933</v>
      </c>
      <c r="I253" s="209">
        <f>G253*carbon_intensity_n!$C$9</f>
        <v>3.0642015421709936E-2</v>
      </c>
      <c r="J253" s="233">
        <f>H253*cnst_carbon!$C$13*1000000</f>
        <v>201817.24306454862</v>
      </c>
      <c r="K253" s="30">
        <f>I253*cnst_carbon!$C$13*1000000</f>
        <v>10316.281970987677</v>
      </c>
    </row>
    <row r="254" spans="1:11" ht="12.5">
      <c r="A254" s="14" t="s">
        <v>5355</v>
      </c>
      <c r="B254" s="770" t="s">
        <v>7842</v>
      </c>
      <c r="C254" s="502">
        <v>92305706.500230506</v>
      </c>
      <c r="D254" s="505">
        <v>11619217.480283501</v>
      </c>
      <c r="E254" s="539">
        <v>40</v>
      </c>
      <c r="F254" s="31">
        <f t="shared" si="6"/>
        <v>3692228.2600092203</v>
      </c>
      <c r="G254" s="31">
        <f t="shared" si="7"/>
        <v>464768.69921133999</v>
      </c>
      <c r="H254" s="209">
        <f>F254*cnst_carbon!$C$11/10^6</f>
        <v>0.20710237354901179</v>
      </c>
      <c r="I254" s="209">
        <f>G254*carbon_intensity_n!$C$9</f>
        <v>2.1622057085756242E-2</v>
      </c>
      <c r="J254" s="233">
        <f>H254*cnst_carbon!$C$13*1000000</f>
        <v>69725.39021955755</v>
      </c>
      <c r="K254" s="30">
        <f>I254*cnst_carbon!$C$13*1000000</f>
        <v>7279.5224015002459</v>
      </c>
    </row>
    <row r="255" spans="1:11" ht="12.5">
      <c r="A255" s="14" t="s">
        <v>5356</v>
      </c>
      <c r="B255" s="770" t="s">
        <v>7843</v>
      </c>
      <c r="C255" s="502">
        <v>20398032.357384399</v>
      </c>
      <c r="D255" s="505">
        <v>13601530.1677064</v>
      </c>
      <c r="E255" s="539">
        <v>40</v>
      </c>
      <c r="F255" s="31">
        <f t="shared" si="6"/>
        <v>815921.29429537593</v>
      </c>
      <c r="G255" s="31">
        <f t="shared" si="7"/>
        <v>544061.20670825604</v>
      </c>
      <c r="H255" s="209">
        <f>F255*cnst_carbon!$C$11/10^6</f>
        <v>4.5766194497772507E-2</v>
      </c>
      <c r="I255" s="209">
        <f>G255*carbon_intensity_n!$C$9</f>
        <v>2.5310918075061958E-2</v>
      </c>
      <c r="J255" s="233">
        <f>H255*cnst_carbon!$C$13*1000000</f>
        <v>15408.156437502994</v>
      </c>
      <c r="K255" s="30">
        <f>I255*cnst_carbon!$C$13*1000000</f>
        <v>8521.4554008059004</v>
      </c>
    </row>
    <row r="256" spans="1:11" ht="12.5">
      <c r="A256" s="14" t="s">
        <v>1217</v>
      </c>
      <c r="B256" s="770" t="s">
        <v>7844</v>
      </c>
      <c r="C256" s="502">
        <v>188560305</v>
      </c>
      <c r="D256" s="505">
        <v>51628833.028637297</v>
      </c>
      <c r="E256" s="539">
        <v>40</v>
      </c>
      <c r="F256" s="31">
        <f t="shared" si="6"/>
        <v>7542412.2000000002</v>
      </c>
      <c r="G256" s="31">
        <f t="shared" si="7"/>
        <v>2065153.3211454919</v>
      </c>
      <c r="H256" s="209">
        <f>F256*cnst_carbon!$C$11/10^6</f>
        <v>0.42306470751651826</v>
      </c>
      <c r="I256" s="209">
        <f>G256*carbon_intensity_n!$C$9</f>
        <v>9.60754523194393E-2</v>
      </c>
      <c r="J256" s="233">
        <f>H256*cnst_carbon!$C$13*1000000</f>
        <v>142433.67332886354</v>
      </c>
      <c r="K256" s="30">
        <f>I256*cnst_carbon!$C$13*1000000</f>
        <v>32345.83113992208</v>
      </c>
    </row>
    <row r="257" spans="1:11" ht="12.5">
      <c r="A257" s="14" t="s">
        <v>1218</v>
      </c>
      <c r="B257" s="770" t="s">
        <v>7845</v>
      </c>
      <c r="C257" s="502">
        <v>84318363.374551699</v>
      </c>
      <c r="D257" s="505">
        <v>886500542</v>
      </c>
      <c r="E257" s="539">
        <v>40</v>
      </c>
      <c r="F257" s="31">
        <f t="shared" si="6"/>
        <v>3372734.534982068</v>
      </c>
      <c r="G257" s="31">
        <f t="shared" si="7"/>
        <v>35460021.68</v>
      </c>
      <c r="H257" s="209">
        <f>F257*cnst_carbon!$C$11/10^6</f>
        <v>0.18918151272255429</v>
      </c>
      <c r="I257" s="209">
        <f>G257*carbon_intensity_n!$C$9</f>
        <v>1.649677816789618</v>
      </c>
      <c r="J257" s="233">
        <f>H257*cnst_carbon!$C$13*1000000</f>
        <v>63691.953746655789</v>
      </c>
      <c r="K257" s="30">
        <f>I257*cnst_carbon!$C$13*1000000</f>
        <v>555398.89544038847</v>
      </c>
    </row>
    <row r="258" spans="1:11" ht="12.5">
      <c r="A258" s="14" t="s">
        <v>1219</v>
      </c>
      <c r="B258" s="770" t="s">
        <v>7846</v>
      </c>
      <c r="C258" s="502">
        <v>421957696.90723097</v>
      </c>
      <c r="D258" s="505">
        <v>1723251593.9330201</v>
      </c>
      <c r="E258" s="539">
        <v>40</v>
      </c>
      <c r="F258" s="31">
        <f t="shared" si="6"/>
        <v>16878307.876289237</v>
      </c>
      <c r="G258" s="31">
        <f t="shared" si="7"/>
        <v>68930063.757320806</v>
      </c>
      <c r="H258" s="209">
        <f>F258*cnst_carbon!$C$11/10^6</f>
        <v>0.94672847302830421</v>
      </c>
      <c r="I258" s="209">
        <f>G258*carbon_intensity_n!$C$9</f>
        <v>3.2067774271689662</v>
      </c>
      <c r="J258" s="233">
        <f>H258*cnst_carbon!$C$13*1000000</f>
        <v>318736.14523419517</v>
      </c>
      <c r="K258" s="30">
        <f>I258*cnst_carbon!$C$13*1000000</f>
        <v>1079629.3814745217</v>
      </c>
    </row>
    <row r="259" spans="1:11" ht="12.5">
      <c r="A259" s="14" t="s">
        <v>3667</v>
      </c>
      <c r="B259" s="770" t="s">
        <v>7847</v>
      </c>
      <c r="C259" s="502">
        <v>1050521.8764259701</v>
      </c>
      <c r="D259" s="505">
        <v>2896418</v>
      </c>
      <c r="E259" s="539">
        <v>40</v>
      </c>
      <c r="F259" s="31">
        <f t="shared" si="6"/>
        <v>42020.875057038807</v>
      </c>
      <c r="G259" s="31">
        <f t="shared" si="7"/>
        <v>115856.72</v>
      </c>
      <c r="H259" s="209">
        <f>F259*cnst_carbon!$C$11/10^6</f>
        <v>2.3570110919679354E-3</v>
      </c>
      <c r="I259" s="209">
        <f>G259*carbon_intensity_n!$C$9</f>
        <v>5.389908179830703E-3</v>
      </c>
      <c r="J259" s="233">
        <f>H259*cnst_carbon!$C$13*1000000</f>
        <v>793.53758879251586</v>
      </c>
      <c r="K259" s="30">
        <f>I259*cnst_carbon!$C$13*1000000</f>
        <v>1814.6264798715251</v>
      </c>
    </row>
    <row r="260" spans="1:11" ht="12.5">
      <c r="A260" s="14" t="s">
        <v>3668</v>
      </c>
      <c r="B260" s="770" t="s">
        <v>7848</v>
      </c>
      <c r="C260" s="502">
        <v>34044094.5871711</v>
      </c>
      <c r="D260" s="505">
        <v>68155782</v>
      </c>
      <c r="E260" s="539">
        <v>40</v>
      </c>
      <c r="F260" s="31">
        <f t="shared" si="6"/>
        <v>1361763.783486844</v>
      </c>
      <c r="G260" s="31">
        <f t="shared" si="7"/>
        <v>2726231.28</v>
      </c>
      <c r="H260" s="209">
        <f>F260*cnst_carbon!$C$11/10^6</f>
        <v>7.6383281832229866E-2</v>
      </c>
      <c r="I260" s="209">
        <f>G260*carbon_intensity_n!$C$9</f>
        <v>0.12683024580863611</v>
      </c>
      <c r="J260" s="233">
        <f>H260*cnst_carbon!$C$13*1000000</f>
        <v>25716.045841175637</v>
      </c>
      <c r="K260" s="30">
        <f>I260*cnst_carbon!$C$13*1000000</f>
        <v>42700.082230379405</v>
      </c>
    </row>
    <row r="261" spans="1:11" ht="12.5">
      <c r="A261" s="14" t="s">
        <v>3669</v>
      </c>
      <c r="B261" s="770" t="s">
        <v>7849</v>
      </c>
      <c r="C261" s="502">
        <v>2473538523.3320298</v>
      </c>
      <c r="D261" s="505">
        <v>1287537558</v>
      </c>
      <c r="E261" s="539">
        <v>40</v>
      </c>
      <c r="F261" s="31">
        <f t="shared" si="6"/>
        <v>98941540.933281183</v>
      </c>
      <c r="G261" s="31">
        <f t="shared" si="7"/>
        <v>51501502.32</v>
      </c>
      <c r="H261" s="209">
        <f>F261*cnst_carbon!$C$11/10^6</f>
        <v>5.5497728002948739</v>
      </c>
      <c r="I261" s="209">
        <f>G261*carbon_intensity_n!$C$9</f>
        <v>2.3959626047426332</v>
      </c>
      <c r="J261" s="233">
        <f>H261*cnst_carbon!$C$13*1000000</f>
        <v>1868448.2823605626</v>
      </c>
      <c r="K261" s="30">
        <f>I261*cnst_carbon!$C$13*1000000</f>
        <v>806651.43863072235</v>
      </c>
    </row>
    <row r="262" spans="1:11" ht="12.5">
      <c r="A262" s="14" t="s">
        <v>3670</v>
      </c>
      <c r="B262" s="770" t="s">
        <v>7850</v>
      </c>
      <c r="C262" s="502">
        <v>283444292.69769597</v>
      </c>
      <c r="D262" s="505">
        <v>714995871</v>
      </c>
      <c r="E262" s="539">
        <v>40</v>
      </c>
      <c r="F262" s="31">
        <f t="shared" si="6"/>
        <v>11337771.707907839</v>
      </c>
      <c r="G262" s="31">
        <f t="shared" si="7"/>
        <v>28599834.84</v>
      </c>
      <c r="H262" s="209">
        <f>F262*cnst_carbon!$C$11/10^6</f>
        <v>0.63595186053277297</v>
      </c>
      <c r="I262" s="209">
        <f>G262*carbon_intensity_n!$C$9</f>
        <v>1.3305269107042141</v>
      </c>
      <c r="J262" s="233">
        <f>H262*cnst_carbon!$C$13*1000000</f>
        <v>214106.63179100401</v>
      </c>
      <c r="K262" s="30">
        <f>I262*cnst_carbon!$C$13*1000000</f>
        <v>447949.99910765822</v>
      </c>
    </row>
    <row r="263" spans="1:11" ht="12.5">
      <c r="A263" s="14" t="s">
        <v>3671</v>
      </c>
      <c r="B263" s="770" t="s">
        <v>7851</v>
      </c>
      <c r="C263" s="502">
        <v>431509768.85099602</v>
      </c>
      <c r="D263" s="505">
        <v>177905359</v>
      </c>
      <c r="E263" s="539">
        <v>40</v>
      </c>
      <c r="F263" s="31">
        <f t="shared" si="6"/>
        <v>17260390.754039839</v>
      </c>
      <c r="G263" s="31">
        <f t="shared" si="7"/>
        <v>7116214.3600000003</v>
      </c>
      <c r="H263" s="209">
        <f>F263*cnst_carbon!$C$11/10^6</f>
        <v>0.96816004911249476</v>
      </c>
      <c r="I263" s="209">
        <f>G263*carbon_intensity_n!$C$9</f>
        <v>0.33106186666075749</v>
      </c>
      <c r="J263" s="233">
        <f>H263*cnst_carbon!$C$13*1000000</f>
        <v>325951.538181571</v>
      </c>
      <c r="K263" s="30">
        <f>I263*cnst_carbon!$C$13*1000000</f>
        <v>111458.97289426111</v>
      </c>
    </row>
    <row r="264" spans="1:11" ht="12.5">
      <c r="A264" s="14" t="s">
        <v>3671</v>
      </c>
      <c r="B264" s="770" t="s">
        <v>7852</v>
      </c>
      <c r="C264" s="502">
        <v>55679052.388237797</v>
      </c>
      <c r="D264" s="505">
        <v>33763417.729963399</v>
      </c>
      <c r="E264" s="539">
        <v>40</v>
      </c>
      <c r="F264" s="31">
        <f t="shared" ref="F264:F327" si="8">C264*$E264/1000</f>
        <v>2227162.095529512</v>
      </c>
      <c r="G264" s="31">
        <f t="shared" ref="G264:G327" si="9">D264*E264/1000</f>
        <v>1350536.7091985359</v>
      </c>
      <c r="H264" s="209">
        <f>F264*cnst_carbon!$C$11/10^6</f>
        <v>0.12492471314907304</v>
      </c>
      <c r="I264" s="209">
        <f>G264*carbon_intensity_n!$C$9</f>
        <v>6.2829923513032543E-2</v>
      </c>
      <c r="J264" s="233">
        <f>H264*cnst_carbon!$C$13*1000000</f>
        <v>42058.544395793921</v>
      </c>
      <c r="K264" s="30">
        <f>I264*cnst_carbon!$C$13*1000000</f>
        <v>21153.021374592794</v>
      </c>
    </row>
    <row r="265" spans="1:11" ht="12.5">
      <c r="A265" s="14" t="s">
        <v>1903</v>
      </c>
      <c r="B265" s="770" t="s">
        <v>7853</v>
      </c>
      <c r="C265" s="502">
        <v>43938070.010839298</v>
      </c>
      <c r="D265" s="505">
        <v>785716839.75</v>
      </c>
      <c r="E265" s="539">
        <v>40</v>
      </c>
      <c r="F265" s="31">
        <f t="shared" si="8"/>
        <v>1757522.8004335719</v>
      </c>
      <c r="G265" s="31">
        <f t="shared" si="9"/>
        <v>31428673.59</v>
      </c>
      <c r="H265" s="209">
        <f>F265*cnst_carbon!$C$11/10^6</f>
        <v>9.8581972159920025E-2</v>
      </c>
      <c r="I265" s="209">
        <f>G265*carbon_intensity_n!$C$9</f>
        <v>1.4621306805852108</v>
      </c>
      <c r="J265" s="233">
        <f>H265*cnst_carbon!$C$13*1000000</f>
        <v>33189.704008087065</v>
      </c>
      <c r="K265" s="30">
        <f>I265*cnst_carbon!$C$13*1000000</f>
        <v>492257.18908366188</v>
      </c>
    </row>
    <row r="266" spans="1:11" ht="12.5">
      <c r="A266" s="14" t="s">
        <v>1904</v>
      </c>
      <c r="B266" s="770" t="s">
        <v>7854</v>
      </c>
      <c r="C266" s="502">
        <v>2745146.5803112099</v>
      </c>
      <c r="D266" s="505">
        <v>123210</v>
      </c>
      <c r="E266" s="539">
        <v>40</v>
      </c>
      <c r="F266" s="31">
        <f t="shared" si="8"/>
        <v>109805.86321244838</v>
      </c>
      <c r="G266" s="31">
        <f t="shared" si="9"/>
        <v>4928.3999999999996</v>
      </c>
      <c r="H266" s="209">
        <f>F266*cnst_carbon!$C$11/10^6</f>
        <v>6.1591682039829759E-3</v>
      </c>
      <c r="I266" s="209">
        <f>G266*carbon_intensity_n!$C$9</f>
        <v>2.2927995435636047E-4</v>
      </c>
      <c r="J266" s="233">
        <f>H266*cnst_carbon!$C$13*1000000</f>
        <v>2073.6141218051898</v>
      </c>
      <c r="K266" s="30">
        <f>I266*cnst_carbon!$C$13*1000000</f>
        <v>77.191941420392567</v>
      </c>
    </row>
    <row r="267" spans="1:11" ht="12.5">
      <c r="A267" s="14" t="s">
        <v>4153</v>
      </c>
      <c r="B267" s="770" t="s">
        <v>7855</v>
      </c>
      <c r="C267" s="502">
        <v>26566.9119881765</v>
      </c>
      <c r="D267" s="505">
        <v>123319.51079676099</v>
      </c>
      <c r="E267" s="539">
        <v>40</v>
      </c>
      <c r="F267" s="31">
        <f t="shared" si="8"/>
        <v>1062.6764795270599</v>
      </c>
      <c r="G267" s="31">
        <f t="shared" si="9"/>
        <v>4932.7804318704402</v>
      </c>
      <c r="H267" s="209">
        <f>F267*cnst_carbon!$C$11/10^6</f>
        <v>5.9607046402979529E-5</v>
      </c>
      <c r="I267" s="209">
        <f>G267*carbon_intensity_n!$C$9</f>
        <v>2.2948374163403999E-4</v>
      </c>
      <c r="J267" s="233">
        <f>H267*cnst_carbon!$C$13*1000000</f>
        <v>20.067971694681976</v>
      </c>
      <c r="K267" s="30">
        <f>I267*cnst_carbon!$C$13*1000000</f>
        <v>77.260550713538223</v>
      </c>
    </row>
    <row r="268" spans="1:11" ht="12.5">
      <c r="A268" s="14" t="s">
        <v>4154</v>
      </c>
      <c r="B268" s="770" t="s">
        <v>7856</v>
      </c>
      <c r="C268" s="502">
        <v>202504.54764857201</v>
      </c>
      <c r="D268" s="505">
        <v>113332</v>
      </c>
      <c r="E268" s="539">
        <v>40</v>
      </c>
      <c r="F268" s="31">
        <f t="shared" si="8"/>
        <v>8100.1819059428808</v>
      </c>
      <c r="G268" s="31">
        <f t="shared" si="9"/>
        <v>4533.28</v>
      </c>
      <c r="H268" s="209">
        <f>F268*cnst_carbon!$C$11/10^6</f>
        <v>4.543508095285906E-4</v>
      </c>
      <c r="I268" s="209">
        <f>G268*carbon_intensity_n!$C$9</f>
        <v>2.1089810719190851E-4</v>
      </c>
      <c r="J268" s="233">
        <f>H268*cnst_carbon!$C$13*1000000</f>
        <v>152.9668006603298</v>
      </c>
      <c r="K268" s="30">
        <f>I268*cnst_carbon!$C$13*1000000</f>
        <v>71.003304155960805</v>
      </c>
    </row>
    <row r="269" spans="1:11" ht="12.5">
      <c r="A269" s="14" t="s">
        <v>4155</v>
      </c>
      <c r="B269" s="770" t="s">
        <v>7857</v>
      </c>
      <c r="C269" s="502"/>
      <c r="D269" s="505">
        <v>29472570</v>
      </c>
      <c r="E269" s="539">
        <v>40</v>
      </c>
      <c r="F269" s="31">
        <f t="shared" si="8"/>
        <v>0</v>
      </c>
      <c r="G269" s="31">
        <f t="shared" si="9"/>
        <v>1178902.8</v>
      </c>
      <c r="H269" s="209">
        <f>F269*cnst_carbon!$C$11/10^6</f>
        <v>0</v>
      </c>
      <c r="I269" s="209">
        <f>G269*carbon_intensity_n!$C$9</f>
        <v>5.4845138417049265E-2</v>
      </c>
      <c r="J269" s="233">
        <f>H269*cnst_carbon!$C$13*1000000</f>
        <v>0</v>
      </c>
      <c r="K269" s="30">
        <f>I269*cnst_carbon!$C$13*1000000</f>
        <v>18464.774750007466</v>
      </c>
    </row>
    <row r="270" spans="1:11" ht="12.5">
      <c r="A270" s="14" t="s">
        <v>486</v>
      </c>
      <c r="B270" s="770" t="s">
        <v>7858</v>
      </c>
      <c r="C270" s="502"/>
      <c r="D270" s="505"/>
      <c r="E270" s="539">
        <v>40</v>
      </c>
      <c r="F270" s="31">
        <f t="shared" si="8"/>
        <v>0</v>
      </c>
      <c r="G270" s="31">
        <f t="shared" si="9"/>
        <v>0</v>
      </c>
      <c r="H270" s="209">
        <f>F270*cnst_carbon!$C$11/10^6</f>
        <v>0</v>
      </c>
      <c r="I270" s="209">
        <f>G270*carbon_intensity_n!$C$9</f>
        <v>0</v>
      </c>
      <c r="J270" s="233">
        <f>H270*cnst_carbon!$C$13*1000000</f>
        <v>0</v>
      </c>
      <c r="K270" s="30">
        <f>I270*cnst_carbon!$C$13*1000000</f>
        <v>0</v>
      </c>
    </row>
    <row r="271" spans="1:11" ht="12.5">
      <c r="A271" s="14" t="s">
        <v>487</v>
      </c>
      <c r="B271" s="770" t="s">
        <v>7859</v>
      </c>
      <c r="C271" s="502">
        <v>88761757.502980098</v>
      </c>
      <c r="D271" s="505">
        <v>187053654</v>
      </c>
      <c r="E271" s="539">
        <v>40</v>
      </c>
      <c r="F271" s="31">
        <f t="shared" si="8"/>
        <v>3550470.300119204</v>
      </c>
      <c r="G271" s="31">
        <f t="shared" si="9"/>
        <v>7482146.1600000001</v>
      </c>
      <c r="H271" s="209">
        <f>F271*cnst_carbon!$C$11/10^6</f>
        <v>0.19915096645951222</v>
      </c>
      <c r="I271" s="209">
        <f>G271*carbon_intensity_n!$C$9</f>
        <v>0.34808581487955886</v>
      </c>
      <c r="J271" s="233">
        <f>H271*cnst_carbon!$C$13*1000000</f>
        <v>67048.381006146927</v>
      </c>
      <c r="K271" s="30">
        <f>I271*cnst_carbon!$C$13*1000000</f>
        <v>117190.44478563736</v>
      </c>
    </row>
    <row r="272" spans="1:11" ht="12.5">
      <c r="A272" s="14" t="s">
        <v>488</v>
      </c>
      <c r="B272" s="770" t="s">
        <v>7860</v>
      </c>
      <c r="C272" s="502">
        <v>20457730.5463401</v>
      </c>
      <c r="D272" s="505">
        <v>3589473.4840207701</v>
      </c>
      <c r="E272" s="539">
        <v>40</v>
      </c>
      <c r="F272" s="31">
        <f t="shared" si="8"/>
        <v>818309.22185360407</v>
      </c>
      <c r="G272" s="31">
        <f t="shared" si="9"/>
        <v>143578.93936083082</v>
      </c>
      <c r="H272" s="209">
        <f>F272*cnst_carbon!$C$11/10^6</f>
        <v>4.5900136776078695E-2</v>
      </c>
      <c r="I272" s="209">
        <f>G272*carbon_intensity_n!$C$9</f>
        <v>6.6796064976840236E-3</v>
      </c>
      <c r="J272" s="233">
        <f>H272*cnst_carbon!$C$13*1000000</f>
        <v>15453.250935754049</v>
      </c>
      <c r="K272" s="30">
        <f>I272*cnst_carbon!$C$13*1000000</f>
        <v>2248.8306704697975</v>
      </c>
    </row>
    <row r="273" spans="1:11" ht="12.5">
      <c r="A273" s="14" t="s">
        <v>3363</v>
      </c>
      <c r="B273" s="770" t="s">
        <v>7861</v>
      </c>
      <c r="C273" s="502">
        <v>1736798.25</v>
      </c>
      <c r="D273" s="505">
        <v>126695.212473191</v>
      </c>
      <c r="E273" s="539">
        <v>40</v>
      </c>
      <c r="F273" s="31">
        <f t="shared" si="8"/>
        <v>69471.929999999993</v>
      </c>
      <c r="G273" s="31">
        <f t="shared" si="9"/>
        <v>5067.8084989276394</v>
      </c>
      <c r="H273" s="209">
        <f>F273*cnst_carbon!$C$11/10^6</f>
        <v>3.89678009722911E-3</v>
      </c>
      <c r="I273" s="209">
        <f>G273*carbon_intensity_n!$C$9</f>
        <v>2.3576554283761565E-4</v>
      </c>
      <c r="J273" s="233">
        <f>H273*cnst_carbon!$C$13*1000000</f>
        <v>1311.933360410304</v>
      </c>
      <c r="K273" s="30">
        <f>I273*cnst_carbon!$C$13*1000000</f>
        <v>79.375451825945532</v>
      </c>
    </row>
    <row r="274" spans="1:11" ht="12.5">
      <c r="A274" s="14" t="s">
        <v>3364</v>
      </c>
      <c r="B274" s="770" t="s">
        <v>7862</v>
      </c>
      <c r="C274" s="502">
        <v>215474.39866856299</v>
      </c>
      <c r="D274" s="505">
        <v>468478</v>
      </c>
      <c r="E274" s="539">
        <v>40</v>
      </c>
      <c r="F274" s="31">
        <f t="shared" si="8"/>
        <v>8618.9759467425192</v>
      </c>
      <c r="G274" s="31">
        <f t="shared" si="9"/>
        <v>18739.12</v>
      </c>
      <c r="H274" s="209">
        <f>F274*cnst_carbon!$C$11/10^6</f>
        <v>4.8345071063611843E-4</v>
      </c>
      <c r="I274" s="209">
        <f>G274*carbon_intensity_n!$C$9</f>
        <v>8.7178487506662649E-4</v>
      </c>
      <c r="J274" s="233">
        <f>H274*cnst_carbon!$C$13*1000000</f>
        <v>162.76389726189402</v>
      </c>
      <c r="K274" s="30">
        <f>I274*cnst_carbon!$C$13*1000000</f>
        <v>293.50479938919466</v>
      </c>
    </row>
    <row r="275" spans="1:11" ht="12.5">
      <c r="A275" s="14" t="s">
        <v>3712</v>
      </c>
      <c r="B275" s="770" t="s">
        <v>7863</v>
      </c>
      <c r="C275" s="502">
        <v>1015243.87368832</v>
      </c>
      <c r="D275" s="505">
        <v>27972</v>
      </c>
      <c r="E275" s="539">
        <v>21.45</v>
      </c>
      <c r="F275" s="31">
        <f t="shared" si="8"/>
        <v>21776.981090614463</v>
      </c>
      <c r="G275" s="31">
        <f t="shared" si="9"/>
        <v>599.99940000000004</v>
      </c>
      <c r="H275" s="209">
        <f>F275*cnst_carbon!$C$11/10^6</f>
        <v>1.2215020727312617E-3</v>
      </c>
      <c r="I275" s="209">
        <f>G275*carbon_intensity_n!$C$9</f>
        <v>2.7913285254006104E-5</v>
      </c>
      <c r="J275" s="233">
        <f>H275*cnst_carbon!$C$13*1000000</f>
        <v>411.24448366126404</v>
      </c>
      <c r="K275" s="30">
        <f>I275*cnst_carbon!$C$13*1000000</f>
        <v>9.3975973007610367</v>
      </c>
    </row>
    <row r="276" spans="1:11" ht="12.5">
      <c r="A276" s="14" t="s">
        <v>3713</v>
      </c>
      <c r="B276" s="770" t="s">
        <v>7864</v>
      </c>
      <c r="C276" s="502"/>
      <c r="D276" s="505"/>
      <c r="E276" s="539">
        <v>40</v>
      </c>
      <c r="F276" s="31">
        <f t="shared" si="8"/>
        <v>0</v>
      </c>
      <c r="G276" s="31">
        <f t="shared" si="9"/>
        <v>0</v>
      </c>
      <c r="H276" s="209">
        <f>F276*cnst_carbon!$C$11/10^6</f>
        <v>0</v>
      </c>
      <c r="I276" s="209">
        <f>G276*carbon_intensity_n!$C$9</f>
        <v>0</v>
      </c>
      <c r="J276" s="233">
        <f>H276*cnst_carbon!$C$13*1000000</f>
        <v>0</v>
      </c>
      <c r="K276" s="30">
        <f>I276*cnst_carbon!$C$13*1000000</f>
        <v>0</v>
      </c>
    </row>
    <row r="277" spans="1:11" ht="12.5">
      <c r="A277" s="14" t="s">
        <v>3714</v>
      </c>
      <c r="B277" s="770" t="s">
        <v>7865</v>
      </c>
      <c r="C277" s="502">
        <v>87516284.045503005</v>
      </c>
      <c r="D277" s="505">
        <v>155483385</v>
      </c>
      <c r="E277" s="539">
        <v>40</v>
      </c>
      <c r="F277" s="31">
        <f t="shared" si="8"/>
        <v>3500651.3618201204</v>
      </c>
      <c r="G277" s="31">
        <f t="shared" si="9"/>
        <v>6219335.4000000004</v>
      </c>
      <c r="H277" s="209">
        <f>F277*cnst_carbon!$C$11/10^6</f>
        <v>0.1963565508267674</v>
      </c>
      <c r="I277" s="209">
        <f>G277*carbon_intensity_n!$C$9</f>
        <v>0.28933709452132478</v>
      </c>
      <c r="J277" s="233">
        <f>H277*cnst_carbon!$C$13*1000000</f>
        <v>66107.581936151444</v>
      </c>
      <c r="K277" s="30">
        <f>I277*cnst_carbon!$C$13*1000000</f>
        <v>97411.446690725963</v>
      </c>
    </row>
    <row r="278" spans="1:11" ht="12.5">
      <c r="A278" s="14" t="s">
        <v>3715</v>
      </c>
      <c r="B278" s="770" t="s">
        <v>7866</v>
      </c>
      <c r="C278" s="502">
        <v>20459825.545140099</v>
      </c>
      <c r="D278" s="505">
        <v>8949511</v>
      </c>
      <c r="E278" s="539">
        <v>200</v>
      </c>
      <c r="F278" s="31">
        <f t="shared" si="8"/>
        <v>4091965.1090280199</v>
      </c>
      <c r="G278" s="31">
        <f t="shared" si="9"/>
        <v>1789902.2</v>
      </c>
      <c r="H278" s="209">
        <f>F278*cnst_carbon!$C$11/10^6</f>
        <v>0.22952418617729975</v>
      </c>
      <c r="I278" s="209">
        <f>G278*carbon_intensity_n!$C$9</f>
        <v>8.3270167745789547E-2</v>
      </c>
      <c r="J278" s="233">
        <f>H278*cnst_carbon!$C$13*1000000</f>
        <v>77274.167223637618</v>
      </c>
      <c r="K278" s="30">
        <f>I278*cnst_carbon!$C$13*1000000</f>
        <v>28034.661506905239</v>
      </c>
    </row>
    <row r="279" spans="1:11" ht="12.5">
      <c r="A279" s="14" t="s">
        <v>4098</v>
      </c>
      <c r="B279" s="770" t="s">
        <v>7867</v>
      </c>
      <c r="C279" s="502">
        <v>236442423.596993</v>
      </c>
      <c r="D279" s="505">
        <v>39818118.330851004</v>
      </c>
      <c r="E279" s="539">
        <v>70</v>
      </c>
      <c r="F279" s="31">
        <f t="shared" si="8"/>
        <v>16550969.651789511</v>
      </c>
      <c r="G279" s="31">
        <f t="shared" si="9"/>
        <v>2787268.2831595703</v>
      </c>
      <c r="H279" s="209">
        <f>F279*cnst_carbon!$C$11/10^6</f>
        <v>0.92836760298636278</v>
      </c>
      <c r="I279" s="209">
        <f>G279*carbon_intensity_n!$C$9</f>
        <v>0.12966982078194902</v>
      </c>
      <c r="J279" s="233">
        <f>H279*cnst_carbon!$C$13*1000000</f>
        <v>312554.57036131248</v>
      </c>
      <c r="K279" s="30">
        <f>I279*cnst_carbon!$C$13*1000000</f>
        <v>43656.085146613856</v>
      </c>
    </row>
    <row r="280" spans="1:11" ht="12.5">
      <c r="A280" s="14" t="s">
        <v>2839</v>
      </c>
      <c r="B280" s="770" t="s">
        <v>7868</v>
      </c>
      <c r="C280" s="502">
        <v>12383922.3512998</v>
      </c>
      <c r="D280" s="505">
        <v>983933.23144721903</v>
      </c>
      <c r="E280" s="539">
        <v>200</v>
      </c>
      <c r="F280" s="31">
        <f t="shared" si="8"/>
        <v>2476784.4702599603</v>
      </c>
      <c r="G280" s="31">
        <f t="shared" si="9"/>
        <v>196786.64628944383</v>
      </c>
      <c r="H280" s="209">
        <f>F280*cnst_carbon!$C$11/10^6</f>
        <v>0.13892638982154604</v>
      </c>
      <c r="I280" s="209">
        <f>G280*carbon_intensity_n!$C$9</f>
        <v>9.154945475039554E-3</v>
      </c>
      <c r="J280" s="233">
        <f>H280*cnst_carbon!$C$13*1000000</f>
        <v>46772.504709171095</v>
      </c>
      <c r="K280" s="30">
        <f>I280*cnst_carbon!$C$13*1000000</f>
        <v>3082.2058421983324</v>
      </c>
    </row>
    <row r="281" spans="1:11" ht="12.5">
      <c r="A281" s="14" t="s">
        <v>2840</v>
      </c>
      <c r="B281" s="770" t="s">
        <v>7869</v>
      </c>
      <c r="C281" s="502">
        <v>2445340.0915666502</v>
      </c>
      <c r="D281" s="505">
        <v>315601.308527974</v>
      </c>
      <c r="E281" s="539">
        <v>200</v>
      </c>
      <c r="F281" s="31">
        <f t="shared" si="8"/>
        <v>489068.01831333007</v>
      </c>
      <c r="G281" s="31">
        <f t="shared" si="9"/>
        <v>63120.261705594799</v>
      </c>
      <c r="H281" s="209">
        <f>F281*cnst_carbon!$C$11/10^6</f>
        <v>2.7432525913051023E-2</v>
      </c>
      <c r="I281" s="209">
        <f>G281*carbon_intensity_n!$C$9</f>
        <v>2.9364927203190294E-3</v>
      </c>
      <c r="J281" s="233">
        <f>H281*cnst_carbon!$C$13*1000000</f>
        <v>9235.7395099720889</v>
      </c>
      <c r="K281" s="30">
        <f>I281*cnst_carbon!$C$13*1000000</f>
        <v>988.63232367870353</v>
      </c>
    </row>
    <row r="282" spans="1:11" ht="12.5">
      <c r="A282" s="14" t="s">
        <v>2841</v>
      </c>
      <c r="B282" s="770" t="s">
        <v>7870</v>
      </c>
      <c r="C282" s="502">
        <v>32583836.9552266</v>
      </c>
      <c r="D282" s="505">
        <v>138857</v>
      </c>
      <c r="E282" s="539">
        <v>200</v>
      </c>
      <c r="F282" s="31">
        <f t="shared" si="8"/>
        <v>6516767.3910453208</v>
      </c>
      <c r="G282" s="31">
        <f t="shared" si="9"/>
        <v>27771.4</v>
      </c>
      <c r="H282" s="209">
        <f>F282*cnst_carbon!$C$11/10^6</f>
        <v>0.3655348205771321</v>
      </c>
      <c r="I282" s="209">
        <f>G282*carbon_intensity_n!$C$9</f>
        <v>1.2919863088248175E-3</v>
      </c>
      <c r="J282" s="233">
        <f>H282*cnst_carbon!$C$13*1000000</f>
        <v>123065.02125889374</v>
      </c>
      <c r="K282" s="30">
        <f>I282*cnst_carbon!$C$13*1000000</f>
        <v>434.9744911050829</v>
      </c>
    </row>
    <row r="283" spans="1:11" ht="12.5">
      <c r="A283" s="14" t="s">
        <v>2842</v>
      </c>
      <c r="B283" s="770" t="s">
        <v>7871</v>
      </c>
      <c r="C283" s="502">
        <v>1859982.7385865201</v>
      </c>
      <c r="D283" s="505">
        <v>16017.304289223201</v>
      </c>
      <c r="E283" s="539">
        <v>200</v>
      </c>
      <c r="F283" s="31">
        <f t="shared" si="8"/>
        <v>371996.54771730397</v>
      </c>
      <c r="G283" s="31">
        <f t="shared" si="9"/>
        <v>3203.46085784464</v>
      </c>
      <c r="H283" s="209">
        <f>F283*cnst_carbon!$C$11/10^6</f>
        <v>2.0865819380327121E-2</v>
      </c>
      <c r="I283" s="209">
        <f>G283*carbon_intensity_n!$C$9</f>
        <v>1.4903201024044446E-4</v>
      </c>
      <c r="J283" s="233">
        <f>H283*cnst_carbon!$C$13*1000000</f>
        <v>7024.9189983320548</v>
      </c>
      <c r="K283" s="30">
        <f>I283*cnst_carbon!$C$13*1000000</f>
        <v>50.174775359399398</v>
      </c>
    </row>
    <row r="284" spans="1:11" ht="12.5">
      <c r="A284" s="14" t="s">
        <v>3893</v>
      </c>
      <c r="B284" s="770" t="s">
        <v>7872</v>
      </c>
      <c r="C284" s="502">
        <v>43404838.952644996</v>
      </c>
      <c r="D284" s="505">
        <v>2059723.1805465899</v>
      </c>
      <c r="E284" s="539">
        <v>200</v>
      </c>
      <c r="F284" s="31">
        <f t="shared" si="8"/>
        <v>8680967.7905289996</v>
      </c>
      <c r="G284" s="31">
        <f t="shared" si="9"/>
        <v>411944.63610931794</v>
      </c>
      <c r="H284" s="209">
        <f>F284*cnst_carbon!$C$11/10^6</f>
        <v>0.48692792197971713</v>
      </c>
      <c r="I284" s="209">
        <f>G284*carbon_intensity_n!$C$9</f>
        <v>1.9164566058861285E-2</v>
      </c>
      <c r="J284" s="233">
        <f>H284*cnst_carbon!$C$13*1000000</f>
        <v>163934.57393572229</v>
      </c>
      <c r="K284" s="30">
        <f>I284*cnst_carbon!$C$13*1000000</f>
        <v>6452.156119429309</v>
      </c>
    </row>
    <row r="285" spans="1:11" ht="12.5">
      <c r="A285" s="14" t="s">
        <v>3894</v>
      </c>
      <c r="B285" s="770" t="s">
        <v>7873</v>
      </c>
      <c r="C285" s="502">
        <v>208945889.15590101</v>
      </c>
      <c r="D285" s="505">
        <v>74269576.767227903</v>
      </c>
      <c r="E285" s="539">
        <v>200</v>
      </c>
      <c r="F285" s="31">
        <f t="shared" si="8"/>
        <v>41789177.831180207</v>
      </c>
      <c r="G285" s="31">
        <f t="shared" si="9"/>
        <v>14853915.353445582</v>
      </c>
      <c r="H285" s="209">
        <f>F285*cnst_carbon!$C$11/10^6</f>
        <v>2.3440148625799084</v>
      </c>
      <c r="I285" s="209">
        <f>G285*carbon_intensity_n!$C$9</f>
        <v>0.69103665170263073</v>
      </c>
      <c r="J285" s="233">
        <f>H285*cnst_carbon!$C$13*1000000</f>
        <v>789162.13355299109</v>
      </c>
      <c r="K285" s="30">
        <f>I285*cnst_carbon!$C$13*1000000</f>
        <v>232652.09070421255</v>
      </c>
    </row>
    <row r="286" spans="1:11" ht="12.5">
      <c r="A286" s="14" t="s">
        <v>3895</v>
      </c>
      <c r="B286" s="770" t="s">
        <v>7874</v>
      </c>
      <c r="C286" s="502">
        <v>9549338.1215478703</v>
      </c>
      <c r="D286" s="505">
        <v>2509237.9673105399</v>
      </c>
      <c r="E286" s="539">
        <v>200</v>
      </c>
      <c r="F286" s="31">
        <f t="shared" si="8"/>
        <v>1909867.624309574</v>
      </c>
      <c r="G286" s="31">
        <f t="shared" si="9"/>
        <v>501847.59346210794</v>
      </c>
      <c r="H286" s="209">
        <f>F286*cnst_carbon!$C$11/10^6</f>
        <v>0.10712721161988434</v>
      </c>
      <c r="I286" s="209">
        <f>G286*carbon_intensity_n!$C$9</f>
        <v>2.3347048397622243E-2</v>
      </c>
      <c r="J286" s="233">
        <f>H286*cnst_carbon!$C$13*1000000</f>
        <v>36066.639436953934</v>
      </c>
      <c r="K286" s="30">
        <f>I286*cnst_carbon!$C$13*1000000</f>
        <v>7860.277176465388</v>
      </c>
    </row>
    <row r="287" spans="1:11" ht="12.5">
      <c r="A287" s="14" t="s">
        <v>3896</v>
      </c>
      <c r="B287" s="770" t="s">
        <v>7875</v>
      </c>
      <c r="C287" s="502">
        <v>5584833.27733282</v>
      </c>
      <c r="D287" s="505">
        <v>3272131.4643157902</v>
      </c>
      <c r="E287" s="539">
        <v>100</v>
      </c>
      <c r="F287" s="31">
        <f t="shared" si="8"/>
        <v>558483.327733282</v>
      </c>
      <c r="G287" s="31">
        <f t="shared" si="9"/>
        <v>327213.14643157902</v>
      </c>
      <c r="H287" s="209">
        <f>F287*cnst_carbon!$C$11/10^6</f>
        <v>3.1326130080815889E-2</v>
      </c>
      <c r="I287" s="209">
        <f>G287*carbon_intensity_n!$C$9</f>
        <v>1.522267171468094E-2</v>
      </c>
      <c r="J287" s="233">
        <f>H287*cnst_carbon!$C$13*1000000</f>
        <v>10546.603626619468</v>
      </c>
      <c r="K287" s="30">
        <f>I287*cnst_carbon!$C$13*1000000</f>
        <v>5125.034094498983</v>
      </c>
    </row>
    <row r="288" spans="1:11" ht="12.5">
      <c r="A288" s="14" t="s">
        <v>3021</v>
      </c>
      <c r="B288" s="770" t="s">
        <v>7876</v>
      </c>
      <c r="C288" s="502">
        <v>26656210.3861432</v>
      </c>
      <c r="D288" s="505">
        <v>3757036.0529597299</v>
      </c>
      <c r="E288" s="539">
        <v>100</v>
      </c>
      <c r="F288" s="31">
        <f t="shared" si="8"/>
        <v>2665621.0386143196</v>
      </c>
      <c r="G288" s="31">
        <f t="shared" si="9"/>
        <v>375703.60529597302</v>
      </c>
      <c r="H288" s="209">
        <f>F288*cnst_carbon!$C$11/10^6</f>
        <v>0.14951850351685164</v>
      </c>
      <c r="I288" s="209">
        <f>G288*carbon_intensity_n!$C$9</f>
        <v>1.7478553987862341E-2</v>
      </c>
      <c r="J288" s="233">
        <f>H288*cnst_carbon!$C$13*1000000</f>
        <v>50338.563600718873</v>
      </c>
      <c r="K288" s="30">
        <f>I288*cnst_carbon!$C$13*1000000</f>
        <v>5884.524529550572</v>
      </c>
    </row>
    <row r="289" spans="1:11" ht="12.5">
      <c r="A289" s="14" t="s">
        <v>3162</v>
      </c>
      <c r="B289" s="770" t="s">
        <v>7877</v>
      </c>
      <c r="C289" s="502">
        <v>227823740.72944</v>
      </c>
      <c r="D289" s="505">
        <v>70038299.556513995</v>
      </c>
      <c r="E289" s="539">
        <v>100</v>
      </c>
      <c r="F289" s="31">
        <f t="shared" si="8"/>
        <v>22782374.072944</v>
      </c>
      <c r="G289" s="31">
        <f t="shared" si="9"/>
        <v>7003829.9556513997</v>
      </c>
      <c r="H289" s="209">
        <f>F289*cnst_carbon!$C$11/10^6</f>
        <v>1.2778960056972173</v>
      </c>
      <c r="I289" s="209">
        <f>G289*carbon_intensity_n!$C$9</f>
        <v>0.32583349820458229</v>
      </c>
      <c r="J289" s="233">
        <f>H289*cnst_carbon!$C$13*1000000</f>
        <v>430230.69282287115</v>
      </c>
      <c r="K289" s="30">
        <f>I289*cnst_carbon!$C$13*1000000</f>
        <v>109698.73217576367</v>
      </c>
    </row>
    <row r="290" spans="1:11" ht="12.5">
      <c r="A290" s="14" t="s">
        <v>3163</v>
      </c>
      <c r="B290" s="770" t="s">
        <v>7878</v>
      </c>
      <c r="C290" s="502">
        <v>60209691.222516797</v>
      </c>
      <c r="D290" s="505">
        <v>4756465</v>
      </c>
      <c r="E290" s="539">
        <v>40</v>
      </c>
      <c r="F290" s="31">
        <f t="shared" si="8"/>
        <v>2408387.6489006719</v>
      </c>
      <c r="G290" s="31">
        <f t="shared" si="9"/>
        <v>190258.6</v>
      </c>
      <c r="H290" s="209">
        <f>F290*cnst_carbon!$C$11/10^6</f>
        <v>0.13508991410845428</v>
      </c>
      <c r="I290" s="209">
        <f>G290*carbon_intensity_n!$C$9</f>
        <v>8.8512464742928846E-3</v>
      </c>
      <c r="J290" s="233">
        <f>H290*cnst_carbon!$C$13*1000000</f>
        <v>45480.874093938801</v>
      </c>
      <c r="K290" s="30">
        <f>I290*cnst_carbon!$C$13*1000000</f>
        <v>2979.9591563034464</v>
      </c>
    </row>
    <row r="291" spans="1:11" ht="12.5">
      <c r="A291" s="14" t="s">
        <v>3164</v>
      </c>
      <c r="B291" s="770" t="s">
        <v>7879</v>
      </c>
      <c r="C291" s="502">
        <v>451467901.11876202</v>
      </c>
      <c r="D291" s="505">
        <v>152173916.10352299</v>
      </c>
      <c r="E291" s="539">
        <v>40</v>
      </c>
      <c r="F291" s="31">
        <f t="shared" si="8"/>
        <v>18058716.044750482</v>
      </c>
      <c r="G291" s="31">
        <f t="shared" si="9"/>
        <v>6086956.6441409197</v>
      </c>
      <c r="H291" s="209">
        <f>F291*cnst_carbon!$C$11/10^6</f>
        <v>1.0129392585565953</v>
      </c>
      <c r="I291" s="209">
        <f>G291*carbon_intensity_n!$C$9</f>
        <v>0.28317854507300044</v>
      </c>
      <c r="J291" s="233">
        <f>H291*cnst_carbon!$C$13*1000000</f>
        <v>341027.40524532681</v>
      </c>
      <c r="K291" s="30">
        <f>I291*cnst_carbon!$C$13*1000000</f>
        <v>95338.040886087823</v>
      </c>
    </row>
    <row r="292" spans="1:11" ht="12.5">
      <c r="A292" s="14" t="s">
        <v>1929</v>
      </c>
      <c r="B292" s="770" t="s">
        <v>7880</v>
      </c>
      <c r="C292" s="502">
        <v>10293916.5059506</v>
      </c>
      <c r="D292" s="505">
        <v>1950521.1713672201</v>
      </c>
      <c r="E292" s="539">
        <v>100</v>
      </c>
      <c r="F292" s="31">
        <f t="shared" si="8"/>
        <v>1029391.65059506</v>
      </c>
      <c r="G292" s="31">
        <f t="shared" si="9"/>
        <v>195052.11713672199</v>
      </c>
      <c r="H292" s="209">
        <f>F292*cnst_carbon!$C$11/10^6</f>
        <v>5.7740052655693493E-2</v>
      </c>
      <c r="I292" s="209">
        <f>G292*carbon_intensity_n!$C$9</f>
        <v>9.0742513826432714E-3</v>
      </c>
      <c r="J292" s="233">
        <f>H292*cnst_carbon!$C$13*1000000</f>
        <v>19439.408799258734</v>
      </c>
      <c r="K292" s="30">
        <f>I292*cnst_carbon!$C$13*1000000</f>
        <v>3055.0384708914444</v>
      </c>
    </row>
    <row r="293" spans="1:11" ht="12.5">
      <c r="A293" s="14" t="s">
        <v>1930</v>
      </c>
      <c r="B293" s="770" t="s">
        <v>7881</v>
      </c>
      <c r="C293" s="502">
        <v>387692601.25</v>
      </c>
      <c r="D293" s="505">
        <v>1202089515.42819</v>
      </c>
      <c r="E293" s="539">
        <v>38.9</v>
      </c>
      <c r="F293" s="31">
        <f t="shared" si="8"/>
        <v>15081242.188625</v>
      </c>
      <c r="G293" s="31">
        <f t="shared" si="9"/>
        <v>46761282.150156587</v>
      </c>
      <c r="H293" s="209">
        <f>F293*cnst_carbon!$C$11/10^6</f>
        <v>0.84592848366420648</v>
      </c>
      <c r="I293" s="209">
        <f>G293*carbon_intensity_n!$C$9</f>
        <v>2.1754371879378289</v>
      </c>
      <c r="J293" s="233">
        <f>H293*cnst_carbon!$C$13*1000000</f>
        <v>284799.69886664225</v>
      </c>
      <c r="K293" s="30">
        <f>I293*cnst_carbon!$C$13*1000000</f>
        <v>732406.89726429188</v>
      </c>
    </row>
    <row r="294" spans="1:11" ht="12.5">
      <c r="A294" s="14" t="s">
        <v>5051</v>
      </c>
      <c r="B294" s="770" t="s">
        <v>7882</v>
      </c>
      <c r="C294" s="502">
        <v>10761605</v>
      </c>
      <c r="D294" s="505">
        <v>213580</v>
      </c>
      <c r="E294" s="539">
        <v>10.7</v>
      </c>
      <c r="F294" s="31">
        <f t="shared" si="8"/>
        <v>115149.17349999999</v>
      </c>
      <c r="G294" s="31">
        <f t="shared" si="9"/>
        <v>2285.306</v>
      </c>
      <c r="H294" s="209">
        <f>F294*cnst_carbon!$C$11/10^6</f>
        <v>6.4588821342257468E-3</v>
      </c>
      <c r="I294" s="209">
        <f>G294*carbon_intensity_n!$C$9</f>
        <v>1.0631743676858956E-4</v>
      </c>
      <c r="J294" s="233">
        <f>H294*cnst_carbon!$C$13*1000000</f>
        <v>2174.5191495086451</v>
      </c>
      <c r="K294" s="30">
        <f>I294*cnst_carbon!$C$13*1000000</f>
        <v>35.794011622366625</v>
      </c>
    </row>
    <row r="295" spans="1:11" ht="12.5">
      <c r="A295" s="14" t="s">
        <v>5052</v>
      </c>
      <c r="B295" s="770" t="s">
        <v>7883</v>
      </c>
      <c r="C295" s="502">
        <v>134963419.324738</v>
      </c>
      <c r="D295" s="505">
        <v>21938610568</v>
      </c>
      <c r="E295" s="539">
        <v>20</v>
      </c>
      <c r="F295" s="31">
        <f t="shared" si="8"/>
        <v>2699268.3864947599</v>
      </c>
      <c r="G295" s="31">
        <f t="shared" si="9"/>
        <v>438772211.36000001</v>
      </c>
      <c r="H295" s="209">
        <f>F295*cnst_carbon!$C$11/10^6</f>
        <v>0.1514058314713945</v>
      </c>
      <c r="I295" s="209">
        <f>G295*carbon_intensity_n!$C$9</f>
        <v>20.412643574681471</v>
      </c>
      <c r="J295" s="233">
        <f>H295*cnst_carbon!$C$13*1000000</f>
        <v>50973.972436685865</v>
      </c>
      <c r="K295" s="30">
        <f>I295*cnst_carbon!$C$13*1000000</f>
        <v>6872347.7875572657</v>
      </c>
    </row>
    <row r="296" spans="1:11" ht="12.5">
      <c r="A296" s="14" t="s">
        <v>5053</v>
      </c>
      <c r="B296" s="770" t="s">
        <v>7884</v>
      </c>
      <c r="C296" s="502">
        <v>1421666901.9328101</v>
      </c>
      <c r="D296" s="505">
        <v>156380976</v>
      </c>
      <c r="E296" s="539">
        <v>20</v>
      </c>
      <c r="F296" s="31">
        <f t="shared" si="8"/>
        <v>28433338.038656201</v>
      </c>
      <c r="G296" s="31">
        <f t="shared" si="9"/>
        <v>3127619.52</v>
      </c>
      <c r="H296" s="209">
        <f>F296*cnst_carbon!$C$11/10^6</f>
        <v>1.5948666715725743</v>
      </c>
      <c r="I296" s="209">
        <f>G296*carbon_intensity_n!$C$9</f>
        <v>0.14550370521663464</v>
      </c>
      <c r="J296" s="233">
        <f>H296*cnst_carbon!$C$13*1000000</f>
        <v>536945.56521945412</v>
      </c>
      <c r="K296" s="30">
        <f>I296*cnst_carbon!$C$13*1000000</f>
        <v>48986.896918496139</v>
      </c>
    </row>
    <row r="297" spans="1:11" ht="12.5">
      <c r="A297" s="14" t="s">
        <v>2325</v>
      </c>
      <c r="B297" s="770" t="s">
        <v>7885</v>
      </c>
      <c r="C297" s="502">
        <v>23681833.5</v>
      </c>
      <c r="D297" s="505">
        <v>6213524</v>
      </c>
      <c r="E297" s="539">
        <v>50</v>
      </c>
      <c r="F297" s="31">
        <f t="shared" si="8"/>
        <v>1184091.675</v>
      </c>
      <c r="G297" s="31">
        <f t="shared" si="9"/>
        <v>310676.2</v>
      </c>
      <c r="H297" s="209">
        <f>F297*cnst_carbon!$C$11/10^6</f>
        <v>6.6417398687997883E-2</v>
      </c>
      <c r="I297" s="209">
        <f>G297*carbon_intensity_n!$C$9</f>
        <v>1.4453336773721192E-2</v>
      </c>
      <c r="J297" s="233">
        <f>H297*cnst_carbon!$C$13*1000000</f>
        <v>22360.820697173891</v>
      </c>
      <c r="K297" s="30">
        <f>I297*cnst_carbon!$C$13*1000000</f>
        <v>4866.0212302390564</v>
      </c>
    </row>
    <row r="298" spans="1:11" ht="12.5">
      <c r="A298" s="14" t="s">
        <v>933</v>
      </c>
      <c r="B298" s="770" t="s">
        <v>7886</v>
      </c>
      <c r="C298" s="502">
        <v>2407233.8058531098</v>
      </c>
      <c r="D298" s="505">
        <v>3743930.5410457901</v>
      </c>
      <c r="E298" s="539">
        <v>50</v>
      </c>
      <c r="F298" s="31">
        <f t="shared" si="8"/>
        <v>120361.6902926555</v>
      </c>
      <c r="G298" s="31">
        <f t="shared" si="9"/>
        <v>187196.52705228952</v>
      </c>
      <c r="H298" s="209">
        <f>F298*cnst_carbon!$C$11/10^6</f>
        <v>6.7512596699310671E-3</v>
      </c>
      <c r="I298" s="209">
        <f>G298*carbon_intensity_n!$C$9</f>
        <v>8.7087921390751853E-3</v>
      </c>
      <c r="J298" s="233">
        <f>H298*cnst_carbon!$C$13*1000000</f>
        <v>2272.9542249698234</v>
      </c>
      <c r="K298" s="30">
        <f>I298*cnst_carbon!$C$13*1000000</f>
        <v>2931.9988942296213</v>
      </c>
    </row>
    <row r="299" spans="1:11" ht="12.5">
      <c r="A299" s="14" t="s">
        <v>934</v>
      </c>
      <c r="B299" s="770" t="s">
        <v>7887</v>
      </c>
      <c r="C299" s="502">
        <v>4318887.5339948703</v>
      </c>
      <c r="D299" s="505">
        <v>19537.985681744201</v>
      </c>
      <c r="E299" s="539">
        <v>50</v>
      </c>
      <c r="F299" s="31">
        <f t="shared" si="8"/>
        <v>215944.3766997435</v>
      </c>
      <c r="G299" s="31">
        <f t="shared" si="9"/>
        <v>976.89928408721005</v>
      </c>
      <c r="H299" s="209">
        <f>F299*cnst_carbon!$C$11/10^6</f>
        <v>1.2112629507084461E-2</v>
      </c>
      <c r="I299" s="209">
        <f>G299*carbon_intensity_n!$C$9</f>
        <v>4.5447492749427152E-5</v>
      </c>
      <c r="J299" s="233">
        <f>H299*cnst_carbon!$C$13*1000000</f>
        <v>4077.9726687512939</v>
      </c>
      <c r="K299" s="30">
        <f>I299*cnst_carbon!$C$13*1000000</f>
        <v>15.30085875961435</v>
      </c>
    </row>
    <row r="300" spans="1:11" ht="12.5">
      <c r="A300" s="14" t="s">
        <v>1782</v>
      </c>
      <c r="B300" s="770" t="s">
        <v>7888</v>
      </c>
      <c r="C300" s="502">
        <v>2844777.3402685099</v>
      </c>
      <c r="D300" s="505">
        <v>18293.357294969101</v>
      </c>
      <c r="E300" s="539">
        <v>100</v>
      </c>
      <c r="F300" s="31">
        <f t="shared" si="8"/>
        <v>284477.73402685102</v>
      </c>
      <c r="G300" s="31">
        <f t="shared" si="9"/>
        <v>1829.3357294969101</v>
      </c>
      <c r="H300" s="209">
        <f>F300*cnst_carbon!$C$11/10^6</f>
        <v>1.5956763718248067E-2</v>
      </c>
      <c r="I300" s="209">
        <f>G300*carbon_intensity_n!$C$9</f>
        <v>8.5104701842689506E-5</v>
      </c>
      <c r="J300" s="233">
        <f>H300*cnst_carbon!$C$13*1000000</f>
        <v>5372.1816791869087</v>
      </c>
      <c r="K300" s="30">
        <f>I300*cnst_carbon!$C$13*1000000</f>
        <v>28.652296175139313</v>
      </c>
    </row>
    <row r="301" spans="1:11" ht="12.5">
      <c r="A301" s="14" t="s">
        <v>847</v>
      </c>
      <c r="B301" s="770" t="s">
        <v>7889</v>
      </c>
      <c r="C301" s="502">
        <v>828282124.14618003</v>
      </c>
      <c r="D301" s="505">
        <v>178416477.03395399</v>
      </c>
      <c r="E301" s="539">
        <v>80</v>
      </c>
      <c r="F301" s="31">
        <f t="shared" si="8"/>
        <v>66262569.931694403</v>
      </c>
      <c r="G301" s="31">
        <f t="shared" si="9"/>
        <v>14273318.16271632</v>
      </c>
      <c r="H301" s="209">
        <f>F301*cnst_carbon!$C$11/10^6</f>
        <v>3.7167624924351292</v>
      </c>
      <c r="I301" s="209">
        <f>G301*carbon_intensity_n!$C$9</f>
        <v>0.66402599968781129</v>
      </c>
      <c r="J301" s="233">
        <f>H301*cnst_carbon!$C$13*1000000</f>
        <v>1251326.6299052092</v>
      </c>
      <c r="K301" s="30">
        <f>I301*cnst_carbon!$C$13*1000000</f>
        <v>223558.38395646124</v>
      </c>
    </row>
    <row r="302" spans="1:11" ht="12.5">
      <c r="A302" s="14" t="s">
        <v>848</v>
      </c>
      <c r="B302" s="770" t="s">
        <v>7890</v>
      </c>
      <c r="C302" s="502">
        <v>2276829220.4046798</v>
      </c>
      <c r="D302" s="505">
        <v>420409824.71346003</v>
      </c>
      <c r="E302" s="539">
        <v>80</v>
      </c>
      <c r="F302" s="31">
        <f t="shared" si="8"/>
        <v>182146337.63237438</v>
      </c>
      <c r="G302" s="31">
        <f t="shared" si="9"/>
        <v>33632785.977076799</v>
      </c>
      <c r="H302" s="209">
        <f>F302*cnst_carbon!$C$11/10^6</f>
        <v>10.216849067947445</v>
      </c>
      <c r="I302" s="209">
        <f>G302*carbon_intensity_n!$C$9</f>
        <v>1.5646708127792812</v>
      </c>
      <c r="J302" s="233">
        <f>H302*cnst_carbon!$C$13*1000000</f>
        <v>3439718.1252409532</v>
      </c>
      <c r="K302" s="30">
        <f>I302*cnst_carbon!$C$13*1000000</f>
        <v>526779.49130490888</v>
      </c>
    </row>
    <row r="303" spans="1:11" ht="12.5">
      <c r="A303" s="14" t="s">
        <v>849</v>
      </c>
      <c r="B303" s="770" t="s">
        <v>7891</v>
      </c>
      <c r="C303" s="502">
        <v>12451115.7097039</v>
      </c>
      <c r="D303" s="505">
        <v>485552</v>
      </c>
      <c r="E303" s="539">
        <v>80</v>
      </c>
      <c r="F303" s="31">
        <f t="shared" si="8"/>
        <v>996089.25677631202</v>
      </c>
      <c r="G303" s="31">
        <f t="shared" si="9"/>
        <v>38844.160000000003</v>
      </c>
      <c r="H303" s="209">
        <f>F303*cnst_carbon!$C$11/10^6</f>
        <v>5.5872073668741744E-2</v>
      </c>
      <c r="I303" s="209">
        <f>G303*carbon_intensity_n!$C$9</f>
        <v>1.8071153380024277E-3</v>
      </c>
      <c r="J303" s="233">
        <f>H303*cnst_carbon!$C$13*1000000</f>
        <v>18810.514202083479</v>
      </c>
      <c r="K303" s="30">
        <f>I303*cnst_carbon!$C$13*1000000</f>
        <v>608.40356368078005</v>
      </c>
    </row>
    <row r="304" spans="1:11" ht="12.5">
      <c r="A304" s="14" t="s">
        <v>3585</v>
      </c>
      <c r="B304" s="770" t="s">
        <v>7892</v>
      </c>
      <c r="C304" s="502">
        <v>29660383.989793301</v>
      </c>
      <c r="D304" s="505">
        <v>6907076.9199975096</v>
      </c>
      <c r="E304" s="539">
        <v>80.5</v>
      </c>
      <c r="F304" s="31">
        <f t="shared" si="8"/>
        <v>2387660.9111783612</v>
      </c>
      <c r="G304" s="31">
        <f t="shared" si="9"/>
        <v>556019.69205979956</v>
      </c>
      <c r="H304" s="209">
        <f>F304*cnst_carbon!$C$11/10^6</f>
        <v>0.13392732169110258</v>
      </c>
      <c r="I304" s="209">
        <f>G304*carbon_intensity_n!$C$9</f>
        <v>2.5867252986102682E-2</v>
      </c>
      <c r="J304" s="233">
        <f>H304*cnst_carbon!$C$13*1000000</f>
        <v>45089.462790548008</v>
      </c>
      <c r="K304" s="30">
        <f>I304*cnst_carbon!$C$13*1000000</f>
        <v>8708.7573042092299</v>
      </c>
    </row>
    <row r="305" spans="1:11" ht="12.5">
      <c r="A305" s="14" t="s">
        <v>2683</v>
      </c>
      <c r="B305" s="770" t="s">
        <v>7893</v>
      </c>
      <c r="C305" s="502">
        <v>139792803.912974</v>
      </c>
      <c r="D305" s="505">
        <v>32296273</v>
      </c>
      <c r="E305" s="539">
        <v>50</v>
      </c>
      <c r="F305" s="31">
        <f t="shared" si="8"/>
        <v>6989640.1956487</v>
      </c>
      <c r="G305" s="31">
        <f t="shared" si="9"/>
        <v>1614813.65</v>
      </c>
      <c r="H305" s="209">
        <f>F305*cnst_carbon!$C$11/10^6</f>
        <v>0.39205893374772288</v>
      </c>
      <c r="I305" s="209">
        <f>G305*carbon_intensity_n!$C$9</f>
        <v>7.5124665198853149E-2</v>
      </c>
      <c r="J305" s="233">
        <f>H305*cnst_carbon!$C$13*1000000</f>
        <v>131994.92442395564</v>
      </c>
      <c r="K305" s="30">
        <f>I305*cnst_carbon!$C$13*1000000</f>
        <v>25292.30595642608</v>
      </c>
    </row>
    <row r="306" spans="1:11" ht="12.5">
      <c r="A306" s="14" t="s">
        <v>4328</v>
      </c>
      <c r="B306" s="770" t="s">
        <v>7894</v>
      </c>
      <c r="C306" s="502">
        <v>245872665.89571601</v>
      </c>
      <c r="D306" s="505">
        <v>45274373.726298504</v>
      </c>
      <c r="E306" s="539">
        <v>20</v>
      </c>
      <c r="F306" s="31">
        <f t="shared" si="8"/>
        <v>4917453.3179143202</v>
      </c>
      <c r="G306" s="31">
        <f t="shared" si="9"/>
        <v>905487.47452597006</v>
      </c>
      <c r="H306" s="209">
        <f>F306*cnst_carbon!$C$11/10^6</f>
        <v>0.27582700262252363</v>
      </c>
      <c r="I306" s="209">
        <f>G306*carbon_intensity_n!$C$9</f>
        <v>4.2125259075880724E-2</v>
      </c>
      <c r="J306" s="233">
        <f>H306*cnst_carbon!$C$13*1000000</f>
        <v>92862.988778807994</v>
      </c>
      <c r="K306" s="30">
        <f>I306*cnst_carbon!$C$13*1000000</f>
        <v>14182.358593155566</v>
      </c>
    </row>
    <row r="307" spans="1:11" ht="12.5">
      <c r="A307" s="14" t="s">
        <v>2922</v>
      </c>
      <c r="B307" s="770" t="s">
        <v>7895</v>
      </c>
      <c r="C307" s="502">
        <v>19189235.707719401</v>
      </c>
      <c r="D307" s="505">
        <v>9146972</v>
      </c>
      <c r="E307" s="539">
        <v>40</v>
      </c>
      <c r="F307" s="31">
        <f t="shared" si="8"/>
        <v>767569.428308776</v>
      </c>
      <c r="G307" s="31">
        <f t="shared" si="9"/>
        <v>365878.88</v>
      </c>
      <c r="H307" s="209">
        <f>F307*cnst_carbon!$C$11/10^6</f>
        <v>4.3054069053143691E-2</v>
      </c>
      <c r="I307" s="209">
        <f>G307*carbon_intensity_n!$C$9</f>
        <v>1.7021486264580048E-2</v>
      </c>
      <c r="J307" s="233">
        <f>H307*cnst_carbon!$C$13*1000000</f>
        <v>14495.062098164663</v>
      </c>
      <c r="K307" s="30">
        <f>I307*cnst_carbon!$C$13*1000000</f>
        <v>5730.643022465475</v>
      </c>
    </row>
    <row r="308" spans="1:11" ht="12.5">
      <c r="A308" s="14" t="s">
        <v>2923</v>
      </c>
      <c r="B308" s="770" t="s">
        <v>7896</v>
      </c>
      <c r="C308" s="502">
        <v>84869234.507871494</v>
      </c>
      <c r="D308" s="505">
        <v>24285387</v>
      </c>
      <c r="E308" s="539">
        <v>40</v>
      </c>
      <c r="F308" s="31">
        <f t="shared" si="8"/>
        <v>3394769.38031486</v>
      </c>
      <c r="G308" s="31">
        <f t="shared" si="9"/>
        <v>971415.48</v>
      </c>
      <c r="H308" s="209">
        <f>F308*cnst_carbon!$C$11/10^6</f>
        <v>0.19041747877011259</v>
      </c>
      <c r="I308" s="209">
        <f>G308*carbon_intensity_n!$C$9</f>
        <v>4.5192374181369614E-2</v>
      </c>
      <c r="J308" s="233">
        <f>H308*cnst_carbon!$C$13*1000000</f>
        <v>64108.067833072724</v>
      </c>
      <c r="K308" s="30">
        <f>I308*cnst_carbon!$C$13*1000000</f>
        <v>15214.967702910179</v>
      </c>
    </row>
    <row r="309" spans="1:11" ht="12.5">
      <c r="A309" s="14" t="s">
        <v>360</v>
      </c>
      <c r="B309" s="770" t="s">
        <v>7897</v>
      </c>
      <c r="C309" s="502">
        <v>1213330565.77669</v>
      </c>
      <c r="D309" s="505">
        <v>245166349.56234699</v>
      </c>
      <c r="E309" s="539">
        <v>50</v>
      </c>
      <c r="F309" s="31">
        <f t="shared" si="8"/>
        <v>60666528.288834505</v>
      </c>
      <c r="G309" s="31">
        <f t="shared" si="9"/>
        <v>12258317.47811735</v>
      </c>
      <c r="H309" s="209">
        <f>F309*cnst_carbon!$C$11/10^6</f>
        <v>3.4028724983445415</v>
      </c>
      <c r="I309" s="209">
        <f>G309*carbon_intensity_n!$C$9</f>
        <v>0.57028375778518836</v>
      </c>
      <c r="J309" s="233">
        <f>H309*cnst_carbon!$C$13*1000000</f>
        <v>1145648.9307609191</v>
      </c>
      <c r="K309" s="30">
        <f>I309*cnst_carbon!$C$13*1000000</f>
        <v>191998.07740512316</v>
      </c>
    </row>
    <row r="310" spans="1:11" ht="12.5">
      <c r="A310" s="14" t="s">
        <v>361</v>
      </c>
      <c r="B310" s="770" t="s">
        <v>7898</v>
      </c>
      <c r="C310" s="502">
        <v>59334.996431198902</v>
      </c>
      <c r="D310" s="505">
        <v>1616</v>
      </c>
      <c r="E310" s="539">
        <v>35</v>
      </c>
      <c r="F310" s="31">
        <f t="shared" si="8"/>
        <v>2076.7248750919616</v>
      </c>
      <c r="G310" s="31">
        <f t="shared" si="9"/>
        <v>56.56</v>
      </c>
      <c r="H310" s="209">
        <f>F310*cnst_carbon!$C$11/10^6</f>
        <v>1.1648647389929957E-4</v>
      </c>
      <c r="I310" s="209">
        <f>G310*carbon_intensity_n!$C$9</f>
        <v>2.6312949879059634E-6</v>
      </c>
      <c r="J310" s="233">
        <f>H310*cnst_carbon!$C$13*1000000</f>
        <v>39.217632848649323</v>
      </c>
      <c r="K310" s="30">
        <f>I310*cnst_carbon!$C$13*1000000</f>
        <v>0.88588105809946516</v>
      </c>
    </row>
    <row r="311" spans="1:11" ht="12.5">
      <c r="A311" s="14" t="s">
        <v>362</v>
      </c>
      <c r="B311" s="770" t="s">
        <v>7899</v>
      </c>
      <c r="C311" s="502"/>
      <c r="D311" s="505"/>
      <c r="E311" s="539">
        <v>35</v>
      </c>
      <c r="F311" s="31">
        <f t="shared" si="8"/>
        <v>0</v>
      </c>
      <c r="G311" s="31">
        <f t="shared" si="9"/>
        <v>0</v>
      </c>
      <c r="H311" s="209">
        <f>F311*cnst_carbon!$C$11/10^6</f>
        <v>0</v>
      </c>
      <c r="I311" s="209">
        <f>G311*carbon_intensity_n!$C$9</f>
        <v>0</v>
      </c>
      <c r="J311" s="233">
        <f>H311*cnst_carbon!$C$13*1000000</f>
        <v>0</v>
      </c>
      <c r="K311" s="30">
        <f>I311*cnst_carbon!$C$13*1000000</f>
        <v>0</v>
      </c>
    </row>
    <row r="312" spans="1:11" ht="12.5">
      <c r="A312" s="14" t="s">
        <v>507</v>
      </c>
      <c r="B312" s="770" t="s">
        <v>7900</v>
      </c>
      <c r="C312" s="502">
        <v>2556576.4919006098</v>
      </c>
      <c r="D312" s="505">
        <v>1075523.13055483</v>
      </c>
      <c r="E312" s="539">
        <v>35</v>
      </c>
      <c r="F312" s="31">
        <f t="shared" si="8"/>
        <v>89480.177216521333</v>
      </c>
      <c r="G312" s="31">
        <f t="shared" si="9"/>
        <v>37643.309569419049</v>
      </c>
      <c r="H312" s="209">
        <f>F312*cnst_carbon!$C$11/10^6</f>
        <v>5.0190713526149918E-3</v>
      </c>
      <c r="I312" s="209">
        <f>G312*carbon_intensity_n!$C$9</f>
        <v>1.7512491477759003E-3</v>
      </c>
      <c r="J312" s="233">
        <f>H312*cnst_carbon!$C$13*1000000</f>
        <v>1689.7764260440204</v>
      </c>
      <c r="K312" s="30">
        <f>I312*cnst_carbon!$C$13*1000000</f>
        <v>589.59503026383777</v>
      </c>
    </row>
    <row r="313" spans="1:11" ht="12.5">
      <c r="A313" s="14" t="s">
        <v>5330</v>
      </c>
      <c r="B313" s="770" t="s">
        <v>7901</v>
      </c>
      <c r="C313" s="502">
        <v>182242.23497423599</v>
      </c>
      <c r="D313" s="505">
        <v>7404.2863635394997</v>
      </c>
      <c r="E313" s="539">
        <v>35</v>
      </c>
      <c r="F313" s="31">
        <f t="shared" si="8"/>
        <v>6378.4782240982595</v>
      </c>
      <c r="G313" s="31">
        <f t="shared" si="9"/>
        <v>259.1500227238825</v>
      </c>
      <c r="H313" s="209">
        <f>F313*cnst_carbon!$C$11/10^6</f>
        <v>3.577779830540965E-4</v>
      </c>
      <c r="I313" s="209">
        <f>G313*carbon_intensity_n!$C$9</f>
        <v>1.2056226236016062E-5</v>
      </c>
      <c r="J313" s="233">
        <f>H313*cnst_carbon!$C$13*1000000</f>
        <v>120.45351800137377</v>
      </c>
      <c r="K313" s="30">
        <f>I313*cnst_carbon!$C$13*1000000</f>
        <v>4.0589833157201811</v>
      </c>
    </row>
    <row r="314" spans="1:11" ht="12.5">
      <c r="A314" s="14" t="s">
        <v>818</v>
      </c>
      <c r="B314" s="770" t="s">
        <v>7902</v>
      </c>
      <c r="C314" s="502">
        <v>292.26733184240499</v>
      </c>
      <c r="D314" s="505">
        <v>148.737754513597</v>
      </c>
      <c r="E314" s="539">
        <v>35</v>
      </c>
      <c r="F314" s="31">
        <f t="shared" si="8"/>
        <v>10.229356614484175</v>
      </c>
      <c r="G314" s="31">
        <f t="shared" si="9"/>
        <v>5.2058214079758942</v>
      </c>
      <c r="H314" s="209">
        <f>F314*cnst_carbon!$C$11/10^6</f>
        <v>5.7377926973931618E-7</v>
      </c>
      <c r="I314" s="209">
        <f>G314*carbon_intensity_n!$C$9</f>
        <v>2.4218620542327679E-7</v>
      </c>
      <c r="J314" s="233">
        <f>H314*cnst_carbon!$C$13*1000000</f>
        <v>0.193174915366186</v>
      </c>
      <c r="K314" s="30">
        <f>I314*cnst_carbon!$C$13*1000000</f>
        <v>8.1537103556834023E-2</v>
      </c>
    </row>
    <row r="315" spans="1:11" ht="12.5">
      <c r="A315" s="14" t="s">
        <v>819</v>
      </c>
      <c r="B315" s="770" t="s">
        <v>7903</v>
      </c>
      <c r="C315" s="502">
        <v>2951108.3692988898</v>
      </c>
      <c r="D315" s="505">
        <v>238633.51186840699</v>
      </c>
      <c r="E315" s="539">
        <v>50</v>
      </c>
      <c r="F315" s="31">
        <f t="shared" si="8"/>
        <v>147555.41846494449</v>
      </c>
      <c r="G315" s="31">
        <f t="shared" si="9"/>
        <v>11931.675593420348</v>
      </c>
      <c r="H315" s="209">
        <f>F315*cnst_carbon!$C$11/10^6</f>
        <v>8.2765948479120773E-3</v>
      </c>
      <c r="I315" s="209">
        <f>G315*carbon_intensity_n!$C$9</f>
        <v>5.5508766241667035E-4</v>
      </c>
      <c r="J315" s="233">
        <f>H315*cnst_carbon!$C$13*1000000</f>
        <v>2786.4905436406225</v>
      </c>
      <c r="K315" s="30">
        <f>I315*cnst_carbon!$C$13*1000000</f>
        <v>186.88199079912982</v>
      </c>
    </row>
    <row r="316" spans="1:11" ht="12.5">
      <c r="A316" s="14" t="s">
        <v>820</v>
      </c>
      <c r="B316" s="770" t="s">
        <v>7904</v>
      </c>
      <c r="C316" s="502">
        <v>2865341.30624252</v>
      </c>
      <c r="D316" s="505">
        <v>314594.82929399901</v>
      </c>
      <c r="E316" s="539">
        <v>50</v>
      </c>
      <c r="F316" s="31">
        <f t="shared" si="8"/>
        <v>143267.06531212601</v>
      </c>
      <c r="G316" s="31">
        <f t="shared" si="9"/>
        <v>15729.74146469995</v>
      </c>
      <c r="H316" s="209">
        <f>F316*cnst_carbon!$C$11/10^6</f>
        <v>8.0360549749620563E-3</v>
      </c>
      <c r="I316" s="209">
        <f>G316*carbon_intensity_n!$C$9</f>
        <v>7.3178199924189499E-4</v>
      </c>
      <c r="J316" s="233">
        <f>H316*cnst_carbon!$C$13*1000000</f>
        <v>2705.5077126986394</v>
      </c>
      <c r="K316" s="30">
        <f>I316*cnst_carbon!$C$13*1000000</f>
        <v>246.36987292042824</v>
      </c>
    </row>
    <row r="317" spans="1:11" ht="12.5">
      <c r="A317" s="14" t="s">
        <v>2972</v>
      </c>
      <c r="B317" s="770" t="s">
        <v>7905</v>
      </c>
      <c r="C317" s="502">
        <v>588778.88593302004</v>
      </c>
      <c r="D317" s="505">
        <v>241367.08611086101</v>
      </c>
      <c r="E317" s="539">
        <v>35</v>
      </c>
      <c r="F317" s="31">
        <f t="shared" si="8"/>
        <v>20607.261007655703</v>
      </c>
      <c r="G317" s="31">
        <f t="shared" si="9"/>
        <v>8447.8480138801351</v>
      </c>
      <c r="H317" s="209">
        <f>F317*cnst_carbon!$C$11/10^6</f>
        <v>1.1558907972333322E-3</v>
      </c>
      <c r="I317" s="209">
        <f>G317*carbon_intensity_n!$C$9</f>
        <v>3.9301237866892053E-4</v>
      </c>
      <c r="J317" s="233">
        <f>H317*cnst_carbon!$C$13*1000000</f>
        <v>389.15506136976438</v>
      </c>
      <c r="K317" s="30">
        <f>I317*cnst_carbon!$C$13*1000000</f>
        <v>132.31592180338754</v>
      </c>
    </row>
    <row r="318" spans="1:11" ht="12.5">
      <c r="A318" s="14" t="s">
        <v>3182</v>
      </c>
      <c r="B318" s="770" t="s">
        <v>7906</v>
      </c>
      <c r="C318" s="502">
        <v>139751.16393071701</v>
      </c>
      <c r="D318" s="505">
        <v>20676.537041919299</v>
      </c>
      <c r="E318" s="539">
        <v>35</v>
      </c>
      <c r="F318" s="31">
        <f t="shared" si="8"/>
        <v>4891.2907375750956</v>
      </c>
      <c r="G318" s="31">
        <f t="shared" si="9"/>
        <v>723.67879646717552</v>
      </c>
      <c r="H318" s="209">
        <f>F318*cnst_carbon!$C$11/10^6</f>
        <v>2.7435950600398931E-4</v>
      </c>
      <c r="I318" s="209">
        <f>G318*carbon_intensity_n!$C$9</f>
        <v>3.3667121463894953E-5</v>
      </c>
      <c r="J318" s="233">
        <f>H318*cnst_carbon!$C$13*1000000</f>
        <v>92.368925033329134</v>
      </c>
      <c r="K318" s="30">
        <f>I318*cnst_carbon!$C$13*1000000</f>
        <v>11.334747841911048</v>
      </c>
    </row>
    <row r="319" spans="1:11" ht="12.5">
      <c r="A319" s="14" t="s">
        <v>3183</v>
      </c>
      <c r="B319" s="770" t="s">
        <v>7907</v>
      </c>
      <c r="C319" s="502">
        <v>115565172.618127</v>
      </c>
      <c r="D319" s="505">
        <v>40254757.108182497</v>
      </c>
      <c r="E319" s="539">
        <v>91</v>
      </c>
      <c r="F319" s="31">
        <f t="shared" si="8"/>
        <v>10516430.708249558</v>
      </c>
      <c r="G319" s="31">
        <f t="shared" si="9"/>
        <v>3663182.8968446073</v>
      </c>
      <c r="H319" s="209">
        <f>F319*cnst_carbon!$C$11/10^6</f>
        <v>0.5898816669955177</v>
      </c>
      <c r="I319" s="209">
        <f>G319*carbon_intensity_n!$C$9</f>
        <v>0.17041928564798556</v>
      </c>
      <c r="J319" s="233">
        <f>H319*cnst_carbon!$C$13*1000000</f>
        <v>198596.12765322565</v>
      </c>
      <c r="K319" s="30">
        <f>I319*cnst_carbon!$C$13*1000000</f>
        <v>57375.253547888344</v>
      </c>
    </row>
    <row r="320" spans="1:11" ht="12.5">
      <c r="A320" s="14" t="s">
        <v>3184</v>
      </c>
      <c r="B320" s="770" t="s">
        <v>7908</v>
      </c>
      <c r="C320" s="502">
        <v>614662279.43077397</v>
      </c>
      <c r="D320" s="505">
        <v>106281662.71892799</v>
      </c>
      <c r="E320" s="539">
        <v>91</v>
      </c>
      <c r="F320" s="31">
        <f t="shared" si="8"/>
        <v>55934267.428200431</v>
      </c>
      <c r="G320" s="31">
        <f t="shared" si="9"/>
        <v>9671631.3074224479</v>
      </c>
      <c r="H320" s="209">
        <f>F320*cnst_carbon!$C$11/10^6</f>
        <v>3.1374332060056767</v>
      </c>
      <c r="I320" s="209">
        <f>G320*carbon_intensity_n!$C$9</f>
        <v>0.44994545587155388</v>
      </c>
      <c r="J320" s="233">
        <f>H320*cnst_carbon!$C$13*1000000</f>
        <v>1056283.184145994</v>
      </c>
      <c r="K320" s="30">
        <f>I320*cnst_carbon!$C$13*1000000</f>
        <v>151483.64526462715</v>
      </c>
    </row>
    <row r="321" spans="1:11" ht="12.5">
      <c r="A321" s="14" t="s">
        <v>3185</v>
      </c>
      <c r="B321" s="770" t="s">
        <v>7909</v>
      </c>
      <c r="C321" s="502">
        <v>581130.611108043</v>
      </c>
      <c r="D321" s="505">
        <v>44226.474995812299</v>
      </c>
      <c r="E321" s="539">
        <v>91</v>
      </c>
      <c r="F321" s="31">
        <f t="shared" si="8"/>
        <v>52882.885610831916</v>
      </c>
      <c r="G321" s="31">
        <f t="shared" si="9"/>
        <v>4024.6092246189191</v>
      </c>
      <c r="H321" s="209">
        <f>F321*cnst_carbon!$C$11/10^6</f>
        <v>2.9662768276674262E-3</v>
      </c>
      <c r="I321" s="209">
        <f>G321*carbon_intensity_n!$C$9</f>
        <v>1.8723362943811646E-4</v>
      </c>
      <c r="J321" s="233">
        <f>H321*cnst_carbon!$C$13*1000000</f>
        <v>998.6597727688353</v>
      </c>
      <c r="K321" s="30">
        <f>I321*cnst_carbon!$C$13*1000000</f>
        <v>63.036157679318883</v>
      </c>
    </row>
    <row r="322" spans="1:11" ht="12.5">
      <c r="A322" s="14" t="s">
        <v>4430</v>
      </c>
      <c r="B322" s="770" t="s">
        <v>7910</v>
      </c>
      <c r="C322" s="502">
        <v>22179870.745856099</v>
      </c>
      <c r="D322" s="505">
        <v>20593841.3353393</v>
      </c>
      <c r="E322" s="539">
        <v>90</v>
      </c>
      <c r="F322" s="31">
        <f t="shared" si="8"/>
        <v>1996188.367127049</v>
      </c>
      <c r="G322" s="31">
        <f t="shared" si="9"/>
        <v>1853445.7201805371</v>
      </c>
      <c r="H322" s="209">
        <f>F322*cnst_carbon!$C$11/10^6</f>
        <v>0.11196906577003059</v>
      </c>
      <c r="I322" s="209">
        <f>G322*carbon_intensity_n!$C$9</f>
        <v>8.6226351376711557E-2</v>
      </c>
      <c r="J322" s="233">
        <f>H322*cnst_carbon!$C$13*1000000</f>
        <v>37696.751947109391</v>
      </c>
      <c r="K322" s="30">
        <f>I322*cnst_carbon!$C$13*1000000</f>
        <v>29029.923191716043</v>
      </c>
    </row>
    <row r="323" spans="1:11" ht="12.5">
      <c r="A323" s="14" t="s">
        <v>4431</v>
      </c>
      <c r="B323" s="770" t="s">
        <v>7911</v>
      </c>
      <c r="C323" s="502">
        <v>24114774.295683</v>
      </c>
      <c r="D323" s="505">
        <v>13302605.520916499</v>
      </c>
      <c r="E323" s="539">
        <v>91</v>
      </c>
      <c r="F323" s="31">
        <f t="shared" si="8"/>
        <v>2194444.4609071533</v>
      </c>
      <c r="G323" s="31">
        <f t="shared" si="9"/>
        <v>1210537.1024034014</v>
      </c>
      <c r="H323" s="209">
        <f>F323*cnst_carbon!$C$11/10^6</f>
        <v>0.12308953414332464</v>
      </c>
      <c r="I323" s="209">
        <f>G323*carbon_intensity_n!$C$9</f>
        <v>5.6316835400075635E-2</v>
      </c>
      <c r="J323" s="233">
        <f>H323*cnst_carbon!$C$13*1000000</f>
        <v>41440.692605368815</v>
      </c>
      <c r="K323" s="30">
        <f>I323*cnst_carbon!$C$13*1000000</f>
        <v>18960.252636948124</v>
      </c>
    </row>
    <row r="324" spans="1:11" ht="12.5">
      <c r="A324" s="14" t="s">
        <v>4432</v>
      </c>
      <c r="B324" s="770" t="s">
        <v>7912</v>
      </c>
      <c r="C324" s="502">
        <v>10210419.6814996</v>
      </c>
      <c r="D324" s="505">
        <v>12529177.2683619</v>
      </c>
      <c r="E324" s="539">
        <v>9.5</v>
      </c>
      <c r="F324" s="31">
        <f t="shared" si="8"/>
        <v>96998.986974246203</v>
      </c>
      <c r="G324" s="31">
        <f t="shared" si="9"/>
        <v>119027.18404943804</v>
      </c>
      <c r="H324" s="209">
        <f>F324*cnst_carbon!$C$11/10^6</f>
        <v>5.4408121653253105E-3</v>
      </c>
      <c r="I324" s="209">
        <f>G324*carbon_intensity_n!$C$9</f>
        <v>5.5374051063268558E-3</v>
      </c>
      <c r="J324" s="233">
        <f>H324*cnst_carbon!$C$13*1000000</f>
        <v>1831.7643822118971</v>
      </c>
      <c r="K324" s="30">
        <f>I324*cnst_carbon!$C$13*1000000</f>
        <v>1864.2844368514136</v>
      </c>
    </row>
    <row r="325" spans="1:11" ht="12.5">
      <c r="A325" s="14" t="s">
        <v>2128</v>
      </c>
      <c r="B325" s="770" t="s">
        <v>7913</v>
      </c>
      <c r="C325" s="502">
        <v>135547129.25332099</v>
      </c>
      <c r="D325" s="505">
        <v>148658554.77406201</v>
      </c>
      <c r="E325" s="539">
        <v>15</v>
      </c>
      <c r="F325" s="31">
        <f t="shared" si="8"/>
        <v>2033206.938799815</v>
      </c>
      <c r="G325" s="31">
        <f t="shared" si="9"/>
        <v>2229878.3216109299</v>
      </c>
      <c r="H325" s="209">
        <f>F325*cnst_carbon!$C$11/10^6</f>
        <v>0.1140454904975757</v>
      </c>
      <c r="I325" s="209">
        <f>G325*carbon_intensity_n!$C$9</f>
        <v>0.10373881986023695</v>
      </c>
      <c r="J325" s="233">
        <f>H325*cnst_carbon!$C$13*1000000</f>
        <v>38395.824207405618</v>
      </c>
      <c r="K325" s="30">
        <f>I325*cnst_carbon!$C$13*1000000</f>
        <v>34925.865752859798</v>
      </c>
    </row>
    <row r="326" spans="1:11" ht="12.5">
      <c r="A326" s="14" t="s">
        <v>4592</v>
      </c>
      <c r="B326" s="770" t="s">
        <v>7914</v>
      </c>
      <c r="C326" s="502">
        <v>220615574.255918</v>
      </c>
      <c r="D326" s="505">
        <v>1455532114.4812901</v>
      </c>
      <c r="E326" s="539">
        <v>9.5</v>
      </c>
      <c r="F326" s="31">
        <f t="shared" si="8"/>
        <v>2095847.9554312211</v>
      </c>
      <c r="G326" s="31">
        <f t="shared" si="9"/>
        <v>13827555.087572256</v>
      </c>
      <c r="H326" s="209">
        <f>F326*cnst_carbon!$C$11/10^6</f>
        <v>0.11755911487621987</v>
      </c>
      <c r="I326" s="209">
        <f>G326*carbon_intensity_n!$C$9</f>
        <v>0.64328812582960537</v>
      </c>
      <c r="J326" s="233">
        <f>H326*cnst_carbon!$C$13*1000000</f>
        <v>39578.760098905368</v>
      </c>
      <c r="K326" s="30">
        <f>I326*cnst_carbon!$C$13*1000000</f>
        <v>216576.54052169647</v>
      </c>
    </row>
    <row r="327" spans="1:11" ht="12.5">
      <c r="A327" s="14" t="s">
        <v>4593</v>
      </c>
      <c r="B327" s="770" t="s">
        <v>7915</v>
      </c>
      <c r="C327" s="502">
        <v>1009289830.19179</v>
      </c>
      <c r="D327" s="505">
        <v>715954778.818519</v>
      </c>
      <c r="E327" s="539">
        <v>9.5</v>
      </c>
      <c r="F327" s="31">
        <f t="shared" si="8"/>
        <v>9588253.3868220039</v>
      </c>
      <c r="G327" s="31">
        <f t="shared" si="9"/>
        <v>6801570.3987759305</v>
      </c>
      <c r="H327" s="209">
        <f>F327*cnst_carbon!$C$11/10^6</f>
        <v>0.53781887108876347</v>
      </c>
      <c r="I327" s="209">
        <f>G327*carbon_intensity_n!$C$9</f>
        <v>0.31642394095100196</v>
      </c>
      <c r="J327" s="233">
        <f>H327*cnst_carbon!$C$13*1000000</f>
        <v>181068.08730143055</v>
      </c>
      <c r="K327" s="30">
        <f>I327*cnst_carbon!$C$13*1000000</f>
        <v>106530.80589826065</v>
      </c>
    </row>
    <row r="328" spans="1:11" ht="12.5">
      <c r="A328" s="14" t="s">
        <v>4594</v>
      </c>
      <c r="B328" s="770" t="s">
        <v>7916</v>
      </c>
      <c r="C328" s="502">
        <v>2950446.6869168002</v>
      </c>
      <c r="D328" s="505">
        <v>3396797.17509855</v>
      </c>
      <c r="E328" s="539">
        <v>24.8</v>
      </c>
      <c r="F328" s="31">
        <f t="shared" ref="F328:F391" si="10">C328*$E328/1000</f>
        <v>73171.077835536649</v>
      </c>
      <c r="G328" s="31">
        <f t="shared" ref="G328:G391" si="11">D328*E328/1000</f>
        <v>84240.569942444039</v>
      </c>
      <c r="H328" s="209">
        <f>F328*cnst_carbon!$C$11/10^6</f>
        <v>4.1042705996842373E-3</v>
      </c>
      <c r="I328" s="209">
        <f>G328*carbon_intensity_n!$C$9</f>
        <v>3.9190556836615053E-3</v>
      </c>
      <c r="J328" s="233">
        <f>H328*cnst_carbon!$C$13*1000000</f>
        <v>1381.7894224274398</v>
      </c>
      <c r="K328" s="30">
        <f>I328*cnst_carbon!$C$13*1000000</f>
        <v>1319.4329072757128</v>
      </c>
    </row>
    <row r="329" spans="1:11" ht="12.5">
      <c r="A329" s="14" t="s">
        <v>4595</v>
      </c>
      <c r="B329" s="770" t="s">
        <v>7917</v>
      </c>
      <c r="C329" s="502">
        <v>4157378.3341995399</v>
      </c>
      <c r="D329" s="505">
        <v>573630.969713044</v>
      </c>
      <c r="E329" s="539">
        <v>30</v>
      </c>
      <c r="F329" s="31">
        <f t="shared" si="10"/>
        <v>124721.35002598619</v>
      </c>
      <c r="G329" s="31">
        <f t="shared" si="11"/>
        <v>17208.929091391321</v>
      </c>
      <c r="H329" s="209">
        <f>F329*cnst_carbon!$C$11/10^6</f>
        <v>6.9957992311543435E-3</v>
      </c>
      <c r="I329" s="209">
        <f>G329*carbon_intensity_n!$C$9</f>
        <v>8.0059704500366172E-4</v>
      </c>
      <c r="J329" s="233">
        <f>H329*cnst_carbon!$C$13*1000000</f>
        <v>2355.2836354841706</v>
      </c>
      <c r="K329" s="30">
        <f>I329*cnst_carbon!$C$13*1000000</f>
        <v>269.53791216832411</v>
      </c>
    </row>
    <row r="330" spans="1:11" ht="12.5">
      <c r="A330" s="14" t="s">
        <v>1663</v>
      </c>
      <c r="B330" s="770" t="s">
        <v>7918</v>
      </c>
      <c r="C330" s="502">
        <v>324241050.18513697</v>
      </c>
      <c r="D330" s="505">
        <v>114746771.723037</v>
      </c>
      <c r="E330" s="539">
        <v>30</v>
      </c>
      <c r="F330" s="31">
        <f t="shared" si="10"/>
        <v>9727231.5055541098</v>
      </c>
      <c r="G330" s="31">
        <f t="shared" si="11"/>
        <v>3442403.1516911103</v>
      </c>
      <c r="H330" s="209">
        <f>F330*cnst_carbon!$C$11/10^6</f>
        <v>0.54561435290459348</v>
      </c>
      <c r="I330" s="209">
        <f>G330*carbon_intensity_n!$C$9</f>
        <v>0.16014812870220138</v>
      </c>
      <c r="J330" s="233">
        <f>H330*cnst_carbon!$C$13*1000000</f>
        <v>183692.60097669068</v>
      </c>
      <c r="K330" s="30">
        <f>I330*cnst_carbon!$C$13*1000000</f>
        <v>53917.251528024295</v>
      </c>
    </row>
    <row r="331" spans="1:11" ht="12.5">
      <c r="A331" s="14" t="s">
        <v>1664</v>
      </c>
      <c r="B331" s="770" t="s">
        <v>7919</v>
      </c>
      <c r="C331" s="502">
        <v>11671559.184626199</v>
      </c>
      <c r="D331" s="505">
        <v>362384.174527917</v>
      </c>
      <c r="E331" s="539">
        <v>9.5</v>
      </c>
      <c r="F331" s="31">
        <f t="shared" si="10"/>
        <v>110879.8122539489</v>
      </c>
      <c r="G331" s="31">
        <f t="shared" si="11"/>
        <v>3442.6496580152116</v>
      </c>
      <c r="H331" s="209">
        <f>F331*cnst_carbon!$C$11/10^6</f>
        <v>6.2194075445390464E-3</v>
      </c>
      <c r="I331" s="209">
        <f>G331*carbon_intensity_n!$C$9</f>
        <v>1.6015959671590531E-4</v>
      </c>
      <c r="J331" s="233">
        <f>H331*cnst_carbon!$C$13*1000000</f>
        <v>2093.8949686871633</v>
      </c>
      <c r="K331" s="30">
        <f>I331*cnst_carbon!$C$13*1000000</f>
        <v>53.921112477161905</v>
      </c>
    </row>
    <row r="332" spans="1:11" ht="12.5">
      <c r="A332" s="14" t="s">
        <v>1665</v>
      </c>
      <c r="B332" s="770" t="s">
        <v>7920</v>
      </c>
      <c r="C332" s="502">
        <v>98757377.6567045</v>
      </c>
      <c r="D332" s="505">
        <v>37217675.820673198</v>
      </c>
      <c r="E332" s="539">
        <v>9.5</v>
      </c>
      <c r="F332" s="31">
        <f t="shared" si="10"/>
        <v>938195.08773869276</v>
      </c>
      <c r="G332" s="31">
        <f t="shared" si="11"/>
        <v>353567.92029639537</v>
      </c>
      <c r="H332" s="209">
        <f>F332*cnst_carbon!$C$11/10^6</f>
        <v>5.262470677319972E-2</v>
      </c>
      <c r="I332" s="209">
        <f>G332*carbon_intensity_n!$C$9</f>
        <v>1.6448753475251772E-2</v>
      </c>
      <c r="J332" s="233">
        <f>H332*cnst_carbon!$C$13*1000000</f>
        <v>17717.219518407841</v>
      </c>
      <c r="K332" s="30">
        <f>I332*cnst_carbon!$C$13*1000000</f>
        <v>5537.8204268422578</v>
      </c>
    </row>
    <row r="333" spans="1:11" ht="12.5">
      <c r="A333" s="14" t="s">
        <v>1666</v>
      </c>
      <c r="B333" s="770" t="s">
        <v>7921</v>
      </c>
      <c r="C333" s="502">
        <v>3423690.4438574798</v>
      </c>
      <c r="D333" s="505">
        <v>465501.56079523999</v>
      </c>
      <c r="E333" s="539">
        <v>15</v>
      </c>
      <c r="F333" s="31">
        <f t="shared" si="10"/>
        <v>51355.356657862205</v>
      </c>
      <c r="G333" s="31">
        <f t="shared" si="11"/>
        <v>6982.5234119285997</v>
      </c>
      <c r="H333" s="209">
        <f>F333*cnst_carbon!$C$11/10^6</f>
        <v>2.8805955399606709E-3</v>
      </c>
      <c r="I333" s="209">
        <f>G333*carbon_intensity_n!$C$9</f>
        <v>3.248422711588361E-4</v>
      </c>
      <c r="J333" s="233">
        <f>H333*cnst_carbon!$C$13*1000000</f>
        <v>969.81335677904519</v>
      </c>
      <c r="K333" s="30">
        <f>I333*cnst_carbon!$C$13*1000000</f>
        <v>109.36501464574955</v>
      </c>
    </row>
    <row r="334" spans="1:11" ht="12.5">
      <c r="A334" s="14" t="s">
        <v>1667</v>
      </c>
      <c r="B334" s="770" t="s">
        <v>7922</v>
      </c>
      <c r="C334" s="502">
        <v>12427000</v>
      </c>
      <c r="D334" s="505">
        <v>822684340.75695801</v>
      </c>
      <c r="E334" s="539">
        <v>29.2</v>
      </c>
      <c r="F334" s="31">
        <f t="shared" si="10"/>
        <v>362868.4</v>
      </c>
      <c r="G334" s="31">
        <f t="shared" si="11"/>
        <v>24022382.750103172</v>
      </c>
      <c r="H334" s="209">
        <f>F334*cnst_carbon!$C$11/10^6</f>
        <v>2.03538084955085E-2</v>
      </c>
      <c r="I334" s="209">
        <f>G334*carbon_intensity_n!$C$9</f>
        <v>1.1175738212147304</v>
      </c>
      <c r="J334" s="233">
        <f>H334*cnst_carbon!$C$13*1000000</f>
        <v>6852.5397149425735</v>
      </c>
      <c r="K334" s="30">
        <f>I334*cnst_carbon!$C$13*1000000</f>
        <v>376254.84173853853</v>
      </c>
    </row>
    <row r="335" spans="1:11" ht="12.5">
      <c r="A335" s="14" t="s">
        <v>1668</v>
      </c>
      <c r="B335" s="770" t="s">
        <v>7923</v>
      </c>
      <c r="C335" s="502">
        <v>18181476.75</v>
      </c>
      <c r="D335" s="505">
        <v>97960223.75</v>
      </c>
      <c r="E335" s="539">
        <v>28.2</v>
      </c>
      <c r="F335" s="31">
        <f t="shared" si="10"/>
        <v>512717.64434999996</v>
      </c>
      <c r="G335" s="31">
        <f t="shared" si="11"/>
        <v>2762478.30975</v>
      </c>
      <c r="H335" s="209">
        <f>F335*cnst_carbon!$C$11/10^6</f>
        <v>2.875906732404402E-2</v>
      </c>
      <c r="I335" s="209">
        <f>G335*carbon_intensity_n!$C$9</f>
        <v>0.1285165369632976</v>
      </c>
      <c r="J335" s="233">
        <f>H335*cnst_carbon!$C$13*1000000</f>
        <v>9682.347706386603</v>
      </c>
      <c r="K335" s="30">
        <f>I335*cnst_carbon!$C$13*1000000</f>
        <v>43267.807779670293</v>
      </c>
    </row>
    <row r="336" spans="1:11" ht="12.5">
      <c r="A336" s="14" t="s">
        <v>1669</v>
      </c>
      <c r="B336" s="770" t="s">
        <v>7924</v>
      </c>
      <c r="C336" s="502">
        <v>307815468.57987499</v>
      </c>
      <c r="D336" s="505">
        <v>580993972.575068</v>
      </c>
      <c r="E336" s="539">
        <v>24.8</v>
      </c>
      <c r="F336" s="31">
        <f t="shared" si="10"/>
        <v>7633823.6207809001</v>
      </c>
      <c r="G336" s="31">
        <f t="shared" si="11"/>
        <v>14408650.519861687</v>
      </c>
      <c r="H336" s="209">
        <f>F336*cnst_carbon!$C$11/10^6</f>
        <v>0.42819210508786032</v>
      </c>
      <c r="I336" s="209">
        <f>G336*carbon_intensity_n!$C$9</f>
        <v>0.6703219571322615</v>
      </c>
      <c r="J336" s="233">
        <f>H336*cnst_carbon!$C$13*1000000</f>
        <v>144159.92006542269</v>
      </c>
      <c r="K336" s="30">
        <f>I336*cnst_carbon!$C$13*1000000</f>
        <v>225678.05106648654</v>
      </c>
    </row>
    <row r="337" spans="1:11" ht="12.5">
      <c r="A337" s="14" t="s">
        <v>1670</v>
      </c>
      <c r="B337" s="770" t="s">
        <v>7925</v>
      </c>
      <c r="C337" s="502">
        <v>144931.307498729</v>
      </c>
      <c r="D337" s="505"/>
      <c r="E337" s="539">
        <v>28.2</v>
      </c>
      <c r="F337" s="31">
        <f t="shared" si="10"/>
        <v>4087.062871464158</v>
      </c>
      <c r="G337" s="31">
        <f t="shared" si="11"/>
        <v>0</v>
      </c>
      <c r="H337" s="209">
        <f>F337*cnst_carbon!$C$11/10^6</f>
        <v>2.2924921264812404E-4</v>
      </c>
      <c r="I337" s="209">
        <f>G337*carbon_intensity_n!$C$9</f>
        <v>0</v>
      </c>
      <c r="J337" s="233">
        <f>H337*cnst_carbon!$C$13*1000000</f>
        <v>77.181591574728941</v>
      </c>
      <c r="K337" s="30">
        <f>I337*cnst_carbon!$C$13*1000000</f>
        <v>0</v>
      </c>
    </row>
    <row r="338" spans="1:11" ht="12.5">
      <c r="A338" s="14" t="s">
        <v>1671</v>
      </c>
      <c r="B338" s="770" t="s">
        <v>7926</v>
      </c>
      <c r="C338" s="502">
        <v>429264723.54211199</v>
      </c>
      <c r="D338" s="505">
        <v>1520046305.79479</v>
      </c>
      <c r="E338" s="539">
        <v>24.8</v>
      </c>
      <c r="F338" s="31">
        <f t="shared" si="10"/>
        <v>10645765.143844377</v>
      </c>
      <c r="G338" s="31">
        <f t="shared" si="11"/>
        <v>37697148.383710794</v>
      </c>
      <c r="H338" s="209">
        <f>F338*cnst_carbon!$C$11/10^6</f>
        <v>0.59713622080613227</v>
      </c>
      <c r="I338" s="209">
        <f>G338*carbon_intensity_n!$C$9</f>
        <v>1.7537538472490382</v>
      </c>
      <c r="J338" s="233">
        <f>H338*cnst_carbon!$C$13*1000000</f>
        <v>201038.52648548322</v>
      </c>
      <c r="K338" s="30">
        <f>I338*cnst_carbon!$C$13*1000000</f>
        <v>590438.29026687169</v>
      </c>
    </row>
    <row r="339" spans="1:11" ht="12.5">
      <c r="A339" s="14" t="s">
        <v>1672</v>
      </c>
      <c r="B339" s="770" t="s">
        <v>7927</v>
      </c>
      <c r="C339" s="502">
        <v>478232657.93550903</v>
      </c>
      <c r="D339" s="505">
        <v>237525315.19916701</v>
      </c>
      <c r="E339" s="539">
        <v>24.78</v>
      </c>
      <c r="F339" s="31">
        <f t="shared" si="10"/>
        <v>11850605.263641914</v>
      </c>
      <c r="G339" s="31">
        <f t="shared" si="11"/>
        <v>5885877.310635359</v>
      </c>
      <c r="H339" s="209">
        <f>F339*cnst_carbon!$C$11/10^6</f>
        <v>0.66471742949243451</v>
      </c>
      <c r="I339" s="209">
        <f>G339*carbon_intensity_n!$C$9</f>
        <v>0.27382389439363952</v>
      </c>
      <c r="J339" s="233">
        <f>H339*cnst_carbon!$C$13*1000000</f>
        <v>223791.16841040365</v>
      </c>
      <c r="K339" s="30">
        <f>I339*cnst_carbon!$C$13*1000000</f>
        <v>92188.600066995859</v>
      </c>
    </row>
    <row r="340" spans="1:11" ht="12.5">
      <c r="A340" s="14" t="s">
        <v>1673</v>
      </c>
      <c r="B340" s="770" t="s">
        <v>7928</v>
      </c>
      <c r="C340" s="502">
        <v>857.45142583624295</v>
      </c>
      <c r="D340" s="505"/>
      <c r="E340" s="539">
        <v>28.2</v>
      </c>
      <c r="F340" s="31">
        <f t="shared" si="10"/>
        <v>24.18013020858205</v>
      </c>
      <c r="G340" s="31">
        <f t="shared" si="11"/>
        <v>0</v>
      </c>
      <c r="H340" s="209">
        <f>F340*cnst_carbon!$C$11/10^6</f>
        <v>1.3562981501335996E-6</v>
      </c>
      <c r="I340" s="209">
        <f>G340*carbon_intensity_n!$C$9</f>
        <v>0</v>
      </c>
      <c r="J340" s="233">
        <f>H340*cnst_carbon!$C$13*1000000</f>
        <v>0.4566264314191899</v>
      </c>
      <c r="K340" s="30">
        <f>I340*cnst_carbon!$C$13*1000000</f>
        <v>0</v>
      </c>
    </row>
    <row r="341" spans="1:11" ht="12.5">
      <c r="A341" s="14" t="s">
        <v>1674</v>
      </c>
      <c r="B341" s="770" t="s">
        <v>7929</v>
      </c>
      <c r="C341" s="502">
        <v>543890537.28236103</v>
      </c>
      <c r="D341" s="505">
        <v>488517839.07404101</v>
      </c>
      <c r="E341" s="539">
        <v>24.8</v>
      </c>
      <c r="F341" s="31">
        <f t="shared" si="10"/>
        <v>13488485.324602554</v>
      </c>
      <c r="G341" s="31">
        <f t="shared" si="11"/>
        <v>12115242.409036217</v>
      </c>
      <c r="H341" s="209">
        <f>F341*cnst_carbon!$C$11/10^6</f>
        <v>0.7565884689640574</v>
      </c>
      <c r="I341" s="209">
        <f>G341*carbon_intensity_n!$C$9</f>
        <v>0.56362759243569249</v>
      </c>
      <c r="J341" s="233">
        <f>H341*cnst_carbon!$C$13*1000000</f>
        <v>254721.49512401482</v>
      </c>
      <c r="K341" s="30">
        <f>I341*cnst_carbon!$C$13*1000000</f>
        <v>189757.13869251267</v>
      </c>
    </row>
    <row r="342" spans="1:11" ht="12.5">
      <c r="A342" s="14" t="s">
        <v>3337</v>
      </c>
      <c r="B342" s="770" t="s">
        <v>7930</v>
      </c>
      <c r="C342" s="502">
        <v>200302214.446978</v>
      </c>
      <c r="D342" s="505">
        <v>31105217.511119101</v>
      </c>
      <c r="E342" s="539">
        <v>19.100000000000001</v>
      </c>
      <c r="F342" s="31">
        <f t="shared" si="10"/>
        <v>3825772.2959372802</v>
      </c>
      <c r="G342" s="31">
        <f t="shared" si="11"/>
        <v>594109.65446237498</v>
      </c>
      <c r="H342" s="209">
        <f>F342*cnst_carbon!$C$11/10^6</f>
        <v>0.21459304987408456</v>
      </c>
      <c r="I342" s="209">
        <f>G342*carbon_intensity_n!$C$9</f>
        <v>2.7639281401226855E-2</v>
      </c>
      <c r="J342" s="233">
        <f>H342*cnst_carbon!$C$13*1000000</f>
        <v>72247.284685680104</v>
      </c>
      <c r="K342" s="30">
        <f>I342*cnst_carbon!$C$13*1000000</f>
        <v>9305.3481139009255</v>
      </c>
    </row>
    <row r="343" spans="1:11" ht="12.5">
      <c r="A343" s="14" t="s">
        <v>5181</v>
      </c>
      <c r="B343" s="770" t="s">
        <v>7931</v>
      </c>
      <c r="C343" s="502">
        <v>10129524.573043101</v>
      </c>
      <c r="D343" s="505">
        <v>2555612.3481292501</v>
      </c>
      <c r="E343" s="539">
        <v>28.2</v>
      </c>
      <c r="F343" s="31">
        <f t="shared" si="10"/>
        <v>285652.59295981546</v>
      </c>
      <c r="G343" s="31">
        <f t="shared" si="11"/>
        <v>72068.268217244855</v>
      </c>
      <c r="H343" s="209">
        <f>F343*cnst_carbon!$C$11/10^6</f>
        <v>1.6022663239206068E-2</v>
      </c>
      <c r="I343" s="209">
        <f>G343*carbon_intensity_n!$C$9</f>
        <v>3.3527735669571963E-3</v>
      </c>
      <c r="J343" s="233">
        <f>H343*cnst_carbon!$C$13*1000000</f>
        <v>5394.3681454032949</v>
      </c>
      <c r="K343" s="30">
        <f>I343*cnst_carbon!$C$13*1000000</f>
        <v>1128.7820668969048</v>
      </c>
    </row>
    <row r="344" spans="1:11" ht="12.5">
      <c r="A344" s="14" t="s">
        <v>5182</v>
      </c>
      <c r="B344" s="770" t="s">
        <v>7932</v>
      </c>
      <c r="C344" s="502">
        <v>44582989.285083599</v>
      </c>
      <c r="D344" s="505">
        <v>2928786.2717961399</v>
      </c>
      <c r="E344" s="539">
        <v>70.5</v>
      </c>
      <c r="F344" s="31">
        <f t="shared" si="10"/>
        <v>3143100.7445983938</v>
      </c>
      <c r="G344" s="31">
        <f t="shared" si="11"/>
        <v>206479.43216162786</v>
      </c>
      <c r="H344" s="209">
        <f>F344*cnst_carbon!$C$11/10^6</f>
        <v>0.17630102438692891</v>
      </c>
      <c r="I344" s="209">
        <f>G344*carbon_intensity_n!$C$9</f>
        <v>9.605875087562955E-3</v>
      </c>
      <c r="J344" s="233">
        <f>H344*cnst_carbon!$C$13*1000000</f>
        <v>59355.465178081271</v>
      </c>
      <c r="K344" s="30">
        <f>I344*cnst_carbon!$C$13*1000000</f>
        <v>3234.0208245954673</v>
      </c>
    </row>
    <row r="345" spans="1:11" ht="12.5">
      <c r="A345" s="14" t="s">
        <v>5183</v>
      </c>
      <c r="B345" s="770" t="s">
        <v>7933</v>
      </c>
      <c r="C345" s="502">
        <v>239102504.91513199</v>
      </c>
      <c r="D345" s="505">
        <v>261820603.231282</v>
      </c>
      <c r="E345" s="539">
        <v>40.85</v>
      </c>
      <c r="F345" s="31">
        <f t="shared" si="10"/>
        <v>9767337.3257831428</v>
      </c>
      <c r="G345" s="31">
        <f t="shared" si="11"/>
        <v>10695371.64199787</v>
      </c>
      <c r="H345" s="209">
        <f>F345*cnst_carbon!$C$11/10^6</f>
        <v>0.54786394582725362</v>
      </c>
      <c r="I345" s="209">
        <f>G345*carbon_intensity_n!$C$9</f>
        <v>0.49757209680658715</v>
      </c>
      <c r="J345" s="233">
        <f>H345*cnst_carbon!$C$13*1000000</f>
        <v>184449.97396899253</v>
      </c>
      <c r="K345" s="30">
        <f>I345*cnst_carbon!$C$13*1000000</f>
        <v>167518.16030728584</v>
      </c>
    </row>
    <row r="346" spans="1:11" ht="12.5">
      <c r="A346" s="14" t="s">
        <v>5184</v>
      </c>
      <c r="B346" s="770" t="s">
        <v>7934</v>
      </c>
      <c r="C346" s="502">
        <v>27237.0568621729</v>
      </c>
      <c r="D346" s="505">
        <v>655</v>
      </c>
      <c r="E346" s="539">
        <v>70</v>
      </c>
      <c r="F346" s="31">
        <f t="shared" si="10"/>
        <v>1906.593980352103</v>
      </c>
      <c r="G346" s="31">
        <f t="shared" si="11"/>
        <v>45.85</v>
      </c>
      <c r="H346" s="209">
        <f>F346*cnst_carbon!$C$11/10^6</f>
        <v>1.0694358823963729E-4</v>
      </c>
      <c r="I346" s="209">
        <f>G346*carbon_intensity_n!$C$9</f>
        <v>2.1330423478693143E-6</v>
      </c>
      <c r="J346" s="233">
        <f>H346*cnst_carbon!$C$13*1000000</f>
        <v>36.004818745950949</v>
      </c>
      <c r="K346" s="30">
        <f>I346*cnst_carbon!$C$13*1000000</f>
        <v>0.71813377853360105</v>
      </c>
    </row>
    <row r="347" spans="1:11" ht="12.5">
      <c r="A347" s="14" t="s">
        <v>3586</v>
      </c>
      <c r="B347" s="770" t="s">
        <v>7935</v>
      </c>
      <c r="C347" s="502">
        <v>931745.61732886895</v>
      </c>
      <c r="D347" s="505">
        <v>850899</v>
      </c>
      <c r="E347" s="539">
        <v>106</v>
      </c>
      <c r="F347" s="31">
        <f t="shared" si="10"/>
        <v>98765.035436860111</v>
      </c>
      <c r="G347" s="31">
        <f t="shared" si="11"/>
        <v>90195.293999999994</v>
      </c>
      <c r="H347" s="209">
        <f>F347*cnst_carbon!$C$11/10^6</f>
        <v>5.5398723540930027E-3</v>
      </c>
      <c r="I347" s="209">
        <f>G347*carbon_intensity_n!$C$9</f>
        <v>4.1960824794007208E-3</v>
      </c>
      <c r="J347" s="233">
        <f>H347*cnst_carbon!$C$13*1000000</f>
        <v>1865.115087945918</v>
      </c>
      <c r="K347" s="30">
        <f>I347*cnst_carbon!$C$13*1000000</f>
        <v>1412.6998317594116</v>
      </c>
    </row>
    <row r="348" spans="1:11" ht="12.5">
      <c r="A348" s="14" t="s">
        <v>1931</v>
      </c>
      <c r="B348" s="770" t="s">
        <v>7936</v>
      </c>
      <c r="C348" s="502">
        <v>5186003.4381616497</v>
      </c>
      <c r="D348" s="505">
        <v>296058</v>
      </c>
      <c r="E348" s="539">
        <v>143</v>
      </c>
      <c r="F348" s="31">
        <f t="shared" si="10"/>
        <v>741598.49165711598</v>
      </c>
      <c r="G348" s="31">
        <f t="shared" si="11"/>
        <v>42336.294000000002</v>
      </c>
      <c r="H348" s="209">
        <f>F348*cnst_carbon!$C$11/10^6</f>
        <v>4.159732200364346E-2</v>
      </c>
      <c r="I348" s="209">
        <f>G348*carbon_intensity_n!$C$9</f>
        <v>1.9695770546094998E-3</v>
      </c>
      <c r="J348" s="233">
        <f>H348*cnst_carbon!$C$13*1000000</f>
        <v>14004.617422244251</v>
      </c>
      <c r="K348" s="30">
        <f>I348*cnst_carbon!$C$13*1000000</f>
        <v>663.09973346410959</v>
      </c>
    </row>
    <row r="349" spans="1:11" ht="12.5">
      <c r="A349" s="14" t="s">
        <v>399</v>
      </c>
      <c r="B349" s="770" t="s">
        <v>7937</v>
      </c>
      <c r="C349" s="502">
        <v>332714.25</v>
      </c>
      <c r="D349" s="505">
        <v>359040</v>
      </c>
      <c r="E349" s="539">
        <v>143</v>
      </c>
      <c r="F349" s="31">
        <f t="shared" si="10"/>
        <v>47578.137750000002</v>
      </c>
      <c r="G349" s="31">
        <f t="shared" si="11"/>
        <v>51342.720000000001</v>
      </c>
      <c r="H349" s="209">
        <f>F349*cnst_carbon!$C$11/10^6</f>
        <v>2.6687259191939105E-3</v>
      </c>
      <c r="I349" s="209">
        <f>G349*carbon_intensity_n!$C$9</f>
        <v>2.3885757037033109E-3</v>
      </c>
      <c r="J349" s="233">
        <f>H349*cnst_carbon!$C$13*1000000</f>
        <v>898.48297204960113</v>
      </c>
      <c r="K349" s="30">
        <f>I349*cnst_carbon!$C$13*1000000</f>
        <v>804.16448230736512</v>
      </c>
    </row>
    <row r="350" spans="1:11" ht="12.5">
      <c r="A350" s="14" t="s">
        <v>400</v>
      </c>
      <c r="B350" s="770" t="s">
        <v>7938</v>
      </c>
      <c r="C350" s="502">
        <v>22765.5</v>
      </c>
      <c r="D350" s="505">
        <v>2472</v>
      </c>
      <c r="E350" s="539">
        <v>70</v>
      </c>
      <c r="F350" s="31">
        <f t="shared" si="10"/>
        <v>1593.585</v>
      </c>
      <c r="G350" s="31">
        <f t="shared" si="11"/>
        <v>173.04</v>
      </c>
      <c r="H350" s="209">
        <f>F350*cnst_carbon!$C$11/10^6</f>
        <v>8.9386466033732642E-5</v>
      </c>
      <c r="I350" s="209">
        <f>G350*carbon_intensity_n!$C$9</f>
        <v>8.0501995174548773E-6</v>
      </c>
      <c r="J350" s="233">
        <f>H350*cnst_carbon!$C$13*1000000</f>
        <v>30.093842565615414</v>
      </c>
      <c r="K350" s="30">
        <f>I350*cnst_carbon!$C$13*1000000</f>
        <v>2.7102697718092545</v>
      </c>
    </row>
    <row r="351" spans="1:11" ht="12.5">
      <c r="A351" s="14" t="s">
        <v>2228</v>
      </c>
      <c r="B351" s="770" t="s">
        <v>7939</v>
      </c>
      <c r="C351" s="502">
        <v>89452631.635740802</v>
      </c>
      <c r="D351" s="505">
        <v>51184614.5658224</v>
      </c>
      <c r="E351" s="539">
        <v>70</v>
      </c>
      <c r="F351" s="31">
        <f t="shared" si="10"/>
        <v>6261684.2145018559</v>
      </c>
      <c r="G351" s="31">
        <f t="shared" si="11"/>
        <v>3582923.0196075677</v>
      </c>
      <c r="H351" s="209">
        <f>F351*cnst_carbon!$C$11/10^6</f>
        <v>0.35122683970640411</v>
      </c>
      <c r="I351" s="209">
        <f>G351*carbon_intensity_n!$C$9</f>
        <v>0.16668542050117208</v>
      </c>
      <c r="J351" s="233">
        <f>H351*cnst_carbon!$C$13*1000000</f>
        <v>118247.93716483153</v>
      </c>
      <c r="K351" s="30">
        <f>I351*cnst_carbon!$C$13*1000000</f>
        <v>56118.16894800005</v>
      </c>
    </row>
    <row r="352" spans="1:11" ht="12.5">
      <c r="A352" s="14" t="s">
        <v>2229</v>
      </c>
      <c r="B352" s="770" t="s">
        <v>7940</v>
      </c>
      <c r="C352" s="502">
        <v>1435664.2257586401</v>
      </c>
      <c r="D352" s="505">
        <v>647415</v>
      </c>
      <c r="E352" s="539">
        <v>70</v>
      </c>
      <c r="F352" s="31">
        <f t="shared" si="10"/>
        <v>100496.4958031048</v>
      </c>
      <c r="G352" s="31">
        <f t="shared" si="11"/>
        <v>45319.05</v>
      </c>
      <c r="H352" s="209">
        <f>F352*cnst_carbon!$C$11/10^6</f>
        <v>5.6369924469754562E-3</v>
      </c>
      <c r="I352" s="209">
        <f>G352*carbon_intensity_n!$C$9</f>
        <v>2.1083413918256675E-3</v>
      </c>
      <c r="J352" s="233">
        <f>H352*cnst_carbon!$C$13*1000000</f>
        <v>1897.8126194050938</v>
      </c>
      <c r="K352" s="30">
        <f>I352*cnst_carbon!$C$13*1000000</f>
        <v>709.81767973943727</v>
      </c>
    </row>
    <row r="353" spans="1:11" ht="12.5">
      <c r="A353" s="14" t="s">
        <v>4727</v>
      </c>
      <c r="B353" s="770" t="s">
        <v>7941</v>
      </c>
      <c r="C353" s="502">
        <v>51637648.752675802</v>
      </c>
      <c r="D353" s="505">
        <v>5760663</v>
      </c>
      <c r="E353" s="539">
        <v>70</v>
      </c>
      <c r="F353" s="31">
        <f t="shared" si="10"/>
        <v>3614635.4126873058</v>
      </c>
      <c r="G353" s="31">
        <f t="shared" si="11"/>
        <v>403246.41</v>
      </c>
      <c r="H353" s="209">
        <f>F353*cnst_carbon!$C$11/10^6</f>
        <v>0.20275007956306129</v>
      </c>
      <c r="I353" s="209">
        <f>G353*carbon_intensity_n!$C$9</f>
        <v>1.8759905543212042E-2</v>
      </c>
      <c r="J353" s="233">
        <f>H353*cnst_carbon!$C$13*1000000</f>
        <v>68260.098483300273</v>
      </c>
      <c r="K353" s="30">
        <f>I353*cnst_carbon!$C$13*1000000</f>
        <v>6315.9186061812361</v>
      </c>
    </row>
    <row r="354" spans="1:11" ht="12.5">
      <c r="A354" s="14" t="s">
        <v>5360</v>
      </c>
      <c r="B354" s="770" t="s">
        <v>7942</v>
      </c>
      <c r="C354" s="502">
        <v>102879</v>
      </c>
      <c r="D354" s="505">
        <v>1194</v>
      </c>
      <c r="E354" s="539">
        <v>70</v>
      </c>
      <c r="F354" s="31">
        <f t="shared" si="10"/>
        <v>7201.53</v>
      </c>
      <c r="G354" s="31">
        <f t="shared" si="11"/>
        <v>83.58</v>
      </c>
      <c r="H354" s="209">
        <f>F354*cnst_carbon!$C$11/10^6</f>
        <v>4.0394413648214974E-4</v>
      </c>
      <c r="I354" s="209">
        <f>G354*carbon_intensity_n!$C$9</f>
        <v>3.888324524207574E-6</v>
      </c>
      <c r="J354" s="233">
        <f>H354*cnst_carbon!$C$13*1000000</f>
        <v>135.99632906406396</v>
      </c>
      <c r="K354" s="30">
        <f>I354*cnst_carbon!$C$13*1000000</f>
        <v>1.3090866130826253</v>
      </c>
    </row>
    <row r="355" spans="1:11" ht="12.5">
      <c r="A355" s="14" t="s">
        <v>325</v>
      </c>
      <c r="B355" s="770" t="s">
        <v>7943</v>
      </c>
      <c r="C355" s="502">
        <v>872944.51839599304</v>
      </c>
      <c r="D355" s="505">
        <v>160226</v>
      </c>
      <c r="E355" s="539">
        <v>143</v>
      </c>
      <c r="F355" s="31">
        <f t="shared" si="10"/>
        <v>124831.066130627</v>
      </c>
      <c r="G355" s="31">
        <f t="shared" si="11"/>
        <v>22912.317999999999</v>
      </c>
      <c r="H355" s="209">
        <f>F355*cnst_carbon!$C$11/10^6</f>
        <v>7.0019533646714328E-3</v>
      </c>
      <c r="I355" s="209">
        <f>G355*carbon_intensity_n!$C$9</f>
        <v>1.0659311795386771E-3</v>
      </c>
      <c r="J355" s="233">
        <f>H355*cnst_carbon!$C$13*1000000</f>
        <v>2357.3555545722484</v>
      </c>
      <c r="K355" s="30">
        <f>I355*cnst_carbon!$C$13*1000000</f>
        <v>358.86825518655263</v>
      </c>
    </row>
    <row r="356" spans="1:11" ht="12.5">
      <c r="A356" s="14" t="s">
        <v>326</v>
      </c>
      <c r="B356" s="770" t="s">
        <v>7944</v>
      </c>
      <c r="C356" s="502">
        <v>6575574.1429284597</v>
      </c>
      <c r="D356" s="505">
        <v>371979.470646067</v>
      </c>
      <c r="E356" s="539">
        <v>143</v>
      </c>
      <c r="F356" s="31">
        <f t="shared" si="10"/>
        <v>940307.10243876965</v>
      </c>
      <c r="G356" s="31">
        <f t="shared" si="11"/>
        <v>53193.064302387582</v>
      </c>
      <c r="H356" s="209">
        <f>F356*cnst_carbon!$C$11/10^6</f>
        <v>5.2743172703947801E-2</v>
      </c>
      <c r="I356" s="209">
        <f>G356*carbon_intensity_n!$C$9</f>
        <v>2.4746577703364933E-3</v>
      </c>
      <c r="J356" s="233">
        <f>H356*cnst_carbon!$C$13*1000000</f>
        <v>17757.103577231424</v>
      </c>
      <c r="K356" s="30">
        <f>I356*cnst_carbon!$C$13*1000000</f>
        <v>833.1458289913719</v>
      </c>
    </row>
    <row r="357" spans="1:11" ht="12.5">
      <c r="A357" s="14" t="s">
        <v>327</v>
      </c>
      <c r="B357" s="770" t="s">
        <v>7945</v>
      </c>
      <c r="C357" s="502">
        <v>30358.25</v>
      </c>
      <c r="D357" s="505">
        <v>1297.5</v>
      </c>
      <c r="E357" s="539">
        <v>70</v>
      </c>
      <c r="F357" s="31">
        <f t="shared" si="10"/>
        <v>2125.0774999999999</v>
      </c>
      <c r="G357" s="31">
        <f t="shared" si="11"/>
        <v>90.825000000000003</v>
      </c>
      <c r="H357" s="209">
        <f>F357*cnst_carbon!$C$11/10^6</f>
        <v>1.1919864191291928E-4</v>
      </c>
      <c r="I357" s="209">
        <f>G357*carbon_intensity_n!$C$9</f>
        <v>4.2253777807029549E-6</v>
      </c>
      <c r="J357" s="233">
        <f>H357*cnst_carbon!$C$13*1000000</f>
        <v>40.130741519737946</v>
      </c>
      <c r="K357" s="30">
        <f>I357*cnst_carbon!$C$13*1000000</f>
        <v>1.4225627139654158</v>
      </c>
    </row>
    <row r="358" spans="1:11" ht="12.5">
      <c r="A358" s="14" t="s">
        <v>2693</v>
      </c>
      <c r="B358" s="770" t="s">
        <v>7946</v>
      </c>
      <c r="C358" s="502">
        <v>848668.58133770304</v>
      </c>
      <c r="D358" s="505">
        <v>108518</v>
      </c>
      <c r="E358" s="539">
        <v>106</v>
      </c>
      <c r="F358" s="31">
        <f t="shared" si="10"/>
        <v>89958.869621796519</v>
      </c>
      <c r="G358" s="31">
        <f t="shared" si="11"/>
        <v>11502.907999999999</v>
      </c>
      <c r="H358" s="209">
        <f>F358*cnst_carbon!$C$11/10^6</f>
        <v>5.0459218955259356E-3</v>
      </c>
      <c r="I358" s="209">
        <f>G358*carbon_intensity_n!$C$9</f>
        <v>5.3514045556477029E-4</v>
      </c>
      <c r="J358" s="233">
        <f>H358*cnst_carbon!$C$13*1000000</f>
        <v>1698.816228678776</v>
      </c>
      <c r="K358" s="30">
        <f>I358*cnst_carbon!$C$13*1000000</f>
        <v>180.16634211917966</v>
      </c>
    </row>
    <row r="359" spans="1:11" ht="12.5">
      <c r="A359" s="14" t="s">
        <v>2694</v>
      </c>
      <c r="B359" s="770" t="s">
        <v>7947</v>
      </c>
      <c r="C359" s="502">
        <v>200610</v>
      </c>
      <c r="D359" s="505">
        <v>8712</v>
      </c>
      <c r="E359" s="539">
        <v>143</v>
      </c>
      <c r="F359" s="31">
        <f t="shared" si="10"/>
        <v>28687.23</v>
      </c>
      <c r="G359" s="31">
        <f t="shared" si="11"/>
        <v>1245.816</v>
      </c>
      <c r="H359" s="209">
        <f>F359*cnst_carbon!$C$11/10^6</f>
        <v>1.6091078354759088E-3</v>
      </c>
      <c r="I359" s="209">
        <f>G359*carbon_intensity_n!$C$9</f>
        <v>5.7958086928095042E-5</v>
      </c>
      <c r="J359" s="233">
        <f>H359*cnst_carbon!$C$13*1000000</f>
        <v>541.74015396957145</v>
      </c>
      <c r="K359" s="30">
        <f>I359*cnst_carbon!$C$13*1000000</f>
        <v>19.512814644222829</v>
      </c>
    </row>
    <row r="360" spans="1:11" ht="12.5">
      <c r="A360" s="14" t="s">
        <v>2695</v>
      </c>
      <c r="B360" s="770" t="s">
        <v>7948</v>
      </c>
      <c r="C360" s="502">
        <v>666330.75</v>
      </c>
      <c r="D360" s="505">
        <v>16876.75</v>
      </c>
      <c r="E360" s="539">
        <v>143</v>
      </c>
      <c r="F360" s="31">
        <f t="shared" si="10"/>
        <v>95285.297250000003</v>
      </c>
      <c r="G360" s="31">
        <f t="shared" si="11"/>
        <v>2413.3752500000001</v>
      </c>
      <c r="H360" s="209">
        <f>F360*cnst_carbon!$C$11/10^6</f>
        <v>5.3446888532153883E-3</v>
      </c>
      <c r="I360" s="209">
        <f>G360*carbon_intensity_n!$C$9</f>
        <v>1.122754985725124E-4</v>
      </c>
      <c r="J360" s="233">
        <f>H360*cnst_carbon!$C$13*1000000</f>
        <v>1799.4024380622104</v>
      </c>
      <c r="K360" s="30">
        <f>I360*cnst_carbon!$C$13*1000000</f>
        <v>37.799919025124844</v>
      </c>
    </row>
    <row r="361" spans="1:11" ht="12.5">
      <c r="A361" s="14" t="s">
        <v>3033</v>
      </c>
      <c r="B361" s="770" t="s">
        <v>7949</v>
      </c>
      <c r="C361" s="502">
        <v>41832880.614179701</v>
      </c>
      <c r="D361" s="505">
        <v>10454131.1937677</v>
      </c>
      <c r="E361" s="539">
        <v>70</v>
      </c>
      <c r="F361" s="31">
        <f t="shared" si="10"/>
        <v>2928301.6429925789</v>
      </c>
      <c r="G361" s="31">
        <f t="shared" si="11"/>
        <v>731789.18356373906</v>
      </c>
      <c r="H361" s="209">
        <f>F361*cnst_carbon!$C$11/10^6</f>
        <v>0.16425263500088144</v>
      </c>
      <c r="I361" s="209">
        <f>G361*carbon_intensity_n!$C$9</f>
        <v>3.4044434422119227E-2</v>
      </c>
      <c r="J361" s="233">
        <f>H361*cnst_carbon!$C$13*1000000</f>
        <v>55299.120303499105</v>
      </c>
      <c r="K361" s="30">
        <f>I361*cnst_carbon!$C$13*1000000</f>
        <v>11461.778222086083</v>
      </c>
    </row>
    <row r="362" spans="1:11" ht="12.5">
      <c r="A362" s="14" t="s">
        <v>3034</v>
      </c>
      <c r="B362" s="770" t="s">
        <v>7950</v>
      </c>
      <c r="C362" s="502">
        <v>530161.75</v>
      </c>
      <c r="D362" s="505">
        <v>164904.25</v>
      </c>
      <c r="E362" s="539">
        <v>143</v>
      </c>
      <c r="F362" s="31">
        <f t="shared" si="10"/>
        <v>75813.130250000002</v>
      </c>
      <c r="G362" s="31">
        <f t="shared" si="11"/>
        <v>23581.30775</v>
      </c>
      <c r="H362" s="209">
        <f>F362*cnst_carbon!$C$11/10^6</f>
        <v>4.2524671053019289E-3</v>
      </c>
      <c r="I362" s="209">
        <f>G362*carbon_intensity_n!$C$9</f>
        <v>1.0970540468678049E-3</v>
      </c>
      <c r="J362" s="233">
        <f>H362*cnst_carbon!$C$13*1000000</f>
        <v>1431.6829075010091</v>
      </c>
      <c r="K362" s="30">
        <f>I362*cnst_carbon!$C$13*1000000</f>
        <v>369.34642611278491</v>
      </c>
    </row>
    <row r="363" spans="1:11" ht="12.5">
      <c r="A363" s="14" t="s">
        <v>2344</v>
      </c>
      <c r="B363" s="770" t="s">
        <v>7951</v>
      </c>
      <c r="C363" s="502">
        <v>23480971.7968086</v>
      </c>
      <c r="D363" s="505">
        <v>6404386.9857878601</v>
      </c>
      <c r="E363" s="539">
        <v>106</v>
      </c>
      <c r="F363" s="31">
        <f t="shared" si="10"/>
        <v>2488983.0104617118</v>
      </c>
      <c r="G363" s="31">
        <f t="shared" si="11"/>
        <v>678865.02049351321</v>
      </c>
      <c r="H363" s="209">
        <f>F363*cnst_carbon!$C$11/10^6</f>
        <v>0.13961062342025898</v>
      </c>
      <c r="I363" s="209">
        <f>G363*carbon_intensity_n!$C$9</f>
        <v>3.1582286525623414E-2</v>
      </c>
      <c r="J363" s="233">
        <f>H363*cnst_carbon!$C$13*1000000</f>
        <v>47002.866408334827</v>
      </c>
      <c r="K363" s="30">
        <f>I363*cnst_carbon!$C$13*1000000</f>
        <v>10632.844106462315</v>
      </c>
    </row>
    <row r="364" spans="1:11" ht="12.5">
      <c r="A364" s="14" t="s">
        <v>2345</v>
      </c>
      <c r="B364" s="770" t="s">
        <v>7952</v>
      </c>
      <c r="C364" s="502">
        <v>5798681.2780867498</v>
      </c>
      <c r="D364" s="505">
        <v>1794593</v>
      </c>
      <c r="E364" s="539">
        <v>28</v>
      </c>
      <c r="F364" s="31">
        <f t="shared" si="10"/>
        <v>162363.07578642899</v>
      </c>
      <c r="G364" s="31">
        <f t="shared" si="11"/>
        <v>50248.603999999999</v>
      </c>
      <c r="H364" s="209">
        <f>F364*cnst_carbon!$C$11/10^6</f>
        <v>9.1071775643696423E-3</v>
      </c>
      <c r="I364" s="209">
        <f>G364*carbon_intensity_n!$C$9</f>
        <v>2.3376750327876862E-3</v>
      </c>
      <c r="J364" s="233">
        <f>H364*cnst_carbon!$C$13*1000000</f>
        <v>3066.1237657143351</v>
      </c>
      <c r="K364" s="30">
        <f>I364*cnst_carbon!$C$13*1000000</f>
        <v>787.02769589004629</v>
      </c>
    </row>
    <row r="365" spans="1:11" ht="12.5">
      <c r="A365" s="14" t="s">
        <v>1194</v>
      </c>
      <c r="B365" s="770" t="s">
        <v>7953</v>
      </c>
      <c r="C365" s="502">
        <v>69641.259376087197</v>
      </c>
      <c r="D365" s="505">
        <v>1364</v>
      </c>
      <c r="E365" s="539">
        <v>20</v>
      </c>
      <c r="F365" s="31">
        <f t="shared" si="10"/>
        <v>1392.8251875217441</v>
      </c>
      <c r="G365" s="31">
        <f t="shared" si="11"/>
        <v>27.28</v>
      </c>
      <c r="H365" s="209">
        <f>F365*cnst_carbon!$C$11/10^6</f>
        <v>7.8125560491181626E-5</v>
      </c>
      <c r="I365" s="209">
        <f>G365*carbon_intensity_n!$C$9</f>
        <v>1.269125305340783E-6</v>
      </c>
      <c r="J365" s="233">
        <f>H365*cnst_carbon!$C$13*1000000</f>
        <v>26.30262076682645</v>
      </c>
      <c r="K365" s="30">
        <f>I365*cnst_carbon!$C$13*1000000</f>
        <v>0.42727785121911971</v>
      </c>
    </row>
    <row r="366" spans="1:11" ht="12.5">
      <c r="A366" s="14" t="s">
        <v>45</v>
      </c>
      <c r="B366" s="770" t="s">
        <v>7954</v>
      </c>
      <c r="C366" s="502">
        <v>5480244.2606972298</v>
      </c>
      <c r="D366" s="505">
        <v>6808461.5181716196</v>
      </c>
      <c r="E366" s="539">
        <v>70</v>
      </c>
      <c r="F366" s="31">
        <f t="shared" si="10"/>
        <v>383617.09824880608</v>
      </c>
      <c r="G366" s="31">
        <f t="shared" si="11"/>
        <v>476592.30627201335</v>
      </c>
      <c r="H366" s="209">
        <f>F366*cnst_carbon!$C$11/10^6</f>
        <v>2.1517632710257681E-2</v>
      </c>
      <c r="I366" s="209">
        <f>G366*carbon_intensity_n!$C$9</f>
        <v>2.2172117163509416E-2</v>
      </c>
      <c r="J366" s="233">
        <f>H366*cnst_carbon!$C$13*1000000</f>
        <v>7244.3657289556513</v>
      </c>
      <c r="K366" s="30">
        <f>I366*cnst_carbon!$C$13*1000000</f>
        <v>7464.7117496873325</v>
      </c>
    </row>
    <row r="367" spans="1:11" ht="12.5">
      <c r="A367" s="14" t="s">
        <v>4606</v>
      </c>
      <c r="B367" s="770" t="s">
        <v>7955</v>
      </c>
      <c r="C367" s="502">
        <v>13111123.912015401</v>
      </c>
      <c r="D367" s="505">
        <v>6621411.1494235797</v>
      </c>
      <c r="E367" s="539">
        <v>36</v>
      </c>
      <c r="F367" s="31">
        <f t="shared" si="10"/>
        <v>472000.46083255444</v>
      </c>
      <c r="G367" s="31">
        <f t="shared" si="11"/>
        <v>238370.80137924885</v>
      </c>
      <c r="H367" s="209">
        <f>F367*cnst_carbon!$C$11/10^6</f>
        <v>2.6475182158538946E-2</v>
      </c>
      <c r="I367" s="209">
        <f>G367*carbon_intensity_n!$C$9</f>
        <v>1.1089531381406389E-2</v>
      </c>
      <c r="J367" s="233">
        <f>H367*cnst_carbon!$C$13*1000000</f>
        <v>8913.4295059208125</v>
      </c>
      <c r="K367" s="30">
        <f>I367*cnst_carbon!$C$13*1000000</f>
        <v>3733.5250662281896</v>
      </c>
    </row>
    <row r="368" spans="1:11" ht="12.5">
      <c r="A368" s="14" t="s">
        <v>782</v>
      </c>
      <c r="B368" s="770" t="s">
        <v>7956</v>
      </c>
      <c r="C368" s="502">
        <v>177237668.74812499</v>
      </c>
      <c r="D368" s="505">
        <v>16962766.5170056</v>
      </c>
      <c r="E368" s="539">
        <v>70</v>
      </c>
      <c r="F368" s="31">
        <f t="shared" si="10"/>
        <v>12406636.812368749</v>
      </c>
      <c r="G368" s="31">
        <f t="shared" si="11"/>
        <v>1187393.6561903921</v>
      </c>
      <c r="H368" s="209">
        <f>F368*cnst_carbon!$C$11/10^6</f>
        <v>0.69590603577572341</v>
      </c>
      <c r="I368" s="209">
        <f>G368*carbon_intensity_n!$C$9</f>
        <v>5.524015163021774E-2</v>
      </c>
      <c r="J368" s="233">
        <f>H368*cnst_carbon!$C$13*1000000</f>
        <v>234291.47174464731</v>
      </c>
      <c r="K368" s="30">
        <f>I368*cnst_carbon!$C$13*1000000</f>
        <v>18597.76429502364</v>
      </c>
    </row>
    <row r="369" spans="1:11" ht="12.5">
      <c r="A369" s="14" t="s">
        <v>1081</v>
      </c>
      <c r="B369" s="770" t="s">
        <v>7957</v>
      </c>
      <c r="C369" s="502">
        <v>634292.81509062694</v>
      </c>
      <c r="D369" s="505">
        <v>136693</v>
      </c>
      <c r="E369" s="539">
        <v>20</v>
      </c>
      <c r="F369" s="31">
        <f t="shared" si="10"/>
        <v>12685.856301812539</v>
      </c>
      <c r="G369" s="31">
        <f t="shared" si="11"/>
        <v>2733.86</v>
      </c>
      <c r="H369" s="209">
        <f>F369*cnst_carbon!$C$11/10^6</f>
        <v>7.1156785702098085E-4</v>
      </c>
      <c r="I369" s="209">
        <f>G369*carbon_intensity_n!$C$9</f>
        <v>1.2718515055934579E-4</v>
      </c>
      <c r="J369" s="233">
        <f>H369*cnst_carbon!$C$13*1000000</f>
        <v>239.56435480803768</v>
      </c>
      <c r="K369" s="30">
        <f>I369*cnst_carbon!$C$13*1000000</f>
        <v>42.819568413999363</v>
      </c>
    </row>
    <row r="370" spans="1:11" ht="12.5">
      <c r="A370" s="14" t="s">
        <v>1580</v>
      </c>
      <c r="B370" s="770" t="s">
        <v>7958</v>
      </c>
      <c r="C370" s="502">
        <v>20842516.641775399</v>
      </c>
      <c r="D370" s="505">
        <v>3251057.4600193799</v>
      </c>
      <c r="E370" s="539">
        <v>20</v>
      </c>
      <c r="F370" s="31">
        <f t="shared" si="10"/>
        <v>416850.33283550799</v>
      </c>
      <c r="G370" s="31">
        <f t="shared" si="11"/>
        <v>65021.149200387597</v>
      </c>
      <c r="H370" s="209">
        <f>F370*cnst_carbon!$C$11/10^6</f>
        <v>2.3381732456788491E-2</v>
      </c>
      <c r="I370" s="209">
        <f>G370*carbon_intensity_n!$C$9</f>
        <v>3.0249261668823502E-3</v>
      </c>
      <c r="J370" s="233">
        <f>H370*cnst_carbon!$C$13*1000000</f>
        <v>7871.9542978731379</v>
      </c>
      <c r="K370" s="30">
        <f>I370*cnst_carbon!$C$13*1000000</f>
        <v>1018.4053121018841</v>
      </c>
    </row>
    <row r="371" spans="1:11" ht="12.5">
      <c r="A371" s="14" t="s">
        <v>1581</v>
      </c>
      <c r="B371" s="770" t="s">
        <v>7959</v>
      </c>
      <c r="C371" s="502">
        <v>8202.6430096203694</v>
      </c>
      <c r="D371" s="505">
        <v>309.800076344746</v>
      </c>
      <c r="E371" s="539">
        <v>20</v>
      </c>
      <c r="F371" s="31">
        <f t="shared" si="10"/>
        <v>164.05286019240739</v>
      </c>
      <c r="G371" s="31">
        <f t="shared" si="11"/>
        <v>6.1960015268949205</v>
      </c>
      <c r="H371" s="209">
        <f>F371*cnst_carbon!$C$11/10^6</f>
        <v>9.2019599929249556E-6</v>
      </c>
      <c r="I371" s="209">
        <f>G371*carbon_intensity_n!$C$9</f>
        <v>2.8825155167567714E-7</v>
      </c>
      <c r="J371" s="233">
        <f>H371*cnst_carbon!$C$13*1000000</f>
        <v>3.0980342730819035</v>
      </c>
      <c r="K371" s="30">
        <f>I371*cnst_carbon!$C$13*1000000</f>
        <v>9.7045975753740701E-2</v>
      </c>
    </row>
    <row r="372" spans="1:11" ht="12.5">
      <c r="A372" s="14" t="s">
        <v>5441</v>
      </c>
      <c r="B372" s="770" t="s">
        <v>7960</v>
      </c>
      <c r="C372" s="502">
        <v>15462640.4898885</v>
      </c>
      <c r="D372" s="505">
        <v>5005394.5110567696</v>
      </c>
      <c r="E372" s="539">
        <v>20</v>
      </c>
      <c r="F372" s="31">
        <f t="shared" si="10"/>
        <v>309252.80979776999</v>
      </c>
      <c r="G372" s="31">
        <f t="shared" si="11"/>
        <v>100107.8902211354</v>
      </c>
      <c r="H372" s="209">
        <f>F372*cnst_carbon!$C$11/10^6</f>
        <v>1.734643321744667E-2</v>
      </c>
      <c r="I372" s="209">
        <f>G372*carbon_intensity_n!$C$9</f>
        <v>4.6572381504369513E-3</v>
      </c>
      <c r="J372" s="233">
        <f>H372*cnst_carbon!$C$13*1000000</f>
        <v>5840.0432804201209</v>
      </c>
      <c r="K372" s="30">
        <f>I372*cnst_carbon!$C$13*1000000</f>
        <v>1567.9576328360065</v>
      </c>
    </row>
    <row r="373" spans="1:11" ht="12.5">
      <c r="A373" s="14" t="s">
        <v>5239</v>
      </c>
      <c r="B373" s="770" t="s">
        <v>7961</v>
      </c>
      <c r="C373" s="502">
        <v>4086820.5393415298</v>
      </c>
      <c r="D373" s="505">
        <v>1521608.50149982</v>
      </c>
      <c r="E373" s="539">
        <v>20</v>
      </c>
      <c r="F373" s="31">
        <f t="shared" si="10"/>
        <v>81736.410786830602</v>
      </c>
      <c r="G373" s="31">
        <f t="shared" si="11"/>
        <v>30432.170029996403</v>
      </c>
      <c r="H373" s="209">
        <f>F373*cnst_carbon!$C$11/10^6</f>
        <v>4.5847123978427591E-3</v>
      </c>
      <c r="I373" s="209">
        <f>G373*carbon_intensity_n!$C$9</f>
        <v>1.4157711540139959E-3</v>
      </c>
      <c r="J373" s="233">
        <f>H373*cnst_carbon!$C$13*1000000</f>
        <v>1543.5403057241062</v>
      </c>
      <c r="K373" s="30">
        <f>I373*cnst_carbon!$C$13*1000000</f>
        <v>476.64927486626675</v>
      </c>
    </row>
    <row r="374" spans="1:11" ht="12.5">
      <c r="A374" s="14" t="s">
        <v>5240</v>
      </c>
      <c r="B374" s="770" t="s">
        <v>7962</v>
      </c>
      <c r="C374" s="502">
        <v>6224638.5</v>
      </c>
      <c r="D374" s="505">
        <v>689867.369625833</v>
      </c>
      <c r="E374" s="539">
        <v>70</v>
      </c>
      <c r="F374" s="31">
        <f t="shared" si="10"/>
        <v>435724.69500000001</v>
      </c>
      <c r="G374" s="31">
        <f t="shared" si="11"/>
        <v>48290.715873808309</v>
      </c>
      <c r="H374" s="209">
        <f>F374*cnst_carbon!$C$11/10^6</f>
        <v>2.4440422474907846E-2</v>
      </c>
      <c r="I374" s="209">
        <f>G374*carbon_intensity_n!$C$9</f>
        <v>2.2465897920994119E-3</v>
      </c>
      <c r="J374" s="233">
        <f>H374*cnst_carbon!$C$13*1000000</f>
        <v>8228.3846630589487</v>
      </c>
      <c r="K374" s="30">
        <f>I374*cnst_carbon!$C$13*1000000</f>
        <v>756.36192494112333</v>
      </c>
    </row>
    <row r="375" spans="1:11" ht="12.5">
      <c r="A375" s="14" t="s">
        <v>5241</v>
      </c>
      <c r="B375" s="770" t="s">
        <v>7963</v>
      </c>
      <c r="C375" s="502">
        <v>8509327.2586739007</v>
      </c>
      <c r="D375" s="505">
        <v>685228.97750970698</v>
      </c>
      <c r="E375" s="539">
        <v>20</v>
      </c>
      <c r="F375" s="31">
        <f t="shared" si="10"/>
        <v>170186.54517347802</v>
      </c>
      <c r="G375" s="31">
        <f t="shared" si="11"/>
        <v>13704.579550194141</v>
      </c>
      <c r="H375" s="209">
        <f>F375*cnst_carbon!$C$11/10^6</f>
        <v>9.5460071722232569E-3</v>
      </c>
      <c r="I375" s="209">
        <f>G375*carbon_intensity_n!$C$9</f>
        <v>6.3756703468501421E-4</v>
      </c>
      <c r="J375" s="233">
        <f>H375*cnst_carbon!$C$13*1000000</f>
        <v>3213.8650258609632</v>
      </c>
      <c r="K375" s="30">
        <f>I375*cnst_carbon!$C$13*1000000</f>
        <v>214.65041429869655</v>
      </c>
    </row>
    <row r="376" spans="1:11" ht="12.5">
      <c r="A376" s="14" t="s">
        <v>5242</v>
      </c>
      <c r="B376" s="770" t="s">
        <v>7964</v>
      </c>
      <c r="C376" s="502">
        <v>6480810.0460584396</v>
      </c>
      <c r="D376" s="505">
        <v>344794.499084112</v>
      </c>
      <c r="E376" s="539">
        <v>143</v>
      </c>
      <c r="F376" s="31">
        <f t="shared" si="10"/>
        <v>926755.83658635686</v>
      </c>
      <c r="G376" s="31">
        <f t="shared" si="11"/>
        <v>49305.613369028018</v>
      </c>
      <c r="H376" s="209">
        <f>F376*cnst_carbon!$C$11/10^6</f>
        <v>5.1983062785223168E-2</v>
      </c>
      <c r="I376" s="209">
        <f>G376*carbon_intensity_n!$C$9</f>
        <v>2.2938050447940716E-3</v>
      </c>
      <c r="J376" s="233">
        <f>H376*cnst_carbon!$C$13*1000000</f>
        <v>17501.196511635731</v>
      </c>
      <c r="K376" s="30">
        <f>I376*cnst_carbon!$C$13*1000000</f>
        <v>772.2579374398457</v>
      </c>
    </row>
    <row r="377" spans="1:11" ht="12.5">
      <c r="A377" s="14" t="s">
        <v>5243</v>
      </c>
      <c r="B377" s="770" t="s">
        <v>7965</v>
      </c>
      <c r="C377" s="502">
        <v>57087905.350217097</v>
      </c>
      <c r="D377" s="505">
        <v>8275963.5641401196</v>
      </c>
      <c r="E377" s="539">
        <v>20</v>
      </c>
      <c r="F377" s="31">
        <f t="shared" si="10"/>
        <v>1141758.1070043419</v>
      </c>
      <c r="G377" s="31">
        <f t="shared" si="11"/>
        <v>165519.27128280239</v>
      </c>
      <c r="H377" s="209">
        <f>F377*cnst_carbon!$C$11/10^6</f>
        <v>6.404284820105767E-2</v>
      </c>
      <c r="I377" s="209">
        <f>G377*carbon_intensity_n!$C$9</f>
        <v>7.7003187575722309E-3</v>
      </c>
      <c r="J377" s="233">
        <f>H377*cnst_carbon!$C$13*1000000</f>
        <v>21561.378100448826</v>
      </c>
      <c r="K377" s="30">
        <f>I377*cnst_carbon!$C$13*1000000</f>
        <v>2592.47502086035</v>
      </c>
    </row>
    <row r="378" spans="1:11" ht="12.5">
      <c r="A378" s="14" t="s">
        <v>2650</v>
      </c>
      <c r="B378" s="770" t="s">
        <v>7966</v>
      </c>
      <c r="C378" s="502">
        <v>2827235.2227264699</v>
      </c>
      <c r="D378" s="505">
        <v>441438.34908498201</v>
      </c>
      <c r="E378" s="539">
        <v>25</v>
      </c>
      <c r="F378" s="31">
        <f t="shared" si="10"/>
        <v>70680.880568161738</v>
      </c>
      <c r="G378" s="31">
        <f t="shared" si="11"/>
        <v>11035.958727124549</v>
      </c>
      <c r="H378" s="209">
        <f>F378*cnst_carbon!$C$11/10^6</f>
        <v>3.9645918668538569E-3</v>
      </c>
      <c r="I378" s="209">
        <f>G378*carbon_intensity_n!$C$9</f>
        <v>5.134169534197295E-4</v>
      </c>
      <c r="J378" s="233">
        <f>H378*cnst_carbon!$C$13*1000000</f>
        <v>1334.7636255470059</v>
      </c>
      <c r="K378" s="30">
        <f>I378*cnst_carbon!$C$13*1000000</f>
        <v>172.85266609489256</v>
      </c>
    </row>
    <row r="379" spans="1:11" ht="12.5">
      <c r="A379" s="14" t="s">
        <v>2651</v>
      </c>
      <c r="B379" s="770" t="s">
        <v>7967</v>
      </c>
      <c r="C379" s="502">
        <v>1212776.8478848999</v>
      </c>
      <c r="D379" s="505">
        <v>108905.655469604</v>
      </c>
      <c r="E379" s="539">
        <v>74</v>
      </c>
      <c r="F379" s="31">
        <f t="shared" si="10"/>
        <v>89745.486743482586</v>
      </c>
      <c r="G379" s="31">
        <f t="shared" si="11"/>
        <v>8059.0185047506957</v>
      </c>
      <c r="H379" s="209">
        <f>F379*cnst_carbon!$C$11/10^6</f>
        <v>5.033952944133579E-3</v>
      </c>
      <c r="I379" s="209">
        <f>G379*carbon_intensity_n!$C$9</f>
        <v>3.7492317890721211E-4</v>
      </c>
      <c r="J379" s="233">
        <f>H379*cnst_carbon!$C$13*1000000</f>
        <v>1694.7866282833299</v>
      </c>
      <c r="K379" s="30">
        <f>I379*cnst_carbon!$C$13*1000000</f>
        <v>126.22581047085779</v>
      </c>
    </row>
    <row r="380" spans="1:11" ht="12.5">
      <c r="A380" s="14" t="s">
        <v>4644</v>
      </c>
      <c r="B380" s="770" t="s">
        <v>7968</v>
      </c>
      <c r="C380" s="502">
        <v>125930693.802664</v>
      </c>
      <c r="D380" s="505">
        <v>11741702.641719799</v>
      </c>
      <c r="E380" s="539">
        <v>74</v>
      </c>
      <c r="F380" s="31">
        <f t="shared" si="10"/>
        <v>9318871.3413971364</v>
      </c>
      <c r="G380" s="31">
        <f t="shared" si="11"/>
        <v>868885.99548726506</v>
      </c>
      <c r="H380" s="209">
        <f>F380*cnst_carbon!$C$11/10^6</f>
        <v>0.52270884617420454</v>
      </c>
      <c r="I380" s="209">
        <f>G380*carbon_intensity_n!$C$9</f>
        <v>4.0422478164556644E-2</v>
      </c>
      <c r="J380" s="233">
        <f>H380*cnst_carbon!$C$13*1000000</f>
        <v>175980.97813246911</v>
      </c>
      <c r="K380" s="30">
        <f>I380*cnst_carbon!$C$13*1000000</f>
        <v>13609.081418848396</v>
      </c>
    </row>
    <row r="381" spans="1:11" ht="12.5">
      <c r="A381" s="14" t="s">
        <v>5037</v>
      </c>
      <c r="B381" s="770" t="s">
        <v>7969</v>
      </c>
      <c r="C381" s="502">
        <v>15585.4340484657</v>
      </c>
      <c r="D381" s="505">
        <v>8781</v>
      </c>
      <c r="E381" s="539">
        <v>70</v>
      </c>
      <c r="F381" s="31">
        <f t="shared" si="10"/>
        <v>1090.9803833925989</v>
      </c>
      <c r="G381" s="31">
        <f t="shared" si="11"/>
        <v>614.66999999999996</v>
      </c>
      <c r="H381" s="209">
        <f>F381*cnst_carbon!$C$11/10^6</f>
        <v>6.1194652926320944E-5</v>
      </c>
      <c r="I381" s="209">
        <f>G381*carbon_intensity_n!$C$9</f>
        <v>2.8595793674260224E-5</v>
      </c>
      <c r="J381" s="233">
        <f>H381*cnst_carbon!$C$13*1000000</f>
        <v>20.602472977589283</v>
      </c>
      <c r="K381" s="30">
        <f>I381*cnst_carbon!$C$13*1000000</f>
        <v>9.6273781821428237</v>
      </c>
    </row>
    <row r="382" spans="1:11" ht="12.5">
      <c r="A382" s="14" t="s">
        <v>5038</v>
      </c>
      <c r="B382" s="770" t="s">
        <v>7970</v>
      </c>
      <c r="C382" s="502">
        <v>811247.65433409798</v>
      </c>
      <c r="D382" s="505">
        <v>47966.051457039299</v>
      </c>
      <c r="E382" s="539">
        <v>20</v>
      </c>
      <c r="F382" s="31">
        <f t="shared" si="10"/>
        <v>16224.95308668196</v>
      </c>
      <c r="G382" s="31">
        <f t="shared" si="11"/>
        <v>959.32102914078598</v>
      </c>
      <c r="H382" s="209">
        <f>F382*cnst_carbon!$C$11/10^6</f>
        <v>9.1008086671348111E-4</v>
      </c>
      <c r="I382" s="209">
        <f>G382*carbon_intensity_n!$C$9</f>
        <v>4.4629713857336289E-5</v>
      </c>
      <c r="J382" s="233">
        <f>H382*cnst_carbon!$C$13*1000000</f>
        <v>306.39795418826282</v>
      </c>
      <c r="K382" s="30">
        <f>I382*cnst_carbon!$C$13*1000000</f>
        <v>15.025536215564131</v>
      </c>
    </row>
    <row r="383" spans="1:11" ht="12.5">
      <c r="A383" s="14" t="s">
        <v>5039</v>
      </c>
      <c r="B383" s="770" t="s">
        <v>7971</v>
      </c>
      <c r="C383" s="502">
        <v>395426803</v>
      </c>
      <c r="D383" s="505">
        <v>284681449</v>
      </c>
      <c r="E383" s="539">
        <v>5.3</v>
      </c>
      <c r="F383" s="31">
        <f t="shared" si="10"/>
        <v>2095762.0558999998</v>
      </c>
      <c r="G383" s="31">
        <f t="shared" si="11"/>
        <v>1508811.6797</v>
      </c>
      <c r="H383" s="209">
        <f>F383*cnst_carbon!$C$11/10^6</f>
        <v>0.1175542966484317</v>
      </c>
      <c r="I383" s="209">
        <f>G383*carbon_intensity_n!$C$9</f>
        <v>7.0193221543291856E-2</v>
      </c>
      <c r="J383" s="233">
        <f>H383*cnst_carbon!$C$13*1000000</f>
        <v>39577.13794070921</v>
      </c>
      <c r="K383" s="30">
        <f>I383*cnst_carbon!$C$13*1000000</f>
        <v>23632.031246206985</v>
      </c>
    </row>
    <row r="384" spans="1:11" ht="12.5">
      <c r="A384" s="14" t="s">
        <v>5040</v>
      </c>
      <c r="B384" s="770" t="s">
        <v>7972</v>
      </c>
      <c r="C384" s="502">
        <v>1221572202.6405499</v>
      </c>
      <c r="D384" s="505">
        <v>5373455842</v>
      </c>
      <c r="E384" s="539">
        <v>9.1620000000000008</v>
      </c>
      <c r="F384" s="31">
        <f t="shared" si="10"/>
        <v>11192044.520592719</v>
      </c>
      <c r="G384" s="31">
        <f t="shared" si="11"/>
        <v>49231602.42440401</v>
      </c>
      <c r="H384" s="209">
        <f>F384*cnst_carbon!$C$11/10^6</f>
        <v>0.62777781378965336</v>
      </c>
      <c r="I384" s="209">
        <f>G384*carbon_intensity_n!$C$9</f>
        <v>2.2903618936689063</v>
      </c>
      <c r="J384" s="233">
        <f>H384*cnst_carbon!$C$13*1000000</f>
        <v>211354.66623372835</v>
      </c>
      <c r="K384" s="30">
        <f>I384*cnst_carbon!$C$13*1000000</f>
        <v>771098.72785826051</v>
      </c>
    </row>
    <row r="385" spans="1:11" ht="12.5">
      <c r="A385" s="14" t="s">
        <v>513</v>
      </c>
      <c r="B385" s="770" t="s">
        <v>7973</v>
      </c>
      <c r="C385" s="502">
        <v>728035890.42451704</v>
      </c>
      <c r="D385" s="505">
        <v>85794836.818565398</v>
      </c>
      <c r="E385" s="539">
        <v>1.26</v>
      </c>
      <c r="F385" s="31">
        <f t="shared" si="10"/>
        <v>917325.22193489142</v>
      </c>
      <c r="G385" s="31">
        <f t="shared" si="11"/>
        <v>108101.49439139241</v>
      </c>
      <c r="H385" s="209">
        <f>F385*cnst_carbon!$C$11/10^6</f>
        <v>5.1454086096674748E-2</v>
      </c>
      <c r="I385" s="209">
        <f>G385*carbon_intensity_n!$C$9</f>
        <v>5.0291181113369067E-3</v>
      </c>
      <c r="J385" s="233">
        <f>H385*cnst_carbon!$C$13*1000000</f>
        <v>17323.105331925715</v>
      </c>
      <c r="K385" s="30">
        <f>I385*cnst_carbon!$C$13*1000000</f>
        <v>1693.1588796601857</v>
      </c>
    </row>
    <row r="386" spans="1:11" ht="12.5">
      <c r="A386" s="14" t="s">
        <v>880</v>
      </c>
      <c r="B386" s="770" t="s">
        <v>7974</v>
      </c>
      <c r="C386" s="502">
        <v>374585849.95808899</v>
      </c>
      <c r="D386" s="505">
        <v>226210850.35736799</v>
      </c>
      <c r="E386" s="539">
        <v>5</v>
      </c>
      <c r="F386" s="31">
        <f t="shared" si="10"/>
        <v>1872929.2497904447</v>
      </c>
      <c r="G386" s="31">
        <f t="shared" si="11"/>
        <v>1131054.2517868399</v>
      </c>
      <c r="H386" s="209">
        <f>F386*cnst_carbon!$C$11/10^6</f>
        <v>0.10505528526559799</v>
      </c>
      <c r="I386" s="209">
        <f>G386*carbon_intensity_n!$C$9</f>
        <v>5.2619119232256741E-2</v>
      </c>
      <c r="J386" s="233">
        <f>H386*cnst_carbon!$C$13*1000000</f>
        <v>35369.081649067877</v>
      </c>
      <c r="K386" s="30">
        <f>I386*cnst_carbon!$C$13*1000000</f>
        <v>17715.338354682186</v>
      </c>
    </row>
    <row r="387" spans="1:11" ht="12.5">
      <c r="A387" s="14" t="s">
        <v>881</v>
      </c>
      <c r="B387" s="770" t="s">
        <v>7975</v>
      </c>
      <c r="C387" s="502">
        <v>396874537.22055</v>
      </c>
      <c r="D387" s="505">
        <v>11063971.936108701</v>
      </c>
      <c r="E387" s="539">
        <v>3</v>
      </c>
      <c r="F387" s="31">
        <f t="shared" si="10"/>
        <v>1190623.61166165</v>
      </c>
      <c r="G387" s="31">
        <f t="shared" si="11"/>
        <v>33191.915808326106</v>
      </c>
      <c r="H387" s="209">
        <f>F387*cnst_carbon!$C$11/10^6</f>
        <v>6.678378437469866E-2</v>
      </c>
      <c r="I387" s="209">
        <f>G387*carbon_intensity_n!$C$9</f>
        <v>1.5441605676351697E-3</v>
      </c>
      <c r="J387" s="233">
        <f>H387*cnst_carbon!$C$13*1000000</f>
        <v>22484.172180492485</v>
      </c>
      <c r="K387" s="30">
        <f>I387*cnst_carbon!$C$13*1000000</f>
        <v>519.87428388663898</v>
      </c>
    </row>
    <row r="388" spans="1:11" ht="12.5">
      <c r="A388" s="14" t="s">
        <v>2075</v>
      </c>
      <c r="B388" s="770" t="s">
        <v>7976</v>
      </c>
      <c r="C388" s="502">
        <v>1570992844.0054801</v>
      </c>
      <c r="D388" s="505">
        <v>67898334.636517406</v>
      </c>
      <c r="E388" s="539">
        <v>3</v>
      </c>
      <c r="F388" s="31">
        <f t="shared" si="10"/>
        <v>4712978.5320164403</v>
      </c>
      <c r="G388" s="31">
        <f t="shared" si="11"/>
        <v>203695.00390955221</v>
      </c>
      <c r="H388" s="209">
        <f>F388*cnst_carbon!$C$11/10^6</f>
        <v>0.26435771889783016</v>
      </c>
      <c r="I388" s="209">
        <f>G388*carbon_intensity_n!$C$9</f>
        <v>9.4763373912427565E-3</v>
      </c>
      <c r="J388" s="233">
        <f>H388*cnst_carbon!$C$13*1000000</f>
        <v>89001.612061878099</v>
      </c>
      <c r="K388" s="30">
        <f>I388*cnst_carbon!$C$13*1000000</f>
        <v>3190.4092219407494</v>
      </c>
    </row>
    <row r="389" spans="1:11" ht="12.5">
      <c r="A389" s="14" t="s">
        <v>2076</v>
      </c>
      <c r="B389" s="770" t="s">
        <v>7977</v>
      </c>
      <c r="C389" s="502">
        <v>7795196.14204909</v>
      </c>
      <c r="D389" s="505">
        <v>1083928.39503077</v>
      </c>
      <c r="E389" s="539">
        <v>10</v>
      </c>
      <c r="F389" s="31">
        <f t="shared" si="10"/>
        <v>77951.961420490901</v>
      </c>
      <c r="G389" s="31">
        <f t="shared" si="11"/>
        <v>10839.283950307701</v>
      </c>
      <c r="H389" s="209">
        <f>F389*cnst_carbon!$C$11/10^6</f>
        <v>4.3724372102997636E-3</v>
      </c>
      <c r="I389" s="209">
        <f>G389*carbon_intensity_n!$C$9</f>
        <v>5.0426721235739401E-4</v>
      </c>
      <c r="J389" s="233">
        <f>H389*cnst_carbon!$C$13*1000000</f>
        <v>1472.0733783696382</v>
      </c>
      <c r="K389" s="30">
        <f>I389*cnst_carbon!$C$13*1000000</f>
        <v>169.77221242820255</v>
      </c>
    </row>
    <row r="390" spans="1:11" ht="12.5">
      <c r="A390" s="14" t="s">
        <v>2077</v>
      </c>
      <c r="B390" s="770" t="s">
        <v>7978</v>
      </c>
      <c r="C390" s="502">
        <v>9337058.3680933099</v>
      </c>
      <c r="D390" s="505">
        <v>12098702.699128199</v>
      </c>
      <c r="E390" s="539">
        <v>28.2</v>
      </c>
      <c r="F390" s="31">
        <f t="shared" si="10"/>
        <v>263305.04598023137</v>
      </c>
      <c r="G390" s="31">
        <f t="shared" si="11"/>
        <v>341183.41611541522</v>
      </c>
      <c r="H390" s="209">
        <f>F390*cnst_carbon!$C$11/10^6</f>
        <v>1.4769157308221629E-2</v>
      </c>
      <c r="I390" s="209">
        <f>G390*carbon_intensity_n!$C$9</f>
        <v>1.587259923587565E-2</v>
      </c>
      <c r="J390" s="233">
        <f>H390*cnst_carbon!$C$13*1000000</f>
        <v>4972.3488866054913</v>
      </c>
      <c r="K390" s="30">
        <f>I390*cnst_carbon!$C$13*1000000</f>
        <v>5343.8459277636866</v>
      </c>
    </row>
    <row r="391" spans="1:11" ht="12.5">
      <c r="A391" s="14" t="s">
        <v>2078</v>
      </c>
      <c r="B391" s="770" t="s">
        <v>7979</v>
      </c>
      <c r="C391" s="502">
        <v>185633.02587574301</v>
      </c>
      <c r="D391" s="505">
        <v>12783.258980734299</v>
      </c>
      <c r="E391" s="539">
        <v>5</v>
      </c>
      <c r="F391" s="31">
        <f t="shared" si="10"/>
        <v>928.16512937871505</v>
      </c>
      <c r="G391" s="31">
        <f t="shared" si="11"/>
        <v>63.916294903671499</v>
      </c>
      <c r="H391" s="209">
        <f>F391*cnst_carbon!$C$11/10^6</f>
        <v>5.2062112037265401E-5</v>
      </c>
      <c r="I391" s="209">
        <f>G391*carbon_intensity_n!$C$9</f>
        <v>2.9735259269015253E-6</v>
      </c>
      <c r="J391" s="233">
        <f>H391*cnst_carbon!$C$13*1000000</f>
        <v>17.52781011268123</v>
      </c>
      <c r="K391" s="30">
        <f>I391*cnst_carbon!$C$13*1000000</f>
        <v>1.0011003352026513</v>
      </c>
    </row>
    <row r="392" spans="1:11" ht="12.5">
      <c r="A392" s="14" t="s">
        <v>2079</v>
      </c>
      <c r="B392" s="770" t="s">
        <v>7980</v>
      </c>
      <c r="C392" s="502">
        <v>125642564.83887801</v>
      </c>
      <c r="D392" s="505">
        <v>34271193.668976203</v>
      </c>
      <c r="E392" s="539">
        <v>10</v>
      </c>
      <c r="F392" s="31">
        <f t="shared" ref="F392:F455" si="12">C392*$E392/1000</f>
        <v>1256425.6483887802</v>
      </c>
      <c r="G392" s="31">
        <f t="shared" ref="G392:G455" si="13">D392*E392/1000</f>
        <v>342711.93668976199</v>
      </c>
      <c r="H392" s="209">
        <f>F392*cnst_carbon!$C$11/10^6</f>
        <v>7.0474714899810303E-2</v>
      </c>
      <c r="I392" s="209">
        <f>G392*carbon_intensity_n!$C$9</f>
        <v>1.5943709358333037E-2</v>
      </c>
      <c r="J392" s="233">
        <f>H392*cnst_carbon!$C$13*1000000</f>
        <v>23726.801932757407</v>
      </c>
      <c r="K392" s="30">
        <f>I392*cnst_carbon!$C$13*1000000</f>
        <v>5367.7866530771435</v>
      </c>
    </row>
    <row r="393" spans="1:11" ht="12.5">
      <c r="A393" s="14" t="s">
        <v>3977</v>
      </c>
      <c r="B393" s="770" t="s">
        <v>7981</v>
      </c>
      <c r="C393" s="502">
        <v>957641973.63701403</v>
      </c>
      <c r="D393" s="505">
        <v>130442954.401326</v>
      </c>
      <c r="E393" s="539">
        <v>3.21</v>
      </c>
      <c r="F393" s="31">
        <f t="shared" si="12"/>
        <v>3074030.7353748148</v>
      </c>
      <c r="G393" s="31">
        <f t="shared" si="13"/>
        <v>418721.88362825644</v>
      </c>
      <c r="H393" s="209">
        <f>F393*cnst_carbon!$C$11/10^6</f>
        <v>0.17242678860194535</v>
      </c>
      <c r="I393" s="209">
        <f>G393*carbon_intensity_n!$C$9</f>
        <v>1.9479858446208895E-2</v>
      </c>
      <c r="J393" s="233">
        <f>H393*cnst_carbon!$C$13*1000000</f>
        <v>58051.121836759674</v>
      </c>
      <c r="K393" s="30">
        <f>I393*cnst_carbon!$C$13*1000000</f>
        <v>6558.3059638967625</v>
      </c>
    </row>
    <row r="394" spans="1:11" ht="12.5">
      <c r="A394" s="14" t="s">
        <v>3978</v>
      </c>
      <c r="B394" s="770" t="s">
        <v>7982</v>
      </c>
      <c r="C394" s="502">
        <v>6340110.5426812898</v>
      </c>
      <c r="D394" s="505">
        <v>5421243.9696547901</v>
      </c>
      <c r="E394" s="539">
        <v>10</v>
      </c>
      <c r="F394" s="31">
        <f t="shared" si="12"/>
        <v>63401.105426812901</v>
      </c>
      <c r="G394" s="31">
        <f t="shared" si="13"/>
        <v>54212.439696547903</v>
      </c>
      <c r="H394" s="209">
        <f>F394*cnst_carbon!$C$11/10^6</f>
        <v>3.5562588482791401E-3</v>
      </c>
      <c r="I394" s="209">
        <f>G394*carbon_intensity_n!$C$9</f>
        <v>2.522081344690254E-3</v>
      </c>
      <c r="J394" s="233">
        <f>H394*cnst_carbon!$C$13*1000000</f>
        <v>1197.2896865874695</v>
      </c>
      <c r="K394" s="30">
        <f>I394*cnst_carbon!$C$13*1000000</f>
        <v>849.111977378559</v>
      </c>
    </row>
    <row r="395" spans="1:11" ht="12.5">
      <c r="A395" s="14" t="s">
        <v>3979</v>
      </c>
      <c r="B395" s="770" t="s">
        <v>7983</v>
      </c>
      <c r="C395" s="502">
        <v>2973276.9217059198</v>
      </c>
      <c r="D395" s="505">
        <v>494093.02757366397</v>
      </c>
      <c r="E395" s="539">
        <v>10</v>
      </c>
      <c r="F395" s="31">
        <f t="shared" si="12"/>
        <v>29732.769217059198</v>
      </c>
      <c r="G395" s="31">
        <f t="shared" si="13"/>
        <v>4940.9302757366395</v>
      </c>
      <c r="H395" s="209">
        <f>F395*cnst_carbon!$C$11/10^6</f>
        <v>1.667753628271773E-3</v>
      </c>
      <c r="I395" s="209">
        <f>G395*carbon_intensity_n!$C$9</f>
        <v>2.2986289020754329E-4</v>
      </c>
      <c r="J395" s="233">
        <f>H395*cnst_carbon!$C$13*1000000</f>
        <v>561.48449932570634</v>
      </c>
      <c r="K395" s="30">
        <f>I395*cnst_carbon!$C$13*1000000</f>
        <v>77.388199092384298</v>
      </c>
    </row>
    <row r="396" spans="1:11" ht="12.5">
      <c r="A396" s="14" t="s">
        <v>2224</v>
      </c>
      <c r="B396" s="770" t="s">
        <v>7984</v>
      </c>
      <c r="C396" s="502">
        <v>8746957.20975486</v>
      </c>
      <c r="D396" s="505">
        <v>208353.781980208</v>
      </c>
      <c r="E396" s="539">
        <v>3.21</v>
      </c>
      <c r="F396" s="31">
        <f t="shared" si="12"/>
        <v>28077.732643313098</v>
      </c>
      <c r="G396" s="31">
        <f t="shared" si="13"/>
        <v>668.81564015646768</v>
      </c>
      <c r="H396" s="209">
        <f>F396*cnst_carbon!$C$11/10^6</f>
        <v>1.5749202554151379E-3</v>
      </c>
      <c r="I396" s="209">
        <f>G396*carbon_intensity_n!$C$9</f>
        <v>3.111476735814766E-5</v>
      </c>
      <c r="J396" s="233">
        <f>H396*cnst_carbon!$C$13*1000000</f>
        <v>530.23018274350295</v>
      </c>
      <c r="K396" s="30">
        <f>I396*cnst_carbon!$C$13*1000000</f>
        <v>10.475443899845876</v>
      </c>
    </row>
    <row r="397" spans="1:11" ht="12.5">
      <c r="A397" s="14" t="s">
        <v>2225</v>
      </c>
      <c r="B397" s="770" t="s">
        <v>7985</v>
      </c>
      <c r="C397" s="502">
        <v>95399292.75</v>
      </c>
      <c r="D397" s="505">
        <v>55186164.502653196</v>
      </c>
      <c r="E397" s="539">
        <v>23.5</v>
      </c>
      <c r="F397" s="31">
        <f t="shared" si="12"/>
        <v>2241883.3796250001</v>
      </c>
      <c r="G397" s="31">
        <f t="shared" si="13"/>
        <v>1296874.8658123501</v>
      </c>
      <c r="H397" s="209">
        <f>F397*cnst_carbon!$C$11/10^6</f>
        <v>0.12575045106752375</v>
      </c>
      <c r="I397" s="209">
        <f>G397*carbon_intensity_n!$C$9</f>
        <v>6.0333457113742141E-2</v>
      </c>
      <c r="J397" s="233">
        <f>H397*cnst_carbon!$C$13*1000000</f>
        <v>42336.546514245914</v>
      </c>
      <c r="K397" s="30">
        <f>I397*cnst_carbon!$C$13*1000000</f>
        <v>20312.533209838166</v>
      </c>
    </row>
    <row r="398" spans="1:11" ht="12.5">
      <c r="A398" s="14" t="s">
        <v>316</v>
      </c>
      <c r="B398" s="770" t="s">
        <v>7986</v>
      </c>
      <c r="C398" s="502">
        <v>4338.28125</v>
      </c>
      <c r="D398" s="505">
        <v>2142.1636193981599</v>
      </c>
      <c r="E398" s="539">
        <v>50</v>
      </c>
      <c r="F398" s="31">
        <f t="shared" si="12"/>
        <v>216.9140625</v>
      </c>
      <c r="G398" s="31">
        <f t="shared" si="13"/>
        <v>107.10818096990799</v>
      </c>
      <c r="H398" s="209">
        <f>F398*cnst_carbon!$C$11/10^6</f>
        <v>1.2167020573044557E-5</v>
      </c>
      <c r="I398" s="209">
        <f>G398*carbon_intensity_n!$C$9</f>
        <v>4.9829069969915805E-6</v>
      </c>
      <c r="J398" s="233">
        <f>H398*cnst_carbon!$C$13*1000000</f>
        <v>4.0962845704139177</v>
      </c>
      <c r="K398" s="30">
        <f>I398*cnst_carbon!$C$13*1000000</f>
        <v>1.6776009315546514</v>
      </c>
    </row>
    <row r="399" spans="1:11" ht="12.5">
      <c r="A399" s="14" t="s">
        <v>317</v>
      </c>
      <c r="B399" s="770" t="s">
        <v>7987</v>
      </c>
      <c r="C399" s="502">
        <v>4040.6829931370798</v>
      </c>
      <c r="D399" s="505">
        <v>14790.7251310968</v>
      </c>
      <c r="E399" s="539">
        <v>18.600000000000001</v>
      </c>
      <c r="F399" s="31">
        <f t="shared" si="12"/>
        <v>75.156703672349693</v>
      </c>
      <c r="G399" s="31">
        <f t="shared" si="13"/>
        <v>275.10748743840048</v>
      </c>
      <c r="H399" s="209">
        <f>F399*cnst_carbon!$C$11/10^6</f>
        <v>4.2156471979943311E-6</v>
      </c>
      <c r="I399" s="209">
        <f>G399*carbon_intensity_n!$C$9</f>
        <v>1.2798602419237375E-5</v>
      </c>
      <c r="J399" s="233">
        <f>H399*cnst_carbon!$C$13*1000000</f>
        <v>1.4192867076850635</v>
      </c>
      <c r="K399" s="30">
        <f>I399*cnst_carbon!$C$13*1000000</f>
        <v>4.308919944537049</v>
      </c>
    </row>
    <row r="400" spans="1:11" ht="12.5">
      <c r="A400" s="14" t="s">
        <v>318</v>
      </c>
      <c r="B400" s="770" t="s">
        <v>7988</v>
      </c>
      <c r="C400" s="502">
        <v>27516131.397590499</v>
      </c>
      <c r="D400" s="505">
        <v>28526647.469422299</v>
      </c>
      <c r="E400" s="539">
        <v>15</v>
      </c>
      <c r="F400" s="31">
        <f t="shared" si="12"/>
        <v>412741.97096385749</v>
      </c>
      <c r="G400" s="31">
        <f t="shared" si="13"/>
        <v>427899.71204133448</v>
      </c>
      <c r="H400" s="209">
        <f>F400*cnst_carbon!$C$11/10^6</f>
        <v>2.3151288552701432E-2</v>
      </c>
      <c r="I400" s="209">
        <f>G400*carbon_intensity_n!$C$9</f>
        <v>1.9906831110692511E-2</v>
      </c>
      <c r="J400" s="233">
        <f>H400*cnst_carbon!$C$13*1000000</f>
        <v>7794.3704881811364</v>
      </c>
      <c r="K400" s="30">
        <f>I400*cnst_carbon!$C$13*1000000</f>
        <v>6702.05533351545</v>
      </c>
    </row>
    <row r="401" spans="1:11" ht="12.5">
      <c r="A401" s="14" t="s">
        <v>1598</v>
      </c>
      <c r="B401" s="770" t="s">
        <v>7989</v>
      </c>
      <c r="C401" s="502">
        <v>1319373.43824589</v>
      </c>
      <c r="D401" s="505">
        <v>1886461.88731581</v>
      </c>
      <c r="E401" s="539">
        <v>15</v>
      </c>
      <c r="F401" s="31">
        <f t="shared" si="12"/>
        <v>19790.601573688349</v>
      </c>
      <c r="G401" s="31">
        <f t="shared" si="13"/>
        <v>28296.928309737148</v>
      </c>
      <c r="H401" s="209">
        <f>F401*cnst_carbon!$C$11/10^6</f>
        <v>1.1100831994237078E-3</v>
      </c>
      <c r="I401" s="209">
        <f>G401*carbon_intensity_n!$C$9</f>
        <v>1.316435035971459E-3</v>
      </c>
      <c r="J401" s="233">
        <f>H401*cnst_carbon!$C$13*1000000</f>
        <v>373.73296563245628</v>
      </c>
      <c r="K401" s="30">
        <f>I401*cnst_carbon!$C$13*1000000</f>
        <v>443.20567171136236</v>
      </c>
    </row>
    <row r="402" spans="1:11" ht="12.5">
      <c r="A402" s="14" t="s">
        <v>1712</v>
      </c>
      <c r="B402" s="770" t="s">
        <v>7990</v>
      </c>
      <c r="C402" s="502">
        <v>3760784.2733362699</v>
      </c>
      <c r="D402" s="505">
        <v>1305176.9287322799</v>
      </c>
      <c r="E402" s="539">
        <v>3</v>
      </c>
      <c r="F402" s="31">
        <f t="shared" si="12"/>
        <v>11282.352820008811</v>
      </c>
      <c r="G402" s="31">
        <f t="shared" si="13"/>
        <v>3915.5307861968399</v>
      </c>
      <c r="H402" s="209">
        <f>F402*cnst_carbon!$C$11/10^6</f>
        <v>6.3284333570302507E-4</v>
      </c>
      <c r="I402" s="209">
        <f>G402*carbon_intensity_n!$C$9</f>
        <v>1.821590617523204E-4</v>
      </c>
      <c r="J402" s="233">
        <f>H402*cnst_carbon!$C$13*1000000</f>
        <v>213.06008122257191</v>
      </c>
      <c r="K402" s="30">
        <f>I402*cnst_carbon!$C$13*1000000</f>
        <v>61.327697240047506</v>
      </c>
    </row>
    <row r="403" spans="1:11" ht="12.5">
      <c r="A403" s="14" t="s">
        <v>2698</v>
      </c>
      <c r="B403" s="770" t="s">
        <v>7991</v>
      </c>
      <c r="C403" s="502">
        <v>27978732.944400899</v>
      </c>
      <c r="D403" s="505">
        <v>5027422.7341880901</v>
      </c>
      <c r="E403" s="539">
        <v>15</v>
      </c>
      <c r="F403" s="31">
        <f t="shared" si="12"/>
        <v>419680.99416601349</v>
      </c>
      <c r="G403" s="31">
        <f t="shared" si="13"/>
        <v>75411.341012821344</v>
      </c>
      <c r="H403" s="209">
        <f>F403*cnst_carbon!$C$11/10^6</f>
        <v>2.3540508306757101E-2</v>
      </c>
      <c r="I403" s="209">
        <f>G403*carbon_intensity_n!$C$9</f>
        <v>3.5083006300973161E-3</v>
      </c>
      <c r="J403" s="233">
        <f>H403*cnst_carbon!$C$13*1000000</f>
        <v>7925.4095427686452</v>
      </c>
      <c r="K403" s="30">
        <f>I403*cnst_carbon!$C$13*1000000</f>
        <v>1181.1435390583056</v>
      </c>
    </row>
    <row r="404" spans="1:11" ht="12.5">
      <c r="A404" s="14" t="s">
        <v>1110</v>
      </c>
      <c r="B404" s="770" t="s">
        <v>7992</v>
      </c>
      <c r="C404" s="502">
        <v>38900066.202766299</v>
      </c>
      <c r="D404" s="505">
        <v>1370922.56306172</v>
      </c>
      <c r="E404" s="539">
        <v>16.3</v>
      </c>
      <c r="F404" s="31">
        <f t="shared" si="12"/>
        <v>634071.0791050907</v>
      </c>
      <c r="G404" s="31">
        <f t="shared" si="13"/>
        <v>22346.037777906036</v>
      </c>
      <c r="H404" s="209">
        <f>F404*cnst_carbon!$C$11/10^6</f>
        <v>3.5565955361903753E-2</v>
      </c>
      <c r="I404" s="209">
        <f>G404*carbon_intensity_n!$C$9</f>
        <v>1.0395865842390641E-3</v>
      </c>
      <c r="J404" s="233">
        <f>H404*cnst_carbon!$C$13*1000000</f>
        <v>11974.030396871505</v>
      </c>
      <c r="K404" s="30">
        <f>I404*cnst_carbon!$C$13*1000000</f>
        <v>349.99879050604704</v>
      </c>
    </row>
    <row r="405" spans="1:11" ht="12.5">
      <c r="A405" s="14" t="s">
        <v>1111</v>
      </c>
      <c r="B405" s="770" t="s">
        <v>7993</v>
      </c>
      <c r="C405" s="502">
        <v>74950099.996016204</v>
      </c>
      <c r="D405" s="505">
        <v>15756060.631950101</v>
      </c>
      <c r="E405" s="539">
        <v>15</v>
      </c>
      <c r="F405" s="31">
        <f t="shared" si="12"/>
        <v>1124251.4999402431</v>
      </c>
      <c r="G405" s="31">
        <f t="shared" si="13"/>
        <v>236340.90947925151</v>
      </c>
      <c r="H405" s="209">
        <f>F405*cnst_carbon!$C$11/10^6</f>
        <v>6.3060877526320544E-2</v>
      </c>
      <c r="I405" s="209">
        <f>G405*carbon_intensity_n!$C$9</f>
        <v>1.0995096367572338E-2</v>
      </c>
      <c r="J405" s="233">
        <f>H405*cnst_carbon!$C$13*1000000</f>
        <v>21230.776923326128</v>
      </c>
      <c r="K405" s="30">
        <f>I405*cnst_carbon!$C$13*1000000</f>
        <v>3701.7315233675604</v>
      </c>
    </row>
    <row r="406" spans="1:11" ht="12.5">
      <c r="A406" s="14" t="s">
        <v>5169</v>
      </c>
      <c r="B406" s="770" t="s">
        <v>7994</v>
      </c>
      <c r="C406" s="502">
        <v>70488911.298232406</v>
      </c>
      <c r="D406" s="505">
        <v>20093025.481906801</v>
      </c>
      <c r="E406" s="539">
        <v>15</v>
      </c>
      <c r="F406" s="31">
        <f t="shared" si="12"/>
        <v>1057333.669473486</v>
      </c>
      <c r="G406" s="31">
        <f t="shared" si="13"/>
        <v>301395.38222860207</v>
      </c>
      <c r="H406" s="209">
        <f>F406*cnst_carbon!$C$11/10^6</f>
        <v>5.9307360531577334E-2</v>
      </c>
      <c r="I406" s="209">
        <f>G406*carbon_intensity_n!$C$9</f>
        <v>1.4021572818884772E-2</v>
      </c>
      <c r="J406" s="233">
        <f>H406*cnst_carbon!$C$13*1000000</f>
        <v>19967.076113580097</v>
      </c>
      <c r="K406" s="30">
        <f>I406*cnst_carbon!$C$13*1000000</f>
        <v>4720.6587714810239</v>
      </c>
    </row>
    <row r="407" spans="1:11" ht="12.5">
      <c r="A407" s="14" t="s">
        <v>5170</v>
      </c>
      <c r="B407" s="770" t="s">
        <v>7995</v>
      </c>
      <c r="C407" s="502">
        <v>85927691.375126094</v>
      </c>
      <c r="D407" s="505">
        <v>2331108.1801486802</v>
      </c>
      <c r="E407" s="539">
        <v>15</v>
      </c>
      <c r="F407" s="31">
        <f t="shared" si="12"/>
        <v>1288915.3706268913</v>
      </c>
      <c r="G407" s="31">
        <f t="shared" si="13"/>
        <v>34966.622702230197</v>
      </c>
      <c r="H407" s="209">
        <f>F407*cnst_carbon!$C$11/10^6</f>
        <v>7.229710997335978E-2</v>
      </c>
      <c r="I407" s="209">
        <f>G407*carbon_intensity_n!$C$9</f>
        <v>1.6267238164847451E-3</v>
      </c>
      <c r="J407" s="233">
        <f>H407*cnst_carbon!$C$13*1000000</f>
        <v>24340.349742277638</v>
      </c>
      <c r="K407" s="30">
        <f>I407*cnst_carbon!$C$13*1000000</f>
        <v>547.67094620962632</v>
      </c>
    </row>
    <row r="408" spans="1:11" ht="12.5">
      <c r="A408" s="14" t="s">
        <v>5171</v>
      </c>
      <c r="B408" s="770" t="s">
        <v>7996</v>
      </c>
      <c r="C408" s="502">
        <v>5554106.9225276597</v>
      </c>
      <c r="D408" s="505">
        <v>2197510.3276422201</v>
      </c>
      <c r="E408" s="539">
        <v>15</v>
      </c>
      <c r="F408" s="31">
        <f t="shared" si="12"/>
        <v>83311.603837914896</v>
      </c>
      <c r="G408" s="31">
        <f t="shared" si="13"/>
        <v>32962.654914633298</v>
      </c>
      <c r="H408" s="209">
        <f>F408*cnst_carbon!$C$11/10^6</f>
        <v>4.6730672331087271E-3</v>
      </c>
      <c r="I408" s="209">
        <f>G408*carbon_intensity_n!$C$9</f>
        <v>1.5334948490973916E-3</v>
      </c>
      <c r="J408" s="233">
        <f>H408*cnst_carbon!$C$13*1000000</f>
        <v>1573.2868279929417</v>
      </c>
      <c r="K408" s="30">
        <f>I408*cnst_carbon!$C$13*1000000</f>
        <v>516.28344436957013</v>
      </c>
    </row>
    <row r="409" spans="1:11" ht="12.5">
      <c r="A409" s="14" t="s">
        <v>1501</v>
      </c>
      <c r="B409" s="770" t="s">
        <v>7997</v>
      </c>
      <c r="C409" s="502">
        <v>16775174.050539499</v>
      </c>
      <c r="D409" s="505">
        <v>145611.95570438</v>
      </c>
      <c r="E409" s="539">
        <v>10</v>
      </c>
      <c r="F409" s="31">
        <f t="shared" si="12"/>
        <v>167751.74050539499</v>
      </c>
      <c r="G409" s="31">
        <f t="shared" si="13"/>
        <v>1456.1195570438001</v>
      </c>
      <c r="H409" s="209">
        <f>F409*cnst_carbon!$C$11/10^6</f>
        <v>9.4094354896569823E-3</v>
      </c>
      <c r="I409" s="209">
        <f>G409*carbon_intensity_n!$C$9</f>
        <v>6.7741868674703012E-5</v>
      </c>
      <c r="J409" s="233">
        <f>H409*cnst_carbon!$C$13*1000000</f>
        <v>3167.8852831052795</v>
      </c>
      <c r="K409" s="30">
        <f>I409*cnst_carbon!$C$13*1000000</f>
        <v>22.806731504831792</v>
      </c>
    </row>
    <row r="410" spans="1:11" ht="12.5">
      <c r="A410" s="14" t="s">
        <v>1502</v>
      </c>
      <c r="B410" s="770" t="s">
        <v>7998</v>
      </c>
      <c r="C410" s="502">
        <v>40355164.094660297</v>
      </c>
      <c r="D410" s="505">
        <v>98414.961245621802</v>
      </c>
      <c r="E410" s="539">
        <v>3.21</v>
      </c>
      <c r="F410" s="31">
        <f t="shared" si="12"/>
        <v>129540.07674385956</v>
      </c>
      <c r="G410" s="31">
        <f t="shared" si="13"/>
        <v>315.91202559844595</v>
      </c>
      <c r="H410" s="209">
        <f>F410*cnst_carbon!$C$11/10^6</f>
        <v>7.2660885173192035E-3</v>
      </c>
      <c r="I410" s="209">
        <f>G410*carbon_intensity_n!$C$9</f>
        <v>1.4696918839752673E-5</v>
      </c>
      <c r="J410" s="233">
        <f>H410*cnst_carbon!$C$13*1000000</f>
        <v>2446.2822350031211</v>
      </c>
      <c r="K410" s="30">
        <f>I410*cnst_carbon!$C$13*1000000</f>
        <v>4.9480282797647916</v>
      </c>
    </row>
    <row r="411" spans="1:11" ht="12.5">
      <c r="A411" s="14" t="s">
        <v>2205</v>
      </c>
      <c r="B411" s="770" t="s">
        <v>7999</v>
      </c>
      <c r="C411" s="502">
        <v>7519582.9620856298</v>
      </c>
      <c r="D411" s="505">
        <v>582770.67158098996</v>
      </c>
      <c r="E411" s="539">
        <v>10</v>
      </c>
      <c r="F411" s="31">
        <f t="shared" si="12"/>
        <v>75195.829620856297</v>
      </c>
      <c r="G411" s="31">
        <f t="shared" si="13"/>
        <v>5827.7067158098998</v>
      </c>
      <c r="H411" s="209">
        <f>F411*cnst_carbon!$C$11/10^6</f>
        <v>4.2178418285080616E-3</v>
      </c>
      <c r="I411" s="209">
        <f>G411*carbon_intensity_n!$C$9</f>
        <v>2.7111767100948569E-4</v>
      </c>
      <c r="J411" s="233">
        <f>H411*cnst_carbon!$C$13*1000000</f>
        <v>1420.0255764210194</v>
      </c>
      <c r="K411" s="30">
        <f>I411*cnst_carbon!$C$13*1000000</f>
        <v>91.277492781029579</v>
      </c>
    </row>
    <row r="412" spans="1:11" ht="12.5">
      <c r="A412" s="14" t="s">
        <v>2206</v>
      </c>
      <c r="B412" s="770" t="s">
        <v>8000</v>
      </c>
      <c r="C412" s="502"/>
      <c r="D412" s="505">
        <v>41.616184153243402</v>
      </c>
      <c r="E412" s="539">
        <v>20</v>
      </c>
      <c r="F412" s="31">
        <f t="shared" si="12"/>
        <v>0</v>
      </c>
      <c r="G412" s="31">
        <f t="shared" si="13"/>
        <v>0.83232368306486804</v>
      </c>
      <c r="H412" s="209">
        <f>F412*cnst_carbon!$C$11/10^6</f>
        <v>0</v>
      </c>
      <c r="I412" s="209">
        <f>G412*carbon_intensity_n!$C$9</f>
        <v>3.8721519369943754E-8</v>
      </c>
      <c r="J412" s="233">
        <f>H412*cnst_carbon!$C$13*1000000</f>
        <v>0</v>
      </c>
      <c r="K412" s="30">
        <f>I412*cnst_carbon!$C$13*1000000</f>
        <v>1.3036417698634178E-2</v>
      </c>
    </row>
    <row r="413" spans="1:11" ht="12.5">
      <c r="A413" s="14" t="s">
        <v>2207</v>
      </c>
      <c r="B413" s="770" t="s">
        <v>8001</v>
      </c>
      <c r="C413" s="502">
        <v>1172395.5852592799</v>
      </c>
      <c r="D413" s="505">
        <v>3902</v>
      </c>
      <c r="E413" s="539">
        <v>300</v>
      </c>
      <c r="F413" s="31">
        <f t="shared" si="12"/>
        <v>351718.67557778402</v>
      </c>
      <c r="G413" s="31">
        <f t="shared" si="13"/>
        <v>1170.5999999999999</v>
      </c>
      <c r="H413" s="209">
        <f>F413*cnst_carbon!$C$11/10^6</f>
        <v>1.9728404476675562E-2</v>
      </c>
      <c r="I413" s="209">
        <f>G413*carbon_intensity_n!$C$9</f>
        <v>5.4458873989439895E-5</v>
      </c>
      <c r="J413" s="233">
        <f>H413*cnst_carbon!$C$13*1000000</f>
        <v>6641.984236940355</v>
      </c>
      <c r="K413" s="30">
        <f>I413*cnst_carbon!$C$13*1000000</f>
        <v>18.334730668515448</v>
      </c>
    </row>
    <row r="414" spans="1:11" ht="12.5">
      <c r="A414" s="14" t="s">
        <v>2833</v>
      </c>
      <c r="B414" s="770" t="s">
        <v>8002</v>
      </c>
      <c r="C414" s="502"/>
      <c r="D414" s="505"/>
      <c r="E414" s="539">
        <v>300</v>
      </c>
      <c r="F414" s="31">
        <f t="shared" si="12"/>
        <v>0</v>
      </c>
      <c r="G414" s="31">
        <f t="shared" si="13"/>
        <v>0</v>
      </c>
      <c r="H414" s="209">
        <f>F414*cnst_carbon!$C$11/10^6</f>
        <v>0</v>
      </c>
      <c r="I414" s="209">
        <f>G414*carbon_intensity_n!$C$9</f>
        <v>0</v>
      </c>
      <c r="J414" s="233">
        <f>H414*cnst_carbon!$C$13*1000000</f>
        <v>0</v>
      </c>
      <c r="K414" s="30">
        <f>I414*cnst_carbon!$C$13*1000000</f>
        <v>0</v>
      </c>
    </row>
    <row r="415" spans="1:11" ht="12.5">
      <c r="A415" s="14" t="s">
        <v>2969</v>
      </c>
      <c r="B415" s="770" t="s">
        <v>8003</v>
      </c>
      <c r="C415" s="502"/>
      <c r="D415" s="505">
        <v>422.14297920048602</v>
      </c>
      <c r="E415" s="539">
        <v>50</v>
      </c>
      <c r="F415" s="31">
        <f t="shared" si="12"/>
        <v>0</v>
      </c>
      <c r="G415" s="31">
        <f t="shared" si="13"/>
        <v>21.107148960024301</v>
      </c>
      <c r="H415" s="209">
        <f>F415*cnst_carbon!$C$11/10^6</f>
        <v>0</v>
      </c>
      <c r="I415" s="209">
        <f>G415*carbon_intensity_n!$C$9</f>
        <v>9.8195076498402591E-7</v>
      </c>
      <c r="J415" s="233">
        <f>H415*cnst_carbon!$C$13*1000000</f>
        <v>0</v>
      </c>
      <c r="K415" s="30">
        <f>I415*cnst_carbon!$C$13*1000000</f>
        <v>0.33059447408361653</v>
      </c>
    </row>
    <row r="416" spans="1:11" ht="12.5">
      <c r="A416" s="14" t="s">
        <v>4878</v>
      </c>
      <c r="B416" s="770" t="s">
        <v>8004</v>
      </c>
      <c r="C416" s="502"/>
      <c r="D416" s="505"/>
      <c r="E416" s="539">
        <v>23</v>
      </c>
      <c r="F416" s="31">
        <f t="shared" si="12"/>
        <v>0</v>
      </c>
      <c r="G416" s="31">
        <f t="shared" si="13"/>
        <v>0</v>
      </c>
      <c r="H416" s="209">
        <f>F416*cnst_carbon!$C$11/10^6</f>
        <v>0</v>
      </c>
      <c r="I416" s="209">
        <f>G416*carbon_intensity_n!$C$9</f>
        <v>0</v>
      </c>
      <c r="J416" s="233">
        <f>H416*cnst_carbon!$C$13*1000000</f>
        <v>0</v>
      </c>
      <c r="K416" s="30">
        <f>I416*cnst_carbon!$C$13*1000000</f>
        <v>0</v>
      </c>
    </row>
    <row r="417" spans="1:11" ht="12.5">
      <c r="A417" s="14" t="s">
        <v>465</v>
      </c>
      <c r="B417" s="770" t="s">
        <v>8005</v>
      </c>
      <c r="C417" s="502">
        <v>54788569.234687902</v>
      </c>
      <c r="D417" s="505">
        <v>33843000</v>
      </c>
      <c r="E417" s="539">
        <v>24.025528629745565</v>
      </c>
      <c r="F417" s="31">
        <f t="shared" si="12"/>
        <v>1316324.3387307914</v>
      </c>
      <c r="G417" s="31">
        <f t="shared" si="13"/>
        <v>813095.96541647927</v>
      </c>
      <c r="H417" s="209">
        <f>F417*cnst_carbon!$C$11/10^6</f>
        <v>7.3834518267513485E-2</v>
      </c>
      <c r="I417" s="209">
        <f>G417*carbon_intensity_n!$C$9</f>
        <v>3.7827003862923307E-2</v>
      </c>
      <c r="J417" s="233">
        <f>H417*cnst_carbon!$C$13*1000000</f>
        <v>24857.950730618231</v>
      </c>
      <c r="K417" s="30">
        <f>I417*cnst_carbon!$C$13*1000000</f>
        <v>12735.260151689476</v>
      </c>
    </row>
    <row r="418" spans="1:11" ht="12.5">
      <c r="A418" s="14" t="s">
        <v>466</v>
      </c>
      <c r="B418" s="770" t="s">
        <v>8006</v>
      </c>
      <c r="C418" s="502">
        <v>149809709.22892401</v>
      </c>
      <c r="D418" s="505">
        <v>158502491.135919</v>
      </c>
      <c r="E418" s="539">
        <v>25.3</v>
      </c>
      <c r="F418" s="31">
        <f t="shared" si="12"/>
        <v>3790185.6434917776</v>
      </c>
      <c r="G418" s="31">
        <f t="shared" si="13"/>
        <v>4010113.0257387511</v>
      </c>
      <c r="H418" s="209">
        <f>F418*cnst_carbon!$C$11/10^6</f>
        <v>0.21259694354773601</v>
      </c>
      <c r="I418" s="209">
        <f>G418*carbon_intensity_n!$C$9</f>
        <v>0.18655923453965334</v>
      </c>
      <c r="J418" s="233">
        <f>H418*cnst_carbon!$C$13*1000000</f>
        <v>71575.253312309869</v>
      </c>
      <c r="K418" s="30">
        <f>I418*cnst_carbon!$C$13*1000000</f>
        <v>62809.108386490312</v>
      </c>
    </row>
    <row r="419" spans="1:11" ht="12.5">
      <c r="A419" s="14" t="s">
        <v>467</v>
      </c>
      <c r="B419" s="770" t="s">
        <v>8007</v>
      </c>
      <c r="C419" s="502">
        <v>70112268</v>
      </c>
      <c r="D419" s="505">
        <v>6250114</v>
      </c>
      <c r="E419" s="539">
        <v>23.43969819754502</v>
      </c>
      <c r="F419" s="31">
        <f t="shared" si="12"/>
        <v>1643410.4018653934</v>
      </c>
      <c r="G419" s="31">
        <f t="shared" si="13"/>
        <v>146500.78586025088</v>
      </c>
      <c r="H419" s="209">
        <f>F419*cnst_carbon!$C$11/10^6</f>
        <v>9.2181244217173164E-2</v>
      </c>
      <c r="I419" s="209">
        <f>G419*carbon_intensity_n!$C$9</f>
        <v>6.8155371916259365E-3</v>
      </c>
      <c r="J419" s="233">
        <f>H419*cnst_carbon!$C$13*1000000</f>
        <v>31034.763695963447</v>
      </c>
      <c r="K419" s="30">
        <f>I419*cnst_carbon!$C$13*1000000</f>
        <v>2294.5946108607181</v>
      </c>
    </row>
    <row r="420" spans="1:11" ht="12.5">
      <c r="A420" s="14" t="s">
        <v>468</v>
      </c>
      <c r="B420" s="770" t="s">
        <v>8008</v>
      </c>
      <c r="C420" s="502">
        <v>111066189.21428999</v>
      </c>
      <c r="D420" s="505">
        <v>63491939</v>
      </c>
      <c r="E420" s="539">
        <v>50</v>
      </c>
      <c r="F420" s="31">
        <f t="shared" si="12"/>
        <v>5553309.4607144995</v>
      </c>
      <c r="G420" s="31">
        <f t="shared" si="13"/>
        <v>3174596.95</v>
      </c>
      <c r="H420" s="209">
        <f>F420*cnst_carbon!$C$11/10^6</f>
        <v>0.31149308476483073</v>
      </c>
      <c r="I420" s="209">
        <f>G420*carbon_intensity_n!$C$9</f>
        <v>0.14768919807561101</v>
      </c>
      <c r="J420" s="233">
        <f>H420*cnst_carbon!$C$13*1000000</f>
        <v>104870.7289720252</v>
      </c>
      <c r="K420" s="30">
        <f>I420*cnst_carbon!$C$13*1000000</f>
        <v>49722.689269896306</v>
      </c>
    </row>
    <row r="421" spans="1:11" ht="12.5">
      <c r="A421" s="14" t="s">
        <v>469</v>
      </c>
      <c r="B421" s="770" t="s">
        <v>8009</v>
      </c>
      <c r="C421" s="502">
        <v>242388.643636389</v>
      </c>
      <c r="D421" s="505">
        <v>1173000</v>
      </c>
      <c r="E421" s="539">
        <v>50</v>
      </c>
      <c r="F421" s="31">
        <f t="shared" si="12"/>
        <v>12119.432181819449</v>
      </c>
      <c r="G421" s="31">
        <f t="shared" si="13"/>
        <v>58650</v>
      </c>
      <c r="H421" s="209">
        <f>F421*cnst_carbon!$C$11/10^6</f>
        <v>6.7979631652427108E-4</v>
      </c>
      <c r="I421" s="209">
        <f>G421*carbon_intensity_n!$C$9</f>
        <v>2.7285263621054587E-3</v>
      </c>
      <c r="J421" s="233">
        <f>H421*cnst_carbon!$C$13*1000000</f>
        <v>228.86779435318945</v>
      </c>
      <c r="K421" s="30">
        <f>I421*cnst_carbon!$C$13*1000000</f>
        <v>918.61605476544605</v>
      </c>
    </row>
    <row r="422" spans="1:11" ht="12.5">
      <c r="A422" s="14" t="s">
        <v>470</v>
      </c>
      <c r="B422" s="770" t="s">
        <v>8010</v>
      </c>
      <c r="C422" s="502">
        <v>32286489.6242502</v>
      </c>
      <c r="D422" s="505">
        <v>18365629</v>
      </c>
      <c r="E422" s="539">
        <v>25.3</v>
      </c>
      <c r="F422" s="31">
        <f t="shared" si="12"/>
        <v>816848.18749352999</v>
      </c>
      <c r="G422" s="31">
        <f t="shared" si="13"/>
        <v>464650.41369999998</v>
      </c>
      <c r="H422" s="209">
        <f>F422*cnst_carbon!$C$11/10^6</f>
        <v>4.581818526536488E-2</v>
      </c>
      <c r="I422" s="209">
        <f>G422*carbon_intensity_n!$C$9</f>
        <v>2.1616554184887594E-2</v>
      </c>
      <c r="J422" s="233">
        <f>H422*cnst_carbon!$C$13*1000000</f>
        <v>15425.660228000761</v>
      </c>
      <c r="K422" s="30">
        <f>I422*cnst_carbon!$C$13*1000000</f>
        <v>7277.6697336440984</v>
      </c>
    </row>
    <row r="423" spans="1:11" ht="12.5">
      <c r="A423" s="14" t="s">
        <v>471</v>
      </c>
      <c r="B423" s="770" t="s">
        <v>8011</v>
      </c>
      <c r="C423" s="502">
        <v>357972179.69459498</v>
      </c>
      <c r="D423" s="505">
        <v>282931122.80245</v>
      </c>
      <c r="E423" s="539">
        <v>25.3</v>
      </c>
      <c r="F423" s="31">
        <f t="shared" si="12"/>
        <v>9056696.1462732516</v>
      </c>
      <c r="G423" s="31">
        <f t="shared" si="13"/>
        <v>7158157.4069019854</v>
      </c>
      <c r="H423" s="209">
        <f>F423*cnst_carbon!$C$11/10^6</f>
        <v>0.50800306381943316</v>
      </c>
      <c r="I423" s="209">
        <f>G423*carbon_intensity_n!$C$9</f>
        <v>0.33301314899970191</v>
      </c>
      <c r="J423" s="233">
        <f>H423*cnst_carbon!$C$13*1000000</f>
        <v>171029.96576308331</v>
      </c>
      <c r="K423" s="30">
        <f>I423*cnst_carbon!$C$13*1000000</f>
        <v>112115.91332512118</v>
      </c>
    </row>
    <row r="424" spans="1:11" ht="12.5">
      <c r="A424" s="14" t="s">
        <v>472</v>
      </c>
      <c r="B424" s="770" t="s">
        <v>8012</v>
      </c>
      <c r="C424" s="502">
        <v>570892962</v>
      </c>
      <c r="D424" s="505">
        <v>1703817380</v>
      </c>
      <c r="E424" s="539">
        <v>23.5</v>
      </c>
      <c r="F424" s="31">
        <f t="shared" si="12"/>
        <v>13415984.607000001</v>
      </c>
      <c r="G424" s="31">
        <f t="shared" si="13"/>
        <v>40039708.43</v>
      </c>
      <c r="H424" s="209">
        <f>F424*cnst_carbon!$C$11/10^6</f>
        <v>0.75252179983037337</v>
      </c>
      <c r="I424" s="209">
        <f>G424*carbon_intensity_n!$C$9</f>
        <v>1.8627348675579056</v>
      </c>
      <c r="J424" s="233">
        <f>H424*cnst_carbon!$C$13*1000000</f>
        <v>253352.36502965185</v>
      </c>
      <c r="K424" s="30">
        <f>I424*cnst_carbon!$C$13*1000000</f>
        <v>627129.05357076507</v>
      </c>
    </row>
    <row r="425" spans="1:11" ht="12.5">
      <c r="A425" s="14" t="s">
        <v>143</v>
      </c>
      <c r="B425" s="770" t="s">
        <v>8013</v>
      </c>
      <c r="C425" s="502"/>
      <c r="D425" s="505"/>
      <c r="E425" s="539">
        <v>25</v>
      </c>
      <c r="F425" s="31">
        <f t="shared" si="12"/>
        <v>0</v>
      </c>
      <c r="G425" s="31">
        <f t="shared" si="13"/>
        <v>0</v>
      </c>
      <c r="H425" s="209">
        <f>F425*cnst_carbon!$C$11/10^6</f>
        <v>0</v>
      </c>
      <c r="I425" s="209">
        <f>G425*carbon_intensity_n!$C$9</f>
        <v>0</v>
      </c>
      <c r="J425" s="233">
        <f>H425*cnst_carbon!$C$13*1000000</f>
        <v>0</v>
      </c>
      <c r="K425" s="30">
        <f>I425*cnst_carbon!$C$13*1000000</f>
        <v>0</v>
      </c>
    </row>
    <row r="426" spans="1:11" ht="12.5">
      <c r="A426" s="14" t="s">
        <v>144</v>
      </c>
      <c r="B426" s="770" t="s">
        <v>8014</v>
      </c>
      <c r="C426" s="502">
        <v>89961479.616439193</v>
      </c>
      <c r="D426" s="505">
        <v>156442905.51287901</v>
      </c>
      <c r="E426" s="539">
        <v>25.3</v>
      </c>
      <c r="F426" s="31">
        <f t="shared" si="12"/>
        <v>2276025.4342959118</v>
      </c>
      <c r="G426" s="31">
        <f t="shared" si="13"/>
        <v>3958005.5094758393</v>
      </c>
      <c r="H426" s="209">
        <f>F426*cnst_carbon!$C$11/10^6</f>
        <v>0.12766552783478954</v>
      </c>
      <c r="I426" s="209">
        <f>G426*carbon_intensity_n!$C$9</f>
        <v>0.18413507883995694</v>
      </c>
      <c r="J426" s="233">
        <f>H426*cnst_carbon!$C$13*1000000</f>
        <v>42981.297574360717</v>
      </c>
      <c r="K426" s="30">
        <f>I426*cnst_carbon!$C$13*1000000</f>
        <v>61992.965146710914</v>
      </c>
    </row>
    <row r="427" spans="1:11" ht="12.5">
      <c r="A427" s="14" t="s">
        <v>145</v>
      </c>
      <c r="B427" s="770" t="s">
        <v>8015</v>
      </c>
      <c r="C427" s="502">
        <v>479175131.062473</v>
      </c>
      <c r="D427" s="505">
        <v>22757935.847205799</v>
      </c>
      <c r="E427" s="539">
        <v>21.6</v>
      </c>
      <c r="F427" s="31">
        <f t="shared" si="12"/>
        <v>10350182.830949416</v>
      </c>
      <c r="G427" s="31">
        <f t="shared" si="13"/>
        <v>491571.41429964529</v>
      </c>
      <c r="H427" s="209">
        <f>F427*cnst_carbon!$C$11/10^6</f>
        <v>0.58055658534786836</v>
      </c>
      <c r="I427" s="209">
        <f>G427*carbon_intensity_n!$C$9</f>
        <v>2.2868978052413409E-2</v>
      </c>
      <c r="J427" s="233">
        <f>H427*cnst_carbon!$C$13*1000000</f>
        <v>195456.64187346605</v>
      </c>
      <c r="K427" s="30">
        <f>I427*cnst_carbon!$C$13*1000000</f>
        <v>7699.3246929140787</v>
      </c>
    </row>
    <row r="428" spans="1:11" ht="12.5">
      <c r="A428" s="14" t="s">
        <v>5125</v>
      </c>
      <c r="B428" s="770" t="s">
        <v>8016</v>
      </c>
      <c r="C428" s="502">
        <v>282190885.178765</v>
      </c>
      <c r="D428" s="505">
        <v>113086560</v>
      </c>
      <c r="E428" s="539">
        <v>25.3</v>
      </c>
      <c r="F428" s="31">
        <f t="shared" si="12"/>
        <v>7139429.3950227546</v>
      </c>
      <c r="G428" s="31">
        <f t="shared" si="13"/>
        <v>2861089.9679999999</v>
      </c>
      <c r="H428" s="209">
        <f>F428*cnst_carbon!$C$11/10^6</f>
        <v>0.40046082456752158</v>
      </c>
      <c r="I428" s="209">
        <f>G428*carbon_intensity_n!$C$9</f>
        <v>0.13310416712776579</v>
      </c>
      <c r="J428" s="233">
        <f>H428*cnst_carbon!$C$13*1000000</f>
        <v>134823.59850409089</v>
      </c>
      <c r="K428" s="30">
        <f>I428*cnst_carbon!$C$13*1000000</f>
        <v>44812.33041318255</v>
      </c>
    </row>
    <row r="429" spans="1:11" ht="12.5">
      <c r="A429" s="14" t="s">
        <v>151</v>
      </c>
      <c r="B429" s="770" t="s">
        <v>8017</v>
      </c>
      <c r="C429" s="502">
        <v>2433570</v>
      </c>
      <c r="D429" s="505">
        <v>8204861.6345931003</v>
      </c>
      <c r="E429" s="539">
        <v>25.3</v>
      </c>
      <c r="F429" s="31">
        <f t="shared" si="12"/>
        <v>61569.321000000004</v>
      </c>
      <c r="G429" s="31">
        <f t="shared" si="13"/>
        <v>207582.99935520545</v>
      </c>
      <c r="H429" s="209">
        <f>F429*cnst_carbon!$C$11/10^6</f>
        <v>3.4535114350891121E-3</v>
      </c>
      <c r="I429" s="209">
        <f>G429*carbon_intensity_n!$C$9</f>
        <v>9.6572154486888068E-3</v>
      </c>
      <c r="J429" s="233">
        <f>H429*cnst_carbon!$C$13*1000000</f>
        <v>1162.6975988389945</v>
      </c>
      <c r="K429" s="30">
        <f>I429*cnst_carbon!$C$13*1000000</f>
        <v>3251.3056420129069</v>
      </c>
    </row>
    <row r="430" spans="1:11" ht="12.5">
      <c r="A430" s="14" t="s">
        <v>152</v>
      </c>
      <c r="B430" s="770" t="s">
        <v>8018</v>
      </c>
      <c r="C430" s="502">
        <v>35646244</v>
      </c>
      <c r="D430" s="505">
        <v>1446742</v>
      </c>
      <c r="E430" s="539">
        <v>25.3</v>
      </c>
      <c r="F430" s="31">
        <f t="shared" si="12"/>
        <v>901849.97320000001</v>
      </c>
      <c r="G430" s="31">
        <f t="shared" si="13"/>
        <v>36602.5726</v>
      </c>
      <c r="H430" s="209">
        <f>F430*cnst_carbon!$C$11/10^6</f>
        <v>5.0586057221274357E-2</v>
      </c>
      <c r="I430" s="209">
        <f>G430*carbon_intensity_n!$C$9</f>
        <v>1.7028317861888993E-3</v>
      </c>
      <c r="J430" s="233">
        <f>H430*cnst_carbon!$C$13*1000000</f>
        <v>17030.865069190084</v>
      </c>
      <c r="K430" s="30">
        <f>I430*cnst_carbon!$C$13*1000000</f>
        <v>573.29430240541888</v>
      </c>
    </row>
    <row r="431" spans="1:11" ht="12.5">
      <c r="A431" s="14" t="s">
        <v>3623</v>
      </c>
      <c r="B431" s="770" t="s">
        <v>8019</v>
      </c>
      <c r="C431" s="502">
        <v>22369702</v>
      </c>
      <c r="D431" s="505">
        <v>424215</v>
      </c>
      <c r="E431" s="539">
        <v>32</v>
      </c>
      <c r="F431" s="31">
        <f t="shared" si="12"/>
        <v>715830.46400000004</v>
      </c>
      <c r="G431" s="31">
        <f t="shared" si="13"/>
        <v>13574.88</v>
      </c>
      <c r="H431" s="209">
        <f>F431*cnst_carbon!$C$11/10^6</f>
        <v>4.0151956410387324E-2</v>
      </c>
      <c r="I431" s="209">
        <f>G431*carbon_intensity_n!$C$9</f>
        <v>6.3153312774796497E-4</v>
      </c>
      <c r="J431" s="233">
        <f>H431*cnst_carbon!$C$13*1000000</f>
        <v>13518.004554063595</v>
      </c>
      <c r="K431" s="30">
        <f>I431*cnst_carbon!$C$13*1000000</f>
        <v>212.61897202923029</v>
      </c>
    </row>
    <row r="432" spans="1:11" ht="12.5">
      <c r="A432" s="14" t="s">
        <v>3624</v>
      </c>
      <c r="B432" s="770" t="s">
        <v>8020</v>
      </c>
      <c r="C432" s="502">
        <v>132675986</v>
      </c>
      <c r="D432" s="505">
        <v>1043654</v>
      </c>
      <c r="E432" s="539">
        <v>25.3</v>
      </c>
      <c r="F432" s="31">
        <f t="shared" si="12"/>
        <v>3356702.4458000003</v>
      </c>
      <c r="G432" s="31">
        <f t="shared" si="13"/>
        <v>26404.446199999998</v>
      </c>
      <c r="H432" s="209">
        <f>F432*cnst_carbon!$C$11/10^6</f>
        <v>0.18828224986859754</v>
      </c>
      <c r="I432" s="209">
        <f>G432*carbon_intensity_n!$C$9</f>
        <v>1.2283926263170553E-3</v>
      </c>
      <c r="J432" s="233">
        <f>H432*cnst_carbon!$C$13*1000000</f>
        <v>63389.197905051442</v>
      </c>
      <c r="K432" s="30">
        <f>I432*cnst_carbon!$C$13*1000000</f>
        <v>413.56433412635073</v>
      </c>
    </row>
    <row r="433" spans="1:11" ht="12.5">
      <c r="A433" s="14" t="s">
        <v>3625</v>
      </c>
      <c r="B433" s="770" t="s">
        <v>8021</v>
      </c>
      <c r="C433" s="502">
        <v>24826781</v>
      </c>
      <c r="D433" s="505">
        <v>151546098</v>
      </c>
      <c r="E433" s="539">
        <v>36.950000000000003</v>
      </c>
      <c r="F433" s="31">
        <f t="shared" si="12"/>
        <v>917349.55795000005</v>
      </c>
      <c r="G433" s="31">
        <f t="shared" si="13"/>
        <v>5599628.3211000003</v>
      </c>
      <c r="H433" s="209">
        <f>F433*cnst_carbon!$C$11/10^6</f>
        <v>5.1455451138632292E-2</v>
      </c>
      <c r="I433" s="209">
        <f>G433*carbon_intensity_n!$C$9</f>
        <v>0.26050696491242425</v>
      </c>
      <c r="J433" s="233">
        <f>H433*cnst_carbon!$C$13*1000000</f>
        <v>17323.564902144662</v>
      </c>
      <c r="K433" s="30">
        <f>I433*cnst_carbon!$C$13*1000000</f>
        <v>87705.174364565071</v>
      </c>
    </row>
    <row r="434" spans="1:11" ht="12.5">
      <c r="A434" s="14" t="s">
        <v>4873</v>
      </c>
      <c r="B434" s="770" t="s">
        <v>8022</v>
      </c>
      <c r="C434" s="502">
        <v>282279661</v>
      </c>
      <c r="D434" s="505">
        <v>216949345</v>
      </c>
      <c r="E434" s="539">
        <v>32</v>
      </c>
      <c r="F434" s="31">
        <f t="shared" si="12"/>
        <v>9032949.1520000007</v>
      </c>
      <c r="G434" s="31">
        <f t="shared" si="13"/>
        <v>6942379.04</v>
      </c>
      <c r="H434" s="209">
        <f>F434*cnst_carbon!$C$11/10^6</f>
        <v>0.50667106088453528</v>
      </c>
      <c r="I434" s="209">
        <f>G434*carbon_intensity_n!$C$9</f>
        <v>0.32297466711625555</v>
      </c>
      <c r="J434" s="233">
        <f>H434*cnst_carbon!$C$13*1000000</f>
        <v>170581.5188292418</v>
      </c>
      <c r="K434" s="30">
        <f>I434*cnst_carbon!$C$13*1000000</f>
        <v>108736.2462815196</v>
      </c>
    </row>
    <row r="435" spans="1:11" ht="12.5">
      <c r="A435" s="14" t="s">
        <v>4874</v>
      </c>
      <c r="B435" s="770" t="s">
        <v>8023</v>
      </c>
      <c r="C435" s="502">
        <v>1195596.75343415</v>
      </c>
      <c r="D435" s="505"/>
      <c r="E435" s="539">
        <v>25.3</v>
      </c>
      <c r="F435" s="31">
        <f t="shared" si="12"/>
        <v>30248.597861883998</v>
      </c>
      <c r="G435" s="31">
        <f t="shared" si="13"/>
        <v>0</v>
      </c>
      <c r="H435" s="209">
        <f>F435*cnst_carbon!$C$11/10^6</f>
        <v>1.6966871960700759E-3</v>
      </c>
      <c r="I435" s="209">
        <f>G435*carbon_intensity_n!$C$9</f>
        <v>0</v>
      </c>
      <c r="J435" s="233">
        <f>H435*cnst_carbon!$C$13*1000000</f>
        <v>571.22559630402407</v>
      </c>
      <c r="K435" s="30">
        <f>I435*cnst_carbon!$C$13*1000000</f>
        <v>0</v>
      </c>
    </row>
    <row r="436" spans="1:11" ht="12.5">
      <c r="A436" s="14" t="s">
        <v>4875</v>
      </c>
      <c r="B436" s="770" t="s">
        <v>8024</v>
      </c>
      <c r="C436" s="502">
        <v>220777425</v>
      </c>
      <c r="D436" s="505">
        <v>9155113</v>
      </c>
      <c r="E436" s="539">
        <v>25.3</v>
      </c>
      <c r="F436" s="31">
        <f t="shared" si="12"/>
        <v>5585668.8525</v>
      </c>
      <c r="G436" s="31">
        <f t="shared" si="13"/>
        <v>231624.35889999999</v>
      </c>
      <c r="H436" s="209">
        <f>F436*cnst_carbon!$C$11/10^6</f>
        <v>0.31330816941654799</v>
      </c>
      <c r="I436" s="209">
        <f>G436*carbon_intensity_n!$C$9</f>
        <v>1.0775672111925424E-2</v>
      </c>
      <c r="J436" s="233">
        <f>H436*cnst_carbon!$C$13*1000000</f>
        <v>105481.81557356319</v>
      </c>
      <c r="K436" s="30">
        <f>I436*cnst_carbon!$C$13*1000000</f>
        <v>3627.8577111729533</v>
      </c>
    </row>
    <row r="437" spans="1:11" ht="12.5">
      <c r="A437" s="14" t="s">
        <v>5216</v>
      </c>
      <c r="B437" s="770" t="s">
        <v>8025</v>
      </c>
      <c r="C437" s="502">
        <v>26932556.341874301</v>
      </c>
      <c r="D437" s="505">
        <v>6015312.8896881901</v>
      </c>
      <c r="E437" s="539">
        <v>25.15</v>
      </c>
      <c r="F437" s="31">
        <f t="shared" si="12"/>
        <v>677353.79199813865</v>
      </c>
      <c r="G437" s="31">
        <f t="shared" si="13"/>
        <v>151285.11917565795</v>
      </c>
      <c r="H437" s="209">
        <f>F437*cnst_carbon!$C$11/10^6</f>
        <v>3.7993744746130036E-2</v>
      </c>
      <c r="I437" s="209">
        <f>G437*carbon_intensity_n!$C$9</f>
        <v>7.0381148485089305E-3</v>
      </c>
      <c r="J437" s="233">
        <f>H437*cnst_carbon!$C$13*1000000</f>
        <v>12791.396993329252</v>
      </c>
      <c r="K437" s="30">
        <f>I437*cnst_carbon!$C$13*1000000</f>
        <v>2369.5300822142071</v>
      </c>
    </row>
    <row r="438" spans="1:11" ht="12.5">
      <c r="A438" s="14" t="s">
        <v>279</v>
      </c>
      <c r="B438" s="770" t="s">
        <v>8026</v>
      </c>
      <c r="C438" s="502">
        <v>96230539.501297504</v>
      </c>
      <c r="D438" s="505">
        <v>169841679.279367</v>
      </c>
      <c r="E438" s="539">
        <v>25.3</v>
      </c>
      <c r="F438" s="31">
        <f t="shared" si="12"/>
        <v>2434632.6493828269</v>
      </c>
      <c r="G438" s="31">
        <f t="shared" si="13"/>
        <v>4296994.4857679857</v>
      </c>
      <c r="H438" s="209">
        <f>F438*cnst_carbon!$C$11/10^6</f>
        <v>0.13656203379090201</v>
      </c>
      <c r="I438" s="209">
        <f>G438*carbon_intensity_n!$C$9</f>
        <v>0.19990558793247637</v>
      </c>
      <c r="J438" s="233">
        <f>H438*cnst_carbon!$C$13*1000000</f>
        <v>45976.494291571486</v>
      </c>
      <c r="K438" s="30">
        <f>I438*cnst_carbon!$C$13*1000000</f>
        <v>67302.44027050407</v>
      </c>
    </row>
    <row r="439" spans="1:11" ht="12.5">
      <c r="A439" s="14" t="s">
        <v>280</v>
      </c>
      <c r="B439" s="770" t="s">
        <v>8027</v>
      </c>
      <c r="C439" s="502">
        <v>23464533</v>
      </c>
      <c r="D439" s="505">
        <v>1642179</v>
      </c>
      <c r="E439" s="539">
        <v>25</v>
      </c>
      <c r="F439" s="31">
        <f t="shared" si="12"/>
        <v>586613.32499999995</v>
      </c>
      <c r="G439" s="31">
        <f t="shared" si="13"/>
        <v>41054.474999999999</v>
      </c>
      <c r="H439" s="209">
        <f>F439*cnst_carbon!$C$11/10^6</f>
        <v>3.290398193384568E-2</v>
      </c>
      <c r="I439" s="209">
        <f>G439*carbon_intensity_n!$C$9</f>
        <v>1.9099440293247995E-3</v>
      </c>
      <c r="J439" s="233">
        <f>H439*cnst_carbon!$C$13*1000000</f>
        <v>11077.820793645893</v>
      </c>
      <c r="K439" s="30">
        <f>I439*cnst_carbon!$C$13*1000000</f>
        <v>643.0230154299511</v>
      </c>
    </row>
    <row r="440" spans="1:11" ht="12.5">
      <c r="A440" s="14" t="s">
        <v>742</v>
      </c>
      <c r="B440" s="770" t="s">
        <v>8028</v>
      </c>
      <c r="C440" s="502">
        <v>120448805.12551101</v>
      </c>
      <c r="D440" s="505">
        <v>19625197.0665658</v>
      </c>
      <c r="E440" s="539">
        <v>24.9</v>
      </c>
      <c r="F440" s="31">
        <f t="shared" si="12"/>
        <v>2999175.2476252238</v>
      </c>
      <c r="G440" s="31">
        <f t="shared" si="13"/>
        <v>488667.40695748839</v>
      </c>
      <c r="H440" s="209">
        <f>F440*cnst_carbon!$C$11/10^6</f>
        <v>0.1682280370366587</v>
      </c>
      <c r="I440" s="209">
        <f>G440*carbon_intensity_n!$C$9</f>
        <v>2.2733877275110375E-2</v>
      </c>
      <c r="J440" s="233">
        <f>H440*cnst_carbon!$C$13*1000000</f>
        <v>56637.523400837803</v>
      </c>
      <c r="K440" s="30">
        <f>I440*cnst_carbon!$C$13*1000000</f>
        <v>7653.8401614961404</v>
      </c>
    </row>
    <row r="441" spans="1:11" ht="12.5">
      <c r="A441" s="14" t="s">
        <v>743</v>
      </c>
      <c r="B441" s="770" t="s">
        <v>8029</v>
      </c>
      <c r="C441" s="502">
        <v>879806254.60565102</v>
      </c>
      <c r="D441" s="505">
        <v>456158577.5</v>
      </c>
      <c r="E441" s="539">
        <v>24.9</v>
      </c>
      <c r="F441" s="31">
        <f t="shared" si="12"/>
        <v>21907175.739680711</v>
      </c>
      <c r="G441" s="31">
        <f t="shared" si="13"/>
        <v>11358348.57975</v>
      </c>
      <c r="H441" s="209">
        <f>F441*cnst_carbon!$C$11/10^6</f>
        <v>1.228804877148054</v>
      </c>
      <c r="I441" s="209">
        <f>G441*carbon_intensity_n!$C$9</f>
        <v>0.52841523495022968</v>
      </c>
      <c r="J441" s="233">
        <f>H441*cnst_carbon!$C$13*1000000</f>
        <v>413703.12707964791</v>
      </c>
      <c r="K441" s="30">
        <f>I441*cnst_carbon!$C$13*1000000</f>
        <v>177902.15449242375</v>
      </c>
    </row>
    <row r="442" spans="1:11" ht="12.5">
      <c r="A442" s="14" t="s">
        <v>744</v>
      </c>
      <c r="B442" s="770" t="s">
        <v>8030</v>
      </c>
      <c r="C442" s="502"/>
      <c r="D442" s="505"/>
      <c r="E442" s="539">
        <v>25.3</v>
      </c>
      <c r="F442" s="31">
        <f t="shared" si="12"/>
        <v>0</v>
      </c>
      <c r="G442" s="31">
        <f t="shared" si="13"/>
        <v>0</v>
      </c>
      <c r="H442" s="209">
        <f>F442*cnst_carbon!$C$11/10^6</f>
        <v>0</v>
      </c>
      <c r="I442" s="209">
        <f>G442*carbon_intensity_n!$C$9</f>
        <v>0</v>
      </c>
      <c r="J442" s="233">
        <f>H442*cnst_carbon!$C$13*1000000</f>
        <v>0</v>
      </c>
      <c r="K442" s="30">
        <f>I442*cnst_carbon!$C$13*1000000</f>
        <v>0</v>
      </c>
    </row>
    <row r="443" spans="1:11" ht="12.5">
      <c r="A443" s="14" t="s">
        <v>4038</v>
      </c>
      <c r="B443" s="770" t="s">
        <v>8031</v>
      </c>
      <c r="C443" s="502">
        <v>162219434.98891401</v>
      </c>
      <c r="D443" s="505">
        <v>14872488.9900914</v>
      </c>
      <c r="E443" s="539">
        <v>25.3</v>
      </c>
      <c r="F443" s="31">
        <f t="shared" si="12"/>
        <v>4104151.7052195249</v>
      </c>
      <c r="G443" s="31">
        <f t="shared" si="13"/>
        <v>376273.97144931246</v>
      </c>
      <c r="H443" s="209">
        <f>F443*cnst_carbon!$C$11/10^6</f>
        <v>0.23020774981936387</v>
      </c>
      <c r="I443" s="209">
        <f>G443*carbon_intensity_n!$C$9</f>
        <v>1.7505088669626016E-2</v>
      </c>
      <c r="J443" s="233">
        <f>H443*cnst_carbon!$C$13*1000000</f>
        <v>77504.303367739049</v>
      </c>
      <c r="K443" s="30">
        <f>I443*cnst_carbon!$C$13*1000000</f>
        <v>5893.4579908558144</v>
      </c>
    </row>
    <row r="444" spans="1:11" ht="12.5">
      <c r="A444" s="14" t="s">
        <v>4039</v>
      </c>
      <c r="B444" s="770" t="s">
        <v>8032</v>
      </c>
      <c r="C444" s="502">
        <v>41784299.3298392</v>
      </c>
      <c r="D444" s="505">
        <v>4062164</v>
      </c>
      <c r="E444" s="539">
        <v>25</v>
      </c>
      <c r="F444" s="31">
        <f t="shared" si="12"/>
        <v>1044607.48324598</v>
      </c>
      <c r="G444" s="31">
        <f t="shared" si="13"/>
        <v>101554.1</v>
      </c>
      <c r="H444" s="209">
        <f>F444*cnst_carbon!$C$11/10^6</f>
        <v>5.8593530511237078E-2</v>
      </c>
      <c r="I444" s="209">
        <f>G444*carbon_intensity_n!$C$9</f>
        <v>4.7245189945420967E-3</v>
      </c>
      <c r="J444" s="233">
        <f>H444*cnst_carbon!$C$13*1000000</f>
        <v>19726.750153690118</v>
      </c>
      <c r="K444" s="30">
        <f>I444*cnst_carbon!$C$13*1000000</f>
        <v>1590.6091506778446</v>
      </c>
    </row>
    <row r="445" spans="1:11" ht="12.5">
      <c r="A445" s="14" t="s">
        <v>3506</v>
      </c>
      <c r="B445" s="770" t="s">
        <v>8033</v>
      </c>
      <c r="C445" s="502">
        <v>64429.587265410897</v>
      </c>
      <c r="D445" s="505">
        <v>1582328.4856246901</v>
      </c>
      <c r="E445" s="539">
        <v>25.3</v>
      </c>
      <c r="F445" s="31">
        <f t="shared" si="12"/>
        <v>1630.0685578148957</v>
      </c>
      <c r="G445" s="31">
        <f t="shared" si="13"/>
        <v>40032.910686304662</v>
      </c>
      <c r="H445" s="209">
        <f>F445*cnst_carbon!$C$11/10^6</f>
        <v>9.1432881067390027E-5</v>
      </c>
      <c r="I445" s="209">
        <f>G445*carbon_intensity_n!$C$9</f>
        <v>1.8624186216435739E-3</v>
      </c>
      <c r="J445" s="233">
        <f>H445*cnst_carbon!$C$13*1000000</f>
        <v>30.782811428346299</v>
      </c>
      <c r="K445" s="30">
        <f>I445*cnst_carbon!$C$13*1000000</f>
        <v>627.02258270128993</v>
      </c>
    </row>
    <row r="446" spans="1:11" ht="12.5">
      <c r="A446" s="14" t="s">
        <v>3075</v>
      </c>
      <c r="B446" s="770" t="s">
        <v>8034</v>
      </c>
      <c r="C446" s="502">
        <v>51167625.235530101</v>
      </c>
      <c r="D446" s="505">
        <v>28277592.2158053</v>
      </c>
      <c r="E446" s="539">
        <v>25.3</v>
      </c>
      <c r="F446" s="31">
        <f t="shared" si="12"/>
        <v>1294540.9184589116</v>
      </c>
      <c r="G446" s="31">
        <f t="shared" si="13"/>
        <v>715423.08305987401</v>
      </c>
      <c r="H446" s="209">
        <f>F446*cnst_carbon!$C$11/10^6</f>
        <v>7.2612655011878607E-2</v>
      </c>
      <c r="I446" s="209">
        <f>G446*carbon_intensity_n!$C$9</f>
        <v>3.3283047607632218E-2</v>
      </c>
      <c r="J446" s="233">
        <f>H446*cnst_carbon!$C$13*1000000</f>
        <v>24446.584647100513</v>
      </c>
      <c r="K446" s="30">
        <f>I446*cnst_carbon!$C$13*1000000</f>
        <v>11205.441262550616</v>
      </c>
    </row>
    <row r="447" spans="1:11" ht="12.5">
      <c r="A447" s="14" t="s">
        <v>1357</v>
      </c>
      <c r="B447" s="770" t="s">
        <v>8035</v>
      </c>
      <c r="C447" s="502">
        <v>803745</v>
      </c>
      <c r="D447" s="505">
        <v>1797502</v>
      </c>
      <c r="E447" s="539">
        <v>128.19999999999999</v>
      </c>
      <c r="F447" s="31">
        <f t="shared" si="12"/>
        <v>103040.10899999998</v>
      </c>
      <c r="G447" s="31">
        <f t="shared" si="13"/>
        <v>230439.75639999998</v>
      </c>
      <c r="H447" s="209">
        <f>F447*cnst_carbon!$C$11/10^6</f>
        <v>5.7796673558301618E-3</v>
      </c>
      <c r="I447" s="209">
        <f>G447*carbon_intensity_n!$C$9</f>
        <v>1.0720561810989942E-2</v>
      </c>
      <c r="J447" s="233">
        <f>H447*cnst_carbon!$C$13*1000000</f>
        <v>1945.8471422546345</v>
      </c>
      <c r="K447" s="30">
        <f>I447*cnst_carbon!$C$13*1000000</f>
        <v>3609.3036638581152</v>
      </c>
    </row>
    <row r="448" spans="1:11" ht="12.5">
      <c r="A448" s="14" t="s">
        <v>2924</v>
      </c>
      <c r="B448" s="770" t="s">
        <v>8036</v>
      </c>
      <c r="C448" s="502">
        <v>17493.677803169099</v>
      </c>
      <c r="D448" s="505">
        <v>10058</v>
      </c>
      <c r="E448" s="539">
        <v>500</v>
      </c>
      <c r="F448" s="31">
        <f t="shared" si="12"/>
        <v>8746.8389015845496</v>
      </c>
      <c r="G448" s="31">
        <f t="shared" si="13"/>
        <v>5029</v>
      </c>
      <c r="H448" s="209">
        <f>F448*cnst_carbon!$C$11/10^6</f>
        <v>4.9062272698288374E-4</v>
      </c>
      <c r="I448" s="209">
        <f>G448*carbon_intensity_n!$C$9</f>
        <v>2.339600865307477E-4</v>
      </c>
      <c r="J448" s="233">
        <f>H448*cnst_carbon!$C$13*1000000</f>
        <v>165.17850811289384</v>
      </c>
      <c r="K448" s="30">
        <f>I448*cnst_carbon!$C$13*1000000</f>
        <v>78.76760681015223</v>
      </c>
    </row>
    <row r="449" spans="1:11" ht="12.5">
      <c r="A449" s="14" t="s">
        <v>2925</v>
      </c>
      <c r="B449" s="770" t="s">
        <v>8037</v>
      </c>
      <c r="C449" s="502">
        <v>48527629.527455598</v>
      </c>
      <c r="D449" s="505">
        <v>229825143</v>
      </c>
      <c r="E449" s="539">
        <v>60.440418626825092</v>
      </c>
      <c r="F449" s="31">
        <f t="shared" si="12"/>
        <v>2933030.2436068943</v>
      </c>
      <c r="G449" s="31">
        <f t="shared" si="13"/>
        <v>13890727.85388994</v>
      </c>
      <c r="H449" s="209">
        <f>F449*cnst_carbon!$C$11/10^6</f>
        <v>0.16451786898475967</v>
      </c>
      <c r="I449" s="209">
        <f>G449*carbon_intensity_n!$C$9</f>
        <v>0.6462270611793911</v>
      </c>
      <c r="J449" s="233">
        <f>H449*cnst_carbon!$C$13*1000000</f>
        <v>55388.416928682505</v>
      </c>
      <c r="K449" s="30">
        <f>I449*cnst_carbon!$C$13*1000000</f>
        <v>217565.99520819896</v>
      </c>
    </row>
    <row r="450" spans="1:11" ht="12.5">
      <c r="A450" s="14" t="s">
        <v>3217</v>
      </c>
      <c r="B450" s="770" t="s">
        <v>8038</v>
      </c>
      <c r="C450" s="502">
        <v>91620350.564052701</v>
      </c>
      <c r="D450" s="505">
        <v>103758302.654248</v>
      </c>
      <c r="E450" s="539">
        <v>31.733767501251176</v>
      </c>
      <c r="F450" s="31">
        <f t="shared" si="12"/>
        <v>2907458.9031827757</v>
      </c>
      <c r="G450" s="31">
        <f t="shared" si="13"/>
        <v>3292641.8527543587</v>
      </c>
      <c r="H450" s="209">
        <f>F450*cnst_carbon!$C$11/10^6</f>
        <v>0.16308353586022756</v>
      </c>
      <c r="I450" s="209">
        <f>G450*carbon_intensity_n!$C$9</f>
        <v>0.15318090530625794</v>
      </c>
      <c r="J450" s="233">
        <f>H450*cnst_carbon!$C$13*1000000</f>
        <v>54905.518374218707</v>
      </c>
      <c r="K450" s="30">
        <f>I450*cnst_carbon!$C$13*1000000</f>
        <v>51571.58855128385</v>
      </c>
    </row>
    <row r="451" spans="1:11" ht="12.5">
      <c r="A451" s="14" t="s">
        <v>4417</v>
      </c>
      <c r="B451" s="770" t="s">
        <v>8039</v>
      </c>
      <c r="C451" s="502">
        <v>1150679.9071168799</v>
      </c>
      <c r="D451" s="505">
        <v>115310010</v>
      </c>
      <c r="E451" s="539">
        <v>156.03122580337245</v>
      </c>
      <c r="F451" s="31">
        <f t="shared" si="12"/>
        <v>179541.99641475751</v>
      </c>
      <c r="G451" s="31">
        <f t="shared" si="13"/>
        <v>17991962.207699135</v>
      </c>
      <c r="H451" s="209">
        <f>F451*cnst_carbon!$C$11/10^6</f>
        <v>1.0070767837395727E-2</v>
      </c>
      <c r="I451" s="209">
        <f>G451*carbon_intensity_n!$C$9</f>
        <v>0.83702545933013162</v>
      </c>
      <c r="J451" s="233">
        <f>H451*cnst_carbon!$C$13*1000000</f>
        <v>3390.5367922150367</v>
      </c>
      <c r="K451" s="30">
        <f>I451*cnst_carbon!$C$13*1000000</f>
        <v>281802.30759975425</v>
      </c>
    </row>
    <row r="452" spans="1:11" ht="12.5">
      <c r="A452" s="14" t="s">
        <v>4418</v>
      </c>
      <c r="B452" s="770" t="s">
        <v>8040</v>
      </c>
      <c r="C452" s="502">
        <v>4662345.8968405202</v>
      </c>
      <c r="D452" s="505">
        <v>5907490.1497463901</v>
      </c>
      <c r="E452" s="539">
        <v>186.93146185720184</v>
      </c>
      <c r="F452" s="31">
        <f t="shared" si="12"/>
        <v>871539.1341803252</v>
      </c>
      <c r="G452" s="31">
        <f t="shared" si="13"/>
        <v>1104295.7695991129</v>
      </c>
      <c r="H452" s="209">
        <f>F452*cnst_carbon!$C$11/10^6</f>
        <v>4.888587882948095E-2</v>
      </c>
      <c r="I452" s="209">
        <f>G452*carbon_intensity_n!$C$9</f>
        <v>5.1374256076943146E-2</v>
      </c>
      <c r="J452" s="233">
        <f>H452*cnst_carbon!$C$13*1000000</f>
        <v>16458.4640880753</v>
      </c>
      <c r="K452" s="30">
        <f>I452*cnst_carbon!$C$13*1000000</f>
        <v>17296.22886893963</v>
      </c>
    </row>
    <row r="453" spans="1:11" ht="12.5">
      <c r="A453" s="14" t="s">
        <v>5030</v>
      </c>
      <c r="B453" s="770" t="s">
        <v>8041</v>
      </c>
      <c r="C453" s="502">
        <v>106568946.04058801</v>
      </c>
      <c r="D453" s="505">
        <v>2622924812</v>
      </c>
      <c r="E453" s="539">
        <v>193.97613586287301</v>
      </c>
      <c r="F453" s="31">
        <f t="shared" si="12"/>
        <v>20671832.35593228</v>
      </c>
      <c r="G453" s="31">
        <f t="shared" si="13"/>
        <v>508784819.69061267</v>
      </c>
      <c r="H453" s="209">
        <f>F453*cnst_carbon!$C$11/10^6</f>
        <v>1.1595126966798486</v>
      </c>
      <c r="I453" s="209">
        <f>G453*carbon_intensity_n!$C$9</f>
        <v>23.669783344670233</v>
      </c>
      <c r="J453" s="233">
        <f>H453*cnst_carbon!$C$13*1000000</f>
        <v>390374.45035076316</v>
      </c>
      <c r="K453" s="30">
        <f>I453*cnst_carbon!$C$13*1000000</f>
        <v>7968932.7159205358</v>
      </c>
    </row>
    <row r="454" spans="1:11" ht="12.5">
      <c r="A454" s="14" t="s">
        <v>3395</v>
      </c>
      <c r="B454" s="770" t="s">
        <v>8042</v>
      </c>
      <c r="C454" s="502">
        <v>552562763.72210598</v>
      </c>
      <c r="D454" s="505">
        <v>117574600.119064</v>
      </c>
      <c r="E454" s="539">
        <v>225.5</v>
      </c>
      <c r="F454" s="31">
        <f t="shared" si="12"/>
        <v>124602903.2193349</v>
      </c>
      <c r="G454" s="31">
        <f t="shared" si="13"/>
        <v>26513072.326848935</v>
      </c>
      <c r="H454" s="209">
        <f>F454*cnst_carbon!$C$11/10^6</f>
        <v>6.9891553800516162</v>
      </c>
      <c r="I454" s="209">
        <f>G454*carbon_intensity_n!$C$9</f>
        <v>1.2334461514785342</v>
      </c>
      <c r="J454" s="233">
        <f>H454*cnst_carbon!$C$13*1000000</f>
        <v>2353046.8426229404</v>
      </c>
      <c r="K454" s="30">
        <f>I454*cnst_carbon!$C$13*1000000</f>
        <v>415265.71015517291</v>
      </c>
    </row>
    <row r="455" spans="1:11" ht="12.5">
      <c r="A455" s="14" t="s">
        <v>3396</v>
      </c>
      <c r="B455" s="770" t="s">
        <v>8043</v>
      </c>
      <c r="C455" s="502">
        <v>2320745</v>
      </c>
      <c r="D455" s="505">
        <v>252744782</v>
      </c>
      <c r="E455" s="539">
        <v>24.902535729344287</v>
      </c>
      <c r="F455" s="31">
        <f t="shared" si="12"/>
        <v>57792.435281197111</v>
      </c>
      <c r="G455" s="31">
        <f t="shared" si="13"/>
        <v>6293985.9641603325</v>
      </c>
      <c r="H455" s="209">
        <f>F455*cnst_carbon!$C$11/10^6</f>
        <v>3.2416605033741015E-3</v>
      </c>
      <c r="I455" s="209">
        <f>G455*carbon_intensity_n!$C$9</f>
        <v>0.29281000214719882</v>
      </c>
      <c r="J455" s="233">
        <f>H455*cnst_carbon!$C$13*1000000</f>
        <v>1091.37350617373</v>
      </c>
      <c r="K455" s="30">
        <f>I455*cnst_carbon!$C$13*1000000</f>
        <v>98580.674427042744</v>
      </c>
    </row>
    <row r="456" spans="1:11" ht="12.5">
      <c r="A456" s="14" t="s">
        <v>3397</v>
      </c>
      <c r="B456" s="770" t="s">
        <v>8044</v>
      </c>
      <c r="C456" s="502">
        <v>338261.19514370902</v>
      </c>
      <c r="D456" s="505">
        <v>1156799</v>
      </c>
      <c r="E456" s="539">
        <v>15.115500195970919</v>
      </c>
      <c r="F456" s="31">
        <f t="shared" ref="F456:F519" si="14">C456*$E456/1000</f>
        <v>5112.9871614840904</v>
      </c>
      <c r="G456" s="31">
        <f t="shared" ref="G456:G519" si="15">D456*E456/1000</f>
        <v>17485.595511198964</v>
      </c>
      <c r="H456" s="209">
        <f>F456*cnst_carbon!$C$11/10^6</f>
        <v>2.867947760809174E-4</v>
      </c>
      <c r="I456" s="209">
        <f>G456*carbon_intensity_n!$C$9</f>
        <v>8.1346817236861463E-4</v>
      </c>
      <c r="J456" s="233">
        <f>H456*cnst_carbon!$C$13*1000000</f>
        <v>96.555521467455492</v>
      </c>
      <c r="K456" s="30">
        <f>I456*cnst_carbon!$C$13*1000000</f>
        <v>273.87124916832028</v>
      </c>
    </row>
    <row r="457" spans="1:11" ht="12.5">
      <c r="A457" s="14" t="s">
        <v>3398</v>
      </c>
      <c r="B457" s="770" t="s">
        <v>8045</v>
      </c>
      <c r="C457" s="502">
        <v>12529158</v>
      </c>
      <c r="D457" s="505">
        <v>568456788</v>
      </c>
      <c r="E457" s="539">
        <v>36.289761677110135</v>
      </c>
      <c r="F457" s="31">
        <f t="shared" si="14"/>
        <v>454680.15783485788</v>
      </c>
      <c r="G457" s="31">
        <f t="shared" si="15"/>
        <v>20629161.360255521</v>
      </c>
      <c r="H457" s="209">
        <f>F457*cnst_carbon!$C$11/10^6</f>
        <v>2.5503661545833903E-2</v>
      </c>
      <c r="I457" s="209">
        <f>G457*carbon_intensity_n!$C$9</f>
        <v>0.95971373571329055</v>
      </c>
      <c r="J457" s="233">
        <f>H457*cnst_carbon!$C$13*1000000</f>
        <v>8586.3465629956245</v>
      </c>
      <c r="K457" s="30">
        <f>I457*cnst_carbon!$C$13*1000000</f>
        <v>323107.90830141021</v>
      </c>
    </row>
    <row r="458" spans="1:11" ht="12.5">
      <c r="A458" s="14" t="s">
        <v>3399</v>
      </c>
      <c r="B458" s="770" t="s">
        <v>8046</v>
      </c>
      <c r="C458" s="502">
        <v>4603917.8192731701</v>
      </c>
      <c r="D458" s="505">
        <v>6353449</v>
      </c>
      <c r="E458" s="539">
        <v>53.863157929529791</v>
      </c>
      <c r="F458" s="31">
        <f t="shared" si="14"/>
        <v>247981.55259408714</v>
      </c>
      <c r="G458" s="31">
        <f t="shared" si="15"/>
        <v>342216.82688421314</v>
      </c>
      <c r="H458" s="209">
        <f>F458*cnst_carbon!$C$11/10^6</f>
        <v>1.390964060777659E-2</v>
      </c>
      <c r="I458" s="209">
        <f>G458*carbon_intensity_n!$C$9</f>
        <v>1.5920675766575545E-2</v>
      </c>
      <c r="J458" s="233">
        <f>H458*cnst_carbon!$C$13*1000000</f>
        <v>4682.9744274345821</v>
      </c>
      <c r="K458" s="30">
        <f>I458*cnst_carbon!$C$13*1000000</f>
        <v>5360.0319077020549</v>
      </c>
    </row>
    <row r="459" spans="1:11" ht="12.5">
      <c r="A459" s="14" t="s">
        <v>5035</v>
      </c>
      <c r="B459" s="770" t="s">
        <v>8047</v>
      </c>
      <c r="C459" s="502">
        <v>3270851.8638358698</v>
      </c>
      <c r="D459" s="505">
        <v>669815</v>
      </c>
      <c r="E459" s="539">
        <v>317.37964310449127</v>
      </c>
      <c r="F459" s="31">
        <f t="shared" si="14"/>
        <v>1038101.7971918884</v>
      </c>
      <c r="G459" s="31">
        <f t="shared" si="15"/>
        <v>212585.6456460348</v>
      </c>
      <c r="H459" s="209">
        <f>F459*cnst_carbon!$C$11/10^6</f>
        <v>5.8228617258727682E-2</v>
      </c>
      <c r="I459" s="209">
        <f>G459*carbon_intensity_n!$C$9</f>
        <v>9.8899495029908871E-3</v>
      </c>
      <c r="J459" s="233">
        <f>H459*cnst_carbon!$C$13*1000000</f>
        <v>19603.894396455235</v>
      </c>
      <c r="K459" s="30">
        <f>I459*cnst_carbon!$C$13*1000000</f>
        <v>3329.6604791666778</v>
      </c>
    </row>
    <row r="460" spans="1:11" ht="12.5">
      <c r="A460" s="14" t="s">
        <v>5036</v>
      </c>
      <c r="B460" s="770" t="s">
        <v>8048</v>
      </c>
      <c r="C460" s="502">
        <v>161543.784907391</v>
      </c>
      <c r="D460" s="505">
        <v>643930.94619072997</v>
      </c>
      <c r="E460" s="539">
        <v>317.37964310449127</v>
      </c>
      <c r="F460" s="31">
        <f t="shared" si="14"/>
        <v>51270.708799656459</v>
      </c>
      <c r="G460" s="31">
        <f t="shared" si="15"/>
        <v>204370.57388595125</v>
      </c>
      <c r="H460" s="209">
        <f>F460*cnst_carbon!$C$11/10^6</f>
        <v>2.8758475203054055E-3</v>
      </c>
      <c r="I460" s="209">
        <f>G460*carbon_intensity_n!$C$9</f>
        <v>9.5077663851055316E-3</v>
      </c>
      <c r="J460" s="233">
        <f>H460*cnst_carbon!$C$13*1000000</f>
        <v>968.2148356343555</v>
      </c>
      <c r="K460" s="30">
        <f>I460*cnst_carbon!$C$13*1000000</f>
        <v>3200.9904568331226</v>
      </c>
    </row>
    <row r="461" spans="1:11" ht="12.5">
      <c r="A461" s="76" t="s">
        <v>2386</v>
      </c>
      <c r="B461" s="770" t="s">
        <v>8049</v>
      </c>
      <c r="C461" s="502">
        <v>13</v>
      </c>
      <c r="D461" s="505">
        <v>5218</v>
      </c>
      <c r="E461" s="539">
        <v>60</v>
      </c>
      <c r="F461" s="31">
        <f t="shared" si="14"/>
        <v>0.78</v>
      </c>
      <c r="G461" s="31">
        <f t="shared" si="15"/>
        <v>313.08</v>
      </c>
      <c r="H461" s="209">
        <f>F461*cnst_carbon!$C$11/10^6</f>
        <v>4.3751317630569731E-8</v>
      </c>
      <c r="I461" s="209">
        <f>G461*carbon_intensity_n!$C$9</f>
        <v>1.4565166810707195E-5</v>
      </c>
      <c r="J461" s="233">
        <f>H461*cnst_carbon!$C$13*1000000</f>
        <v>1.4729805564924384E-2</v>
      </c>
      <c r="K461" s="30">
        <f>I461*cnst_carbon!$C$13*1000000</f>
        <v>4.9036711752082844</v>
      </c>
    </row>
    <row r="462" spans="1:11" ht="12.5">
      <c r="A462" s="14" t="s">
        <v>2387</v>
      </c>
      <c r="B462" s="770" t="s">
        <v>8050</v>
      </c>
      <c r="C462" s="502">
        <v>29027772.678444698</v>
      </c>
      <c r="D462" s="505">
        <v>2337407</v>
      </c>
      <c r="E462" s="539">
        <v>60</v>
      </c>
      <c r="F462" s="31">
        <f t="shared" si="14"/>
        <v>1741666.3607066819</v>
      </c>
      <c r="G462" s="31">
        <f t="shared" si="15"/>
        <v>140244.42000000001</v>
      </c>
      <c r="H462" s="209">
        <f>F462*cnst_carbon!$C$11/10^6</f>
        <v>9.7692561735585215E-2</v>
      </c>
      <c r="I462" s="209">
        <f>G462*carbon_intensity_n!$C$9</f>
        <v>6.5244773590484246E-3</v>
      </c>
      <c r="J462" s="233">
        <f>H462*cnst_carbon!$C$13*1000000</f>
        <v>32890.265195101128</v>
      </c>
      <c r="K462" s="30">
        <f>I462*cnst_carbon!$C$13*1000000</f>
        <v>2196.6031680011633</v>
      </c>
    </row>
    <row r="463" spans="1:11" ht="12.5">
      <c r="A463" s="14" t="s">
        <v>2388</v>
      </c>
      <c r="B463" s="770" t="s">
        <v>8051</v>
      </c>
      <c r="C463" s="502">
        <v>819772.17594129604</v>
      </c>
      <c r="D463" s="505">
        <v>494500.402094741</v>
      </c>
      <c r="E463" s="539">
        <v>53.15</v>
      </c>
      <c r="F463" s="31">
        <f t="shared" si="14"/>
        <v>43570.89115127988</v>
      </c>
      <c r="G463" s="31">
        <f t="shared" si="15"/>
        <v>26282.696371335485</v>
      </c>
      <c r="H463" s="209">
        <f>F463*cnst_carbon!$C$11/10^6</f>
        <v>2.4439537156495206E-3</v>
      </c>
      <c r="I463" s="209">
        <f>G463*carbon_intensity_n!$C$9</f>
        <v>1.222728557824422E-3</v>
      </c>
      <c r="J463" s="233">
        <f>H463*cnst_carbon!$C$13*1000000</f>
        <v>822.80866019081657</v>
      </c>
      <c r="K463" s="30">
        <f>I463*cnst_carbon!$C$13*1000000</f>
        <v>411.6574057840462</v>
      </c>
    </row>
    <row r="464" spans="1:11" ht="12.5">
      <c r="A464" s="14" t="s">
        <v>5016</v>
      </c>
      <c r="B464" s="770" t="s">
        <v>8052</v>
      </c>
      <c r="C464" s="502">
        <v>6461745.95061782</v>
      </c>
      <c r="D464" s="505">
        <v>5906684.5713718003</v>
      </c>
      <c r="E464" s="539">
        <v>25</v>
      </c>
      <c r="F464" s="31">
        <f t="shared" si="14"/>
        <v>161543.64876544551</v>
      </c>
      <c r="G464" s="31">
        <f t="shared" si="15"/>
        <v>147667.11428429501</v>
      </c>
      <c r="H464" s="209">
        <f>F464*cnst_carbon!$C$11/10^6</f>
        <v>9.0612147286387185E-3</v>
      </c>
      <c r="I464" s="209">
        <f>G464*carbon_intensity_n!$C$9</f>
        <v>6.8697973425530861E-3</v>
      </c>
      <c r="J464" s="233">
        <f>H464*cnst_carbon!$C$13*1000000</f>
        <v>3050.6494058505759</v>
      </c>
      <c r="K464" s="30">
        <f>I464*cnst_carbon!$C$13*1000000</f>
        <v>2312.8624372112081</v>
      </c>
    </row>
    <row r="465" spans="1:11" ht="12.5">
      <c r="A465" s="14" t="s">
        <v>2928</v>
      </c>
      <c r="B465" s="770" t="s">
        <v>8053</v>
      </c>
      <c r="C465" s="502">
        <v>548739422.13160002</v>
      </c>
      <c r="D465" s="505">
        <v>63047751.645658202</v>
      </c>
      <c r="E465" s="539">
        <v>25.3</v>
      </c>
      <c r="F465" s="31">
        <f t="shared" si="14"/>
        <v>13883107.379929481</v>
      </c>
      <c r="G465" s="31">
        <f t="shared" si="15"/>
        <v>1595108.1166351526</v>
      </c>
      <c r="H465" s="209">
        <f>F465*cnst_carbon!$C$11/10^6</f>
        <v>0.77872338548538644</v>
      </c>
      <c r="I465" s="209">
        <f>G465*carbon_intensity_n!$C$9</f>
        <v>7.4207920658949753E-2</v>
      </c>
      <c r="J465" s="233">
        <f>H465*cnst_carbon!$C$13*1000000</f>
        <v>262173.6824914462</v>
      </c>
      <c r="K465" s="30">
        <f>I465*cnst_carbon!$C$13*1000000</f>
        <v>24983.664535852087</v>
      </c>
    </row>
    <row r="466" spans="1:11" ht="12.5">
      <c r="A466" s="14" t="s">
        <v>4381</v>
      </c>
      <c r="B466" s="770" t="s">
        <v>8054</v>
      </c>
      <c r="C466" s="502">
        <v>67063870.177014902</v>
      </c>
      <c r="D466" s="505">
        <v>26667740.755924299</v>
      </c>
      <c r="E466" s="539">
        <v>155</v>
      </c>
      <c r="F466" s="31">
        <f t="shared" si="14"/>
        <v>10394899.877437308</v>
      </c>
      <c r="G466" s="31">
        <f t="shared" si="15"/>
        <v>4133499.8171682665</v>
      </c>
      <c r="H466" s="209">
        <f>F466*cnst_carbon!$C$11/10^6</f>
        <v>0.58306482855862818</v>
      </c>
      <c r="I466" s="209">
        <f>G466*carbon_intensity_n!$C$9</f>
        <v>0.19229945812279128</v>
      </c>
      <c r="J466" s="233">
        <f>H466*cnst_carbon!$C$13*1000000</f>
        <v>196301.09495065108</v>
      </c>
      <c r="K466" s="30">
        <f>I466*cnst_carbon!$C$13*1000000</f>
        <v>64741.67594920384</v>
      </c>
    </row>
    <row r="467" spans="1:11" ht="12.5">
      <c r="A467" s="14" t="s">
        <v>4382</v>
      </c>
      <c r="B467" s="770" t="s">
        <v>8055</v>
      </c>
      <c r="C467" s="502"/>
      <c r="D467" s="505"/>
      <c r="E467" s="539">
        <v>61.9</v>
      </c>
      <c r="F467" s="31">
        <f t="shared" si="14"/>
        <v>0</v>
      </c>
      <c r="G467" s="31">
        <f t="shared" si="15"/>
        <v>0</v>
      </c>
      <c r="H467" s="209">
        <f>F467*cnst_carbon!$C$11/10^6</f>
        <v>0</v>
      </c>
      <c r="I467" s="209">
        <f>G467*carbon_intensity_n!$C$9</f>
        <v>0</v>
      </c>
      <c r="J467" s="233">
        <f>H467*cnst_carbon!$C$13*1000000</f>
        <v>0</v>
      </c>
      <c r="K467" s="30">
        <f>I467*cnst_carbon!$C$13*1000000</f>
        <v>0</v>
      </c>
    </row>
    <row r="468" spans="1:11" ht="12.5">
      <c r="A468" s="14" t="s">
        <v>4383</v>
      </c>
      <c r="B468" s="770" t="s">
        <v>8056</v>
      </c>
      <c r="C468" s="502">
        <v>7687891.6633277899</v>
      </c>
      <c r="D468" s="505">
        <v>4982005.2330698799</v>
      </c>
      <c r="E468" s="539">
        <v>50</v>
      </c>
      <c r="F468" s="31">
        <f t="shared" si="14"/>
        <v>384394.58316638949</v>
      </c>
      <c r="G468" s="31">
        <f t="shared" si="15"/>
        <v>249100.261653494</v>
      </c>
      <c r="H468" s="209">
        <f>F468*cnst_carbon!$C$11/10^6</f>
        <v>2.1561242953311743E-2</v>
      </c>
      <c r="I468" s="209">
        <f>G468*carbon_intensity_n!$C$9</f>
        <v>1.1588689355991916E-2</v>
      </c>
      <c r="J468" s="233">
        <f>H468*cnst_carbon!$C$13*1000000</f>
        <v>7259.0480387834268</v>
      </c>
      <c r="K468" s="30">
        <f>I468*cnst_carbon!$C$13*1000000</f>
        <v>3901.5771458000509</v>
      </c>
    </row>
    <row r="469" spans="1:11" ht="12.5">
      <c r="A469" s="14" t="s">
        <v>3306</v>
      </c>
      <c r="B469" s="770" t="s">
        <v>8057</v>
      </c>
      <c r="C469" s="502">
        <v>42668088.227839001</v>
      </c>
      <c r="D469" s="505">
        <v>5266693.6006729603</v>
      </c>
      <c r="E469" s="539">
        <v>50</v>
      </c>
      <c r="F469" s="31">
        <f t="shared" si="14"/>
        <v>2133404.4113919502</v>
      </c>
      <c r="G469" s="31">
        <f t="shared" si="15"/>
        <v>263334.68003364804</v>
      </c>
      <c r="H469" s="209">
        <f>F469*cnst_carbon!$C$11/10^6</f>
        <v>0.11966571030418957</v>
      </c>
      <c r="I469" s="209">
        <f>G469*carbon_intensity_n!$C$9</f>
        <v>1.2250905652658392E-2</v>
      </c>
      <c r="J469" s="233">
        <f>H469*cnst_carbon!$C$13*1000000</f>
        <v>40287.989963019711</v>
      </c>
      <c r="K469" s="30">
        <f>I469*cnst_carbon!$C$13*1000000</f>
        <v>4124.5262549945583</v>
      </c>
    </row>
    <row r="470" spans="1:11" ht="12.5">
      <c r="A470" s="14" t="s">
        <v>3307</v>
      </c>
      <c r="B470" s="770" t="s">
        <v>8058</v>
      </c>
      <c r="C470" s="502">
        <v>35086814.864378802</v>
      </c>
      <c r="D470" s="505">
        <v>1673660.9952443801</v>
      </c>
      <c r="E470" s="539">
        <v>60</v>
      </c>
      <c r="F470" s="31">
        <f t="shared" si="14"/>
        <v>2105208.8918627282</v>
      </c>
      <c r="G470" s="31">
        <f t="shared" si="15"/>
        <v>100419.6597146628</v>
      </c>
      <c r="H470" s="209">
        <f>F470*cnst_carbon!$C$11/10^6</f>
        <v>0.11808418321357173</v>
      </c>
      <c r="I470" s="209">
        <f>G470*carbon_intensity_n!$C$9</f>
        <v>4.6717423496183633E-3</v>
      </c>
      <c r="J470" s="233">
        <f>H470*cnst_carbon!$C$13*1000000</f>
        <v>39755.535449599876</v>
      </c>
      <c r="K470" s="30">
        <f>I470*cnst_carbon!$C$13*1000000</f>
        <v>1572.8407779705396</v>
      </c>
    </row>
    <row r="471" spans="1:11" ht="12.5">
      <c r="A471" s="14" t="s">
        <v>3308</v>
      </c>
      <c r="B471" s="770" t="s">
        <v>8059</v>
      </c>
      <c r="C471" s="502">
        <v>101043749.835824</v>
      </c>
      <c r="D471" s="505">
        <v>9608143</v>
      </c>
      <c r="E471" s="539">
        <v>60</v>
      </c>
      <c r="F471" s="31">
        <f t="shared" si="14"/>
        <v>6062624.9901494402</v>
      </c>
      <c r="G471" s="31">
        <f t="shared" si="15"/>
        <v>576488.57999999996</v>
      </c>
      <c r="H471" s="209">
        <f>F471*cnst_carbon!$C$11/10^6</f>
        <v>0.34006132258853572</v>
      </c>
      <c r="I471" s="209">
        <f>G471*carbon_intensity_n!$C$9</f>
        <v>2.6819510451538648E-2</v>
      </c>
      <c r="J471" s="233">
        <f>H471*cnst_carbon!$C$13*1000000</f>
        <v>114488.82989481137</v>
      </c>
      <c r="K471" s="30">
        <f>I471*cnst_carbon!$C$13*1000000</f>
        <v>9029.3549015675071</v>
      </c>
    </row>
    <row r="472" spans="1:11" ht="12.5">
      <c r="A472" s="14" t="s">
        <v>4577</v>
      </c>
      <c r="B472" s="770" t="s">
        <v>8060</v>
      </c>
      <c r="C472" s="502">
        <v>1021148</v>
      </c>
      <c r="D472" s="505">
        <v>262994</v>
      </c>
      <c r="E472" s="539">
        <v>25.3</v>
      </c>
      <c r="F472" s="31">
        <f t="shared" si="14"/>
        <v>25835.044400000002</v>
      </c>
      <c r="G472" s="31">
        <f t="shared" si="15"/>
        <v>6653.7482</v>
      </c>
      <c r="H472" s="209">
        <f>F472*cnst_carbon!$C$11/10^6</f>
        <v>1.4491246583900922E-3</v>
      </c>
      <c r="I472" s="209">
        <f>G472*carbon_intensity_n!$C$9</f>
        <v>3.0954692873847817E-4</v>
      </c>
      <c r="J472" s="233">
        <f>H472*cnst_carbon!$C$13*1000000</f>
        <v>487.87843688870328</v>
      </c>
      <c r="K472" s="30">
        <f>I472*cnst_carbon!$C$13*1000000</f>
        <v>104.21551442262043</v>
      </c>
    </row>
    <row r="473" spans="1:11" ht="12.5">
      <c r="A473" s="14" t="s">
        <v>4578</v>
      </c>
      <c r="B473" s="770" t="s">
        <v>8061</v>
      </c>
      <c r="C473" s="502">
        <v>33047995.843657199</v>
      </c>
      <c r="D473" s="505">
        <v>33631795</v>
      </c>
      <c r="E473" s="539">
        <v>60</v>
      </c>
      <c r="F473" s="31">
        <f t="shared" si="14"/>
        <v>1982879.750619432</v>
      </c>
      <c r="G473" s="31">
        <f t="shared" si="15"/>
        <v>2017907.7</v>
      </c>
      <c r="H473" s="209">
        <f>F473*cnst_carbon!$C$11/10^6</f>
        <v>0.11122256640073802</v>
      </c>
      <c r="I473" s="209">
        <f>G473*carbon_intensity_n!$C$9</f>
        <v>9.3877482621408243E-2</v>
      </c>
      <c r="J473" s="233">
        <f>H473*cnst_carbon!$C$13*1000000</f>
        <v>37445.427160576895</v>
      </c>
      <c r="K473" s="30">
        <f>I473*cnst_carbon!$C$13*1000000</f>
        <v>31605.83819701305</v>
      </c>
    </row>
    <row r="474" spans="1:11" ht="12.5">
      <c r="A474" s="14" t="s">
        <v>4579</v>
      </c>
      <c r="B474" s="770" t="s">
        <v>8062</v>
      </c>
      <c r="C474" s="502"/>
      <c r="D474" s="505"/>
      <c r="E474" s="539">
        <v>60</v>
      </c>
      <c r="F474" s="31">
        <f t="shared" si="14"/>
        <v>0</v>
      </c>
      <c r="G474" s="31">
        <f t="shared" si="15"/>
        <v>0</v>
      </c>
      <c r="H474" s="209">
        <f>F474*cnst_carbon!$C$11/10^6</f>
        <v>0</v>
      </c>
      <c r="I474" s="209">
        <f>G474*carbon_intensity_n!$C$9</f>
        <v>0</v>
      </c>
      <c r="J474" s="233">
        <f>H474*cnst_carbon!$C$13*1000000</f>
        <v>0</v>
      </c>
      <c r="K474" s="30">
        <f>I474*cnst_carbon!$C$13*1000000</f>
        <v>0</v>
      </c>
    </row>
    <row r="475" spans="1:11" ht="12.5">
      <c r="A475" s="14" t="s">
        <v>4580</v>
      </c>
      <c r="B475" s="770" t="s">
        <v>8063</v>
      </c>
      <c r="C475" s="502">
        <v>77593742.515974402</v>
      </c>
      <c r="D475" s="505">
        <v>10635053.3628571</v>
      </c>
      <c r="E475" s="539">
        <v>60</v>
      </c>
      <c r="F475" s="31">
        <f t="shared" si="14"/>
        <v>4655624.5509584639</v>
      </c>
      <c r="G475" s="31">
        <f t="shared" si="15"/>
        <v>638103.20177142601</v>
      </c>
      <c r="H475" s="209">
        <f>F475*cnst_carbon!$C$11/10^6</f>
        <v>0.2611406519200799</v>
      </c>
      <c r="I475" s="209">
        <f>G475*carbon_intensity_n!$C$9</f>
        <v>2.9685957506858218E-2</v>
      </c>
      <c r="J475" s="233">
        <f>H475*cnst_carbon!$C$13*1000000</f>
        <v>87918.518485777648</v>
      </c>
      <c r="K475" s="30">
        <f>I475*cnst_carbon!$C$13*1000000</f>
        <v>9994.404872028419</v>
      </c>
    </row>
    <row r="476" spans="1:11" ht="12.5">
      <c r="A476" s="14" t="s">
        <v>2336</v>
      </c>
      <c r="B476" s="770" t="s">
        <v>8064</v>
      </c>
      <c r="C476" s="502">
        <v>986152379.68320799</v>
      </c>
      <c r="D476" s="505">
        <v>78374624.659538999</v>
      </c>
      <c r="E476" s="539">
        <v>60</v>
      </c>
      <c r="F476" s="31">
        <f t="shared" si="14"/>
        <v>59169142.780992478</v>
      </c>
      <c r="G476" s="31">
        <f t="shared" si="15"/>
        <v>4702477.4795723399</v>
      </c>
      <c r="H476" s="209">
        <f>F476*cnst_carbon!$C$11/10^6</f>
        <v>3.3188819996663259</v>
      </c>
      <c r="I476" s="209">
        <f>G476*carbon_intensity_n!$C$9</f>
        <v>0.21876954424928155</v>
      </c>
      <c r="J476" s="233">
        <f>H476*cnst_carbon!$C$13*1000000</f>
        <v>1117371.7546247032</v>
      </c>
      <c r="K476" s="30">
        <f>I476*cnst_carbon!$C$13*1000000</f>
        <v>73653.38976825407</v>
      </c>
    </row>
    <row r="477" spans="1:11" ht="12.5">
      <c r="A477" s="14" t="s">
        <v>2337</v>
      </c>
      <c r="B477" s="770" t="s">
        <v>8065</v>
      </c>
      <c r="C477" s="502">
        <v>2097177.19048349</v>
      </c>
      <c r="D477" s="505">
        <v>876458.64436752896</v>
      </c>
      <c r="E477" s="539">
        <v>56.7</v>
      </c>
      <c r="F477" s="31">
        <f t="shared" si="14"/>
        <v>118909.94670041389</v>
      </c>
      <c r="G477" s="31">
        <f t="shared" si="15"/>
        <v>49695.205135638891</v>
      </c>
      <c r="H477" s="209">
        <f>F477*cnst_carbon!$C$11/10^6</f>
        <v>6.6698292916973394E-3</v>
      </c>
      <c r="I477" s="209">
        <f>G477*carbon_intensity_n!$C$9</f>
        <v>2.3119297064421022E-3</v>
      </c>
      <c r="J477" s="233">
        <f>H477*cnst_carbon!$C$13*1000000</f>
        <v>2245.5389674777157</v>
      </c>
      <c r="K477" s="30">
        <f>I477*cnst_carbon!$C$13*1000000</f>
        <v>778.35998776573115</v>
      </c>
    </row>
    <row r="478" spans="1:11" ht="12.5">
      <c r="A478" s="14" t="s">
        <v>2338</v>
      </c>
      <c r="B478" s="770" t="s">
        <v>8066</v>
      </c>
      <c r="C478" s="502">
        <v>78413937.153456807</v>
      </c>
      <c r="D478" s="505">
        <v>7610037.9479060899</v>
      </c>
      <c r="E478" s="539">
        <v>60</v>
      </c>
      <c r="F478" s="31">
        <f t="shared" si="14"/>
        <v>4704836.2292074086</v>
      </c>
      <c r="G478" s="31">
        <f t="shared" si="15"/>
        <v>456602.2768743654</v>
      </c>
      <c r="H478" s="209">
        <f>F478*cnst_carbon!$C$11/10^6</f>
        <v>0.26390100546649403</v>
      </c>
      <c r="I478" s="209">
        <f>G478*carbon_intensity_n!$C$9</f>
        <v>2.1242137245508639E-2</v>
      </c>
      <c r="J478" s="233">
        <f>H478*cnst_carbon!$C$13*1000000</f>
        <v>88847.849834663008</v>
      </c>
      <c r="K478" s="30">
        <f>I478*cnst_carbon!$C$13*1000000</f>
        <v>7151.614359407492</v>
      </c>
    </row>
    <row r="479" spans="1:11" ht="12.5">
      <c r="A479" s="14" t="s">
        <v>2168</v>
      </c>
      <c r="B479" s="770" t="s">
        <v>8067</v>
      </c>
      <c r="C479" s="502">
        <v>4277308.1373206396</v>
      </c>
      <c r="D479" s="505">
        <v>871738.45014553203</v>
      </c>
      <c r="E479" s="539">
        <v>60</v>
      </c>
      <c r="F479" s="31">
        <f t="shared" si="14"/>
        <v>256638.48823923839</v>
      </c>
      <c r="G479" s="31">
        <f t="shared" si="15"/>
        <v>52304.307008731921</v>
      </c>
      <c r="H479" s="209">
        <f>F479*cnst_carbon!$C$11/10^6</f>
        <v>1.4395220532287376E-2</v>
      </c>
      <c r="I479" s="209">
        <f>G479*carbon_intensity_n!$C$9</f>
        <v>2.4333108358905774E-3</v>
      </c>
      <c r="J479" s="233">
        <f>H479*cnst_carbon!$C$13*1000000</f>
        <v>4846.4551695386081</v>
      </c>
      <c r="K479" s="30">
        <f>I479*cnst_carbon!$C$13*1000000</f>
        <v>819.22550983123597</v>
      </c>
    </row>
    <row r="480" spans="1:11" ht="12.5">
      <c r="A480" s="14" t="s">
        <v>559</v>
      </c>
      <c r="B480" s="770" t="s">
        <v>8068</v>
      </c>
      <c r="C480" s="502">
        <v>86233899.283163801</v>
      </c>
      <c r="D480" s="505">
        <v>31092505.516462501</v>
      </c>
      <c r="E480" s="539">
        <v>60</v>
      </c>
      <c r="F480" s="31">
        <f t="shared" si="14"/>
        <v>5174033.9569898285</v>
      </c>
      <c r="G480" s="31">
        <f t="shared" si="15"/>
        <v>1865550.3309877501</v>
      </c>
      <c r="H480" s="209">
        <f>F480*cnst_carbon!$C$11/10^6</f>
        <v>0.29021897831232762</v>
      </c>
      <c r="I480" s="209">
        <f>G480*carbon_intensity_n!$C$9</f>
        <v>8.6789484363761979E-2</v>
      </c>
      <c r="J480" s="233">
        <f>H480*cnst_carbon!$C$13*1000000</f>
        <v>97708.351503559621</v>
      </c>
      <c r="K480" s="30">
        <f>I480*cnst_carbon!$C$13*1000000</f>
        <v>29219.513811054374</v>
      </c>
    </row>
    <row r="481" spans="1:11" ht="12.5">
      <c r="A481" s="14" t="s">
        <v>1599</v>
      </c>
      <c r="B481" s="770" t="s">
        <v>8069</v>
      </c>
      <c r="C481" s="502">
        <v>88080661.782694906</v>
      </c>
      <c r="D481" s="505">
        <v>2293574.7915741401</v>
      </c>
      <c r="E481" s="539">
        <v>25</v>
      </c>
      <c r="F481" s="31">
        <f t="shared" si="14"/>
        <v>2202016.5445673726</v>
      </c>
      <c r="G481" s="31">
        <f t="shared" si="15"/>
        <v>57339.369789353506</v>
      </c>
      <c r="H481" s="209">
        <f>F481*cnst_carbon!$C$11/10^6</f>
        <v>0.12351426316555991</v>
      </c>
      <c r="I481" s="209">
        <f>G481*carbon_intensity_n!$C$9</f>
        <v>2.6675529762449166E-3</v>
      </c>
      <c r="J481" s="233">
        <f>H481*cnst_carbon!$C$13*1000000</f>
        <v>41583.686605415445</v>
      </c>
      <c r="K481" s="30">
        <f>I481*cnst_carbon!$C$13*1000000</f>
        <v>898.08807602102172</v>
      </c>
    </row>
    <row r="482" spans="1:11" ht="12.5">
      <c r="A482" s="14" t="s">
        <v>1733</v>
      </c>
      <c r="B482" s="770" t="s">
        <v>8070</v>
      </c>
      <c r="C482" s="502">
        <v>1340282.0368717299</v>
      </c>
      <c r="D482" s="505">
        <v>459759.69419010699</v>
      </c>
      <c r="E482" s="539">
        <v>25</v>
      </c>
      <c r="F482" s="31">
        <f t="shared" si="14"/>
        <v>33507.050921793249</v>
      </c>
      <c r="G482" s="31">
        <f t="shared" si="15"/>
        <v>11493.992354752674</v>
      </c>
      <c r="H482" s="209">
        <f>F482*cnst_carbon!$C$11/10^6</f>
        <v>1.8794584971064752E-3</v>
      </c>
      <c r="I482" s="209">
        <f>G482*carbon_intensity_n!$C$9</f>
        <v>5.3472568023497479E-4</v>
      </c>
      <c r="J482" s="233">
        <f>H482*cnst_carbon!$C$13*1000000</f>
        <v>632.75941683594215</v>
      </c>
      <c r="K482" s="30">
        <f>I482*cnst_carbon!$C$13*1000000</f>
        <v>180.02669924001879</v>
      </c>
    </row>
    <row r="483" spans="1:11" ht="12.5">
      <c r="A483" s="14" t="s">
        <v>1734</v>
      </c>
      <c r="B483" s="770" t="s">
        <v>8071</v>
      </c>
      <c r="C483" s="502">
        <v>181353638.874219</v>
      </c>
      <c r="D483" s="505">
        <v>29045242.030247901</v>
      </c>
      <c r="E483" s="539">
        <v>60</v>
      </c>
      <c r="F483" s="31">
        <f t="shared" si="14"/>
        <v>10881218.332453141</v>
      </c>
      <c r="G483" s="31">
        <f t="shared" si="15"/>
        <v>1742714.5218148739</v>
      </c>
      <c r="H483" s="209">
        <f>F483*cnst_carbon!$C$11/10^6</f>
        <v>0.61034312752658415</v>
      </c>
      <c r="I483" s="209">
        <f>G483*carbon_intensity_n!$C$9</f>
        <v>8.1074893681089374E-2</v>
      </c>
      <c r="J483" s="233">
        <f>H483*cnst_carbon!$C$13*1000000</f>
        <v>205484.9107006737</v>
      </c>
      <c r="K483" s="30">
        <f>I483*cnst_carbon!$C$13*1000000</f>
        <v>27295.576105916971</v>
      </c>
    </row>
    <row r="484" spans="1:11" ht="12.5">
      <c r="A484" s="14" t="s">
        <v>996</v>
      </c>
      <c r="B484" s="770" t="s">
        <v>8072</v>
      </c>
      <c r="C484" s="502">
        <v>9396504.6447938196</v>
      </c>
      <c r="D484" s="505">
        <v>978009.20364069706</v>
      </c>
      <c r="E484" s="539">
        <v>60</v>
      </c>
      <c r="F484" s="31">
        <f t="shared" si="14"/>
        <v>563790.27868762927</v>
      </c>
      <c r="G484" s="31">
        <f t="shared" si="15"/>
        <v>58680.552218441822</v>
      </c>
      <c r="H484" s="209">
        <f>F484*cnst_carbon!$C$11/10^6</f>
        <v>3.1623804563961404E-2</v>
      </c>
      <c r="I484" s="209">
        <f>G484*carbon_intensity_n!$C$9</f>
        <v>2.7299477181743303E-3</v>
      </c>
      <c r="J484" s="233">
        <f>H484*cnst_carbon!$C$13*1000000</f>
        <v>10646.822031363217</v>
      </c>
      <c r="K484" s="30">
        <f>I484*cnst_carbon!$C$13*1000000</f>
        <v>919.09458431991084</v>
      </c>
    </row>
    <row r="485" spans="1:11" ht="12.5">
      <c r="A485" s="14" t="s">
        <v>4121</v>
      </c>
      <c r="B485" s="770" t="s">
        <v>8073</v>
      </c>
      <c r="C485" s="502">
        <v>30344659.9462258</v>
      </c>
      <c r="D485" s="505">
        <v>10940763.9796787</v>
      </c>
      <c r="E485" s="539">
        <v>25.3</v>
      </c>
      <c r="F485" s="31">
        <f t="shared" si="14"/>
        <v>767719.89663951274</v>
      </c>
      <c r="G485" s="31">
        <f t="shared" si="15"/>
        <v>276801.32868587115</v>
      </c>
      <c r="H485" s="209">
        <f>F485*cnst_carbon!$C$11/10^6</f>
        <v>4.3062509037414723E-2</v>
      </c>
      <c r="I485" s="209">
        <f>G485*carbon_intensity_n!$C$9</f>
        <v>1.2877403621231328E-2</v>
      </c>
      <c r="J485" s="233">
        <f>H485*cnst_carbon!$C$13*1000000</f>
        <v>14497.903597210086</v>
      </c>
      <c r="K485" s="30">
        <f>I485*cnst_carbon!$C$13*1000000</f>
        <v>4335.4500342923857</v>
      </c>
    </row>
    <row r="486" spans="1:11" ht="12.5">
      <c r="A486" s="14" t="s">
        <v>2221</v>
      </c>
      <c r="B486" s="770" t="s">
        <v>8074</v>
      </c>
      <c r="C486" s="502">
        <v>1582273.7424083699</v>
      </c>
      <c r="D486" s="505">
        <v>175836.635544939</v>
      </c>
      <c r="E486" s="539">
        <v>25.3</v>
      </c>
      <c r="F486" s="31">
        <f t="shared" si="14"/>
        <v>40031.525682931759</v>
      </c>
      <c r="G486" s="31">
        <f t="shared" si="15"/>
        <v>4448.6668792869568</v>
      </c>
      <c r="H486" s="209">
        <f>F486*cnst_carbon!$C$11/10^6</f>
        <v>2.2454256351157145E-3</v>
      </c>
      <c r="I486" s="209">
        <f>G486*carbon_intensity_n!$C$9</f>
        <v>2.0696171963102957E-4</v>
      </c>
      <c r="J486" s="233">
        <f>H486*cnst_carbon!$C$13*1000000</f>
        <v>755.9699868934124</v>
      </c>
      <c r="K486" s="30">
        <f>I486*cnst_carbon!$C$13*1000000</f>
        <v>69.678036105989648</v>
      </c>
    </row>
    <row r="487" spans="1:11" ht="12.5">
      <c r="A487" s="14" t="s">
        <v>2222</v>
      </c>
      <c r="B487" s="770" t="s">
        <v>8075</v>
      </c>
      <c r="C487" s="502">
        <v>3004320.5261363001</v>
      </c>
      <c r="D487" s="505">
        <v>1192664.42151514</v>
      </c>
      <c r="E487" s="539">
        <v>25.3</v>
      </c>
      <c r="F487" s="31">
        <f t="shared" si="14"/>
        <v>76009.309311248391</v>
      </c>
      <c r="G487" s="31">
        <f t="shared" si="15"/>
        <v>30174.40986433304</v>
      </c>
      <c r="H487" s="209">
        <f>F487*cnst_carbon!$C$11/10^6</f>
        <v>4.2634710699444231E-3</v>
      </c>
      <c r="I487" s="209">
        <f>G487*carbon_intensity_n!$C$9</f>
        <v>1.4037795869702933E-3</v>
      </c>
      <c r="J487" s="233">
        <f>H487*cnst_carbon!$C$13*1000000</f>
        <v>1435.3876247165199</v>
      </c>
      <c r="K487" s="30">
        <f>I487*cnst_carbon!$C$13*1000000</f>
        <v>472.6120604339161</v>
      </c>
    </row>
    <row r="488" spans="1:11" ht="12.5">
      <c r="A488" s="14" t="s">
        <v>2171</v>
      </c>
      <c r="B488" s="770" t="s">
        <v>8076</v>
      </c>
      <c r="C488" s="502">
        <v>4428916.5988906203</v>
      </c>
      <c r="D488" s="505">
        <v>416979.68590855802</v>
      </c>
      <c r="E488" s="539">
        <v>25.3</v>
      </c>
      <c r="F488" s="31">
        <f t="shared" si="14"/>
        <v>112051.58995193269</v>
      </c>
      <c r="G488" s="31">
        <f t="shared" si="15"/>
        <v>10549.586053486519</v>
      </c>
      <c r="H488" s="209">
        <f>F488*cnst_carbon!$C$11/10^6</f>
        <v>6.2851342346120038E-3</v>
      </c>
      <c r="I488" s="209">
        <f>G488*carbon_intensity_n!$C$9</f>
        <v>4.907898321609216E-4</v>
      </c>
      <c r="J488" s="233">
        <f>H488*cnst_carbon!$C$13*1000000</f>
        <v>2116.0232477341069</v>
      </c>
      <c r="K488" s="30">
        <f>I488*cnst_carbon!$C$13*1000000</f>
        <v>165.23476760208621</v>
      </c>
    </row>
    <row r="489" spans="1:11" ht="12.5">
      <c r="A489" s="14" t="s">
        <v>2172</v>
      </c>
      <c r="B489" s="770" t="s">
        <v>8077</v>
      </c>
      <c r="C489" s="502">
        <v>129006316.716989</v>
      </c>
      <c r="D489" s="505">
        <v>40363928.489607297</v>
      </c>
      <c r="E489" s="539">
        <v>25</v>
      </c>
      <c r="F489" s="31">
        <f t="shared" si="14"/>
        <v>3225157.917924725</v>
      </c>
      <c r="G489" s="31">
        <f t="shared" si="15"/>
        <v>1009098.2122401824</v>
      </c>
      <c r="H489" s="209">
        <f>F489*cnst_carbon!$C$11/10^6</f>
        <v>0.18090372881521999</v>
      </c>
      <c r="I489" s="209">
        <f>G489*carbon_intensity_n!$C$9</f>
        <v>4.6945457358070368E-2</v>
      </c>
      <c r="J489" s="233">
        <f>H489*cnst_carbon!$C$13*1000000</f>
        <v>60905.062881035323</v>
      </c>
      <c r="K489" s="30">
        <f>I489*cnst_carbon!$C$13*1000000</f>
        <v>15805.180197765407</v>
      </c>
    </row>
    <row r="490" spans="1:11" ht="12.5">
      <c r="A490" s="14" t="s">
        <v>2173</v>
      </c>
      <c r="B490" s="770" t="s">
        <v>8078</v>
      </c>
      <c r="C490" s="502">
        <v>324922366.26133001</v>
      </c>
      <c r="D490" s="505">
        <v>43645374.281510703</v>
      </c>
      <c r="E490" s="539">
        <v>25</v>
      </c>
      <c r="F490" s="31">
        <f t="shared" si="14"/>
        <v>8123059.1565332497</v>
      </c>
      <c r="G490" s="31">
        <f t="shared" si="15"/>
        <v>1091134.3570377675</v>
      </c>
      <c r="H490" s="209">
        <f>F490*cnst_carbon!$C$11/10^6</f>
        <v>0.45563402729409497</v>
      </c>
      <c r="I490" s="209">
        <f>G490*carbon_intensity_n!$C$9</f>
        <v>5.0761958359361273E-2</v>
      </c>
      <c r="J490" s="233">
        <f>H490*cnst_carbon!$C$13*1000000</f>
        <v>153398.82303604289</v>
      </c>
      <c r="K490" s="30">
        <f>I490*cnst_carbon!$C$13*1000000</f>
        <v>17090.085904195494</v>
      </c>
    </row>
    <row r="491" spans="1:11" ht="12.5">
      <c r="A491" s="14" t="s">
        <v>853</v>
      </c>
      <c r="B491" s="770" t="s">
        <v>8079</v>
      </c>
      <c r="C491" s="502">
        <v>10294586.4050506</v>
      </c>
      <c r="D491" s="505">
        <v>4410856.2975683901</v>
      </c>
      <c r="E491" s="539">
        <v>56.7</v>
      </c>
      <c r="F491" s="31">
        <f t="shared" si="14"/>
        <v>583703.04916636914</v>
      </c>
      <c r="G491" s="31">
        <f t="shared" si="15"/>
        <v>250095.55207212773</v>
      </c>
      <c r="H491" s="209">
        <f>F491*cnst_carbon!$C$11/10^6</f>
        <v>3.2740740392320354E-2</v>
      </c>
      <c r="I491" s="209">
        <f>G491*carbon_intensity_n!$C$9</f>
        <v>1.1634992444571508E-2</v>
      </c>
      <c r="J491" s="233">
        <f>H491*cnst_carbon!$C$13*1000000</f>
        <v>11022.862079325789</v>
      </c>
      <c r="K491" s="30">
        <f>I491*cnst_carbon!$C$13*1000000</f>
        <v>3917.1660589750068</v>
      </c>
    </row>
    <row r="492" spans="1:11" ht="12.5">
      <c r="A492" s="14" t="s">
        <v>4912</v>
      </c>
      <c r="B492" s="770" t="s">
        <v>8080</v>
      </c>
      <c r="C492" s="502">
        <v>535805.58830718102</v>
      </c>
      <c r="D492" s="505">
        <v>1564638.99380111</v>
      </c>
      <c r="E492" s="539">
        <v>100</v>
      </c>
      <c r="F492" s="31">
        <f t="shared" si="14"/>
        <v>53580.558830718102</v>
      </c>
      <c r="G492" s="31">
        <f t="shared" si="15"/>
        <v>156463.89938011102</v>
      </c>
      <c r="H492" s="209">
        <f>F492*cnst_carbon!$C$11/10^6</f>
        <v>3.0054103182386867E-3</v>
      </c>
      <c r="I492" s="209">
        <f>G492*carbon_intensity_n!$C$9</f>
        <v>7.2790430379616172E-3</v>
      </c>
      <c r="J492" s="233">
        <f>H492*cnst_carbon!$C$13*1000000</f>
        <v>1011.8348892775253</v>
      </c>
      <c r="K492" s="30">
        <f>I492*cnst_carbon!$C$13*1000000</f>
        <v>2450.6436481121109</v>
      </c>
    </row>
    <row r="493" spans="1:11" ht="12.5">
      <c r="A493" s="14" t="s">
        <v>4913</v>
      </c>
      <c r="B493" s="770" t="s">
        <v>8081</v>
      </c>
      <c r="C493" s="502">
        <v>854394.04317465704</v>
      </c>
      <c r="D493" s="505">
        <v>80375.734063550306</v>
      </c>
      <c r="E493" s="539">
        <v>56.7</v>
      </c>
      <c r="F493" s="31">
        <f t="shared" si="14"/>
        <v>48444.14224800306</v>
      </c>
      <c r="G493" s="31">
        <f t="shared" si="15"/>
        <v>4557.3041214033028</v>
      </c>
      <c r="H493" s="209">
        <f>F493*cnst_carbon!$C$11/10^6</f>
        <v>2.7173013523498516E-3</v>
      </c>
      <c r="I493" s="209">
        <f>G493*carbon_intensity_n!$C$9</f>
        <v>2.1201576189907532E-4</v>
      </c>
      <c r="J493" s="233">
        <f>H493*cnst_carbon!$C$13*1000000</f>
        <v>914.83691804182558</v>
      </c>
      <c r="K493" s="30">
        <f>I493*cnst_carbon!$C$13*1000000</f>
        <v>71.37958622966427</v>
      </c>
    </row>
    <row r="494" spans="1:11" ht="12.5">
      <c r="A494" s="14" t="s">
        <v>4914</v>
      </c>
      <c r="B494" s="770" t="s">
        <v>8082</v>
      </c>
      <c r="C494" s="502">
        <v>4211746.5943285199</v>
      </c>
      <c r="D494" s="505">
        <v>926395.31900968601</v>
      </c>
      <c r="E494" s="539">
        <v>56.7</v>
      </c>
      <c r="F494" s="31">
        <f t="shared" si="14"/>
        <v>238806.03189842709</v>
      </c>
      <c r="G494" s="31">
        <f t="shared" si="15"/>
        <v>52526.614587849203</v>
      </c>
      <c r="H494" s="209">
        <f>F494*cnst_carbon!$C$11/10^6</f>
        <v>1.3394972504723142E-2</v>
      </c>
      <c r="I494" s="209">
        <f>G494*carbon_intensity_n!$C$9</f>
        <v>2.4436530710161926E-3</v>
      </c>
      <c r="J494" s="233">
        <f>H494*cnst_carbon!$C$13*1000000</f>
        <v>4509.7005353781551</v>
      </c>
      <c r="K494" s="30">
        <f>I494*cnst_carbon!$C$13*1000000</f>
        <v>822.70744182225337</v>
      </c>
    </row>
    <row r="495" spans="1:11" ht="12.5">
      <c r="A495" s="14" t="s">
        <v>4915</v>
      </c>
      <c r="B495" s="770" t="s">
        <v>8083</v>
      </c>
      <c r="C495" s="502">
        <v>332840113.02120697</v>
      </c>
      <c r="D495" s="505">
        <v>111961024.690577</v>
      </c>
      <c r="E495" s="539">
        <v>100</v>
      </c>
      <c r="F495" s="31">
        <f t="shared" si="14"/>
        <v>33284011.302120697</v>
      </c>
      <c r="G495" s="31">
        <f t="shared" si="15"/>
        <v>11196102.4690577</v>
      </c>
      <c r="H495" s="209">
        <f>F495*cnst_carbon!$C$11/10^6</f>
        <v>1.8669478852545582</v>
      </c>
      <c r="I495" s="209">
        <f>G495*carbon_intensity_n!$C$9</f>
        <v>0.52086719078700683</v>
      </c>
      <c r="J495" s="233">
        <f>H495*cnst_carbon!$C$13*1000000</f>
        <v>628547.45500126097</v>
      </c>
      <c r="K495" s="30">
        <f>I495*cnst_carbon!$C$13*1000000</f>
        <v>175360.94593138029</v>
      </c>
    </row>
    <row r="496" spans="1:11" ht="12.5">
      <c r="A496" s="14" t="s">
        <v>4916</v>
      </c>
      <c r="B496" s="770" t="s">
        <v>8084</v>
      </c>
      <c r="C496" s="502">
        <v>430024.5</v>
      </c>
      <c r="D496" s="505">
        <v>640383.74635831895</v>
      </c>
      <c r="E496" s="539">
        <v>56.7</v>
      </c>
      <c r="F496" s="31">
        <f t="shared" si="14"/>
        <v>24382.389150000003</v>
      </c>
      <c r="G496" s="31">
        <f t="shared" si="15"/>
        <v>36309.758418516685</v>
      </c>
      <c r="H496" s="209">
        <f>F496*cnst_carbon!$C$11/10^6</f>
        <v>1.3676431439664195E-3</v>
      </c>
      <c r="I496" s="209">
        <f>G496*carbon_intensity_n!$C$9</f>
        <v>1.6892094296096058E-3</v>
      </c>
      <c r="J496" s="233">
        <f>H496*cnst_carbon!$C$13*1000000</f>
        <v>460.44596331772044</v>
      </c>
      <c r="K496" s="30">
        <f>I496*cnst_carbon!$C$13*1000000</f>
        <v>568.70804821661102</v>
      </c>
    </row>
    <row r="497" spans="1:11" ht="12.5">
      <c r="A497" s="14" t="s">
        <v>4917</v>
      </c>
      <c r="B497" s="770" t="s">
        <v>8085</v>
      </c>
      <c r="C497" s="502">
        <v>1809.66484798649</v>
      </c>
      <c r="D497" s="505">
        <v>242653.533687196</v>
      </c>
      <c r="E497" s="539">
        <v>100</v>
      </c>
      <c r="F497" s="31">
        <f t="shared" si="14"/>
        <v>180.96648479864899</v>
      </c>
      <c r="G497" s="31">
        <f t="shared" si="15"/>
        <v>24265.3533687196</v>
      </c>
      <c r="H497" s="209">
        <f>F497*cnst_carbon!$C$11/10^6</f>
        <v>1.0150669431940207E-5</v>
      </c>
      <c r="I497" s="209">
        <f>G497*carbon_intensity_n!$C$9</f>
        <v>1.1288773461612263E-3</v>
      </c>
      <c r="J497" s="233">
        <f>H497*cnst_carbon!$C$13*1000000</f>
        <v>3.4174373523742876</v>
      </c>
      <c r="K497" s="30">
        <f>I497*cnst_carbon!$C$13*1000000</f>
        <v>380.06041226023228</v>
      </c>
    </row>
    <row r="498" spans="1:11" ht="12.5">
      <c r="A498" s="14" t="s">
        <v>4918</v>
      </c>
      <c r="B498" s="770" t="s">
        <v>8086</v>
      </c>
      <c r="C498" s="502">
        <v>26152592.042873699</v>
      </c>
      <c r="D498" s="505">
        <v>6689878.3858471802</v>
      </c>
      <c r="E498" s="539">
        <v>100</v>
      </c>
      <c r="F498" s="31">
        <f t="shared" si="14"/>
        <v>2615259.2042873697</v>
      </c>
      <c r="G498" s="31">
        <f t="shared" si="15"/>
        <v>668987.83858471795</v>
      </c>
      <c r="H498" s="209">
        <f>F498*cnst_carbon!$C$11/10^6</f>
        <v>0.14669363606800995</v>
      </c>
      <c r="I498" s="209">
        <f>G498*carbon_intensity_n!$C$9</f>
        <v>3.1122778405905445E-2</v>
      </c>
      <c r="J498" s="233">
        <f>H498*cnst_carbon!$C$13*1000000</f>
        <v>49387.512283374119</v>
      </c>
      <c r="K498" s="30">
        <f>I498*cnst_carbon!$C$13*1000000</f>
        <v>10478.140988350497</v>
      </c>
    </row>
    <row r="499" spans="1:11" ht="12.5">
      <c r="A499" s="14" t="s">
        <v>2556</v>
      </c>
      <c r="B499" s="770" t="s">
        <v>8087</v>
      </c>
      <c r="C499" s="502">
        <v>42778549.331250899</v>
      </c>
      <c r="D499" s="505">
        <v>37080549.4626517</v>
      </c>
      <c r="E499" s="539">
        <v>56.7</v>
      </c>
      <c r="F499" s="31">
        <f t="shared" si="14"/>
        <v>2425543.7470819261</v>
      </c>
      <c r="G499" s="31">
        <f t="shared" si="15"/>
        <v>2102467.1545323515</v>
      </c>
      <c r="H499" s="209">
        <f>F499*cnst_carbon!$C$11/10^6</f>
        <v>0.13605222423772262</v>
      </c>
      <c r="I499" s="209">
        <f>G499*carbon_intensity_n!$C$9</f>
        <v>9.7811373514106945E-2</v>
      </c>
      <c r="J499" s="233">
        <f>H499*cnst_carbon!$C$13*1000000</f>
        <v>45804.856132993453</v>
      </c>
      <c r="K499" s="30">
        <f>I499*cnst_carbon!$C$13*1000000</f>
        <v>32930.26569088563</v>
      </c>
    </row>
    <row r="500" spans="1:11" ht="12.5">
      <c r="A500" s="14" t="s">
        <v>2557</v>
      </c>
      <c r="B500" s="770" t="s">
        <v>8088</v>
      </c>
      <c r="C500" s="502">
        <v>66678290.681229703</v>
      </c>
      <c r="D500" s="505">
        <v>37096590.463360503</v>
      </c>
      <c r="E500" s="539">
        <v>56.7</v>
      </c>
      <c r="F500" s="31">
        <f t="shared" si="14"/>
        <v>3780659.0816257242</v>
      </c>
      <c r="G500" s="31">
        <f t="shared" si="15"/>
        <v>2103376.6792725404</v>
      </c>
      <c r="H500" s="209">
        <f>F500*cnst_carbon!$C$11/10^6</f>
        <v>0.21206258504244246</v>
      </c>
      <c r="I500" s="209">
        <f>G500*carbon_intensity_n!$C$9</f>
        <v>9.7853686595617481E-2</v>
      </c>
      <c r="J500" s="233">
        <f>H500*cnst_carbon!$C$13*1000000</f>
        <v>71395.350230272437</v>
      </c>
      <c r="K500" s="30">
        <f>I500*cnst_carbon!$C$13*1000000</f>
        <v>32944.511283870183</v>
      </c>
    </row>
    <row r="501" spans="1:11" ht="12.5">
      <c r="A501" s="14" t="s">
        <v>1173</v>
      </c>
      <c r="B501" s="770" t="s">
        <v>8089</v>
      </c>
      <c r="C501" s="502">
        <v>1856666.2748531401</v>
      </c>
      <c r="D501" s="505">
        <v>125019.31300306199</v>
      </c>
      <c r="E501" s="539">
        <v>56.7</v>
      </c>
      <c r="F501" s="31">
        <f t="shared" si="14"/>
        <v>105272.97778417305</v>
      </c>
      <c r="G501" s="31">
        <f t="shared" si="15"/>
        <v>7088.5950472736158</v>
      </c>
      <c r="H501" s="209">
        <f>F501*cnst_carbon!$C$11/10^6</f>
        <v>5.9049121653221362E-3</v>
      </c>
      <c r="I501" s="209">
        <f>G501*carbon_intensity_n!$C$9</f>
        <v>3.2977695578476134E-4</v>
      </c>
      <c r="J501" s="233">
        <f>H501*cnst_carbon!$C$13*1000000</f>
        <v>1988.0134538480427</v>
      </c>
      <c r="K501" s="30">
        <f>I501*cnst_carbon!$C$13*1000000</f>
        <v>111.0263804971248</v>
      </c>
    </row>
    <row r="502" spans="1:11" ht="12.5">
      <c r="A502" s="14" t="s">
        <v>3178</v>
      </c>
      <c r="B502" s="770" t="s">
        <v>8090</v>
      </c>
      <c r="C502" s="502">
        <v>107047290.01947699</v>
      </c>
      <c r="D502" s="505">
        <v>27296727.9077834</v>
      </c>
      <c r="E502" s="539">
        <v>56.7</v>
      </c>
      <c r="F502" s="31">
        <f t="shared" si="14"/>
        <v>6069581.3441043459</v>
      </c>
      <c r="G502" s="31">
        <f t="shared" si="15"/>
        <v>1547724.4723713188</v>
      </c>
      <c r="H502" s="209">
        <f>F502*cnst_carbon!$C$11/10^6</f>
        <v>0.34045151444934563</v>
      </c>
      <c r="I502" s="209">
        <f>G502*carbon_intensity_n!$C$9</f>
        <v>7.2003529823374338E-2</v>
      </c>
      <c r="J502" s="233">
        <f>H502*cnst_carbon!$C$13*1000000</f>
        <v>114620.19622967872</v>
      </c>
      <c r="K502" s="30">
        <f>I502*cnst_carbon!$C$13*1000000</f>
        <v>24241.509781307286</v>
      </c>
    </row>
    <row r="503" spans="1:11" ht="12.5">
      <c r="A503" s="14" t="s">
        <v>603</v>
      </c>
      <c r="B503" s="770" t="s">
        <v>8091</v>
      </c>
      <c r="C503" s="502">
        <v>29226068.479618199</v>
      </c>
      <c r="D503" s="505">
        <v>16139847.321688799</v>
      </c>
      <c r="E503" s="539">
        <v>56.7</v>
      </c>
      <c r="F503" s="31">
        <f t="shared" si="14"/>
        <v>1657118.082794352</v>
      </c>
      <c r="G503" s="31">
        <f t="shared" si="15"/>
        <v>915129.34313975496</v>
      </c>
      <c r="H503" s="209">
        <f>F503*cnst_carbon!$C$11/10^6</f>
        <v>9.2950127681662109E-2</v>
      </c>
      <c r="I503" s="209">
        <f>G503*carbon_intensity_n!$C$9</f>
        <v>4.2573819906105259E-2</v>
      </c>
      <c r="J503" s="233">
        <f>H503*cnst_carbon!$C$13*1000000</f>
        <v>31293.624561129578</v>
      </c>
      <c r="K503" s="30">
        <f>I503*cnst_carbon!$C$13*1000000</f>
        <v>14333.376074938376</v>
      </c>
    </row>
    <row r="504" spans="1:11" ht="12.5">
      <c r="A504" s="14" t="s">
        <v>604</v>
      </c>
      <c r="B504" s="770" t="s">
        <v>8092</v>
      </c>
      <c r="C504" s="502">
        <v>1378.2412110182299</v>
      </c>
      <c r="D504" s="505">
        <v>169.035105803428</v>
      </c>
      <c r="E504" s="539">
        <v>300</v>
      </c>
      <c r="F504" s="31">
        <f t="shared" si="14"/>
        <v>413.472363305469</v>
      </c>
      <c r="G504" s="31">
        <f t="shared" si="15"/>
        <v>50.710531741028397</v>
      </c>
      <c r="H504" s="209">
        <f>F504*cnst_carbon!$C$11/10^6</f>
        <v>2.3192257305692179E-5</v>
      </c>
      <c r="I504" s="209">
        <f>G504*carbon_intensity_n!$C$9</f>
        <v>2.3591649222810165E-6</v>
      </c>
      <c r="J504" s="233">
        <f>H504*cnst_carbon!$C$13*1000000</f>
        <v>7.8081634845632495</v>
      </c>
      <c r="K504" s="30">
        <f>I504*cnst_carbon!$C$13*1000000</f>
        <v>0.79426272127879693</v>
      </c>
    </row>
    <row r="505" spans="1:11" ht="12.5">
      <c r="A505" s="14" t="s">
        <v>605</v>
      </c>
      <c r="B505" s="770" t="s">
        <v>8093</v>
      </c>
      <c r="C505" s="502">
        <v>478750.191024156</v>
      </c>
      <c r="D505" s="505">
        <v>45296.135391983102</v>
      </c>
      <c r="E505" s="539">
        <v>300</v>
      </c>
      <c r="F505" s="31">
        <f t="shared" si="14"/>
        <v>143625.05730724681</v>
      </c>
      <c r="G505" s="31">
        <f t="shared" si="15"/>
        <v>13588.840617594931</v>
      </c>
      <c r="H505" s="209">
        <f>F505*cnst_carbon!$C$11/10^6</f>
        <v>8.056135258920686E-3</v>
      </c>
      <c r="I505" s="209">
        <f>G505*carbon_intensity_n!$C$9</f>
        <v>6.3218260623285917E-4</v>
      </c>
      <c r="J505" s="233">
        <f>H505*cnst_carbon!$C$13*1000000</f>
        <v>2712.2681645985481</v>
      </c>
      <c r="K505" s="30">
        <f>I505*cnst_carbon!$C$13*1000000</f>
        <v>212.8376326849361</v>
      </c>
    </row>
    <row r="506" spans="1:11" ht="12.5">
      <c r="A506" s="14" t="s">
        <v>606</v>
      </c>
      <c r="B506" s="770" t="s">
        <v>8094</v>
      </c>
      <c r="C506" s="502">
        <v>46419352.387689799</v>
      </c>
      <c r="D506" s="505">
        <v>12785373.990672201</v>
      </c>
      <c r="E506" s="539">
        <v>300</v>
      </c>
      <c r="F506" s="31">
        <f t="shared" si="14"/>
        <v>13925805.71630694</v>
      </c>
      <c r="G506" s="31">
        <f t="shared" si="15"/>
        <v>3835612.1972016604</v>
      </c>
      <c r="H506" s="209">
        <f>F506*cnst_carbon!$C$11/10^6</f>
        <v>0.78111839635352387</v>
      </c>
      <c r="I506" s="209">
        <f>G506*carbon_intensity_n!$C$9</f>
        <v>0.17844107408146584</v>
      </c>
      <c r="J506" s="233">
        <f>H506*cnst_carbon!$C$13*1000000</f>
        <v>262980.01350783819</v>
      </c>
      <c r="K506" s="30">
        <f>I506*cnst_carbon!$C$13*1000000</f>
        <v>60075.958127938844</v>
      </c>
    </row>
    <row r="507" spans="1:11" ht="12.5">
      <c r="A507" s="14" t="s">
        <v>607</v>
      </c>
      <c r="B507" s="770" t="s">
        <v>8095</v>
      </c>
      <c r="C507" s="502">
        <v>20870606.279418901</v>
      </c>
      <c r="D507" s="505">
        <v>1708601.64362261</v>
      </c>
      <c r="E507" s="539">
        <v>56.7</v>
      </c>
      <c r="F507" s="31">
        <f t="shared" si="14"/>
        <v>1183363.3760430517</v>
      </c>
      <c r="G507" s="31">
        <f t="shared" si="15"/>
        <v>96877.713193401985</v>
      </c>
      <c r="H507" s="209">
        <f>F507*cnst_carbon!$C$11/10^6</f>
        <v>6.6376547355952428E-2</v>
      </c>
      <c r="I507" s="209">
        <f>G507*carbon_intensity_n!$C$9</f>
        <v>4.5069632455019461E-3</v>
      </c>
      <c r="J507" s="233">
        <f>H507*cnst_carbon!$C$13*1000000</f>
        <v>22347.067233034169</v>
      </c>
      <c r="K507" s="30">
        <f>I507*cnst_carbon!$C$13*1000000</f>
        <v>1517.3644107147713</v>
      </c>
    </row>
    <row r="508" spans="1:11" ht="12.5">
      <c r="A508" s="14" t="s">
        <v>623</v>
      </c>
      <c r="B508" s="770" t="s">
        <v>8096</v>
      </c>
      <c r="C508" s="502">
        <v>9304531.8381711692</v>
      </c>
      <c r="D508" s="505">
        <v>2719259.2788364701</v>
      </c>
      <c r="E508" s="539">
        <v>56.7</v>
      </c>
      <c r="F508" s="31">
        <f t="shared" si="14"/>
        <v>527566.95522430527</v>
      </c>
      <c r="G508" s="31">
        <f t="shared" si="15"/>
        <v>154182.00111002784</v>
      </c>
      <c r="H508" s="209">
        <f>F508*cnst_carbon!$C$11/10^6</f>
        <v>2.9591986447962997E-2</v>
      </c>
      <c r="I508" s="209">
        <f>G508*carbon_intensity_n!$C$9</f>
        <v>7.1728841362469573E-3</v>
      </c>
      <c r="J508" s="233">
        <f>H508*cnst_carbon!$C$13*1000000</f>
        <v>9962.7675294015189</v>
      </c>
      <c r="K508" s="30">
        <f>I508*cnst_carbon!$C$13*1000000</f>
        <v>2414.903010665565</v>
      </c>
    </row>
    <row r="509" spans="1:11" ht="12.5">
      <c r="A509" s="14" t="s">
        <v>624</v>
      </c>
      <c r="B509" s="770" t="s">
        <v>8097</v>
      </c>
      <c r="C509" s="502">
        <v>4409609.1642284896</v>
      </c>
      <c r="D509" s="505">
        <v>2064203.1368504299</v>
      </c>
      <c r="E509" s="539">
        <v>56.7</v>
      </c>
      <c r="F509" s="31">
        <f t="shared" si="14"/>
        <v>250024.83961175536</v>
      </c>
      <c r="G509" s="31">
        <f t="shared" si="15"/>
        <v>117040.31785941937</v>
      </c>
      <c r="H509" s="209">
        <f>F509*cnst_carbon!$C$11/10^6</f>
        <v>1.4024251504341233E-2</v>
      </c>
      <c r="I509" s="209">
        <f>G509*carbon_intensity_n!$C$9</f>
        <v>5.4449717426876057E-3</v>
      </c>
      <c r="J509" s="233">
        <f>H509*cnst_carbon!$C$13*1000000</f>
        <v>4721.5606075417445</v>
      </c>
      <c r="K509" s="30">
        <f>I509*cnst_carbon!$C$13*1000000</f>
        <v>1833.1647918246138</v>
      </c>
    </row>
    <row r="510" spans="1:11" ht="12.5">
      <c r="A510" s="14" t="s">
        <v>625</v>
      </c>
      <c r="B510" s="770" t="s">
        <v>8098</v>
      </c>
      <c r="C510" s="502">
        <v>6969823.0965213701</v>
      </c>
      <c r="D510" s="505">
        <v>61385785.875196002</v>
      </c>
      <c r="E510" s="539">
        <v>56.7</v>
      </c>
      <c r="F510" s="31">
        <f t="shared" si="14"/>
        <v>395188.96957276174</v>
      </c>
      <c r="G510" s="31">
        <f t="shared" si="15"/>
        <v>3480574.0591236134</v>
      </c>
      <c r="H510" s="209">
        <f>F510*cnst_carbon!$C$11/10^6</f>
        <v>2.2166715553686482E-2</v>
      </c>
      <c r="I510" s="209">
        <f>G510*carbon_intensity_n!$C$9</f>
        <v>0.16192392285727508</v>
      </c>
      <c r="J510" s="233">
        <f>H510*cnst_carbon!$C$13*1000000</f>
        <v>7462.8931836020502</v>
      </c>
      <c r="K510" s="30">
        <f>I510*cnst_carbon!$C$13*1000000</f>
        <v>54515.110153641741</v>
      </c>
    </row>
    <row r="511" spans="1:11" ht="12.5">
      <c r="A511" s="14" t="s">
        <v>626</v>
      </c>
      <c r="B511" s="770" t="s">
        <v>8099</v>
      </c>
      <c r="C511" s="502">
        <v>190888.03569750799</v>
      </c>
      <c r="D511" s="505">
        <v>169854.15744699101</v>
      </c>
      <c r="E511" s="539">
        <v>56.7</v>
      </c>
      <c r="F511" s="31">
        <f t="shared" si="14"/>
        <v>10823.351624048704</v>
      </c>
      <c r="G511" s="31">
        <f t="shared" si="15"/>
        <v>9630.7307272443904</v>
      </c>
      <c r="H511" s="209">
        <f>F511*cnst_carbon!$C$11/10^6</f>
        <v>6.0709730093730461E-4</v>
      </c>
      <c r="I511" s="209">
        <f>G511*carbon_intensity_n!$C$9</f>
        <v>4.4804267136616189E-4</v>
      </c>
      <c r="J511" s="233">
        <f>H511*cnst_carbon!$C$13*1000000</f>
        <v>204.39213459364865</v>
      </c>
      <c r="K511" s="30">
        <f>I511*cnst_carbon!$C$13*1000000</f>
        <v>150.84303265421309</v>
      </c>
    </row>
    <row r="512" spans="1:11" ht="12.5">
      <c r="A512" s="14" t="s">
        <v>627</v>
      </c>
      <c r="B512" s="770" t="s">
        <v>8100</v>
      </c>
      <c r="C512" s="502">
        <v>2030474.2257624799</v>
      </c>
      <c r="D512" s="505">
        <v>221474.84131284099</v>
      </c>
      <c r="E512" s="539">
        <v>100</v>
      </c>
      <c r="F512" s="31">
        <f t="shared" si="14"/>
        <v>203047.42257624798</v>
      </c>
      <c r="G512" s="31">
        <f t="shared" si="15"/>
        <v>22147.484131284098</v>
      </c>
      <c r="H512" s="209">
        <f>F512*cnst_carbon!$C$11/10^6</f>
        <v>1.1389220870771719E-2</v>
      </c>
      <c r="I512" s="209">
        <f>G512*carbon_intensity_n!$C$9</f>
        <v>1.0303494340412785E-3</v>
      </c>
      <c r="J512" s="233">
        <f>H512*cnst_carbon!$C$13*1000000</f>
        <v>3834.4218653938083</v>
      </c>
      <c r="K512" s="30">
        <f>I512*cnst_carbon!$C$13*1000000</f>
        <v>346.88890870691432</v>
      </c>
    </row>
    <row r="513" spans="1:11" ht="12.5">
      <c r="A513" s="14" t="s">
        <v>628</v>
      </c>
      <c r="B513" s="770" t="s">
        <v>8101</v>
      </c>
      <c r="C513" s="502">
        <v>2760422.8100960101</v>
      </c>
      <c r="D513" s="505">
        <v>1595629.94535863</v>
      </c>
      <c r="E513" s="539">
        <v>56.7</v>
      </c>
      <c r="F513" s="31">
        <f t="shared" si="14"/>
        <v>156515.97333244377</v>
      </c>
      <c r="G513" s="31">
        <f t="shared" si="15"/>
        <v>90472.21790183433</v>
      </c>
      <c r="H513" s="209">
        <f>F513*cnst_carbon!$C$11/10^6</f>
        <v>8.7792052096481148E-3</v>
      </c>
      <c r="I513" s="209">
        <f>G513*carbon_intensity_n!$C$9</f>
        <v>4.2089655853930841E-3</v>
      </c>
      <c r="J513" s="233">
        <f>H513*cnst_carbon!$C$13*1000000</f>
        <v>2955.7049422971627</v>
      </c>
      <c r="K513" s="30">
        <f>I513*cnst_carbon!$C$13*1000000</f>
        <v>1417.0372016174392</v>
      </c>
    </row>
    <row r="514" spans="1:11" ht="12.5">
      <c r="A514" s="14" t="s">
        <v>3645</v>
      </c>
      <c r="B514" s="770" t="s">
        <v>8102</v>
      </c>
      <c r="C514" s="502">
        <v>13685432.805033799</v>
      </c>
      <c r="D514" s="505">
        <v>1096170.2746053101</v>
      </c>
      <c r="E514" s="539">
        <v>56.7</v>
      </c>
      <c r="F514" s="31">
        <f t="shared" si="14"/>
        <v>775964.04004541645</v>
      </c>
      <c r="G514" s="31">
        <f t="shared" si="15"/>
        <v>62152.854570121082</v>
      </c>
      <c r="H514" s="209">
        <f>F514*cnst_carbon!$C$11/10^6</f>
        <v>4.352493485375275E-2</v>
      </c>
      <c r="I514" s="209">
        <f>G514*carbon_intensity_n!$C$9</f>
        <v>2.891486823097734E-3</v>
      </c>
      <c r="J514" s="233">
        <f>H514*cnst_carbon!$C$13*1000000</f>
        <v>14653.589019541259</v>
      </c>
      <c r="K514" s="30">
        <f>I514*cnst_carbon!$C$13*1000000</f>
        <v>973.48013738474253</v>
      </c>
    </row>
    <row r="515" spans="1:11" ht="12.5">
      <c r="A515" s="14" t="s">
        <v>1284</v>
      </c>
      <c r="B515" s="770" t="s">
        <v>8103</v>
      </c>
      <c r="C515" s="502">
        <v>9850302.4606803693</v>
      </c>
      <c r="D515" s="505">
        <v>1115403.6831481601</v>
      </c>
      <c r="E515" s="539">
        <v>100</v>
      </c>
      <c r="F515" s="31">
        <f t="shared" si="14"/>
        <v>985030.24606803688</v>
      </c>
      <c r="G515" s="31">
        <f t="shared" si="15"/>
        <v>111540.36831481602</v>
      </c>
      <c r="H515" s="209">
        <f>F515*cnst_carbon!$C$11/10^6</f>
        <v>5.5251757912103773E-2</v>
      </c>
      <c r="I515" s="209">
        <f>G515*carbon_intensity_n!$C$9</f>
        <v>5.1891020526159924E-3</v>
      </c>
      <c r="J515" s="233">
        <f>H515*cnst_carbon!$C$13*1000000</f>
        <v>18601.671795066417</v>
      </c>
      <c r="K515" s="30">
        <f>I515*cnst_carbon!$C$13*1000000</f>
        <v>1747.0208540228657</v>
      </c>
    </row>
    <row r="516" spans="1:11" ht="12.5">
      <c r="A516" s="14" t="s">
        <v>1285</v>
      </c>
      <c r="B516" s="770" t="s">
        <v>8104</v>
      </c>
      <c r="C516" s="502">
        <v>222805619.35433099</v>
      </c>
      <c r="D516" s="505">
        <v>93373112.148145005</v>
      </c>
      <c r="E516" s="539">
        <v>56.7</v>
      </c>
      <c r="F516" s="31">
        <f t="shared" si="14"/>
        <v>12633078.617390567</v>
      </c>
      <c r="G516" s="31">
        <f t="shared" si="15"/>
        <v>5294255.4587998223</v>
      </c>
      <c r="H516" s="209">
        <f>F516*cnst_carbon!$C$11/10^6</f>
        <v>0.70860748107873506</v>
      </c>
      <c r="I516" s="209">
        <f>G516*carbon_intensity_n!$C$9</f>
        <v>0.24630035101544834</v>
      </c>
      <c r="J516" s="233">
        <f>H516*cnst_carbon!$C$13*1000000</f>
        <v>238567.68169303436</v>
      </c>
      <c r="K516" s="30">
        <f>I516*cnst_carbon!$C$13*1000000</f>
        <v>82922.217604145248</v>
      </c>
    </row>
    <row r="517" spans="1:11" ht="12.5">
      <c r="A517" s="14" t="s">
        <v>1286</v>
      </c>
      <c r="B517" s="770" t="s">
        <v>8105</v>
      </c>
      <c r="C517" s="502">
        <v>22059878.010540701</v>
      </c>
      <c r="D517" s="505">
        <v>29405466.556973301</v>
      </c>
      <c r="E517" s="539">
        <v>100</v>
      </c>
      <c r="F517" s="31">
        <f t="shared" si="14"/>
        <v>2205987.8010540698</v>
      </c>
      <c r="G517" s="31">
        <f t="shared" si="15"/>
        <v>2940546.6556973299</v>
      </c>
      <c r="H517" s="209">
        <f>F517*cnst_carbon!$C$11/10^6</f>
        <v>0.12373701663215216</v>
      </c>
      <c r="I517" s="209">
        <f>G517*carbon_intensity_n!$C$9</f>
        <v>0.13680066613932154</v>
      </c>
      <c r="J517" s="233">
        <f>H517*cnst_carbon!$C$13*1000000</f>
        <v>41658.681266822488</v>
      </c>
      <c r="K517" s="30">
        <f>I517*cnst_carbon!$C$13*1000000</f>
        <v>46056.83491407345</v>
      </c>
    </row>
    <row r="518" spans="1:11" ht="12.5">
      <c r="A518" s="14" t="s">
        <v>1287</v>
      </c>
      <c r="B518" s="770" t="s">
        <v>8106</v>
      </c>
      <c r="C518" s="502">
        <v>127063594.246033</v>
      </c>
      <c r="D518" s="505">
        <v>25715655.855575401</v>
      </c>
      <c r="E518" s="539">
        <v>56.7</v>
      </c>
      <c r="F518" s="31">
        <f t="shared" si="14"/>
        <v>7204505.7937500719</v>
      </c>
      <c r="G518" s="31">
        <f t="shared" si="15"/>
        <v>1458077.6870111253</v>
      </c>
      <c r="H518" s="209">
        <f>F518*cnst_carbon!$C$11/10^6</f>
        <v>0.40411105301748629</v>
      </c>
      <c r="I518" s="209">
        <f>G518*carbon_intensity_n!$C$9</f>
        <v>6.7832965166370121E-2</v>
      </c>
      <c r="J518" s="233">
        <f>H518*cnst_carbon!$C$13*1000000</f>
        <v>136052.52504270486</v>
      </c>
      <c r="K518" s="30">
        <f>I518*cnst_carbon!$C$13*1000000</f>
        <v>22837.401063660476</v>
      </c>
    </row>
    <row r="519" spans="1:11" ht="12.5">
      <c r="A519" s="14" t="s">
        <v>1403</v>
      </c>
      <c r="B519" s="770" t="s">
        <v>8107</v>
      </c>
      <c r="C519" s="502">
        <v>117788335.317782</v>
      </c>
      <c r="D519" s="505">
        <v>40052121.039975204</v>
      </c>
      <c r="E519" s="539">
        <v>100</v>
      </c>
      <c r="F519" s="31">
        <f t="shared" si="14"/>
        <v>11778833.5317782</v>
      </c>
      <c r="G519" s="31">
        <f t="shared" si="15"/>
        <v>4005212.1039975206</v>
      </c>
      <c r="H519" s="209">
        <f>F519*cnst_carbon!$C$11/10^6</f>
        <v>0.66069165021337628</v>
      </c>
      <c r="I519" s="209">
        <f>G519*carbon_intensity_n!$C$9</f>
        <v>0.1863312329340342</v>
      </c>
      <c r="J519" s="233">
        <f>H519*cnst_carbon!$C$13*1000000</f>
        <v>222435.80474962111</v>
      </c>
      <c r="K519" s="30">
        <f>I519*cnst_carbon!$C$13*1000000</f>
        <v>62732.346828184374</v>
      </c>
    </row>
    <row r="520" spans="1:11" ht="12.5">
      <c r="A520" s="14" t="s">
        <v>1404</v>
      </c>
      <c r="B520" s="770" t="s">
        <v>8108</v>
      </c>
      <c r="C520" s="502">
        <v>112192348.197532</v>
      </c>
      <c r="D520" s="505">
        <v>39226060.576813497</v>
      </c>
      <c r="E520" s="539">
        <v>56.7</v>
      </c>
      <c r="F520" s="31">
        <f t="shared" ref="F520:F583" si="16">C520*$E520/1000</f>
        <v>6361306.1428000648</v>
      </c>
      <c r="G520" s="31">
        <f t="shared" ref="G520:G583" si="17">D520*E520/1000</f>
        <v>2224117.6347053256</v>
      </c>
      <c r="H520" s="209">
        <f>F520*cnst_carbon!$C$11/10^6</f>
        <v>0.35681477640889742</v>
      </c>
      <c r="I520" s="209">
        <f>G520*carbon_intensity_n!$C$9</f>
        <v>0.1034708200974786</v>
      </c>
      <c r="J520" s="233">
        <f>H520*cnst_carbon!$C$13*1000000</f>
        <v>120129.23413128724</v>
      </c>
      <c r="K520" s="30">
        <f>I520*cnst_carbon!$C$13*1000000</f>
        <v>34835.637969774281</v>
      </c>
    </row>
    <row r="521" spans="1:11" ht="12.5">
      <c r="A521" s="14" t="s">
        <v>3134</v>
      </c>
      <c r="B521" s="770" t="s">
        <v>8109</v>
      </c>
      <c r="C521" s="502">
        <v>13014921.2147194</v>
      </c>
      <c r="D521" s="505">
        <v>414040.72810747102</v>
      </c>
      <c r="E521" s="539">
        <v>100</v>
      </c>
      <c r="F521" s="31">
        <f t="shared" si="16"/>
        <v>1301492.1214719401</v>
      </c>
      <c r="G521" s="31">
        <f t="shared" si="17"/>
        <v>41404.0728107471</v>
      </c>
      <c r="H521" s="209">
        <f>F521*cnst_carbon!$C$11/10^6</f>
        <v>7.3002557948978058E-2</v>
      </c>
      <c r="I521" s="209">
        <f>G521*carbon_intensity_n!$C$9</f>
        <v>1.926208084614788E-3</v>
      </c>
      <c r="J521" s="233">
        <f>H521*cnst_carbon!$C$13*1000000</f>
        <v>24577.853709695672</v>
      </c>
      <c r="K521" s="30">
        <f>I521*cnst_carbon!$C$13*1000000</f>
        <v>648.49865330997056</v>
      </c>
    </row>
    <row r="522" spans="1:11" ht="12.5">
      <c r="A522" s="14" t="s">
        <v>3135</v>
      </c>
      <c r="B522" s="770" t="s">
        <v>8110</v>
      </c>
      <c r="C522" s="502">
        <v>13154417.7266696</v>
      </c>
      <c r="D522" s="505">
        <v>3825219.9375</v>
      </c>
      <c r="E522" s="539">
        <v>100</v>
      </c>
      <c r="F522" s="31">
        <f t="shared" si="16"/>
        <v>1315441.77266696</v>
      </c>
      <c r="G522" s="31">
        <f t="shared" si="17"/>
        <v>382521.99375000002</v>
      </c>
      <c r="H522" s="209">
        <f>F522*cnst_carbon!$C$11/10^6</f>
        <v>7.3785013872399829E-2</v>
      </c>
      <c r="I522" s="209">
        <f>G522*carbon_intensity_n!$C$9</f>
        <v>1.7795760341551826E-2</v>
      </c>
      <c r="J522" s="233">
        <f>H522*cnst_carbon!$C$13*1000000</f>
        <v>24841.284029953567</v>
      </c>
      <c r="K522" s="30">
        <f>I522*cnst_carbon!$C$13*1000000</f>
        <v>5991.3187512299683</v>
      </c>
    </row>
    <row r="523" spans="1:11" ht="12.5">
      <c r="A523" s="14" t="s">
        <v>3136</v>
      </c>
      <c r="B523" s="770" t="s">
        <v>8111</v>
      </c>
      <c r="C523" s="502">
        <v>125738328.21548501</v>
      </c>
      <c r="D523" s="505">
        <v>3630305.0296060699</v>
      </c>
      <c r="E523" s="539">
        <v>56.7</v>
      </c>
      <c r="F523" s="31">
        <f t="shared" si="16"/>
        <v>7129363.209818</v>
      </c>
      <c r="G523" s="31">
        <f t="shared" si="17"/>
        <v>205838.29517866418</v>
      </c>
      <c r="H523" s="209">
        <f>F523*cnst_carbon!$C$11/10^6</f>
        <v>0.39989619781595576</v>
      </c>
      <c r="I523" s="209">
        <f>G523*carbon_intensity_n!$C$9</f>
        <v>9.5760479919152625E-3</v>
      </c>
      <c r="J523" s="233">
        <f>H523*cnst_carbon!$C$13*1000000</f>
        <v>134633.50497736453</v>
      </c>
      <c r="K523" s="30">
        <f>I523*cnst_carbon!$C$13*1000000</f>
        <v>3223.9789025860155</v>
      </c>
    </row>
    <row r="524" spans="1:11" ht="12.5">
      <c r="A524" s="14" t="s">
        <v>3137</v>
      </c>
      <c r="B524" s="770" t="s">
        <v>8112</v>
      </c>
      <c r="C524" s="502">
        <v>48486007.6434443</v>
      </c>
      <c r="D524" s="505">
        <v>4516939.1571209095</v>
      </c>
      <c r="E524" s="539">
        <v>100</v>
      </c>
      <c r="F524" s="31">
        <f t="shared" si="16"/>
        <v>4848600.7643444296</v>
      </c>
      <c r="G524" s="31">
        <f t="shared" si="17"/>
        <v>451693.91571209097</v>
      </c>
      <c r="H524" s="209">
        <f>F524*cnst_carbon!$C$11/10^6</f>
        <v>0.27196496423673888</v>
      </c>
      <c r="I524" s="209">
        <f>G524*carbon_intensity_n!$C$9</f>
        <v>2.1013789541740515E-2</v>
      </c>
      <c r="J524" s="233">
        <f>H524*cnst_carbon!$C$13*1000000</f>
        <v>91562.751949663085</v>
      </c>
      <c r="K524" s="30">
        <f>I524*cnst_carbon!$C$13*1000000</f>
        <v>7074.7362798464947</v>
      </c>
    </row>
    <row r="525" spans="1:11" ht="12.5">
      <c r="A525" s="14" t="s">
        <v>3138</v>
      </c>
      <c r="B525" s="770" t="s">
        <v>8113</v>
      </c>
      <c r="C525" s="502">
        <v>19633312.0512463</v>
      </c>
      <c r="D525" s="505">
        <v>38278291.567991197</v>
      </c>
      <c r="E525" s="539">
        <v>56.7</v>
      </c>
      <c r="F525" s="31">
        <f t="shared" si="16"/>
        <v>1113208.7933056653</v>
      </c>
      <c r="G525" s="31">
        <f t="shared" si="17"/>
        <v>2170379.1319051008</v>
      </c>
      <c r="H525" s="209">
        <f>F525*cnst_carbon!$C$11/10^6</f>
        <v>6.2441476288537696E-2</v>
      </c>
      <c r="I525" s="209">
        <f>G525*carbon_intensity_n!$C$9</f>
        <v>0.10097078733446936</v>
      </c>
      <c r="J525" s="233">
        <f>H525*cnst_carbon!$C$13*1000000</f>
        <v>21022.242408405826</v>
      </c>
      <c r="K525" s="30">
        <f>I525*cnst_carbon!$C$13*1000000</f>
        <v>33993.949113314877</v>
      </c>
    </row>
    <row r="526" spans="1:11" ht="12.5">
      <c r="A526" s="14" t="s">
        <v>3139</v>
      </c>
      <c r="B526" s="770" t="s">
        <v>8114</v>
      </c>
      <c r="C526" s="502">
        <v>287035695.666605</v>
      </c>
      <c r="D526" s="505">
        <v>35156496.396680303</v>
      </c>
      <c r="E526" s="539">
        <v>56.7</v>
      </c>
      <c r="F526" s="31">
        <f t="shared" si="16"/>
        <v>16274923.944296505</v>
      </c>
      <c r="G526" s="31">
        <f t="shared" si="17"/>
        <v>1993373.3456917731</v>
      </c>
      <c r="H526" s="209">
        <f>F526*cnst_carbon!$C$11/10^6</f>
        <v>0.91288380371830913</v>
      </c>
      <c r="I526" s="209">
        <f>G526*carbon_intensity_n!$C$9</f>
        <v>9.2736090762802398E-2</v>
      </c>
      <c r="J526" s="233">
        <f>H526*cnst_carbon!$C$13*1000000</f>
        <v>307341.62215823046</v>
      </c>
      <c r="K526" s="30">
        <f>I526*cnst_carbon!$C$13*1000000</f>
        <v>31221.56450970118</v>
      </c>
    </row>
    <row r="527" spans="1:11" ht="12.5">
      <c r="A527" s="14" t="s">
        <v>1691</v>
      </c>
      <c r="B527" s="770" t="s">
        <v>8115</v>
      </c>
      <c r="C527" s="502">
        <v>104283894.05144601</v>
      </c>
      <c r="D527" s="505">
        <v>78974772.093221903</v>
      </c>
      <c r="E527" s="539">
        <v>56.7</v>
      </c>
      <c r="F527" s="31">
        <f t="shared" si="16"/>
        <v>5912896.7927169884</v>
      </c>
      <c r="G527" s="31">
        <f t="shared" si="17"/>
        <v>4477869.5776856821</v>
      </c>
      <c r="H527" s="209">
        <f>F527*cnst_carbon!$C$11/10^6</f>
        <v>0.3316628534550487</v>
      </c>
      <c r="I527" s="209">
        <f>G527*carbon_intensity_n!$C$9</f>
        <v>0.20832029307392022</v>
      </c>
      <c r="J527" s="233">
        <f>H527*cnst_carbon!$C$13*1000000</f>
        <v>111661.30779767466</v>
      </c>
      <c r="K527" s="30">
        <f>I527*cnst_carbon!$C$13*1000000</f>
        <v>70135.42856279343</v>
      </c>
    </row>
    <row r="528" spans="1:11" ht="12.5">
      <c r="A528" s="14" t="s">
        <v>499</v>
      </c>
      <c r="B528" s="770" t="s">
        <v>8116</v>
      </c>
      <c r="C528" s="502">
        <v>119031959.195098</v>
      </c>
      <c r="D528" s="505">
        <v>9350689.9696319792</v>
      </c>
      <c r="E528" s="539">
        <v>100</v>
      </c>
      <c r="F528" s="31">
        <f t="shared" si="16"/>
        <v>11903195.9195098</v>
      </c>
      <c r="G528" s="31">
        <f t="shared" si="17"/>
        <v>935068.99696319795</v>
      </c>
      <c r="H528" s="209">
        <f>F528*cnst_carbon!$C$11/10^6</f>
        <v>0.667667314735096</v>
      </c>
      <c r="I528" s="209">
        <f>G528*carbon_intensity_n!$C$9</f>
        <v>4.3501456242141426E-2</v>
      </c>
      <c r="J528" s="233">
        <f>H528*cnst_carbon!$C$13*1000000</f>
        <v>224784.30960971885</v>
      </c>
      <c r="K528" s="30">
        <f>I528*cnst_carbon!$C$13*1000000</f>
        <v>14645.684448828912</v>
      </c>
    </row>
    <row r="529" spans="1:11" ht="12.5">
      <c r="A529" s="14" t="s">
        <v>500</v>
      </c>
      <c r="B529" s="770" t="s">
        <v>8117</v>
      </c>
      <c r="C529" s="502">
        <v>208370236.059468</v>
      </c>
      <c r="D529" s="505">
        <v>40587828.995552398</v>
      </c>
      <c r="E529" s="539">
        <v>100</v>
      </c>
      <c r="F529" s="31">
        <f t="shared" si="16"/>
        <v>20837023.605946802</v>
      </c>
      <c r="G529" s="31">
        <f t="shared" si="17"/>
        <v>4058782.8995552398</v>
      </c>
      <c r="H529" s="209">
        <f>F529*cnst_carbon!$C$11/10^6</f>
        <v>1.1687785105890487</v>
      </c>
      <c r="I529" s="209">
        <f>G529*carbon_intensity_n!$C$9</f>
        <v>0.18882346358907595</v>
      </c>
      <c r="J529" s="233">
        <f>H529*cnst_carbon!$C$13*1000000</f>
        <v>393493.98239402042</v>
      </c>
      <c r="K529" s="30">
        <f>I529*cnst_carbon!$C$13*1000000</f>
        <v>63571.408940134563</v>
      </c>
    </row>
    <row r="530" spans="1:11" ht="12.5">
      <c r="A530" s="14" t="s">
        <v>501</v>
      </c>
      <c r="B530" s="770" t="s">
        <v>8118</v>
      </c>
      <c r="C530" s="502">
        <v>14565188.902763201</v>
      </c>
      <c r="D530" s="505">
        <v>2009623.9821975599</v>
      </c>
      <c r="E530" s="539">
        <v>100</v>
      </c>
      <c r="F530" s="31">
        <f t="shared" si="16"/>
        <v>1456518.89027632</v>
      </c>
      <c r="G530" s="31">
        <f t="shared" si="17"/>
        <v>200962.39821975597</v>
      </c>
      <c r="H530" s="209">
        <f>F530*cnst_carbon!$C$11/10^6</f>
        <v>8.1698231542825919E-2</v>
      </c>
      <c r="I530" s="209">
        <f>G530*carbon_intensity_n!$C$9</f>
        <v>9.3492105939392885E-3</v>
      </c>
      <c r="J530" s="233">
        <f>H530*cnst_carbon!$C$13*1000000</f>
        <v>27505.435968473877</v>
      </c>
      <c r="K530" s="30">
        <f>I530*cnst_carbon!$C$13*1000000</f>
        <v>3147.6092993833713</v>
      </c>
    </row>
    <row r="531" spans="1:11" ht="12.5">
      <c r="A531" s="14" t="s">
        <v>5300</v>
      </c>
      <c r="B531" s="770" t="s">
        <v>8119</v>
      </c>
      <c r="C531" s="502">
        <v>6814086.8452054197</v>
      </c>
      <c r="D531" s="505">
        <v>1218751.7416970599</v>
      </c>
      <c r="E531" s="539">
        <v>100</v>
      </c>
      <c r="F531" s="31">
        <f t="shared" si="16"/>
        <v>681408.68452054204</v>
      </c>
      <c r="G531" s="31">
        <f t="shared" si="17"/>
        <v>121875.17416970599</v>
      </c>
      <c r="H531" s="209">
        <f>F531*cnst_carbon!$C$11/10^6</f>
        <v>3.8221189477803737E-2</v>
      </c>
      <c r="I531" s="209">
        <f>G531*carbon_intensity_n!$C$9</f>
        <v>5.6698998398676398E-3</v>
      </c>
      <c r="J531" s="233">
        <f>H531*cnst_carbon!$C$13*1000000</f>
        <v>12867.971068254465</v>
      </c>
      <c r="K531" s="30">
        <f>I531*cnst_carbon!$C$13*1000000</f>
        <v>1908.8915885699389</v>
      </c>
    </row>
    <row r="532" spans="1:11" ht="12.5">
      <c r="A532" s="14" t="s">
        <v>5301</v>
      </c>
      <c r="B532" s="770" t="s">
        <v>8120</v>
      </c>
      <c r="C532" s="502">
        <v>1165349.3206217701</v>
      </c>
      <c r="D532" s="505">
        <v>717667.58539604</v>
      </c>
      <c r="E532" s="539">
        <v>100</v>
      </c>
      <c r="F532" s="31">
        <f t="shared" si="16"/>
        <v>116534.93206217702</v>
      </c>
      <c r="G532" s="31">
        <f t="shared" si="17"/>
        <v>71766.758539603994</v>
      </c>
      <c r="H532" s="209">
        <f>F532*cnst_carbon!$C$11/10^6</f>
        <v>6.53661131757586E-3</v>
      </c>
      <c r="I532" s="209">
        <f>G532*carbon_intensity_n!$C$9</f>
        <v>3.3387466768655849E-3</v>
      </c>
      <c r="J532" s="233">
        <f>H532*cnst_carbon!$C$13*1000000</f>
        <v>2200.6883215353078</v>
      </c>
      <c r="K532" s="30">
        <f>I532*cnst_carbon!$C$13*1000000</f>
        <v>1124.059617953204</v>
      </c>
    </row>
    <row r="533" spans="1:11" ht="12.5">
      <c r="A533" s="14" t="s">
        <v>3584</v>
      </c>
      <c r="B533" s="770" t="s">
        <v>8121</v>
      </c>
      <c r="C533" s="502">
        <v>89694789.028050095</v>
      </c>
      <c r="D533" s="505">
        <v>2404075.4594045999</v>
      </c>
      <c r="E533" s="539">
        <v>100</v>
      </c>
      <c r="F533" s="31">
        <f t="shared" si="16"/>
        <v>8969478.9028050099</v>
      </c>
      <c r="G533" s="31">
        <f t="shared" si="17"/>
        <v>240407.54594046</v>
      </c>
      <c r="H533" s="209">
        <f>F533*cnst_carbon!$C$11/10^6</f>
        <v>0.50311092366322574</v>
      </c>
      <c r="I533" s="209">
        <f>G533*carbon_intensity_n!$C$9</f>
        <v>1.1184285196037924E-2</v>
      </c>
      <c r="J533" s="233">
        <f>H533*cnst_carbon!$C$13*1000000</f>
        <v>169382.92340642191</v>
      </c>
      <c r="K533" s="30">
        <f>I533*cnst_carbon!$C$13*1000000</f>
        <v>3765.4259401136928</v>
      </c>
    </row>
    <row r="534" spans="1:11" ht="12.5">
      <c r="A534" s="14" t="s">
        <v>2896</v>
      </c>
      <c r="B534" s="770" t="s">
        <v>8122</v>
      </c>
      <c r="C534" s="502">
        <v>291887365.34844202</v>
      </c>
      <c r="D534" s="505">
        <v>16054957.474244701</v>
      </c>
      <c r="E534" s="539">
        <v>100</v>
      </c>
      <c r="F534" s="31">
        <f t="shared" si="16"/>
        <v>29188736.534844201</v>
      </c>
      <c r="G534" s="31">
        <f t="shared" si="17"/>
        <v>1605495.7474244703</v>
      </c>
      <c r="H534" s="209">
        <f>F534*cnst_carbon!$C$11/10^6</f>
        <v>1.6372380556038255</v>
      </c>
      <c r="I534" s="209">
        <f>G534*carbon_intensity_n!$C$9</f>
        <v>7.4691175977764271E-2</v>
      </c>
      <c r="J534" s="233">
        <f>H534*cnst_carbon!$C$13*1000000</f>
        <v>551210.78697956388</v>
      </c>
      <c r="K534" s="30">
        <f>I534*cnst_carbon!$C$13*1000000</f>
        <v>25146.362650328527</v>
      </c>
    </row>
    <row r="535" spans="1:11" ht="12.5">
      <c r="A535" s="14" t="s">
        <v>2897</v>
      </c>
      <c r="B535" s="770" t="s">
        <v>8123</v>
      </c>
      <c r="C535" s="502">
        <v>552398.27927191299</v>
      </c>
      <c r="D535" s="505">
        <v>371665.455265884</v>
      </c>
      <c r="E535" s="539">
        <v>150</v>
      </c>
      <c r="F535" s="31">
        <f t="shared" si="16"/>
        <v>82859.741890786943</v>
      </c>
      <c r="G535" s="31">
        <f t="shared" si="17"/>
        <v>55749.818289882598</v>
      </c>
      <c r="H535" s="209">
        <f>F535*cnst_carbon!$C$11/10^6</f>
        <v>4.647721649039544E-3</v>
      </c>
      <c r="I535" s="209">
        <f>G535*carbon_intensity_n!$C$9</f>
        <v>2.5936035615777278E-3</v>
      </c>
      <c r="J535" s="233">
        <f>H535*cnst_carbon!$C$13*1000000</f>
        <v>1564.7537015527073</v>
      </c>
      <c r="K535" s="30">
        <f>I535*cnst_carbon!$C$13*1000000</f>
        <v>873.19144298964125</v>
      </c>
    </row>
    <row r="536" spans="1:11" ht="12.5">
      <c r="A536" s="14" t="s">
        <v>2898</v>
      </c>
      <c r="B536" s="770" t="s">
        <v>8124</v>
      </c>
      <c r="C536" s="502">
        <v>941552.15931637795</v>
      </c>
      <c r="D536" s="505">
        <v>409636.49230276898</v>
      </c>
      <c r="E536" s="539">
        <v>56.7</v>
      </c>
      <c r="F536" s="31">
        <f t="shared" si="16"/>
        <v>53386.007433238636</v>
      </c>
      <c r="G536" s="31">
        <f t="shared" si="17"/>
        <v>23226.389113567002</v>
      </c>
      <c r="H536" s="209">
        <f>F536*cnst_carbon!$C$11/10^6</f>
        <v>2.9944976515892054E-3</v>
      </c>
      <c r="I536" s="209">
        <f>G536*carbon_intensity_n!$C$9</f>
        <v>1.0805424551216846E-3</v>
      </c>
      <c r="J536" s="233">
        <f>H536*cnst_carbon!$C$13*1000000</f>
        <v>1008.1609094605294</v>
      </c>
      <c r="K536" s="30">
        <f>I536*cnst_carbon!$C$13*1000000</f>
        <v>363.78744985425448</v>
      </c>
    </row>
    <row r="537" spans="1:11" ht="12.5">
      <c r="A537" s="14" t="s">
        <v>2899</v>
      </c>
      <c r="B537" s="770" t="s">
        <v>8125</v>
      </c>
      <c r="C537" s="502">
        <v>189435715.74485001</v>
      </c>
      <c r="D537" s="505">
        <v>2605523.7768282602</v>
      </c>
      <c r="E537" s="539">
        <v>100</v>
      </c>
      <c r="F537" s="31">
        <f t="shared" si="16"/>
        <v>18943571.574485</v>
      </c>
      <c r="G537" s="31">
        <f t="shared" si="17"/>
        <v>260552.37768282602</v>
      </c>
      <c r="H537" s="209">
        <f>F537*cnst_carbon!$C$11/10^6</f>
        <v>1.0625720730932373</v>
      </c>
      <c r="I537" s="209">
        <f>G537*carbon_intensity_n!$C$9</f>
        <v>1.2121466857917285E-2</v>
      </c>
      <c r="J537" s="233">
        <f>H537*cnst_carbon!$C$13*1000000</f>
        <v>357737.34102229809</v>
      </c>
      <c r="K537" s="30">
        <f>I537*cnst_carbon!$C$13*1000000</f>
        <v>4080.9479496462764</v>
      </c>
    </row>
    <row r="538" spans="1:11" ht="12.5">
      <c r="A538" s="14" t="s">
        <v>2900</v>
      </c>
      <c r="B538" s="770" t="s">
        <v>8126</v>
      </c>
      <c r="C538" s="502">
        <v>2906009.9962550201</v>
      </c>
      <c r="D538" s="505">
        <v>1262600.37119704</v>
      </c>
      <c r="E538" s="539">
        <v>100</v>
      </c>
      <c r="F538" s="31">
        <f t="shared" si="16"/>
        <v>290600.99962550198</v>
      </c>
      <c r="G538" s="31">
        <f t="shared" si="17"/>
        <v>126260.03711970399</v>
      </c>
      <c r="H538" s="209">
        <f>F538*cnst_carbon!$C$11/10^6</f>
        <v>1.6300226459456939E-2</v>
      </c>
      <c r="I538" s="209">
        <f>G538*carbon_intensity_n!$C$9</f>
        <v>5.8738932610660887E-3</v>
      </c>
      <c r="J538" s="233">
        <f>H538*cnst_carbon!$C$13*1000000</f>
        <v>5487.8156685337271</v>
      </c>
      <c r="K538" s="30">
        <f>I538*cnst_carbon!$C$13*1000000</f>
        <v>1977.5702842871483</v>
      </c>
    </row>
    <row r="539" spans="1:11" ht="12.5">
      <c r="A539" s="14" t="s">
        <v>1093</v>
      </c>
      <c r="B539" s="770" t="s">
        <v>8127</v>
      </c>
      <c r="C539" s="502">
        <v>11710960.288530599</v>
      </c>
      <c r="D539" s="505">
        <v>415188</v>
      </c>
      <c r="E539" s="539">
        <v>100</v>
      </c>
      <c r="F539" s="31">
        <f t="shared" si="16"/>
        <v>1171096.02885306</v>
      </c>
      <c r="G539" s="31">
        <f t="shared" si="17"/>
        <v>41518.800000000003</v>
      </c>
      <c r="H539" s="209">
        <f>F539*cnst_carbon!$C$11/10^6</f>
        <v>6.5688454274678315E-2</v>
      </c>
      <c r="I539" s="209">
        <f>G539*carbon_intensity_n!$C$9</f>
        <v>1.931545444552159E-3</v>
      </c>
      <c r="J539" s="233">
        <f>H539*cnst_carbon!$C$13*1000000</f>
        <v>22115.406157513655</v>
      </c>
      <c r="K539" s="30">
        <f>I539*cnst_carbon!$C$13*1000000</f>
        <v>650.29558831365057</v>
      </c>
    </row>
    <row r="540" spans="1:11" ht="12.5">
      <c r="A540" s="14" t="s">
        <v>1094</v>
      </c>
      <c r="B540" s="770" t="s">
        <v>8128</v>
      </c>
      <c r="C540" s="502">
        <v>59289079.098934896</v>
      </c>
      <c r="D540" s="505">
        <v>2223813.7742075901</v>
      </c>
      <c r="E540" s="539">
        <v>56.7</v>
      </c>
      <c r="F540" s="31">
        <f t="shared" si="16"/>
        <v>3361690.7849096088</v>
      </c>
      <c r="G540" s="31">
        <f t="shared" si="17"/>
        <v>126090.24099757036</v>
      </c>
      <c r="H540" s="209">
        <f>F540*cnst_carbon!$C$11/10^6</f>
        <v>0.18856205295684558</v>
      </c>
      <c r="I540" s="209">
        <f>G540*carbon_intensity_n!$C$9</f>
        <v>5.8659939738465684E-3</v>
      </c>
      <c r="J540" s="233">
        <f>H540*cnst_carbon!$C$13*1000000</f>
        <v>63483.399527072535</v>
      </c>
      <c r="K540" s="30">
        <f>I540*cnst_carbon!$C$13*1000000</f>
        <v>1974.9108223292822</v>
      </c>
    </row>
    <row r="541" spans="1:11" ht="12.5">
      <c r="A541" s="14" t="s">
        <v>1095</v>
      </c>
      <c r="B541" s="770" t="s">
        <v>8129</v>
      </c>
      <c r="C541" s="502">
        <v>1708385.9983570599</v>
      </c>
      <c r="D541" s="505">
        <v>1907547.3264061301</v>
      </c>
      <c r="E541" s="539">
        <v>100</v>
      </c>
      <c r="F541" s="31">
        <f t="shared" si="16"/>
        <v>170838.599835706</v>
      </c>
      <c r="G541" s="31">
        <f t="shared" si="17"/>
        <v>190754.73264061302</v>
      </c>
      <c r="H541" s="209">
        <f>F541*cnst_carbon!$C$11/10^6</f>
        <v>9.5825818525304765E-3</v>
      </c>
      <c r="I541" s="209">
        <f>G541*carbon_intensity_n!$C$9</f>
        <v>8.8743276505761515E-3</v>
      </c>
      <c r="J541" s="233">
        <f>H541*cnst_carbon!$C$13*1000000</f>
        <v>3226.1786648254774</v>
      </c>
      <c r="K541" s="30">
        <f>I541*cnst_carbon!$C$13*1000000</f>
        <v>2987.7299220146188</v>
      </c>
    </row>
    <row r="542" spans="1:11" ht="12.5">
      <c r="A542" s="14" t="s">
        <v>1096</v>
      </c>
      <c r="B542" s="770" t="s">
        <v>8130</v>
      </c>
      <c r="C542" s="502">
        <v>30441630.940954</v>
      </c>
      <c r="D542" s="505">
        <v>370922.695546298</v>
      </c>
      <c r="E542" s="539">
        <v>56.7</v>
      </c>
      <c r="F542" s="31">
        <f t="shared" si="16"/>
        <v>1726040.4743520918</v>
      </c>
      <c r="G542" s="31">
        <f t="shared" si="17"/>
        <v>21031.3168374751</v>
      </c>
      <c r="H542" s="209">
        <f>F542*cnst_carbon!$C$11/10^6</f>
        <v>9.681608338025334E-2</v>
      </c>
      <c r="I542" s="209">
        <f>G542*carbon_intensity_n!$C$9</f>
        <v>9.7842288867592869E-4</v>
      </c>
      <c r="J542" s="233">
        <f>H542*cnst_carbon!$C$13*1000000</f>
        <v>32595.180236405333</v>
      </c>
      <c r="K542" s="30">
        <f>I542*cnst_carbon!$C$13*1000000</f>
        <v>329.40673997891685</v>
      </c>
    </row>
    <row r="543" spans="1:11" ht="12.5">
      <c r="A543" s="14" t="s">
        <v>1097</v>
      </c>
      <c r="B543" s="770" t="s">
        <v>8131</v>
      </c>
      <c r="C543" s="502">
        <v>5510.6900671842004</v>
      </c>
      <c r="D543" s="505">
        <v>3580.67311248749</v>
      </c>
      <c r="E543" s="539">
        <v>56.7</v>
      </c>
      <c r="F543" s="31">
        <f t="shared" si="16"/>
        <v>312.45612680934414</v>
      </c>
      <c r="G543" s="31">
        <f t="shared" si="17"/>
        <v>203.02416547804069</v>
      </c>
      <c r="H543" s="209">
        <f>F543*cnst_carbon!$C$11/10^6</f>
        <v>1.752611185852973E-5</v>
      </c>
      <c r="I543" s="209">
        <f>G543*carbon_intensity_n!$C$9</f>
        <v>9.4451285192036667E-6</v>
      </c>
      <c r="J543" s="233">
        <f>H543*cnst_carbon!$C$13*1000000</f>
        <v>5.9005358916294819</v>
      </c>
      <c r="K543" s="30">
        <f>I543*cnst_carbon!$C$13*1000000</f>
        <v>3.1799020957115909</v>
      </c>
    </row>
    <row r="544" spans="1:11" ht="12.5">
      <c r="A544" s="14" t="s">
        <v>1098</v>
      </c>
      <c r="B544" s="770" t="s">
        <v>8132</v>
      </c>
      <c r="C544" s="502">
        <v>31383426.285641599</v>
      </c>
      <c r="D544" s="505">
        <v>1112691.16344912</v>
      </c>
      <c r="E544" s="539">
        <v>56.7</v>
      </c>
      <c r="F544" s="31">
        <f t="shared" si="16"/>
        <v>1779440.2703958787</v>
      </c>
      <c r="G544" s="31">
        <f t="shared" si="17"/>
        <v>63089.588967565105</v>
      </c>
      <c r="H544" s="209">
        <f>F544*cnst_carbon!$C$11/10^6</f>
        <v>9.9811354454765355E-2</v>
      </c>
      <c r="I544" s="209">
        <f>G544*carbon_intensity_n!$C$9</f>
        <v>2.9350657574151594E-3</v>
      </c>
      <c r="J544" s="233">
        <f>H544*cnst_carbon!$C$13*1000000</f>
        <v>33603.601535035596</v>
      </c>
      <c r="K544" s="30">
        <f>I544*cnst_carbon!$C$13*1000000</f>
        <v>988.15190646476162</v>
      </c>
    </row>
    <row r="545" spans="1:11" ht="12.5">
      <c r="A545" s="14" t="s">
        <v>1099</v>
      </c>
      <c r="B545" s="770" t="s">
        <v>8133</v>
      </c>
      <c r="C545" s="502"/>
      <c r="D545" s="505"/>
      <c r="E545" s="539">
        <v>56.7</v>
      </c>
      <c r="F545" s="31">
        <f t="shared" si="16"/>
        <v>0</v>
      </c>
      <c r="G545" s="31">
        <f t="shared" si="17"/>
        <v>0</v>
      </c>
      <c r="H545" s="209">
        <f>F545*cnst_carbon!$C$11/10^6</f>
        <v>0</v>
      </c>
      <c r="I545" s="209">
        <f>G545*carbon_intensity_n!$C$9</f>
        <v>0</v>
      </c>
      <c r="J545" s="233">
        <f>H545*cnst_carbon!$C$13*1000000</f>
        <v>0</v>
      </c>
      <c r="K545" s="30">
        <f>I545*cnst_carbon!$C$13*1000000</f>
        <v>0</v>
      </c>
    </row>
    <row r="546" spans="1:11" ht="12.5">
      <c r="A546" s="14" t="s">
        <v>1100</v>
      </c>
      <c r="B546" s="770" t="s">
        <v>8134</v>
      </c>
      <c r="C546" s="502">
        <v>4909.4325253992502</v>
      </c>
      <c r="D546" s="505">
        <v>32</v>
      </c>
      <c r="E546" s="539">
        <v>56.7</v>
      </c>
      <c r="F546" s="31">
        <f t="shared" si="16"/>
        <v>278.36482419013748</v>
      </c>
      <c r="G546" s="31">
        <f t="shared" si="17"/>
        <v>1.8144</v>
      </c>
      <c r="H546" s="209">
        <f>F546*cnst_carbon!$C$11/10^6</f>
        <v>1.561388184656462E-5</v>
      </c>
      <c r="I546" s="209">
        <f>G546*carbon_intensity_n!$C$9</f>
        <v>8.4409859017973474E-8</v>
      </c>
      <c r="J546" s="233">
        <f>H546*cnst_carbon!$C$13*1000000</f>
        <v>5.2567432518398514</v>
      </c>
      <c r="K546" s="30">
        <f>I546*cnst_carbon!$C$13*1000000</f>
        <v>2.8418362655864029E-2</v>
      </c>
    </row>
    <row r="547" spans="1:11" ht="12.5">
      <c r="A547" s="14" t="s">
        <v>1101</v>
      </c>
      <c r="B547" s="770" t="s">
        <v>8135</v>
      </c>
      <c r="C547" s="502">
        <v>3269563.8252187599</v>
      </c>
      <c r="D547" s="505">
        <v>1810.11668535167</v>
      </c>
      <c r="E547" s="539">
        <v>56.7</v>
      </c>
      <c r="F547" s="31">
        <f t="shared" si="16"/>
        <v>185384.2688899037</v>
      </c>
      <c r="G547" s="31">
        <f t="shared" si="17"/>
        <v>102.63361605943969</v>
      </c>
      <c r="H547" s="209">
        <f>F547*cnst_carbon!$C$11/10^6</f>
        <v>1.0398469271683492E-2</v>
      </c>
      <c r="I547" s="209">
        <f>G547*carbon_intensity_n!$C$9</f>
        <v>4.7747404442692472E-6</v>
      </c>
      <c r="J547" s="233">
        <f>H547*cnst_carbon!$C$13*1000000</f>
        <v>3500.8644045435153</v>
      </c>
      <c r="K547" s="30">
        <f>I547*cnst_carbon!$C$13*1000000</f>
        <v>1.6075172629298211</v>
      </c>
    </row>
    <row r="548" spans="1:11" ht="12.5">
      <c r="A548" s="14" t="s">
        <v>1102</v>
      </c>
      <c r="B548" s="770" t="s">
        <v>8136</v>
      </c>
      <c r="C548" s="502">
        <v>999863.88775785395</v>
      </c>
      <c r="D548" s="505">
        <v>3194</v>
      </c>
      <c r="E548" s="539">
        <v>56.7</v>
      </c>
      <c r="F548" s="31">
        <f t="shared" si="16"/>
        <v>56692.282435870322</v>
      </c>
      <c r="G548" s="31">
        <f t="shared" si="17"/>
        <v>181.09980000000002</v>
      </c>
      <c r="H548" s="209">
        <f>F548*cnst_carbon!$C$11/10^6</f>
        <v>3.1799513539150408E-3</v>
      </c>
      <c r="I548" s="209">
        <f>G548*carbon_intensity_n!$C$9</f>
        <v>8.4251590532314787E-6</v>
      </c>
      <c r="J548" s="233">
        <f>H548*cnst_carbon!$C$13*1000000</f>
        <v>1070.5978170668557</v>
      </c>
      <c r="K548" s="30">
        <f>I548*cnst_carbon!$C$13*1000000</f>
        <v>2.8365078225884286</v>
      </c>
    </row>
    <row r="549" spans="1:11" ht="12.5">
      <c r="A549" s="14" t="s">
        <v>1103</v>
      </c>
      <c r="B549" s="770" t="s">
        <v>8137</v>
      </c>
      <c r="C549" s="502">
        <v>4566344.3524055397</v>
      </c>
      <c r="D549" s="505">
        <v>218323</v>
      </c>
      <c r="E549" s="539">
        <v>56.7</v>
      </c>
      <c r="F549" s="31">
        <f t="shared" si="16"/>
        <v>258911.72478139412</v>
      </c>
      <c r="G549" s="31">
        <f t="shared" si="17"/>
        <v>12378.914100000002</v>
      </c>
      <c r="H549" s="209">
        <f>F549*cnst_carbon!$C$11/10^6</f>
        <v>1.452272962716593E-2</v>
      </c>
      <c r="I549" s="209">
        <f>G549*carbon_intensity_n!$C$9</f>
        <v>5.7589417657440709E-4</v>
      </c>
      <c r="J549" s="233">
        <f>H549*cnst_carbon!$C$13*1000000</f>
        <v>4889.3838006527558</v>
      </c>
      <c r="K549" s="30">
        <f>I549*cnst_carbon!$C$13*1000000</f>
        <v>193.88694344113136</v>
      </c>
    </row>
    <row r="550" spans="1:11" ht="12.5">
      <c r="A550" s="14" t="s">
        <v>1104</v>
      </c>
      <c r="B550" s="770" t="s">
        <v>8138</v>
      </c>
      <c r="C550" s="502">
        <v>120080013.51410601</v>
      </c>
      <c r="D550" s="505">
        <v>1250683.5674243299</v>
      </c>
      <c r="E550" s="539">
        <v>56.7</v>
      </c>
      <c r="F550" s="31">
        <f t="shared" si="16"/>
        <v>6808536.7662498113</v>
      </c>
      <c r="G550" s="31">
        <f t="shared" si="17"/>
        <v>70913.758272959516</v>
      </c>
      <c r="H550" s="209">
        <f>F550*cnst_carbon!$C$11/10^6</f>
        <v>0.38190058289693279</v>
      </c>
      <c r="I550" s="209">
        <f>G550*carbon_intensity_n!$C$9</f>
        <v>3.2990632375744944E-3</v>
      </c>
      <c r="J550" s="233">
        <f>H550*cnst_carbon!$C$13*1000000</f>
        <v>128574.90095961376</v>
      </c>
      <c r="K550" s="30">
        <f>I550*cnst_carbon!$C$13*1000000</f>
        <v>1110.6993495873246</v>
      </c>
    </row>
    <row r="551" spans="1:11" ht="12.5">
      <c r="A551" s="14" t="s">
        <v>4744</v>
      </c>
      <c r="B551" s="770" t="s">
        <v>8139</v>
      </c>
      <c r="C551" s="502">
        <v>10622863.889714301</v>
      </c>
      <c r="D551" s="505">
        <v>24348817.8156748</v>
      </c>
      <c r="E551" s="539">
        <v>56.7</v>
      </c>
      <c r="F551" s="31">
        <f t="shared" si="16"/>
        <v>602316.38254680089</v>
      </c>
      <c r="G551" s="31">
        <f t="shared" si="17"/>
        <v>1380577.9701487613</v>
      </c>
      <c r="H551" s="209">
        <f>F551*cnst_carbon!$C$11/10^6</f>
        <v>3.3784788931924145E-2</v>
      </c>
      <c r="I551" s="209">
        <f>G551*carbon_intensity_n!$C$9</f>
        <v>6.4227508721107218E-2</v>
      </c>
      <c r="J551" s="233">
        <f>H551*cnst_carbon!$C$13*1000000</f>
        <v>11374.363081388452</v>
      </c>
      <c r="K551" s="30">
        <f>I551*cnst_carbon!$C$13*1000000</f>
        <v>21623.54796648155</v>
      </c>
    </row>
    <row r="552" spans="1:11" ht="12.5">
      <c r="A552" s="14" t="s">
        <v>4745</v>
      </c>
      <c r="B552" s="770" t="s">
        <v>8140</v>
      </c>
      <c r="C552" s="502">
        <v>1737459498.22416</v>
      </c>
      <c r="D552" s="505">
        <v>828261687.34080303</v>
      </c>
      <c r="E552" s="539">
        <v>56.7</v>
      </c>
      <c r="F552" s="31">
        <f t="shared" si="16"/>
        <v>98513953.54930988</v>
      </c>
      <c r="G552" s="31">
        <f t="shared" si="17"/>
        <v>46962437.672223531</v>
      </c>
      <c r="H552" s="209">
        <f>F552*cnst_carbon!$C$11/10^6</f>
        <v>5.5257888112551905</v>
      </c>
      <c r="I552" s="209">
        <f>G552*carbon_intensity_n!$C$9</f>
        <v>2.1847953830758127</v>
      </c>
      <c r="J552" s="233">
        <f>H552*cnst_carbon!$C$13*1000000</f>
        <v>1860373.5656581114</v>
      </c>
      <c r="K552" s="30">
        <f>I552*cnst_carbon!$C$13*1000000</f>
        <v>735557.53140027518</v>
      </c>
    </row>
    <row r="553" spans="1:11" ht="12.5">
      <c r="A553" s="14" t="s">
        <v>5006</v>
      </c>
      <c r="B553" s="770" t="s">
        <v>8141</v>
      </c>
      <c r="C553" s="502">
        <v>49597935.766533598</v>
      </c>
      <c r="D553" s="505">
        <v>13050838.033343101</v>
      </c>
      <c r="E553" s="539">
        <v>100</v>
      </c>
      <c r="F553" s="31">
        <f t="shared" si="16"/>
        <v>4959793.5766533595</v>
      </c>
      <c r="G553" s="31">
        <f t="shared" si="17"/>
        <v>1305083.80333431</v>
      </c>
      <c r="H553" s="209">
        <f>F553*cnst_carbon!$C$11/10^6</f>
        <v>0.27820192840284697</v>
      </c>
      <c r="I553" s="209">
        <f>G553*carbon_intensity_n!$C$9</f>
        <v>6.0715354853444516E-2</v>
      </c>
      <c r="J553" s="233">
        <f>H553*cnst_carbon!$C$13*1000000</f>
        <v>93662.557725980601</v>
      </c>
      <c r="K553" s="30">
        <f>I553*cnst_carbon!$C$13*1000000</f>
        <v>20441.107153576253</v>
      </c>
    </row>
    <row r="554" spans="1:11" ht="12.5">
      <c r="A554" s="14" t="s">
        <v>3587</v>
      </c>
      <c r="B554" s="770" t="s">
        <v>8142</v>
      </c>
      <c r="C554" s="502">
        <v>1157891995.89568</v>
      </c>
      <c r="D554" s="505">
        <v>87817985.849251404</v>
      </c>
      <c r="E554" s="539">
        <v>100</v>
      </c>
      <c r="F554" s="31">
        <f t="shared" si="16"/>
        <v>115789199.58956799</v>
      </c>
      <c r="G554" s="31">
        <f t="shared" si="17"/>
        <v>8781798.5849251412</v>
      </c>
      <c r="H554" s="209">
        <f>F554*cnst_carbon!$C$11/10^6</f>
        <v>6.4947821146572089</v>
      </c>
      <c r="I554" s="209">
        <f>G554*carbon_intensity_n!$C$9</f>
        <v>0.40854849012222783</v>
      </c>
      <c r="J554" s="233">
        <f>H554*cnst_carbon!$C$13*1000000</f>
        <v>2186605.6365032801</v>
      </c>
      <c r="K554" s="30">
        <f>I554*cnst_carbon!$C$13*1000000</f>
        <v>137546.48200901467</v>
      </c>
    </row>
    <row r="555" spans="1:11" ht="12.5">
      <c r="A555" s="14" t="s">
        <v>3588</v>
      </c>
      <c r="B555" s="770" t="s">
        <v>8143</v>
      </c>
      <c r="C555" s="502">
        <v>78754053.319572002</v>
      </c>
      <c r="D555" s="505">
        <v>17616810.462037299</v>
      </c>
      <c r="E555" s="539">
        <v>100</v>
      </c>
      <c r="F555" s="31">
        <f t="shared" si="16"/>
        <v>7875405.3319571996</v>
      </c>
      <c r="G555" s="31">
        <f t="shared" si="17"/>
        <v>1761681.0462037299</v>
      </c>
      <c r="H555" s="209">
        <f>F555*cnst_carbon!$C$11/10^6</f>
        <v>0.44174276942043833</v>
      </c>
      <c r="I555" s="209">
        <f>G555*carbon_intensity_n!$C$9</f>
        <v>8.1957257906025607E-2</v>
      </c>
      <c r="J555" s="233">
        <f>H555*cnst_carbon!$C$13*1000000</f>
        <v>148722.03754448504</v>
      </c>
      <c r="K555" s="30">
        <f>I555*cnst_carbon!$C$13*1000000</f>
        <v>27592.642666986085</v>
      </c>
    </row>
    <row r="556" spans="1:11" ht="12.5">
      <c r="A556" s="14" t="s">
        <v>903</v>
      </c>
      <c r="B556" s="770" t="s">
        <v>8144</v>
      </c>
      <c r="C556" s="502">
        <v>348774836.853903</v>
      </c>
      <c r="D556" s="505">
        <v>14637269.986512899</v>
      </c>
      <c r="E556" s="539">
        <v>56.7</v>
      </c>
      <c r="F556" s="31">
        <f t="shared" si="16"/>
        <v>19775533.249616303</v>
      </c>
      <c r="G556" s="31">
        <f t="shared" si="17"/>
        <v>829933.20823528152</v>
      </c>
      <c r="H556" s="209">
        <f>F556*cnst_carbon!$C$11/10^6</f>
        <v>1.1092379955357126</v>
      </c>
      <c r="I556" s="209">
        <f>G556*carbon_intensity_n!$C$9</f>
        <v>3.861030924904902E-2</v>
      </c>
      <c r="J556" s="233">
        <f>H556*cnst_carbon!$C$13*1000000</f>
        <v>373448.40988403262</v>
      </c>
      <c r="K556" s="30">
        <f>I556*cnst_carbon!$C$13*1000000</f>
        <v>12998.976461516177</v>
      </c>
    </row>
    <row r="557" spans="1:11" ht="12.5">
      <c r="A557" s="14" t="s">
        <v>904</v>
      </c>
      <c r="B557" s="770" t="s">
        <v>8145</v>
      </c>
      <c r="C557" s="502"/>
      <c r="D557" s="505"/>
      <c r="E557" s="539">
        <v>100</v>
      </c>
      <c r="F557" s="31">
        <f t="shared" si="16"/>
        <v>0</v>
      </c>
      <c r="G557" s="31">
        <f t="shared" si="17"/>
        <v>0</v>
      </c>
      <c r="H557" s="209">
        <f>F557*cnst_carbon!$C$11/10^6</f>
        <v>0</v>
      </c>
      <c r="I557" s="209">
        <f>G557*carbon_intensity_n!$C$9</f>
        <v>0</v>
      </c>
      <c r="J557" s="233">
        <f>H557*cnst_carbon!$C$13*1000000</f>
        <v>0</v>
      </c>
      <c r="K557" s="30">
        <f>I557*cnst_carbon!$C$13*1000000</f>
        <v>0</v>
      </c>
    </row>
    <row r="558" spans="1:11" ht="12.5">
      <c r="A558" s="14" t="s">
        <v>905</v>
      </c>
      <c r="B558" s="770" t="s">
        <v>8146</v>
      </c>
      <c r="C558" s="502">
        <v>1121345.24043018</v>
      </c>
      <c r="D558" s="505">
        <v>47701.909246409603</v>
      </c>
      <c r="E558" s="539">
        <v>56.7</v>
      </c>
      <c r="F558" s="31">
        <f t="shared" si="16"/>
        <v>63580.275132391209</v>
      </c>
      <c r="G558" s="31">
        <f t="shared" si="17"/>
        <v>2704.698254271425</v>
      </c>
      <c r="H558" s="209">
        <f>F558*cnst_carbon!$C$11/10^6</f>
        <v>3.5663087337900793E-3</v>
      </c>
      <c r="I558" s="209">
        <f>G558*carbon_intensity_n!$C$9</f>
        <v>1.2582848232430002E-4</v>
      </c>
      <c r="J558" s="233">
        <f>H558*cnst_carbon!$C$13*1000000</f>
        <v>1200.6731929032301</v>
      </c>
      <c r="K558" s="30">
        <f>I558*cnst_carbon!$C$13*1000000</f>
        <v>42.36281738567444</v>
      </c>
    </row>
    <row r="559" spans="1:11" ht="12.5">
      <c r="A559" s="14" t="s">
        <v>906</v>
      </c>
      <c r="B559" s="770" t="s">
        <v>8147</v>
      </c>
      <c r="C559" s="502">
        <v>1501423744.30509</v>
      </c>
      <c r="D559" s="505">
        <v>354599329.63991201</v>
      </c>
      <c r="E559" s="539">
        <v>56.7</v>
      </c>
      <c r="F559" s="31">
        <f t="shared" si="16"/>
        <v>85130726.302098602</v>
      </c>
      <c r="G559" s="31">
        <f t="shared" si="17"/>
        <v>20105781.99058301</v>
      </c>
      <c r="H559" s="209">
        <f>F559*cnst_carbon!$C$11/10^6</f>
        <v>4.7751044186720684</v>
      </c>
      <c r="I559" s="209">
        <f>G559*carbon_intensity_n!$C$9</f>
        <v>0.9353649819616523</v>
      </c>
      <c r="J559" s="233">
        <f>H559*cnst_carbon!$C$13*1000000</f>
        <v>1607639.8026034702</v>
      </c>
      <c r="K559" s="30">
        <f>I559*cnst_carbon!$C$13*1000000</f>
        <v>314910.38585104042</v>
      </c>
    </row>
    <row r="560" spans="1:11" ht="12.5">
      <c r="A560" s="14" t="s">
        <v>907</v>
      </c>
      <c r="B560" s="770" t="s">
        <v>8148</v>
      </c>
      <c r="C560" s="502">
        <v>8026196.0370329404</v>
      </c>
      <c r="D560" s="505">
        <v>846928.15654739202</v>
      </c>
      <c r="E560" s="539">
        <v>56.7</v>
      </c>
      <c r="F560" s="31">
        <f t="shared" si="16"/>
        <v>455085.31529976771</v>
      </c>
      <c r="G560" s="31">
        <f t="shared" si="17"/>
        <v>48020.826476237133</v>
      </c>
      <c r="H560" s="209">
        <f>F560*cnst_carbon!$C$11/10^6</f>
        <v>2.5526387408574502E-2</v>
      </c>
      <c r="I560" s="209">
        <f>G560*carbon_intensity_n!$C$9</f>
        <v>2.2340339466411729E-3</v>
      </c>
      <c r="J560" s="233">
        <f>H560*cnst_carbon!$C$13*1000000</f>
        <v>8593.9977048947258</v>
      </c>
      <c r="K560" s="30">
        <f>I560*cnst_carbon!$C$13*1000000</f>
        <v>752.13473425706775</v>
      </c>
    </row>
    <row r="561" spans="1:11" ht="12.5">
      <c r="A561" s="14" t="s">
        <v>4911</v>
      </c>
      <c r="B561" s="770" t="s">
        <v>8149</v>
      </c>
      <c r="C561" s="502">
        <v>8617067.5990019999</v>
      </c>
      <c r="D561" s="505">
        <v>5267892.8734512003</v>
      </c>
      <c r="E561" s="539">
        <v>56.7</v>
      </c>
      <c r="F561" s="31">
        <f t="shared" si="16"/>
        <v>488587.7328634134</v>
      </c>
      <c r="G561" s="31">
        <f t="shared" si="17"/>
        <v>298689.52592468308</v>
      </c>
      <c r="H561" s="209">
        <f>F561*cnst_carbon!$C$11/10^6</f>
        <v>2.7405586013983529E-2</v>
      </c>
      <c r="I561" s="209">
        <f>G561*carbon_intensity_n!$C$9</f>
        <v>1.3895690461556346E-2</v>
      </c>
      <c r="J561" s="233">
        <f>H561*cnst_carbon!$C$13*1000000</f>
        <v>9226.6696236990956</v>
      </c>
      <c r="K561" s="30">
        <f>I561*cnst_carbon!$C$13*1000000</f>
        <v>4678.2778159368081</v>
      </c>
    </row>
    <row r="562" spans="1:11" ht="12.5">
      <c r="A562" s="14" t="s">
        <v>5397</v>
      </c>
      <c r="B562" s="770" t="s">
        <v>8150</v>
      </c>
      <c r="C562" s="502">
        <v>503174711.740825</v>
      </c>
      <c r="D562" s="505">
        <v>23961705.1065397</v>
      </c>
      <c r="E562" s="539">
        <v>56.7</v>
      </c>
      <c r="F562" s="31">
        <f t="shared" si="16"/>
        <v>28530006.155704781</v>
      </c>
      <c r="G562" s="31">
        <f t="shared" si="17"/>
        <v>1358628.6795408011</v>
      </c>
      <c r="H562" s="209">
        <f>F562*cnst_carbon!$C$11/10^6</f>
        <v>1.6002889247696788</v>
      </c>
      <c r="I562" s="209">
        <f>G562*carbon_intensity_n!$C$9</f>
        <v>6.3206379683539732E-2</v>
      </c>
      <c r="J562" s="233">
        <f>H562*cnst_carbon!$C$13*1000000</f>
        <v>538771.08133285539</v>
      </c>
      <c r="K562" s="30">
        <f>I562*cnst_carbon!$C$13*1000000</f>
        <v>21279.763299078571</v>
      </c>
    </row>
    <row r="563" spans="1:11" ht="12.5">
      <c r="A563" s="14" t="s">
        <v>5398</v>
      </c>
      <c r="B563" s="770" t="s">
        <v>8151</v>
      </c>
      <c r="C563" s="502">
        <v>733941.38239156804</v>
      </c>
      <c r="D563" s="505">
        <v>558863.52826554002</v>
      </c>
      <c r="E563" s="539">
        <v>100</v>
      </c>
      <c r="F563" s="31">
        <f t="shared" si="16"/>
        <v>73394.138239156804</v>
      </c>
      <c r="G563" s="31">
        <f t="shared" si="17"/>
        <v>55886.352826554001</v>
      </c>
      <c r="H563" s="209">
        <f>F563*cnst_carbon!$C$11/10^6</f>
        <v>4.1167823773375547E-3</v>
      </c>
      <c r="I563" s="209">
        <f>G563*carbon_intensity_n!$C$9</f>
        <v>2.599955447044834E-3</v>
      </c>
      <c r="J563" s="233">
        <f>H563*cnst_carbon!$C$13*1000000</f>
        <v>1386.0017767537965</v>
      </c>
      <c r="K563" s="30">
        <f>I563*cnst_carbon!$C$13*1000000</f>
        <v>875.32993945027749</v>
      </c>
    </row>
    <row r="564" spans="1:11" ht="12.5">
      <c r="A564" s="14" t="s">
        <v>5399</v>
      </c>
      <c r="B564" s="770" t="s">
        <v>8152</v>
      </c>
      <c r="C564" s="502">
        <v>1401207.26443893</v>
      </c>
      <c r="D564" s="505">
        <v>798518.75075655698</v>
      </c>
      <c r="E564" s="539">
        <v>217.6935</v>
      </c>
      <c r="F564" s="31">
        <f t="shared" si="16"/>
        <v>305033.71362113621</v>
      </c>
      <c r="G564" s="31">
        <f t="shared" si="17"/>
        <v>173832.34166782253</v>
      </c>
      <c r="H564" s="209">
        <f>F564*cnst_carbon!$C$11/10^6</f>
        <v>1.7109778067526379E-2</v>
      </c>
      <c r="I564" s="209">
        <f>G564*carbon_intensity_n!$C$9</f>
        <v>8.0870609859706212E-3</v>
      </c>
      <c r="J564" s="233">
        <f>H564*cnst_carbon!$C$13*1000000</f>
        <v>5760.3683235720046</v>
      </c>
      <c r="K564" s="30">
        <f>I564*cnst_carbon!$C$13*1000000</f>
        <v>2722.6799640841296</v>
      </c>
    </row>
    <row r="565" spans="1:11" ht="12.5">
      <c r="A565" s="14" t="s">
        <v>5400</v>
      </c>
      <c r="B565" s="770" t="s">
        <v>8153</v>
      </c>
      <c r="C565" s="502">
        <v>9041682.9918250609</v>
      </c>
      <c r="D565" s="505">
        <v>3679897.55636787</v>
      </c>
      <c r="E565" s="539">
        <v>56.7</v>
      </c>
      <c r="F565" s="31">
        <f t="shared" si="16"/>
        <v>512663.42563648097</v>
      </c>
      <c r="G565" s="31">
        <f t="shared" si="17"/>
        <v>208650.19144605825</v>
      </c>
      <c r="H565" s="209">
        <f>F565*cnst_carbon!$C$11/10^6</f>
        <v>2.8756026118714931E-2</v>
      </c>
      <c r="I565" s="209">
        <f>G565*carbon_intensity_n!$C$9</f>
        <v>9.7068635604249075E-3</v>
      </c>
      <c r="J565" s="233">
        <f>H565*cnst_carbon!$C$13*1000000</f>
        <v>9681.3238203505589</v>
      </c>
      <c r="K565" s="30">
        <f>I565*cnst_carbon!$C$13*1000000</f>
        <v>3268.0207279153124</v>
      </c>
    </row>
    <row r="566" spans="1:11" ht="12.5">
      <c r="A566" s="14" t="s">
        <v>5401</v>
      </c>
      <c r="B566" s="770" t="s">
        <v>8154</v>
      </c>
      <c r="C566" s="502">
        <v>19853.665008276501</v>
      </c>
      <c r="D566" s="505">
        <v>438986.39738297102</v>
      </c>
      <c r="E566" s="539">
        <v>56.7</v>
      </c>
      <c r="F566" s="31">
        <f t="shared" si="16"/>
        <v>1125.7028059692777</v>
      </c>
      <c r="G566" s="31">
        <f t="shared" si="17"/>
        <v>24890.52873161446</v>
      </c>
      <c r="H566" s="209">
        <f>F566*cnst_carbon!$C$11/10^6</f>
        <v>6.3142283361007021E-5</v>
      </c>
      <c r="I566" s="209">
        <f>G566*carbon_intensity_n!$C$9</f>
        <v>1.1579618723095209E-3</v>
      </c>
      <c r="J566" s="233">
        <f>H566*cnst_carbon!$C$13*1000000</f>
        <v>21.258183917714437</v>
      </c>
      <c r="K566" s="30">
        <f>I566*cnst_carbon!$C$13*1000000</f>
        <v>389.85233255689104</v>
      </c>
    </row>
    <row r="567" spans="1:11" ht="12.5">
      <c r="A567" s="14" t="s">
        <v>4360</v>
      </c>
      <c r="B567" s="770" t="s">
        <v>8155</v>
      </c>
      <c r="C567" s="502">
        <v>37552146.801939301</v>
      </c>
      <c r="D567" s="505">
        <v>3365820.84375</v>
      </c>
      <c r="E567" s="539">
        <v>56.7</v>
      </c>
      <c r="F567" s="31">
        <f t="shared" si="16"/>
        <v>2129206.7236699588</v>
      </c>
      <c r="G567" s="31">
        <f t="shared" si="17"/>
        <v>190842.04184062502</v>
      </c>
      <c r="H567" s="209">
        <f>F567*cnst_carbon!$C$11/10^6</f>
        <v>0.11943025598516548</v>
      </c>
      <c r="I567" s="209">
        <f>G567*carbon_intensity_n!$C$9</f>
        <v>8.87838946564669E-3</v>
      </c>
      <c r="J567" s="233">
        <f>H567*cnst_carbon!$C$13*1000000</f>
        <v>40208.719291266883</v>
      </c>
      <c r="K567" s="30">
        <f>I567*cnst_carbon!$C$13*1000000</f>
        <v>2989.0974178860556</v>
      </c>
    </row>
    <row r="568" spans="1:11" ht="12.5">
      <c r="A568" s="14" t="s">
        <v>721</v>
      </c>
      <c r="B568" s="770" t="s">
        <v>8156</v>
      </c>
      <c r="C568" s="502">
        <v>12576.7176798942</v>
      </c>
      <c r="D568" s="505">
        <v>553918.5</v>
      </c>
      <c r="E568" s="539">
        <v>56.7</v>
      </c>
      <c r="F568" s="31">
        <f t="shared" si="16"/>
        <v>713.09989245000122</v>
      </c>
      <c r="G568" s="31">
        <f t="shared" si="17"/>
        <v>31407.178950000001</v>
      </c>
      <c r="H568" s="209">
        <f>F568*cnst_carbon!$C$11/10^6</f>
        <v>3.9998794739621944E-5</v>
      </c>
      <c r="I568" s="209">
        <f>G568*carbon_intensity_n!$C$9</f>
        <v>1.4611307028889794E-3</v>
      </c>
      <c r="J568" s="233">
        <f>H568*cnst_carbon!$C$13*1000000</f>
        <v>13.466439441226932</v>
      </c>
      <c r="K568" s="30">
        <f>I568*cnst_carbon!$C$13*1000000</f>
        <v>491.92052546225688</v>
      </c>
    </row>
    <row r="569" spans="1:11" ht="12.5">
      <c r="A569" s="14" t="s">
        <v>722</v>
      </c>
      <c r="B569" s="770" t="s">
        <v>8157</v>
      </c>
      <c r="C569" s="502">
        <v>335908.57123840897</v>
      </c>
      <c r="D569" s="505">
        <v>431789.38324437197</v>
      </c>
      <c r="E569" s="539">
        <v>100</v>
      </c>
      <c r="F569" s="31">
        <f t="shared" si="16"/>
        <v>33590.857123840899</v>
      </c>
      <c r="G569" s="31">
        <f t="shared" si="17"/>
        <v>43178.9383244372</v>
      </c>
      <c r="H569" s="209">
        <f>F569*cnst_carbon!$C$11/10^6</f>
        <v>1.8841593070618578E-3</v>
      </c>
      <c r="I569" s="209">
        <f>G569*carbon_intensity_n!$C$9</f>
        <v>2.0087787128039662E-3</v>
      </c>
      <c r="J569" s="233">
        <f>H569*cnst_carbon!$C$13*1000000</f>
        <v>634.34204383760448</v>
      </c>
      <c r="K569" s="30">
        <f>I569*cnst_carbon!$C$13*1000000</f>
        <v>676.29780004356394</v>
      </c>
    </row>
    <row r="570" spans="1:11" ht="12.5">
      <c r="A570" s="14" t="s">
        <v>723</v>
      </c>
      <c r="B570" s="770" t="s">
        <v>8158</v>
      </c>
      <c r="C570" s="502">
        <v>25744715.235203099</v>
      </c>
      <c r="D570" s="505">
        <v>8215040.8976925798</v>
      </c>
      <c r="E570" s="539">
        <v>56.7</v>
      </c>
      <c r="F570" s="31">
        <f t="shared" si="16"/>
        <v>1459725.3538360158</v>
      </c>
      <c r="G570" s="31">
        <f t="shared" si="17"/>
        <v>465792.81889916933</v>
      </c>
      <c r="H570" s="209">
        <f>F570*cnst_carbon!$C$11/10^6</f>
        <v>8.1878086678301681E-2</v>
      </c>
      <c r="I570" s="209">
        <f>G570*carbon_intensity_n!$C$9</f>
        <v>2.1669701375034905E-2</v>
      </c>
      <c r="J570" s="233">
        <f>H570*cnst_carbon!$C$13*1000000</f>
        <v>27565.988000249945</v>
      </c>
      <c r="K570" s="30">
        <f>I570*cnst_carbon!$C$13*1000000</f>
        <v>7295.5628582307045</v>
      </c>
    </row>
    <row r="571" spans="1:11" ht="12.5">
      <c r="A571" s="14" t="s">
        <v>4398</v>
      </c>
      <c r="B571" s="770" t="s">
        <v>8159</v>
      </c>
      <c r="C571" s="502">
        <v>93528669.927813604</v>
      </c>
      <c r="D571" s="505">
        <v>1040513.89747787</v>
      </c>
      <c r="E571" s="539">
        <v>29</v>
      </c>
      <c r="F571" s="31">
        <f t="shared" si="16"/>
        <v>2712331.4279065947</v>
      </c>
      <c r="G571" s="31">
        <f t="shared" si="17"/>
        <v>30174.903026858228</v>
      </c>
      <c r="H571" s="209">
        <f>F571*cnst_carbon!$C$11/10^6</f>
        <v>0.15213855618168995</v>
      </c>
      <c r="I571" s="209">
        <f>G571*carbon_intensity_n!$C$9</f>
        <v>1.4038025299703066E-3</v>
      </c>
      <c r="J571" s="233">
        <f>H571*cnst_carbon!$C$13*1000000</f>
        <v>51220.659693202382</v>
      </c>
      <c r="K571" s="30">
        <f>I571*cnst_carbon!$C$13*1000000</f>
        <v>472.61978467966622</v>
      </c>
    </row>
    <row r="572" spans="1:11" ht="12.5">
      <c r="A572" s="14" t="s">
        <v>3304</v>
      </c>
      <c r="B572" s="770" t="s">
        <v>8160</v>
      </c>
      <c r="C572" s="502">
        <v>2839210.46990408</v>
      </c>
      <c r="D572" s="505">
        <v>344435.45344050298</v>
      </c>
      <c r="E572" s="539">
        <v>25.3</v>
      </c>
      <c r="F572" s="31">
        <f t="shared" si="16"/>
        <v>71832.024888573229</v>
      </c>
      <c r="G572" s="31">
        <f t="shared" si="17"/>
        <v>8714.2169720447255</v>
      </c>
      <c r="H572" s="209">
        <f>F572*cnst_carbon!$C$11/10^6</f>
        <v>4.0291612012140479E-3</v>
      </c>
      <c r="I572" s="209">
        <f>G572*carbon_intensity_n!$C$9</f>
        <v>4.0540444558108852E-4</v>
      </c>
      <c r="J572" s="233">
        <f>H572*cnst_carbon!$C$13*1000000</f>
        <v>1356.5022563378111</v>
      </c>
      <c r="K572" s="30">
        <f>I572*cnst_carbon!$C$13*1000000</f>
        <v>136.48797297919552</v>
      </c>
    </row>
    <row r="573" spans="1:11" ht="12.5">
      <c r="A573" s="14" t="s">
        <v>5188</v>
      </c>
      <c r="B573" s="770" t="s">
        <v>8161</v>
      </c>
      <c r="C573" s="502">
        <v>18207887.7151394</v>
      </c>
      <c r="D573" s="505">
        <v>5885214.7776799798</v>
      </c>
      <c r="E573" s="539">
        <v>100</v>
      </c>
      <c r="F573" s="31">
        <f t="shared" si="16"/>
        <v>1820788.7715139401</v>
      </c>
      <c r="G573" s="31">
        <f t="shared" si="17"/>
        <v>588521.477767998</v>
      </c>
      <c r="H573" s="209">
        <f>F573*cnst_carbon!$C$11/10^6</f>
        <v>0.10213065112907853</v>
      </c>
      <c r="I573" s="209">
        <f>G573*carbon_intensity_n!$C$9</f>
        <v>2.7379307191052756E-2</v>
      </c>
      <c r="J573" s="233">
        <f>H573*cnst_carbon!$C$13*1000000</f>
        <v>34384.441768202392</v>
      </c>
      <c r="K573" s="30">
        <f>I573*cnst_carbon!$C$13*1000000</f>
        <v>9217.822302676359</v>
      </c>
    </row>
    <row r="574" spans="1:11" ht="12.5">
      <c r="A574" s="14" t="s">
        <v>5189</v>
      </c>
      <c r="B574" s="770" t="s">
        <v>8162</v>
      </c>
      <c r="C574" s="502">
        <v>422404587.60406798</v>
      </c>
      <c r="D574" s="505">
        <v>432316997.93115801</v>
      </c>
      <c r="E574" s="539">
        <v>23</v>
      </c>
      <c r="F574" s="31">
        <f t="shared" si="16"/>
        <v>9715305.5148935635</v>
      </c>
      <c r="G574" s="31">
        <f t="shared" si="17"/>
        <v>9943290.9524166342</v>
      </c>
      <c r="H574" s="209">
        <f>F574*cnst_carbon!$C$11/10^6</f>
        <v>0.54494540700017191</v>
      </c>
      <c r="I574" s="209">
        <f>G574*carbon_intensity_n!$C$9</f>
        <v>0.46258365711429633</v>
      </c>
      <c r="J574" s="233">
        <f>H574*cnst_carbon!$C$13*1000000</f>
        <v>183467.38620284587</v>
      </c>
      <c r="K574" s="30">
        <f>I574*cnst_carbon!$C$13*1000000</f>
        <v>155738.56276374977</v>
      </c>
    </row>
    <row r="575" spans="1:11" ht="12.5">
      <c r="A575" s="14" t="s">
        <v>2880</v>
      </c>
      <c r="B575" s="770" t="s">
        <v>8163</v>
      </c>
      <c r="C575" s="502">
        <v>6311557.4090116797</v>
      </c>
      <c r="D575" s="505">
        <v>2289177.6989928498</v>
      </c>
      <c r="E575" s="539">
        <v>30</v>
      </c>
      <c r="F575" s="31">
        <f t="shared" si="16"/>
        <v>189346.72227035041</v>
      </c>
      <c r="G575" s="31">
        <f t="shared" si="17"/>
        <v>68675.3309697855</v>
      </c>
      <c r="H575" s="209">
        <f>F575*cnst_carbon!$C$11/10^6</f>
        <v>1.0620728959432528E-2</v>
      </c>
      <c r="I575" s="209">
        <f>G575*carbon_intensity_n!$C$9</f>
        <v>3.1949267003815373E-3</v>
      </c>
      <c r="J575" s="233">
        <f>H575*cnst_carbon!$C$13*1000000</f>
        <v>3575.6928248692293</v>
      </c>
      <c r="K575" s="30">
        <f>I575*cnst_carbon!$C$13*1000000</f>
        <v>1075.6395838904623</v>
      </c>
    </row>
    <row r="576" spans="1:11" ht="12.5">
      <c r="A576" s="14" t="s">
        <v>2881</v>
      </c>
      <c r="B576" s="770" t="s">
        <v>8164</v>
      </c>
      <c r="C576" s="502">
        <v>155875650.18238801</v>
      </c>
      <c r="D576" s="505">
        <v>8664415.0954796709</v>
      </c>
      <c r="E576" s="539">
        <v>143</v>
      </c>
      <c r="F576" s="31">
        <f t="shared" si="16"/>
        <v>22290217.976081487</v>
      </c>
      <c r="G576" s="31">
        <f t="shared" si="17"/>
        <v>1239011.3586535929</v>
      </c>
      <c r="H576" s="209">
        <f>F576*cnst_carbon!$C$11/10^6</f>
        <v>1.2502902650335594</v>
      </c>
      <c r="I576" s="209">
        <f>G576*carbon_intensity_n!$C$9</f>
        <v>5.7641520119939123E-2</v>
      </c>
      <c r="J576" s="233">
        <f>H576*cnst_carbon!$C$13*1000000</f>
        <v>420936.63690700341</v>
      </c>
      <c r="K576" s="30">
        <f>I576*cnst_carbon!$C$13*1000000</f>
        <v>19406.235739061187</v>
      </c>
    </row>
    <row r="577" spans="1:11" ht="12.5">
      <c r="A577" s="14" t="s">
        <v>2882</v>
      </c>
      <c r="B577" s="770" t="s">
        <v>8165</v>
      </c>
      <c r="C577" s="502">
        <v>6214564.2087305002</v>
      </c>
      <c r="D577" s="505">
        <v>733542.26800721604</v>
      </c>
      <c r="E577" s="539">
        <v>143</v>
      </c>
      <c r="F577" s="31">
        <f t="shared" si="16"/>
        <v>888682.68184846151</v>
      </c>
      <c r="G577" s="31">
        <f t="shared" si="17"/>
        <v>104896.54432503189</v>
      </c>
      <c r="H577" s="209">
        <f>F577*cnst_carbon!$C$11/10^6</f>
        <v>4.9847484982485368E-2</v>
      </c>
      <c r="I577" s="209">
        <f>G577*carbon_intensity_n!$C$9</f>
        <v>4.8800168198570035E-3</v>
      </c>
      <c r="J577" s="233">
        <f>H577*cnst_carbon!$C$13*1000000</f>
        <v>16782.209118645376</v>
      </c>
      <c r="K577" s="30">
        <f>I577*cnst_carbon!$C$13*1000000</f>
        <v>1642.9607793075793</v>
      </c>
    </row>
    <row r="578" spans="1:11" ht="12.5">
      <c r="A578" s="14" t="s">
        <v>2883</v>
      </c>
      <c r="B578" s="770" t="s">
        <v>8166</v>
      </c>
      <c r="C578" s="502">
        <v>5038098.3071870003</v>
      </c>
      <c r="D578" s="505">
        <v>78360.793120251896</v>
      </c>
      <c r="E578" s="539">
        <v>35</v>
      </c>
      <c r="F578" s="31">
        <f t="shared" si="16"/>
        <v>176333.44075154501</v>
      </c>
      <c r="G578" s="31">
        <f t="shared" si="17"/>
        <v>2742.6277592088168</v>
      </c>
      <c r="H578" s="209">
        <f>F578*cnst_carbon!$C$11/10^6</f>
        <v>9.8907953528360182E-3</v>
      </c>
      <c r="I578" s="209">
        <f>G578*carbon_intensity_n!$C$9</f>
        <v>1.2759304590696468E-4</v>
      </c>
      <c r="J578" s="233">
        <f>H578*cnst_carbon!$C$13*1000000</f>
        <v>3329.94525239022</v>
      </c>
      <c r="K578" s="30">
        <f>I578*cnst_carbon!$C$13*1000000</f>
        <v>42.956895001783444</v>
      </c>
    </row>
    <row r="579" spans="1:11" ht="12.5">
      <c r="A579" s="14" t="s">
        <v>2884</v>
      </c>
      <c r="B579" s="770" t="s">
        <v>8167</v>
      </c>
      <c r="C579" s="502">
        <v>224456417.84968099</v>
      </c>
      <c r="D579" s="505">
        <v>20863228.017418198</v>
      </c>
      <c r="E579" s="539">
        <v>143</v>
      </c>
      <c r="F579" s="31">
        <f t="shared" si="16"/>
        <v>32097267.752504382</v>
      </c>
      <c r="G579" s="31">
        <f t="shared" si="17"/>
        <v>2983441.6064908025</v>
      </c>
      <c r="H579" s="209">
        <f>F579*cnst_carbon!$C$11/10^6</f>
        <v>1.8003817391195669</v>
      </c>
      <c r="I579" s="209">
        <f>G579*carbon_intensity_n!$C$9</f>
        <v>0.13879623313064646</v>
      </c>
      <c r="J579" s="233">
        <f>H579*cnst_carbon!$C$13*1000000</f>
        <v>606136.55533295765</v>
      </c>
      <c r="K579" s="30">
        <f>I579*cnst_carbon!$C$13*1000000</f>
        <v>46728.684708911605</v>
      </c>
    </row>
    <row r="580" spans="1:11" ht="12.5">
      <c r="A580" s="14" t="s">
        <v>2885</v>
      </c>
      <c r="B580" s="770" t="s">
        <v>8168</v>
      </c>
      <c r="C580" s="502">
        <v>6913295.90570514</v>
      </c>
      <c r="D580" s="505">
        <v>1087791.10407487</v>
      </c>
      <c r="E580" s="539">
        <v>30</v>
      </c>
      <c r="F580" s="31">
        <f t="shared" si="16"/>
        <v>207398.87717115419</v>
      </c>
      <c r="G580" s="31">
        <f t="shared" si="17"/>
        <v>32633.7331222461</v>
      </c>
      <c r="H580" s="209">
        <f>F580*cnst_carbon!$C$11/10^6</f>
        <v>1.1633300194023954E-2</v>
      </c>
      <c r="I580" s="209">
        <f>G580*carbon_intensity_n!$C$9</f>
        <v>1.5181926874332917E-3</v>
      </c>
      <c r="J580" s="233">
        <f>H580*cnst_carbon!$C$13*1000000</f>
        <v>3916.5963270701736</v>
      </c>
      <c r="K580" s="30">
        <f>I580*cnst_carbon!$C$13*1000000</f>
        <v>511.13164830394152</v>
      </c>
    </row>
    <row r="581" spans="1:11" ht="12.5">
      <c r="A581" s="14" t="s">
        <v>3111</v>
      </c>
      <c r="B581" s="770" t="s">
        <v>8169</v>
      </c>
      <c r="C581" s="502">
        <v>31050785.688258398</v>
      </c>
      <c r="D581" s="505">
        <v>211906.24940785699</v>
      </c>
      <c r="E581" s="539">
        <v>91</v>
      </c>
      <c r="F581" s="31">
        <f t="shared" si="16"/>
        <v>2825621.497631514</v>
      </c>
      <c r="G581" s="31">
        <f t="shared" si="17"/>
        <v>19283.468696114986</v>
      </c>
      <c r="H581" s="209">
        <f>F581*cnst_carbon!$C$11/10^6</f>
        <v>0.15849315852133652</v>
      </c>
      <c r="I581" s="209">
        <f>G581*carbon_intensity_n!$C$9</f>
        <v>8.971091677780923E-4</v>
      </c>
      <c r="J581" s="233">
        <f>H581*cnst_carbon!$C$13*1000000</f>
        <v>53360.070846388007</v>
      </c>
      <c r="K581" s="30">
        <f>I581*cnst_carbon!$C$13*1000000</f>
        <v>302.03075764395783</v>
      </c>
    </row>
    <row r="582" spans="1:11" ht="12.5">
      <c r="A582" s="14" t="s">
        <v>2049</v>
      </c>
      <c r="B582" s="770" t="s">
        <v>8170</v>
      </c>
      <c r="C582" s="502">
        <v>57080.059926698799</v>
      </c>
      <c r="D582" s="505">
        <v>9636.0438829787199</v>
      </c>
      <c r="E582" s="539">
        <v>30</v>
      </c>
      <c r="F582" s="31">
        <f t="shared" si="16"/>
        <v>1712.401797800964</v>
      </c>
      <c r="G582" s="31">
        <f t="shared" si="17"/>
        <v>289.0813164893616</v>
      </c>
      <c r="H582" s="209">
        <f>F582*cnst_carbon!$C$11/10^6</f>
        <v>9.6051070470190534E-5</v>
      </c>
      <c r="I582" s="209">
        <f>G582*carbon_intensity_n!$C$9</f>
        <v>1.3448695529980811E-5</v>
      </c>
      <c r="J582" s="233">
        <f>H582*cnst_carbon!$C$13*1000000</f>
        <v>32.337622475173276</v>
      </c>
      <c r="K582" s="30">
        <f>I582*cnst_carbon!$C$13*1000000</f>
        <v>4.5277875270223129</v>
      </c>
    </row>
    <row r="583" spans="1:11" ht="12.5">
      <c r="A583" s="14" t="s">
        <v>1777</v>
      </c>
      <c r="B583" s="770" t="s">
        <v>8171</v>
      </c>
      <c r="C583" s="502">
        <v>62677736.293677799</v>
      </c>
      <c r="D583" s="505">
        <v>1388325.03762607</v>
      </c>
      <c r="E583" s="539">
        <v>35</v>
      </c>
      <c r="F583" s="31">
        <f t="shared" si="16"/>
        <v>2193720.770278723</v>
      </c>
      <c r="G583" s="31">
        <f t="shared" si="17"/>
        <v>48591.37631691245</v>
      </c>
      <c r="H583" s="209">
        <f>F583*cnst_carbon!$C$11/10^6</f>
        <v>0.12304894129902885</v>
      </c>
      <c r="I583" s="209">
        <f>G583*carbon_intensity_n!$C$9</f>
        <v>2.2605771739417301E-3</v>
      </c>
      <c r="J583" s="233">
        <f>H583*cnst_carbon!$C$13*1000000</f>
        <v>41427.026166591975</v>
      </c>
      <c r="K583" s="30">
        <f>I583*cnst_carbon!$C$13*1000000</f>
        <v>761.0710725978729</v>
      </c>
    </row>
    <row r="584" spans="1:11" ht="12.5">
      <c r="A584" s="14" t="s">
        <v>1778</v>
      </c>
      <c r="B584" s="770" t="s">
        <v>8172</v>
      </c>
      <c r="C584" s="502">
        <v>456336.16309588298</v>
      </c>
      <c r="D584" s="505">
        <v>673130.30040370498</v>
      </c>
      <c r="E584" s="539">
        <v>100</v>
      </c>
      <c r="F584" s="31">
        <f t="shared" ref="F584:F631" si="18">C584*$E584/1000</f>
        <v>45633.616309588295</v>
      </c>
      <c r="G584" s="31">
        <f t="shared" ref="G584:G631" si="19">D584*E584/1000</f>
        <v>67313.03004037049</v>
      </c>
      <c r="H584" s="209">
        <f>F584*cnst_carbon!$C$11/10^6</f>
        <v>2.5596549253748013E-3</v>
      </c>
      <c r="I584" s="209">
        <f>G584*carbon_intensity_n!$C$9</f>
        <v>3.1315494795967186E-3</v>
      </c>
      <c r="J584" s="233">
        <f>H584*cnst_carbon!$C$13*1000000</f>
        <v>861.76191726230491</v>
      </c>
      <c r="K584" s="30">
        <f>I584*cnst_carbon!$C$13*1000000</f>
        <v>1054.3023033246905</v>
      </c>
    </row>
    <row r="585" spans="1:11" ht="12.5">
      <c r="A585" s="14" t="s">
        <v>1779</v>
      </c>
      <c r="B585" s="770" t="s">
        <v>8173</v>
      </c>
      <c r="C585" s="502">
        <v>5533441.48080537</v>
      </c>
      <c r="D585" s="505">
        <v>142536.19818000801</v>
      </c>
      <c r="E585" s="539">
        <v>15</v>
      </c>
      <c r="F585" s="31">
        <f t="shared" si="18"/>
        <v>83001.622212080547</v>
      </c>
      <c r="G585" s="31">
        <f t="shared" si="19"/>
        <v>2138.0429727001201</v>
      </c>
      <c r="H585" s="209">
        <f>F585*cnst_carbon!$C$11/10^6</f>
        <v>4.6556799195554971E-3</v>
      </c>
      <c r="I585" s="209">
        <f>G585*carbon_intensity_n!$C$9</f>
        <v>9.9466438436941171E-5</v>
      </c>
      <c r="J585" s="233">
        <f>H585*cnst_carbon!$C$13*1000000</f>
        <v>1567.4330214836607</v>
      </c>
      <c r="K585" s="30">
        <f>I585*cnst_carbon!$C$13*1000000</f>
        <v>33.487478269407859</v>
      </c>
    </row>
    <row r="586" spans="1:11" ht="12.5">
      <c r="A586" s="14" t="s">
        <v>1780</v>
      </c>
      <c r="B586" s="770" t="s">
        <v>8174</v>
      </c>
      <c r="C586" s="502">
        <v>420600.43582199002</v>
      </c>
      <c r="D586" s="505"/>
      <c r="E586" s="539">
        <v>100</v>
      </c>
      <c r="F586" s="31">
        <f t="shared" si="18"/>
        <v>42060.043582199003</v>
      </c>
      <c r="G586" s="31">
        <f t="shared" si="19"/>
        <v>0</v>
      </c>
      <c r="H586" s="209">
        <f>F586*cnst_carbon!$C$11/10^6</f>
        <v>2.3592081106671727E-3</v>
      </c>
      <c r="I586" s="209">
        <f>G586*carbon_intensity_n!$C$9</f>
        <v>0</v>
      </c>
      <c r="J586" s="233">
        <f>H586*cnst_carbon!$C$13*1000000</f>
        <v>794.27726156158599</v>
      </c>
      <c r="K586" s="30">
        <f>I586*cnst_carbon!$C$13*1000000</f>
        <v>0</v>
      </c>
    </row>
    <row r="587" spans="1:11" ht="12.5">
      <c r="A587" s="14" t="s">
        <v>1781</v>
      </c>
      <c r="B587" s="770" t="s">
        <v>8175</v>
      </c>
      <c r="C587" s="502">
        <v>207157.09344142399</v>
      </c>
      <c r="D587" s="505">
        <v>60261.1875</v>
      </c>
      <c r="E587" s="539">
        <v>300</v>
      </c>
      <c r="F587" s="31">
        <f t="shared" si="18"/>
        <v>62147.128032427201</v>
      </c>
      <c r="G587" s="31">
        <f t="shared" si="19"/>
        <v>18078.356250000001</v>
      </c>
      <c r="H587" s="209">
        <f>F587*cnst_carbon!$C$11/10^6</f>
        <v>3.4859214594543672E-3</v>
      </c>
      <c r="I587" s="209">
        <f>G587*carbon_intensity_n!$C$9</f>
        <v>8.4104469926102278E-4</v>
      </c>
      <c r="J587" s="233">
        <f>H587*cnst_carbon!$C$13*1000000</f>
        <v>1173.6091183796336</v>
      </c>
      <c r="K587" s="30">
        <f>I587*cnst_carbon!$C$13*1000000</f>
        <v>283.15546965079704</v>
      </c>
    </row>
    <row r="588" spans="1:11" ht="12.5">
      <c r="A588" s="14" t="s">
        <v>139</v>
      </c>
      <c r="B588" s="770" t="s">
        <v>8176</v>
      </c>
      <c r="C588" s="502">
        <v>20894.919117283</v>
      </c>
      <c r="D588" s="505">
        <v>95091.599745511805</v>
      </c>
      <c r="E588" s="539">
        <v>300</v>
      </c>
      <c r="F588" s="31">
        <f t="shared" si="18"/>
        <v>6268.4757351848993</v>
      </c>
      <c r="G588" s="31">
        <f t="shared" si="19"/>
        <v>28527.479923653544</v>
      </c>
      <c r="H588" s="209">
        <f>F588*cnst_carbon!$C$11/10^6</f>
        <v>3.5160778583281233E-4</v>
      </c>
      <c r="I588" s="209">
        <f>G588*carbon_intensity_n!$C$9</f>
        <v>1.3271608016389243E-3</v>
      </c>
      <c r="J588" s="233">
        <f>H588*cnst_carbon!$C$13*1000000</f>
        <v>118.37619072784614</v>
      </c>
      <c r="K588" s="30">
        <f>I588*cnst_carbon!$C$13*1000000</f>
        <v>446.81672736346263</v>
      </c>
    </row>
    <row r="589" spans="1:11" ht="12.5">
      <c r="A589" s="14" t="s">
        <v>140</v>
      </c>
      <c r="B589" s="770" t="s">
        <v>8177</v>
      </c>
      <c r="C589" s="502">
        <v>439803.53664289898</v>
      </c>
      <c r="D589" s="505">
        <v>243137.48793318099</v>
      </c>
      <c r="E589" s="539">
        <v>300</v>
      </c>
      <c r="F589" s="31">
        <f t="shared" si="18"/>
        <v>131941.06099286969</v>
      </c>
      <c r="G589" s="31">
        <f t="shared" si="19"/>
        <v>72941.246379954289</v>
      </c>
      <c r="H589" s="209">
        <f>F589*cnst_carbon!$C$11/10^6</f>
        <v>7.4007631641197641E-3</v>
      </c>
      <c r="I589" s="209">
        <f>G589*carbon_intensity_n!$C$9</f>
        <v>3.3933864216970952E-3</v>
      </c>
      <c r="J589" s="233">
        <f>H589*cnst_carbon!$C$13*1000000</f>
        <v>2491.6233005830763</v>
      </c>
      <c r="K589" s="30">
        <f>I589*cnst_carbon!$C$13*1000000</f>
        <v>1142.4552426125827</v>
      </c>
    </row>
    <row r="590" spans="1:11" ht="12.5">
      <c r="A590" s="14" t="s">
        <v>141</v>
      </c>
      <c r="B590" s="770" t="s">
        <v>8178</v>
      </c>
      <c r="C590" s="502">
        <v>17506386.161473799</v>
      </c>
      <c r="D590" s="505">
        <v>4091079.375</v>
      </c>
      <c r="E590" s="539">
        <v>300</v>
      </c>
      <c r="F590" s="31">
        <f t="shared" si="18"/>
        <v>5251915.84844214</v>
      </c>
      <c r="G590" s="31">
        <f t="shared" si="19"/>
        <v>1227323.8125</v>
      </c>
      <c r="H590" s="209">
        <f>F590*cnst_carbon!$C$11/10^6</f>
        <v>0.29458748519771177</v>
      </c>
      <c r="I590" s="209">
        <f>G590*carbon_intensity_n!$C$9</f>
        <v>5.7097789893367897E-2</v>
      </c>
      <c r="J590" s="233">
        <f>H590*cnst_carbon!$C$13*1000000</f>
        <v>99179.101654996921</v>
      </c>
      <c r="K590" s="30">
        <f>I590*cnst_carbon!$C$13*1000000</f>
        <v>19223.177469027043</v>
      </c>
    </row>
    <row r="591" spans="1:11" ht="12.5">
      <c r="A591" s="14" t="s">
        <v>142</v>
      </c>
      <c r="B591" s="770" t="s">
        <v>8179</v>
      </c>
      <c r="C591" s="502">
        <v>4820597.4396981904</v>
      </c>
      <c r="D591" s="505">
        <v>165582.55858907799</v>
      </c>
      <c r="E591" s="539">
        <v>300</v>
      </c>
      <c r="F591" s="31">
        <f t="shared" si="18"/>
        <v>1446179.2319094571</v>
      </c>
      <c r="G591" s="31">
        <f t="shared" si="19"/>
        <v>49674.767576723396</v>
      </c>
      <c r="H591" s="209">
        <f>F591*cnst_carbon!$C$11/10^6</f>
        <v>8.1118265289748748E-2</v>
      </c>
      <c r="I591" s="209">
        <f>G591*carbon_intensity_n!$C$9</f>
        <v>2.3109789064714626E-3</v>
      </c>
      <c r="J591" s="233">
        <f>H591*cnst_carbon!$C$13*1000000</f>
        <v>27310.178074433326</v>
      </c>
      <c r="K591" s="30">
        <f>I591*cnst_carbon!$C$13*1000000</f>
        <v>778.03988086479353</v>
      </c>
    </row>
    <row r="592" spans="1:11" ht="12.5">
      <c r="A592" s="14" t="s">
        <v>738</v>
      </c>
      <c r="B592" s="770" t="s">
        <v>8180</v>
      </c>
      <c r="C592" s="502">
        <v>10951411.6783948</v>
      </c>
      <c r="D592" s="505">
        <v>4372017.8474728698</v>
      </c>
      <c r="E592" s="539">
        <v>300</v>
      </c>
      <c r="F592" s="31">
        <f t="shared" si="18"/>
        <v>3285423.5035184403</v>
      </c>
      <c r="G592" s="31">
        <f t="shared" si="19"/>
        <v>1311605.3542418608</v>
      </c>
      <c r="H592" s="209">
        <f>F592*cnst_carbon!$C$11/10^6</f>
        <v>0.18428411186330065</v>
      </c>
      <c r="I592" s="209">
        <f>G592*carbon_intensity_n!$C$9</f>
        <v>6.1018751674809649E-2</v>
      </c>
      <c r="J592" s="233">
        <f>H592*cnst_carbon!$C$13*1000000</f>
        <v>62043.140263152934</v>
      </c>
      <c r="K592" s="30">
        <f>I592*cnst_carbon!$C$13*1000000</f>
        <v>20543.252104397157</v>
      </c>
    </row>
    <row r="593" spans="1:11" ht="12.5">
      <c r="A593" s="14" t="s">
        <v>739</v>
      </c>
      <c r="B593" s="770" t="s">
        <v>8181</v>
      </c>
      <c r="C593" s="502">
        <v>3112317.87565117</v>
      </c>
      <c r="D593" s="505">
        <v>1337429.0752711999</v>
      </c>
      <c r="E593" s="539">
        <v>300</v>
      </c>
      <c r="F593" s="31">
        <f t="shared" si="18"/>
        <v>933695.36269535101</v>
      </c>
      <c r="G593" s="31">
        <f t="shared" si="19"/>
        <v>401228.72258135997</v>
      </c>
      <c r="H593" s="209">
        <f>F593*cnst_carbon!$C$11/10^6</f>
        <v>5.2372310748043986E-2</v>
      </c>
      <c r="I593" s="209">
        <f>G593*carbon_intensity_n!$C$9</f>
        <v>1.866603830856161E-2</v>
      </c>
      <c r="J593" s="233">
        <f>H593*cnst_carbon!$C$13*1000000</f>
        <v>17632.245063300092</v>
      </c>
      <c r="K593" s="30">
        <f>I593*cnst_carbon!$C$13*1000000</f>
        <v>6284.3162181801972</v>
      </c>
    </row>
    <row r="594" spans="1:11" ht="12.5">
      <c r="A594" s="14" t="s">
        <v>740</v>
      </c>
      <c r="B594" s="770" t="s">
        <v>8182</v>
      </c>
      <c r="C594" s="502">
        <v>2089932.0493135799</v>
      </c>
      <c r="D594" s="505">
        <v>150023.55586707001</v>
      </c>
      <c r="E594" s="539">
        <v>300</v>
      </c>
      <c r="F594" s="31">
        <f t="shared" si="18"/>
        <v>626979.61479407398</v>
      </c>
      <c r="G594" s="31">
        <f t="shared" si="19"/>
        <v>45007.066760121001</v>
      </c>
      <c r="H594" s="209">
        <f>F594*cnst_carbon!$C$11/10^6</f>
        <v>3.5168184967625367E-2</v>
      </c>
      <c r="I594" s="209">
        <f>G594*carbon_intensity_n!$C$9</f>
        <v>2.0938272486961717E-3</v>
      </c>
      <c r="J594" s="233">
        <f>H594*cnst_carbon!$C$13*1000000</f>
        <v>11840.112588574228</v>
      </c>
      <c r="K594" s="30">
        <f>I594*cnst_carbon!$C$13*1000000</f>
        <v>704.93118676466156</v>
      </c>
    </row>
    <row r="595" spans="1:11" ht="12.5">
      <c r="A595" s="14" t="s">
        <v>741</v>
      </c>
      <c r="B595" s="770" t="s">
        <v>8183</v>
      </c>
      <c r="C595" s="502">
        <v>4584.3965282388299</v>
      </c>
      <c r="D595" s="505">
        <v>244.975833398042</v>
      </c>
      <c r="E595" s="539">
        <v>100</v>
      </c>
      <c r="F595" s="31">
        <f t="shared" si="18"/>
        <v>458.43965282388297</v>
      </c>
      <c r="G595" s="31">
        <f t="shared" si="19"/>
        <v>24.497583339804201</v>
      </c>
      <c r="H595" s="209">
        <f>F595*cnst_carbon!$C$11/10^6</f>
        <v>2.5714537006597201E-5</v>
      </c>
      <c r="I595" s="209">
        <f>G595*carbon_intensity_n!$C$9</f>
        <v>1.1396811926774297E-6</v>
      </c>
      <c r="J595" s="233">
        <f>H595*cnst_carbon!$C$13*1000000</f>
        <v>8.657342242752863</v>
      </c>
      <c r="K595" s="30">
        <f>I595*cnst_carbon!$C$13*1000000</f>
        <v>0.383697755479943</v>
      </c>
    </row>
    <row r="596" spans="1:11" ht="12.5">
      <c r="A596" s="14" t="s">
        <v>5297</v>
      </c>
      <c r="B596" s="770" t="s">
        <v>8184</v>
      </c>
      <c r="C596" s="502"/>
      <c r="D596" s="505"/>
      <c r="E596" s="539">
        <v>100</v>
      </c>
      <c r="F596" s="31">
        <f t="shared" si="18"/>
        <v>0</v>
      </c>
      <c r="G596" s="31">
        <f t="shared" si="19"/>
        <v>0</v>
      </c>
      <c r="H596" s="209">
        <f>F596*cnst_carbon!$C$11/10^6</f>
        <v>0</v>
      </c>
      <c r="I596" s="209">
        <f>G596*carbon_intensity_n!$C$9</f>
        <v>0</v>
      </c>
      <c r="J596" s="233">
        <f>H596*cnst_carbon!$C$13*1000000</f>
        <v>0</v>
      </c>
      <c r="K596" s="30">
        <f>I596*cnst_carbon!$C$13*1000000</f>
        <v>0</v>
      </c>
    </row>
    <row r="597" spans="1:11" ht="12.5">
      <c r="A597" s="14" t="s">
        <v>226</v>
      </c>
      <c r="B597" s="770" t="s">
        <v>8185</v>
      </c>
      <c r="C597" s="502"/>
      <c r="D597" s="505"/>
      <c r="E597" s="539">
        <v>100</v>
      </c>
      <c r="F597" s="31">
        <f t="shared" si="18"/>
        <v>0</v>
      </c>
      <c r="G597" s="31">
        <f t="shared" si="19"/>
        <v>0</v>
      </c>
      <c r="H597" s="209">
        <f>F597*cnst_carbon!$C$11/10^6</f>
        <v>0</v>
      </c>
      <c r="I597" s="209">
        <f>G597*carbon_intensity_n!$C$9</f>
        <v>0</v>
      </c>
      <c r="J597" s="233">
        <f>H597*cnst_carbon!$C$13*1000000</f>
        <v>0</v>
      </c>
      <c r="K597" s="30">
        <f>I597*cnst_carbon!$C$13*1000000</f>
        <v>0</v>
      </c>
    </row>
    <row r="598" spans="1:11" ht="12.5">
      <c r="A598" s="14" t="s">
        <v>227</v>
      </c>
      <c r="B598" s="770" t="s">
        <v>8186</v>
      </c>
      <c r="C598" s="502">
        <v>915558.02515508595</v>
      </c>
      <c r="D598" s="505">
        <v>6429194.3045958299</v>
      </c>
      <c r="E598" s="539">
        <v>100</v>
      </c>
      <c r="F598" s="31">
        <f t="shared" si="18"/>
        <v>91555.802515508592</v>
      </c>
      <c r="G598" s="31">
        <f t="shared" si="19"/>
        <v>642919.43045958306</v>
      </c>
      <c r="H598" s="209">
        <f>F598*cnst_carbon!$C$11/10^6</f>
        <v>5.1354961497150405E-3</v>
      </c>
      <c r="I598" s="209">
        <f>G598*carbon_intensity_n!$C$9</f>
        <v>2.9910019006288143E-2</v>
      </c>
      <c r="J598" s="233">
        <f>H598*cnst_carbon!$C$13*1000000</f>
        <v>1728.9732940949441</v>
      </c>
      <c r="K598" s="30">
        <f>I598*cnst_carbon!$C$13*1000000</f>
        <v>10069.839910329578</v>
      </c>
    </row>
    <row r="599" spans="1:11" ht="12.5">
      <c r="A599" s="14" t="s">
        <v>4742</v>
      </c>
      <c r="B599" s="770" t="s">
        <v>8187</v>
      </c>
      <c r="C599" s="502">
        <v>3550911.7266772101</v>
      </c>
      <c r="D599" s="505">
        <v>367834.46465259499</v>
      </c>
      <c r="E599" s="539">
        <v>100</v>
      </c>
      <c r="F599" s="31">
        <f t="shared" si="18"/>
        <v>355091.17266772105</v>
      </c>
      <c r="G599" s="31">
        <f t="shared" si="19"/>
        <v>36783.446465259498</v>
      </c>
      <c r="H599" s="209">
        <f>F599*cnst_carbon!$C$11/10^6</f>
        <v>1.9917572670765313E-2</v>
      </c>
      <c r="I599" s="209">
        <f>G599*carbon_intensity_n!$C$9</f>
        <v>1.7112464342635191E-3</v>
      </c>
      <c r="J599" s="233">
        <f>H599*cnst_carbon!$C$13*1000000</f>
        <v>6705.67170668785</v>
      </c>
      <c r="K599" s="30">
        <f>I599*cnst_carbon!$C$13*1000000</f>
        <v>576.12727148495605</v>
      </c>
    </row>
    <row r="600" spans="1:11" ht="12.5">
      <c r="A600" s="14" t="s">
        <v>4743</v>
      </c>
      <c r="B600" s="770" t="s">
        <v>8188</v>
      </c>
      <c r="C600" s="502">
        <v>431171.35353474098</v>
      </c>
      <c r="D600" s="505">
        <v>80013.339462450007</v>
      </c>
      <c r="E600" s="539">
        <v>50</v>
      </c>
      <c r="F600" s="31">
        <f t="shared" si="18"/>
        <v>21558.567676737046</v>
      </c>
      <c r="G600" s="31">
        <f t="shared" si="19"/>
        <v>4000.6669731225002</v>
      </c>
      <c r="H600" s="209">
        <f>F600*cnst_carbon!$C$11/10^6</f>
        <v>1.2092509513910977E-3</v>
      </c>
      <c r="I600" s="209">
        <f>G600*carbon_intensity_n!$C$9</f>
        <v>1.8611978349819937E-4</v>
      </c>
      <c r="J600" s="233">
        <f>H600*cnst_carbon!$C$13*1000000</f>
        <v>407.11988479051314</v>
      </c>
      <c r="K600" s="30">
        <f>I600*cnst_carbon!$C$13*1000000</f>
        <v>62.661157907590962</v>
      </c>
    </row>
    <row r="601" spans="1:11" ht="12.5">
      <c r="A601" s="14" t="s">
        <v>1230</v>
      </c>
      <c r="B601" s="770" t="s">
        <v>8189</v>
      </c>
      <c r="C601" s="502">
        <v>294629.88413036102</v>
      </c>
      <c r="D601" s="505">
        <v>146310.31465783899</v>
      </c>
      <c r="E601" s="539">
        <v>50</v>
      </c>
      <c r="F601" s="31">
        <f t="shared" si="18"/>
        <v>14731.494206518049</v>
      </c>
      <c r="G601" s="31">
        <f t="shared" si="19"/>
        <v>7315.5157328919486</v>
      </c>
      <c r="H601" s="209">
        <f>F601*cnst_carbon!$C$11/10^6</f>
        <v>8.2631061820803708E-4</v>
      </c>
      <c r="I601" s="209">
        <f>G601*carbon_intensity_n!$C$9</f>
        <v>3.4033380272110688E-4</v>
      </c>
      <c r="J601" s="233">
        <f>H601*cnst_carbon!$C$13*1000000</f>
        <v>278.19492992669342</v>
      </c>
      <c r="K601" s="30">
        <f>I601*cnst_carbon!$C$13*1000000</f>
        <v>114.58056608906655</v>
      </c>
    </row>
    <row r="602" spans="1:11" ht="12.5">
      <c r="A602" s="14" t="s">
        <v>1231</v>
      </c>
      <c r="B602" s="770" t="s">
        <v>8190</v>
      </c>
      <c r="C602" s="502">
        <v>726970.57302767294</v>
      </c>
      <c r="D602" s="505">
        <v>241453.71551609199</v>
      </c>
      <c r="E602" s="539">
        <v>50</v>
      </c>
      <c r="F602" s="31">
        <f t="shared" si="18"/>
        <v>36348.528651383647</v>
      </c>
      <c r="G602" s="31">
        <f t="shared" si="19"/>
        <v>12072.685775804599</v>
      </c>
      <c r="H602" s="209">
        <f>F602*cnst_carbon!$C$11/10^6</f>
        <v>2.0388410543981414E-3</v>
      </c>
      <c r="I602" s="209">
        <f>G602*carbon_intensity_n!$C$9</f>
        <v>5.6164776471779101E-4</v>
      </c>
      <c r="J602" s="233">
        <f>H602*cnst_carbon!$C$13*1000000</f>
        <v>686.41892257174902</v>
      </c>
      <c r="K602" s="30">
        <f>I602*cnst_carbon!$C$13*1000000</f>
        <v>189.09058785665027</v>
      </c>
    </row>
    <row r="603" spans="1:11" ht="12.5">
      <c r="A603" s="14" t="s">
        <v>1232</v>
      </c>
      <c r="B603" s="770" t="s">
        <v>8191</v>
      </c>
      <c r="C603" s="502">
        <v>48755653.526374802</v>
      </c>
      <c r="D603" s="505">
        <v>4277293.5062043099</v>
      </c>
      <c r="E603" s="539">
        <v>70.5</v>
      </c>
      <c r="F603" s="31">
        <f t="shared" si="18"/>
        <v>3437273.5736094238</v>
      </c>
      <c r="G603" s="31">
        <f t="shared" si="19"/>
        <v>301549.19218740385</v>
      </c>
      <c r="H603" s="209">
        <f>F603*cnst_carbon!$C$11/10^6</f>
        <v>0.19280159987455053</v>
      </c>
      <c r="I603" s="209">
        <f>G603*carbon_intensity_n!$C$9</f>
        <v>1.4028728394798582E-2</v>
      </c>
      <c r="J603" s="233">
        <f>H603*cnst_carbon!$C$13*1000000</f>
        <v>64910.732580409764</v>
      </c>
      <c r="K603" s="30">
        <f>I603*cnst_carbon!$C$13*1000000</f>
        <v>4723.0678473128764</v>
      </c>
    </row>
    <row r="604" spans="1:11" ht="12.5">
      <c r="A604" s="14" t="s">
        <v>1233</v>
      </c>
      <c r="B604" s="770" t="s">
        <v>8192</v>
      </c>
      <c r="C604" s="502">
        <v>10554032.949421501</v>
      </c>
      <c r="D604" s="505">
        <v>1243484.74810938</v>
      </c>
      <c r="E604" s="539">
        <v>29.2</v>
      </c>
      <c r="F604" s="31">
        <f t="shared" si="18"/>
        <v>308177.76212310779</v>
      </c>
      <c r="G604" s="31">
        <f t="shared" si="19"/>
        <v>36309.754644793895</v>
      </c>
      <c r="H604" s="209">
        <f>F604*cnst_carbon!$C$11/10^6</f>
        <v>1.7286132252982374E-2</v>
      </c>
      <c r="I604" s="209">
        <f>G604*carbon_intensity_n!$C$9</f>
        <v>1.6892092540477625E-3</v>
      </c>
      <c r="J604" s="233">
        <f>H604*cnst_carbon!$C$13*1000000</f>
        <v>5819.7416865473033</v>
      </c>
      <c r="K604" s="30">
        <f>I604*cnst_carbon!$C$13*1000000</f>
        <v>568.70798911000679</v>
      </c>
    </row>
    <row r="605" spans="1:11" ht="12.5">
      <c r="A605" s="14" t="s">
        <v>1234</v>
      </c>
      <c r="B605" s="770" t="s">
        <v>8193</v>
      </c>
      <c r="C605" s="502">
        <v>169828.94826965401</v>
      </c>
      <c r="D605" s="505">
        <v>18945.055692799098</v>
      </c>
      <c r="E605" s="539">
        <v>50</v>
      </c>
      <c r="F605" s="31">
        <f t="shared" si="18"/>
        <v>8491.4474134826996</v>
      </c>
      <c r="G605" s="31">
        <f t="shared" si="19"/>
        <v>947.25278463995494</v>
      </c>
      <c r="H605" s="209">
        <f>F605*cnst_carbon!$C$11/10^6</f>
        <v>4.7629745247507866E-4</v>
      </c>
      <c r="I605" s="209">
        <f>G605*carbon_intensity_n!$C$9</f>
        <v>4.40682727104505E-5</v>
      </c>
      <c r="J605" s="233">
        <f>H605*cnst_carbon!$C$13*1000000</f>
        <v>160.35560175048747</v>
      </c>
      <c r="K605" s="30">
        <f>I605*cnst_carbon!$C$13*1000000</f>
        <v>14.836515189966549</v>
      </c>
    </row>
    <row r="606" spans="1:11" ht="12.5">
      <c r="A606" s="14" t="s">
        <v>1235</v>
      </c>
      <c r="B606" s="770" t="s">
        <v>8194</v>
      </c>
      <c r="C606" s="502">
        <v>4370877.0185350301</v>
      </c>
      <c r="D606" s="505">
        <v>793152.59333391301</v>
      </c>
      <c r="E606" s="539">
        <v>28.2</v>
      </c>
      <c r="F606" s="31">
        <f t="shared" si="18"/>
        <v>123258.73192268785</v>
      </c>
      <c r="G606" s="31">
        <f t="shared" si="19"/>
        <v>22366.903132016345</v>
      </c>
      <c r="H606" s="209">
        <f>F606*cnst_carbon!$C$11/10^6</f>
        <v>6.9137588860137961E-3</v>
      </c>
      <c r="I606" s="209">
        <f>G606*carbon_intensity_n!$C$9</f>
        <v>1.0405572861784441E-3</v>
      </c>
      <c r="J606" s="233">
        <f>H606*cnst_carbon!$C$13*1000000</f>
        <v>2327.6630197440131</v>
      </c>
      <c r="K606" s="30">
        <f>I606*cnst_carbon!$C$13*1000000</f>
        <v>350.32559782529847</v>
      </c>
    </row>
    <row r="607" spans="1:11" ht="12.5">
      <c r="A607" s="14" t="s">
        <v>1236</v>
      </c>
      <c r="B607" s="770" t="s">
        <v>8195</v>
      </c>
      <c r="C607" s="502"/>
      <c r="D607" s="505"/>
      <c r="E607" s="539">
        <v>28.2</v>
      </c>
      <c r="F607" s="31">
        <f t="shared" si="18"/>
        <v>0</v>
      </c>
      <c r="G607" s="31">
        <f t="shared" si="19"/>
        <v>0</v>
      </c>
      <c r="H607" s="209">
        <f>F607*cnst_carbon!$C$11/10^6</f>
        <v>0</v>
      </c>
      <c r="I607" s="209">
        <f>G607*carbon_intensity_n!$C$9</f>
        <v>0</v>
      </c>
      <c r="J607" s="233">
        <f>H607*cnst_carbon!$C$13*1000000</f>
        <v>0</v>
      </c>
      <c r="K607" s="30">
        <f>I607*cnst_carbon!$C$13*1000000</f>
        <v>0</v>
      </c>
    </row>
    <row r="608" spans="1:11" ht="12.5">
      <c r="A608" s="14" t="s">
        <v>5226</v>
      </c>
      <c r="B608" s="770" t="s">
        <v>8196</v>
      </c>
      <c r="C608" s="502">
        <v>424079315.14660299</v>
      </c>
      <c r="D608" s="505">
        <v>61946220.334432498</v>
      </c>
      <c r="E608" s="539">
        <v>80.5</v>
      </c>
      <c r="F608" s="31">
        <f t="shared" si="18"/>
        <v>34138384.869301543</v>
      </c>
      <c r="G608" s="31">
        <f t="shared" si="19"/>
        <v>4986670.7369218161</v>
      </c>
      <c r="H608" s="209">
        <f>F608*cnst_carbon!$C$11/10^6</f>
        <v>1.9148709228351892</v>
      </c>
      <c r="I608" s="209">
        <f>G608*carbon_intensity_n!$C$9</f>
        <v>0.23199083657000905</v>
      </c>
      <c r="J608" s="233">
        <f>H608*cnst_carbon!$C$13*1000000</f>
        <v>644681.75823765167</v>
      </c>
      <c r="K608" s="30">
        <f>I608*cnst_carbon!$C$13*1000000</f>
        <v>78104.617199751388</v>
      </c>
    </row>
    <row r="609" spans="1:11" ht="12.5">
      <c r="A609" s="14" t="s">
        <v>830</v>
      </c>
      <c r="B609" s="770" t="s">
        <v>8197</v>
      </c>
      <c r="C609" s="502">
        <v>2485883.4535086001</v>
      </c>
      <c r="D609" s="505">
        <v>72446.252901710002</v>
      </c>
      <c r="E609" s="539">
        <v>100</v>
      </c>
      <c r="F609" s="31">
        <f t="shared" si="18"/>
        <v>248588.34535086001</v>
      </c>
      <c r="G609" s="31">
        <f t="shared" si="19"/>
        <v>7244.6252901710004</v>
      </c>
      <c r="H609" s="209">
        <f>F609*cnst_carbon!$C$11/10^6</f>
        <v>1.3943676482952869E-2</v>
      </c>
      <c r="I609" s="209">
        <f>G609*carbon_intensity_n!$C$9</f>
        <v>3.3703582417404066E-4</v>
      </c>
      <c r="J609" s="233">
        <f>H609*cnst_carbon!$C$13*1000000</f>
        <v>4694.4333240056949</v>
      </c>
      <c r="K609" s="30">
        <f>I609*cnst_carbon!$C$13*1000000</f>
        <v>113.47023192345883</v>
      </c>
    </row>
    <row r="610" spans="1:11" ht="12.5">
      <c r="A610" s="14" t="s">
        <v>831</v>
      </c>
      <c r="B610" s="770" t="s">
        <v>8198</v>
      </c>
      <c r="C610" s="502">
        <v>153176486.22026899</v>
      </c>
      <c r="D610" s="505">
        <v>5984227.8181245402</v>
      </c>
      <c r="E610" s="539">
        <v>50</v>
      </c>
      <c r="F610" s="31">
        <f t="shared" si="18"/>
        <v>7658824.3110134499</v>
      </c>
      <c r="G610" s="31">
        <f t="shared" si="19"/>
        <v>299211.390906227</v>
      </c>
      <c r="H610" s="209">
        <f>F610*cnst_carbon!$C$11/10^6</f>
        <v>0.42959442962548566</v>
      </c>
      <c r="I610" s="209">
        <f>G610*carbon_intensity_n!$C$9</f>
        <v>1.3919968762657832E-2</v>
      </c>
      <c r="J610" s="233">
        <f>H610*cnst_carbon!$C$13*1000000</f>
        <v>144632.0422527488</v>
      </c>
      <c r="K610" s="30">
        <f>I610*cnst_carbon!$C$13*1000000</f>
        <v>4686.4516190138092</v>
      </c>
    </row>
    <row r="611" spans="1:11" ht="12.5">
      <c r="A611" s="14" t="s">
        <v>832</v>
      </c>
      <c r="B611" s="770" t="s">
        <v>8199</v>
      </c>
      <c r="C611" s="502">
        <v>1241757.51821987</v>
      </c>
      <c r="D611" s="505">
        <v>99637.593395371296</v>
      </c>
      <c r="E611" s="539">
        <v>100</v>
      </c>
      <c r="F611" s="31">
        <f t="shared" si="18"/>
        <v>124175.751821987</v>
      </c>
      <c r="G611" s="31">
        <f t="shared" si="19"/>
        <v>9963.7593395371296</v>
      </c>
      <c r="H611" s="209">
        <f>F611*cnst_carbon!$C$11/10^6</f>
        <v>6.9651958461263474E-3</v>
      </c>
      <c r="I611" s="209">
        <f>G611*carbon_intensity_n!$C$9</f>
        <v>4.6353589128050356E-4</v>
      </c>
      <c r="J611" s="233">
        <f>H611*cnst_carbon!$C$13*1000000</f>
        <v>2344.9803592515041</v>
      </c>
      <c r="K611" s="30">
        <f>I611*cnst_carbon!$C$13*1000000</f>
        <v>156.05915251693034</v>
      </c>
    </row>
    <row r="612" spans="1:11" ht="12.5">
      <c r="A612" s="14" t="s">
        <v>833</v>
      </c>
      <c r="B612" s="770" t="s">
        <v>8200</v>
      </c>
      <c r="C612" s="502">
        <v>64308704.763426803</v>
      </c>
      <c r="D612" s="505">
        <v>14255259.601862401</v>
      </c>
      <c r="E612" s="539">
        <v>50</v>
      </c>
      <c r="F612" s="31">
        <f t="shared" si="18"/>
        <v>3215435.23817134</v>
      </c>
      <c r="G612" s="31">
        <f t="shared" si="19"/>
        <v>712762.98009312013</v>
      </c>
      <c r="H612" s="209">
        <f>F612*cnst_carbon!$C$11/10^6</f>
        <v>0.18035836977661657</v>
      </c>
      <c r="I612" s="209">
        <f>G612*carbon_intensity_n!$C$9</f>
        <v>3.3159293795685024E-2</v>
      </c>
      <c r="J612" s="233">
        <f>H612*cnst_carbon!$C$13*1000000</f>
        <v>60721.45623701303</v>
      </c>
      <c r="K612" s="30">
        <f>I612*cnst_carbon!$C$13*1000000</f>
        <v>11163.776926786091</v>
      </c>
    </row>
    <row r="613" spans="1:11" ht="12.5">
      <c r="A613" s="14" t="s">
        <v>834</v>
      </c>
      <c r="B613" s="770" t="s">
        <v>8201</v>
      </c>
      <c r="C613" s="502">
        <v>2977394.18319677</v>
      </c>
      <c r="D613" s="505">
        <v>5293501.6747808298</v>
      </c>
      <c r="E613" s="539">
        <v>56.7</v>
      </c>
      <c r="F613" s="31">
        <f t="shared" si="18"/>
        <v>168818.25018725687</v>
      </c>
      <c r="G613" s="31">
        <f t="shared" si="19"/>
        <v>300141.54496007308</v>
      </c>
      <c r="H613" s="209">
        <f>F613*cnst_carbon!$C$11/10^6</f>
        <v>9.4692575458713638E-3</v>
      </c>
      <c r="I613" s="209">
        <f>G613*carbon_intensity_n!$C$9</f>
        <v>1.3963241564989261E-2</v>
      </c>
      <c r="J613" s="233">
        <f>H613*cnst_carbon!$C$13*1000000</f>
        <v>3188.0256423962223</v>
      </c>
      <c r="K613" s="30">
        <f>I613*cnst_carbon!$C$13*1000000</f>
        <v>4701.0203222920391</v>
      </c>
    </row>
    <row r="614" spans="1:11" ht="12.5">
      <c r="A614" s="14" t="s">
        <v>4798</v>
      </c>
      <c r="B614" s="770" t="s">
        <v>8202</v>
      </c>
      <c r="C614" s="502">
        <v>2645137.7252045101</v>
      </c>
      <c r="D614" s="505">
        <v>156445.53758989001</v>
      </c>
      <c r="E614" s="539">
        <v>25</v>
      </c>
      <c r="F614" s="31">
        <f t="shared" si="18"/>
        <v>66128.443130112748</v>
      </c>
      <c r="G614" s="31">
        <f t="shared" si="19"/>
        <v>3911.1384397472502</v>
      </c>
      <c r="H614" s="209">
        <f>F614*cnst_carbon!$C$11/10^6</f>
        <v>3.7092391279495251E-3</v>
      </c>
      <c r="I614" s="209">
        <f>G614*carbon_intensity_n!$C$9</f>
        <v>1.8195472018234246E-4</v>
      </c>
      <c r="J614" s="233">
        <f>H614*cnst_carbon!$C$13*1000000</f>
        <v>1248.7937302791286</v>
      </c>
      <c r="K614" s="30">
        <f>I614*cnst_carbon!$C$13*1000000</f>
        <v>61.258901332687159</v>
      </c>
    </row>
    <row r="615" spans="1:11" ht="12.5">
      <c r="A615" s="14" t="s">
        <v>4799</v>
      </c>
      <c r="B615" s="770" t="s">
        <v>8203</v>
      </c>
      <c r="C615" s="502">
        <v>6165906.0532484902</v>
      </c>
      <c r="D615" s="505">
        <v>406521.50683431397</v>
      </c>
      <c r="E615" s="539">
        <v>50</v>
      </c>
      <c r="F615" s="31">
        <f t="shared" si="18"/>
        <v>308295.30266242451</v>
      </c>
      <c r="G615" s="31">
        <f t="shared" si="19"/>
        <v>20326.075341715696</v>
      </c>
      <c r="H615" s="209">
        <f>F615*cnst_carbon!$C$11/10^6</f>
        <v>1.729272527025175E-2</v>
      </c>
      <c r="I615" s="209">
        <f>G615*carbon_intensity_n!$C$9</f>
        <v>9.4561351079306051E-4</v>
      </c>
      <c r="J615" s="233">
        <f>H615*cnst_carbon!$C$13*1000000</f>
        <v>5821.9613651243944</v>
      </c>
      <c r="K615" s="30">
        <f>I615*cnst_carbon!$C$13*1000000</f>
        <v>318.36076963805777</v>
      </c>
    </row>
    <row r="616" spans="1:11" ht="12.5">
      <c r="A616" s="14" t="s">
        <v>643</v>
      </c>
      <c r="B616" s="770" t="s">
        <v>8204</v>
      </c>
      <c r="C616" s="502">
        <v>9396301.5995117407</v>
      </c>
      <c r="D616" s="505">
        <v>513824.92673319002</v>
      </c>
      <c r="E616" s="539">
        <v>50</v>
      </c>
      <c r="F616" s="31">
        <f t="shared" si="18"/>
        <v>469815.07997558702</v>
      </c>
      <c r="G616" s="31">
        <f t="shared" si="19"/>
        <v>25691.246336659504</v>
      </c>
      <c r="H616" s="209">
        <f>F616*cnst_carbon!$C$11/10^6</f>
        <v>2.6352601014927472E-2</v>
      </c>
      <c r="I616" s="209">
        <f>G616*carbon_intensity_n!$C$9</f>
        <v>1.1952130077565344E-3</v>
      </c>
      <c r="J616" s="233">
        <f>H616*cnst_carbon!$C$13*1000000</f>
        <v>8872.1599737305078</v>
      </c>
      <c r="K616" s="30">
        <f>I616*cnst_carbon!$C$13*1000000</f>
        <v>402.39371443801144</v>
      </c>
    </row>
    <row r="617" spans="1:11" ht="12.5">
      <c r="A617" s="14" t="s">
        <v>1400</v>
      </c>
      <c r="B617" s="770" t="s">
        <v>8205</v>
      </c>
      <c r="C617" s="502"/>
      <c r="D617" s="505"/>
      <c r="E617" s="539">
        <v>28.2</v>
      </c>
      <c r="F617" s="31">
        <f t="shared" si="18"/>
        <v>0</v>
      </c>
      <c r="G617" s="31">
        <f t="shared" si="19"/>
        <v>0</v>
      </c>
      <c r="H617" s="209">
        <f>F617*cnst_carbon!$C$11/10^6</f>
        <v>0</v>
      </c>
      <c r="I617" s="209">
        <f>G617*carbon_intensity_n!$C$9</f>
        <v>0</v>
      </c>
      <c r="J617" s="233">
        <f>H617*cnst_carbon!$C$13*1000000</f>
        <v>0</v>
      </c>
      <c r="K617" s="30">
        <f>I617*cnst_carbon!$C$13*1000000</f>
        <v>0</v>
      </c>
    </row>
    <row r="618" spans="1:11" ht="12.5">
      <c r="A618" s="14" t="s">
        <v>990</v>
      </c>
      <c r="B618" s="770" t="s">
        <v>8206</v>
      </c>
      <c r="C618" s="502"/>
      <c r="D618" s="505"/>
      <c r="E618" s="539">
        <v>100</v>
      </c>
      <c r="F618" s="31">
        <f t="shared" si="18"/>
        <v>0</v>
      </c>
      <c r="G618" s="31">
        <f t="shared" si="19"/>
        <v>0</v>
      </c>
      <c r="H618" s="209">
        <f>F618*cnst_carbon!$C$11/10^6</f>
        <v>0</v>
      </c>
      <c r="I618" s="209">
        <f>G618*carbon_intensity_n!$C$9</f>
        <v>0</v>
      </c>
      <c r="J618" s="233">
        <f>H618*cnst_carbon!$C$13*1000000</f>
        <v>0</v>
      </c>
      <c r="K618" s="30">
        <f>I618*cnst_carbon!$C$13*1000000</f>
        <v>0</v>
      </c>
    </row>
    <row r="619" spans="1:11" ht="12.5">
      <c r="A619" s="14" t="s">
        <v>991</v>
      </c>
      <c r="B619" s="770" t="s">
        <v>8207</v>
      </c>
      <c r="C619" s="502">
        <v>865205.762798112</v>
      </c>
      <c r="D619" s="505">
        <v>287349.01017587702</v>
      </c>
      <c r="E619" s="539">
        <v>100</v>
      </c>
      <c r="F619" s="31">
        <f t="shared" si="18"/>
        <v>86520.576279811197</v>
      </c>
      <c r="G619" s="31">
        <f t="shared" si="19"/>
        <v>28734.901017587701</v>
      </c>
      <c r="H619" s="209">
        <f>F619*cnst_carbon!$C$11/10^6</f>
        <v>4.853063095381996E-3</v>
      </c>
      <c r="I619" s="209">
        <f>G619*carbon_intensity_n!$C$9</f>
        <v>1.3368104848930779E-3</v>
      </c>
      <c r="J619" s="233">
        <f>H619*cnst_carbon!$C$13*1000000</f>
        <v>1633.8862384190097</v>
      </c>
      <c r="K619" s="30">
        <f>I619*cnst_carbon!$C$13*1000000</f>
        <v>450.06549713302672</v>
      </c>
    </row>
    <row r="620" spans="1:11" ht="12.5">
      <c r="A620" s="14" t="s">
        <v>992</v>
      </c>
      <c r="B620" s="770" t="s">
        <v>8208</v>
      </c>
      <c r="C620" s="502">
        <v>399681.03127694101</v>
      </c>
      <c r="D620" s="505">
        <v>156744.313979623</v>
      </c>
      <c r="E620" s="539">
        <v>3.1</v>
      </c>
      <c r="F620" s="31">
        <f t="shared" si="18"/>
        <v>1239.0111969585173</v>
      </c>
      <c r="G620" s="31">
        <f t="shared" si="19"/>
        <v>485.90737333683126</v>
      </c>
      <c r="H620" s="209">
        <f>F620*cnst_carbon!$C$11/10^6</f>
        <v>6.9497913366621135E-5</v>
      </c>
      <c r="I620" s="209">
        <f>G620*carbon_intensity_n!$C$9</f>
        <v>2.2605474470434155E-5</v>
      </c>
      <c r="J620" s="233">
        <f>H620*cnst_carbon!$C$13*1000000</f>
        <v>23.397941056363063</v>
      </c>
      <c r="K620" s="30">
        <f>I620*cnst_carbon!$C$13*1000000</f>
        <v>7.6106106440941286</v>
      </c>
    </row>
    <row r="621" spans="1:11" ht="12.5">
      <c r="A621" s="14" t="s">
        <v>993</v>
      </c>
      <c r="B621" s="770" t="s">
        <v>8209</v>
      </c>
      <c r="C621" s="502">
        <v>18108179.702966299</v>
      </c>
      <c r="D621" s="505">
        <v>871041.57084197598</v>
      </c>
      <c r="E621" s="539">
        <v>100</v>
      </c>
      <c r="F621" s="31">
        <f t="shared" si="18"/>
        <v>1810817.9702966299</v>
      </c>
      <c r="G621" s="31">
        <f t="shared" si="19"/>
        <v>87104.157084197592</v>
      </c>
      <c r="H621" s="209">
        <f>F621*cnst_carbon!$C$11/10^6</f>
        <v>0.1015713746020403</v>
      </c>
      <c r="I621" s="209">
        <f>G621*carbon_intensity_n!$C$9</f>
        <v>4.052276024777631E-3</v>
      </c>
      <c r="J621" s="233">
        <f>H621*cnst_carbon!$C$13*1000000</f>
        <v>34196.149507615861</v>
      </c>
      <c r="K621" s="30">
        <f>I621*cnst_carbon!$C$13*1000000</f>
        <v>1364.2843501168843</v>
      </c>
    </row>
    <row r="622" spans="1:11" ht="12.5">
      <c r="A622" s="14" t="s">
        <v>994</v>
      </c>
      <c r="B622" s="770" t="s">
        <v>8210</v>
      </c>
      <c r="C622" s="502">
        <v>5397466.34832328</v>
      </c>
      <c r="D622" s="505"/>
      <c r="E622" s="539">
        <v>50</v>
      </c>
      <c r="F622" s="31">
        <f t="shared" si="18"/>
        <v>269873.31741616398</v>
      </c>
      <c r="G622" s="31">
        <f t="shared" si="19"/>
        <v>0</v>
      </c>
      <c r="H622" s="209">
        <f>F622*cnst_carbon!$C$11/10^6</f>
        <v>1.513758106447456E-2</v>
      </c>
      <c r="I622" s="209">
        <f>G622*carbon_intensity_n!$C$9</f>
        <v>0</v>
      </c>
      <c r="J622" s="233">
        <f>H622*cnst_carbon!$C$13*1000000</f>
        <v>5096.3865291041238</v>
      </c>
      <c r="K622" s="30">
        <f>I622*cnst_carbon!$C$13*1000000</f>
        <v>0</v>
      </c>
    </row>
    <row r="623" spans="1:11" ht="12.5">
      <c r="A623" s="14" t="s">
        <v>4158</v>
      </c>
      <c r="B623" s="770" t="s">
        <v>8211</v>
      </c>
      <c r="C623" s="502">
        <v>12719570.967217499</v>
      </c>
      <c r="D623" s="505">
        <v>216145.111969752</v>
      </c>
      <c r="E623" s="539">
        <v>50</v>
      </c>
      <c r="F623" s="31">
        <f t="shared" si="18"/>
        <v>635978.54836087499</v>
      </c>
      <c r="G623" s="31">
        <f t="shared" si="19"/>
        <v>10807.2555984876</v>
      </c>
      <c r="H623" s="209">
        <f>F623*cnst_carbon!$C$11/10^6</f>
        <v>3.5672948045596529E-2</v>
      </c>
      <c r="I623" s="209">
        <f>G623*carbon_intensity_n!$C$9</f>
        <v>5.027771833330814E-4</v>
      </c>
      <c r="J623" s="233">
        <f>H623*cnst_carbon!$C$13*1000000</f>
        <v>12010.051744639164</v>
      </c>
      <c r="K623" s="30">
        <f>I623*cnst_carbon!$C$13*1000000</f>
        <v>169.27056267219876</v>
      </c>
    </row>
    <row r="624" spans="1:11" ht="12.5">
      <c r="A624" s="14" t="s">
        <v>3285</v>
      </c>
      <c r="B624" s="770" t="s">
        <v>8212</v>
      </c>
      <c r="C624" s="502">
        <v>1747214.4797736099</v>
      </c>
      <c r="D624" s="505">
        <v>172825.510070021</v>
      </c>
      <c r="E624" s="539">
        <v>50</v>
      </c>
      <c r="F624" s="31">
        <f t="shared" si="18"/>
        <v>87360.723988680504</v>
      </c>
      <c r="G624" s="31">
        <f t="shared" si="19"/>
        <v>8641.2755035010505</v>
      </c>
      <c r="H624" s="209">
        <f>F624*cnst_carbon!$C$11/10^6</f>
        <v>4.9001881841862736E-3</v>
      </c>
      <c r="I624" s="209">
        <f>G624*carbon_intensity_n!$C$9</f>
        <v>4.0201104882384891E-4</v>
      </c>
      <c r="J624" s="233">
        <f>H624*cnst_carbon!$C$13*1000000</f>
        <v>1649.7518953388321</v>
      </c>
      <c r="K624" s="30">
        <f>I624*cnst_carbon!$C$13*1000000</f>
        <v>135.34551425690415</v>
      </c>
    </row>
    <row r="625" spans="1:11" ht="12.5">
      <c r="A625" s="14" t="s">
        <v>2685</v>
      </c>
      <c r="B625" s="770" t="s">
        <v>8213</v>
      </c>
      <c r="C625" s="502">
        <v>384231.53768675402</v>
      </c>
      <c r="D625" s="505">
        <v>75952.506370129704</v>
      </c>
      <c r="E625" s="539">
        <v>300</v>
      </c>
      <c r="F625" s="31">
        <f t="shared" si="18"/>
        <v>115269.46130602621</v>
      </c>
      <c r="G625" s="31">
        <f t="shared" si="19"/>
        <v>22785.751911038911</v>
      </c>
      <c r="H625" s="209">
        <f>F625*cnst_carbon!$C$11/10^6</f>
        <v>6.4656292496213076E-3</v>
      </c>
      <c r="I625" s="209">
        <f>G625*carbon_intensity_n!$C$9</f>
        <v>1.0600430480761211E-3</v>
      </c>
      <c r="J625" s="233">
        <f>H625*cnst_carbon!$C$13*1000000</f>
        <v>2176.7907084760777</v>
      </c>
      <c r="K625" s="30">
        <f>I625*cnst_carbon!$C$13*1000000</f>
        <v>356.88589131087446</v>
      </c>
    </row>
    <row r="626" spans="1:11" ht="12.5">
      <c r="A626" s="14" t="s">
        <v>2686</v>
      </c>
      <c r="B626" s="770" t="s">
        <v>8214</v>
      </c>
      <c r="C626" s="502">
        <v>10380020.726689899</v>
      </c>
      <c r="D626" s="505"/>
      <c r="E626" s="539">
        <v>56.7</v>
      </c>
      <c r="F626" s="31">
        <f t="shared" si="18"/>
        <v>588547.17520331731</v>
      </c>
      <c r="G626" s="31">
        <f t="shared" si="19"/>
        <v>0</v>
      </c>
      <c r="H626" s="209">
        <f>F626*cnst_carbon!$C$11/10^6</f>
        <v>3.3012454362685781E-2</v>
      </c>
      <c r="I626" s="209">
        <f>G626*carbon_intensity_n!$C$9</f>
        <v>0</v>
      </c>
      <c r="J626" s="233">
        <f>H626*cnst_carbon!$C$13*1000000</f>
        <v>11114.340328885064</v>
      </c>
      <c r="K626" s="30">
        <f>I626*cnst_carbon!$C$13*1000000</f>
        <v>0</v>
      </c>
    </row>
    <row r="627" spans="1:11" ht="12.5">
      <c r="A627" s="14" t="s">
        <v>2687</v>
      </c>
      <c r="B627" s="770" t="s">
        <v>8215</v>
      </c>
      <c r="C627" s="502"/>
      <c r="D627" s="505"/>
      <c r="E627" s="539">
        <v>28.2</v>
      </c>
      <c r="F627" s="31">
        <f t="shared" si="18"/>
        <v>0</v>
      </c>
      <c r="G627" s="31">
        <f t="shared" si="19"/>
        <v>0</v>
      </c>
      <c r="H627" s="209">
        <f>F627*cnst_carbon!$C$11/10^6</f>
        <v>0</v>
      </c>
      <c r="I627" s="209">
        <f>G627*carbon_intensity_n!$C$9</f>
        <v>0</v>
      </c>
      <c r="J627" s="233">
        <f>H627*cnst_carbon!$C$13*1000000</f>
        <v>0</v>
      </c>
      <c r="K627" s="30">
        <f>I627*cnst_carbon!$C$13*1000000</f>
        <v>0</v>
      </c>
    </row>
    <row r="628" spans="1:11" ht="12.5">
      <c r="A628" s="14" t="s">
        <v>2688</v>
      </c>
      <c r="B628" s="770" t="s">
        <v>8216</v>
      </c>
      <c r="C628" s="502"/>
      <c r="D628" s="505"/>
      <c r="E628" s="539">
        <v>0</v>
      </c>
      <c r="F628" s="31">
        <f t="shared" si="18"/>
        <v>0</v>
      </c>
      <c r="G628" s="31">
        <f t="shared" si="19"/>
        <v>0</v>
      </c>
      <c r="H628" s="209">
        <f>F628*cnst_carbon!$C$11/10^6</f>
        <v>0</v>
      </c>
      <c r="I628" s="209">
        <f>G628*carbon_intensity_n!$C$9</f>
        <v>0</v>
      </c>
      <c r="J628" s="233">
        <f>H628*cnst_carbon!$C$13*1000000</f>
        <v>0</v>
      </c>
      <c r="K628" s="30">
        <f>I628*cnst_carbon!$C$13*1000000</f>
        <v>0</v>
      </c>
    </row>
    <row r="629" spans="1:11" ht="12.5">
      <c r="A629" s="14" t="s">
        <v>1406</v>
      </c>
      <c r="B629" s="770" t="s">
        <v>8217</v>
      </c>
      <c r="C629" s="502">
        <v>367728.30991548498</v>
      </c>
      <c r="D629" s="505">
        <v>718782.87570229103</v>
      </c>
      <c r="E629" s="539">
        <v>18.2</v>
      </c>
      <c r="F629" s="31">
        <f t="shared" si="18"/>
        <v>6692.655240461826</v>
      </c>
      <c r="G629" s="31">
        <f t="shared" si="19"/>
        <v>13081.848337781696</v>
      </c>
      <c r="H629" s="209">
        <f>F629*cnst_carbon!$C$11/10^6</f>
        <v>3.7540062207351587E-4</v>
      </c>
      <c r="I629" s="209">
        <f>G629*carbon_intensity_n!$C$9</f>
        <v>6.0859621576645916E-4</v>
      </c>
      <c r="J629" s="233">
        <f>H629*cnst_carbon!$C$13*1000000</f>
        <v>126.38655180137812</v>
      </c>
      <c r="K629" s="30">
        <f>I629*cnst_carbon!$C$13*1000000</f>
        <v>204.89677594361345</v>
      </c>
    </row>
    <row r="630" spans="1:11" ht="12.5">
      <c r="A630" s="14" t="s">
        <v>4583</v>
      </c>
      <c r="B630" s="770" t="s">
        <v>8218</v>
      </c>
      <c r="C630" s="502">
        <v>873069.77270496101</v>
      </c>
      <c r="D630" s="505"/>
      <c r="E630" s="539">
        <v>56.7</v>
      </c>
      <c r="F630" s="31">
        <f t="shared" si="18"/>
        <v>49503.056112371291</v>
      </c>
      <c r="G630" s="31">
        <f t="shared" si="19"/>
        <v>0</v>
      </c>
      <c r="H630" s="209">
        <f>F630*cnst_carbon!$C$11/10^6</f>
        <v>2.7766973482772728E-3</v>
      </c>
      <c r="I630" s="209">
        <f>G630*carbon_intensity_n!$C$9</f>
        <v>0</v>
      </c>
      <c r="J630" s="233">
        <f>H630*cnst_carbon!$C$13*1000000</f>
        <v>934.83383513432136</v>
      </c>
      <c r="K630" s="30">
        <f>I630*cnst_carbon!$C$13*1000000</f>
        <v>0</v>
      </c>
    </row>
    <row r="631" spans="1:11" ht="12.5">
      <c r="A631" s="14" t="s">
        <v>1675</v>
      </c>
      <c r="B631" s="770" t="s">
        <v>8219</v>
      </c>
      <c r="C631" s="503">
        <v>2503.8191639583101</v>
      </c>
      <c r="D631" s="507"/>
      <c r="E631" s="540">
        <v>20</v>
      </c>
      <c r="F631" s="31">
        <f t="shared" si="18"/>
        <v>50.076383279166201</v>
      </c>
      <c r="G631" s="31">
        <f t="shared" si="19"/>
        <v>0</v>
      </c>
      <c r="H631" s="209">
        <f>F631*cnst_carbon!$C$11/10^6</f>
        <v>2.8088560905601942E-6</v>
      </c>
      <c r="I631" s="209">
        <f>G631*carbon_intensity_n!$C$9</f>
        <v>0</v>
      </c>
      <c r="J631" s="233">
        <f>H631*cnst_carbon!$C$13*1000000</f>
        <v>0.94566075525224191</v>
      </c>
      <c r="K631" s="30">
        <f>I631*cnst_carbon!$C$13*1000000</f>
        <v>0</v>
      </c>
    </row>
    <row r="632" spans="1:11" ht="13">
      <c r="A632" s="184" t="s">
        <v>3843</v>
      </c>
      <c r="B632" s="390" t="s">
        <v>2738</v>
      </c>
      <c r="C632" s="40">
        <f>SUM(C7:C631)</f>
        <v>157975721230.91974</v>
      </c>
      <c r="D632" s="40">
        <f>SUM(D7:D631)</f>
        <v>447913689576.48541</v>
      </c>
      <c r="E632" s="443"/>
      <c r="F632" s="390"/>
      <c r="G632" s="390"/>
      <c r="H632" s="391"/>
      <c r="I632" s="391"/>
      <c r="J632" s="45">
        <f>SUM(J7:J631)</f>
        <v>53254942.326028198</v>
      </c>
      <c r="K632" s="46">
        <f>SUM(K7:K631)</f>
        <v>64192191.683038965</v>
      </c>
    </row>
  </sheetData>
  <phoneticPr fontId="6" type="noConversion"/>
  <hyperlinks>
    <hyperlink ref="C2" location="cnst_carbon!A1" tooltip="Go to cnst_carbon" display="cnst_carbon" xr:uid="{00000000-0004-0000-0B00-000000000000}"/>
    <hyperlink ref="C3" location="ef_carbon!A1" tooltip="Go to ef_carbon" display="ef_carbon" xr:uid="{00000000-0004-0000-0B00-000001000000}"/>
    <hyperlink ref="D3" location="carbon_intensity_n!A1" display="carbon_intensity_n" xr:uid="{00000000-0004-0000-0B00-000002000000}"/>
    <hyperlink ref="D2" location="carbon_intensity_n!A1" display="carbon_intensity_n" xr:uid="{00000000-0004-0000-0B00-000003000000}"/>
  </hyperlinks>
  <pageMargins left="0.75" right="0.75" top="1" bottom="1" header="0.5" footer="0.5"/>
  <pageSetup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tabColor theme="1"/>
    <pageSetUpPr autoPageBreaks="0"/>
  </sheetPr>
  <dimension ref="A2:C7"/>
  <sheetViews>
    <sheetView zoomScaleNormal="100" workbookViewId="0">
      <selection activeCell="A65536" sqref="A65536"/>
    </sheetView>
  </sheetViews>
  <sheetFormatPr defaultColWidth="9.1796875" defaultRowHeight="12.75" customHeight="1"/>
  <cols>
    <col min="1" max="1" width="50.7265625" style="36" customWidth="1"/>
    <col min="2" max="3" width="21.7265625" style="36" customWidth="1"/>
    <col min="4" max="16384" width="9.1796875" style="36"/>
  </cols>
  <sheetData>
    <row r="2" spans="1:3" ht="12.75" customHeight="1">
      <c r="B2" s="37" t="s">
        <v>985</v>
      </c>
      <c r="C2" s="466" t="s">
        <v>988</v>
      </c>
    </row>
    <row r="3" spans="1:3" ht="12.75" customHeight="1">
      <c r="B3" s="37" t="s">
        <v>986</v>
      </c>
      <c r="C3" s="466" t="s">
        <v>987</v>
      </c>
    </row>
    <row r="5" spans="1:3" ht="13">
      <c r="A5" s="952" t="s">
        <v>1923</v>
      </c>
      <c r="B5" s="953" t="s">
        <v>2532</v>
      </c>
      <c r="C5" s="961" t="s">
        <v>2533</v>
      </c>
    </row>
    <row r="6" spans="1:3" ht="12.5">
      <c r="A6" s="17" t="s">
        <v>2355</v>
      </c>
      <c r="B6" s="242" t="s">
        <v>756</v>
      </c>
      <c r="C6" s="496">
        <v>18.924692006926204</v>
      </c>
    </row>
    <row r="7" spans="1:3" ht="12.75" customHeight="1">
      <c r="A7" s="138" t="s">
        <v>6182</v>
      </c>
      <c r="B7" s="80" t="s">
        <v>720</v>
      </c>
      <c r="C7" s="243">
        <f>C6*cnst_carbon!C13*10^6</f>
        <v>6371397.4512010971</v>
      </c>
    </row>
  </sheetData>
  <phoneticPr fontId="5" type="noConversion"/>
  <hyperlinks>
    <hyperlink ref="C3" location="ef_carbon!A1" tooltip="Go to ef_carbon" display="ef_carbon" xr:uid="{00000000-0004-0000-0C00-000000000000}"/>
    <hyperlink ref="C2" location="cnst_carbon!A1" display="cnst_carbon" xr:uid="{00000000-0004-0000-0C00-000001000000}"/>
  </hyperlinks>
  <pageMargins left="0.75" right="0.75" top="1" bottom="1" header="0.5" footer="0.5"/>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tabColor theme="1"/>
  </sheetPr>
  <dimension ref="A2:E9"/>
  <sheetViews>
    <sheetView zoomScaleNormal="100" workbookViewId="0">
      <selection activeCell="A65536" sqref="A65536"/>
    </sheetView>
  </sheetViews>
  <sheetFormatPr defaultColWidth="9.1796875" defaultRowHeight="12.5"/>
  <cols>
    <col min="1" max="1" width="50.7265625" style="36" customWidth="1"/>
    <col min="2" max="2" width="20.26953125" style="36" customWidth="1"/>
    <col min="3" max="7" width="21.7265625" style="36" customWidth="1"/>
    <col min="8" max="16384" width="9.1796875" style="36"/>
  </cols>
  <sheetData>
    <row r="2" spans="1:5" ht="13">
      <c r="C2" s="37" t="s">
        <v>985</v>
      </c>
      <c r="D2" s="466" t="s">
        <v>988</v>
      </c>
    </row>
    <row r="3" spans="1:5" ht="13">
      <c r="C3" s="37" t="s">
        <v>986</v>
      </c>
      <c r="D3" s="466" t="s">
        <v>987</v>
      </c>
    </row>
    <row r="5" spans="1:5" ht="13">
      <c r="A5" s="944" t="s">
        <v>6801</v>
      </c>
      <c r="B5" s="962" t="s">
        <v>457</v>
      </c>
      <c r="C5" s="962" t="s">
        <v>458</v>
      </c>
      <c r="D5" s="962" t="s">
        <v>456</v>
      </c>
      <c r="E5" s="963" t="s">
        <v>455</v>
      </c>
    </row>
    <row r="6" spans="1:5" ht="16">
      <c r="A6" s="964" t="s">
        <v>542</v>
      </c>
      <c r="B6" s="958" t="s">
        <v>453</v>
      </c>
      <c r="C6" s="958" t="s">
        <v>454</v>
      </c>
      <c r="D6" s="958" t="s">
        <v>2979</v>
      </c>
      <c r="E6" s="965" t="s">
        <v>720</v>
      </c>
    </row>
    <row r="7" spans="1:5">
      <c r="A7" s="244" t="s">
        <v>5396</v>
      </c>
      <c r="B7" s="509">
        <v>13195</v>
      </c>
      <c r="C7" s="258">
        <f>cnst_carbon!C10</f>
        <v>3.7881140113811703E-4</v>
      </c>
      <c r="D7" s="255">
        <f>B7*C7</f>
        <v>4.9984164380174541</v>
      </c>
      <c r="E7" s="63">
        <f>D7*cnst_carbon!$C$13*10^6</f>
        <v>1682822.5125973253</v>
      </c>
    </row>
    <row r="8" spans="1:5">
      <c r="A8" s="210" t="s">
        <v>1005</v>
      </c>
      <c r="B8" s="508">
        <v>61401</v>
      </c>
      <c r="C8" s="259">
        <f>((B7*C7)+(B9*C9))/(B7+B9)</f>
        <v>1.402825723303374E-4</v>
      </c>
      <c r="D8" s="256">
        <f>B8*C8</f>
        <v>8.613490223655047</v>
      </c>
      <c r="E8" s="30">
        <f>IF(ISERROR(D8*cnst_carbon!$C$13*10^6),0,D8*cnst_carbon!$C$13*10^6)</f>
        <v>2899913.4906320241</v>
      </c>
    </row>
    <row r="9" spans="1:5">
      <c r="A9" s="245" t="s">
        <v>1925</v>
      </c>
      <c r="B9" s="510">
        <v>653780</v>
      </c>
      <c r="C9" s="260">
        <f>cnst_carbon!C9</f>
        <v>1.3546843317631209E-4</v>
      </c>
      <c r="D9" s="257">
        <f>B9*C9</f>
        <v>88.566552242009323</v>
      </c>
      <c r="E9" s="211"/>
    </row>
  </sheetData>
  <phoneticPr fontId="44" type="noConversion"/>
  <hyperlinks>
    <hyperlink ref="D2" location="cnst_carbon!A1" tooltip="Go to cnst_carbon" display="cnst_carbon" xr:uid="{00000000-0004-0000-0D00-000000000000}"/>
    <hyperlink ref="D3" location="ef_carbon!A1" tooltip="Go to ef_carbon" display="ef_carbon" xr:uid="{00000000-0004-0000-0D00-000001000000}"/>
  </hyperlinks>
  <pageMargins left="0.75" right="0.75" top="1" bottom="1" header="0.5" footer="0.5"/>
  <pageSetup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theme="1"/>
  </sheetPr>
  <dimension ref="A2:E9"/>
  <sheetViews>
    <sheetView zoomScaleNormal="100" workbookViewId="0">
      <selection activeCell="A65536" sqref="A65536"/>
    </sheetView>
  </sheetViews>
  <sheetFormatPr defaultColWidth="9.1796875" defaultRowHeight="12.5"/>
  <cols>
    <col min="1" max="1" width="48" style="36" customWidth="1"/>
    <col min="2" max="8" width="21.7265625" style="36" customWidth="1"/>
    <col min="9" max="16384" width="9.1796875" style="36"/>
  </cols>
  <sheetData>
    <row r="2" spans="1:5" ht="13">
      <c r="B2" s="37" t="s">
        <v>985</v>
      </c>
      <c r="C2" s="466" t="s">
        <v>8822</v>
      </c>
      <c r="D2" s="466" t="s">
        <v>3230</v>
      </c>
      <c r="E2" s="466" t="s">
        <v>988</v>
      </c>
    </row>
    <row r="3" spans="1:5" ht="13">
      <c r="B3" s="37" t="s">
        <v>986</v>
      </c>
    </row>
    <row r="5" spans="1:5" ht="13">
      <c r="A5" s="944" t="s">
        <v>1923</v>
      </c>
      <c r="B5" s="962" t="s">
        <v>457</v>
      </c>
      <c r="C5" s="962" t="s">
        <v>459</v>
      </c>
      <c r="D5" s="963" t="s">
        <v>460</v>
      </c>
    </row>
    <row r="6" spans="1:5">
      <c r="A6" s="964"/>
      <c r="B6" s="958" t="s">
        <v>461</v>
      </c>
      <c r="C6" s="958" t="s">
        <v>462</v>
      </c>
      <c r="D6" s="960" t="s">
        <v>2807</v>
      </c>
    </row>
    <row r="7" spans="1:5">
      <c r="A7" s="17" t="s">
        <v>5396</v>
      </c>
      <c r="B7" s="27">
        <f>SUM(carbon_efi_efe!F7:F631)</f>
        <v>2820054537.1228185</v>
      </c>
      <c r="C7" s="18">
        <f>cnst_carbon!C11/10^6</f>
        <v>5.6091432859704786E-8</v>
      </c>
      <c r="D7" s="49">
        <f>B7*C7</f>
        <v>158.18089972973044</v>
      </c>
    </row>
    <row r="8" spans="1:5">
      <c r="A8" s="14" t="s">
        <v>2805</v>
      </c>
      <c r="B8" s="25">
        <f>IF(ISBLANK(cnst_carbon!C12),D8/C8,cnst_carbon!C12*10^6)</f>
        <v>12843888228.000002</v>
      </c>
      <c r="C8">
        <f>IF(ISBLANK(cnst_carbon!C12),cnst_carbon!C11/10^6,D8/B8)</f>
        <v>4.4421127766917833E-8</v>
      </c>
      <c r="D8" s="23">
        <f>IF(ISBLANK(fossil_efp!B8),fossil_efp!B62/1000,fossil_efp!B8)</f>
        <v>570.54</v>
      </c>
    </row>
    <row r="9" spans="1:5">
      <c r="A9" s="19" t="s">
        <v>1005</v>
      </c>
      <c r="B9" s="26">
        <f>SUM(carbon_efi_efe!G7:G631)</f>
        <v>4098417421.1624641</v>
      </c>
      <c r="C9" s="20">
        <f>IF(ISERROR((D7+D8)/(B7+B8)),C8,(D7+D8)/(B7+B8))</f>
        <v>4.6522188612198785E-8</v>
      </c>
      <c r="D9" s="211"/>
    </row>
  </sheetData>
  <phoneticPr fontId="44" type="noConversion"/>
  <hyperlinks>
    <hyperlink ref="E2" location="cnst_carbon!A1" tooltip="Go to cnst_carbon" display="cnst_carbon" xr:uid="{00000000-0004-0000-0E00-000000000000}"/>
    <hyperlink ref="D2" location="fossil_efp!A1" tooltip="Go to comtrade_n" display="fossil_efp" xr:uid="{00000000-0004-0000-0E00-000001000000}"/>
    <hyperlink ref="C2" location="carbon_efi_efe!A1" display="carbon_efi_efe" xr:uid="{00000000-0004-0000-0E00-000002000000}"/>
  </hyperlinks>
  <pageMargins left="0.75" right="0.75" top="1" bottom="1" header="0.5" footer="0.5"/>
  <headerFooter alignWithMargins="0"/>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theme="1"/>
    <pageSetUpPr autoPageBreaks="0"/>
  </sheetPr>
  <dimension ref="A1:H13"/>
  <sheetViews>
    <sheetView zoomScaleNormal="100" workbookViewId="0">
      <selection activeCell="A65536" sqref="A65536"/>
    </sheetView>
  </sheetViews>
  <sheetFormatPr defaultColWidth="9.1796875" defaultRowHeight="12.75" customHeight="1"/>
  <cols>
    <col min="1" max="1" width="50.7265625" style="36" customWidth="1"/>
    <col min="2" max="3" width="21.7265625" style="36" customWidth="1"/>
    <col min="4" max="4" width="12.54296875" style="36" customWidth="1"/>
    <col min="5" max="5" width="11.7265625" style="36" customWidth="1"/>
    <col min="6" max="6" width="16.7265625" style="36" customWidth="1"/>
    <col min="7" max="7" width="14.26953125" style="36" customWidth="1"/>
    <col min="8" max="8" width="14.81640625" style="36" customWidth="1"/>
    <col min="9" max="16384" width="9.1796875" style="36"/>
  </cols>
  <sheetData>
    <row r="1" spans="1:8" ht="12.75" customHeight="1">
      <c r="A1" s="155" t="s">
        <v>464</v>
      </c>
    </row>
    <row r="2" spans="1:8" ht="12.75" customHeight="1">
      <c r="B2" s="37" t="s">
        <v>985</v>
      </c>
      <c r="C2" s="466" t="s">
        <v>2004</v>
      </c>
      <c r="D2" s="466"/>
      <c r="E2" s="466"/>
      <c r="F2" s="466"/>
      <c r="G2" s="466"/>
      <c r="H2" s="466"/>
    </row>
    <row r="3" spans="1:8" ht="12.75" customHeight="1">
      <c r="B3" s="37" t="s">
        <v>986</v>
      </c>
      <c r="C3" s="466" t="s">
        <v>3230</v>
      </c>
      <c r="D3" s="466" t="s">
        <v>2389</v>
      </c>
      <c r="E3" s="466" t="s">
        <v>6917</v>
      </c>
      <c r="F3" s="466" t="s">
        <v>463</v>
      </c>
      <c r="G3" s="466" t="s">
        <v>611</v>
      </c>
      <c r="H3" s="466" t="s">
        <v>8823</v>
      </c>
    </row>
    <row r="5" spans="1:8" ht="13">
      <c r="A5" s="949" t="s">
        <v>1923</v>
      </c>
      <c r="B5" s="950" t="s">
        <v>2532</v>
      </c>
      <c r="C5" s="961" t="s">
        <v>2533</v>
      </c>
    </row>
    <row r="6" spans="1:8" ht="16">
      <c r="A6" s="210" t="s">
        <v>3466</v>
      </c>
      <c r="B6" s="132" t="s">
        <v>4808</v>
      </c>
      <c r="C6" s="568">
        <f>12.01/44.01</f>
        <v>0.27289252442626677</v>
      </c>
    </row>
    <row r="7" spans="1:8" ht="14.5">
      <c r="A7" s="14" t="s">
        <v>2531</v>
      </c>
      <c r="B7" s="132" t="s">
        <v>4809</v>
      </c>
      <c r="C7" s="542">
        <v>0.73</v>
      </c>
    </row>
    <row r="8" spans="1:8" ht="14.25" customHeight="1">
      <c r="A8" s="14" t="s">
        <v>5428</v>
      </c>
      <c r="B8" s="132" t="s">
        <v>542</v>
      </c>
      <c r="C8" s="674">
        <v>0.28645214800000002</v>
      </c>
    </row>
    <row r="9" spans="1:8" ht="16">
      <c r="A9" s="14" t="s">
        <v>3603</v>
      </c>
      <c r="B9" s="79" t="s">
        <v>6023</v>
      </c>
      <c r="C9" s="511">
        <v>1.3546843317631209E-4</v>
      </c>
    </row>
    <row r="10" spans="1:8" ht="16">
      <c r="A10" s="14" t="s">
        <v>3604</v>
      </c>
      <c r="B10" s="79" t="s">
        <v>6023</v>
      </c>
      <c r="C10" s="511">
        <v>3.7881140113811703E-4</v>
      </c>
    </row>
    <row r="11" spans="1:8" ht="16">
      <c r="A11" s="14" t="s">
        <v>2804</v>
      </c>
      <c r="B11" s="79" t="s">
        <v>6163</v>
      </c>
      <c r="C11" s="511">
        <v>5.6091432859704783E-2</v>
      </c>
    </row>
    <row r="12" spans="1:8" ht="12.5">
      <c r="A12" s="14" t="s">
        <v>2803</v>
      </c>
      <c r="B12" s="79" t="s">
        <v>2806</v>
      </c>
      <c r="C12" s="674">
        <v>12843.888228000002</v>
      </c>
    </row>
    <row r="13" spans="1:8" ht="16">
      <c r="A13" s="19" t="s">
        <v>3915</v>
      </c>
      <c r="B13" s="133" t="s">
        <v>3375</v>
      </c>
      <c r="C13" s="675">
        <f>(1/C7)*VLOOKUP("Carbon",eqf,2,FALSE)*(1-C8)*C6*VLOOKUP("Forest land",iyf,2,FALSE)</f>
        <v>0.33667113044002217</v>
      </c>
    </row>
  </sheetData>
  <phoneticPr fontId="5" type="noConversion"/>
  <hyperlinks>
    <hyperlink ref="C2" location="eqf!A1" tooltip="Go to eqf" display="eqf" xr:uid="{00000000-0004-0000-0F00-000000000000}"/>
    <hyperlink ref="D3" location="other_co2_efp!A1" tooltip="Go to other_CO2_efp" display="other_co2_efp" xr:uid="{00000000-0004-0000-0F00-000001000000}"/>
    <hyperlink ref="E3" location="crop_trade!A1" tooltip="Go to carbon_efi" display="carbon_trade" xr:uid="{00000000-0004-0000-0F00-000002000000}"/>
    <hyperlink ref="C3" location="fossil_efp!A1" tooltip="Go to fossil_efp" display="fossil_efp" xr:uid="{00000000-0004-0000-0F00-000003000000}"/>
    <hyperlink ref="F3" location="carbon_intensity_n!A1" display="carbon_intensity_n" xr:uid="{00000000-0004-0000-0F00-000004000000}"/>
    <hyperlink ref="G3" location="electricity_trade!A1" display="electricity_trade" xr:uid="{00000000-0004-0000-0F00-000005000000}"/>
    <hyperlink ref="H3" location="Int_transport!A1" display="Int_transport" xr:uid="{00000000-0004-0000-0F00-000006000000}"/>
  </hyperlinks>
  <pageMargins left="0.75" right="0.75" top="1" bottom="1" header="0.5" footer="0.5"/>
  <pageSetup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6">
    <tabColor theme="5"/>
    <pageSetUpPr autoPageBreaks="0"/>
  </sheetPr>
  <dimension ref="A1:R192"/>
  <sheetViews>
    <sheetView zoomScaleNormal="100" workbookViewId="0">
      <pane xSplit="2" ySplit="6" topLeftCell="C7" activePane="bottomRight" state="frozen"/>
      <selection pane="topRight"/>
      <selection pane="bottomLeft"/>
      <selection pane="bottomRight" activeCell="A65536" sqref="A65536"/>
    </sheetView>
  </sheetViews>
  <sheetFormatPr defaultColWidth="9.1796875" defaultRowHeight="12.75" customHeight="1"/>
  <cols>
    <col min="1" max="1" width="30.1796875" style="86" customWidth="1"/>
    <col min="2" max="2" width="14.81640625" style="86" customWidth="1"/>
    <col min="3" max="3" width="14.26953125" style="86" customWidth="1"/>
    <col min="4" max="4" width="23.453125" style="36" customWidth="1"/>
    <col min="5" max="5" width="21.7265625" style="36" customWidth="1"/>
    <col min="6" max="6" width="23.7265625" style="36" customWidth="1"/>
    <col min="7" max="7" width="21.7265625" style="36" customWidth="1"/>
    <col min="8" max="9" width="20" style="36" customWidth="1"/>
    <col min="10" max="17" width="21.7265625" style="36" customWidth="1"/>
    <col min="18" max="18" width="21.7265625" style="253" customWidth="1"/>
    <col min="19" max="16384" width="9.1796875" style="36"/>
  </cols>
  <sheetData>
    <row r="1" spans="1:18" ht="12.75" customHeight="1">
      <c r="A1" s="36"/>
      <c r="B1" s="36"/>
      <c r="C1" s="36"/>
    </row>
    <row r="2" spans="1:18" ht="12.75" customHeight="1">
      <c r="A2" s="36"/>
      <c r="B2" s="36"/>
      <c r="C2" s="37" t="s">
        <v>985</v>
      </c>
      <c r="D2" s="466" t="s">
        <v>6913</v>
      </c>
      <c r="E2" s="466" t="s">
        <v>6865</v>
      </c>
      <c r="F2" s="466" t="s">
        <v>2004</v>
      </c>
      <c r="G2" s="466" t="s">
        <v>6145</v>
      </c>
    </row>
    <row r="3" spans="1:18" ht="12.75" customHeight="1">
      <c r="A3" s="36"/>
      <c r="B3" s="36"/>
      <c r="C3" s="37" t="s">
        <v>986</v>
      </c>
      <c r="D3" s="466" t="s">
        <v>0</v>
      </c>
      <c r="E3" s="466" t="s">
        <v>3</v>
      </c>
      <c r="F3" s="466"/>
      <c r="G3" s="466"/>
    </row>
    <row r="4" spans="1:18" ht="12.75" customHeight="1">
      <c r="A4" s="36"/>
      <c r="B4" s="36"/>
      <c r="C4" s="36"/>
    </row>
    <row r="5" spans="1:18" ht="15">
      <c r="A5" s="966" t="s">
        <v>1923</v>
      </c>
      <c r="B5" s="742" t="s">
        <v>1907</v>
      </c>
      <c r="C5" s="742" t="s">
        <v>1906</v>
      </c>
      <c r="D5" s="743" t="s">
        <v>6893</v>
      </c>
      <c r="E5" s="967" t="s">
        <v>6898</v>
      </c>
      <c r="F5" s="967" t="s">
        <v>6022</v>
      </c>
      <c r="G5" s="967" t="s">
        <v>1771</v>
      </c>
      <c r="H5" s="744" t="s">
        <v>3841</v>
      </c>
      <c r="J5" s="747" t="s">
        <v>6894</v>
      </c>
      <c r="K5" s="743" t="s">
        <v>6895</v>
      </c>
      <c r="L5" s="743" t="s">
        <v>6896</v>
      </c>
      <c r="M5" s="743" t="s">
        <v>6903</v>
      </c>
      <c r="N5" s="743" t="s">
        <v>6868</v>
      </c>
      <c r="O5" s="743" t="s">
        <v>6900</v>
      </c>
      <c r="P5" s="743" t="s">
        <v>6899</v>
      </c>
      <c r="Q5" s="967" t="s">
        <v>6897</v>
      </c>
      <c r="R5" s="1139" t="s">
        <v>4088</v>
      </c>
    </row>
    <row r="6" spans="1:18" ht="14.5">
      <c r="A6" s="1069" t="s">
        <v>542</v>
      </c>
      <c r="B6" s="1068" t="s">
        <v>542</v>
      </c>
      <c r="C6" s="1068" t="s">
        <v>542</v>
      </c>
      <c r="D6" s="1072" t="s">
        <v>9219</v>
      </c>
      <c r="E6" s="1073" t="s">
        <v>9220</v>
      </c>
      <c r="F6" s="1074" t="s">
        <v>542</v>
      </c>
      <c r="G6" s="1073" t="s">
        <v>9208</v>
      </c>
      <c r="H6" s="1075" t="s">
        <v>720</v>
      </c>
      <c r="I6" s="750"/>
      <c r="J6" s="1144" t="s">
        <v>4980</v>
      </c>
      <c r="K6" s="1072" t="s">
        <v>9219</v>
      </c>
      <c r="L6" s="1072" t="s">
        <v>2041</v>
      </c>
      <c r="M6" s="916" t="s">
        <v>542</v>
      </c>
      <c r="N6" s="1072" t="s">
        <v>542</v>
      </c>
      <c r="O6" s="1072" t="s">
        <v>9219</v>
      </c>
      <c r="P6" s="1072" t="s">
        <v>9219</v>
      </c>
      <c r="Q6" s="1073" t="s">
        <v>9249</v>
      </c>
      <c r="R6" s="1146" t="s">
        <v>6901</v>
      </c>
    </row>
    <row r="7" spans="1:18" ht="12.5">
      <c r="A7" s="82" t="s">
        <v>3241</v>
      </c>
      <c r="B7" s="704">
        <v>800</v>
      </c>
      <c r="C7" s="83" t="s">
        <v>5373</v>
      </c>
      <c r="D7" s="531"/>
      <c r="E7" s="751">
        <f>IF(M7&gt;0,$N$190,IFERROR((P7/L7),0))/crop_intensity!$D$7</f>
        <v>0.5693615327412257</v>
      </c>
      <c r="F7" s="55">
        <f t="shared" ref="F7:F37" si="0">VLOOKUP("Crop Land",iyf,2,FALSE)</f>
        <v>1</v>
      </c>
      <c r="G7" s="55">
        <f>VLOOKUP("Crop Land",eqf,2,FALSE)</f>
        <v>2.4993969139811365</v>
      </c>
      <c r="H7" s="49">
        <f t="shared" ref="H7:H38" si="1">IFERROR((O7/E7)*G7*F7,0)</f>
        <v>0</v>
      </c>
      <c r="I7" s="750"/>
      <c r="J7" s="715"/>
      <c r="K7" s="521">
        <v>38845</v>
      </c>
      <c r="L7" s="521">
        <v>62274</v>
      </c>
      <c r="M7" s="707">
        <v>0</v>
      </c>
      <c r="N7" s="699">
        <f t="shared" ref="N7:N38" si="2">VLOOKUP(B7,constant_crop_factor,3,FALSE)</f>
        <v>1</v>
      </c>
      <c r="O7" s="27">
        <f t="shared" ref="O7:O38" si="3">D7*N7</f>
        <v>0</v>
      </c>
      <c r="P7" s="27">
        <f t="shared" ref="P7:P38" si="4">K7*N7</f>
        <v>38845</v>
      </c>
      <c r="Q7" s="55">
        <f>IF(M7&gt;0,$M$190,IFERROR((O7/J7),0))/crop_intensity!$C$7</f>
        <v>0</v>
      </c>
      <c r="R7" s="56">
        <f t="shared" ref="R7:R38" si="5">IFERROR(Q7/E7,0)</f>
        <v>0</v>
      </c>
    </row>
    <row r="8" spans="1:18" ht="12.5">
      <c r="A8" s="84" t="s">
        <v>2308</v>
      </c>
      <c r="B8" s="705">
        <v>641</v>
      </c>
      <c r="C8" s="24" t="s">
        <v>2648</v>
      </c>
      <c r="D8" s="532"/>
      <c r="E8" s="752">
        <f>IF(M8&gt;0,$N$190,IFERROR((P8/L8),0))/crop_intensity!$D$7</f>
        <v>0</v>
      </c>
      <c r="F8" s="2">
        <f t="shared" si="0"/>
        <v>1</v>
      </c>
      <c r="G8" s="2">
        <f t="shared" ref="G8:G39" si="6">$G$7</f>
        <v>2.4993969139811365</v>
      </c>
      <c r="H8" s="343">
        <f t="shared" si="1"/>
        <v>0</v>
      </c>
      <c r="I8" s="750"/>
      <c r="J8" s="716"/>
      <c r="K8" s="513"/>
      <c r="L8" s="513"/>
      <c r="M8" s="708">
        <v>0</v>
      </c>
      <c r="N8" s="87">
        <f t="shared" si="2"/>
        <v>1</v>
      </c>
      <c r="O8" s="25">
        <f t="shared" si="3"/>
        <v>0</v>
      </c>
      <c r="P8" s="25">
        <f t="shared" si="4"/>
        <v>0</v>
      </c>
      <c r="Q8" s="2">
        <f>IF(M8&gt;0,$M$190,IFERROR((O8/J8),0))/crop_intensity!$C$7</f>
        <v>0</v>
      </c>
      <c r="R8" s="389">
        <f t="shared" si="5"/>
        <v>0</v>
      </c>
    </row>
    <row r="9" spans="1:18" ht="12.5">
      <c r="A9" s="84" t="s">
        <v>2649</v>
      </c>
      <c r="B9" s="705">
        <v>221</v>
      </c>
      <c r="C9" s="24" t="s">
        <v>951</v>
      </c>
      <c r="D9" s="532"/>
      <c r="E9" s="752">
        <f>IF(M9&gt;0,$N$190,IFERROR((P9/L9),0))/crop_intensity!$D$7</f>
        <v>1.452931515895054</v>
      </c>
      <c r="F9" s="2">
        <f t="shared" si="0"/>
        <v>1</v>
      </c>
      <c r="G9" s="2">
        <f t="shared" si="6"/>
        <v>2.4993969139811365</v>
      </c>
      <c r="H9" s="343">
        <f t="shared" si="1"/>
        <v>0</v>
      </c>
      <c r="I9" s="750"/>
      <c r="J9" s="716"/>
      <c r="K9" s="513">
        <v>3224900</v>
      </c>
      <c r="L9" s="513">
        <v>2025960</v>
      </c>
      <c r="M9" s="708">
        <v>0</v>
      </c>
      <c r="N9" s="87">
        <f t="shared" si="2"/>
        <v>1</v>
      </c>
      <c r="O9" s="25">
        <f t="shared" si="3"/>
        <v>0</v>
      </c>
      <c r="P9" s="25">
        <f t="shared" si="4"/>
        <v>3224900</v>
      </c>
      <c r="Q9" s="2">
        <f>IF(M9&gt;0,$M$190,IFERROR((O9/J9),0))/crop_intensity!$C$7</f>
        <v>0</v>
      </c>
      <c r="R9" s="389">
        <f t="shared" si="5"/>
        <v>0</v>
      </c>
    </row>
    <row r="10" spans="1:18" ht="12.5">
      <c r="A10" s="84" t="s">
        <v>773</v>
      </c>
      <c r="B10" s="705">
        <v>711</v>
      </c>
      <c r="C10" s="24" t="s">
        <v>4516</v>
      </c>
      <c r="D10" s="532">
        <v>13328</v>
      </c>
      <c r="E10" s="752">
        <f>IF(M10&gt;0,$N$190,IFERROR((P10/L10),0))/crop_intensity!$D$7</f>
        <v>0.93005466750316979</v>
      </c>
      <c r="F10" s="2">
        <f t="shared" si="0"/>
        <v>1</v>
      </c>
      <c r="G10" s="2">
        <f t="shared" si="6"/>
        <v>2.4993969139811365</v>
      </c>
      <c r="H10" s="343">
        <f t="shared" si="1"/>
        <v>35817.208636746138</v>
      </c>
      <c r="I10" s="750"/>
      <c r="J10" s="716">
        <v>15082</v>
      </c>
      <c r="K10" s="513">
        <v>2073360</v>
      </c>
      <c r="L10" s="513">
        <v>2034820</v>
      </c>
      <c r="M10" s="708">
        <v>0</v>
      </c>
      <c r="N10" s="87">
        <f t="shared" si="2"/>
        <v>1</v>
      </c>
      <c r="O10" s="25">
        <f t="shared" si="3"/>
        <v>13328</v>
      </c>
      <c r="P10" s="25">
        <f t="shared" si="4"/>
        <v>2073360</v>
      </c>
      <c r="Q10" s="2">
        <f>IF(M10&gt;0,$M$190,IFERROR((O10/J10),0))/crop_intensity!$C$7</f>
        <v>0.82271766722588158</v>
      </c>
      <c r="R10" s="389">
        <f t="shared" si="5"/>
        <v>0.88459065469189491</v>
      </c>
    </row>
    <row r="11" spans="1:18" ht="12.5">
      <c r="A11" s="84" t="s">
        <v>774</v>
      </c>
      <c r="B11" s="705">
        <v>515</v>
      </c>
      <c r="C11" s="24" t="s">
        <v>952</v>
      </c>
      <c r="D11" s="532">
        <v>402978</v>
      </c>
      <c r="E11" s="752">
        <f>IF(M11&gt;0,$N$190,IFERROR((P11/L11),0))/crop_intensity!$D$7</f>
        <v>16.863350096869443</v>
      </c>
      <c r="F11" s="2">
        <f t="shared" si="0"/>
        <v>1</v>
      </c>
      <c r="G11" s="2">
        <f t="shared" si="6"/>
        <v>2.4993969139811365</v>
      </c>
      <c r="H11" s="343">
        <f t="shared" si="1"/>
        <v>59727.276242059997</v>
      </c>
      <c r="I11" s="750"/>
      <c r="J11" s="716">
        <v>15740</v>
      </c>
      <c r="K11" s="513">
        <v>85823696</v>
      </c>
      <c r="L11" s="513">
        <v>4645400</v>
      </c>
      <c r="M11" s="708">
        <v>0</v>
      </c>
      <c r="N11" s="87">
        <f t="shared" si="2"/>
        <v>1</v>
      </c>
      <c r="O11" s="25">
        <f t="shared" si="3"/>
        <v>402978</v>
      </c>
      <c r="P11" s="25">
        <f t="shared" si="4"/>
        <v>85823696</v>
      </c>
      <c r="Q11" s="2">
        <f>IF(M11&gt;0,$M$190,IFERROR((O11/J11),0))/crop_intensity!$C$7</f>
        <v>23.835341849885179</v>
      </c>
      <c r="R11" s="389">
        <f t="shared" si="5"/>
        <v>1.4134404915373271</v>
      </c>
    </row>
    <row r="12" spans="1:18" ht="12.5">
      <c r="A12" s="84" t="s">
        <v>2831</v>
      </c>
      <c r="B12" s="705">
        <v>526</v>
      </c>
      <c r="C12" s="24" t="s">
        <v>953</v>
      </c>
      <c r="D12" s="532">
        <v>1067</v>
      </c>
      <c r="E12" s="752">
        <f>IF(M12&gt;0,$N$190,IFERROR((P12/L12),0))/crop_intensity!$D$7</f>
        <v>6.5123262213999169</v>
      </c>
      <c r="F12" s="2">
        <f t="shared" si="0"/>
        <v>1</v>
      </c>
      <c r="G12" s="2">
        <f t="shared" si="6"/>
        <v>2.4993969139811365</v>
      </c>
      <c r="H12" s="343">
        <f t="shared" si="1"/>
        <v>409.50904738991932</v>
      </c>
      <c r="I12" s="750"/>
      <c r="J12" s="716">
        <v>111</v>
      </c>
      <c r="K12" s="513">
        <v>3901260</v>
      </c>
      <c r="L12" s="513">
        <v>546800</v>
      </c>
      <c r="M12" s="708">
        <v>0</v>
      </c>
      <c r="N12" s="87">
        <f t="shared" si="2"/>
        <v>1</v>
      </c>
      <c r="O12" s="25">
        <f t="shared" si="3"/>
        <v>1067</v>
      </c>
      <c r="P12" s="25">
        <f t="shared" si="4"/>
        <v>3901260</v>
      </c>
      <c r="Q12" s="2">
        <f>IF(M12&gt;0,$M$190,IFERROR((O12/J12),0))/crop_intensity!$C$7</f>
        <v>8.9492412664569194</v>
      </c>
      <c r="R12" s="389">
        <f t="shared" si="5"/>
        <v>1.3742003950983206</v>
      </c>
    </row>
    <row r="13" spans="1:18" ht="12.5">
      <c r="A13" s="84" t="s">
        <v>3795</v>
      </c>
      <c r="B13" s="705">
        <v>226</v>
      </c>
      <c r="C13" s="24" t="s">
        <v>3796</v>
      </c>
      <c r="D13" s="532"/>
      <c r="E13" s="752">
        <f>IF(M13&gt;0,$N$190,IFERROR((P13/L13),0))/crop_intensity!$D$7</f>
        <v>1.3020322999010387</v>
      </c>
      <c r="F13" s="2">
        <f t="shared" si="0"/>
        <v>1</v>
      </c>
      <c r="G13" s="2">
        <f t="shared" si="6"/>
        <v>2.4993969139811365</v>
      </c>
      <c r="H13" s="343">
        <f t="shared" si="1"/>
        <v>0</v>
      </c>
      <c r="I13" s="750"/>
      <c r="J13" s="716"/>
      <c r="K13" s="513">
        <v>1553880</v>
      </c>
      <c r="L13" s="513">
        <v>1089320</v>
      </c>
      <c r="M13" s="708">
        <v>0</v>
      </c>
      <c r="N13" s="87">
        <f t="shared" si="2"/>
        <v>1</v>
      </c>
      <c r="O13" s="25">
        <f t="shared" si="3"/>
        <v>0</v>
      </c>
      <c r="P13" s="25">
        <f t="shared" si="4"/>
        <v>1553880</v>
      </c>
      <c r="Q13" s="2">
        <f>IF(M13&gt;0,$M$190,IFERROR((O13/J13),0))/crop_intensity!$C$7</f>
        <v>0</v>
      </c>
      <c r="R13" s="389">
        <f t="shared" si="5"/>
        <v>0</v>
      </c>
    </row>
    <row r="14" spans="1:18" ht="12.5">
      <c r="A14" s="84" t="s">
        <v>2080</v>
      </c>
      <c r="B14" s="705">
        <v>366</v>
      </c>
      <c r="C14" s="24" t="s">
        <v>2081</v>
      </c>
      <c r="D14" s="532"/>
      <c r="E14" s="752">
        <f>IF(M14&gt;0,$N$190,IFERROR((P14/L14),0))/crop_intensity!$D$7</f>
        <v>11.928051987870264</v>
      </c>
      <c r="F14" s="2">
        <f t="shared" si="0"/>
        <v>1</v>
      </c>
      <c r="G14" s="2">
        <f t="shared" si="6"/>
        <v>2.4993969139811365</v>
      </c>
      <c r="H14" s="343">
        <f t="shared" si="1"/>
        <v>0</v>
      </c>
      <c r="I14" s="750"/>
      <c r="J14" s="716"/>
      <c r="K14" s="513">
        <v>1625740</v>
      </c>
      <c r="L14" s="513">
        <v>124406</v>
      </c>
      <c r="M14" s="708">
        <v>0</v>
      </c>
      <c r="N14" s="87">
        <f t="shared" si="2"/>
        <v>1</v>
      </c>
      <c r="O14" s="25">
        <f t="shared" si="3"/>
        <v>0</v>
      </c>
      <c r="P14" s="25">
        <f t="shared" si="4"/>
        <v>1625740</v>
      </c>
      <c r="Q14" s="2">
        <f>IF(M14&gt;0,$M$190,IFERROR((O14/J14),0))/crop_intensity!$C$7</f>
        <v>0</v>
      </c>
      <c r="R14" s="389">
        <f t="shared" si="5"/>
        <v>0</v>
      </c>
    </row>
    <row r="15" spans="1:18" ht="12.5">
      <c r="A15" s="84" t="s">
        <v>2082</v>
      </c>
      <c r="B15" s="705">
        <v>367</v>
      </c>
      <c r="C15" s="24" t="s">
        <v>2339</v>
      </c>
      <c r="D15" s="532">
        <v>8963</v>
      </c>
      <c r="E15" s="752">
        <f>IF(M15&gt;0,$N$190,IFERROR((P15/L15),0))/crop_intensity!$D$7</f>
        <v>5.2691967667579807</v>
      </c>
      <c r="F15" s="2">
        <f t="shared" si="0"/>
        <v>1</v>
      </c>
      <c r="G15" s="2">
        <f t="shared" si="6"/>
        <v>2.4993969139811365</v>
      </c>
      <c r="H15" s="343">
        <f t="shared" si="1"/>
        <v>4251.5198296146446</v>
      </c>
      <c r="I15" s="750"/>
      <c r="J15" s="716">
        <v>2012</v>
      </c>
      <c r="K15" s="513">
        <v>9275580</v>
      </c>
      <c r="L15" s="513">
        <v>1606780</v>
      </c>
      <c r="M15" s="708">
        <v>0</v>
      </c>
      <c r="N15" s="87">
        <f t="shared" si="2"/>
        <v>1</v>
      </c>
      <c r="O15" s="25">
        <f t="shared" si="3"/>
        <v>8963</v>
      </c>
      <c r="P15" s="25">
        <f t="shared" si="4"/>
        <v>9275580</v>
      </c>
      <c r="Q15" s="2">
        <f>IF(M15&gt;0,$M$190,IFERROR((O15/J15),0))/crop_intensity!$C$7</f>
        <v>4.1473453055374971</v>
      </c>
      <c r="R15" s="389">
        <f t="shared" si="5"/>
        <v>0.7870925093748713</v>
      </c>
    </row>
    <row r="16" spans="1:18" ht="12.5">
      <c r="A16" s="84" t="s">
        <v>2340</v>
      </c>
      <c r="B16" s="705">
        <v>572</v>
      </c>
      <c r="C16" s="24" t="s">
        <v>2341</v>
      </c>
      <c r="D16" s="532"/>
      <c r="E16" s="752">
        <f>IF(M16&gt;0,$N$190,IFERROR((P16/L16),0))/crop_intensity!$D$7</f>
        <v>8.9404016483394049</v>
      </c>
      <c r="F16" s="2">
        <f t="shared" si="0"/>
        <v>1</v>
      </c>
      <c r="G16" s="2">
        <f t="shared" si="6"/>
        <v>2.4993969139811365</v>
      </c>
      <c r="H16" s="343">
        <f t="shared" si="1"/>
        <v>0</v>
      </c>
      <c r="I16" s="750"/>
      <c r="J16" s="716"/>
      <c r="K16" s="513">
        <v>6766480</v>
      </c>
      <c r="L16" s="513">
        <v>690821</v>
      </c>
      <c r="M16" s="708">
        <v>0</v>
      </c>
      <c r="N16" s="87">
        <f t="shared" si="2"/>
        <v>1</v>
      </c>
      <c r="O16" s="25">
        <f t="shared" si="3"/>
        <v>0</v>
      </c>
      <c r="P16" s="25">
        <f t="shared" si="4"/>
        <v>6766480</v>
      </c>
      <c r="Q16" s="2">
        <f>IF(M16&gt;0,$M$190,IFERROR((O16/J16),0))/crop_intensity!$C$7</f>
        <v>0</v>
      </c>
      <c r="R16" s="389">
        <f t="shared" si="5"/>
        <v>0</v>
      </c>
    </row>
    <row r="17" spans="1:18" ht="12.5">
      <c r="A17" s="84" t="s">
        <v>612</v>
      </c>
      <c r="B17" s="705">
        <v>203</v>
      </c>
      <c r="C17" s="24" t="s">
        <v>613</v>
      </c>
      <c r="D17" s="532"/>
      <c r="E17" s="752">
        <f>IF(M17&gt;0,$N$190,IFERROR((P17/L17),0))/crop_intensity!$D$7</f>
        <v>0.58754896306502347</v>
      </c>
      <c r="F17" s="2">
        <f t="shared" si="0"/>
        <v>1</v>
      </c>
      <c r="G17" s="2">
        <f t="shared" si="6"/>
        <v>2.4993969139811365</v>
      </c>
      <c r="H17" s="343">
        <f t="shared" si="1"/>
        <v>0</v>
      </c>
      <c r="I17" s="750"/>
      <c r="J17" s="716"/>
      <c r="K17" s="513">
        <v>235276</v>
      </c>
      <c r="L17" s="513">
        <v>365505</v>
      </c>
      <c r="M17" s="708">
        <v>0</v>
      </c>
      <c r="N17" s="87">
        <f t="shared" si="2"/>
        <v>1</v>
      </c>
      <c r="O17" s="25">
        <f t="shared" si="3"/>
        <v>0</v>
      </c>
      <c r="P17" s="25">
        <f t="shared" si="4"/>
        <v>235276</v>
      </c>
      <c r="Q17" s="2">
        <f>IF(M17&gt;0,$M$190,IFERROR((O17/J17),0))/crop_intensity!$C$7</f>
        <v>0</v>
      </c>
      <c r="R17" s="389">
        <f t="shared" si="5"/>
        <v>0</v>
      </c>
    </row>
    <row r="18" spans="1:18" ht="12.5">
      <c r="A18" s="84" t="s">
        <v>614</v>
      </c>
      <c r="B18" s="705">
        <v>486</v>
      </c>
      <c r="C18" s="24" t="s">
        <v>954</v>
      </c>
      <c r="D18" s="532"/>
      <c r="E18" s="752">
        <f>IF(M18&gt;0,$N$190,IFERROR((P18/L18),0))/crop_intensity!$D$7</f>
        <v>20.633840725557437</v>
      </c>
      <c r="F18" s="2">
        <f t="shared" si="0"/>
        <v>1</v>
      </c>
      <c r="G18" s="2">
        <f t="shared" si="6"/>
        <v>2.4993969139811365</v>
      </c>
      <c r="H18" s="343">
        <f t="shared" si="1"/>
        <v>0</v>
      </c>
      <c r="I18" s="750"/>
      <c r="J18" s="716"/>
      <c r="K18" s="513">
        <v>115766000</v>
      </c>
      <c r="L18" s="513">
        <v>5121070</v>
      </c>
      <c r="M18" s="708">
        <v>0</v>
      </c>
      <c r="N18" s="87">
        <f t="shared" si="2"/>
        <v>1</v>
      </c>
      <c r="O18" s="25">
        <f t="shared" si="3"/>
        <v>0</v>
      </c>
      <c r="P18" s="25">
        <f t="shared" si="4"/>
        <v>115766000</v>
      </c>
      <c r="Q18" s="2">
        <f>IF(M18&gt;0,$M$190,IFERROR((O18/J18),0))/crop_intensity!$C$7</f>
        <v>0</v>
      </c>
      <c r="R18" s="389">
        <f t="shared" si="5"/>
        <v>0</v>
      </c>
    </row>
    <row r="19" spans="1:18" ht="12.5">
      <c r="A19" s="84" t="s">
        <v>615</v>
      </c>
      <c r="B19" s="705">
        <v>44</v>
      </c>
      <c r="C19" s="24" t="s">
        <v>955</v>
      </c>
      <c r="D19" s="532">
        <v>8379700</v>
      </c>
      <c r="E19" s="752">
        <f>IF(M19&gt;0,$N$190,IFERROR((P19/L19),0))/crop_intensity!$D$7</f>
        <v>2.6369352977684146</v>
      </c>
      <c r="F19" s="2">
        <f t="shared" si="0"/>
        <v>1</v>
      </c>
      <c r="G19" s="2">
        <f t="shared" si="6"/>
        <v>2.4993969139811365</v>
      </c>
      <c r="H19" s="343">
        <f t="shared" si="1"/>
        <v>7927950.8734447388</v>
      </c>
      <c r="I19" s="750"/>
      <c r="J19" s="716">
        <v>2395200</v>
      </c>
      <c r="K19" s="513">
        <v>139743008</v>
      </c>
      <c r="L19" s="513">
        <v>48028300</v>
      </c>
      <c r="M19" s="708">
        <v>1</v>
      </c>
      <c r="N19" s="87">
        <f t="shared" si="2"/>
        <v>0.99815209796853166</v>
      </c>
      <c r="O19" s="25">
        <f t="shared" si="3"/>
        <v>8364215.1353469044</v>
      </c>
      <c r="P19" s="25">
        <f t="shared" si="4"/>
        <v>139484776.6116333</v>
      </c>
      <c r="Q19" s="2">
        <f>IF(M19&gt;0,$M$190,IFERROR((O19/J19),0))/crop_intensity!$C$7</f>
        <v>3.229070276356417</v>
      </c>
      <c r="R19" s="389">
        <f t="shared" si="5"/>
        <v>1.224554231227863</v>
      </c>
    </row>
    <row r="20" spans="1:18" ht="12.5">
      <c r="A20" s="84" t="s">
        <v>1917</v>
      </c>
      <c r="B20" s="705">
        <v>176</v>
      </c>
      <c r="C20" s="24" t="s">
        <v>1918</v>
      </c>
      <c r="D20" s="532">
        <v>341100</v>
      </c>
      <c r="E20" s="752">
        <f>IF(M20&gt;0,$N$190,IFERROR((P20/L20),0))/crop_intensity!$D$7</f>
        <v>0.76636424204379072</v>
      </c>
      <c r="F20" s="2">
        <f t="shared" si="0"/>
        <v>1</v>
      </c>
      <c r="G20" s="2">
        <f t="shared" si="6"/>
        <v>2.4993969139811365</v>
      </c>
      <c r="H20" s="343">
        <f t="shared" si="1"/>
        <v>1112453.1137900488</v>
      </c>
      <c r="I20" s="750"/>
      <c r="J20" s="716">
        <v>137100</v>
      </c>
      <c r="K20" s="513">
        <v>29969900</v>
      </c>
      <c r="L20" s="513">
        <v>35695200</v>
      </c>
      <c r="M20" s="708">
        <v>0</v>
      </c>
      <c r="N20" s="87">
        <f t="shared" si="2"/>
        <v>1</v>
      </c>
      <c r="O20" s="25">
        <f t="shared" si="3"/>
        <v>341100</v>
      </c>
      <c r="P20" s="25">
        <f t="shared" si="4"/>
        <v>29969900</v>
      </c>
      <c r="Q20" s="2">
        <f>IF(M20&gt;0,$M$190,IFERROR((O20/J20),0))/crop_intensity!$C$7</f>
        <v>2.3162692440526893</v>
      </c>
      <c r="R20" s="389">
        <f t="shared" si="5"/>
        <v>3.0224129949950558</v>
      </c>
    </row>
    <row r="21" spans="1:18" ht="12.5">
      <c r="A21" s="84" t="s">
        <v>3076</v>
      </c>
      <c r="B21" s="705">
        <v>414</v>
      </c>
      <c r="C21" s="24" t="s">
        <v>3077</v>
      </c>
      <c r="D21" s="532">
        <v>62025</v>
      </c>
      <c r="E21" s="752">
        <f>IF(M21&gt;0,$N$190,IFERROR((P21/L21),0))/crop_intensity!$D$7</f>
        <v>14.687023403760495</v>
      </c>
      <c r="F21" s="2">
        <f t="shared" si="0"/>
        <v>1</v>
      </c>
      <c r="G21" s="2">
        <f t="shared" si="6"/>
        <v>2.4993969139811365</v>
      </c>
      <c r="H21" s="343">
        <f t="shared" si="1"/>
        <v>10555.242497263745</v>
      </c>
      <c r="I21" s="750"/>
      <c r="J21" s="716">
        <v>7768</v>
      </c>
      <c r="K21" s="513">
        <v>26269300</v>
      </c>
      <c r="L21" s="513">
        <v>1632580</v>
      </c>
      <c r="M21" s="708">
        <v>0</v>
      </c>
      <c r="N21" s="87">
        <f t="shared" si="2"/>
        <v>1</v>
      </c>
      <c r="O21" s="25">
        <f t="shared" si="3"/>
        <v>62025</v>
      </c>
      <c r="P21" s="25">
        <f t="shared" si="4"/>
        <v>26269300</v>
      </c>
      <c r="Q21" s="2">
        <f>IF(M21&gt;0,$M$190,IFERROR((O21/J21),0))/crop_intensity!$C$7</f>
        <v>7.4336538120333779</v>
      </c>
      <c r="R21" s="389">
        <f t="shared" si="5"/>
        <v>0.5061375343168617</v>
      </c>
    </row>
    <row r="22" spans="1:18" ht="12.5">
      <c r="A22" s="84" t="s">
        <v>6869</v>
      </c>
      <c r="B22" s="705">
        <v>647</v>
      </c>
      <c r="C22" s="24" t="s">
        <v>3500</v>
      </c>
      <c r="D22" s="532"/>
      <c r="E22" s="752">
        <f>IF(M22&gt;0,$N$190,IFERROR((P22/L22),0))/crop_intensity!$D$7</f>
        <v>0</v>
      </c>
      <c r="F22" s="2">
        <f t="shared" si="0"/>
        <v>1</v>
      </c>
      <c r="G22" s="2">
        <f t="shared" si="6"/>
        <v>2.4993969139811365</v>
      </c>
      <c r="H22" s="343">
        <f t="shared" si="1"/>
        <v>0</v>
      </c>
      <c r="I22" s="750"/>
      <c r="J22" s="716"/>
      <c r="K22" s="513"/>
      <c r="L22" s="513"/>
      <c r="M22" s="708">
        <v>0</v>
      </c>
      <c r="N22" s="87">
        <f t="shared" si="2"/>
        <v>1</v>
      </c>
      <c r="O22" s="25">
        <f t="shared" si="3"/>
        <v>0</v>
      </c>
      <c r="P22" s="25">
        <f t="shared" si="4"/>
        <v>0</v>
      </c>
      <c r="Q22" s="2">
        <f>IF(M22&gt;0,$M$190,IFERROR((O22/J22),0))/crop_intensity!$C$7</f>
        <v>0</v>
      </c>
      <c r="R22" s="389">
        <f t="shared" si="5"/>
        <v>0</v>
      </c>
    </row>
    <row r="23" spans="1:18" ht="12.5">
      <c r="A23" s="84" t="s">
        <v>1355</v>
      </c>
      <c r="B23" s="705">
        <v>558</v>
      </c>
      <c r="C23" s="24" t="s">
        <v>2558</v>
      </c>
      <c r="D23" s="532"/>
      <c r="E23" s="752">
        <f>IF(M23&gt;0,$N$190,IFERROR((P23/L23),0))/crop_intensity!$D$7</f>
        <v>6.7326821870138289</v>
      </c>
      <c r="F23" s="2">
        <f t="shared" si="0"/>
        <v>1</v>
      </c>
      <c r="G23" s="2">
        <f t="shared" si="6"/>
        <v>2.4993969139811365</v>
      </c>
      <c r="H23" s="343">
        <f t="shared" si="1"/>
        <v>0</v>
      </c>
      <c r="I23" s="750"/>
      <c r="J23" s="716"/>
      <c r="K23" s="513">
        <v>906880</v>
      </c>
      <c r="L23" s="513">
        <v>122948</v>
      </c>
      <c r="M23" s="708">
        <v>0</v>
      </c>
      <c r="N23" s="87">
        <f t="shared" si="2"/>
        <v>1</v>
      </c>
      <c r="O23" s="25">
        <f t="shared" si="3"/>
        <v>0</v>
      </c>
      <c r="P23" s="25">
        <f t="shared" si="4"/>
        <v>906880</v>
      </c>
      <c r="Q23" s="2">
        <f>IF(M23&gt;0,$M$190,IFERROR((O23/J23),0))/crop_intensity!$C$7</f>
        <v>0</v>
      </c>
      <c r="R23" s="389">
        <f t="shared" si="5"/>
        <v>0</v>
      </c>
    </row>
    <row r="24" spans="1:18" ht="12.5">
      <c r="A24" s="84" t="s">
        <v>3256</v>
      </c>
      <c r="B24" s="705">
        <v>552</v>
      </c>
      <c r="C24" s="24" t="s">
        <v>5374</v>
      </c>
      <c r="D24" s="532">
        <v>155229</v>
      </c>
      <c r="E24" s="752">
        <f>IF(M24&gt;0,$N$190,IFERROR((P24/L24),0))/crop_intensity!$D$7</f>
        <v>5.3941000522584712</v>
      </c>
      <c r="F24" s="2">
        <f t="shared" si="0"/>
        <v>1</v>
      </c>
      <c r="G24" s="2">
        <f t="shared" si="6"/>
        <v>2.4993969139811365</v>
      </c>
      <c r="H24" s="343">
        <f t="shared" si="1"/>
        <v>71926.527094715988</v>
      </c>
      <c r="I24" s="750"/>
      <c r="J24" s="716">
        <v>41068</v>
      </c>
      <c r="K24" s="513">
        <v>666451</v>
      </c>
      <c r="L24" s="513">
        <v>112774</v>
      </c>
      <c r="M24" s="708">
        <v>0</v>
      </c>
      <c r="N24" s="87">
        <f t="shared" si="2"/>
        <v>1</v>
      </c>
      <c r="O24" s="25">
        <f t="shared" si="3"/>
        <v>155229</v>
      </c>
      <c r="P24" s="25">
        <f t="shared" si="4"/>
        <v>666451</v>
      </c>
      <c r="Q24" s="2">
        <f>IF(M24&gt;0,$M$190,IFERROR((O24/J24),0))/crop_intensity!$C$7</f>
        <v>3.5189579911111686</v>
      </c>
      <c r="R24" s="389">
        <f t="shared" si="5"/>
        <v>0.65237165736994551</v>
      </c>
    </row>
    <row r="25" spans="1:18" ht="12.5">
      <c r="A25" s="84" t="s">
        <v>321</v>
      </c>
      <c r="B25" s="705">
        <v>216</v>
      </c>
      <c r="C25" s="24" t="s">
        <v>322</v>
      </c>
      <c r="D25" s="532"/>
      <c r="E25" s="752">
        <f>IF(M25&gt;0,$N$190,IFERROR((P25/L25),0))/crop_intensity!$D$7</f>
        <v>5.6912920788614203</v>
      </c>
      <c r="F25" s="2">
        <f t="shared" si="0"/>
        <v>1</v>
      </c>
      <c r="G25" s="2">
        <f t="shared" si="6"/>
        <v>2.4993969139811365</v>
      </c>
      <c r="H25" s="343">
        <f t="shared" si="1"/>
        <v>0</v>
      </c>
      <c r="I25" s="750"/>
      <c r="J25" s="716"/>
      <c r="K25" s="513">
        <v>74517</v>
      </c>
      <c r="L25" s="513">
        <v>11951</v>
      </c>
      <c r="M25" s="708">
        <v>0</v>
      </c>
      <c r="N25" s="87">
        <f t="shared" si="2"/>
        <v>1</v>
      </c>
      <c r="O25" s="25">
        <f t="shared" si="3"/>
        <v>0</v>
      </c>
      <c r="P25" s="25">
        <f t="shared" si="4"/>
        <v>74517</v>
      </c>
      <c r="Q25" s="2">
        <f>IF(M25&gt;0,$M$190,IFERROR((O25/J25),0))/crop_intensity!$C$7</f>
        <v>0</v>
      </c>
      <c r="R25" s="389">
        <f t="shared" si="5"/>
        <v>0</v>
      </c>
    </row>
    <row r="26" spans="1:18" ht="12.5">
      <c r="A26" s="84" t="s">
        <v>3768</v>
      </c>
      <c r="B26" s="705">
        <v>181</v>
      </c>
      <c r="C26" s="24" t="s">
        <v>3769</v>
      </c>
      <c r="D26" s="532"/>
      <c r="E26" s="752">
        <f>IF(M26&gt;0,$N$190,IFERROR((P26/L26),0))/crop_intensity!$D$7</f>
        <v>1.7625623217258546</v>
      </c>
      <c r="F26" s="2">
        <f t="shared" si="0"/>
        <v>1</v>
      </c>
      <c r="G26" s="2">
        <f t="shared" si="6"/>
        <v>2.4993969139811365</v>
      </c>
      <c r="H26" s="343">
        <f t="shared" si="1"/>
        <v>0</v>
      </c>
      <c r="I26" s="750"/>
      <c r="J26" s="716"/>
      <c r="K26" s="513">
        <v>5362900</v>
      </c>
      <c r="L26" s="513">
        <v>2777250</v>
      </c>
      <c r="M26" s="708">
        <v>0</v>
      </c>
      <c r="N26" s="87">
        <f t="shared" si="2"/>
        <v>1</v>
      </c>
      <c r="O26" s="25">
        <f t="shared" si="3"/>
        <v>0</v>
      </c>
      <c r="P26" s="25">
        <f t="shared" si="4"/>
        <v>5362900</v>
      </c>
      <c r="Q26" s="2">
        <f>IF(M26&gt;0,$M$190,IFERROR((O26/J26),0))/crop_intensity!$C$7</f>
        <v>0</v>
      </c>
      <c r="R26" s="389">
        <f t="shared" si="5"/>
        <v>0</v>
      </c>
    </row>
    <row r="27" spans="1:18" ht="12.5">
      <c r="A27" s="84" t="s">
        <v>3770</v>
      </c>
      <c r="B27" s="705">
        <v>89</v>
      </c>
      <c r="C27" s="24" t="s">
        <v>3771</v>
      </c>
      <c r="D27" s="532">
        <v>15000</v>
      </c>
      <c r="E27" s="752">
        <f>IF(M27&gt;0,$N$190,IFERROR((P27/L27),0))/crop_intensity!$D$7</f>
        <v>0.85908193099899544</v>
      </c>
      <c r="F27" s="2">
        <f t="shared" si="0"/>
        <v>1</v>
      </c>
      <c r="G27" s="2">
        <f t="shared" si="6"/>
        <v>2.4993969139811365</v>
      </c>
      <c r="H27" s="343">
        <f t="shared" si="1"/>
        <v>43640.719653037246</v>
      </c>
      <c r="I27" s="750"/>
      <c r="J27" s="716">
        <v>12700</v>
      </c>
      <c r="K27" s="513">
        <v>1832110</v>
      </c>
      <c r="L27" s="513">
        <v>1946600</v>
      </c>
      <c r="M27" s="708">
        <v>0</v>
      </c>
      <c r="N27" s="87">
        <f t="shared" si="2"/>
        <v>1</v>
      </c>
      <c r="O27" s="25">
        <f t="shared" si="3"/>
        <v>15000</v>
      </c>
      <c r="P27" s="25">
        <f t="shared" si="4"/>
        <v>1832110</v>
      </c>
      <c r="Q27" s="2">
        <f>IF(M27&gt;0,$M$190,IFERROR((O27/J27),0))/crop_intensity!$C$7</f>
        <v>1.0995938800117164</v>
      </c>
      <c r="R27" s="389">
        <f t="shared" si="5"/>
        <v>1.2799639246666943</v>
      </c>
    </row>
    <row r="28" spans="1:18" ht="12.5">
      <c r="A28" s="84" t="s">
        <v>3772</v>
      </c>
      <c r="B28" s="705">
        <v>358</v>
      </c>
      <c r="C28" s="24" t="s">
        <v>3773</v>
      </c>
      <c r="D28" s="532">
        <v>176472</v>
      </c>
      <c r="E28" s="752">
        <f>IF(M28&gt;0,$N$190,IFERROR((P28/L28),0))/crop_intensity!$D$7</f>
        <v>26.104173822915314</v>
      </c>
      <c r="F28" s="2">
        <f t="shared" si="0"/>
        <v>1</v>
      </c>
      <c r="G28" s="2">
        <f t="shared" si="6"/>
        <v>2.4993969139811365</v>
      </c>
      <c r="H28" s="343">
        <f t="shared" si="1"/>
        <v>16896.668524973069</v>
      </c>
      <c r="I28" s="750"/>
      <c r="J28" s="716">
        <v>6237</v>
      </c>
      <c r="K28" s="513">
        <v>69260096</v>
      </c>
      <c r="L28" s="513">
        <v>2421770</v>
      </c>
      <c r="M28" s="708">
        <v>0</v>
      </c>
      <c r="N28" s="87">
        <f t="shared" si="2"/>
        <v>1</v>
      </c>
      <c r="O28" s="25">
        <f t="shared" si="3"/>
        <v>176472</v>
      </c>
      <c r="P28" s="25">
        <f t="shared" si="4"/>
        <v>69260096</v>
      </c>
      <c r="Q28" s="2">
        <f>IF(M28&gt;0,$M$190,IFERROR((O28/J28),0))/crop_intensity!$C$7</f>
        <v>26.341763092902902</v>
      </c>
      <c r="R28" s="389">
        <f t="shared" si="5"/>
        <v>1.0091015816704003</v>
      </c>
    </row>
    <row r="29" spans="1:18" ht="12.5">
      <c r="A29" s="84" t="s">
        <v>6870</v>
      </c>
      <c r="B29" s="705">
        <v>644</v>
      </c>
      <c r="C29" s="24" t="s">
        <v>6884</v>
      </c>
      <c r="D29" s="532"/>
      <c r="E29" s="752">
        <f>IF(M29&gt;0,$N$190,IFERROR((P29/L29),0))/crop_intensity!$D$7</f>
        <v>0</v>
      </c>
      <c r="F29" s="2">
        <f t="shared" si="0"/>
        <v>1</v>
      </c>
      <c r="G29" s="2">
        <f t="shared" si="6"/>
        <v>2.4993969139811365</v>
      </c>
      <c r="H29" s="343">
        <f t="shared" si="1"/>
        <v>0</v>
      </c>
      <c r="I29" s="750"/>
      <c r="J29" s="716"/>
      <c r="K29" s="513"/>
      <c r="L29" s="513"/>
      <c r="M29" s="708">
        <v>0</v>
      </c>
      <c r="N29" s="87">
        <f t="shared" si="2"/>
        <v>1</v>
      </c>
      <c r="O29" s="25">
        <f t="shared" si="3"/>
        <v>0</v>
      </c>
      <c r="P29" s="25">
        <f t="shared" si="4"/>
        <v>0</v>
      </c>
      <c r="Q29" s="2">
        <f>IF(M29&gt;0,$M$190,IFERROR((O29/J29),0))/crop_intensity!$C$7</f>
        <v>0</v>
      </c>
      <c r="R29" s="389">
        <f t="shared" si="5"/>
        <v>0</v>
      </c>
    </row>
    <row r="30" spans="1:18" ht="12.5">
      <c r="A30" s="84" t="s">
        <v>5438</v>
      </c>
      <c r="B30" s="705">
        <v>101</v>
      </c>
      <c r="C30" s="24" t="s">
        <v>5439</v>
      </c>
      <c r="D30" s="532">
        <v>157600</v>
      </c>
      <c r="E30" s="752">
        <f>IF(M30&gt;0,$N$190,IFERROR((P30/L30),0))/crop_intensity!$D$7</f>
        <v>0.92074390964245389</v>
      </c>
      <c r="F30" s="2">
        <f t="shared" si="0"/>
        <v>1</v>
      </c>
      <c r="G30" s="2">
        <f t="shared" si="6"/>
        <v>2.4993969139811365</v>
      </c>
      <c r="H30" s="343">
        <f t="shared" si="1"/>
        <v>427811.63091960014</v>
      </c>
      <c r="I30" s="750"/>
      <c r="J30" s="716">
        <v>108600</v>
      </c>
      <c r="K30" s="513">
        <v>226225</v>
      </c>
      <c r="L30" s="513">
        <v>224265</v>
      </c>
      <c r="M30" s="708">
        <v>0</v>
      </c>
      <c r="N30" s="87">
        <f t="shared" si="2"/>
        <v>1</v>
      </c>
      <c r="O30" s="25">
        <f t="shared" si="3"/>
        <v>157600</v>
      </c>
      <c r="P30" s="25">
        <f t="shared" si="4"/>
        <v>226225</v>
      </c>
      <c r="Q30" s="2">
        <f>IF(M30&gt;0,$M$190,IFERROR((O30/J30),0))/crop_intensity!$C$7</f>
        <v>1.351049197496041</v>
      </c>
      <c r="R30" s="389">
        <f t="shared" si="5"/>
        <v>1.4673452448039375</v>
      </c>
    </row>
    <row r="31" spans="1:18" ht="12.5">
      <c r="A31" s="84" t="s">
        <v>5440</v>
      </c>
      <c r="B31" s="705">
        <v>461</v>
      </c>
      <c r="C31" s="24" t="s">
        <v>754</v>
      </c>
      <c r="D31" s="532"/>
      <c r="E31" s="752">
        <f>IF(M31&gt;0,$N$190,IFERROR((P31/L31),0))/crop_intensity!$D$7</f>
        <v>2.920460820171292</v>
      </c>
      <c r="F31" s="2">
        <f t="shared" si="0"/>
        <v>1</v>
      </c>
      <c r="G31" s="2">
        <f t="shared" si="6"/>
        <v>2.4993969139811365</v>
      </c>
      <c r="H31" s="343">
        <f t="shared" si="1"/>
        <v>0</v>
      </c>
      <c r="I31" s="750"/>
      <c r="J31" s="716"/>
      <c r="K31" s="513">
        <v>46141</v>
      </c>
      <c r="L31" s="513">
        <v>14421</v>
      </c>
      <c r="M31" s="708">
        <v>0</v>
      </c>
      <c r="N31" s="87">
        <f t="shared" si="2"/>
        <v>1</v>
      </c>
      <c r="O31" s="25">
        <f t="shared" si="3"/>
        <v>0</v>
      </c>
      <c r="P31" s="25">
        <f t="shared" si="4"/>
        <v>46141</v>
      </c>
      <c r="Q31" s="2">
        <f>IF(M31&gt;0,$M$190,IFERROR((O31/J31),0))/crop_intensity!$C$7</f>
        <v>0</v>
      </c>
      <c r="R31" s="389">
        <f t="shared" si="5"/>
        <v>0</v>
      </c>
    </row>
    <row r="32" spans="1:18" ht="12.5">
      <c r="A32" s="84" t="s">
        <v>755</v>
      </c>
      <c r="B32" s="705">
        <v>426</v>
      </c>
      <c r="C32" s="24" t="s">
        <v>4501</v>
      </c>
      <c r="D32" s="532">
        <v>361539</v>
      </c>
      <c r="E32" s="752">
        <f>IF(M32&gt;0,$N$190,IFERROR((P32/L32),0))/crop_intensity!$D$7</f>
        <v>34.761084870113777</v>
      </c>
      <c r="F32" s="2">
        <f t="shared" si="0"/>
        <v>1</v>
      </c>
      <c r="G32" s="2">
        <f t="shared" si="6"/>
        <v>2.4993969139811365</v>
      </c>
      <c r="H32" s="343">
        <f t="shared" si="1"/>
        <v>25995.433234039581</v>
      </c>
      <c r="I32" s="750"/>
      <c r="J32" s="716">
        <v>8132</v>
      </c>
      <c r="K32" s="513">
        <v>41904100</v>
      </c>
      <c r="L32" s="513">
        <v>1100330</v>
      </c>
      <c r="M32" s="708">
        <v>0</v>
      </c>
      <c r="N32" s="87">
        <f t="shared" si="2"/>
        <v>1</v>
      </c>
      <c r="O32" s="25">
        <f t="shared" si="3"/>
        <v>361539</v>
      </c>
      <c r="P32" s="25">
        <f t="shared" si="4"/>
        <v>41904100</v>
      </c>
      <c r="Q32" s="2">
        <f>IF(M32&gt;0,$M$190,IFERROR((O32/J32),0))/crop_intensity!$C$7</f>
        <v>41.390679715334983</v>
      </c>
      <c r="R32" s="389">
        <f t="shared" si="5"/>
        <v>1.1907188705413816</v>
      </c>
    </row>
    <row r="33" spans="1:18" ht="12.5">
      <c r="A33" s="84" t="s">
        <v>6871</v>
      </c>
      <c r="B33" s="705">
        <v>648</v>
      </c>
      <c r="C33" s="24" t="s">
        <v>6885</v>
      </c>
      <c r="D33" s="532"/>
      <c r="E33" s="752">
        <f>IF(M33&gt;0,$N$190,IFERROR((P33/L33),0))/crop_intensity!$D$7</f>
        <v>0</v>
      </c>
      <c r="F33" s="2">
        <f t="shared" si="0"/>
        <v>1</v>
      </c>
      <c r="G33" s="2">
        <f t="shared" si="6"/>
        <v>2.4993969139811365</v>
      </c>
      <c r="H33" s="343">
        <f t="shared" si="1"/>
        <v>0</v>
      </c>
      <c r="I33" s="750"/>
      <c r="J33" s="716"/>
      <c r="K33" s="513"/>
      <c r="L33" s="513"/>
      <c r="M33" s="708">
        <v>0</v>
      </c>
      <c r="N33" s="87">
        <f t="shared" si="2"/>
        <v>1</v>
      </c>
      <c r="O33" s="25">
        <f t="shared" si="3"/>
        <v>0</v>
      </c>
      <c r="P33" s="25">
        <f t="shared" si="4"/>
        <v>0</v>
      </c>
      <c r="Q33" s="2">
        <f>IF(M33&gt;0,$M$190,IFERROR((O33/J33),0))/crop_intensity!$C$7</f>
        <v>0</v>
      </c>
      <c r="R33" s="389">
        <f t="shared" si="5"/>
        <v>0</v>
      </c>
    </row>
    <row r="34" spans="1:18" ht="12.5">
      <c r="A34" s="84" t="s">
        <v>4502</v>
      </c>
      <c r="B34" s="705">
        <v>217</v>
      </c>
      <c r="C34" s="24" t="s">
        <v>5307</v>
      </c>
      <c r="D34" s="532"/>
      <c r="E34" s="752">
        <f>IF(M34&gt;0,$N$190,IFERROR((P34/L34),0))/crop_intensity!$D$7</f>
        <v>0.51090446074150708</v>
      </c>
      <c r="F34" s="2">
        <f t="shared" si="0"/>
        <v>1</v>
      </c>
      <c r="G34" s="2">
        <f t="shared" si="6"/>
        <v>2.4993969139811365</v>
      </c>
      <c r="H34" s="343">
        <f t="shared" si="1"/>
        <v>0</v>
      </c>
      <c r="I34" s="750"/>
      <c r="J34" s="716"/>
      <c r="K34" s="513">
        <v>4092960</v>
      </c>
      <c r="L34" s="513">
        <v>7312360</v>
      </c>
      <c r="M34" s="708">
        <v>0</v>
      </c>
      <c r="N34" s="87">
        <f t="shared" si="2"/>
        <v>1</v>
      </c>
      <c r="O34" s="25">
        <f t="shared" si="3"/>
        <v>0</v>
      </c>
      <c r="P34" s="25">
        <f t="shared" si="4"/>
        <v>4092960</v>
      </c>
      <c r="Q34" s="2">
        <f>IF(M34&gt;0,$M$190,IFERROR((O34/J34),0))/crop_intensity!$C$7</f>
        <v>0</v>
      </c>
      <c r="R34" s="389">
        <f t="shared" si="5"/>
        <v>0</v>
      </c>
    </row>
    <row r="35" spans="1:18" ht="12.5">
      <c r="A35" s="84" t="s">
        <v>4503</v>
      </c>
      <c r="B35" s="705">
        <v>591</v>
      </c>
      <c r="C35" s="24" t="s">
        <v>4504</v>
      </c>
      <c r="D35" s="532"/>
      <c r="E35" s="752">
        <f>IF(M35&gt;0,$N$190,IFERROR((P35/L35),0))/crop_intensity!$D$7</f>
        <v>2.4385286563133652</v>
      </c>
      <c r="F35" s="2">
        <f t="shared" si="0"/>
        <v>1</v>
      </c>
      <c r="G35" s="2">
        <f t="shared" si="6"/>
        <v>2.4993969139811365</v>
      </c>
      <c r="H35" s="343">
        <f t="shared" si="1"/>
        <v>0</v>
      </c>
      <c r="I35" s="750"/>
      <c r="J35" s="716"/>
      <c r="K35" s="513">
        <v>1352960</v>
      </c>
      <c r="L35" s="513">
        <v>506427</v>
      </c>
      <c r="M35" s="708">
        <v>0</v>
      </c>
      <c r="N35" s="87">
        <f t="shared" si="2"/>
        <v>1</v>
      </c>
      <c r="O35" s="25">
        <f t="shared" si="3"/>
        <v>0</v>
      </c>
      <c r="P35" s="25">
        <f t="shared" si="4"/>
        <v>1352960</v>
      </c>
      <c r="Q35" s="2">
        <f>IF(M35&gt;0,$M$190,IFERROR((O35/J35),0))/crop_intensity!$C$7</f>
        <v>0</v>
      </c>
      <c r="R35" s="389">
        <f t="shared" si="5"/>
        <v>0</v>
      </c>
    </row>
    <row r="36" spans="1:18" ht="12.5">
      <c r="A36" s="84" t="s">
        <v>4505</v>
      </c>
      <c r="B36" s="705">
        <v>125</v>
      </c>
      <c r="C36" s="24" t="s">
        <v>5308</v>
      </c>
      <c r="D36" s="532"/>
      <c r="E36" s="752">
        <f>IF(M36&gt;0,$N$190,IFERROR((P36/L36),0))/crop_intensity!$D$7</f>
        <v>10.06746024824678</v>
      </c>
      <c r="F36" s="2">
        <f t="shared" si="0"/>
        <v>1</v>
      </c>
      <c r="G36" s="2">
        <f t="shared" si="6"/>
        <v>2.4993969139811365</v>
      </c>
      <c r="H36" s="343">
        <f t="shared" si="1"/>
        <v>0</v>
      </c>
      <c r="I36" s="750"/>
      <c r="J36" s="716"/>
      <c r="K36" s="513">
        <v>295052000</v>
      </c>
      <c r="L36" s="513">
        <v>26750900</v>
      </c>
      <c r="M36" s="708">
        <v>0</v>
      </c>
      <c r="N36" s="87">
        <f t="shared" si="2"/>
        <v>1</v>
      </c>
      <c r="O36" s="25">
        <f t="shared" si="3"/>
        <v>0</v>
      </c>
      <c r="P36" s="25">
        <f t="shared" si="4"/>
        <v>295052000</v>
      </c>
      <c r="Q36" s="2">
        <f>IF(M36&gt;0,$M$190,IFERROR((O36/J36),0))/crop_intensity!$C$7</f>
        <v>0</v>
      </c>
      <c r="R36" s="389">
        <f t="shared" si="5"/>
        <v>0</v>
      </c>
    </row>
    <row r="37" spans="1:18" ht="12.5">
      <c r="A37" s="84" t="s">
        <v>3739</v>
      </c>
      <c r="B37" s="705">
        <v>265</v>
      </c>
      <c r="C37" s="24" t="s">
        <v>5309</v>
      </c>
      <c r="D37" s="532"/>
      <c r="E37" s="752">
        <f>IF(M37&gt;0,$N$190,IFERROR((P37/L37),0))/crop_intensity!$D$7</f>
        <v>1.3251768534970589</v>
      </c>
      <c r="F37" s="2">
        <f t="shared" si="0"/>
        <v>1</v>
      </c>
      <c r="G37" s="2">
        <f t="shared" si="6"/>
        <v>2.4993969139811365</v>
      </c>
      <c r="H37" s="343">
        <f t="shared" si="1"/>
        <v>0</v>
      </c>
      <c r="I37" s="750"/>
      <c r="J37" s="716"/>
      <c r="K37" s="513">
        <v>1765070</v>
      </c>
      <c r="L37" s="513">
        <v>1215760</v>
      </c>
      <c r="M37" s="708">
        <v>0</v>
      </c>
      <c r="N37" s="87">
        <f t="shared" si="2"/>
        <v>1</v>
      </c>
      <c r="O37" s="25">
        <f t="shared" si="3"/>
        <v>0</v>
      </c>
      <c r="P37" s="25">
        <f t="shared" si="4"/>
        <v>1765070</v>
      </c>
      <c r="Q37" s="2">
        <f>IF(M37&gt;0,$M$190,IFERROR((O37/J37),0))/crop_intensity!$C$7</f>
        <v>0</v>
      </c>
      <c r="R37" s="389">
        <f t="shared" si="5"/>
        <v>0</v>
      </c>
    </row>
    <row r="38" spans="1:18" ht="12.5">
      <c r="A38" s="84" t="s">
        <v>3740</v>
      </c>
      <c r="B38" s="705">
        <v>393</v>
      </c>
      <c r="C38" s="24" t="s">
        <v>3741</v>
      </c>
      <c r="D38" s="532">
        <v>71423</v>
      </c>
      <c r="E38" s="752">
        <f>IF(M38&gt;0,$N$190,IFERROR((P38/L38),0))/crop_intensity!$D$7</f>
        <v>16.976835100335471</v>
      </c>
      <c r="F38" s="2">
        <f t="shared" ref="F38:F68" si="7">VLOOKUP("Crop Land",iyf,2,FALSE)</f>
        <v>1</v>
      </c>
      <c r="G38" s="2">
        <f t="shared" si="6"/>
        <v>2.4993969139811365</v>
      </c>
      <c r="H38" s="343">
        <f t="shared" si="1"/>
        <v>10515.176988657158</v>
      </c>
      <c r="I38" s="750"/>
      <c r="J38" s="716">
        <v>5758</v>
      </c>
      <c r="K38" s="513">
        <v>26210900</v>
      </c>
      <c r="L38" s="513">
        <v>1409240</v>
      </c>
      <c r="M38" s="708">
        <v>0</v>
      </c>
      <c r="N38" s="87">
        <f t="shared" si="2"/>
        <v>1</v>
      </c>
      <c r="O38" s="25">
        <f t="shared" si="3"/>
        <v>71423</v>
      </c>
      <c r="P38" s="25">
        <f t="shared" si="4"/>
        <v>26210900</v>
      </c>
      <c r="Q38" s="2">
        <f>IF(M38&gt;0,$M$190,IFERROR((O38/J38),0))/crop_intensity!$C$7</f>
        <v>11.54811774793766</v>
      </c>
      <c r="R38" s="389">
        <f t="shared" si="5"/>
        <v>0.6802279505977803</v>
      </c>
    </row>
    <row r="39" spans="1:18" ht="12.5">
      <c r="A39" s="84" t="s">
        <v>1846</v>
      </c>
      <c r="B39" s="705">
        <v>108</v>
      </c>
      <c r="C39" s="24" t="s">
        <v>3062</v>
      </c>
      <c r="D39" s="532"/>
      <c r="E39" s="752">
        <f>IF(M39&gt;0,$N$190,IFERROR((P39/L39),0))/crop_intensity!$D$7</f>
        <v>2.6369352977684146</v>
      </c>
      <c r="F39" s="2">
        <f t="shared" si="7"/>
        <v>1</v>
      </c>
      <c r="G39" s="2">
        <f t="shared" si="6"/>
        <v>2.4993969139811365</v>
      </c>
      <c r="H39" s="343">
        <f t="shared" ref="H39:H70" si="8">IFERROR((O39/E39)*G39*F39,0)</f>
        <v>0</v>
      </c>
      <c r="I39" s="750"/>
      <c r="J39" s="716"/>
      <c r="K39" s="513">
        <v>7512890</v>
      </c>
      <c r="L39" s="513">
        <v>4559850</v>
      </c>
      <c r="M39" s="708">
        <v>1</v>
      </c>
      <c r="N39" s="87">
        <f t="shared" ref="N39:N70" si="9">VLOOKUP(B39,constant_crop_factor,3,FALSE)</f>
        <v>1</v>
      </c>
      <c r="O39" s="25">
        <f t="shared" ref="O39:O70" si="10">D39*N39</f>
        <v>0</v>
      </c>
      <c r="P39" s="25">
        <f t="shared" ref="P39:P70" si="11">K39*N39</f>
        <v>7512890</v>
      </c>
      <c r="Q39" s="2">
        <f>IF(M39&gt;0,$M$190,IFERROR((O39/J39),0))/crop_intensity!$C$7</f>
        <v>3.229070276356417</v>
      </c>
      <c r="R39" s="389">
        <f t="shared" ref="R39:R70" si="12">IFERROR(Q39/E39,0)</f>
        <v>1.224554231227863</v>
      </c>
    </row>
    <row r="40" spans="1:18" ht="12.5">
      <c r="A40" s="84" t="s">
        <v>3742</v>
      </c>
      <c r="B40" s="705">
        <v>531</v>
      </c>
      <c r="C40" s="24" t="s">
        <v>3743</v>
      </c>
      <c r="D40" s="532">
        <v>26182</v>
      </c>
      <c r="E40" s="752">
        <f>IF(M40&gt;0,$N$190,IFERROR((P40/L40),0))/crop_intensity!$D$7</f>
        <v>5.5157444500254424</v>
      </c>
      <c r="F40" s="2">
        <f t="shared" si="7"/>
        <v>1</v>
      </c>
      <c r="G40" s="2">
        <f t="shared" ref="G40:G71" si="13">$G$7</f>
        <v>2.4993969139811365</v>
      </c>
      <c r="H40" s="343">
        <f t="shared" si="8"/>
        <v>11864.07575527765</v>
      </c>
      <c r="I40" s="750"/>
      <c r="J40" s="716">
        <v>2037</v>
      </c>
      <c r="K40" s="513">
        <v>2568450</v>
      </c>
      <c r="L40" s="513">
        <v>425037</v>
      </c>
      <c r="M40" s="708">
        <v>0</v>
      </c>
      <c r="N40" s="87">
        <f t="shared" si="9"/>
        <v>1</v>
      </c>
      <c r="O40" s="25">
        <f t="shared" si="10"/>
        <v>26182</v>
      </c>
      <c r="P40" s="25">
        <f t="shared" si="11"/>
        <v>2568450</v>
      </c>
      <c r="Q40" s="2">
        <f>IF(M40&gt;0,$M$190,IFERROR((O40/J40),0))/crop_intensity!$C$7</f>
        <v>11.96620849203495</v>
      </c>
      <c r="R40" s="389">
        <f t="shared" si="12"/>
        <v>2.1694639047281736</v>
      </c>
    </row>
    <row r="41" spans="1:18" ht="12.5">
      <c r="A41" s="84" t="s">
        <v>3744</v>
      </c>
      <c r="B41" s="705">
        <v>220</v>
      </c>
      <c r="C41" s="24" t="s">
        <v>1356</v>
      </c>
      <c r="D41" s="532"/>
      <c r="E41" s="752">
        <f>IF(M41&gt;0,$N$190,IFERROR((P41/L41),0))/crop_intensity!$D$7</f>
        <v>3.4949318010796642</v>
      </c>
      <c r="F41" s="2">
        <f t="shared" si="7"/>
        <v>1</v>
      </c>
      <c r="G41" s="2">
        <f t="shared" si="13"/>
        <v>2.4993969139811365</v>
      </c>
      <c r="H41" s="343">
        <f t="shared" si="8"/>
        <v>0</v>
      </c>
      <c r="I41" s="750"/>
      <c r="J41" s="716"/>
      <c r="K41" s="513">
        <v>2363400</v>
      </c>
      <c r="L41" s="513">
        <v>617246</v>
      </c>
      <c r="M41" s="708">
        <v>0</v>
      </c>
      <c r="N41" s="87">
        <f t="shared" si="9"/>
        <v>1</v>
      </c>
      <c r="O41" s="25">
        <f t="shared" si="10"/>
        <v>0</v>
      </c>
      <c r="P41" s="25">
        <f t="shared" si="11"/>
        <v>2363400</v>
      </c>
      <c r="Q41" s="2">
        <f>IF(M41&gt;0,$M$190,IFERROR((O41/J41),0))/crop_intensity!$C$7</f>
        <v>0</v>
      </c>
      <c r="R41" s="389">
        <f t="shared" si="12"/>
        <v>0</v>
      </c>
    </row>
    <row r="42" spans="1:18" ht="12.5">
      <c r="A42" s="84" t="s">
        <v>2507</v>
      </c>
      <c r="B42" s="705">
        <v>191</v>
      </c>
      <c r="C42" s="24" t="s">
        <v>1582</v>
      </c>
      <c r="D42" s="532">
        <v>311300</v>
      </c>
      <c r="E42" s="752">
        <f>IF(M42&gt;0,$N$190,IFERROR((P42/L42),0))/crop_intensity!$D$7</f>
        <v>0.95676425130758969</v>
      </c>
      <c r="F42" s="2">
        <f t="shared" si="7"/>
        <v>1</v>
      </c>
      <c r="G42" s="2">
        <f t="shared" si="13"/>
        <v>2.4993969139811365</v>
      </c>
      <c r="H42" s="343">
        <f t="shared" si="8"/>
        <v>813222.54490483564</v>
      </c>
      <c r="I42" s="750"/>
      <c r="J42" s="716">
        <v>176000</v>
      </c>
      <c r="K42" s="513">
        <v>16135400</v>
      </c>
      <c r="L42" s="513">
        <v>15393400</v>
      </c>
      <c r="M42" s="708">
        <v>0</v>
      </c>
      <c r="N42" s="87">
        <f t="shared" si="9"/>
        <v>1</v>
      </c>
      <c r="O42" s="25">
        <f t="shared" si="10"/>
        <v>311300</v>
      </c>
      <c r="P42" s="25">
        <f t="shared" si="11"/>
        <v>16135400</v>
      </c>
      <c r="Q42" s="2">
        <f>IF(M42&gt;0,$M$190,IFERROR((O42/J42),0))/crop_intensity!$C$7</f>
        <v>1.6466876517292126</v>
      </c>
      <c r="R42" s="389">
        <f t="shared" si="12"/>
        <v>1.7211007303823476</v>
      </c>
    </row>
    <row r="43" spans="1:18" ht="12.5">
      <c r="A43" s="84" t="s">
        <v>4493</v>
      </c>
      <c r="B43" s="705">
        <v>459</v>
      </c>
      <c r="C43" s="24" t="s">
        <v>4494</v>
      </c>
      <c r="D43" s="532"/>
      <c r="E43" s="752">
        <f>IF(M43&gt;0,$N$190,IFERROR((P43/L43),0))/crop_intensity!$D$7</f>
        <v>11.18374922026506</v>
      </c>
      <c r="F43" s="2">
        <f t="shared" si="7"/>
        <v>1</v>
      </c>
      <c r="G43" s="2">
        <f t="shared" si="13"/>
        <v>2.4993969139811365</v>
      </c>
      <c r="H43" s="343">
        <f t="shared" si="8"/>
        <v>0</v>
      </c>
      <c r="I43" s="750"/>
      <c r="J43" s="716"/>
      <c r="K43" s="513">
        <v>21344</v>
      </c>
      <c r="L43" s="513">
        <v>1742</v>
      </c>
      <c r="M43" s="708">
        <v>0</v>
      </c>
      <c r="N43" s="87">
        <f t="shared" si="9"/>
        <v>1</v>
      </c>
      <c r="O43" s="25">
        <f t="shared" si="10"/>
        <v>0</v>
      </c>
      <c r="P43" s="25">
        <f t="shared" si="11"/>
        <v>21344</v>
      </c>
      <c r="Q43" s="2">
        <f>IF(M43&gt;0,$M$190,IFERROR((O43/J43),0))/crop_intensity!$C$7</f>
        <v>0</v>
      </c>
      <c r="R43" s="389">
        <f t="shared" si="12"/>
        <v>0</v>
      </c>
    </row>
    <row r="44" spans="1:18" ht="12.5">
      <c r="A44" s="84" t="s">
        <v>2508</v>
      </c>
      <c r="B44" s="705">
        <v>689</v>
      </c>
      <c r="C44" s="24" t="s">
        <v>2509</v>
      </c>
      <c r="D44" s="532"/>
      <c r="E44" s="752">
        <f>IF(M44&gt;0,$N$190,IFERROR((P44/L44),0))/crop_intensity!$D$7</f>
        <v>2.4702958454214352</v>
      </c>
      <c r="F44" s="2">
        <f t="shared" si="7"/>
        <v>1</v>
      </c>
      <c r="G44" s="2">
        <f t="shared" si="13"/>
        <v>2.4993969139811365</v>
      </c>
      <c r="H44" s="343">
        <f t="shared" si="8"/>
        <v>0</v>
      </c>
      <c r="I44" s="750"/>
      <c r="J44" s="716"/>
      <c r="K44" s="513">
        <v>4629430</v>
      </c>
      <c r="L44" s="513">
        <v>1710560</v>
      </c>
      <c r="M44" s="708">
        <v>0</v>
      </c>
      <c r="N44" s="87">
        <f t="shared" si="9"/>
        <v>1</v>
      </c>
      <c r="O44" s="25">
        <f t="shared" si="10"/>
        <v>0</v>
      </c>
      <c r="P44" s="25">
        <f t="shared" si="11"/>
        <v>4629430</v>
      </c>
      <c r="Q44" s="2">
        <f>IF(M44&gt;0,$M$190,IFERROR((O44/J44),0))/crop_intensity!$C$7</f>
        <v>0</v>
      </c>
      <c r="R44" s="389">
        <f t="shared" si="12"/>
        <v>0</v>
      </c>
    </row>
    <row r="45" spans="1:18" ht="12.5">
      <c r="A45" s="84" t="s">
        <v>2510</v>
      </c>
      <c r="B45" s="705">
        <v>401</v>
      </c>
      <c r="C45" s="24" t="s">
        <v>2511</v>
      </c>
      <c r="D45" s="532">
        <v>66945</v>
      </c>
      <c r="E45" s="752">
        <f>IF(M45&gt;0,$N$190,IFERROR((P45/L45),0))/crop_intensity!$D$7</f>
        <v>17.111905654673176</v>
      </c>
      <c r="F45" s="2">
        <f t="shared" si="7"/>
        <v>1</v>
      </c>
      <c r="G45" s="2">
        <f t="shared" si="13"/>
        <v>2.4993969139811365</v>
      </c>
      <c r="H45" s="343">
        <f t="shared" si="8"/>
        <v>9778.111788547194</v>
      </c>
      <c r="I45" s="750"/>
      <c r="J45" s="716">
        <v>2502</v>
      </c>
      <c r="K45" s="513">
        <v>37341800</v>
      </c>
      <c r="L45" s="513">
        <v>1991850</v>
      </c>
      <c r="M45" s="708">
        <v>0</v>
      </c>
      <c r="N45" s="87">
        <f t="shared" si="9"/>
        <v>1</v>
      </c>
      <c r="O45" s="25">
        <f t="shared" si="10"/>
        <v>66945</v>
      </c>
      <c r="P45" s="25">
        <f t="shared" si="11"/>
        <v>37341800</v>
      </c>
      <c r="Q45" s="2">
        <f>IF(M45&gt;0,$M$190,IFERROR((O45/J45),0))/crop_intensity!$C$7</f>
        <v>24.910108344705073</v>
      </c>
      <c r="R45" s="389">
        <f t="shared" si="12"/>
        <v>1.4557179572751002</v>
      </c>
    </row>
    <row r="46" spans="1:18" ht="12.5">
      <c r="A46" s="84" t="s">
        <v>2512</v>
      </c>
      <c r="B46" s="705">
        <v>693</v>
      </c>
      <c r="C46" s="24" t="s">
        <v>2513</v>
      </c>
      <c r="D46" s="532"/>
      <c r="E46" s="752">
        <f>IF(M46&gt;0,$N$190,IFERROR((P46/L46),0))/crop_intensity!$D$7</f>
        <v>0.72189330833018284</v>
      </c>
      <c r="F46" s="2">
        <f t="shared" si="7"/>
        <v>1</v>
      </c>
      <c r="G46" s="2">
        <f t="shared" si="13"/>
        <v>2.4993969139811365</v>
      </c>
      <c r="H46" s="343">
        <f t="shared" si="8"/>
        <v>0</v>
      </c>
      <c r="I46" s="750"/>
      <c r="J46" s="716"/>
      <c r="K46" s="513">
        <v>237895</v>
      </c>
      <c r="L46" s="513">
        <v>300796</v>
      </c>
      <c r="M46" s="708">
        <v>0</v>
      </c>
      <c r="N46" s="87">
        <f t="shared" si="9"/>
        <v>1</v>
      </c>
      <c r="O46" s="25">
        <f t="shared" si="10"/>
        <v>0</v>
      </c>
      <c r="P46" s="25">
        <f t="shared" si="11"/>
        <v>237895</v>
      </c>
      <c r="Q46" s="2">
        <f>IF(M46&gt;0,$M$190,IFERROR((O46/J46),0))/crop_intensity!$C$7</f>
        <v>0</v>
      </c>
      <c r="R46" s="389">
        <f t="shared" si="12"/>
        <v>0</v>
      </c>
    </row>
    <row r="47" spans="1:18" ht="12.5">
      <c r="A47" s="84" t="s">
        <v>1848</v>
      </c>
      <c r="B47" s="705">
        <v>512</v>
      </c>
      <c r="C47" s="24" t="s">
        <v>5312</v>
      </c>
      <c r="D47" s="532"/>
      <c r="E47" s="752">
        <f>IF(M47&gt;0,$N$190,IFERROR((P47/L47),0))/crop_intensity!$D$7</f>
        <v>8.8245568497114775</v>
      </c>
      <c r="F47" s="2">
        <f t="shared" si="7"/>
        <v>1</v>
      </c>
      <c r="G47" s="2">
        <f t="shared" si="13"/>
        <v>2.4993969139811365</v>
      </c>
      <c r="H47" s="343">
        <f t="shared" si="8"/>
        <v>0</v>
      </c>
      <c r="I47" s="750"/>
      <c r="J47" s="716"/>
      <c r="K47" s="513">
        <v>14399500</v>
      </c>
      <c r="L47" s="513">
        <v>1489410</v>
      </c>
      <c r="M47" s="708">
        <v>0</v>
      </c>
      <c r="N47" s="87">
        <f t="shared" si="9"/>
        <v>1</v>
      </c>
      <c r="O47" s="25">
        <f t="shared" si="10"/>
        <v>0</v>
      </c>
      <c r="P47" s="25">
        <f t="shared" si="11"/>
        <v>14399500</v>
      </c>
      <c r="Q47" s="2">
        <f>IF(M47&gt;0,$M$190,IFERROR((O47/J47),0))/crop_intensity!$C$7</f>
        <v>0</v>
      </c>
      <c r="R47" s="389">
        <f t="shared" si="12"/>
        <v>0</v>
      </c>
    </row>
    <row r="48" spans="1:18" ht="12.5">
      <c r="A48" s="84" t="s">
        <v>2514</v>
      </c>
      <c r="B48" s="705">
        <v>640</v>
      </c>
      <c r="C48" s="24" t="s">
        <v>2515</v>
      </c>
      <c r="D48" s="532"/>
      <c r="E48" s="752">
        <f>IF(M48&gt;0,$N$190,IFERROR((P48/L48),0))/crop_intensity!$D$7</f>
        <v>0</v>
      </c>
      <c r="F48" s="2">
        <f t="shared" si="7"/>
        <v>1</v>
      </c>
      <c r="G48" s="2">
        <f t="shared" si="13"/>
        <v>2.4993969139811365</v>
      </c>
      <c r="H48" s="343">
        <f t="shared" si="8"/>
        <v>0</v>
      </c>
      <c r="I48" s="750"/>
      <c r="J48" s="716"/>
      <c r="K48" s="513"/>
      <c r="L48" s="513"/>
      <c r="M48" s="708">
        <v>0</v>
      </c>
      <c r="N48" s="87">
        <f t="shared" si="9"/>
        <v>1</v>
      </c>
      <c r="O48" s="25">
        <f t="shared" si="10"/>
        <v>0</v>
      </c>
      <c r="P48" s="25">
        <f t="shared" si="11"/>
        <v>0</v>
      </c>
      <c r="Q48" s="2">
        <f>IF(M48&gt;0,$M$190,IFERROR((O48/J48),0))/crop_intensity!$C$7</f>
        <v>0</v>
      </c>
      <c r="R48" s="389">
        <f t="shared" si="12"/>
        <v>0</v>
      </c>
    </row>
    <row r="49" spans="1:18" ht="12.5">
      <c r="A49" s="84" t="s">
        <v>2516</v>
      </c>
      <c r="B49" s="705">
        <v>698</v>
      </c>
      <c r="C49" s="24" t="s">
        <v>3213</v>
      </c>
      <c r="D49" s="532"/>
      <c r="E49" s="752">
        <f>IF(M49&gt;0,$N$190,IFERROR((P49/L49),0))/crop_intensity!$D$7</f>
        <v>0.24228437387210841</v>
      </c>
      <c r="F49" s="2">
        <f t="shared" si="7"/>
        <v>1</v>
      </c>
      <c r="G49" s="2">
        <f t="shared" si="13"/>
        <v>2.4993969139811365</v>
      </c>
      <c r="H49" s="343">
        <f t="shared" si="8"/>
        <v>0</v>
      </c>
      <c r="I49" s="750"/>
      <c r="J49" s="716"/>
      <c r="K49" s="513">
        <v>179886</v>
      </c>
      <c r="L49" s="513">
        <v>677691</v>
      </c>
      <c r="M49" s="708">
        <v>0</v>
      </c>
      <c r="N49" s="87">
        <f t="shared" si="9"/>
        <v>1</v>
      </c>
      <c r="O49" s="25">
        <f t="shared" si="10"/>
        <v>0</v>
      </c>
      <c r="P49" s="25">
        <f t="shared" si="11"/>
        <v>179886</v>
      </c>
      <c r="Q49" s="2">
        <f>IF(M49&gt;0,$M$190,IFERROR((O49/J49),0))/crop_intensity!$C$7</f>
        <v>0</v>
      </c>
      <c r="R49" s="389">
        <f t="shared" si="12"/>
        <v>0</v>
      </c>
    </row>
    <row r="50" spans="1:18" ht="12.5">
      <c r="A50" s="84" t="s">
        <v>3214</v>
      </c>
      <c r="B50" s="705">
        <v>661</v>
      </c>
      <c r="C50" s="24" t="s">
        <v>3509</v>
      </c>
      <c r="D50" s="532"/>
      <c r="E50" s="752">
        <f>IF(M50&gt;0,$N$190,IFERROR((P50/L50),0))/crop_intensity!$D$7</f>
        <v>0.41523454118266084</v>
      </c>
      <c r="F50" s="2">
        <f t="shared" si="7"/>
        <v>1</v>
      </c>
      <c r="G50" s="2">
        <f t="shared" si="13"/>
        <v>2.4993969139811365</v>
      </c>
      <c r="H50" s="343">
        <f t="shared" si="8"/>
        <v>0</v>
      </c>
      <c r="I50" s="750"/>
      <c r="J50" s="716"/>
      <c r="K50" s="513">
        <v>5573390</v>
      </c>
      <c r="L50" s="513">
        <v>12251400</v>
      </c>
      <c r="M50" s="708">
        <v>0</v>
      </c>
      <c r="N50" s="87">
        <f t="shared" si="9"/>
        <v>1</v>
      </c>
      <c r="O50" s="25">
        <f t="shared" si="10"/>
        <v>0</v>
      </c>
      <c r="P50" s="25">
        <f t="shared" si="11"/>
        <v>5573390</v>
      </c>
      <c r="Q50" s="2">
        <f>IF(M50&gt;0,$M$190,IFERROR((O50/J50),0))/crop_intensity!$C$7</f>
        <v>0</v>
      </c>
      <c r="R50" s="389">
        <f t="shared" si="12"/>
        <v>0</v>
      </c>
    </row>
    <row r="51" spans="1:18" ht="12.5">
      <c r="A51" s="84" t="s">
        <v>882</v>
      </c>
      <c r="B51" s="705">
        <v>249</v>
      </c>
      <c r="C51" s="24" t="s">
        <v>3510</v>
      </c>
      <c r="D51" s="532"/>
      <c r="E51" s="752">
        <f>IF(M51&gt;0,$N$190,IFERROR((P51/L51),0))/crop_intensity!$D$7</f>
        <v>4.9920059476827348</v>
      </c>
      <c r="F51" s="2">
        <f t="shared" si="7"/>
        <v>1</v>
      </c>
      <c r="G51" s="2">
        <f t="shared" si="13"/>
        <v>2.4993969139811365</v>
      </c>
      <c r="H51" s="343">
        <f t="shared" si="8"/>
        <v>0</v>
      </c>
      <c r="I51" s="750"/>
      <c r="J51" s="716"/>
      <c r="K51" s="513">
        <v>63765800</v>
      </c>
      <c r="L51" s="513">
        <v>11659300</v>
      </c>
      <c r="M51" s="708">
        <v>0</v>
      </c>
      <c r="N51" s="87">
        <f t="shared" si="9"/>
        <v>1</v>
      </c>
      <c r="O51" s="25">
        <f t="shared" si="10"/>
        <v>0</v>
      </c>
      <c r="P51" s="25">
        <f t="shared" si="11"/>
        <v>63765800</v>
      </c>
      <c r="Q51" s="2">
        <f>IF(M51&gt;0,$M$190,IFERROR((O51/J51),0))/crop_intensity!$C$7</f>
        <v>0</v>
      </c>
      <c r="R51" s="389">
        <f t="shared" si="12"/>
        <v>0</v>
      </c>
    </row>
    <row r="52" spans="1:18" ht="12.5">
      <c r="A52" s="84" t="s">
        <v>883</v>
      </c>
      <c r="B52" s="705">
        <v>656</v>
      </c>
      <c r="C52" s="24" t="s">
        <v>3511</v>
      </c>
      <c r="D52" s="532"/>
      <c r="E52" s="752">
        <f>IF(M52&gt;0,$N$190,IFERROR((P52/L52),0))/crop_intensity!$D$7</f>
        <v>0.88478413611248241</v>
      </c>
      <c r="F52" s="2">
        <f t="shared" si="7"/>
        <v>1</v>
      </c>
      <c r="G52" s="2">
        <f t="shared" si="13"/>
        <v>2.4993969139811365</v>
      </c>
      <c r="H52" s="343">
        <f t="shared" si="8"/>
        <v>0</v>
      </c>
      <c r="I52" s="750"/>
      <c r="J52" s="716"/>
      <c r="K52" s="513">
        <v>10412200</v>
      </c>
      <c r="L52" s="513">
        <v>10741500</v>
      </c>
      <c r="M52" s="708">
        <v>0</v>
      </c>
      <c r="N52" s="87">
        <f t="shared" si="9"/>
        <v>1</v>
      </c>
      <c r="O52" s="25">
        <f t="shared" si="10"/>
        <v>0</v>
      </c>
      <c r="P52" s="25">
        <f t="shared" si="11"/>
        <v>10412200</v>
      </c>
      <c r="Q52" s="2">
        <f>IF(M52&gt;0,$M$190,IFERROR((O52/J52),0))/crop_intensity!$C$7</f>
        <v>0</v>
      </c>
      <c r="R52" s="389">
        <f t="shared" si="12"/>
        <v>0</v>
      </c>
    </row>
    <row r="53" spans="1:18" ht="12.5">
      <c r="A53" s="84" t="s">
        <v>1075</v>
      </c>
      <c r="B53" s="705">
        <v>195</v>
      </c>
      <c r="C53" s="24" t="s">
        <v>1076</v>
      </c>
      <c r="D53" s="532"/>
      <c r="E53" s="752">
        <f>IF(M53&gt;0,$N$190,IFERROR((P53/L53),0))/crop_intensity!$D$7</f>
        <v>0.55602126246025174</v>
      </c>
      <c r="F53" s="2">
        <f t="shared" si="7"/>
        <v>1</v>
      </c>
      <c r="G53" s="2">
        <f t="shared" si="13"/>
        <v>2.4993969139811365</v>
      </c>
      <c r="H53" s="343">
        <f t="shared" si="8"/>
        <v>0</v>
      </c>
      <c r="I53" s="750"/>
      <c r="J53" s="716"/>
      <c r="K53" s="513">
        <v>8785920</v>
      </c>
      <c r="L53" s="513">
        <v>14423000</v>
      </c>
      <c r="M53" s="708">
        <v>0</v>
      </c>
      <c r="N53" s="87">
        <f t="shared" si="9"/>
        <v>1</v>
      </c>
      <c r="O53" s="25">
        <f t="shared" si="10"/>
        <v>0</v>
      </c>
      <c r="P53" s="25">
        <f t="shared" si="11"/>
        <v>8785920</v>
      </c>
      <c r="Q53" s="2">
        <f>IF(M53&gt;0,$M$190,IFERROR((O53/J53),0))/crop_intensity!$C$7</f>
        <v>0</v>
      </c>
      <c r="R53" s="389">
        <f t="shared" si="12"/>
        <v>0</v>
      </c>
    </row>
    <row r="54" spans="1:18" ht="12.5">
      <c r="A54" s="84" t="s">
        <v>577</v>
      </c>
      <c r="B54" s="705">
        <v>554</v>
      </c>
      <c r="C54" s="24" t="s">
        <v>5375</v>
      </c>
      <c r="D54" s="532">
        <v>178537</v>
      </c>
      <c r="E54" s="752">
        <f>IF(M54&gt;0,$N$190,IFERROR((P54/L54),0))/crop_intensity!$D$7</f>
        <v>16.672962077860689</v>
      </c>
      <c r="F54" s="2">
        <f t="shared" si="7"/>
        <v>1</v>
      </c>
      <c r="G54" s="2">
        <f t="shared" si="13"/>
        <v>2.4993969139811365</v>
      </c>
      <c r="H54" s="343">
        <f t="shared" si="8"/>
        <v>26763.980194256321</v>
      </c>
      <c r="I54" s="750"/>
      <c r="J54" s="716">
        <v>6498</v>
      </c>
      <c r="K54" s="513">
        <v>716938</v>
      </c>
      <c r="L54" s="513">
        <v>39249</v>
      </c>
      <c r="M54" s="708">
        <v>0</v>
      </c>
      <c r="N54" s="87">
        <f t="shared" si="9"/>
        <v>1</v>
      </c>
      <c r="O54" s="25">
        <f t="shared" si="10"/>
        <v>178537</v>
      </c>
      <c r="P54" s="25">
        <f t="shared" si="11"/>
        <v>716938</v>
      </c>
      <c r="Q54" s="2">
        <f>IF(M54&gt;0,$M$190,IFERROR((O54/J54),0))/crop_intensity!$C$7</f>
        <v>25.579573668377737</v>
      </c>
      <c r="R54" s="389">
        <f t="shared" si="12"/>
        <v>1.5341949168314704</v>
      </c>
    </row>
    <row r="55" spans="1:18" ht="12.5">
      <c r="A55" s="84" t="s">
        <v>2452</v>
      </c>
      <c r="B55" s="705">
        <v>397</v>
      </c>
      <c r="C55" s="24" t="s">
        <v>2453</v>
      </c>
      <c r="D55" s="532">
        <v>57295</v>
      </c>
      <c r="E55" s="752">
        <f>IF(M55&gt;0,$N$190,IFERROR((P55/L55),0))/crop_intensity!$D$7</f>
        <v>35.960569834565227</v>
      </c>
      <c r="F55" s="2">
        <f t="shared" si="7"/>
        <v>1</v>
      </c>
      <c r="G55" s="2">
        <f t="shared" si="13"/>
        <v>2.4993969139811365</v>
      </c>
      <c r="H55" s="343">
        <f t="shared" si="8"/>
        <v>3982.2212730595506</v>
      </c>
      <c r="I55" s="750"/>
      <c r="J55" s="716">
        <v>2354</v>
      </c>
      <c r="K55" s="513">
        <v>84832304</v>
      </c>
      <c r="L55" s="513">
        <v>2153250</v>
      </c>
      <c r="M55" s="708">
        <v>0</v>
      </c>
      <c r="N55" s="87">
        <f t="shared" si="9"/>
        <v>1</v>
      </c>
      <c r="O55" s="25">
        <f t="shared" si="10"/>
        <v>57295</v>
      </c>
      <c r="P55" s="25">
        <f t="shared" si="11"/>
        <v>84832304</v>
      </c>
      <c r="Q55" s="2">
        <f>IF(M55&gt;0,$M$190,IFERROR((O55/J55),0))/crop_intensity!$C$7</f>
        <v>22.659746196883191</v>
      </c>
      <c r="R55" s="389">
        <f t="shared" si="12"/>
        <v>0.63012756196935149</v>
      </c>
    </row>
    <row r="56" spans="1:18" ht="12.5">
      <c r="A56" s="84" t="s">
        <v>807</v>
      </c>
      <c r="B56" s="705">
        <v>550</v>
      </c>
      <c r="C56" s="24" t="s">
        <v>808</v>
      </c>
      <c r="D56" s="532"/>
      <c r="E56" s="752">
        <f>IF(M56&gt;0,$N$190,IFERROR((P56/L56),0))/crop_intensity!$D$7</f>
        <v>4.5656177372104754</v>
      </c>
      <c r="F56" s="2">
        <f t="shared" si="7"/>
        <v>1</v>
      </c>
      <c r="G56" s="2">
        <f t="shared" si="13"/>
        <v>2.4993969139811365</v>
      </c>
      <c r="H56" s="343">
        <f t="shared" si="8"/>
        <v>0</v>
      </c>
      <c r="I56" s="750"/>
      <c r="J56" s="716"/>
      <c r="K56" s="513">
        <v>680541</v>
      </c>
      <c r="L56" s="513">
        <v>136055</v>
      </c>
      <c r="M56" s="708">
        <v>0</v>
      </c>
      <c r="N56" s="87">
        <f t="shared" si="9"/>
        <v>1</v>
      </c>
      <c r="O56" s="25">
        <f t="shared" si="10"/>
        <v>0</v>
      </c>
      <c r="P56" s="25">
        <f t="shared" si="11"/>
        <v>680541</v>
      </c>
      <c r="Q56" s="2">
        <f>IF(M56&gt;0,$M$190,IFERROR((O56/J56),0))/crop_intensity!$C$7</f>
        <v>0</v>
      </c>
      <c r="R56" s="389">
        <f t="shared" si="12"/>
        <v>0</v>
      </c>
    </row>
    <row r="57" spans="1:18" ht="12.5">
      <c r="A57" s="84" t="s">
        <v>809</v>
      </c>
      <c r="B57" s="705">
        <v>577</v>
      </c>
      <c r="C57" s="24" t="s">
        <v>810</v>
      </c>
      <c r="D57" s="532"/>
      <c r="E57" s="752">
        <f>IF(M57&gt;0,$N$190,IFERROR((P57/L57),0))/crop_intensity!$D$7</f>
        <v>6.0505658839045955</v>
      </c>
      <c r="F57" s="2">
        <f t="shared" si="7"/>
        <v>1</v>
      </c>
      <c r="G57" s="2">
        <f t="shared" si="13"/>
        <v>2.4993969139811365</v>
      </c>
      <c r="H57" s="343">
        <f t="shared" si="8"/>
        <v>0</v>
      </c>
      <c r="I57" s="750"/>
      <c r="J57" s="716"/>
      <c r="K57" s="513">
        <v>8871350</v>
      </c>
      <c r="L57" s="513">
        <v>1338300</v>
      </c>
      <c r="M57" s="708">
        <v>0</v>
      </c>
      <c r="N57" s="87">
        <f t="shared" si="9"/>
        <v>1</v>
      </c>
      <c r="O57" s="25">
        <f t="shared" si="10"/>
        <v>0</v>
      </c>
      <c r="P57" s="25">
        <f t="shared" si="11"/>
        <v>8871350</v>
      </c>
      <c r="Q57" s="2">
        <f>IF(M57&gt;0,$M$190,IFERROR((O57/J57),0))/crop_intensity!$C$7</f>
        <v>0</v>
      </c>
      <c r="R57" s="389">
        <f t="shared" si="12"/>
        <v>0</v>
      </c>
    </row>
    <row r="58" spans="1:18" ht="12.5">
      <c r="A58" s="84" t="s">
        <v>811</v>
      </c>
      <c r="B58" s="705">
        <v>399</v>
      </c>
      <c r="C58" s="24" t="s">
        <v>812</v>
      </c>
      <c r="D58" s="532"/>
      <c r="E58" s="752">
        <f>IF(M58&gt;0,$N$190,IFERROR((P58/L58),0))/crop_intensity!$D$7</f>
        <v>26.789392611474717</v>
      </c>
      <c r="F58" s="2">
        <f t="shared" si="7"/>
        <v>1</v>
      </c>
      <c r="G58" s="2">
        <f t="shared" si="13"/>
        <v>2.4993969139811365</v>
      </c>
      <c r="H58" s="343">
        <f t="shared" si="8"/>
        <v>0</v>
      </c>
      <c r="I58" s="750"/>
      <c r="J58" s="716"/>
      <c r="K58" s="513">
        <v>54101700</v>
      </c>
      <c r="L58" s="513">
        <v>1843350</v>
      </c>
      <c r="M58" s="708">
        <v>0</v>
      </c>
      <c r="N58" s="87">
        <f t="shared" si="9"/>
        <v>1</v>
      </c>
      <c r="O58" s="25">
        <f t="shared" si="10"/>
        <v>0</v>
      </c>
      <c r="P58" s="25">
        <f t="shared" si="11"/>
        <v>54101700</v>
      </c>
      <c r="Q58" s="2">
        <f>IF(M58&gt;0,$M$190,IFERROR((O58/J58),0))/crop_intensity!$C$7</f>
        <v>0</v>
      </c>
      <c r="R58" s="389">
        <f t="shared" si="12"/>
        <v>0</v>
      </c>
    </row>
    <row r="59" spans="1:18" ht="12.5">
      <c r="A59" s="84" t="s">
        <v>2140</v>
      </c>
      <c r="B59" s="705">
        <v>821</v>
      </c>
      <c r="C59" s="24" t="s">
        <v>2141</v>
      </c>
      <c r="D59" s="532">
        <v>17145</v>
      </c>
      <c r="E59" s="752">
        <f>IF(M59&gt;0,$N$190,IFERROR((P59/L59),0))/crop_intensity!$D$7</f>
        <v>0.64515972546379996</v>
      </c>
      <c r="F59" s="2">
        <f t="shared" si="7"/>
        <v>1</v>
      </c>
      <c r="G59" s="2">
        <f t="shared" si="13"/>
        <v>2.4993969139811365</v>
      </c>
      <c r="H59" s="343">
        <f t="shared" si="8"/>
        <v>66421.009246044487</v>
      </c>
      <c r="I59" s="750"/>
      <c r="J59" s="716">
        <v>14343</v>
      </c>
      <c r="K59" s="513">
        <v>274897</v>
      </c>
      <c r="L59" s="513">
        <v>388922</v>
      </c>
      <c r="M59" s="708">
        <v>0</v>
      </c>
      <c r="N59" s="87">
        <f t="shared" si="9"/>
        <v>1</v>
      </c>
      <c r="O59" s="25">
        <f t="shared" si="10"/>
        <v>17145</v>
      </c>
      <c r="P59" s="25">
        <f t="shared" si="11"/>
        <v>274897</v>
      </c>
      <c r="Q59" s="2">
        <f>IF(M59&gt;0,$M$190,IFERROR((O59/J59),0))/crop_intensity!$C$7</f>
        <v>1.1128644440938491</v>
      </c>
      <c r="R59" s="389">
        <f t="shared" si="12"/>
        <v>1.7249440722509766</v>
      </c>
    </row>
    <row r="60" spans="1:18" ht="12.5">
      <c r="A60" s="84" t="s">
        <v>813</v>
      </c>
      <c r="B60" s="705">
        <v>569</v>
      </c>
      <c r="C60" s="24" t="s">
        <v>841</v>
      </c>
      <c r="D60" s="532"/>
      <c r="E60" s="752">
        <f>IF(M60&gt;0,$N$190,IFERROR((P60/L60),0))/crop_intensity!$D$7</f>
        <v>3.8880136661503757</v>
      </c>
      <c r="F60" s="2">
        <f t="shared" si="7"/>
        <v>1</v>
      </c>
      <c r="G60" s="2">
        <f t="shared" si="13"/>
        <v>2.4993969139811365</v>
      </c>
      <c r="H60" s="343">
        <f t="shared" si="8"/>
        <v>0</v>
      </c>
      <c r="I60" s="750"/>
      <c r="J60" s="716"/>
      <c r="K60" s="513">
        <v>1224850</v>
      </c>
      <c r="L60" s="513">
        <v>287551</v>
      </c>
      <c r="M60" s="708">
        <v>0</v>
      </c>
      <c r="N60" s="87">
        <f t="shared" si="9"/>
        <v>1</v>
      </c>
      <c r="O60" s="25">
        <f t="shared" si="10"/>
        <v>0</v>
      </c>
      <c r="P60" s="25">
        <f t="shared" si="11"/>
        <v>1224850</v>
      </c>
      <c r="Q60" s="2">
        <f>IF(M60&gt;0,$M$190,IFERROR((O60/J60),0))/crop_intensity!$C$7</f>
        <v>0</v>
      </c>
      <c r="R60" s="389">
        <f t="shared" si="12"/>
        <v>0</v>
      </c>
    </row>
    <row r="61" spans="1:18" ht="12.5">
      <c r="A61" s="84" t="s">
        <v>4316</v>
      </c>
      <c r="B61" s="705">
        <v>773</v>
      </c>
      <c r="C61" s="24" t="s">
        <v>4517</v>
      </c>
      <c r="D61" s="532"/>
      <c r="E61" s="752">
        <f>IF(M61&gt;0,$N$190,IFERROR((P61/L61),0))/crop_intensity!$D$7</f>
        <v>3.4182367054830456</v>
      </c>
      <c r="F61" s="2">
        <f t="shared" si="7"/>
        <v>1</v>
      </c>
      <c r="G61" s="2">
        <f t="shared" si="13"/>
        <v>2.4993969139811365</v>
      </c>
      <c r="H61" s="343">
        <f t="shared" si="8"/>
        <v>0</v>
      </c>
      <c r="I61" s="750"/>
      <c r="J61" s="716"/>
      <c r="K61" s="513">
        <v>887688</v>
      </c>
      <c r="L61" s="513">
        <v>237038</v>
      </c>
      <c r="M61" s="708">
        <v>0</v>
      </c>
      <c r="N61" s="87">
        <f t="shared" si="9"/>
        <v>1</v>
      </c>
      <c r="O61" s="25">
        <f t="shared" si="10"/>
        <v>0</v>
      </c>
      <c r="P61" s="25">
        <f t="shared" si="11"/>
        <v>887688</v>
      </c>
      <c r="Q61" s="2">
        <f>IF(M61&gt;0,$M$190,IFERROR((O61/J61),0))/crop_intensity!$C$7</f>
        <v>0</v>
      </c>
      <c r="R61" s="389">
        <f t="shared" si="12"/>
        <v>0</v>
      </c>
    </row>
    <row r="62" spans="1:18" ht="12.5">
      <c r="A62" s="84" t="s">
        <v>4317</v>
      </c>
      <c r="B62" s="705">
        <v>94</v>
      </c>
      <c r="C62" s="24" t="s">
        <v>5062</v>
      </c>
      <c r="D62" s="532"/>
      <c r="E62" s="752">
        <f>IF(M62&gt;0,$N$190,IFERROR((P62/L62),0))/crop_intensity!$D$7</f>
        <v>2.6369352977684146</v>
      </c>
      <c r="F62" s="2">
        <f t="shared" si="7"/>
        <v>1</v>
      </c>
      <c r="G62" s="2">
        <f t="shared" si="13"/>
        <v>2.4993969139811365</v>
      </c>
      <c r="H62" s="343">
        <f t="shared" si="8"/>
        <v>0</v>
      </c>
      <c r="I62" s="750"/>
      <c r="J62" s="716"/>
      <c r="K62" s="513">
        <v>637612</v>
      </c>
      <c r="L62" s="513">
        <v>881350</v>
      </c>
      <c r="M62" s="708">
        <v>1</v>
      </c>
      <c r="N62" s="87">
        <f t="shared" si="9"/>
        <v>1</v>
      </c>
      <c r="O62" s="25">
        <f t="shared" si="10"/>
        <v>0</v>
      </c>
      <c r="P62" s="25">
        <f t="shared" si="11"/>
        <v>637612</v>
      </c>
      <c r="Q62" s="2">
        <f>IF(M62&gt;0,$M$190,IFERROR((O62/J62),0))/crop_intensity!$C$7</f>
        <v>3.229070276356417</v>
      </c>
      <c r="R62" s="389">
        <f t="shared" si="12"/>
        <v>1.224554231227863</v>
      </c>
    </row>
    <row r="63" spans="1:18" ht="12.5">
      <c r="A63" s="84" t="s">
        <v>6872</v>
      </c>
      <c r="B63" s="705">
        <v>639</v>
      </c>
      <c r="C63" s="24" t="s">
        <v>411</v>
      </c>
      <c r="D63" s="532"/>
      <c r="E63" s="752">
        <f>IF(M63&gt;0,$N$190,IFERROR((P63/L63),0))/crop_intensity!$D$7</f>
        <v>0</v>
      </c>
      <c r="F63" s="2">
        <f t="shared" si="7"/>
        <v>1</v>
      </c>
      <c r="G63" s="2">
        <f t="shared" si="13"/>
        <v>2.4993969139811365</v>
      </c>
      <c r="H63" s="343">
        <f t="shared" si="8"/>
        <v>0</v>
      </c>
      <c r="I63" s="750"/>
      <c r="J63" s="716"/>
      <c r="K63" s="513"/>
      <c r="L63" s="513"/>
      <c r="M63" s="708">
        <v>0</v>
      </c>
      <c r="N63" s="87">
        <f t="shared" si="9"/>
        <v>1</v>
      </c>
      <c r="O63" s="25">
        <f t="shared" si="10"/>
        <v>0</v>
      </c>
      <c r="P63" s="25">
        <f t="shared" si="11"/>
        <v>0</v>
      </c>
      <c r="Q63" s="2">
        <f>IF(M63&gt;0,$M$190,IFERROR((O63/J63),0))/crop_intensity!$C$7</f>
        <v>0</v>
      </c>
      <c r="R63" s="389">
        <f t="shared" si="12"/>
        <v>0</v>
      </c>
    </row>
    <row r="64" spans="1:18" ht="12.5">
      <c r="A64" s="84" t="s">
        <v>6883</v>
      </c>
      <c r="B64" s="705">
        <v>642</v>
      </c>
      <c r="C64" s="24" t="s">
        <v>6886</v>
      </c>
      <c r="D64" s="532"/>
      <c r="E64" s="752">
        <f>IF(M64&gt;0,$N$190,IFERROR((P64/L64),0))/crop_intensity!$D$7</f>
        <v>0</v>
      </c>
      <c r="F64" s="2">
        <f t="shared" si="7"/>
        <v>1</v>
      </c>
      <c r="G64" s="2">
        <f t="shared" si="13"/>
        <v>2.4993969139811365</v>
      </c>
      <c r="H64" s="343">
        <f t="shared" si="8"/>
        <v>0</v>
      </c>
      <c r="I64" s="750"/>
      <c r="J64" s="716"/>
      <c r="K64" s="513"/>
      <c r="L64" s="513"/>
      <c r="M64" s="708">
        <v>0</v>
      </c>
      <c r="N64" s="87">
        <f t="shared" si="9"/>
        <v>1</v>
      </c>
      <c r="O64" s="25">
        <f t="shared" si="10"/>
        <v>0</v>
      </c>
      <c r="P64" s="25">
        <f t="shared" si="11"/>
        <v>0</v>
      </c>
      <c r="Q64" s="2">
        <f>IF(M64&gt;0,$M$190,IFERROR((O64/J64),0))/crop_intensity!$C$7</f>
        <v>0</v>
      </c>
      <c r="R64" s="389">
        <f t="shared" si="12"/>
        <v>0</v>
      </c>
    </row>
    <row r="65" spans="1:18" ht="12.5">
      <c r="A65" s="84" t="s">
        <v>6873</v>
      </c>
      <c r="B65" s="705">
        <v>643</v>
      </c>
      <c r="C65" s="24" t="s">
        <v>3736</v>
      </c>
      <c r="D65" s="532"/>
      <c r="E65" s="752">
        <f>IF(M65&gt;0,$N$190,IFERROR((P65/L65),0))/crop_intensity!$D$7</f>
        <v>0</v>
      </c>
      <c r="F65" s="2">
        <f t="shared" si="7"/>
        <v>1</v>
      </c>
      <c r="G65" s="2">
        <f t="shared" si="13"/>
        <v>2.4993969139811365</v>
      </c>
      <c r="H65" s="343">
        <f t="shared" si="8"/>
        <v>0</v>
      </c>
      <c r="I65" s="750"/>
      <c r="J65" s="716"/>
      <c r="K65" s="513"/>
      <c r="L65" s="513"/>
      <c r="M65" s="708">
        <v>0</v>
      </c>
      <c r="N65" s="87">
        <f t="shared" si="9"/>
        <v>1</v>
      </c>
      <c r="O65" s="25">
        <f t="shared" si="10"/>
        <v>0</v>
      </c>
      <c r="P65" s="25">
        <f t="shared" si="11"/>
        <v>0</v>
      </c>
      <c r="Q65" s="2">
        <f>IF(M65&gt;0,$M$190,IFERROR((O65/J65),0))/crop_intensity!$C$7</f>
        <v>0</v>
      </c>
      <c r="R65" s="389">
        <f t="shared" si="12"/>
        <v>0</v>
      </c>
    </row>
    <row r="66" spans="1:18" ht="12.5">
      <c r="A66" s="84" t="s">
        <v>6874</v>
      </c>
      <c r="B66" s="705">
        <v>651</v>
      </c>
      <c r="C66" s="24" t="s">
        <v>814</v>
      </c>
      <c r="D66" s="532"/>
      <c r="E66" s="752">
        <f>IF(M66&gt;0,$N$190,IFERROR((P66/L66),0))/crop_intensity!$D$7</f>
        <v>0</v>
      </c>
      <c r="F66" s="2">
        <f t="shared" si="7"/>
        <v>1</v>
      </c>
      <c r="G66" s="2">
        <f t="shared" si="13"/>
        <v>2.4993969139811365</v>
      </c>
      <c r="H66" s="343">
        <f t="shared" si="8"/>
        <v>0</v>
      </c>
      <c r="I66" s="750"/>
      <c r="J66" s="716"/>
      <c r="K66" s="513"/>
      <c r="L66" s="513"/>
      <c r="M66" s="708">
        <v>0</v>
      </c>
      <c r="N66" s="87">
        <f t="shared" si="9"/>
        <v>1</v>
      </c>
      <c r="O66" s="25">
        <f t="shared" si="10"/>
        <v>0</v>
      </c>
      <c r="P66" s="25">
        <f t="shared" si="11"/>
        <v>0</v>
      </c>
      <c r="Q66" s="2">
        <f>IF(M66&gt;0,$M$190,IFERROR((O66/J66),0))/crop_intensity!$C$7</f>
        <v>0</v>
      </c>
      <c r="R66" s="389">
        <f t="shared" si="12"/>
        <v>0</v>
      </c>
    </row>
    <row r="67" spans="1:18" ht="12.5">
      <c r="A67" s="84" t="s">
        <v>286</v>
      </c>
      <c r="B67" s="705">
        <v>619</v>
      </c>
      <c r="C67" s="24" t="s">
        <v>287</v>
      </c>
      <c r="D67" s="532">
        <v>0</v>
      </c>
      <c r="E67" s="752">
        <f>IF(M67&gt;0,$N$190,IFERROR((P67/L67),0))/crop_intensity!$D$7</f>
        <v>6.3064195772038873</v>
      </c>
      <c r="F67" s="2">
        <f t="shared" si="7"/>
        <v>1</v>
      </c>
      <c r="G67" s="2">
        <f t="shared" si="13"/>
        <v>2.4993969139811365</v>
      </c>
      <c r="H67" s="343">
        <f t="shared" si="8"/>
        <v>0</v>
      </c>
      <c r="I67" s="750"/>
      <c r="J67" s="716">
        <v>0</v>
      </c>
      <c r="K67" s="513">
        <v>38472500</v>
      </c>
      <c r="L67" s="513">
        <v>5568360</v>
      </c>
      <c r="M67" s="708">
        <v>0</v>
      </c>
      <c r="N67" s="87">
        <f t="shared" si="9"/>
        <v>1</v>
      </c>
      <c r="O67" s="25">
        <f t="shared" si="10"/>
        <v>0</v>
      </c>
      <c r="P67" s="25">
        <f t="shared" si="11"/>
        <v>38472500</v>
      </c>
      <c r="Q67" s="2">
        <f>IF(M67&gt;0,$M$190,IFERROR((O67/J67),0))/crop_intensity!$C$7</f>
        <v>0</v>
      </c>
      <c r="R67" s="389">
        <f t="shared" si="12"/>
        <v>0</v>
      </c>
    </row>
    <row r="68" spans="1:18" ht="12.5">
      <c r="A68" s="84" t="s">
        <v>6875</v>
      </c>
      <c r="B68" s="705">
        <v>542</v>
      </c>
      <c r="C68" s="24" t="s">
        <v>6887</v>
      </c>
      <c r="D68" s="532"/>
      <c r="E68" s="752">
        <f>IF(M68&gt;0,$N$190,IFERROR((P68/L68),0))/crop_intensity!$D$7</f>
        <v>7.142385597416598</v>
      </c>
      <c r="F68" s="2">
        <f t="shared" si="7"/>
        <v>1</v>
      </c>
      <c r="G68" s="2">
        <f t="shared" si="13"/>
        <v>2.4993969139811365</v>
      </c>
      <c r="H68" s="343">
        <f t="shared" si="8"/>
        <v>0</v>
      </c>
      <c r="I68" s="750"/>
      <c r="J68" s="716"/>
      <c r="K68" s="513">
        <v>133729</v>
      </c>
      <c r="L68" s="513">
        <v>17090</v>
      </c>
      <c r="M68" s="708">
        <v>0</v>
      </c>
      <c r="N68" s="87">
        <f t="shared" si="9"/>
        <v>1</v>
      </c>
      <c r="O68" s="25">
        <f t="shared" si="10"/>
        <v>0</v>
      </c>
      <c r="P68" s="25">
        <f t="shared" si="11"/>
        <v>133729</v>
      </c>
      <c r="Q68" s="2">
        <f>IF(M68&gt;0,$M$190,IFERROR((O68/J68),0))/crop_intensity!$C$7</f>
        <v>0</v>
      </c>
      <c r="R68" s="389">
        <f t="shared" si="12"/>
        <v>0</v>
      </c>
    </row>
    <row r="69" spans="1:18" ht="12.5">
      <c r="A69" s="84" t="s">
        <v>801</v>
      </c>
      <c r="B69" s="705">
        <v>603</v>
      </c>
      <c r="C69" s="24" t="s">
        <v>5376</v>
      </c>
      <c r="D69" s="532"/>
      <c r="E69" s="752">
        <f>IF(M69&gt;0,$N$190,IFERROR((P69/L69),0))/crop_intensity!$D$7</f>
        <v>6.5472691598457136</v>
      </c>
      <c r="F69" s="2">
        <f t="shared" ref="F69:F97" si="14">VLOOKUP("Crop Land",iyf,2,FALSE)</f>
        <v>1</v>
      </c>
      <c r="G69" s="2">
        <f t="shared" si="13"/>
        <v>2.4993969139811365</v>
      </c>
      <c r="H69" s="343">
        <f t="shared" si="8"/>
        <v>0</v>
      </c>
      <c r="I69" s="750"/>
      <c r="J69" s="716"/>
      <c r="K69" s="513">
        <v>25114300</v>
      </c>
      <c r="L69" s="513">
        <v>3501230</v>
      </c>
      <c r="M69" s="708">
        <v>0</v>
      </c>
      <c r="N69" s="87">
        <f t="shared" si="9"/>
        <v>1</v>
      </c>
      <c r="O69" s="25">
        <f t="shared" si="10"/>
        <v>0</v>
      </c>
      <c r="P69" s="25">
        <f t="shared" si="11"/>
        <v>25114300</v>
      </c>
      <c r="Q69" s="2">
        <f>IF(M69&gt;0,$M$190,IFERROR((O69/J69),0))/crop_intensity!$C$7</f>
        <v>0</v>
      </c>
      <c r="R69" s="389">
        <f t="shared" si="12"/>
        <v>0</v>
      </c>
    </row>
    <row r="70" spans="1:18" ht="12.5">
      <c r="A70" s="84" t="s">
        <v>5063</v>
      </c>
      <c r="B70" s="705">
        <v>406</v>
      </c>
      <c r="C70" s="24" t="s">
        <v>5064</v>
      </c>
      <c r="D70" s="532">
        <v>1490</v>
      </c>
      <c r="E70" s="752">
        <f>IF(M70&gt;0,$N$190,IFERROR((P70/L70),0))/crop_intensity!$D$7</f>
        <v>16.553777737383299</v>
      </c>
      <c r="F70" s="2">
        <f t="shared" si="14"/>
        <v>1</v>
      </c>
      <c r="G70" s="2">
        <f t="shared" si="13"/>
        <v>2.4993969139811365</v>
      </c>
      <c r="H70" s="343">
        <f t="shared" si="8"/>
        <v>224.9698806467467</v>
      </c>
      <c r="I70" s="750"/>
      <c r="J70" s="716">
        <v>619</v>
      </c>
      <c r="K70" s="513">
        <v>28811300</v>
      </c>
      <c r="L70" s="513">
        <v>1588640</v>
      </c>
      <c r="M70" s="708">
        <v>0</v>
      </c>
      <c r="N70" s="87">
        <f t="shared" si="9"/>
        <v>1</v>
      </c>
      <c r="O70" s="25">
        <f t="shared" si="10"/>
        <v>1490</v>
      </c>
      <c r="P70" s="25">
        <f t="shared" si="11"/>
        <v>28811300</v>
      </c>
      <c r="Q70" s="2">
        <f>IF(M70&gt;0,$M$190,IFERROR((O70/J70),0))/crop_intensity!$C$7</f>
        <v>2.2409924600389566</v>
      </c>
      <c r="R70" s="389">
        <f t="shared" si="12"/>
        <v>0.13537649807742291</v>
      </c>
    </row>
    <row r="71" spans="1:18" ht="12.5">
      <c r="A71" s="84" t="s">
        <v>5065</v>
      </c>
      <c r="B71" s="705">
        <v>720</v>
      </c>
      <c r="C71" s="24" t="s">
        <v>5066</v>
      </c>
      <c r="D71" s="532"/>
      <c r="E71" s="752">
        <f>IF(M71&gt;0,$N$190,IFERROR((P71/L71),0))/crop_intensity!$D$7</f>
        <v>9.4598685497361981</v>
      </c>
      <c r="F71" s="2">
        <f t="shared" si="14"/>
        <v>1</v>
      </c>
      <c r="G71" s="2">
        <f t="shared" si="13"/>
        <v>2.4993969139811365</v>
      </c>
      <c r="H71" s="343">
        <f t="shared" ref="H71:H102" si="15">IFERROR((O71/E71)*G71*F71,0)</f>
        <v>0</v>
      </c>
      <c r="I71" s="750"/>
      <c r="J71" s="716"/>
      <c r="K71" s="513">
        <v>4080930</v>
      </c>
      <c r="L71" s="513">
        <v>393762</v>
      </c>
      <c r="M71" s="708">
        <v>0</v>
      </c>
      <c r="N71" s="87">
        <f t="shared" ref="N71:N102" si="16">VLOOKUP(B71,constant_crop_factor,3,FALSE)</f>
        <v>1</v>
      </c>
      <c r="O71" s="25">
        <f t="shared" ref="O71:O102" si="17">D71*N71</f>
        <v>0</v>
      </c>
      <c r="P71" s="25">
        <f t="shared" ref="P71:P102" si="18">K71*N71</f>
        <v>4080930</v>
      </c>
      <c r="Q71" s="2">
        <f>IF(M71&gt;0,$M$190,IFERROR((O71/J71),0))/crop_intensity!$C$7</f>
        <v>0</v>
      </c>
      <c r="R71" s="389">
        <f t="shared" ref="R71:R102" si="19">IFERROR(Q71/E71,0)</f>
        <v>0</v>
      </c>
    </row>
    <row r="72" spans="1:18" ht="12.5">
      <c r="A72" s="84" t="s">
        <v>5067</v>
      </c>
      <c r="B72" s="705">
        <v>549</v>
      </c>
      <c r="C72" s="24" t="s">
        <v>4773</v>
      </c>
      <c r="D72" s="532"/>
      <c r="E72" s="752">
        <f>IF(M72&gt;0,$N$190,IFERROR((P72/L72),0))/crop_intensity!$D$7</f>
        <v>4.8786983745816217</v>
      </c>
      <c r="F72" s="2">
        <f t="shared" si="14"/>
        <v>1</v>
      </c>
      <c r="G72" s="2">
        <f t="shared" ref="G72:G103" si="20">$G$7</f>
        <v>2.4993969139811365</v>
      </c>
      <c r="H72" s="343">
        <f t="shared" si="15"/>
        <v>0</v>
      </c>
      <c r="I72" s="750"/>
      <c r="J72" s="716"/>
      <c r="K72" s="513">
        <v>76946</v>
      </c>
      <c r="L72" s="513">
        <v>14396</v>
      </c>
      <c r="M72" s="708">
        <v>0</v>
      </c>
      <c r="N72" s="87">
        <f t="shared" si="16"/>
        <v>1</v>
      </c>
      <c r="O72" s="25">
        <f t="shared" si="17"/>
        <v>0</v>
      </c>
      <c r="P72" s="25">
        <f t="shared" si="18"/>
        <v>76946</v>
      </c>
      <c r="Q72" s="2">
        <f>IF(M72&gt;0,$M$190,IFERROR((O72/J72),0))/crop_intensity!$C$7</f>
        <v>0</v>
      </c>
      <c r="R72" s="389">
        <f t="shared" si="19"/>
        <v>0</v>
      </c>
    </row>
    <row r="73" spans="1:18" ht="12.5">
      <c r="A73" s="84" t="s">
        <v>4774</v>
      </c>
      <c r="B73" s="705">
        <v>507</v>
      </c>
      <c r="C73" s="24" t="s">
        <v>2364</v>
      </c>
      <c r="D73" s="532"/>
      <c r="E73" s="752">
        <f>IF(M73&gt;0,$N$190,IFERROR((P73/L73),0))/crop_intensity!$D$7</f>
        <v>22.339858389385991</v>
      </c>
      <c r="F73" s="2">
        <f t="shared" si="14"/>
        <v>1</v>
      </c>
      <c r="G73" s="2">
        <f t="shared" si="20"/>
        <v>2.4993969139811365</v>
      </c>
      <c r="H73" s="343">
        <f t="shared" si="15"/>
        <v>0</v>
      </c>
      <c r="I73" s="750"/>
      <c r="J73" s="716"/>
      <c r="K73" s="513">
        <v>9049760</v>
      </c>
      <c r="L73" s="513">
        <v>369757</v>
      </c>
      <c r="M73" s="708">
        <v>0</v>
      </c>
      <c r="N73" s="87">
        <f t="shared" si="16"/>
        <v>1</v>
      </c>
      <c r="O73" s="25">
        <f t="shared" si="17"/>
        <v>0</v>
      </c>
      <c r="P73" s="25">
        <f t="shared" si="18"/>
        <v>9049760</v>
      </c>
      <c r="Q73" s="2">
        <f>IF(M73&gt;0,$M$190,IFERROR((O73/J73),0))/crop_intensity!$C$7</f>
        <v>0</v>
      </c>
      <c r="R73" s="389">
        <f t="shared" si="19"/>
        <v>0</v>
      </c>
    </row>
    <row r="74" spans="1:18" ht="12.5">
      <c r="A74" s="84" t="s">
        <v>4775</v>
      </c>
      <c r="B74" s="705">
        <v>560</v>
      </c>
      <c r="C74" s="24" t="s">
        <v>2365</v>
      </c>
      <c r="D74" s="532">
        <v>120293</v>
      </c>
      <c r="E74" s="752">
        <f>IF(M74&gt;0,$N$190,IFERROR((P74/L74),0))/crop_intensity!$D$7</f>
        <v>10.641578687009698</v>
      </c>
      <c r="F74" s="2">
        <f t="shared" si="14"/>
        <v>1</v>
      </c>
      <c r="G74" s="2">
        <f t="shared" si="20"/>
        <v>2.4993969139811365</v>
      </c>
      <c r="H74" s="343">
        <f t="shared" si="15"/>
        <v>28253.32235155598</v>
      </c>
      <c r="I74" s="750"/>
      <c r="J74" s="716">
        <v>11534</v>
      </c>
      <c r="K74" s="513">
        <v>80047696</v>
      </c>
      <c r="L74" s="513">
        <v>6865980</v>
      </c>
      <c r="M74" s="708">
        <v>0</v>
      </c>
      <c r="N74" s="87">
        <f t="shared" si="16"/>
        <v>1</v>
      </c>
      <c r="O74" s="25">
        <f t="shared" si="17"/>
        <v>120293</v>
      </c>
      <c r="P74" s="25">
        <f t="shared" si="18"/>
        <v>80047696</v>
      </c>
      <c r="Q74" s="2">
        <f>IF(M74&gt;0,$M$190,IFERROR((O74/J74),0))/crop_intensity!$C$7</f>
        <v>9.7096859830343174</v>
      </c>
      <c r="R74" s="389">
        <f t="shared" si="19"/>
        <v>0.91242909239463188</v>
      </c>
    </row>
    <row r="75" spans="1:18" ht="12.5">
      <c r="A75" s="84" t="s">
        <v>3641</v>
      </c>
      <c r="B75" s="705">
        <v>242</v>
      </c>
      <c r="C75" s="24" t="s">
        <v>1472</v>
      </c>
      <c r="D75" s="532"/>
      <c r="E75" s="752">
        <f>IF(M75&gt;0,$N$190,IFERROR((P75/L75),0))/crop_intensity!$D$7</f>
        <v>1.5638134626813047</v>
      </c>
      <c r="F75" s="2">
        <f t="shared" si="14"/>
        <v>1</v>
      </c>
      <c r="G75" s="2">
        <f t="shared" si="20"/>
        <v>2.4993969139811365</v>
      </c>
      <c r="H75" s="343">
        <f t="shared" si="15"/>
        <v>0</v>
      </c>
      <c r="I75" s="750"/>
      <c r="J75" s="716"/>
      <c r="K75" s="513">
        <v>50889700</v>
      </c>
      <c r="L75" s="513">
        <v>29703300</v>
      </c>
      <c r="M75" s="708">
        <v>0</v>
      </c>
      <c r="N75" s="87">
        <f t="shared" si="16"/>
        <v>1</v>
      </c>
      <c r="O75" s="25">
        <f t="shared" si="17"/>
        <v>0</v>
      </c>
      <c r="P75" s="25">
        <f t="shared" si="18"/>
        <v>50889700</v>
      </c>
      <c r="Q75" s="2">
        <f>IF(M75&gt;0,$M$190,IFERROR((O75/J75),0))/crop_intensity!$C$7</f>
        <v>0</v>
      </c>
      <c r="R75" s="389">
        <f t="shared" si="19"/>
        <v>0</v>
      </c>
    </row>
    <row r="76" spans="1:18" ht="12.5">
      <c r="A76" s="84" t="s">
        <v>3642</v>
      </c>
      <c r="B76" s="705">
        <v>225</v>
      </c>
      <c r="C76" s="24" t="s">
        <v>1475</v>
      </c>
      <c r="D76" s="532"/>
      <c r="E76" s="752">
        <f>IF(M76&gt;0,$N$190,IFERROR((P76/L76),0))/crop_intensity!$D$7</f>
        <v>0.82907021985223095</v>
      </c>
      <c r="F76" s="2">
        <f t="shared" si="14"/>
        <v>1</v>
      </c>
      <c r="G76" s="2">
        <f t="shared" si="20"/>
        <v>2.4993969139811365</v>
      </c>
      <c r="H76" s="343">
        <f t="shared" si="15"/>
        <v>0</v>
      </c>
      <c r="I76" s="750"/>
      <c r="J76" s="716"/>
      <c r="K76" s="513">
        <v>881061</v>
      </c>
      <c r="L76" s="513">
        <v>970006</v>
      </c>
      <c r="M76" s="708">
        <v>0</v>
      </c>
      <c r="N76" s="87">
        <f t="shared" si="16"/>
        <v>1</v>
      </c>
      <c r="O76" s="25">
        <f t="shared" si="17"/>
        <v>0</v>
      </c>
      <c r="P76" s="25">
        <f t="shared" si="18"/>
        <v>881061</v>
      </c>
      <c r="Q76" s="2">
        <f>IF(M76&gt;0,$M$190,IFERROR((O76/J76),0))/crop_intensity!$C$7</f>
        <v>0</v>
      </c>
      <c r="R76" s="389">
        <f t="shared" si="19"/>
        <v>0</v>
      </c>
    </row>
    <row r="77" spans="1:18" ht="12.5">
      <c r="A77" s="84" t="s">
        <v>4737</v>
      </c>
      <c r="B77" s="705">
        <v>777</v>
      </c>
      <c r="C77" s="24" t="s">
        <v>4518</v>
      </c>
      <c r="D77" s="532"/>
      <c r="E77" s="752">
        <f>IF(M77&gt;0,$N$190,IFERROR((P77/L77),0))/crop_intensity!$D$7</f>
        <v>2.9774193227348191</v>
      </c>
      <c r="F77" s="2">
        <f t="shared" si="14"/>
        <v>1</v>
      </c>
      <c r="G77" s="2">
        <f t="shared" si="20"/>
        <v>2.4993969139811365</v>
      </c>
      <c r="H77" s="343">
        <f t="shared" si="15"/>
        <v>0</v>
      </c>
      <c r="I77" s="750"/>
      <c r="J77" s="716"/>
      <c r="K77" s="513">
        <v>194880</v>
      </c>
      <c r="L77" s="513">
        <v>59743</v>
      </c>
      <c r="M77" s="708">
        <v>0</v>
      </c>
      <c r="N77" s="87">
        <f t="shared" si="16"/>
        <v>1</v>
      </c>
      <c r="O77" s="25">
        <f t="shared" si="17"/>
        <v>0</v>
      </c>
      <c r="P77" s="25">
        <f t="shared" si="18"/>
        <v>194880</v>
      </c>
      <c r="Q77" s="2">
        <f>IF(M77&gt;0,$M$190,IFERROR((O77/J77),0))/crop_intensity!$C$7</f>
        <v>0</v>
      </c>
      <c r="R77" s="389">
        <f t="shared" si="19"/>
        <v>0</v>
      </c>
    </row>
    <row r="78" spans="1:18" ht="12.5">
      <c r="A78" s="84" t="s">
        <v>4029</v>
      </c>
      <c r="B78" s="705">
        <v>336</v>
      </c>
      <c r="C78" s="24" t="s">
        <v>68</v>
      </c>
      <c r="D78" s="532"/>
      <c r="E78" s="752">
        <f>IF(M78&gt;0,$N$190,IFERROR((P78/L78),0))/crop_intensity!$D$7</f>
        <v>3.6482650405058989</v>
      </c>
      <c r="F78" s="2">
        <f t="shared" si="14"/>
        <v>1</v>
      </c>
      <c r="G78" s="2">
        <f t="shared" si="20"/>
        <v>2.4993969139811365</v>
      </c>
      <c r="H78" s="343">
        <f t="shared" si="15"/>
        <v>0</v>
      </c>
      <c r="I78" s="750"/>
      <c r="J78" s="716"/>
      <c r="K78" s="513">
        <v>110691</v>
      </c>
      <c r="L78" s="513">
        <v>27694</v>
      </c>
      <c r="M78" s="708">
        <v>0</v>
      </c>
      <c r="N78" s="87">
        <f t="shared" si="16"/>
        <v>1</v>
      </c>
      <c r="O78" s="25">
        <f t="shared" si="17"/>
        <v>0</v>
      </c>
      <c r="P78" s="25">
        <f t="shared" si="18"/>
        <v>110691</v>
      </c>
      <c r="Q78" s="2">
        <f>IF(M78&gt;0,$M$190,IFERROR((O78/J78),0))/crop_intensity!$C$7</f>
        <v>0</v>
      </c>
      <c r="R78" s="389">
        <f t="shared" si="19"/>
        <v>0</v>
      </c>
    </row>
    <row r="79" spans="1:18" ht="12.5">
      <c r="A79" s="84" t="s">
        <v>3643</v>
      </c>
      <c r="B79" s="705">
        <v>677</v>
      </c>
      <c r="C79" s="24" t="s">
        <v>3644</v>
      </c>
      <c r="D79" s="532">
        <v>0</v>
      </c>
      <c r="E79" s="752">
        <f>IF(M79&gt;0,$N$190,IFERROR((P79/L79),0))/crop_intensity!$D$7</f>
        <v>1.4958749070517452</v>
      </c>
      <c r="F79" s="2">
        <f t="shared" si="14"/>
        <v>1</v>
      </c>
      <c r="G79" s="2">
        <f t="shared" si="20"/>
        <v>2.4993969139811365</v>
      </c>
      <c r="H79" s="343">
        <f t="shared" si="15"/>
        <v>0</v>
      </c>
      <c r="I79" s="750"/>
      <c r="J79" s="716">
        <v>0</v>
      </c>
      <c r="K79" s="513">
        <v>168120</v>
      </c>
      <c r="L79" s="513">
        <v>102585</v>
      </c>
      <c r="M79" s="708">
        <v>0</v>
      </c>
      <c r="N79" s="87">
        <f t="shared" si="16"/>
        <v>1</v>
      </c>
      <c r="O79" s="25">
        <f t="shared" si="17"/>
        <v>0</v>
      </c>
      <c r="P79" s="25">
        <f t="shared" si="18"/>
        <v>168120</v>
      </c>
      <c r="Q79" s="2">
        <f>IF(M79&gt;0,$M$190,IFERROR((O79/J79),0))/crop_intensity!$C$7</f>
        <v>0</v>
      </c>
      <c r="R79" s="389">
        <f t="shared" si="19"/>
        <v>0</v>
      </c>
    </row>
    <row r="80" spans="1:18" ht="12.5">
      <c r="A80" s="84" t="s">
        <v>6876</v>
      </c>
      <c r="B80" s="705">
        <v>277</v>
      </c>
      <c r="C80" s="24" t="s">
        <v>6888</v>
      </c>
      <c r="D80" s="532"/>
      <c r="E80" s="752">
        <f>IF(M80&gt;0,$N$190,IFERROR((P80/L80),0))/crop_intensity!$D$7</f>
        <v>0.4472556530844195</v>
      </c>
      <c r="F80" s="2">
        <f t="shared" si="14"/>
        <v>1</v>
      </c>
      <c r="G80" s="2">
        <f t="shared" si="20"/>
        <v>2.4993969139811365</v>
      </c>
      <c r="H80" s="343">
        <f t="shared" si="15"/>
        <v>0</v>
      </c>
      <c r="I80" s="750"/>
      <c r="J80" s="716"/>
      <c r="K80" s="513">
        <v>147</v>
      </c>
      <c r="L80" s="513">
        <v>300</v>
      </c>
      <c r="M80" s="708">
        <v>0</v>
      </c>
      <c r="N80" s="87">
        <f t="shared" si="16"/>
        <v>1</v>
      </c>
      <c r="O80" s="25">
        <f t="shared" si="17"/>
        <v>0</v>
      </c>
      <c r="P80" s="25">
        <f t="shared" si="18"/>
        <v>147</v>
      </c>
      <c r="Q80" s="2">
        <f>IF(M80&gt;0,$M$190,IFERROR((O80/J80),0))/crop_intensity!$C$7</f>
        <v>0</v>
      </c>
      <c r="R80" s="389">
        <f t="shared" si="19"/>
        <v>0</v>
      </c>
    </row>
    <row r="81" spans="1:18" ht="12.5">
      <c r="A81" s="84" t="s">
        <v>804</v>
      </c>
      <c r="B81" s="705">
        <v>780</v>
      </c>
      <c r="C81" s="24" t="s">
        <v>560</v>
      </c>
      <c r="D81" s="532"/>
      <c r="E81" s="752">
        <f>IF(M81&gt;0,$N$190,IFERROR((P81/L81),0))/crop_intensity!$D$7</f>
        <v>2.118417615424339</v>
      </c>
      <c r="F81" s="2">
        <f t="shared" si="14"/>
        <v>1</v>
      </c>
      <c r="G81" s="2">
        <f t="shared" si="20"/>
        <v>2.4993969139811365</v>
      </c>
      <c r="H81" s="343">
        <f t="shared" si="15"/>
        <v>0</v>
      </c>
      <c r="I81" s="750"/>
      <c r="J81" s="716"/>
      <c r="K81" s="513">
        <v>3404260</v>
      </c>
      <c r="L81" s="513">
        <v>1466800</v>
      </c>
      <c r="M81" s="708">
        <v>0</v>
      </c>
      <c r="N81" s="87">
        <f t="shared" si="16"/>
        <v>1</v>
      </c>
      <c r="O81" s="25">
        <f t="shared" si="17"/>
        <v>0</v>
      </c>
      <c r="P81" s="25">
        <f t="shared" si="18"/>
        <v>3404260</v>
      </c>
      <c r="Q81" s="2">
        <f>IF(M81&gt;0,$M$190,IFERROR((O81/J81),0))/crop_intensity!$C$7</f>
        <v>0</v>
      </c>
      <c r="R81" s="389">
        <f t="shared" si="19"/>
        <v>0</v>
      </c>
    </row>
    <row r="82" spans="1:18" ht="12.5">
      <c r="A82" s="84" t="s">
        <v>6877</v>
      </c>
      <c r="B82" s="705">
        <v>310</v>
      </c>
      <c r="C82" s="24" t="s">
        <v>6889</v>
      </c>
      <c r="D82" s="532"/>
      <c r="E82" s="752">
        <f>IF(M82&gt;0,$N$190,IFERROR((P82/L82),0))/crop_intensity!$D$7</f>
        <v>1.0426807236565074</v>
      </c>
      <c r="F82" s="2">
        <f t="shared" si="14"/>
        <v>1</v>
      </c>
      <c r="G82" s="2">
        <f t="shared" si="20"/>
        <v>2.4993969139811365</v>
      </c>
      <c r="H82" s="343">
        <f t="shared" si="15"/>
        <v>0</v>
      </c>
      <c r="I82" s="750"/>
      <c r="J82" s="716"/>
      <c r="K82" s="513">
        <v>238996</v>
      </c>
      <c r="L82" s="513">
        <v>209218</v>
      </c>
      <c r="M82" s="708">
        <v>0</v>
      </c>
      <c r="N82" s="87">
        <f t="shared" si="16"/>
        <v>1</v>
      </c>
      <c r="O82" s="25">
        <f t="shared" si="17"/>
        <v>0</v>
      </c>
      <c r="P82" s="25">
        <f t="shared" si="18"/>
        <v>238996</v>
      </c>
      <c r="Q82" s="2">
        <f>IF(M82&gt;0,$M$190,IFERROR((O82/J82),0))/crop_intensity!$C$7</f>
        <v>0</v>
      </c>
      <c r="R82" s="389">
        <f t="shared" si="19"/>
        <v>0</v>
      </c>
    </row>
    <row r="83" spans="1:18" ht="12.5">
      <c r="A83" s="84" t="s">
        <v>3911</v>
      </c>
      <c r="B83" s="705">
        <v>263</v>
      </c>
      <c r="C83" s="24" t="s">
        <v>1421</v>
      </c>
      <c r="D83" s="532"/>
      <c r="E83" s="752">
        <f>IF(M83&gt;0,$N$190,IFERROR((P83/L83),0))/crop_intensity!$D$7</f>
        <v>0.82424577002845956</v>
      </c>
      <c r="F83" s="2">
        <f t="shared" si="14"/>
        <v>1</v>
      </c>
      <c r="G83" s="2">
        <f t="shared" si="20"/>
        <v>2.4993969139811365</v>
      </c>
      <c r="H83" s="343">
        <f t="shared" si="15"/>
        <v>0</v>
      </c>
      <c r="I83" s="750"/>
      <c r="J83" s="716"/>
      <c r="K83" s="513">
        <v>662975</v>
      </c>
      <c r="L83" s="513">
        <v>734176</v>
      </c>
      <c r="M83" s="708">
        <v>0</v>
      </c>
      <c r="N83" s="87">
        <f t="shared" si="16"/>
        <v>1</v>
      </c>
      <c r="O83" s="25">
        <f t="shared" si="17"/>
        <v>0</v>
      </c>
      <c r="P83" s="25">
        <f t="shared" si="18"/>
        <v>662975</v>
      </c>
      <c r="Q83" s="2">
        <f>IF(M83&gt;0,$M$190,IFERROR((O83/J83),0))/crop_intensity!$C$7</f>
        <v>0</v>
      </c>
      <c r="R83" s="389">
        <f t="shared" si="19"/>
        <v>0</v>
      </c>
    </row>
    <row r="84" spans="1:18" ht="12.5">
      <c r="A84" s="84" t="s">
        <v>561</v>
      </c>
      <c r="B84" s="705">
        <v>592</v>
      </c>
      <c r="C84" s="24" t="s">
        <v>562</v>
      </c>
      <c r="D84" s="532">
        <v>9</v>
      </c>
      <c r="E84" s="752">
        <f>IF(M84&gt;0,$N$190,IFERROR((P84/L84),0))/crop_intensity!$D$7</f>
        <v>14.696292295321824</v>
      </c>
      <c r="F84" s="2">
        <f t="shared" si="14"/>
        <v>1</v>
      </c>
      <c r="G84" s="2">
        <f t="shared" si="20"/>
        <v>2.4993969139811365</v>
      </c>
      <c r="H84" s="343">
        <f t="shared" si="15"/>
        <v>1.530629071183538</v>
      </c>
      <c r="I84" s="750"/>
      <c r="J84" s="716">
        <v>2</v>
      </c>
      <c r="K84" s="513">
        <v>4190770</v>
      </c>
      <c r="L84" s="513">
        <v>260283</v>
      </c>
      <c r="M84" s="708">
        <v>0</v>
      </c>
      <c r="N84" s="87">
        <f t="shared" si="16"/>
        <v>1</v>
      </c>
      <c r="O84" s="25">
        <f t="shared" si="17"/>
        <v>9</v>
      </c>
      <c r="P84" s="25">
        <f t="shared" si="18"/>
        <v>4190770</v>
      </c>
      <c r="Q84" s="2">
        <f>IF(M84&gt;0,$M$190,IFERROR((O84/J84),0))/crop_intensity!$C$7</f>
        <v>4.1894526828446397</v>
      </c>
      <c r="R84" s="389">
        <f t="shared" si="19"/>
        <v>0.28506868253962542</v>
      </c>
    </row>
    <row r="85" spans="1:18" ht="12.5">
      <c r="A85" s="84" t="s">
        <v>563</v>
      </c>
      <c r="B85" s="705">
        <v>224</v>
      </c>
      <c r="C85" s="24" t="s">
        <v>564</v>
      </c>
      <c r="D85" s="532"/>
      <c r="E85" s="752">
        <f>IF(M85&gt;0,$N$190,IFERROR((P85/L85),0))/crop_intensity!$D$7</f>
        <v>0.45143988522466222</v>
      </c>
      <c r="F85" s="2">
        <f t="shared" si="14"/>
        <v>1</v>
      </c>
      <c r="G85" s="2">
        <f t="shared" si="20"/>
        <v>2.4993969139811365</v>
      </c>
      <c r="H85" s="343">
        <f t="shared" si="15"/>
        <v>0</v>
      </c>
      <c r="I85" s="750"/>
      <c r="J85" s="716"/>
      <c r="K85" s="513">
        <v>303734</v>
      </c>
      <c r="L85" s="513">
        <v>614120</v>
      </c>
      <c r="M85" s="708">
        <v>0</v>
      </c>
      <c r="N85" s="87">
        <f t="shared" si="16"/>
        <v>1</v>
      </c>
      <c r="O85" s="25">
        <f t="shared" si="17"/>
        <v>0</v>
      </c>
      <c r="P85" s="25">
        <f t="shared" si="18"/>
        <v>303734</v>
      </c>
      <c r="Q85" s="2">
        <f>IF(M85&gt;0,$M$190,IFERROR((O85/J85),0))/crop_intensity!$C$7</f>
        <v>0</v>
      </c>
      <c r="R85" s="389">
        <f t="shared" si="19"/>
        <v>0</v>
      </c>
    </row>
    <row r="86" spans="1:18" ht="12.5">
      <c r="A86" s="84" t="s">
        <v>6878</v>
      </c>
      <c r="B86" s="705">
        <v>407</v>
      </c>
      <c r="C86" s="24" t="s">
        <v>565</v>
      </c>
      <c r="D86" s="532">
        <v>6127</v>
      </c>
      <c r="E86" s="752">
        <f>IF(M86&gt;0,$N$190,IFERROR((P86/L86),0))/crop_intensity!$D$7</f>
        <v>14.175846564715664</v>
      </c>
      <c r="F86" s="2">
        <f t="shared" si="14"/>
        <v>1</v>
      </c>
      <c r="G86" s="2">
        <f t="shared" si="20"/>
        <v>2.4993969139811365</v>
      </c>
      <c r="H86" s="343">
        <f t="shared" si="15"/>
        <v>1080.2744528908199</v>
      </c>
      <c r="I86" s="750"/>
      <c r="J86" s="716">
        <v>316</v>
      </c>
      <c r="K86" s="513">
        <v>2147390</v>
      </c>
      <c r="L86" s="513">
        <v>138268</v>
      </c>
      <c r="M86" s="708">
        <v>0</v>
      </c>
      <c r="N86" s="87">
        <f t="shared" si="16"/>
        <v>1</v>
      </c>
      <c r="O86" s="25">
        <f t="shared" si="17"/>
        <v>6127</v>
      </c>
      <c r="P86" s="25">
        <f t="shared" si="18"/>
        <v>2147390</v>
      </c>
      <c r="Q86" s="2">
        <f>IF(M86&gt;0,$M$190,IFERROR((O86/J86),0))/crop_intensity!$C$7</f>
        <v>18.051179035013437</v>
      </c>
      <c r="R86" s="389">
        <f t="shared" si="19"/>
        <v>1.2733757347475567</v>
      </c>
    </row>
    <row r="87" spans="1:18" ht="12.5">
      <c r="A87" s="84" t="s">
        <v>805</v>
      </c>
      <c r="B87" s="705">
        <v>420</v>
      </c>
      <c r="C87" s="24" t="s">
        <v>998</v>
      </c>
      <c r="D87" s="532"/>
      <c r="E87" s="752">
        <f>IF(M87&gt;0,$N$190,IFERROR((P87/L87),0))/crop_intensity!$D$7</f>
        <v>6.1090329936000565</v>
      </c>
      <c r="F87" s="2">
        <f t="shared" si="14"/>
        <v>1</v>
      </c>
      <c r="G87" s="2">
        <f t="shared" si="20"/>
        <v>2.4993969139811365</v>
      </c>
      <c r="H87" s="343">
        <f t="shared" si="15"/>
        <v>0</v>
      </c>
      <c r="I87" s="750"/>
      <c r="J87" s="716"/>
      <c r="K87" s="513">
        <v>1646300</v>
      </c>
      <c r="L87" s="513">
        <v>245978</v>
      </c>
      <c r="M87" s="708">
        <v>0</v>
      </c>
      <c r="N87" s="87">
        <f t="shared" si="16"/>
        <v>1</v>
      </c>
      <c r="O87" s="25">
        <f t="shared" si="17"/>
        <v>0</v>
      </c>
      <c r="P87" s="25">
        <f t="shared" si="18"/>
        <v>1646300</v>
      </c>
      <c r="Q87" s="2">
        <f>IF(M87&gt;0,$M$190,IFERROR((O87/J87),0))/crop_intensity!$C$7</f>
        <v>0</v>
      </c>
      <c r="R87" s="389">
        <f t="shared" si="19"/>
        <v>0</v>
      </c>
    </row>
    <row r="88" spans="1:18" ht="12.5">
      <c r="A88" s="84" t="s">
        <v>566</v>
      </c>
      <c r="B88" s="705">
        <v>497</v>
      </c>
      <c r="C88" s="24" t="s">
        <v>999</v>
      </c>
      <c r="D88" s="532"/>
      <c r="E88" s="752">
        <f>IF(M88&gt;0,$N$190,IFERROR((P88/L88),0))/crop_intensity!$D$7</f>
        <v>15.172821854076854</v>
      </c>
      <c r="F88" s="2">
        <f t="shared" si="14"/>
        <v>1</v>
      </c>
      <c r="G88" s="2">
        <f t="shared" si="20"/>
        <v>2.4993969139811365</v>
      </c>
      <c r="H88" s="343">
        <f t="shared" si="15"/>
        <v>0</v>
      </c>
      <c r="I88" s="750"/>
      <c r="J88" s="716"/>
      <c r="K88" s="513">
        <v>19582100</v>
      </c>
      <c r="L88" s="513">
        <v>1178020</v>
      </c>
      <c r="M88" s="708">
        <v>0</v>
      </c>
      <c r="N88" s="87">
        <f t="shared" si="16"/>
        <v>1</v>
      </c>
      <c r="O88" s="25">
        <f t="shared" si="17"/>
        <v>0</v>
      </c>
      <c r="P88" s="25">
        <f t="shared" si="18"/>
        <v>19582100</v>
      </c>
      <c r="Q88" s="2">
        <f>IF(M88&gt;0,$M$190,IFERROR((O88/J88),0))/crop_intensity!$C$7</f>
        <v>0</v>
      </c>
      <c r="R88" s="389">
        <f t="shared" si="19"/>
        <v>0</v>
      </c>
    </row>
    <row r="89" spans="1:18" ht="12.5">
      <c r="A89" s="84" t="s">
        <v>567</v>
      </c>
      <c r="B89" s="705">
        <v>201</v>
      </c>
      <c r="C89" s="24" t="s">
        <v>568</v>
      </c>
      <c r="D89" s="532">
        <v>2092140</v>
      </c>
      <c r="E89" s="752">
        <f>IF(M89&gt;0,$N$190,IFERROR((P89/L89),0))/crop_intensity!$D$7</f>
        <v>1.0456634603088133</v>
      </c>
      <c r="F89" s="2">
        <f t="shared" si="14"/>
        <v>1</v>
      </c>
      <c r="G89" s="2">
        <f t="shared" si="20"/>
        <v>2.4993969139811365</v>
      </c>
      <c r="H89" s="343">
        <f t="shared" si="15"/>
        <v>5000737.2908222312</v>
      </c>
      <c r="I89" s="750"/>
      <c r="J89" s="716">
        <v>1499400</v>
      </c>
      <c r="K89" s="513">
        <v>6286720</v>
      </c>
      <c r="L89" s="513">
        <v>5487720</v>
      </c>
      <c r="M89" s="708">
        <v>0</v>
      </c>
      <c r="N89" s="87">
        <f t="shared" si="16"/>
        <v>1</v>
      </c>
      <c r="O89" s="25">
        <f t="shared" si="17"/>
        <v>2092140</v>
      </c>
      <c r="P89" s="25">
        <f t="shared" si="18"/>
        <v>6286720</v>
      </c>
      <c r="Q89" s="2">
        <f>IF(M89&gt;0,$M$190,IFERROR((O89/J89),0))/crop_intensity!$C$7</f>
        <v>1.2990265048073428</v>
      </c>
      <c r="R89" s="389">
        <f t="shared" si="19"/>
        <v>1.2422988409901063</v>
      </c>
    </row>
    <row r="90" spans="1:18" ht="12.5">
      <c r="A90" s="84" t="s">
        <v>569</v>
      </c>
      <c r="B90" s="705">
        <v>372</v>
      </c>
      <c r="C90" s="24" t="s">
        <v>4519</v>
      </c>
      <c r="D90" s="532">
        <v>85755</v>
      </c>
      <c r="E90" s="752">
        <f>IF(M90&gt;0,$N$190,IFERROR((P90/L90),0))/crop_intensity!$D$7</f>
        <v>20.084716948122963</v>
      </c>
      <c r="F90" s="2">
        <f t="shared" si="14"/>
        <v>1</v>
      </c>
      <c r="G90" s="2">
        <f t="shared" si="20"/>
        <v>2.4993969139811365</v>
      </c>
      <c r="H90" s="343">
        <f t="shared" si="15"/>
        <v>10671.585908432897</v>
      </c>
      <c r="I90" s="750"/>
      <c r="J90" s="716">
        <v>3803</v>
      </c>
      <c r="K90" s="513">
        <v>28581500</v>
      </c>
      <c r="L90" s="513">
        <v>1298910</v>
      </c>
      <c r="M90" s="708">
        <v>0</v>
      </c>
      <c r="N90" s="87">
        <f t="shared" si="16"/>
        <v>1</v>
      </c>
      <c r="O90" s="25">
        <f t="shared" si="17"/>
        <v>85755</v>
      </c>
      <c r="P90" s="25">
        <f t="shared" si="18"/>
        <v>28581500</v>
      </c>
      <c r="Q90" s="2">
        <f>IF(M90&gt;0,$M$190,IFERROR((O90/J90),0))/crop_intensity!$C$7</f>
        <v>20.99316415796547</v>
      </c>
      <c r="R90" s="389">
        <f t="shared" si="19"/>
        <v>1.0452307698529655</v>
      </c>
    </row>
    <row r="91" spans="1:18" ht="12.5">
      <c r="A91" s="84" t="s">
        <v>259</v>
      </c>
      <c r="B91" s="705">
        <v>333</v>
      </c>
      <c r="C91" s="24" t="s">
        <v>1000</v>
      </c>
      <c r="D91" s="532">
        <v>492400</v>
      </c>
      <c r="E91" s="752">
        <f>IF(M91&gt;0,$N$190,IFERROR((P91/L91),0))/crop_intensity!$D$7</f>
        <v>0.86237425974648507</v>
      </c>
      <c r="F91" s="2">
        <f t="shared" si="14"/>
        <v>1</v>
      </c>
      <c r="G91" s="2">
        <f t="shared" si="20"/>
        <v>2.4993969139811365</v>
      </c>
      <c r="H91" s="343">
        <f t="shared" si="15"/>
        <v>1427110.1282708803</v>
      </c>
      <c r="I91" s="750"/>
      <c r="J91" s="716">
        <v>341800</v>
      </c>
      <c r="K91" s="513">
        <v>2975470</v>
      </c>
      <c r="L91" s="513">
        <v>3149340</v>
      </c>
      <c r="M91" s="708">
        <v>0</v>
      </c>
      <c r="N91" s="87">
        <f t="shared" si="16"/>
        <v>1</v>
      </c>
      <c r="O91" s="25">
        <f t="shared" si="17"/>
        <v>492400</v>
      </c>
      <c r="P91" s="25">
        <f t="shared" si="18"/>
        <v>2975470</v>
      </c>
      <c r="Q91" s="2">
        <f>IF(M91&gt;0,$M$190,IFERROR((O91/J91),0))/crop_intensity!$C$7</f>
        <v>1.3411914056515835</v>
      </c>
      <c r="R91" s="389">
        <f t="shared" si="19"/>
        <v>1.5552312589267887</v>
      </c>
    </row>
    <row r="92" spans="1:18" ht="12.5">
      <c r="A92" s="84" t="s">
        <v>3128</v>
      </c>
      <c r="B92" s="705">
        <v>210</v>
      </c>
      <c r="C92" s="24" t="s">
        <v>3129</v>
      </c>
      <c r="D92" s="532"/>
      <c r="E92" s="752">
        <f>IF(M92&gt;0,$N$190,IFERROR((P92/L92),0))/crop_intensity!$D$7</f>
        <v>1.1181354109931518</v>
      </c>
      <c r="F92" s="2">
        <f t="shared" si="14"/>
        <v>1</v>
      </c>
      <c r="G92" s="2">
        <f t="shared" si="20"/>
        <v>2.4993969139811365</v>
      </c>
      <c r="H92" s="343">
        <f t="shared" si="15"/>
        <v>0</v>
      </c>
      <c r="I92" s="750"/>
      <c r="J92" s="716"/>
      <c r="K92" s="513">
        <v>1276850</v>
      </c>
      <c r="L92" s="513">
        <v>1042330</v>
      </c>
      <c r="M92" s="708">
        <v>0</v>
      </c>
      <c r="N92" s="87">
        <f t="shared" si="16"/>
        <v>1</v>
      </c>
      <c r="O92" s="25">
        <f t="shared" si="17"/>
        <v>0</v>
      </c>
      <c r="P92" s="25">
        <f t="shared" si="18"/>
        <v>1276850</v>
      </c>
      <c r="Q92" s="2">
        <f>IF(M92&gt;0,$M$190,IFERROR((O92/J92),0))/crop_intensity!$C$7</f>
        <v>0</v>
      </c>
      <c r="R92" s="389">
        <f t="shared" si="19"/>
        <v>0</v>
      </c>
    </row>
    <row r="93" spans="1:18" ht="12.5">
      <c r="A93" s="84" t="s">
        <v>2057</v>
      </c>
      <c r="B93" s="705">
        <v>56</v>
      </c>
      <c r="C93" s="24" t="s">
        <v>1001</v>
      </c>
      <c r="D93" s="532">
        <v>13884800</v>
      </c>
      <c r="E93" s="752">
        <f>IF(M93&gt;0,$N$190,IFERROR((P93/L93),0))/crop_intensity!$D$7</f>
        <v>5.2165514596559106</v>
      </c>
      <c r="F93" s="2">
        <f t="shared" si="14"/>
        <v>1</v>
      </c>
      <c r="G93" s="2">
        <f t="shared" si="20"/>
        <v>2.4993969139811365</v>
      </c>
      <c r="H93" s="343">
        <f t="shared" si="15"/>
        <v>6652599.2391023729</v>
      </c>
      <c r="I93" s="750"/>
      <c r="J93" s="716">
        <v>1430700</v>
      </c>
      <c r="K93" s="513">
        <v>1124720000</v>
      </c>
      <c r="L93" s="513">
        <v>196798000</v>
      </c>
      <c r="M93" s="708">
        <v>0</v>
      </c>
      <c r="N93" s="87">
        <f t="shared" si="16"/>
        <v>1</v>
      </c>
      <c r="O93" s="25">
        <f t="shared" si="17"/>
        <v>13884800</v>
      </c>
      <c r="P93" s="25">
        <f t="shared" si="18"/>
        <v>1124720000</v>
      </c>
      <c r="Q93" s="2">
        <f>IF(M93&gt;0,$M$190,IFERROR((O93/J93),0))/crop_intensity!$C$7</f>
        <v>9.0351595739088495</v>
      </c>
      <c r="R93" s="389">
        <f t="shared" si="19"/>
        <v>1.732017721628077</v>
      </c>
    </row>
    <row r="94" spans="1:18" ht="12.5">
      <c r="A94" s="84" t="s">
        <v>1128</v>
      </c>
      <c r="B94" s="705">
        <v>636</v>
      </c>
      <c r="C94" s="24" t="s">
        <v>1129</v>
      </c>
      <c r="D94" s="532"/>
      <c r="E94" s="752">
        <f>IF(M94&gt;0,$N$190,IFERROR((P94/L94),0))/crop_intensity!$D$7</f>
        <v>0</v>
      </c>
      <c r="F94" s="2">
        <f t="shared" si="14"/>
        <v>1</v>
      </c>
      <c r="G94" s="2">
        <f t="shared" si="20"/>
        <v>2.4993969139811365</v>
      </c>
      <c r="H94" s="343">
        <f t="shared" si="15"/>
        <v>0</v>
      </c>
      <c r="I94" s="750"/>
      <c r="J94" s="716"/>
      <c r="K94" s="513"/>
      <c r="L94" s="513"/>
      <c r="M94" s="708">
        <v>0</v>
      </c>
      <c r="N94" s="87">
        <f t="shared" si="16"/>
        <v>1</v>
      </c>
      <c r="O94" s="25">
        <f t="shared" si="17"/>
        <v>0</v>
      </c>
      <c r="P94" s="25">
        <f t="shared" si="18"/>
        <v>0</v>
      </c>
      <c r="Q94" s="2">
        <f>IF(M94&gt;0,$M$190,IFERROR((O94/J94),0))/crop_intensity!$C$7</f>
        <v>0</v>
      </c>
      <c r="R94" s="389">
        <f t="shared" si="19"/>
        <v>0</v>
      </c>
    </row>
    <row r="95" spans="1:18" ht="12.5">
      <c r="A95" s="84" t="s">
        <v>1132</v>
      </c>
      <c r="B95" s="705">
        <v>446</v>
      </c>
      <c r="C95" s="24" t="s">
        <v>1133</v>
      </c>
      <c r="D95" s="532">
        <v>189691</v>
      </c>
      <c r="E95" s="752">
        <f>IF(M95&gt;0,$N$190,IFERROR((P95/L95),0))/crop_intensity!$D$7</f>
        <v>7.4661502706224629</v>
      </c>
      <c r="F95" s="2">
        <f t="shared" si="14"/>
        <v>1</v>
      </c>
      <c r="G95" s="2">
        <f t="shared" si="20"/>
        <v>2.4993969139811365</v>
      </c>
      <c r="H95" s="343">
        <f t="shared" si="15"/>
        <v>63501.681967950579</v>
      </c>
      <c r="I95" s="750"/>
      <c r="J95" s="716">
        <v>16650</v>
      </c>
      <c r="K95" s="513">
        <v>9007150</v>
      </c>
      <c r="L95" s="513">
        <v>1101160</v>
      </c>
      <c r="M95" s="708">
        <v>0</v>
      </c>
      <c r="N95" s="87">
        <f t="shared" si="16"/>
        <v>1</v>
      </c>
      <c r="O95" s="25">
        <f t="shared" si="17"/>
        <v>189691</v>
      </c>
      <c r="P95" s="25">
        <f t="shared" si="18"/>
        <v>9007150</v>
      </c>
      <c r="Q95" s="2">
        <f>IF(M95&gt;0,$M$190,IFERROR((O95/J95),0))/crop_intensity!$C$7</f>
        <v>10.606626211030799</v>
      </c>
      <c r="R95" s="389">
        <f t="shared" si="19"/>
        <v>1.4206285470526043</v>
      </c>
    </row>
    <row r="96" spans="1:18" ht="12.5">
      <c r="A96" s="84" t="s">
        <v>4992</v>
      </c>
      <c r="B96" s="705">
        <v>571</v>
      </c>
      <c r="C96" s="24" t="s">
        <v>1473</v>
      </c>
      <c r="D96" s="532"/>
      <c r="E96" s="752">
        <f>IF(M96&gt;0,$N$190,IFERROR((P96/L96),0))/crop_intensity!$D$7</f>
        <v>9.081160168119915</v>
      </c>
      <c r="F96" s="2">
        <f t="shared" si="14"/>
        <v>1</v>
      </c>
      <c r="G96" s="2">
        <f t="shared" si="20"/>
        <v>2.4993969139811365</v>
      </c>
      <c r="H96" s="343">
        <f t="shared" si="15"/>
        <v>0</v>
      </c>
      <c r="I96" s="750"/>
      <c r="J96" s="716"/>
      <c r="K96" s="513">
        <v>53405700</v>
      </c>
      <c r="L96" s="513">
        <v>5367920</v>
      </c>
      <c r="M96" s="708">
        <v>0</v>
      </c>
      <c r="N96" s="87">
        <f t="shared" si="16"/>
        <v>1</v>
      </c>
      <c r="O96" s="25">
        <f t="shared" si="17"/>
        <v>0</v>
      </c>
      <c r="P96" s="25">
        <f t="shared" si="18"/>
        <v>53405700</v>
      </c>
      <c r="Q96" s="2">
        <f>IF(M96&gt;0,$M$190,IFERROR((O96/J96),0))/crop_intensity!$C$7</f>
        <v>0</v>
      </c>
      <c r="R96" s="389">
        <f t="shared" si="19"/>
        <v>0</v>
      </c>
    </row>
    <row r="97" spans="1:18" ht="12.5">
      <c r="A97" s="84" t="s">
        <v>4122</v>
      </c>
      <c r="B97" s="705">
        <v>809</v>
      </c>
      <c r="C97" s="24" t="s">
        <v>2085</v>
      </c>
      <c r="D97" s="532"/>
      <c r="E97" s="752">
        <f>IF(M97&gt;0,$N$190,IFERROR((P97/L97),0))/crop_intensity!$D$7</f>
        <v>0.57301744139398236</v>
      </c>
      <c r="F97" s="2">
        <f t="shared" si="14"/>
        <v>1</v>
      </c>
      <c r="G97" s="2">
        <f t="shared" si="20"/>
        <v>2.4993969139811365</v>
      </c>
      <c r="H97" s="343">
        <f t="shared" si="15"/>
        <v>0</v>
      </c>
      <c r="I97" s="750"/>
      <c r="J97" s="716"/>
      <c r="K97" s="513">
        <v>108021</v>
      </c>
      <c r="L97" s="513">
        <v>172068</v>
      </c>
      <c r="M97" s="708">
        <v>0</v>
      </c>
      <c r="N97" s="87">
        <f t="shared" si="16"/>
        <v>1</v>
      </c>
      <c r="O97" s="25">
        <f t="shared" si="17"/>
        <v>0</v>
      </c>
      <c r="P97" s="25">
        <f t="shared" si="18"/>
        <v>108021</v>
      </c>
      <c r="Q97" s="2">
        <f>IF(M97&gt;0,$M$190,IFERROR((O97/J97),0))/crop_intensity!$C$7</f>
        <v>0</v>
      </c>
      <c r="R97" s="389">
        <f t="shared" si="19"/>
        <v>0</v>
      </c>
    </row>
    <row r="98" spans="1:18" ht="12.5">
      <c r="A98" s="84" t="s">
        <v>2770</v>
      </c>
      <c r="B98" s="705">
        <v>671</v>
      </c>
      <c r="C98" s="24" t="s">
        <v>2771</v>
      </c>
      <c r="D98" s="532"/>
      <c r="E98" s="752">
        <f>IF(M98&gt;0,$N$190,IFERROR((P98/L98),0))/crop_intensity!$D$7</f>
        <v>3.3377448548592881</v>
      </c>
      <c r="F98" s="2">
        <f t="shared" ref="F98:F130" si="21">VLOOKUP("Crop Land",iyf,2,FALSE)</f>
        <v>1</v>
      </c>
      <c r="G98" s="2">
        <f t="shared" si="20"/>
        <v>2.4993969139811365</v>
      </c>
      <c r="H98" s="343">
        <f t="shared" si="15"/>
        <v>0</v>
      </c>
      <c r="I98" s="750"/>
      <c r="J98" s="716"/>
      <c r="K98" s="513">
        <v>928240</v>
      </c>
      <c r="L98" s="513">
        <v>253844</v>
      </c>
      <c r="M98" s="708">
        <v>0</v>
      </c>
      <c r="N98" s="87">
        <f t="shared" si="16"/>
        <v>1</v>
      </c>
      <c r="O98" s="25">
        <f t="shared" si="17"/>
        <v>0</v>
      </c>
      <c r="P98" s="25">
        <f t="shared" si="18"/>
        <v>928240</v>
      </c>
      <c r="Q98" s="2">
        <f>IF(M98&gt;0,$M$190,IFERROR((O98/J98),0))/crop_intensity!$C$7</f>
        <v>0</v>
      </c>
      <c r="R98" s="389">
        <f t="shared" si="19"/>
        <v>0</v>
      </c>
    </row>
    <row r="99" spans="1:18" ht="12.5">
      <c r="A99" s="84" t="s">
        <v>2772</v>
      </c>
      <c r="B99" s="705">
        <v>299</v>
      </c>
      <c r="C99" s="24" t="s">
        <v>2773</v>
      </c>
      <c r="D99" s="532"/>
      <c r="E99" s="752">
        <f>IF(M99&gt;0,$N$190,IFERROR((P99/L99),0))/crop_intensity!$D$7</f>
        <v>0.44235668254825389</v>
      </c>
      <c r="F99" s="2">
        <f t="shared" si="21"/>
        <v>1</v>
      </c>
      <c r="G99" s="2">
        <f t="shared" si="20"/>
        <v>2.4993969139811365</v>
      </c>
      <c r="H99" s="343">
        <f t="shared" si="15"/>
        <v>0</v>
      </c>
      <c r="I99" s="750"/>
      <c r="J99" s="716"/>
      <c r="K99" s="513">
        <v>1042610</v>
      </c>
      <c r="L99" s="513">
        <v>2151340</v>
      </c>
      <c r="M99" s="708">
        <v>0</v>
      </c>
      <c r="N99" s="87">
        <f t="shared" si="16"/>
        <v>1</v>
      </c>
      <c r="O99" s="25">
        <f t="shared" si="17"/>
        <v>0</v>
      </c>
      <c r="P99" s="25">
        <f t="shared" si="18"/>
        <v>1042610</v>
      </c>
      <c r="Q99" s="2">
        <f>IF(M99&gt;0,$M$190,IFERROR((O99/J99),0))/crop_intensity!$C$7</f>
        <v>0</v>
      </c>
      <c r="R99" s="389">
        <f t="shared" si="19"/>
        <v>0</v>
      </c>
    </row>
    <row r="100" spans="1:18" ht="12.5">
      <c r="A100" s="84" t="s">
        <v>2774</v>
      </c>
      <c r="B100" s="705">
        <v>79</v>
      </c>
      <c r="C100" s="24" t="s">
        <v>3926</v>
      </c>
      <c r="D100" s="532"/>
      <c r="E100" s="752">
        <f>IF(M100&gt;0,$N$190,IFERROR((P100/L100),0))/crop_intensity!$D$7</f>
        <v>2.6369352977684146</v>
      </c>
      <c r="F100" s="2">
        <f t="shared" si="21"/>
        <v>1</v>
      </c>
      <c r="G100" s="2">
        <f t="shared" si="20"/>
        <v>2.4993969139811365</v>
      </c>
      <c r="H100" s="343">
        <f t="shared" si="15"/>
        <v>0</v>
      </c>
      <c r="I100" s="750"/>
      <c r="J100" s="716"/>
      <c r="K100" s="513">
        <v>31734100</v>
      </c>
      <c r="L100" s="513">
        <v>33485400</v>
      </c>
      <c r="M100" s="708">
        <v>1</v>
      </c>
      <c r="N100" s="87">
        <f t="shared" si="16"/>
        <v>0.93564502879811484</v>
      </c>
      <c r="O100" s="25">
        <f t="shared" si="17"/>
        <v>0</v>
      </c>
      <c r="P100" s="25">
        <f t="shared" si="18"/>
        <v>29691852.908382256</v>
      </c>
      <c r="Q100" s="2">
        <f>IF(M100&gt;0,$M$190,IFERROR((O100/J100),0))/crop_intensity!$C$7</f>
        <v>3.229070276356417</v>
      </c>
      <c r="R100" s="389">
        <f t="shared" si="19"/>
        <v>1.224554231227863</v>
      </c>
    </row>
    <row r="101" spans="1:18" ht="12.5">
      <c r="A101" s="84" t="s">
        <v>2775</v>
      </c>
      <c r="B101" s="705">
        <v>103</v>
      </c>
      <c r="C101" s="24" t="s">
        <v>783</v>
      </c>
      <c r="D101" s="532">
        <v>203300</v>
      </c>
      <c r="E101" s="752">
        <f>IF(M101&gt;0,$N$190,IFERROR((P101/L101),0))/crop_intensity!$D$7</f>
        <v>2.6369352977684146</v>
      </c>
      <c r="F101" s="2">
        <f t="shared" si="21"/>
        <v>1</v>
      </c>
      <c r="G101" s="2">
        <f t="shared" si="20"/>
        <v>2.4993969139811365</v>
      </c>
      <c r="H101" s="343">
        <f t="shared" si="15"/>
        <v>192696.19282747782</v>
      </c>
      <c r="I101" s="750"/>
      <c r="J101" s="716">
        <v>69100</v>
      </c>
      <c r="K101" s="513">
        <v>3409820</v>
      </c>
      <c r="L101" s="513">
        <v>1289860</v>
      </c>
      <c r="M101" s="708">
        <v>1</v>
      </c>
      <c r="N101" s="87">
        <f t="shared" si="16"/>
        <v>1</v>
      </c>
      <c r="O101" s="25">
        <f t="shared" si="17"/>
        <v>203300</v>
      </c>
      <c r="P101" s="25">
        <f t="shared" si="18"/>
        <v>3409820</v>
      </c>
      <c r="Q101" s="2">
        <f>IF(M101&gt;0,$M$190,IFERROR((O101/J101),0))/crop_intensity!$C$7</f>
        <v>3.229070276356417</v>
      </c>
      <c r="R101" s="389">
        <f t="shared" si="19"/>
        <v>1.224554231227863</v>
      </c>
    </row>
    <row r="102" spans="1:18" ht="12.5">
      <c r="A102" s="290" t="s">
        <v>7562</v>
      </c>
      <c r="B102" s="705">
        <v>645</v>
      </c>
      <c r="C102" s="24" t="s">
        <v>6890</v>
      </c>
      <c r="D102" s="532"/>
      <c r="E102" s="752">
        <f>IF(M102&gt;0,$N$190,IFERROR((P102/L102),0))/crop_intensity!$D$7</f>
        <v>0</v>
      </c>
      <c r="F102" s="2">
        <f t="shared" ref="F102:F183" si="22">VLOOKUP("Crop Land",iyf,2,FALSE)</f>
        <v>1</v>
      </c>
      <c r="G102" s="2">
        <f t="shared" si="20"/>
        <v>2.4993969139811365</v>
      </c>
      <c r="H102" s="343">
        <f t="shared" si="15"/>
        <v>0</v>
      </c>
      <c r="I102" s="750"/>
      <c r="J102" s="716"/>
      <c r="K102" s="513"/>
      <c r="L102" s="513"/>
      <c r="M102" s="708">
        <v>0</v>
      </c>
      <c r="N102" s="87">
        <f t="shared" si="16"/>
        <v>1</v>
      </c>
      <c r="O102" s="25">
        <f t="shared" si="17"/>
        <v>0</v>
      </c>
      <c r="P102" s="25">
        <f t="shared" si="18"/>
        <v>0</v>
      </c>
      <c r="Q102" s="2">
        <f>IF(M102&gt;0,$M$190,IFERROR((O102/J102),0))/crop_intensity!$C$7</f>
        <v>0</v>
      </c>
      <c r="R102" s="389">
        <f t="shared" si="19"/>
        <v>0</v>
      </c>
    </row>
    <row r="103" spans="1:18" ht="12.5">
      <c r="A103" s="84" t="s">
        <v>784</v>
      </c>
      <c r="B103" s="705">
        <v>449</v>
      </c>
      <c r="C103" s="24" t="s">
        <v>3927</v>
      </c>
      <c r="D103" s="532">
        <v>138412</v>
      </c>
      <c r="E103" s="752">
        <f>IF(M103&gt;0,$N$190,IFERROR((P103/L103),0))/crop_intensity!$D$7</f>
        <v>129.89189770472029</v>
      </c>
      <c r="F103" s="2">
        <f t="shared" si="21"/>
        <v>1</v>
      </c>
      <c r="G103" s="2">
        <f t="shared" si="20"/>
        <v>2.4993969139811365</v>
      </c>
      <c r="H103" s="343">
        <f t="shared" ref="H103:H134" si="23">IFERROR((O103/E103)*G103*F103,0)</f>
        <v>2663.3418386448388</v>
      </c>
      <c r="I103" s="750"/>
      <c r="J103" s="716">
        <v>824.5880126953125</v>
      </c>
      <c r="K103" s="513">
        <v>11277300</v>
      </c>
      <c r="L103" s="513">
        <v>79247</v>
      </c>
      <c r="M103" s="708">
        <v>0</v>
      </c>
      <c r="N103" s="87">
        <f t="shared" ref="N103:N134" si="24">VLOOKUP(B103,constant_crop_factor,3,FALSE)</f>
        <v>1</v>
      </c>
      <c r="O103" s="25">
        <f t="shared" ref="O103:O134" si="25">D103*N103</f>
        <v>138412</v>
      </c>
      <c r="P103" s="25">
        <f t="shared" ref="P103:P134" si="26">K103*N103</f>
        <v>11277300</v>
      </c>
      <c r="Q103" s="2">
        <f>IF(M103&gt;0,$M$190,IFERROR((O103/J103),0))/crop_intensity!$C$7</f>
        <v>156.2721196821893</v>
      </c>
      <c r="R103" s="389">
        <f t="shared" ref="R103:R134" si="27">IFERROR(Q103/E103,0)</f>
        <v>1.2030936682243141</v>
      </c>
    </row>
    <row r="104" spans="1:18" ht="12.5">
      <c r="A104" s="84" t="s">
        <v>787</v>
      </c>
      <c r="B104" s="705">
        <v>292</v>
      </c>
      <c r="C104" s="24" t="s">
        <v>788</v>
      </c>
      <c r="D104" s="532">
        <v>173600</v>
      </c>
      <c r="E104" s="752">
        <f>IF(M104&gt;0,$N$190,IFERROR((P104/L104),0))/crop_intensity!$D$7</f>
        <v>0.67863080212517557</v>
      </c>
      <c r="F104" s="2">
        <f t="shared" si="21"/>
        <v>1</v>
      </c>
      <c r="G104" s="2">
        <f t="shared" ref="G104:G135" si="28">$G$7</f>
        <v>2.4993969139811365</v>
      </c>
      <c r="H104" s="343">
        <f t="shared" si="23"/>
        <v>639368.71552006563</v>
      </c>
      <c r="I104" s="750"/>
      <c r="J104" s="716">
        <v>197200</v>
      </c>
      <c r="K104" s="513">
        <v>656719</v>
      </c>
      <c r="L104" s="513">
        <v>883295</v>
      </c>
      <c r="M104" s="708">
        <v>0</v>
      </c>
      <c r="N104" s="87">
        <f t="shared" si="24"/>
        <v>1</v>
      </c>
      <c r="O104" s="25">
        <f t="shared" si="25"/>
        <v>173600</v>
      </c>
      <c r="P104" s="25">
        <f t="shared" si="26"/>
        <v>656719</v>
      </c>
      <c r="Q104" s="2">
        <f>IF(M104&gt;0,$M$190,IFERROR((O104/J104),0))/crop_intensity!$C$7</f>
        <v>0.81957289355626495</v>
      </c>
      <c r="R104" s="389">
        <f t="shared" si="27"/>
        <v>1.2076859626614651</v>
      </c>
    </row>
    <row r="105" spans="1:18" ht="12.5">
      <c r="A105" s="84" t="s">
        <v>789</v>
      </c>
      <c r="B105" s="705">
        <v>836</v>
      </c>
      <c r="C105" s="24" t="s">
        <v>2850</v>
      </c>
      <c r="D105" s="532"/>
      <c r="E105" s="752">
        <f>IF(M105&gt;0,$N$190,IFERROR((P105/L105),0))/crop_intensity!$D$7</f>
        <v>1.092384274252004</v>
      </c>
      <c r="F105" s="2">
        <f t="shared" si="21"/>
        <v>1</v>
      </c>
      <c r="G105" s="2">
        <f t="shared" si="28"/>
        <v>2.4993969139811365</v>
      </c>
      <c r="H105" s="343">
        <f t="shared" si="23"/>
        <v>0</v>
      </c>
      <c r="I105" s="750"/>
      <c r="J105" s="716"/>
      <c r="K105" s="513">
        <v>14675800</v>
      </c>
      <c r="L105" s="513">
        <v>12262700</v>
      </c>
      <c r="M105" s="708">
        <v>0</v>
      </c>
      <c r="N105" s="87">
        <f t="shared" si="24"/>
        <v>1</v>
      </c>
      <c r="O105" s="25">
        <f t="shared" si="25"/>
        <v>0</v>
      </c>
      <c r="P105" s="25">
        <f t="shared" si="26"/>
        <v>14675800</v>
      </c>
      <c r="Q105" s="2">
        <f>IF(M105&gt;0,$M$190,IFERROR((O105/J105),0))/crop_intensity!$C$7</f>
        <v>0</v>
      </c>
      <c r="R105" s="389">
        <f t="shared" si="27"/>
        <v>0</v>
      </c>
    </row>
    <row r="106" spans="1:18" ht="12.5">
      <c r="A106" s="84" t="s">
        <v>790</v>
      </c>
      <c r="B106" s="705">
        <v>702</v>
      </c>
      <c r="C106" s="24" t="s">
        <v>4520</v>
      </c>
      <c r="D106" s="532"/>
      <c r="E106" s="752">
        <f>IF(M106&gt;0,$N$190,IFERROR((P106/L106),0))/crop_intensity!$D$7</f>
        <v>0.29352747417704622</v>
      </c>
      <c r="F106" s="2">
        <f t="shared" si="21"/>
        <v>1</v>
      </c>
      <c r="G106" s="2">
        <f t="shared" si="28"/>
        <v>2.4993969139811365</v>
      </c>
      <c r="H106" s="343">
        <f t="shared" si="23"/>
        <v>0</v>
      </c>
      <c r="I106" s="750"/>
      <c r="J106" s="716"/>
      <c r="K106" s="513">
        <v>145568</v>
      </c>
      <c r="L106" s="513">
        <v>452665</v>
      </c>
      <c r="M106" s="708">
        <v>0</v>
      </c>
      <c r="N106" s="87">
        <f t="shared" si="24"/>
        <v>1</v>
      </c>
      <c r="O106" s="25">
        <f t="shared" si="25"/>
        <v>0</v>
      </c>
      <c r="P106" s="25">
        <f t="shared" si="26"/>
        <v>145568</v>
      </c>
      <c r="Q106" s="2">
        <f>IF(M106&gt;0,$M$190,IFERROR((O106/J106),0))/crop_intensity!$C$7</f>
        <v>0</v>
      </c>
      <c r="R106" s="389">
        <f t="shared" si="27"/>
        <v>0</v>
      </c>
    </row>
    <row r="107" spans="1:18" ht="12.5">
      <c r="A107" s="84" t="s">
        <v>895</v>
      </c>
      <c r="B107" s="705">
        <v>234</v>
      </c>
      <c r="C107" s="24" t="s">
        <v>791</v>
      </c>
      <c r="D107" s="532"/>
      <c r="E107" s="752">
        <f>IF(M107&gt;0,$N$190,IFERROR((P107/L107),0))/crop_intensity!$D$7</f>
        <v>1.0627556195666661</v>
      </c>
      <c r="F107" s="2">
        <f t="shared" si="21"/>
        <v>1</v>
      </c>
      <c r="G107" s="2">
        <f t="shared" si="28"/>
        <v>2.4993969139811365</v>
      </c>
      <c r="H107" s="343">
        <f t="shared" si="23"/>
        <v>0</v>
      </c>
      <c r="I107" s="750"/>
      <c r="J107" s="716"/>
      <c r="K107" s="513">
        <v>971430</v>
      </c>
      <c r="L107" s="513">
        <v>834330</v>
      </c>
      <c r="M107" s="708">
        <v>0</v>
      </c>
      <c r="N107" s="87">
        <f t="shared" si="24"/>
        <v>1</v>
      </c>
      <c r="O107" s="25">
        <f t="shared" si="25"/>
        <v>0</v>
      </c>
      <c r="P107" s="25">
        <f t="shared" si="26"/>
        <v>971430</v>
      </c>
      <c r="Q107" s="2">
        <f>IF(M107&gt;0,$M$190,IFERROR((O107/J107),0))/crop_intensity!$C$7</f>
        <v>0</v>
      </c>
      <c r="R107" s="389">
        <f t="shared" si="27"/>
        <v>0</v>
      </c>
    </row>
    <row r="108" spans="1:18" ht="12.5">
      <c r="A108" s="84" t="s">
        <v>792</v>
      </c>
      <c r="B108" s="705">
        <v>75</v>
      </c>
      <c r="C108" s="24" t="s">
        <v>2851</v>
      </c>
      <c r="D108" s="532">
        <v>3436000</v>
      </c>
      <c r="E108" s="752">
        <f>IF(M108&gt;0,$N$190,IFERROR((P108/L108),0))/crop_intensity!$D$7</f>
        <v>2.6369352977684146</v>
      </c>
      <c r="F108" s="2">
        <f t="shared" si="21"/>
        <v>1</v>
      </c>
      <c r="G108" s="2">
        <f t="shared" si="28"/>
        <v>2.4993969139811365</v>
      </c>
      <c r="H108" s="343">
        <f t="shared" si="23"/>
        <v>4156075.9372776886</v>
      </c>
      <c r="I108" s="750"/>
      <c r="J108" s="716">
        <v>1004900</v>
      </c>
      <c r="K108" s="513">
        <v>22588300</v>
      </c>
      <c r="L108" s="513">
        <v>9692980</v>
      </c>
      <c r="M108" s="708">
        <v>1</v>
      </c>
      <c r="N108" s="87">
        <f t="shared" si="24"/>
        <v>1.2761289567149765</v>
      </c>
      <c r="O108" s="25">
        <f t="shared" si="25"/>
        <v>4384779.0952726593</v>
      </c>
      <c r="P108" s="25">
        <f t="shared" si="26"/>
        <v>28825583.712964904</v>
      </c>
      <c r="Q108" s="2">
        <f>IF(M108&gt;0,$M$190,IFERROR((O108/J108),0))/crop_intensity!$C$7</f>
        <v>3.229070276356417</v>
      </c>
      <c r="R108" s="389">
        <f t="shared" si="27"/>
        <v>1.224554231227863</v>
      </c>
    </row>
    <row r="109" spans="1:18" ht="12.5">
      <c r="A109" s="84" t="s">
        <v>793</v>
      </c>
      <c r="B109" s="705">
        <v>254</v>
      </c>
      <c r="C109" s="24" t="s">
        <v>794</v>
      </c>
      <c r="D109" s="532"/>
      <c r="E109" s="752">
        <f>IF(M109&gt;0,$N$190,IFERROR((P109/L109),0))/crop_intensity!$D$7</f>
        <v>13.308277213346715</v>
      </c>
      <c r="F109" s="2">
        <f t="shared" si="21"/>
        <v>1</v>
      </c>
      <c r="G109" s="2">
        <f t="shared" si="28"/>
        <v>2.4993969139811365</v>
      </c>
      <c r="H109" s="343">
        <f t="shared" si="23"/>
        <v>0</v>
      </c>
      <c r="I109" s="750"/>
      <c r="J109" s="716"/>
      <c r="K109" s="513">
        <v>403583008</v>
      </c>
      <c r="L109" s="513">
        <v>27680300</v>
      </c>
      <c r="M109" s="708">
        <v>0</v>
      </c>
      <c r="N109" s="87">
        <f t="shared" si="24"/>
        <v>1</v>
      </c>
      <c r="O109" s="25">
        <f t="shared" si="25"/>
        <v>0</v>
      </c>
      <c r="P109" s="25">
        <f t="shared" si="26"/>
        <v>403583008</v>
      </c>
      <c r="Q109" s="2">
        <f>IF(M109&gt;0,$M$190,IFERROR((O109/J109),0))/crop_intensity!$C$7</f>
        <v>0</v>
      </c>
      <c r="R109" s="389">
        <f t="shared" si="27"/>
        <v>0</v>
      </c>
    </row>
    <row r="110" spans="1:18" ht="12.5">
      <c r="A110" s="84" t="s">
        <v>621</v>
      </c>
      <c r="B110" s="705">
        <v>339</v>
      </c>
      <c r="C110" s="24" t="s">
        <v>5377</v>
      </c>
      <c r="D110" s="532">
        <v>26372</v>
      </c>
      <c r="E110" s="752">
        <f>IF(M110&gt;0,$N$190,IFERROR((P110/L110),0))/crop_intensity!$D$7</f>
        <v>1.2280738910787798</v>
      </c>
      <c r="F110" s="2">
        <f t="shared" si="21"/>
        <v>1</v>
      </c>
      <c r="G110" s="2">
        <f t="shared" si="28"/>
        <v>2.4993969139811365</v>
      </c>
      <c r="H110" s="343">
        <f t="shared" si="23"/>
        <v>53672.743875052554</v>
      </c>
      <c r="I110" s="750"/>
      <c r="J110" s="716">
        <v>8310</v>
      </c>
      <c r="K110" s="513">
        <v>2355760</v>
      </c>
      <c r="L110" s="513">
        <v>1750920</v>
      </c>
      <c r="M110" s="708">
        <v>0</v>
      </c>
      <c r="N110" s="87">
        <f t="shared" si="24"/>
        <v>1</v>
      </c>
      <c r="O110" s="25">
        <f t="shared" si="25"/>
        <v>26372</v>
      </c>
      <c r="P110" s="25">
        <f t="shared" si="26"/>
        <v>2355760</v>
      </c>
      <c r="Q110" s="2">
        <f>IF(M110&gt;0,$M$190,IFERROR((O110/J110),0))/crop_intensity!$C$7</f>
        <v>2.9545192178627846</v>
      </c>
      <c r="R110" s="389">
        <f t="shared" si="27"/>
        <v>2.4058155126703649</v>
      </c>
    </row>
    <row r="111" spans="1:18" ht="12.5">
      <c r="A111" s="84" t="s">
        <v>795</v>
      </c>
      <c r="B111" s="705">
        <v>430</v>
      </c>
      <c r="C111" s="24" t="s">
        <v>796</v>
      </c>
      <c r="D111" s="532"/>
      <c r="E111" s="752">
        <f>IF(M111&gt;0,$N$190,IFERROR((P111/L111),0))/crop_intensity!$D$7</f>
        <v>3.703862150577256</v>
      </c>
      <c r="F111" s="2">
        <f t="shared" si="21"/>
        <v>1</v>
      </c>
      <c r="G111" s="2">
        <f t="shared" si="28"/>
        <v>2.4993969139811365</v>
      </c>
      <c r="H111" s="343">
        <f t="shared" si="23"/>
        <v>0</v>
      </c>
      <c r="I111" s="750"/>
      <c r="J111" s="716"/>
      <c r="K111" s="513">
        <v>9533330</v>
      </c>
      <c r="L111" s="513">
        <v>2349360</v>
      </c>
      <c r="M111" s="708">
        <v>0</v>
      </c>
      <c r="N111" s="87">
        <f t="shared" si="24"/>
        <v>1</v>
      </c>
      <c r="O111" s="25">
        <f t="shared" si="25"/>
        <v>0</v>
      </c>
      <c r="P111" s="25">
        <f t="shared" si="26"/>
        <v>9533330</v>
      </c>
      <c r="Q111" s="2">
        <f>IF(M111&gt;0,$M$190,IFERROR((O111/J111),0))/crop_intensity!$C$7</f>
        <v>0</v>
      </c>
      <c r="R111" s="389">
        <f t="shared" si="27"/>
        <v>0</v>
      </c>
    </row>
    <row r="112" spans="1:18" ht="12.5">
      <c r="A112" s="84" t="s">
        <v>3734</v>
      </c>
      <c r="B112" s="705">
        <v>260</v>
      </c>
      <c r="C112" s="24" t="s">
        <v>2855</v>
      </c>
      <c r="D112" s="532"/>
      <c r="E112" s="752">
        <f>IF(M112&gt;0,$N$190,IFERROR((P112/L112),0))/crop_intensity!$D$7</f>
        <v>1.9046465673123252</v>
      </c>
      <c r="F112" s="2">
        <f t="shared" si="21"/>
        <v>1</v>
      </c>
      <c r="G112" s="2">
        <f t="shared" si="28"/>
        <v>2.4993969139811365</v>
      </c>
      <c r="H112" s="343">
        <f t="shared" si="23"/>
        <v>0</v>
      </c>
      <c r="I112" s="750"/>
      <c r="J112" s="716"/>
      <c r="K112" s="513">
        <v>21881700</v>
      </c>
      <c r="L112" s="513">
        <v>10486400</v>
      </c>
      <c r="M112" s="708">
        <v>0</v>
      </c>
      <c r="N112" s="87">
        <f t="shared" si="24"/>
        <v>1</v>
      </c>
      <c r="O112" s="25">
        <f t="shared" si="25"/>
        <v>0</v>
      </c>
      <c r="P112" s="25">
        <f t="shared" si="26"/>
        <v>21881700</v>
      </c>
      <c r="Q112" s="2">
        <f>IF(M112&gt;0,$M$190,IFERROR((O112/J112),0))/crop_intensity!$C$7</f>
        <v>0</v>
      </c>
      <c r="R112" s="389">
        <f t="shared" si="27"/>
        <v>0</v>
      </c>
    </row>
    <row r="113" spans="1:18" ht="12.5">
      <c r="A113" s="84" t="s">
        <v>3367</v>
      </c>
      <c r="B113" s="705">
        <v>402</v>
      </c>
      <c r="C113" s="24" t="s">
        <v>3368</v>
      </c>
      <c r="D113" s="532"/>
      <c r="E113" s="752">
        <f>IF(M113&gt;0,$N$190,IFERROR((P113/L113),0))/crop_intensity!$D$7</f>
        <v>18.705917134002988</v>
      </c>
      <c r="F113" s="2">
        <f t="shared" si="21"/>
        <v>1</v>
      </c>
      <c r="G113" s="2">
        <f t="shared" si="28"/>
        <v>2.4993969139811365</v>
      </c>
      <c r="H113" s="343">
        <f t="shared" si="23"/>
        <v>0</v>
      </c>
      <c r="I113" s="750"/>
      <c r="J113" s="716"/>
      <c r="K113" s="513">
        <v>4657960</v>
      </c>
      <c r="L113" s="513">
        <v>227288</v>
      </c>
      <c r="M113" s="708">
        <v>0</v>
      </c>
      <c r="N113" s="87">
        <f t="shared" si="24"/>
        <v>1</v>
      </c>
      <c r="O113" s="25">
        <f t="shared" si="25"/>
        <v>0</v>
      </c>
      <c r="P113" s="25">
        <f t="shared" si="26"/>
        <v>4657960</v>
      </c>
      <c r="Q113" s="2">
        <f>IF(M113&gt;0,$M$190,IFERROR((O113/J113),0))/crop_intensity!$C$7</f>
        <v>0</v>
      </c>
      <c r="R113" s="389">
        <f t="shared" si="27"/>
        <v>0</v>
      </c>
    </row>
    <row r="114" spans="1:18" ht="12.5">
      <c r="A114" s="84" t="s">
        <v>2373</v>
      </c>
      <c r="B114" s="705">
        <v>403</v>
      </c>
      <c r="C114" s="24" t="s">
        <v>3095</v>
      </c>
      <c r="D114" s="532">
        <v>241620</v>
      </c>
      <c r="E114" s="752">
        <f>IF(M114&gt;0,$N$190,IFERROR((P114/L114),0))/crop_intensity!$D$7</f>
        <v>17.265051596944925</v>
      </c>
      <c r="F114" s="2">
        <f t="shared" si="21"/>
        <v>1</v>
      </c>
      <c r="G114" s="2">
        <f t="shared" si="28"/>
        <v>2.4993969139811365</v>
      </c>
      <c r="H114" s="343">
        <f t="shared" si="23"/>
        <v>34978.423259562333</v>
      </c>
      <c r="I114" s="750"/>
      <c r="J114" s="716">
        <v>5439</v>
      </c>
      <c r="K114" s="513">
        <v>98070704</v>
      </c>
      <c r="L114" s="513">
        <v>5184790</v>
      </c>
      <c r="M114" s="708">
        <v>0</v>
      </c>
      <c r="N114" s="87">
        <f t="shared" si="24"/>
        <v>1</v>
      </c>
      <c r="O114" s="25">
        <f t="shared" si="25"/>
        <v>241620</v>
      </c>
      <c r="P114" s="25">
        <f t="shared" si="26"/>
        <v>98070704</v>
      </c>
      <c r="Q114" s="2">
        <f>IF(M114&gt;0,$M$190,IFERROR((O114/J114),0))/crop_intensity!$C$7</f>
        <v>41.35791126755008</v>
      </c>
      <c r="R114" s="389">
        <f t="shared" si="27"/>
        <v>2.3954698910293684</v>
      </c>
    </row>
    <row r="115" spans="1:18" ht="12.5">
      <c r="A115" s="84" t="s">
        <v>3096</v>
      </c>
      <c r="B115" s="705">
        <v>490</v>
      </c>
      <c r="C115" s="24" t="s">
        <v>2856</v>
      </c>
      <c r="D115" s="532"/>
      <c r="E115" s="752">
        <f>IF(M115&gt;0,$N$190,IFERROR((P115/L115),0))/crop_intensity!$D$7</f>
        <v>17.43542751812668</v>
      </c>
      <c r="F115" s="2">
        <f t="shared" si="21"/>
        <v>1</v>
      </c>
      <c r="G115" s="2">
        <f t="shared" si="28"/>
        <v>2.4993969139811365</v>
      </c>
      <c r="H115" s="343">
        <f t="shared" si="23"/>
        <v>0</v>
      </c>
      <c r="I115" s="750"/>
      <c r="J115" s="716"/>
      <c r="K115" s="513">
        <v>75189400</v>
      </c>
      <c r="L115" s="513">
        <v>3936260</v>
      </c>
      <c r="M115" s="708">
        <v>0</v>
      </c>
      <c r="N115" s="87">
        <f t="shared" si="24"/>
        <v>1</v>
      </c>
      <c r="O115" s="25">
        <f t="shared" si="25"/>
        <v>0</v>
      </c>
      <c r="P115" s="25">
        <f t="shared" si="26"/>
        <v>75189400</v>
      </c>
      <c r="Q115" s="2">
        <f>IF(M115&gt;0,$M$190,IFERROR((O115/J115),0))/crop_intensity!$C$7</f>
        <v>0</v>
      </c>
      <c r="R115" s="389">
        <f t="shared" si="27"/>
        <v>0</v>
      </c>
    </row>
    <row r="116" spans="1:18" ht="12.5">
      <c r="A116" s="84" t="s">
        <v>5011</v>
      </c>
      <c r="B116" s="705">
        <v>782</v>
      </c>
      <c r="C116" s="24" t="s">
        <v>5378</v>
      </c>
      <c r="D116" s="532"/>
      <c r="E116" s="752">
        <f>IF(M116&gt;0,$N$190,IFERROR((P116/L116),0))/crop_intensity!$D$7</f>
        <v>1.3243633378484518</v>
      </c>
      <c r="F116" s="2">
        <f t="shared" si="21"/>
        <v>1</v>
      </c>
      <c r="G116" s="2">
        <f t="shared" si="28"/>
        <v>2.4993969139811365</v>
      </c>
      <c r="H116" s="343">
        <f t="shared" si="23"/>
        <v>0</v>
      </c>
      <c r="I116" s="750"/>
      <c r="J116" s="716"/>
      <c r="K116" s="513">
        <v>207585</v>
      </c>
      <c r="L116" s="513">
        <v>143070</v>
      </c>
      <c r="M116" s="708">
        <v>0</v>
      </c>
      <c r="N116" s="87">
        <f t="shared" si="24"/>
        <v>1</v>
      </c>
      <c r="O116" s="25">
        <f t="shared" si="25"/>
        <v>0</v>
      </c>
      <c r="P116" s="25">
        <f t="shared" si="26"/>
        <v>207585</v>
      </c>
      <c r="Q116" s="2">
        <f>IF(M116&gt;0,$M$190,IFERROR((O116/J116),0))/crop_intensity!$C$7</f>
        <v>0</v>
      </c>
      <c r="R116" s="389">
        <f t="shared" si="27"/>
        <v>0</v>
      </c>
    </row>
    <row r="117" spans="1:18" ht="12.5">
      <c r="A117" s="84" t="s">
        <v>3097</v>
      </c>
      <c r="B117" s="705">
        <v>568</v>
      </c>
      <c r="C117" s="24" t="s">
        <v>3098</v>
      </c>
      <c r="D117" s="532">
        <v>14259</v>
      </c>
      <c r="E117" s="752">
        <f>IF(M117&gt;0,$N$190,IFERROR((P117/L117),0))/crop_intensity!$D$7</f>
        <v>24.054418346651083</v>
      </c>
      <c r="F117" s="2">
        <f t="shared" si="21"/>
        <v>1</v>
      </c>
      <c r="G117" s="2">
        <f t="shared" si="28"/>
        <v>2.4993969139811365</v>
      </c>
      <c r="H117" s="343">
        <f t="shared" si="23"/>
        <v>1481.5947774276055</v>
      </c>
      <c r="I117" s="750"/>
      <c r="J117" s="716">
        <v>497</v>
      </c>
      <c r="K117" s="513">
        <v>27040600</v>
      </c>
      <c r="L117" s="513">
        <v>1026080</v>
      </c>
      <c r="M117" s="708">
        <v>0</v>
      </c>
      <c r="N117" s="87">
        <f t="shared" si="24"/>
        <v>1</v>
      </c>
      <c r="O117" s="25">
        <f t="shared" si="25"/>
        <v>14259</v>
      </c>
      <c r="P117" s="25">
        <f t="shared" si="26"/>
        <v>27040600</v>
      </c>
      <c r="Q117" s="2">
        <f>IF(M117&gt;0,$M$190,IFERROR((O117/J117),0))/crop_intensity!$C$7</f>
        <v>26.710219452126861</v>
      </c>
      <c r="R117" s="389">
        <f t="shared" si="27"/>
        <v>1.1104080367773901</v>
      </c>
    </row>
    <row r="118" spans="1:18" ht="12.5">
      <c r="A118" s="84" t="s">
        <v>928</v>
      </c>
      <c r="B118" s="705">
        <v>600</v>
      </c>
      <c r="C118" s="24" t="s">
        <v>929</v>
      </c>
      <c r="D118" s="532"/>
      <c r="E118" s="752">
        <f>IF(M118&gt;0,$N$190,IFERROR((P118/L118),0))/crop_intensity!$D$7</f>
        <v>26.764320639444559</v>
      </c>
      <c r="F118" s="2">
        <f t="shared" si="21"/>
        <v>1</v>
      </c>
      <c r="G118" s="2">
        <f t="shared" si="28"/>
        <v>2.4993969139811365</v>
      </c>
      <c r="H118" s="343">
        <f t="shared" si="23"/>
        <v>0</v>
      </c>
      <c r="I118" s="750"/>
      <c r="J118" s="716"/>
      <c r="K118" s="513">
        <v>13239000</v>
      </c>
      <c r="L118" s="513">
        <v>451501</v>
      </c>
      <c r="M118" s="708">
        <v>0</v>
      </c>
      <c r="N118" s="87">
        <f t="shared" si="24"/>
        <v>1</v>
      </c>
      <c r="O118" s="25">
        <f t="shared" si="25"/>
        <v>0</v>
      </c>
      <c r="P118" s="25">
        <f t="shared" si="26"/>
        <v>13239000</v>
      </c>
      <c r="Q118" s="2">
        <f>IF(M118&gt;0,$M$190,IFERROR((O118/J118),0))/crop_intensity!$C$7</f>
        <v>0</v>
      </c>
      <c r="R118" s="389">
        <f t="shared" si="27"/>
        <v>0</v>
      </c>
    </row>
    <row r="119" spans="1:18" ht="12.5">
      <c r="A119" s="84" t="s">
        <v>4311</v>
      </c>
      <c r="B119" s="705">
        <v>534</v>
      </c>
      <c r="C119" s="24" t="s">
        <v>2499</v>
      </c>
      <c r="D119" s="532">
        <v>28339</v>
      </c>
      <c r="E119" s="752">
        <f>IF(M119&gt;0,$N$190,IFERROR((P119/L119),0))/crop_intensity!$D$7</f>
        <v>14.873153866452334</v>
      </c>
      <c r="F119" s="2">
        <f t="shared" si="21"/>
        <v>1</v>
      </c>
      <c r="G119" s="2">
        <f t="shared" si="28"/>
        <v>2.4993969139811365</v>
      </c>
      <c r="H119" s="343">
        <f t="shared" si="23"/>
        <v>4762.299225927828</v>
      </c>
      <c r="I119" s="750"/>
      <c r="J119" s="716">
        <v>2555</v>
      </c>
      <c r="K119" s="513">
        <v>24902200</v>
      </c>
      <c r="L119" s="513">
        <v>1528250</v>
      </c>
      <c r="M119" s="708">
        <v>0</v>
      </c>
      <c r="N119" s="87">
        <f t="shared" si="24"/>
        <v>1</v>
      </c>
      <c r="O119" s="25">
        <f t="shared" si="25"/>
        <v>28339</v>
      </c>
      <c r="P119" s="25">
        <f t="shared" si="26"/>
        <v>24902200</v>
      </c>
      <c r="Q119" s="2">
        <f>IF(M119&gt;0,$M$190,IFERROR((O119/J119),0))/crop_intensity!$C$7</f>
        <v>10.326149126256512</v>
      </c>
      <c r="R119" s="389">
        <f t="shared" si="27"/>
        <v>0.69428106634114917</v>
      </c>
    </row>
    <row r="120" spans="1:18" ht="12.5">
      <c r="A120" s="84" t="s">
        <v>2500</v>
      </c>
      <c r="B120" s="705">
        <v>521</v>
      </c>
      <c r="C120" s="24" t="s">
        <v>5093</v>
      </c>
      <c r="D120" s="532">
        <v>9053</v>
      </c>
      <c r="E120" s="752">
        <f>IF(M120&gt;0,$N$190,IFERROR((P120/L120),0))/crop_intensity!$D$7</f>
        <v>15.657243237373233</v>
      </c>
      <c r="F120" s="2">
        <f t="shared" si="21"/>
        <v>1</v>
      </c>
      <c r="G120" s="2">
        <f t="shared" si="28"/>
        <v>2.4993969139811365</v>
      </c>
      <c r="H120" s="343">
        <f t="shared" si="23"/>
        <v>1445.1484159268448</v>
      </c>
      <c r="I120" s="750"/>
      <c r="J120" s="716">
        <v>749</v>
      </c>
      <c r="K120" s="513">
        <v>23723100</v>
      </c>
      <c r="L120" s="513">
        <v>1382980</v>
      </c>
      <c r="M120" s="708">
        <v>0</v>
      </c>
      <c r="N120" s="87">
        <f t="shared" si="24"/>
        <v>1</v>
      </c>
      <c r="O120" s="25">
        <f t="shared" si="25"/>
        <v>9053</v>
      </c>
      <c r="P120" s="25">
        <f t="shared" si="26"/>
        <v>23723100</v>
      </c>
      <c r="Q120" s="2">
        <f>IF(M120&gt;0,$M$190,IFERROR((O120/J120),0))/crop_intensity!$C$7</f>
        <v>11.252667300932361</v>
      </c>
      <c r="R120" s="389">
        <f t="shared" si="27"/>
        <v>0.71868764701008669</v>
      </c>
    </row>
    <row r="121" spans="1:18" ht="12.5">
      <c r="A121" s="84" t="s">
        <v>5094</v>
      </c>
      <c r="B121" s="705">
        <v>187</v>
      </c>
      <c r="C121" s="24" t="s">
        <v>5095</v>
      </c>
      <c r="D121" s="532">
        <v>3580700</v>
      </c>
      <c r="E121" s="752">
        <f>IF(M121&gt;0,$N$190,IFERROR((P121/L121),0))/crop_intensity!$D$7</f>
        <v>1.6457627174182443</v>
      </c>
      <c r="F121" s="2">
        <f t="shared" si="21"/>
        <v>1</v>
      </c>
      <c r="G121" s="2">
        <f t="shared" si="28"/>
        <v>2.4993969139811365</v>
      </c>
      <c r="H121" s="343">
        <f t="shared" si="23"/>
        <v>5437959.2119644908</v>
      </c>
      <c r="I121" s="750"/>
      <c r="J121" s="716">
        <v>1431200</v>
      </c>
      <c r="K121" s="513">
        <v>13367100</v>
      </c>
      <c r="L121" s="513">
        <v>7413610</v>
      </c>
      <c r="M121" s="708">
        <v>0</v>
      </c>
      <c r="N121" s="87">
        <f t="shared" si="24"/>
        <v>1</v>
      </c>
      <c r="O121" s="25">
        <f t="shared" si="25"/>
        <v>3580700</v>
      </c>
      <c r="P121" s="25">
        <f t="shared" si="26"/>
        <v>13367100</v>
      </c>
      <c r="Q121" s="2">
        <f>IF(M121&gt;0,$M$190,IFERROR((O121/J121),0))/crop_intensity!$C$7</f>
        <v>2.3292300511554873</v>
      </c>
      <c r="R121" s="389">
        <f t="shared" si="27"/>
        <v>1.4152891097262295</v>
      </c>
    </row>
    <row r="122" spans="1:18" ht="12.5">
      <c r="A122" s="84" t="s">
        <v>5096</v>
      </c>
      <c r="B122" s="705">
        <v>417</v>
      </c>
      <c r="C122" s="24" t="s">
        <v>5097</v>
      </c>
      <c r="D122" s="532">
        <v>45531</v>
      </c>
      <c r="E122" s="752">
        <f>IF(M122&gt;0,$N$190,IFERROR((P122/L122),0))/crop_intensity!$D$7</f>
        <v>7.1142812957588477</v>
      </c>
      <c r="F122" s="2">
        <f t="shared" si="21"/>
        <v>1</v>
      </c>
      <c r="G122" s="2">
        <f t="shared" si="28"/>
        <v>2.4993969139811365</v>
      </c>
      <c r="H122" s="343">
        <f t="shared" si="23"/>
        <v>15995.999618164746</v>
      </c>
      <c r="I122" s="750"/>
      <c r="J122" s="716">
        <v>10832</v>
      </c>
      <c r="K122" s="513">
        <v>21152900</v>
      </c>
      <c r="L122" s="513">
        <v>2713930</v>
      </c>
      <c r="M122" s="708">
        <v>0</v>
      </c>
      <c r="N122" s="87">
        <f t="shared" si="24"/>
        <v>1</v>
      </c>
      <c r="O122" s="25">
        <f t="shared" si="25"/>
        <v>45531</v>
      </c>
      <c r="P122" s="25">
        <f t="shared" si="26"/>
        <v>21152900</v>
      </c>
      <c r="Q122" s="2">
        <f>IF(M122&gt;0,$M$190,IFERROR((O122/J122),0))/crop_intensity!$C$7</f>
        <v>3.9133015366527015</v>
      </c>
      <c r="R122" s="389">
        <f t="shared" si="27"/>
        <v>0.55006280662329188</v>
      </c>
    </row>
    <row r="123" spans="1:18" ht="12.5">
      <c r="A123" s="84" t="s">
        <v>5098</v>
      </c>
      <c r="B123" s="705">
        <v>687</v>
      </c>
      <c r="C123" s="24" t="s">
        <v>5099</v>
      </c>
      <c r="D123" s="532"/>
      <c r="E123" s="752">
        <f>IF(M123&gt;0,$N$190,IFERROR((P123/L123),0))/crop_intensity!$D$7</f>
        <v>1.2703349892141182</v>
      </c>
      <c r="F123" s="2">
        <f t="shared" si="21"/>
        <v>1</v>
      </c>
      <c r="G123" s="2">
        <f t="shared" si="28"/>
        <v>2.4993969139811365</v>
      </c>
      <c r="H123" s="343">
        <f t="shared" si="23"/>
        <v>0</v>
      </c>
      <c r="I123" s="750"/>
      <c r="J123" s="716"/>
      <c r="K123" s="513">
        <v>1039280</v>
      </c>
      <c r="L123" s="513">
        <v>746748</v>
      </c>
      <c r="M123" s="708">
        <v>0</v>
      </c>
      <c r="N123" s="87">
        <f t="shared" si="24"/>
        <v>1</v>
      </c>
      <c r="O123" s="25">
        <f t="shared" si="25"/>
        <v>0</v>
      </c>
      <c r="P123" s="25">
        <f t="shared" si="26"/>
        <v>1039280</v>
      </c>
      <c r="Q123" s="2">
        <f>IF(M123&gt;0,$M$190,IFERROR((O123/J123),0))/crop_intensity!$C$7</f>
        <v>0</v>
      </c>
      <c r="R123" s="389">
        <f t="shared" si="27"/>
        <v>0</v>
      </c>
    </row>
    <row r="124" spans="1:18" ht="12.5">
      <c r="A124" s="84" t="s">
        <v>2857</v>
      </c>
      <c r="B124" s="705">
        <v>748</v>
      </c>
      <c r="C124" s="24" t="s">
        <v>2858</v>
      </c>
      <c r="D124" s="532"/>
      <c r="E124" s="752">
        <f>IF(M124&gt;0,$N$190,IFERROR((P124/L124),0))/crop_intensity!$D$7</f>
        <v>28.382721366790463</v>
      </c>
      <c r="F124" s="2">
        <f t="shared" si="21"/>
        <v>1</v>
      </c>
      <c r="G124" s="2">
        <f t="shared" si="28"/>
        <v>2.4993969139811365</v>
      </c>
      <c r="H124" s="343">
        <f t="shared" si="23"/>
        <v>0</v>
      </c>
      <c r="I124" s="750"/>
      <c r="J124" s="716"/>
      <c r="K124" s="513">
        <v>106408</v>
      </c>
      <c r="L124" s="513">
        <v>3422</v>
      </c>
      <c r="M124" s="708">
        <v>0</v>
      </c>
      <c r="N124" s="87">
        <f t="shared" si="24"/>
        <v>1</v>
      </c>
      <c r="O124" s="25">
        <f t="shared" si="25"/>
        <v>0</v>
      </c>
      <c r="P124" s="25">
        <f t="shared" si="26"/>
        <v>106408</v>
      </c>
      <c r="Q124" s="2">
        <f>IF(M124&gt;0,$M$190,IFERROR((O124/J124),0))/crop_intensity!$C$7</f>
        <v>0</v>
      </c>
      <c r="R124" s="389">
        <f t="shared" si="27"/>
        <v>0</v>
      </c>
    </row>
    <row r="125" spans="1:18" ht="12.5">
      <c r="A125" s="84" t="s">
        <v>5100</v>
      </c>
      <c r="B125" s="705">
        <v>587</v>
      </c>
      <c r="C125" s="24" t="s">
        <v>5101</v>
      </c>
      <c r="D125" s="532"/>
      <c r="E125" s="752">
        <f>IF(M125&gt;0,$N$190,IFERROR((P125/L125),0))/crop_intensity!$D$7</f>
        <v>3.9179918942576242</v>
      </c>
      <c r="F125" s="2">
        <f t="shared" si="21"/>
        <v>1</v>
      </c>
      <c r="G125" s="2">
        <f t="shared" si="28"/>
        <v>2.4993969139811365</v>
      </c>
      <c r="H125" s="343">
        <f t="shared" si="23"/>
        <v>0</v>
      </c>
      <c r="I125" s="750"/>
      <c r="J125" s="716"/>
      <c r="K125" s="513">
        <v>4163040</v>
      </c>
      <c r="L125" s="513">
        <v>969855</v>
      </c>
      <c r="M125" s="708">
        <v>0</v>
      </c>
      <c r="N125" s="87">
        <f t="shared" si="24"/>
        <v>1</v>
      </c>
      <c r="O125" s="25">
        <f t="shared" si="25"/>
        <v>0</v>
      </c>
      <c r="P125" s="25">
        <f t="shared" si="26"/>
        <v>4163040</v>
      </c>
      <c r="Q125" s="2">
        <f>IF(M125&gt;0,$M$190,IFERROR((O125/J125),0))/crop_intensity!$C$7</f>
        <v>0</v>
      </c>
      <c r="R125" s="389">
        <f t="shared" si="27"/>
        <v>0</v>
      </c>
    </row>
    <row r="126" spans="1:18" ht="12.5">
      <c r="A126" s="84" t="s">
        <v>5102</v>
      </c>
      <c r="B126" s="705">
        <v>197</v>
      </c>
      <c r="C126" s="24" t="s">
        <v>5103</v>
      </c>
      <c r="D126" s="532"/>
      <c r="E126" s="752">
        <f>IF(M126&gt;0,$N$190,IFERROR((P126/L126),0))/crop_intensity!$D$7</f>
        <v>0.89671306742192958</v>
      </c>
      <c r="F126" s="2">
        <f t="shared" si="21"/>
        <v>1</v>
      </c>
      <c r="G126" s="2">
        <f t="shared" si="28"/>
        <v>2.4993969139811365</v>
      </c>
      <c r="H126" s="343">
        <f t="shared" si="23"/>
        <v>0</v>
      </c>
      <c r="I126" s="750"/>
      <c r="J126" s="716"/>
      <c r="K126" s="513">
        <v>5379640</v>
      </c>
      <c r="L126" s="513">
        <v>5475950</v>
      </c>
      <c r="M126" s="708">
        <v>0</v>
      </c>
      <c r="N126" s="87">
        <f t="shared" si="24"/>
        <v>1</v>
      </c>
      <c r="O126" s="25">
        <f t="shared" si="25"/>
        <v>0</v>
      </c>
      <c r="P126" s="25">
        <f t="shared" si="26"/>
        <v>5379640</v>
      </c>
      <c r="Q126" s="2">
        <f>IF(M126&gt;0,$M$190,IFERROR((O126/J126),0))/crop_intensity!$C$7</f>
        <v>0</v>
      </c>
      <c r="R126" s="389">
        <f t="shared" si="27"/>
        <v>0</v>
      </c>
    </row>
    <row r="127" spans="1:18" ht="12.5">
      <c r="A127" s="84" t="s">
        <v>5104</v>
      </c>
      <c r="B127" s="705">
        <v>574</v>
      </c>
      <c r="C127" s="24" t="s">
        <v>2860</v>
      </c>
      <c r="D127" s="532"/>
      <c r="E127" s="752">
        <f>IF(M127&gt;0,$N$190,IFERROR((P127/L127),0))/crop_intensity!$D$7</f>
        <v>22.863396956198955</v>
      </c>
      <c r="F127" s="2">
        <f t="shared" si="21"/>
        <v>1</v>
      </c>
      <c r="G127" s="2">
        <f t="shared" si="28"/>
        <v>2.4993969139811365</v>
      </c>
      <c r="H127" s="343">
        <f t="shared" si="23"/>
        <v>0</v>
      </c>
      <c r="I127" s="750"/>
      <c r="J127" s="716"/>
      <c r="K127" s="513">
        <v>28430000</v>
      </c>
      <c r="L127" s="513">
        <v>1135000</v>
      </c>
      <c r="M127" s="708">
        <v>0</v>
      </c>
      <c r="N127" s="87">
        <f t="shared" si="24"/>
        <v>1</v>
      </c>
      <c r="O127" s="25">
        <f t="shared" si="25"/>
        <v>0</v>
      </c>
      <c r="P127" s="25">
        <f t="shared" si="26"/>
        <v>28430000</v>
      </c>
      <c r="Q127" s="2">
        <f>IF(M127&gt;0,$M$190,IFERROR((O127/J127),0))/crop_intensity!$C$7</f>
        <v>0</v>
      </c>
      <c r="R127" s="389">
        <f t="shared" si="27"/>
        <v>0</v>
      </c>
    </row>
    <row r="128" spans="1:18" ht="12.5">
      <c r="A128" s="84" t="s">
        <v>5105</v>
      </c>
      <c r="B128" s="705">
        <v>223</v>
      </c>
      <c r="C128" s="24" t="s">
        <v>3722</v>
      </c>
      <c r="D128" s="532"/>
      <c r="E128" s="752">
        <f>IF(M128&gt;0,$N$190,IFERROR((P128/L128),0))/crop_intensity!$D$7</f>
        <v>1.2518470215594488</v>
      </c>
      <c r="F128" s="2">
        <f t="shared" si="21"/>
        <v>1</v>
      </c>
      <c r="G128" s="2">
        <f t="shared" si="28"/>
        <v>2.4993969139811365</v>
      </c>
      <c r="H128" s="343">
        <f t="shared" si="23"/>
        <v>0</v>
      </c>
      <c r="I128" s="750"/>
      <c r="J128" s="716"/>
      <c r="K128" s="513">
        <v>1008480</v>
      </c>
      <c r="L128" s="513">
        <v>735319</v>
      </c>
      <c r="M128" s="708">
        <v>0</v>
      </c>
      <c r="N128" s="87">
        <f t="shared" si="24"/>
        <v>1</v>
      </c>
      <c r="O128" s="25">
        <f t="shared" si="25"/>
        <v>0</v>
      </c>
      <c r="P128" s="25">
        <f t="shared" si="26"/>
        <v>1008480</v>
      </c>
      <c r="Q128" s="2">
        <f>IF(M128&gt;0,$M$190,IFERROR((O128/J128),0))/crop_intensity!$C$7</f>
        <v>0</v>
      </c>
      <c r="R128" s="389">
        <f t="shared" si="27"/>
        <v>0</v>
      </c>
    </row>
    <row r="129" spans="1:18" ht="12.5">
      <c r="A129" s="84" t="s">
        <v>5106</v>
      </c>
      <c r="B129" s="705">
        <v>489</v>
      </c>
      <c r="C129" s="24" t="s">
        <v>5107</v>
      </c>
      <c r="D129" s="532"/>
      <c r="E129" s="752">
        <f>IF(M129&gt;0,$N$190,IFERROR((P129/L129),0))/crop_intensity!$D$7</f>
        <v>6.6387478697784834</v>
      </c>
      <c r="F129" s="2">
        <f t="shared" si="21"/>
        <v>1</v>
      </c>
      <c r="G129" s="2">
        <f t="shared" si="28"/>
        <v>2.4993969139811365</v>
      </c>
      <c r="H129" s="343">
        <f t="shared" si="23"/>
        <v>0</v>
      </c>
      <c r="I129" s="750"/>
      <c r="J129" s="716"/>
      <c r="K129" s="513">
        <v>41225600</v>
      </c>
      <c r="L129" s="513">
        <v>5668140</v>
      </c>
      <c r="M129" s="708">
        <v>0</v>
      </c>
      <c r="N129" s="87">
        <f t="shared" si="24"/>
        <v>1</v>
      </c>
      <c r="O129" s="25">
        <f t="shared" si="25"/>
        <v>0</v>
      </c>
      <c r="P129" s="25">
        <f t="shared" si="26"/>
        <v>41225600</v>
      </c>
      <c r="Q129" s="2">
        <f>IF(M129&gt;0,$M$190,IFERROR((O129/J129),0))/crop_intensity!$C$7</f>
        <v>0</v>
      </c>
      <c r="R129" s="389">
        <f t="shared" si="27"/>
        <v>0</v>
      </c>
    </row>
    <row r="130" spans="1:18" ht="12.5">
      <c r="A130" s="84" t="s">
        <v>3681</v>
      </c>
      <c r="B130" s="705">
        <v>536</v>
      </c>
      <c r="C130" s="24" t="s">
        <v>3723</v>
      </c>
      <c r="D130" s="532">
        <v>3643</v>
      </c>
      <c r="E130" s="752">
        <f>IF(M130&gt;0,$N$190,IFERROR((P130/L130),0))/crop_intensity!$D$7</f>
        <v>4.1716580459799628</v>
      </c>
      <c r="F130" s="2">
        <f t="shared" si="21"/>
        <v>1</v>
      </c>
      <c r="G130" s="2">
        <f t="shared" si="28"/>
        <v>2.4993969139811365</v>
      </c>
      <c r="H130" s="343">
        <f t="shared" si="23"/>
        <v>2182.658036031416</v>
      </c>
      <c r="I130" s="750"/>
      <c r="J130" s="716">
        <v>521</v>
      </c>
      <c r="K130" s="513">
        <v>12528000</v>
      </c>
      <c r="L130" s="513">
        <v>2741150</v>
      </c>
      <c r="M130" s="708">
        <v>0</v>
      </c>
      <c r="N130" s="87">
        <f t="shared" si="24"/>
        <v>1</v>
      </c>
      <c r="O130" s="25">
        <f t="shared" si="25"/>
        <v>3643</v>
      </c>
      <c r="P130" s="25">
        <f t="shared" si="26"/>
        <v>12528000</v>
      </c>
      <c r="Q130" s="2">
        <f>IF(M130&gt;0,$M$190,IFERROR((O130/J130),0))/crop_intensity!$C$7</f>
        <v>6.5097786835585509</v>
      </c>
      <c r="R130" s="389">
        <f t="shared" si="27"/>
        <v>1.5604775395796711</v>
      </c>
    </row>
    <row r="131" spans="1:18" ht="12.5">
      <c r="A131" s="84" t="s">
        <v>5014</v>
      </c>
      <c r="B131" s="705">
        <v>68</v>
      </c>
      <c r="C131" s="24" t="s">
        <v>5379</v>
      </c>
      <c r="D131" s="532"/>
      <c r="E131" s="752">
        <f>IF(M131&gt;0,$N$190,IFERROR((P131/L131),0))/crop_intensity!$D$7</f>
        <v>0</v>
      </c>
      <c r="F131" s="2">
        <f t="shared" si="22"/>
        <v>1</v>
      </c>
      <c r="G131" s="2">
        <f t="shared" si="28"/>
        <v>2.4993969139811365</v>
      </c>
      <c r="H131" s="343">
        <f t="shared" si="23"/>
        <v>0</v>
      </c>
      <c r="I131" s="750"/>
      <c r="J131" s="716"/>
      <c r="K131" s="513"/>
      <c r="L131" s="513"/>
      <c r="M131" s="708">
        <v>0</v>
      </c>
      <c r="N131" s="87">
        <f t="shared" si="24"/>
        <v>1</v>
      </c>
      <c r="O131" s="25">
        <f t="shared" si="25"/>
        <v>0</v>
      </c>
      <c r="P131" s="25">
        <f t="shared" si="26"/>
        <v>0</v>
      </c>
      <c r="Q131" s="2">
        <f>IF(M131&gt;0,$M$190,IFERROR((O131/J131),0))/crop_intensity!$C$7</f>
        <v>0</v>
      </c>
      <c r="R131" s="389">
        <f t="shared" si="27"/>
        <v>0</v>
      </c>
    </row>
    <row r="132" spans="1:18" ht="12.5">
      <c r="A132" s="84" t="s">
        <v>3682</v>
      </c>
      <c r="B132" s="705">
        <v>296</v>
      </c>
      <c r="C132" s="24" t="s">
        <v>2215</v>
      </c>
      <c r="D132" s="532"/>
      <c r="E132" s="752">
        <f>IF(M132&gt;0,$N$190,IFERROR((P132/L132),0))/crop_intensity!$D$7</f>
        <v>0.5798363515200764</v>
      </c>
      <c r="F132" s="2">
        <f t="shared" si="22"/>
        <v>1</v>
      </c>
      <c r="G132" s="2">
        <f t="shared" si="28"/>
        <v>2.4993969139811365</v>
      </c>
      <c r="H132" s="343">
        <f t="shared" si="23"/>
        <v>0</v>
      </c>
      <c r="I132" s="750"/>
      <c r="J132" s="716"/>
      <c r="K132" s="513">
        <v>29442</v>
      </c>
      <c r="L132" s="513">
        <v>46347</v>
      </c>
      <c r="M132" s="708">
        <v>0</v>
      </c>
      <c r="N132" s="87">
        <f t="shared" si="24"/>
        <v>1</v>
      </c>
      <c r="O132" s="25">
        <f t="shared" si="25"/>
        <v>0</v>
      </c>
      <c r="P132" s="25">
        <f t="shared" si="26"/>
        <v>29442</v>
      </c>
      <c r="Q132" s="2">
        <f>IF(M132&gt;0,$M$190,IFERROR((O132/J132),0))/crop_intensity!$C$7</f>
        <v>0</v>
      </c>
      <c r="R132" s="389">
        <f t="shared" si="27"/>
        <v>0</v>
      </c>
    </row>
    <row r="133" spans="1:18" ht="12.5">
      <c r="A133" s="84" t="s">
        <v>3131</v>
      </c>
      <c r="B133" s="705">
        <v>116</v>
      </c>
      <c r="C133" s="24" t="s">
        <v>1968</v>
      </c>
      <c r="D133" s="532">
        <v>5204430</v>
      </c>
      <c r="E133" s="752">
        <f>IF(M133&gt;0,$N$190,IFERROR((P133/L133),0))/crop_intensity!$D$7</f>
        <v>19.4270749689091</v>
      </c>
      <c r="F133" s="2">
        <f t="shared" si="22"/>
        <v>1</v>
      </c>
      <c r="G133" s="2">
        <f t="shared" si="28"/>
        <v>2.4993969139811365</v>
      </c>
      <c r="H133" s="343">
        <f t="shared" si="23"/>
        <v>669577.70543679991</v>
      </c>
      <c r="I133" s="750"/>
      <c r="J133" s="716">
        <v>133749</v>
      </c>
      <c r="K133" s="513">
        <v>365316000</v>
      </c>
      <c r="L133" s="513">
        <v>17164100</v>
      </c>
      <c r="M133" s="708">
        <v>0</v>
      </c>
      <c r="N133" s="87">
        <f t="shared" si="24"/>
        <v>1</v>
      </c>
      <c r="O133" s="25">
        <f t="shared" si="25"/>
        <v>5204430</v>
      </c>
      <c r="P133" s="25">
        <f t="shared" si="26"/>
        <v>365316000</v>
      </c>
      <c r="Q133" s="2">
        <f>IF(M133&gt;0,$M$190,IFERROR((O133/J133),0))/crop_intensity!$C$7</f>
        <v>36.226585662824696</v>
      </c>
      <c r="R133" s="389">
        <f t="shared" si="27"/>
        <v>1.8647473034824527</v>
      </c>
    </row>
    <row r="134" spans="1:18" ht="12.5">
      <c r="A134" s="84" t="s">
        <v>101</v>
      </c>
      <c r="B134" s="705">
        <v>211</v>
      </c>
      <c r="C134" s="24" t="s">
        <v>477</v>
      </c>
      <c r="D134" s="532"/>
      <c r="E134" s="752">
        <f>IF(M134&gt;0,$N$190,IFERROR((P134/L134),0))/crop_intensity!$D$7</f>
        <v>0.70357355954725009</v>
      </c>
      <c r="F134" s="2">
        <f t="shared" si="22"/>
        <v>1</v>
      </c>
      <c r="G134" s="2">
        <f t="shared" si="28"/>
        <v>2.4993969139811365</v>
      </c>
      <c r="H134" s="343">
        <f t="shared" si="23"/>
        <v>0</v>
      </c>
      <c r="I134" s="750"/>
      <c r="J134" s="716"/>
      <c r="K134" s="513">
        <v>4837800</v>
      </c>
      <c r="L134" s="513">
        <v>6276220</v>
      </c>
      <c r="M134" s="708">
        <v>0</v>
      </c>
      <c r="N134" s="87">
        <f t="shared" si="24"/>
        <v>1</v>
      </c>
      <c r="O134" s="25">
        <f t="shared" si="25"/>
        <v>0</v>
      </c>
      <c r="P134" s="25">
        <f t="shared" si="26"/>
        <v>4837800</v>
      </c>
      <c r="Q134" s="2">
        <f>IF(M134&gt;0,$M$190,IFERROR((O134/J134),0))/crop_intensity!$C$7</f>
        <v>0</v>
      </c>
      <c r="R134" s="389">
        <f t="shared" si="27"/>
        <v>0</v>
      </c>
    </row>
    <row r="135" spans="1:18" ht="12.5">
      <c r="A135" s="84" t="s">
        <v>478</v>
      </c>
      <c r="B135" s="705">
        <v>394</v>
      </c>
      <c r="C135" s="24" t="s">
        <v>479</v>
      </c>
      <c r="D135" s="532">
        <v>132106</v>
      </c>
      <c r="E135" s="752">
        <f>IF(M135&gt;0,$N$190,IFERROR((P135/L135),0))/crop_intensity!$D$7</f>
        <v>13.60055845451329</v>
      </c>
      <c r="F135" s="2">
        <f t="shared" si="22"/>
        <v>1</v>
      </c>
      <c r="G135" s="2">
        <f t="shared" si="28"/>
        <v>2.4993969139811365</v>
      </c>
      <c r="H135" s="343">
        <f t="shared" ref="H135:H166" si="29">IFERROR((O135/E135)*G135*F135,0)</f>
        <v>24277.336097829226</v>
      </c>
      <c r="I135" s="750"/>
      <c r="J135" s="716">
        <v>6136</v>
      </c>
      <c r="K135" s="513">
        <v>22739600</v>
      </c>
      <c r="L135" s="513">
        <v>1526110</v>
      </c>
      <c r="M135" s="708">
        <v>0</v>
      </c>
      <c r="N135" s="87">
        <f t="shared" ref="N135:N166" si="30">VLOOKUP(B135,constant_crop_factor,3,FALSE)</f>
        <v>1</v>
      </c>
      <c r="O135" s="25">
        <f t="shared" ref="O135:O166" si="31">D135*N135</f>
        <v>132106</v>
      </c>
      <c r="P135" s="25">
        <f t="shared" ref="P135:P166" si="32">K135*N135</f>
        <v>22739600</v>
      </c>
      <c r="Q135" s="2">
        <f>IF(M135&gt;0,$M$190,IFERROR((O135/J135),0))/crop_intensity!$C$7</f>
        <v>20.04388802404295</v>
      </c>
      <c r="R135" s="389">
        <f t="shared" ref="R135:R166" si="33">IFERROR(Q135/E135,0)</f>
        <v>1.4737547793408046</v>
      </c>
    </row>
    <row r="136" spans="1:18" ht="12.5">
      <c r="A136" s="84" t="s">
        <v>3593</v>
      </c>
      <c r="B136" s="705">
        <v>754</v>
      </c>
      <c r="C136" s="24" t="s">
        <v>3594</v>
      </c>
      <c r="D136" s="532"/>
      <c r="E136" s="752">
        <f>IF(M136&gt;0,$N$190,IFERROR((P136/L136),0))/crop_intensity!$D$7</f>
        <v>0.40835601522713522</v>
      </c>
      <c r="F136" s="2">
        <f t="shared" si="22"/>
        <v>1</v>
      </c>
      <c r="G136" s="2">
        <f t="shared" ref="G136:G167" si="34">$G$7</f>
        <v>2.4993969139811365</v>
      </c>
      <c r="H136" s="343">
        <f t="shared" si="29"/>
        <v>0</v>
      </c>
      <c r="I136" s="750"/>
      <c r="J136" s="716"/>
      <c r="K136" s="513">
        <v>10709</v>
      </c>
      <c r="L136" s="513">
        <v>23937</v>
      </c>
      <c r="M136" s="708">
        <v>0</v>
      </c>
      <c r="N136" s="87">
        <f t="shared" si="30"/>
        <v>1</v>
      </c>
      <c r="O136" s="25">
        <f t="shared" si="31"/>
        <v>0</v>
      </c>
      <c r="P136" s="25">
        <f t="shared" si="32"/>
        <v>10709</v>
      </c>
      <c r="Q136" s="2">
        <f>IF(M136&gt;0,$M$190,IFERROR((O136/J136),0))/crop_intensity!$C$7</f>
        <v>0</v>
      </c>
      <c r="R136" s="389">
        <f t="shared" si="33"/>
        <v>0</v>
      </c>
    </row>
    <row r="137" spans="1:18" ht="12.5">
      <c r="A137" s="84" t="s">
        <v>480</v>
      </c>
      <c r="B137" s="705">
        <v>523</v>
      </c>
      <c r="C137" s="24" t="s">
        <v>5382</v>
      </c>
      <c r="D137" s="532"/>
      <c r="E137" s="752">
        <f>IF(M137&gt;0,$N$190,IFERROR((P137/L137),0))/crop_intensity!$D$7</f>
        <v>6.8526692491604724</v>
      </c>
      <c r="F137" s="2">
        <f t="shared" si="22"/>
        <v>1</v>
      </c>
      <c r="G137" s="2">
        <f t="shared" si="34"/>
        <v>2.4993969139811365</v>
      </c>
      <c r="H137" s="343">
        <f t="shared" si="29"/>
        <v>0</v>
      </c>
      <c r="I137" s="750"/>
      <c r="J137" s="716"/>
      <c r="K137" s="513">
        <v>660562</v>
      </c>
      <c r="L137" s="513">
        <v>87986</v>
      </c>
      <c r="M137" s="708">
        <v>0</v>
      </c>
      <c r="N137" s="87">
        <f t="shared" si="30"/>
        <v>1</v>
      </c>
      <c r="O137" s="25">
        <f t="shared" si="31"/>
        <v>0</v>
      </c>
      <c r="P137" s="25">
        <f t="shared" si="32"/>
        <v>660562</v>
      </c>
      <c r="Q137" s="2">
        <f>IF(M137&gt;0,$M$190,IFERROR((O137/J137),0))/crop_intensity!$C$7</f>
        <v>0</v>
      </c>
      <c r="R137" s="389">
        <f t="shared" si="33"/>
        <v>0</v>
      </c>
    </row>
    <row r="138" spans="1:18" ht="12.5">
      <c r="A138" s="84" t="s">
        <v>5383</v>
      </c>
      <c r="B138" s="705">
        <v>92</v>
      </c>
      <c r="C138" s="24" t="s">
        <v>5384</v>
      </c>
      <c r="D138" s="532"/>
      <c r="E138" s="752">
        <f>IF(M138&gt;0,$N$190,IFERROR((P138/L138),0))/crop_intensity!$D$7</f>
        <v>0.81208457204691609</v>
      </c>
      <c r="F138" s="2">
        <f t="shared" si="22"/>
        <v>1</v>
      </c>
      <c r="G138" s="2">
        <f t="shared" si="34"/>
        <v>2.4993969139811365</v>
      </c>
      <c r="H138" s="343">
        <f t="shared" si="29"/>
        <v>0</v>
      </c>
      <c r="I138" s="750"/>
      <c r="J138" s="716"/>
      <c r="K138" s="513">
        <v>159647</v>
      </c>
      <c r="L138" s="513">
        <v>179440</v>
      </c>
      <c r="M138" s="708">
        <v>0</v>
      </c>
      <c r="N138" s="87">
        <f t="shared" si="30"/>
        <v>1</v>
      </c>
      <c r="O138" s="25">
        <f t="shared" si="31"/>
        <v>0</v>
      </c>
      <c r="P138" s="25">
        <f t="shared" si="32"/>
        <v>159647</v>
      </c>
      <c r="Q138" s="2">
        <f>IF(M138&gt;0,$M$190,IFERROR((O138/J138),0))/crop_intensity!$C$7</f>
        <v>0</v>
      </c>
      <c r="R138" s="389">
        <f t="shared" si="33"/>
        <v>0</v>
      </c>
    </row>
    <row r="139" spans="1:18" ht="12.5">
      <c r="A139" s="84" t="s">
        <v>3596</v>
      </c>
      <c r="B139" s="705">
        <v>788</v>
      </c>
      <c r="C139" s="24" t="s">
        <v>3597</v>
      </c>
      <c r="D139" s="532"/>
      <c r="E139" s="752">
        <f>IF(M139&gt;0,$N$190,IFERROR((P139/L139),0))/crop_intensity!$D$7</f>
        <v>1.766143494532197</v>
      </c>
      <c r="F139" s="2">
        <f t="shared" si="22"/>
        <v>1</v>
      </c>
      <c r="G139" s="2">
        <f t="shared" si="34"/>
        <v>2.4993969139811365</v>
      </c>
      <c r="H139" s="343">
        <f t="shared" si="29"/>
        <v>0</v>
      </c>
      <c r="I139" s="750"/>
      <c r="J139" s="716"/>
      <c r="K139" s="513">
        <v>56562</v>
      </c>
      <c r="L139" s="513">
        <v>29232</v>
      </c>
      <c r="M139" s="708">
        <v>0</v>
      </c>
      <c r="N139" s="87">
        <f t="shared" si="30"/>
        <v>1</v>
      </c>
      <c r="O139" s="25">
        <f t="shared" si="31"/>
        <v>0</v>
      </c>
      <c r="P139" s="25">
        <f t="shared" si="32"/>
        <v>56562</v>
      </c>
      <c r="Q139" s="2">
        <f>IF(M139&gt;0,$M$190,IFERROR((O139/J139),0))/crop_intensity!$C$7</f>
        <v>0</v>
      </c>
      <c r="R139" s="389">
        <f t="shared" si="33"/>
        <v>0</v>
      </c>
    </row>
    <row r="140" spans="1:18" ht="12.5">
      <c r="A140" s="84" t="s">
        <v>5387</v>
      </c>
      <c r="B140" s="705">
        <v>270</v>
      </c>
      <c r="C140" s="24" t="s">
        <v>4521</v>
      </c>
      <c r="D140" s="532">
        <v>20342600</v>
      </c>
      <c r="E140" s="752">
        <f>IF(M140&gt;0,$N$190,IFERROR((P140/L140),0))/crop_intensity!$D$7</f>
        <v>1.8558405302239993</v>
      </c>
      <c r="F140" s="2">
        <f t="shared" si="22"/>
        <v>1</v>
      </c>
      <c r="G140" s="2">
        <f t="shared" si="34"/>
        <v>2.4993969139811365</v>
      </c>
      <c r="H140" s="343">
        <f t="shared" si="29"/>
        <v>27396875.342632908</v>
      </c>
      <c r="I140" s="750"/>
      <c r="J140" s="716">
        <v>9119700</v>
      </c>
      <c r="K140" s="513">
        <v>75152496</v>
      </c>
      <c r="L140" s="513">
        <v>36962600</v>
      </c>
      <c r="M140" s="708">
        <v>0</v>
      </c>
      <c r="N140" s="87">
        <f t="shared" si="30"/>
        <v>1</v>
      </c>
      <c r="O140" s="25">
        <f t="shared" si="31"/>
        <v>20342600</v>
      </c>
      <c r="P140" s="25">
        <f t="shared" si="32"/>
        <v>75152496</v>
      </c>
      <c r="Q140" s="2">
        <f>IF(M140&gt;0,$M$190,IFERROR((O140/J140),0))/crop_intensity!$C$7</f>
        <v>2.0766852746383075</v>
      </c>
      <c r="R140" s="389">
        <f t="shared" si="33"/>
        <v>1.1189998498349707</v>
      </c>
    </row>
    <row r="141" spans="1:18" ht="12.5">
      <c r="A141" s="84" t="s">
        <v>3598</v>
      </c>
      <c r="B141" s="705">
        <v>547</v>
      </c>
      <c r="C141" s="24" t="s">
        <v>1970</v>
      </c>
      <c r="D141" s="532">
        <v>10338</v>
      </c>
      <c r="E141" s="752">
        <f>IF(M141&gt;0,$N$190,IFERROR((P141/L141),0))/crop_intensity!$D$7</f>
        <v>6.1550409203360585</v>
      </c>
      <c r="F141" s="2">
        <f t="shared" si="22"/>
        <v>1</v>
      </c>
      <c r="G141" s="2">
        <f t="shared" si="34"/>
        <v>2.4993969139811365</v>
      </c>
      <c r="H141" s="343">
        <f t="shared" si="29"/>
        <v>4197.9843239330112</v>
      </c>
      <c r="I141" s="750"/>
      <c r="J141" s="716">
        <v>1985</v>
      </c>
      <c r="K141" s="513">
        <v>850422</v>
      </c>
      <c r="L141" s="513">
        <v>126114</v>
      </c>
      <c r="M141" s="708">
        <v>0</v>
      </c>
      <c r="N141" s="87">
        <f t="shared" si="30"/>
        <v>1</v>
      </c>
      <c r="O141" s="25">
        <f t="shared" si="31"/>
        <v>10338</v>
      </c>
      <c r="P141" s="25">
        <f t="shared" si="32"/>
        <v>850422</v>
      </c>
      <c r="Q141" s="2">
        <f>IF(M141&gt;0,$M$190,IFERROR((O141/J141),0))/crop_intensity!$C$7</f>
        <v>4.8486495197590687</v>
      </c>
      <c r="R141" s="389">
        <f t="shared" si="33"/>
        <v>0.78775260514341761</v>
      </c>
    </row>
    <row r="142" spans="1:18" ht="12.5">
      <c r="A142" s="84" t="s">
        <v>5392</v>
      </c>
      <c r="B142" s="705">
        <v>27</v>
      </c>
      <c r="C142" s="24" t="s">
        <v>1971</v>
      </c>
      <c r="D142" s="532"/>
      <c r="E142" s="752">
        <f>IF(M142&gt;0,$N$190,IFERROR((P142/L142),0))/crop_intensity!$D$7</f>
        <v>4.2066551164310333</v>
      </c>
      <c r="F142" s="2">
        <f t="shared" si="22"/>
        <v>1</v>
      </c>
      <c r="G142" s="2">
        <f t="shared" si="34"/>
        <v>2.4993969139811365</v>
      </c>
      <c r="H142" s="343">
        <f t="shared" si="29"/>
        <v>0</v>
      </c>
      <c r="I142" s="750"/>
      <c r="J142" s="716"/>
      <c r="K142" s="513">
        <v>762838976</v>
      </c>
      <c r="L142" s="513">
        <v>165522000</v>
      </c>
      <c r="M142" s="708">
        <v>0</v>
      </c>
      <c r="N142" s="87">
        <f t="shared" si="30"/>
        <v>1</v>
      </c>
      <c r="O142" s="25">
        <f t="shared" si="31"/>
        <v>0</v>
      </c>
      <c r="P142" s="25">
        <f t="shared" si="32"/>
        <v>762838976</v>
      </c>
      <c r="Q142" s="2">
        <f>IF(M142&gt;0,$M$190,IFERROR((O142/J142),0))/crop_intensity!$C$7</f>
        <v>0</v>
      </c>
      <c r="R142" s="389">
        <f t="shared" si="33"/>
        <v>0</v>
      </c>
    </row>
    <row r="143" spans="1:18" ht="12.5">
      <c r="A143" s="84" t="s">
        <v>660</v>
      </c>
      <c r="B143" s="705">
        <v>149</v>
      </c>
      <c r="C143" s="24" t="s">
        <v>5393</v>
      </c>
      <c r="D143" s="532"/>
      <c r="E143" s="752">
        <f>IF(M143&gt;0,$N$190,IFERROR((P143/L143),0))/crop_intensity!$D$7</f>
        <v>11.109354554344595</v>
      </c>
      <c r="F143" s="2">
        <f t="shared" si="22"/>
        <v>1</v>
      </c>
      <c r="G143" s="2">
        <f t="shared" si="34"/>
        <v>2.4993969139811365</v>
      </c>
      <c r="H143" s="343">
        <f t="shared" si="29"/>
        <v>0</v>
      </c>
      <c r="I143" s="750"/>
      <c r="J143" s="716"/>
      <c r="K143" s="513">
        <v>9508570</v>
      </c>
      <c r="L143" s="513">
        <v>781243</v>
      </c>
      <c r="M143" s="708">
        <v>0</v>
      </c>
      <c r="N143" s="87">
        <f t="shared" si="30"/>
        <v>1</v>
      </c>
      <c r="O143" s="25">
        <f t="shared" si="31"/>
        <v>0</v>
      </c>
      <c r="P143" s="25">
        <f t="shared" si="32"/>
        <v>9508570</v>
      </c>
      <c r="Q143" s="2">
        <f>IF(M143&gt;0,$M$190,IFERROR((O143/J143),0))/crop_intensity!$C$7</f>
        <v>0</v>
      </c>
      <c r="R143" s="389">
        <f t="shared" si="33"/>
        <v>0</v>
      </c>
    </row>
    <row r="144" spans="1:18" ht="12.5">
      <c r="A144" s="84" t="s">
        <v>5394</v>
      </c>
      <c r="B144" s="705">
        <v>71</v>
      </c>
      <c r="C144" s="24" t="s">
        <v>1972</v>
      </c>
      <c r="D144" s="532">
        <v>236400</v>
      </c>
      <c r="E144" s="752">
        <f>IF(M144&gt;0,$N$190,IFERROR((P144/L144),0))/crop_intensity!$D$7</f>
        <v>2.6369352977684146</v>
      </c>
      <c r="F144" s="2">
        <f t="shared" si="22"/>
        <v>1</v>
      </c>
      <c r="G144" s="2">
        <f t="shared" si="34"/>
        <v>2.4993969139811365</v>
      </c>
      <c r="H144" s="343">
        <f t="shared" si="29"/>
        <v>193613.56554573966</v>
      </c>
      <c r="I144" s="750"/>
      <c r="J144" s="716">
        <v>79100</v>
      </c>
      <c r="K144" s="513">
        <v>10709000</v>
      </c>
      <c r="L144" s="513">
        <v>3981980</v>
      </c>
      <c r="M144" s="708">
        <v>1</v>
      </c>
      <c r="N144" s="87">
        <f t="shared" si="30"/>
        <v>0.86407721861505915</v>
      </c>
      <c r="O144" s="25">
        <f t="shared" si="31"/>
        <v>204267.85448059998</v>
      </c>
      <c r="P144" s="25">
        <f t="shared" si="32"/>
        <v>9253402.9341486692</v>
      </c>
      <c r="Q144" s="2">
        <f>IF(M144&gt;0,$M$190,IFERROR((O144/J144),0))/crop_intensity!$C$7</f>
        <v>3.229070276356417</v>
      </c>
      <c r="R144" s="389">
        <f t="shared" si="33"/>
        <v>1.224554231227863</v>
      </c>
    </row>
    <row r="145" spans="1:18" ht="12.5">
      <c r="A145" s="84" t="s">
        <v>5395</v>
      </c>
      <c r="B145" s="705">
        <v>638</v>
      </c>
      <c r="C145" s="24" t="s">
        <v>2174</v>
      </c>
      <c r="D145" s="532"/>
      <c r="E145" s="752">
        <f>IF(M145&gt;0,$N$190,IFERROR((P145/L145),0))/crop_intensity!$D$7</f>
        <v>0</v>
      </c>
      <c r="F145" s="2">
        <f t="shared" si="22"/>
        <v>1</v>
      </c>
      <c r="G145" s="2">
        <f t="shared" si="34"/>
        <v>2.4993969139811365</v>
      </c>
      <c r="H145" s="343">
        <f t="shared" si="29"/>
        <v>0</v>
      </c>
      <c r="I145" s="750"/>
      <c r="J145" s="716"/>
      <c r="K145" s="513"/>
      <c r="L145" s="513"/>
      <c r="M145" s="708">
        <v>0</v>
      </c>
      <c r="N145" s="87">
        <f t="shared" si="30"/>
        <v>1</v>
      </c>
      <c r="O145" s="25">
        <f t="shared" si="31"/>
        <v>0</v>
      </c>
      <c r="P145" s="25">
        <f t="shared" si="32"/>
        <v>0</v>
      </c>
      <c r="Q145" s="2">
        <f>IF(M145&gt;0,$M$190,IFERROR((O145/J145),0))/crop_intensity!$C$7</f>
        <v>0</v>
      </c>
      <c r="R145" s="389">
        <f t="shared" si="33"/>
        <v>0</v>
      </c>
    </row>
    <row r="146" spans="1:18" ht="12.5">
      <c r="A146" s="84" t="s">
        <v>5151</v>
      </c>
      <c r="B146" s="705">
        <v>280</v>
      </c>
      <c r="C146" s="24" t="s">
        <v>5152</v>
      </c>
      <c r="D146" s="532"/>
      <c r="E146" s="752">
        <f>IF(M146&gt;0,$N$190,IFERROR((P146/L146),0))/crop_intensity!$D$7</f>
        <v>0.84818244978500035</v>
      </c>
      <c r="F146" s="2">
        <f t="shared" si="22"/>
        <v>1</v>
      </c>
      <c r="G146" s="2">
        <f t="shared" si="34"/>
        <v>2.4993969139811365</v>
      </c>
      <c r="H146" s="343">
        <f t="shared" si="29"/>
        <v>0</v>
      </c>
      <c r="I146" s="750"/>
      <c r="J146" s="716"/>
      <c r="K146" s="513">
        <v>610854</v>
      </c>
      <c r="L146" s="513">
        <v>657367</v>
      </c>
      <c r="M146" s="708">
        <v>0</v>
      </c>
      <c r="N146" s="87">
        <f t="shared" si="30"/>
        <v>1</v>
      </c>
      <c r="O146" s="25">
        <f t="shared" si="31"/>
        <v>0</v>
      </c>
      <c r="P146" s="25">
        <f t="shared" si="32"/>
        <v>610854</v>
      </c>
      <c r="Q146" s="2">
        <f>IF(M146&gt;0,$M$190,IFERROR((O146/J146),0))/crop_intensity!$C$7</f>
        <v>0</v>
      </c>
      <c r="R146" s="389">
        <f t="shared" si="33"/>
        <v>0</v>
      </c>
    </row>
    <row r="147" spans="1:18" ht="12.5">
      <c r="A147" s="84" t="s">
        <v>1257</v>
      </c>
      <c r="B147" s="705">
        <v>328</v>
      </c>
      <c r="C147" s="24" t="s">
        <v>1258</v>
      </c>
      <c r="D147" s="532"/>
      <c r="E147" s="752">
        <f>IF(M147&gt;0,$N$190,IFERROR((P147/L147),0))/crop_intensity!$D$7</f>
        <v>1.9967431493364451</v>
      </c>
      <c r="F147" s="2">
        <f t="shared" si="22"/>
        <v>1</v>
      </c>
      <c r="G147" s="2">
        <f t="shared" si="34"/>
        <v>2.4993969139811365</v>
      </c>
      <c r="H147" s="343">
        <f t="shared" si="29"/>
        <v>0</v>
      </c>
      <c r="I147" s="750"/>
      <c r="J147" s="716"/>
      <c r="K147" s="513">
        <v>70650496</v>
      </c>
      <c r="L147" s="513">
        <v>32296300</v>
      </c>
      <c r="M147" s="708">
        <v>0</v>
      </c>
      <c r="N147" s="87">
        <f t="shared" si="30"/>
        <v>1</v>
      </c>
      <c r="O147" s="25">
        <f t="shared" si="31"/>
        <v>0</v>
      </c>
      <c r="P147" s="25">
        <f t="shared" si="32"/>
        <v>70650496</v>
      </c>
      <c r="Q147" s="2">
        <f>IF(M147&gt;0,$M$190,IFERROR((O147/J147),0))/crop_intensity!$C$7</f>
        <v>0</v>
      </c>
      <c r="R147" s="389">
        <f t="shared" si="33"/>
        <v>0</v>
      </c>
    </row>
    <row r="148" spans="1:18" ht="12.5">
      <c r="A148" s="84" t="s">
        <v>2680</v>
      </c>
      <c r="B148" s="705">
        <v>289</v>
      </c>
      <c r="C148" s="24" t="s">
        <v>1973</v>
      </c>
      <c r="D148" s="532"/>
      <c r="E148" s="752">
        <f>IF(M148&gt;0,$N$190,IFERROR((P148/L148),0))/crop_intensity!$D$7</f>
        <v>0.45856429638220336</v>
      </c>
      <c r="F148" s="2">
        <f t="shared" si="22"/>
        <v>1</v>
      </c>
      <c r="G148" s="2">
        <f t="shared" si="34"/>
        <v>2.4993969139811365</v>
      </c>
      <c r="H148" s="343">
        <f t="shared" si="29"/>
        <v>0</v>
      </c>
      <c r="I148" s="750"/>
      <c r="J148" s="716"/>
      <c r="K148" s="513">
        <v>5937640</v>
      </c>
      <c r="L148" s="513">
        <v>11818800</v>
      </c>
      <c r="M148" s="708">
        <v>0</v>
      </c>
      <c r="N148" s="87">
        <f t="shared" si="30"/>
        <v>1</v>
      </c>
      <c r="O148" s="25">
        <f t="shared" si="31"/>
        <v>0</v>
      </c>
      <c r="P148" s="25">
        <f t="shared" si="32"/>
        <v>5937640</v>
      </c>
      <c r="Q148" s="2">
        <f>IF(M148&gt;0,$M$190,IFERROR((O148/J148),0))/crop_intensity!$C$7</f>
        <v>0</v>
      </c>
      <c r="R148" s="389">
        <f t="shared" si="33"/>
        <v>0</v>
      </c>
    </row>
    <row r="149" spans="1:18" ht="12.5">
      <c r="A149" s="84" t="s">
        <v>662</v>
      </c>
      <c r="B149" s="705">
        <v>789</v>
      </c>
      <c r="C149" s="24" t="s">
        <v>5380</v>
      </c>
      <c r="D149" s="532"/>
      <c r="E149" s="752">
        <f>IF(M149&gt;0,$N$190,IFERROR((P149/L149),0))/crop_intensity!$D$7</f>
        <v>0.79130402920150833</v>
      </c>
      <c r="F149" s="2">
        <f t="shared" si="22"/>
        <v>1</v>
      </c>
      <c r="G149" s="2">
        <f t="shared" si="34"/>
        <v>2.4993969139811365</v>
      </c>
      <c r="H149" s="343">
        <f t="shared" si="29"/>
        <v>0</v>
      </c>
      <c r="I149" s="750"/>
      <c r="J149" s="716"/>
      <c r="K149" s="513">
        <v>199470</v>
      </c>
      <c r="L149" s="513">
        <v>230088</v>
      </c>
      <c r="M149" s="708">
        <v>0</v>
      </c>
      <c r="N149" s="87">
        <f t="shared" si="30"/>
        <v>1</v>
      </c>
      <c r="O149" s="25">
        <f t="shared" si="31"/>
        <v>0</v>
      </c>
      <c r="P149" s="25">
        <f t="shared" si="32"/>
        <v>199470</v>
      </c>
      <c r="Q149" s="2">
        <f>IF(M149&gt;0,$M$190,IFERROR((O149/J149),0))/crop_intensity!$C$7</f>
        <v>0</v>
      </c>
      <c r="R149" s="389">
        <f t="shared" si="33"/>
        <v>0</v>
      </c>
    </row>
    <row r="150" spans="1:18" ht="12.5">
      <c r="A150" s="84" t="s">
        <v>2681</v>
      </c>
      <c r="B150" s="705">
        <v>83</v>
      </c>
      <c r="C150" s="24" t="s">
        <v>3930</v>
      </c>
      <c r="D150" s="532"/>
      <c r="E150" s="752">
        <f>IF(M150&gt;0,$N$190,IFERROR((P150/L150),0))/crop_intensity!$D$7</f>
        <v>2.6369352977684146</v>
      </c>
      <c r="F150" s="2">
        <f t="shared" si="22"/>
        <v>1</v>
      </c>
      <c r="G150" s="2">
        <f t="shared" si="34"/>
        <v>2.4993969139811365</v>
      </c>
      <c r="H150" s="343">
        <f t="shared" si="29"/>
        <v>0</v>
      </c>
      <c r="I150" s="750"/>
      <c r="J150" s="716"/>
      <c r="K150" s="513">
        <v>60389100</v>
      </c>
      <c r="L150" s="513">
        <v>42346900</v>
      </c>
      <c r="M150" s="708">
        <v>1</v>
      </c>
      <c r="N150" s="87">
        <f t="shared" si="30"/>
        <v>0.87241711551891887</v>
      </c>
      <c r="O150" s="25">
        <f t="shared" si="31"/>
        <v>0</v>
      </c>
      <c r="P150" s="25">
        <f t="shared" si="32"/>
        <v>52684484.43078354</v>
      </c>
      <c r="Q150" s="2">
        <f>IF(M150&gt;0,$M$190,IFERROR((O150/J150),0))/crop_intensity!$C$7</f>
        <v>3.229070276356417</v>
      </c>
      <c r="R150" s="389">
        <f t="shared" si="33"/>
        <v>1.224554231227863</v>
      </c>
    </row>
    <row r="151" spans="1:18" ht="12.5">
      <c r="A151" s="84" t="s">
        <v>2682</v>
      </c>
      <c r="B151" s="705">
        <v>637</v>
      </c>
      <c r="C151" s="24" t="s">
        <v>3900</v>
      </c>
      <c r="D151" s="754"/>
      <c r="E151" s="752">
        <f>IF(M151&gt;0,$N$190,IFERROR((P151/L151),0))/crop_intensity!$D$7</f>
        <v>0</v>
      </c>
      <c r="F151" s="2">
        <f t="shared" si="22"/>
        <v>1</v>
      </c>
      <c r="G151" s="2">
        <f t="shared" si="34"/>
        <v>2.4993969139811365</v>
      </c>
      <c r="H151" s="343">
        <f t="shared" si="29"/>
        <v>0</v>
      </c>
      <c r="I151" s="750"/>
      <c r="J151" s="717"/>
      <c r="K151" s="512"/>
      <c r="L151" s="512"/>
      <c r="M151" s="708">
        <v>0</v>
      </c>
      <c r="N151" s="87">
        <f t="shared" si="30"/>
        <v>1</v>
      </c>
      <c r="O151" s="25">
        <f t="shared" si="31"/>
        <v>0</v>
      </c>
      <c r="P151" s="25">
        <f t="shared" si="32"/>
        <v>0</v>
      </c>
      <c r="Q151" s="2">
        <f>IF(M151&gt;0,$M$190,IFERROR((O151/J151),0))/crop_intensity!$C$7</f>
        <v>0</v>
      </c>
      <c r="R151" s="389">
        <f t="shared" si="33"/>
        <v>0</v>
      </c>
    </row>
    <row r="152" spans="1:18" ht="12.5">
      <c r="A152" s="84" t="s">
        <v>3901</v>
      </c>
      <c r="B152" s="705">
        <v>530</v>
      </c>
      <c r="C152" s="24" t="s">
        <v>3902</v>
      </c>
      <c r="D152" s="754">
        <v>3816</v>
      </c>
      <c r="E152" s="752">
        <f>IF(M152&gt;0,$N$190,IFERROR((P152/L152),0))/crop_intensity!$D$7</f>
        <v>6.4903647997402745</v>
      </c>
      <c r="F152" s="2">
        <f t="shared" si="22"/>
        <v>1</v>
      </c>
      <c r="G152" s="2">
        <f t="shared" si="34"/>
        <v>2.4993969139811365</v>
      </c>
      <c r="H152" s="343">
        <f t="shared" si="29"/>
        <v>1469.5165707994854</v>
      </c>
      <c r="I152" s="750"/>
      <c r="J152" s="717">
        <v>869</v>
      </c>
      <c r="K152" s="512">
        <v>1582390</v>
      </c>
      <c r="L152" s="512">
        <v>222538</v>
      </c>
      <c r="M152" s="708">
        <v>0</v>
      </c>
      <c r="N152" s="87">
        <f t="shared" si="30"/>
        <v>1</v>
      </c>
      <c r="O152" s="25">
        <f t="shared" si="31"/>
        <v>3816</v>
      </c>
      <c r="P152" s="25">
        <f t="shared" si="32"/>
        <v>1582390</v>
      </c>
      <c r="Q152" s="2">
        <f>IF(M152&gt;0,$M$190,IFERROR((O152/J152),0))/crop_intensity!$C$7</f>
        <v>4.0882115938460926</v>
      </c>
      <c r="R152" s="389">
        <f t="shared" si="33"/>
        <v>0.62988933904141886</v>
      </c>
    </row>
    <row r="153" spans="1:18" ht="12.5">
      <c r="A153" s="84" t="s">
        <v>3905</v>
      </c>
      <c r="B153" s="705">
        <v>236</v>
      </c>
      <c r="C153" s="24" t="s">
        <v>3931</v>
      </c>
      <c r="D153" s="754">
        <v>7416600</v>
      </c>
      <c r="E153" s="752">
        <f>IF(M153&gt;0,$N$190,IFERROR((P153/L153),0))/crop_intensity!$D$7</f>
        <v>2.5364260576660946</v>
      </c>
      <c r="F153" s="2">
        <f t="shared" si="22"/>
        <v>1</v>
      </c>
      <c r="G153" s="2">
        <f t="shared" si="34"/>
        <v>2.4993969139811365</v>
      </c>
      <c r="H153" s="343">
        <f t="shared" si="29"/>
        <v>7308325.4669325687</v>
      </c>
      <c r="I153" s="750"/>
      <c r="J153" s="717">
        <v>2539600</v>
      </c>
      <c r="K153" s="512">
        <v>344641984</v>
      </c>
      <c r="L153" s="512">
        <v>124024000</v>
      </c>
      <c r="M153" s="708">
        <v>0</v>
      </c>
      <c r="N153" s="87">
        <f t="shared" si="30"/>
        <v>1</v>
      </c>
      <c r="O153" s="25">
        <f t="shared" si="31"/>
        <v>7416600</v>
      </c>
      <c r="P153" s="25">
        <f t="shared" si="32"/>
        <v>344641984</v>
      </c>
      <c r="Q153" s="2">
        <f>IF(M153&gt;0,$M$190,IFERROR((O153/J153),0))/crop_intensity!$C$7</f>
        <v>2.7188441545987607</v>
      </c>
      <c r="R153" s="389">
        <f t="shared" si="33"/>
        <v>1.0719193435114442</v>
      </c>
    </row>
    <row r="154" spans="1:18" ht="12.5">
      <c r="A154" s="84" t="s">
        <v>665</v>
      </c>
      <c r="B154" s="705">
        <v>723</v>
      </c>
      <c r="C154" s="24" t="s">
        <v>709</v>
      </c>
      <c r="D154" s="754"/>
      <c r="E154" s="752">
        <f>IF(M154&gt;0,$N$190,IFERROR((P154/L154),0))/crop_intensity!$D$7</f>
        <v>1.7020924317104515</v>
      </c>
      <c r="F154" s="2">
        <f t="shared" si="22"/>
        <v>1</v>
      </c>
      <c r="G154" s="2">
        <f t="shared" si="34"/>
        <v>2.4993969139811365</v>
      </c>
      <c r="H154" s="343">
        <f t="shared" si="29"/>
        <v>0</v>
      </c>
      <c r="I154" s="750"/>
      <c r="J154" s="717"/>
      <c r="K154" s="512">
        <v>2642610</v>
      </c>
      <c r="L154" s="512">
        <v>1417130</v>
      </c>
      <c r="M154" s="708">
        <v>0</v>
      </c>
      <c r="N154" s="87">
        <f t="shared" si="30"/>
        <v>1</v>
      </c>
      <c r="O154" s="25">
        <f t="shared" si="31"/>
        <v>0</v>
      </c>
      <c r="P154" s="25">
        <f t="shared" si="32"/>
        <v>2642610</v>
      </c>
      <c r="Q154" s="2">
        <f>IF(M154&gt;0,$M$190,IFERROR((O154/J154),0))/crop_intensity!$C$7</f>
        <v>0</v>
      </c>
      <c r="R154" s="389">
        <f t="shared" si="33"/>
        <v>0</v>
      </c>
    </row>
    <row r="155" spans="1:18" ht="12.5">
      <c r="A155" s="84" t="s">
        <v>3906</v>
      </c>
      <c r="B155" s="705">
        <v>373</v>
      </c>
      <c r="C155" s="24" t="s">
        <v>525</v>
      </c>
      <c r="D155" s="754">
        <v>4832</v>
      </c>
      <c r="E155" s="752">
        <f>IF(M155&gt;0,$N$190,IFERROR((P155/L155),0))/crop_intensity!$D$7</f>
        <v>28.658313262530079</v>
      </c>
      <c r="F155" s="2">
        <f t="shared" si="22"/>
        <v>1</v>
      </c>
      <c r="G155" s="2">
        <f t="shared" si="34"/>
        <v>2.4993969139811365</v>
      </c>
      <c r="H155" s="343">
        <f t="shared" si="29"/>
        <v>421.41649362690492</v>
      </c>
      <c r="I155" s="750"/>
      <c r="J155" s="717">
        <v>597</v>
      </c>
      <c r="K155" s="512">
        <v>28951700</v>
      </c>
      <c r="L155" s="512">
        <v>922111</v>
      </c>
      <c r="M155" s="708">
        <v>0</v>
      </c>
      <c r="N155" s="87">
        <f t="shared" si="30"/>
        <v>1</v>
      </c>
      <c r="O155" s="25">
        <f t="shared" si="31"/>
        <v>4832</v>
      </c>
      <c r="P155" s="25">
        <f t="shared" si="32"/>
        <v>28951700</v>
      </c>
      <c r="Q155" s="2">
        <f>IF(M155&gt;0,$M$190,IFERROR((O155/J155),0))/crop_intensity!$C$7</f>
        <v>7.5352448775378003</v>
      </c>
      <c r="R155" s="389">
        <f t="shared" si="33"/>
        <v>0.26293399784243116</v>
      </c>
    </row>
    <row r="156" spans="1:18" ht="12.5">
      <c r="A156" s="84" t="s">
        <v>666</v>
      </c>
      <c r="B156" s="705">
        <v>541</v>
      </c>
      <c r="C156" s="24" t="s">
        <v>518</v>
      </c>
      <c r="D156" s="754"/>
      <c r="E156" s="752">
        <f>IF(M156&gt;0,$N$190,IFERROR((P156/L156),0))/crop_intensity!$D$7</f>
        <v>7.2969822635009809</v>
      </c>
      <c r="F156" s="2">
        <f t="shared" si="22"/>
        <v>1</v>
      </c>
      <c r="G156" s="2">
        <f t="shared" si="34"/>
        <v>2.4993969139811365</v>
      </c>
      <c r="H156" s="343">
        <f t="shared" si="29"/>
        <v>0</v>
      </c>
      <c r="I156" s="750"/>
      <c r="J156" s="717"/>
      <c r="K156" s="512">
        <v>602079</v>
      </c>
      <c r="L156" s="512">
        <v>75313</v>
      </c>
      <c r="M156" s="708">
        <v>0</v>
      </c>
      <c r="N156" s="87">
        <f t="shared" si="30"/>
        <v>1</v>
      </c>
      <c r="O156" s="25">
        <f t="shared" si="31"/>
        <v>0</v>
      </c>
      <c r="P156" s="25">
        <f t="shared" si="32"/>
        <v>602079</v>
      </c>
      <c r="Q156" s="2">
        <f>IF(M156&gt;0,$M$190,IFERROR((O156/J156),0))/crop_intensity!$C$7</f>
        <v>0</v>
      </c>
      <c r="R156" s="389">
        <f t="shared" si="33"/>
        <v>0</v>
      </c>
    </row>
    <row r="157" spans="1:18" ht="12.5">
      <c r="A157" s="84" t="s">
        <v>519</v>
      </c>
      <c r="B157" s="705">
        <v>544</v>
      </c>
      <c r="C157" s="24" t="s">
        <v>520</v>
      </c>
      <c r="D157" s="754">
        <v>28039</v>
      </c>
      <c r="E157" s="752">
        <f>IF(M157&gt;0,$N$190,IFERROR((P157/L157),0))/crop_intensity!$D$7</f>
        <v>19.800143232584954</v>
      </c>
      <c r="F157" s="2">
        <f t="shared" si="22"/>
        <v>1</v>
      </c>
      <c r="G157" s="2">
        <f t="shared" si="34"/>
        <v>2.4993969139811365</v>
      </c>
      <c r="H157" s="343">
        <f t="shared" si="29"/>
        <v>3539.39813706933</v>
      </c>
      <c r="I157" s="750"/>
      <c r="J157" s="717">
        <v>3086</v>
      </c>
      <c r="K157" s="512">
        <v>8561120</v>
      </c>
      <c r="L157" s="512">
        <v>394659</v>
      </c>
      <c r="M157" s="708">
        <v>0</v>
      </c>
      <c r="N157" s="87">
        <f t="shared" si="30"/>
        <v>1</v>
      </c>
      <c r="O157" s="25">
        <f t="shared" si="31"/>
        <v>28039</v>
      </c>
      <c r="P157" s="25">
        <f t="shared" si="32"/>
        <v>8561120</v>
      </c>
      <c r="Q157" s="2">
        <f>IF(M157&gt;0,$M$190,IFERROR((O157/J157),0))/crop_intensity!$C$7</f>
        <v>8.4588509954836084</v>
      </c>
      <c r="R157" s="389">
        <f t="shared" si="33"/>
        <v>0.42721160630610683</v>
      </c>
    </row>
    <row r="158" spans="1:18" ht="12.5">
      <c r="A158" s="84" t="s">
        <v>521</v>
      </c>
      <c r="B158" s="705">
        <v>423</v>
      </c>
      <c r="C158" s="24" t="s">
        <v>1036</v>
      </c>
      <c r="D158" s="754"/>
      <c r="E158" s="752">
        <f>IF(M158&gt;0,$N$190,IFERROR((P158/L158),0))/crop_intensity!$D$7</f>
        <v>8.4093269158908317</v>
      </c>
      <c r="F158" s="2">
        <f t="shared" si="22"/>
        <v>1</v>
      </c>
      <c r="G158" s="2">
        <f t="shared" si="34"/>
        <v>2.4993969139811365</v>
      </c>
      <c r="H158" s="343">
        <f t="shared" si="29"/>
        <v>0</v>
      </c>
      <c r="I158" s="750"/>
      <c r="J158" s="717"/>
      <c r="K158" s="512">
        <v>1457240</v>
      </c>
      <c r="L158" s="512">
        <v>158172</v>
      </c>
      <c r="M158" s="708">
        <v>0</v>
      </c>
      <c r="N158" s="87">
        <f t="shared" si="30"/>
        <v>1</v>
      </c>
      <c r="O158" s="25">
        <f t="shared" si="31"/>
        <v>0</v>
      </c>
      <c r="P158" s="25">
        <f t="shared" si="32"/>
        <v>1457240</v>
      </c>
      <c r="Q158" s="2">
        <f>IF(M158&gt;0,$M$190,IFERROR((O158/J158),0))/crop_intensity!$C$7</f>
        <v>0</v>
      </c>
      <c r="R158" s="389">
        <f t="shared" si="33"/>
        <v>0</v>
      </c>
    </row>
    <row r="159" spans="1:18" ht="12.5">
      <c r="A159" s="84" t="s">
        <v>1037</v>
      </c>
      <c r="B159" s="705">
        <v>157</v>
      </c>
      <c r="C159" s="24" t="s">
        <v>3548</v>
      </c>
      <c r="D159" s="754">
        <v>1376700</v>
      </c>
      <c r="E159" s="752">
        <f>IF(M159&gt;0,$N$190,IFERROR((P159/L159),0))/crop_intensity!$D$7</f>
        <v>52.073948408545526</v>
      </c>
      <c r="F159" s="2">
        <f t="shared" si="22"/>
        <v>1</v>
      </c>
      <c r="G159" s="2">
        <f t="shared" si="34"/>
        <v>2.4993969139811365</v>
      </c>
      <c r="H159" s="343">
        <f t="shared" si="29"/>
        <v>66077.565397617567</v>
      </c>
      <c r="I159" s="750"/>
      <c r="J159" s="717">
        <v>18200</v>
      </c>
      <c r="K159" s="512">
        <v>273712000</v>
      </c>
      <c r="L159" s="512">
        <v>4797700</v>
      </c>
      <c r="M159" s="708">
        <v>0</v>
      </c>
      <c r="N159" s="87">
        <f t="shared" si="30"/>
        <v>1</v>
      </c>
      <c r="O159" s="25">
        <f t="shared" si="31"/>
        <v>1376700</v>
      </c>
      <c r="P159" s="25">
        <f t="shared" si="32"/>
        <v>273712000</v>
      </c>
      <c r="Q159" s="2">
        <f>IF(M159&gt;0,$M$190,IFERROR((O159/J159),0))/crop_intensity!$C$7</f>
        <v>70.422704621150373</v>
      </c>
      <c r="R159" s="389">
        <f t="shared" si="33"/>
        <v>1.352359611156233</v>
      </c>
    </row>
    <row r="160" spans="1:18" ht="12.5">
      <c r="A160" s="84" t="s">
        <v>1038</v>
      </c>
      <c r="B160" s="705">
        <v>156</v>
      </c>
      <c r="C160" s="24" t="s">
        <v>1039</v>
      </c>
      <c r="D160" s="754"/>
      <c r="E160" s="752">
        <f>IF(M160&gt;0,$N$190,IFERROR((P160/L160),0))/crop_intensity!$D$7</f>
        <v>66.527167302537435</v>
      </c>
      <c r="F160" s="2">
        <f t="shared" si="22"/>
        <v>1</v>
      </c>
      <c r="G160" s="2">
        <f t="shared" si="34"/>
        <v>2.4993969139811365</v>
      </c>
      <c r="H160" s="343">
        <f t="shared" si="29"/>
        <v>0</v>
      </c>
      <c r="I160" s="750"/>
      <c r="J160" s="717"/>
      <c r="K160" s="512">
        <v>1930509952</v>
      </c>
      <c r="L160" s="512">
        <v>26487000</v>
      </c>
      <c r="M160" s="708">
        <v>0</v>
      </c>
      <c r="N160" s="87">
        <f t="shared" si="30"/>
        <v>1</v>
      </c>
      <c r="O160" s="25">
        <f t="shared" si="31"/>
        <v>0</v>
      </c>
      <c r="P160" s="25">
        <f t="shared" si="32"/>
        <v>1930509952</v>
      </c>
      <c r="Q160" s="2">
        <f>IF(M160&gt;0,$M$190,IFERROR((O160/J160),0))/crop_intensity!$C$7</f>
        <v>0</v>
      </c>
      <c r="R160" s="389">
        <f t="shared" si="33"/>
        <v>0</v>
      </c>
    </row>
    <row r="161" spans="1:18" ht="12.5">
      <c r="A161" s="84" t="s">
        <v>667</v>
      </c>
      <c r="B161" s="705">
        <v>161</v>
      </c>
      <c r="C161" s="24" t="s">
        <v>1040</v>
      </c>
      <c r="D161" s="754"/>
      <c r="E161" s="752">
        <f>IF(M161&gt;0,$N$190,IFERROR((P161/L161),0))/crop_intensity!$D$7</f>
        <v>7.5373304978560061</v>
      </c>
      <c r="F161" s="2">
        <f t="shared" si="22"/>
        <v>1</v>
      </c>
      <c r="G161" s="2">
        <f t="shared" si="34"/>
        <v>2.4993969139811365</v>
      </c>
      <c r="H161" s="343">
        <f t="shared" si="29"/>
        <v>0</v>
      </c>
      <c r="I161" s="750"/>
      <c r="J161" s="717"/>
      <c r="K161" s="512">
        <v>943010</v>
      </c>
      <c r="L161" s="512">
        <v>114198</v>
      </c>
      <c r="M161" s="708">
        <v>0</v>
      </c>
      <c r="N161" s="87">
        <f t="shared" si="30"/>
        <v>1</v>
      </c>
      <c r="O161" s="25">
        <f t="shared" si="31"/>
        <v>0</v>
      </c>
      <c r="P161" s="25">
        <f t="shared" si="32"/>
        <v>943010</v>
      </c>
      <c r="Q161" s="2">
        <f>IF(M161&gt;0,$M$190,IFERROR((O161/J161),0))/crop_intensity!$C$7</f>
        <v>0</v>
      </c>
      <c r="R161" s="389">
        <f t="shared" si="33"/>
        <v>0</v>
      </c>
    </row>
    <row r="162" spans="1:18" ht="12.5">
      <c r="A162" s="84" t="s">
        <v>3774</v>
      </c>
      <c r="B162" s="705">
        <v>267</v>
      </c>
      <c r="C162" s="24" t="s">
        <v>3551</v>
      </c>
      <c r="D162" s="754">
        <v>57300</v>
      </c>
      <c r="E162" s="752">
        <f>IF(M162&gt;0,$N$190,IFERROR((P162/L162),0))/crop_intensity!$D$7</f>
        <v>1.7678919209257846</v>
      </c>
      <c r="F162" s="2">
        <f t="shared" si="22"/>
        <v>1</v>
      </c>
      <c r="G162" s="2">
        <f t="shared" si="34"/>
        <v>2.4993969139811365</v>
      </c>
      <c r="H162" s="343">
        <f t="shared" si="29"/>
        <v>81009.162085045391</v>
      </c>
      <c r="I162" s="750"/>
      <c r="J162" s="717">
        <v>26900</v>
      </c>
      <c r="K162" s="512">
        <v>51909900</v>
      </c>
      <c r="L162" s="512">
        <v>26801200</v>
      </c>
      <c r="M162" s="708">
        <v>0</v>
      </c>
      <c r="N162" s="87">
        <f t="shared" si="30"/>
        <v>1</v>
      </c>
      <c r="O162" s="25">
        <f t="shared" si="31"/>
        <v>57300</v>
      </c>
      <c r="P162" s="25">
        <f t="shared" si="32"/>
        <v>51909900</v>
      </c>
      <c r="Q162" s="2">
        <f>IF(M162&gt;0,$M$190,IFERROR((O162/J162),0))/crop_intensity!$C$7</f>
        <v>1.9831114310367441</v>
      </c>
      <c r="R162" s="389">
        <f t="shared" si="33"/>
        <v>1.1217379340691009</v>
      </c>
    </row>
    <row r="163" spans="1:18" ht="12.5">
      <c r="A163" s="84" t="s">
        <v>6879</v>
      </c>
      <c r="B163" s="705">
        <v>649</v>
      </c>
      <c r="C163" s="24" t="s">
        <v>3553</v>
      </c>
      <c r="D163" s="754"/>
      <c r="E163" s="752">
        <f>IF(M163&gt;0,$N$190,IFERROR((P163/L163),0))/crop_intensity!$D$7</f>
        <v>0</v>
      </c>
      <c r="F163" s="2">
        <f t="shared" si="22"/>
        <v>1</v>
      </c>
      <c r="G163" s="2">
        <f t="shared" si="34"/>
        <v>2.4993969139811365</v>
      </c>
      <c r="H163" s="343">
        <f t="shared" si="29"/>
        <v>0</v>
      </c>
      <c r="I163" s="750"/>
      <c r="J163" s="717"/>
      <c r="K163" s="512"/>
      <c r="L163" s="512"/>
      <c r="M163" s="708">
        <v>0</v>
      </c>
      <c r="N163" s="87">
        <f t="shared" si="30"/>
        <v>1</v>
      </c>
      <c r="O163" s="25">
        <f t="shared" si="31"/>
        <v>0</v>
      </c>
      <c r="P163" s="25">
        <f t="shared" si="32"/>
        <v>0</v>
      </c>
      <c r="Q163" s="2">
        <f>IF(M163&gt;0,$M$190,IFERROR((O163/J163),0))/crop_intensity!$C$7</f>
        <v>0</v>
      </c>
      <c r="R163" s="389">
        <f t="shared" si="33"/>
        <v>0</v>
      </c>
    </row>
    <row r="164" spans="1:18" ht="12.5">
      <c r="A164" s="84" t="s">
        <v>3775</v>
      </c>
      <c r="B164" s="705">
        <v>122</v>
      </c>
      <c r="C164" s="24" t="s">
        <v>3554</v>
      </c>
      <c r="D164" s="754"/>
      <c r="E164" s="752">
        <f>IF(M164&gt;0,$N$190,IFERROR((P164/L164),0))/crop_intensity!$D$7</f>
        <v>10.929532522951135</v>
      </c>
      <c r="F164" s="2">
        <f t="shared" si="22"/>
        <v>1</v>
      </c>
      <c r="G164" s="2">
        <f t="shared" si="34"/>
        <v>2.4993969139811365</v>
      </c>
      <c r="H164" s="343">
        <f t="shared" si="29"/>
        <v>0</v>
      </c>
      <c r="I164" s="750"/>
      <c r="J164" s="717"/>
      <c r="K164" s="512">
        <v>92020496</v>
      </c>
      <c r="L164" s="512">
        <v>7684980</v>
      </c>
      <c r="M164" s="708">
        <v>0</v>
      </c>
      <c r="N164" s="87">
        <f t="shared" si="30"/>
        <v>1</v>
      </c>
      <c r="O164" s="25">
        <f t="shared" si="31"/>
        <v>0</v>
      </c>
      <c r="P164" s="25">
        <f t="shared" si="32"/>
        <v>92020496</v>
      </c>
      <c r="Q164" s="2">
        <f>IF(M164&gt;0,$M$190,IFERROR((O164/J164),0))/crop_intensity!$C$7</f>
        <v>0</v>
      </c>
      <c r="R164" s="389">
        <f t="shared" si="33"/>
        <v>0</v>
      </c>
    </row>
    <row r="165" spans="1:18" ht="12.5">
      <c r="A165" s="84" t="s">
        <v>6880</v>
      </c>
      <c r="B165" s="705">
        <v>305</v>
      </c>
      <c r="C165" s="24" t="s">
        <v>6891</v>
      </c>
      <c r="D165" s="754"/>
      <c r="E165" s="752">
        <f>IF(M165&gt;0,$N$190,IFERROR((P165/L165),0))/crop_intensity!$D$7</f>
        <v>2.2460720505824385</v>
      </c>
      <c r="F165" s="2">
        <f t="shared" si="22"/>
        <v>1</v>
      </c>
      <c r="G165" s="2">
        <f t="shared" si="34"/>
        <v>2.4993969139811365</v>
      </c>
      <c r="H165" s="343">
        <f t="shared" si="29"/>
        <v>0</v>
      </c>
      <c r="I165" s="750"/>
      <c r="J165" s="717"/>
      <c r="K165" s="512">
        <v>1045350</v>
      </c>
      <c r="L165" s="512">
        <v>424813</v>
      </c>
      <c r="M165" s="708">
        <v>0</v>
      </c>
      <c r="N165" s="87">
        <f t="shared" si="30"/>
        <v>1</v>
      </c>
      <c r="O165" s="25">
        <f t="shared" si="31"/>
        <v>0</v>
      </c>
      <c r="P165" s="25">
        <f t="shared" si="32"/>
        <v>1045350</v>
      </c>
      <c r="Q165" s="2">
        <f>IF(M165&gt;0,$M$190,IFERROR((O165/J165),0))/crop_intensity!$C$7</f>
        <v>0</v>
      </c>
      <c r="R165" s="389">
        <f t="shared" si="33"/>
        <v>0</v>
      </c>
    </row>
    <row r="166" spans="1:18" ht="12.5">
      <c r="A166" s="84" t="s">
        <v>3776</v>
      </c>
      <c r="B166" s="705">
        <v>495</v>
      </c>
      <c r="C166" s="24" t="s">
        <v>3555</v>
      </c>
      <c r="D166" s="754"/>
      <c r="E166" s="752">
        <f>IF(M166&gt;0,$N$190,IFERROR((P166/L166),0))/crop_intensity!$D$7</f>
        <v>11.59005150177879</v>
      </c>
      <c r="F166" s="2">
        <f t="shared" si="22"/>
        <v>1</v>
      </c>
      <c r="G166" s="2">
        <f t="shared" si="34"/>
        <v>2.4993969139811365</v>
      </c>
      <c r="H166" s="343">
        <f t="shared" si="29"/>
        <v>0</v>
      </c>
      <c r="I166" s="750"/>
      <c r="J166" s="717"/>
      <c r="K166" s="512">
        <v>34278500</v>
      </c>
      <c r="L166" s="512">
        <v>2699580</v>
      </c>
      <c r="M166" s="708">
        <v>0</v>
      </c>
      <c r="N166" s="87">
        <f t="shared" si="30"/>
        <v>1</v>
      </c>
      <c r="O166" s="25">
        <f t="shared" si="31"/>
        <v>0</v>
      </c>
      <c r="P166" s="25">
        <f t="shared" si="32"/>
        <v>34278500</v>
      </c>
      <c r="Q166" s="2">
        <f>IF(M166&gt;0,$M$190,IFERROR((O166/J166),0))/crop_intensity!$C$7</f>
        <v>0</v>
      </c>
      <c r="R166" s="389">
        <f t="shared" si="33"/>
        <v>0</v>
      </c>
    </row>
    <row r="167" spans="1:18" ht="12.5">
      <c r="A167" s="84" t="s">
        <v>729</v>
      </c>
      <c r="B167" s="705">
        <v>136</v>
      </c>
      <c r="C167" s="24" t="s">
        <v>4419</v>
      </c>
      <c r="D167" s="754"/>
      <c r="E167" s="752">
        <f>IF(M167&gt;0,$N$190,IFERROR((P167/L167),0))/crop_intensity!$D$7</f>
        <v>5.0754275586450346</v>
      </c>
      <c r="F167" s="2">
        <f t="shared" si="22"/>
        <v>1</v>
      </c>
      <c r="G167" s="2">
        <f t="shared" si="34"/>
        <v>2.4993969139811365</v>
      </c>
      <c r="H167" s="343">
        <f t="shared" ref="H167:H183" si="35">IFERROR((O167/E167)*G167*F167,0)</f>
        <v>0</v>
      </c>
      <c r="I167" s="750"/>
      <c r="J167" s="717"/>
      <c r="K167" s="512">
        <v>10460000</v>
      </c>
      <c r="L167" s="512">
        <v>1881130</v>
      </c>
      <c r="M167" s="708">
        <v>0</v>
      </c>
      <c r="N167" s="87">
        <f t="shared" ref="N167:N183" si="36">VLOOKUP(B167,constant_crop_factor,3,FALSE)</f>
        <v>1</v>
      </c>
      <c r="O167" s="25">
        <f t="shared" ref="O167:O183" si="37">D167*N167</f>
        <v>0</v>
      </c>
      <c r="P167" s="25">
        <f t="shared" ref="P167:P183" si="38">K167*N167</f>
        <v>10460000</v>
      </c>
      <c r="Q167" s="2">
        <f>IF(M167&gt;0,$M$190,IFERROR((O167/J167),0))/crop_intensity!$C$7</f>
        <v>0</v>
      </c>
      <c r="R167" s="389">
        <f t="shared" ref="R167:R183" si="39">IFERROR(Q167/E167,0)</f>
        <v>0</v>
      </c>
    </row>
    <row r="168" spans="1:18" ht="12.5">
      <c r="A168" s="84" t="s">
        <v>4420</v>
      </c>
      <c r="B168" s="705">
        <v>667</v>
      </c>
      <c r="C168" s="24" t="s">
        <v>1868</v>
      </c>
      <c r="D168" s="754"/>
      <c r="E168" s="752">
        <f>IF(M168&gt;0,$N$190,IFERROR((P168/L168),0))/crop_intensity!$D$7</f>
        <v>1.1895678710605218</v>
      </c>
      <c r="F168" s="2">
        <f t="shared" si="22"/>
        <v>1</v>
      </c>
      <c r="G168" s="2">
        <f t="shared" ref="G168:G183" si="40">$G$7</f>
        <v>2.4993969139811365</v>
      </c>
      <c r="H168" s="343">
        <f t="shared" si="35"/>
        <v>0</v>
      </c>
      <c r="I168" s="750"/>
      <c r="J168" s="717"/>
      <c r="K168" s="512">
        <v>6326900</v>
      </c>
      <c r="L168" s="512">
        <v>4854690</v>
      </c>
      <c r="M168" s="708">
        <v>0</v>
      </c>
      <c r="N168" s="87">
        <f t="shared" si="36"/>
        <v>1</v>
      </c>
      <c r="O168" s="25">
        <f t="shared" si="37"/>
        <v>0</v>
      </c>
      <c r="P168" s="25">
        <f t="shared" si="38"/>
        <v>6326900</v>
      </c>
      <c r="Q168" s="2">
        <f>IF(M168&gt;0,$M$190,IFERROR((O168/J168),0))/crop_intensity!$C$7</f>
        <v>0</v>
      </c>
      <c r="R168" s="389">
        <f t="shared" si="39"/>
        <v>0</v>
      </c>
    </row>
    <row r="169" spans="1:18" ht="12.5">
      <c r="A169" s="84" t="s">
        <v>5874</v>
      </c>
      <c r="B169" s="705">
        <v>674</v>
      </c>
      <c r="C169" s="24" t="s">
        <v>6892</v>
      </c>
      <c r="D169" s="754"/>
      <c r="E169" s="752">
        <f>IF(M169&gt;0,$N$190,IFERROR((P169/L169),0))/crop_intensity!$D$7</f>
        <v>0</v>
      </c>
      <c r="F169" s="2">
        <f t="shared" si="22"/>
        <v>1</v>
      </c>
      <c r="G169" s="2">
        <f t="shared" si="40"/>
        <v>2.4993969139811365</v>
      </c>
      <c r="H169" s="343">
        <f t="shared" si="35"/>
        <v>0</v>
      </c>
      <c r="I169" s="750"/>
      <c r="J169" s="717"/>
      <c r="K169" s="512"/>
      <c r="L169" s="512"/>
      <c r="M169" s="708">
        <v>0</v>
      </c>
      <c r="N169" s="87">
        <f t="shared" si="36"/>
        <v>1</v>
      </c>
      <c r="O169" s="25">
        <f t="shared" si="37"/>
        <v>0</v>
      </c>
      <c r="P169" s="25">
        <f t="shared" si="38"/>
        <v>0</v>
      </c>
      <c r="Q169" s="2">
        <f>IF(M169&gt;0,$M$190,IFERROR((O169/J169),0))/crop_intensity!$C$7</f>
        <v>0</v>
      </c>
      <c r="R169" s="389">
        <f t="shared" si="39"/>
        <v>0</v>
      </c>
    </row>
    <row r="170" spans="1:18" ht="12.5">
      <c r="A170" s="84" t="s">
        <v>4421</v>
      </c>
      <c r="B170" s="705">
        <v>826</v>
      </c>
      <c r="C170" s="24" t="s">
        <v>3556</v>
      </c>
      <c r="D170" s="754">
        <v>21041</v>
      </c>
      <c r="E170" s="752">
        <f>IF(M170&gt;0,$N$190,IFERROR((P170/L170),0))/crop_intensity!$D$7</f>
        <v>1.6345550245811744</v>
      </c>
      <c r="F170" s="2">
        <f t="shared" si="22"/>
        <v>1</v>
      </c>
      <c r="G170" s="2">
        <f t="shared" si="40"/>
        <v>2.4993969139811365</v>
      </c>
      <c r="H170" s="343">
        <f t="shared" si="35"/>
        <v>32173.777986184527</v>
      </c>
      <c r="I170" s="750"/>
      <c r="J170" s="717">
        <v>7648</v>
      </c>
      <c r="K170" s="512">
        <v>6238720</v>
      </c>
      <c r="L170" s="512">
        <v>3483820</v>
      </c>
      <c r="M170" s="708">
        <v>0</v>
      </c>
      <c r="N170" s="87">
        <f t="shared" si="36"/>
        <v>1</v>
      </c>
      <c r="O170" s="25">
        <f t="shared" si="37"/>
        <v>21041</v>
      </c>
      <c r="P170" s="25">
        <f t="shared" si="38"/>
        <v>6238720</v>
      </c>
      <c r="Q170" s="2">
        <f>IF(M170&gt;0,$M$190,IFERROR((O170/J170),0))/crop_intensity!$C$7</f>
        <v>2.5613166521308131</v>
      </c>
      <c r="R170" s="389">
        <f t="shared" si="39"/>
        <v>1.566980990919596</v>
      </c>
    </row>
    <row r="171" spans="1:18" ht="12.5">
      <c r="A171" s="84" t="s">
        <v>4422</v>
      </c>
      <c r="B171" s="705">
        <v>388</v>
      </c>
      <c r="C171" s="24" t="s">
        <v>3557</v>
      </c>
      <c r="D171" s="754">
        <v>497438</v>
      </c>
      <c r="E171" s="752">
        <f>IF(M171&gt;0,$N$190,IFERROR((P171/L171),0))/crop_intensity!$D$7</f>
        <v>33.341501178375857</v>
      </c>
      <c r="F171" s="2">
        <f t="shared" si="22"/>
        <v>1</v>
      </c>
      <c r="G171" s="2">
        <f t="shared" si="40"/>
        <v>2.4993969139811365</v>
      </c>
      <c r="H171" s="343">
        <f t="shared" si="35"/>
        <v>37289.712765042103</v>
      </c>
      <c r="I171" s="750"/>
      <c r="J171" s="717">
        <v>6190</v>
      </c>
      <c r="K171" s="512">
        <v>179898000</v>
      </c>
      <c r="L171" s="512">
        <v>4924940</v>
      </c>
      <c r="M171" s="708">
        <v>0</v>
      </c>
      <c r="N171" s="87">
        <f t="shared" si="36"/>
        <v>1</v>
      </c>
      <c r="O171" s="25">
        <f t="shared" si="37"/>
        <v>497438</v>
      </c>
      <c r="P171" s="25">
        <f t="shared" si="38"/>
        <v>179898000</v>
      </c>
      <c r="Q171" s="2">
        <f>IF(M171&gt;0,$M$190,IFERROR((O171/J171),0))/crop_intensity!$C$7</f>
        <v>74.815758881668359</v>
      </c>
      <c r="R171" s="389">
        <f t="shared" si="39"/>
        <v>2.2439229260076408</v>
      </c>
    </row>
    <row r="172" spans="1:18" ht="12.5">
      <c r="A172" s="84" t="s">
        <v>4423</v>
      </c>
      <c r="B172" s="705">
        <v>97</v>
      </c>
      <c r="C172" s="24" t="s">
        <v>4424</v>
      </c>
      <c r="D172" s="754">
        <v>62200</v>
      </c>
      <c r="E172" s="752">
        <f>IF(M172&gt;0,$N$190,IFERROR((P172/L172),0))/crop_intensity!$D$7</f>
        <v>2.6369352977684146</v>
      </c>
      <c r="F172" s="2">
        <f t="shared" si="22"/>
        <v>1</v>
      </c>
      <c r="G172" s="2">
        <f t="shared" si="40"/>
        <v>2.4993969139811365</v>
      </c>
      <c r="H172" s="343">
        <f t="shared" si="35"/>
        <v>59863.451656447585</v>
      </c>
      <c r="I172" s="750"/>
      <c r="J172" s="717">
        <v>20700</v>
      </c>
      <c r="K172" s="512">
        <v>12363000</v>
      </c>
      <c r="L172" s="512">
        <v>3628020</v>
      </c>
      <c r="M172" s="708">
        <v>1</v>
      </c>
      <c r="N172" s="87">
        <f t="shared" si="36"/>
        <v>1.0153963872541969</v>
      </c>
      <c r="O172" s="25">
        <f t="shared" si="37"/>
        <v>63157.655287211048</v>
      </c>
      <c r="P172" s="25">
        <f t="shared" si="38"/>
        <v>12553345.535623636</v>
      </c>
      <c r="Q172" s="2">
        <f>IF(M172&gt;0,$M$190,IFERROR((O172/J172),0))/crop_intensity!$C$7</f>
        <v>3.229070276356417</v>
      </c>
      <c r="R172" s="389">
        <f t="shared" si="39"/>
        <v>1.224554231227863</v>
      </c>
    </row>
    <row r="173" spans="1:18" ht="12.5">
      <c r="A173" s="84" t="s">
        <v>3560</v>
      </c>
      <c r="B173" s="705">
        <v>275</v>
      </c>
      <c r="C173" s="24" t="s">
        <v>3561</v>
      </c>
      <c r="D173" s="754"/>
      <c r="E173" s="752">
        <f>IF(M173&gt;0,$N$190,IFERROR((P173/L173),0))/crop_intensity!$D$7</f>
        <v>2.4481709357935921</v>
      </c>
      <c r="F173" s="2">
        <f t="shared" si="22"/>
        <v>1</v>
      </c>
      <c r="G173" s="2">
        <f t="shared" si="40"/>
        <v>2.4993969139811365</v>
      </c>
      <c r="H173" s="343">
        <f t="shared" si="35"/>
        <v>0</v>
      </c>
      <c r="I173" s="750"/>
      <c r="J173" s="717"/>
      <c r="K173" s="512">
        <v>316104</v>
      </c>
      <c r="L173" s="512">
        <v>117855</v>
      </c>
      <c r="M173" s="708">
        <v>0</v>
      </c>
      <c r="N173" s="87">
        <f t="shared" si="36"/>
        <v>1</v>
      </c>
      <c r="O173" s="25">
        <f t="shared" si="37"/>
        <v>0</v>
      </c>
      <c r="P173" s="25">
        <f t="shared" si="38"/>
        <v>316104</v>
      </c>
      <c r="Q173" s="2">
        <f>IF(M173&gt;0,$M$190,IFERROR((O173/J173),0))/crop_intensity!$C$7</f>
        <v>0</v>
      </c>
      <c r="R173" s="389">
        <f t="shared" si="39"/>
        <v>0</v>
      </c>
    </row>
    <row r="174" spans="1:18" ht="12.5">
      <c r="A174" s="84" t="s">
        <v>6881</v>
      </c>
      <c r="B174" s="705">
        <v>646</v>
      </c>
      <c r="C174" s="24" t="s">
        <v>2343</v>
      </c>
      <c r="D174" s="754"/>
      <c r="E174" s="752">
        <f>IF(M174&gt;0,$N$190,IFERROR((P174/L174),0))/crop_intensity!$D$7</f>
        <v>0</v>
      </c>
      <c r="F174" s="2">
        <f t="shared" si="22"/>
        <v>1</v>
      </c>
      <c r="G174" s="2">
        <f t="shared" si="40"/>
        <v>2.4993969139811365</v>
      </c>
      <c r="H174" s="343">
        <f t="shared" si="35"/>
        <v>0</v>
      </c>
      <c r="I174" s="750"/>
      <c r="J174" s="717"/>
      <c r="K174" s="512"/>
      <c r="L174" s="512"/>
      <c r="M174" s="708">
        <v>0</v>
      </c>
      <c r="N174" s="87">
        <f t="shared" si="36"/>
        <v>1</v>
      </c>
      <c r="O174" s="25">
        <f t="shared" si="37"/>
        <v>0</v>
      </c>
      <c r="P174" s="25">
        <f t="shared" si="38"/>
        <v>0</v>
      </c>
      <c r="Q174" s="2">
        <f>IF(M174&gt;0,$M$190,IFERROR((O174/J174),0))/crop_intensity!$C$7</f>
        <v>0</v>
      </c>
      <c r="R174" s="389">
        <f t="shared" si="39"/>
        <v>0</v>
      </c>
    </row>
    <row r="175" spans="1:18" ht="12.5">
      <c r="A175" s="84" t="s">
        <v>4425</v>
      </c>
      <c r="B175" s="705">
        <v>692</v>
      </c>
      <c r="C175" s="24" t="s">
        <v>4426</v>
      </c>
      <c r="D175" s="754"/>
      <c r="E175" s="752">
        <f>IF(M175&gt;0,$N$190,IFERROR((P175/L175),0))/crop_intensity!$D$7</f>
        <v>6.9742066021328847E-2</v>
      </c>
      <c r="F175" s="2">
        <f t="shared" si="22"/>
        <v>1</v>
      </c>
      <c r="G175" s="2">
        <f t="shared" si="40"/>
        <v>2.4993969139811365</v>
      </c>
      <c r="H175" s="343">
        <f t="shared" si="35"/>
        <v>0</v>
      </c>
      <c r="I175" s="750"/>
      <c r="J175" s="717"/>
      <c r="K175" s="512">
        <v>7738</v>
      </c>
      <c r="L175" s="512">
        <v>101273</v>
      </c>
      <c r="M175" s="708">
        <v>0</v>
      </c>
      <c r="N175" s="87">
        <f t="shared" si="36"/>
        <v>1</v>
      </c>
      <c r="O175" s="25">
        <f t="shared" si="37"/>
        <v>0</v>
      </c>
      <c r="P175" s="25">
        <f t="shared" si="38"/>
        <v>7738</v>
      </c>
      <c r="Q175" s="2">
        <f>IF(M175&gt;0,$M$190,IFERROR((O175/J175),0))/crop_intensity!$C$7</f>
        <v>0</v>
      </c>
      <c r="R175" s="389">
        <f t="shared" si="39"/>
        <v>0</v>
      </c>
    </row>
    <row r="176" spans="1:18" ht="12.5">
      <c r="A176" s="84" t="s">
        <v>6882</v>
      </c>
      <c r="B176" s="705">
        <v>655</v>
      </c>
      <c r="C176" s="24" t="s">
        <v>4051</v>
      </c>
      <c r="D176" s="754"/>
      <c r="E176" s="752">
        <f>IF(M176&gt;0,$N$190,IFERROR((P176/L176),0))/crop_intensity!$D$7</f>
        <v>0</v>
      </c>
      <c r="F176" s="2">
        <f t="shared" si="22"/>
        <v>1</v>
      </c>
      <c r="G176" s="2">
        <f t="shared" si="40"/>
        <v>2.4993969139811365</v>
      </c>
      <c r="H176" s="343">
        <f t="shared" si="35"/>
        <v>0</v>
      </c>
      <c r="I176" s="750"/>
      <c r="J176" s="717"/>
      <c r="K176" s="512"/>
      <c r="L176" s="512"/>
      <c r="M176" s="708">
        <v>0</v>
      </c>
      <c r="N176" s="87">
        <f t="shared" si="36"/>
        <v>1</v>
      </c>
      <c r="O176" s="25">
        <f t="shared" si="37"/>
        <v>0</v>
      </c>
      <c r="P176" s="25">
        <f t="shared" si="38"/>
        <v>0</v>
      </c>
      <c r="Q176" s="2">
        <f>IF(M176&gt;0,$M$190,IFERROR((O176/J176),0))/crop_intensity!$C$7</f>
        <v>0</v>
      </c>
      <c r="R176" s="389">
        <f t="shared" si="39"/>
        <v>0</v>
      </c>
    </row>
    <row r="177" spans="1:18" ht="12.5">
      <c r="A177" s="84" t="s">
        <v>3248</v>
      </c>
      <c r="B177" s="705">
        <v>463</v>
      </c>
      <c r="C177" s="24" t="s">
        <v>815</v>
      </c>
      <c r="D177" s="754">
        <v>157841</v>
      </c>
      <c r="E177" s="752">
        <f>IF(M177&gt;0,$N$190,IFERROR((P177/L177),0))/crop_intensity!$D$7</f>
        <v>12.977212465140283</v>
      </c>
      <c r="F177" s="2">
        <f t="shared" si="22"/>
        <v>1</v>
      </c>
      <c r="G177" s="2">
        <f t="shared" si="40"/>
        <v>2.4993969139811365</v>
      </c>
      <c r="H177" s="343">
        <f t="shared" si="35"/>
        <v>30400.00380354657</v>
      </c>
      <c r="I177" s="750"/>
      <c r="J177" s="717">
        <v>6003</v>
      </c>
      <c r="K177" s="512">
        <v>304960000</v>
      </c>
      <c r="L177" s="512">
        <v>21449700</v>
      </c>
      <c r="M177" s="708">
        <v>0</v>
      </c>
      <c r="N177" s="87">
        <f t="shared" si="36"/>
        <v>1</v>
      </c>
      <c r="O177" s="25">
        <f t="shared" si="37"/>
        <v>157841</v>
      </c>
      <c r="P177" s="25">
        <f t="shared" si="38"/>
        <v>304960000</v>
      </c>
      <c r="Q177" s="2">
        <f>IF(M177&gt;0,$M$190,IFERROR((O177/J177),0))/crop_intensity!$C$7</f>
        <v>24.479145646172501</v>
      </c>
      <c r="R177" s="389">
        <f t="shared" si="39"/>
        <v>1.8863177058963165</v>
      </c>
    </row>
    <row r="178" spans="1:18" ht="12.5">
      <c r="A178" s="84" t="s">
        <v>1146</v>
      </c>
      <c r="B178" s="705">
        <v>205</v>
      </c>
      <c r="C178" s="24" t="s">
        <v>1147</v>
      </c>
      <c r="D178" s="754"/>
      <c r="E178" s="752">
        <f>IF(M178&gt;0,$N$190,IFERROR((P178/L178),0))/crop_intensity!$D$7</f>
        <v>1.5645931942119788</v>
      </c>
      <c r="F178" s="2">
        <f t="shared" si="22"/>
        <v>1</v>
      </c>
      <c r="G178" s="2">
        <f t="shared" si="40"/>
        <v>2.4993969139811365</v>
      </c>
      <c r="H178" s="343">
        <f t="shared" si="35"/>
        <v>0</v>
      </c>
      <c r="I178" s="750"/>
      <c r="J178" s="717"/>
      <c r="K178" s="512">
        <v>682721</v>
      </c>
      <c r="L178" s="512">
        <v>398292</v>
      </c>
      <c r="M178" s="708">
        <v>0</v>
      </c>
      <c r="N178" s="87">
        <f t="shared" si="36"/>
        <v>1</v>
      </c>
      <c r="O178" s="25">
        <f t="shared" si="37"/>
        <v>0</v>
      </c>
      <c r="P178" s="25">
        <f t="shared" si="38"/>
        <v>682721</v>
      </c>
      <c r="Q178" s="2">
        <f>IF(M178&gt;0,$M$190,IFERROR((O178/J178),0))/crop_intensity!$C$7</f>
        <v>0</v>
      </c>
      <c r="R178" s="389">
        <f t="shared" si="39"/>
        <v>0</v>
      </c>
    </row>
    <row r="179" spans="1:18" ht="12.5">
      <c r="A179" s="84" t="s">
        <v>1148</v>
      </c>
      <c r="B179" s="705">
        <v>222</v>
      </c>
      <c r="C179" s="24" t="s">
        <v>4052</v>
      </c>
      <c r="D179" s="754"/>
      <c r="E179" s="752">
        <f>IF(M179&gt;0,$N$190,IFERROR((P179/L179),0))/crop_intensity!$D$7</f>
        <v>3.1673661072067731</v>
      </c>
      <c r="F179" s="2">
        <f t="shared" si="22"/>
        <v>1</v>
      </c>
      <c r="G179" s="2">
        <f t="shared" si="40"/>
        <v>2.4993969139811365</v>
      </c>
      <c r="H179" s="343">
        <f t="shared" si="35"/>
        <v>0</v>
      </c>
      <c r="I179" s="750"/>
      <c r="J179" s="717"/>
      <c r="K179" s="512">
        <v>4346890</v>
      </c>
      <c r="L179" s="512">
        <v>1252680</v>
      </c>
      <c r="M179" s="708">
        <v>0</v>
      </c>
      <c r="N179" s="87">
        <f t="shared" si="36"/>
        <v>1</v>
      </c>
      <c r="O179" s="25">
        <f t="shared" si="37"/>
        <v>0</v>
      </c>
      <c r="P179" s="25">
        <f t="shared" si="38"/>
        <v>4346890</v>
      </c>
      <c r="Q179" s="2">
        <f>IF(M179&gt;0,$M$190,IFERROR((O179/J179),0))/crop_intensity!$C$7</f>
        <v>0</v>
      </c>
      <c r="R179" s="389">
        <f t="shared" si="39"/>
        <v>0</v>
      </c>
    </row>
    <row r="180" spans="1:18" ht="12.5">
      <c r="A180" s="84" t="s">
        <v>1149</v>
      </c>
      <c r="B180" s="705">
        <v>567</v>
      </c>
      <c r="C180" s="24" t="s">
        <v>1150</v>
      </c>
      <c r="D180" s="754">
        <v>28827</v>
      </c>
      <c r="E180" s="752">
        <f>IF(M180&gt;0,$N$190,IFERROR((P180/L180),0))/crop_intensity!$D$7</f>
        <v>29.385384730425592</v>
      </c>
      <c r="F180" s="2">
        <f t="shared" si="22"/>
        <v>1</v>
      </c>
      <c r="G180" s="2">
        <f t="shared" si="40"/>
        <v>2.4993969139811365</v>
      </c>
      <c r="H180" s="343">
        <f t="shared" si="35"/>
        <v>2451.9030633869365</v>
      </c>
      <c r="I180" s="750"/>
      <c r="J180" s="717">
        <v>680</v>
      </c>
      <c r="K180" s="512">
        <v>100459000</v>
      </c>
      <c r="L180" s="512">
        <v>3120450</v>
      </c>
      <c r="M180" s="708">
        <v>0</v>
      </c>
      <c r="N180" s="87">
        <f t="shared" si="36"/>
        <v>1</v>
      </c>
      <c r="O180" s="25">
        <f t="shared" si="37"/>
        <v>28827</v>
      </c>
      <c r="P180" s="25">
        <f t="shared" si="38"/>
        <v>100459000</v>
      </c>
      <c r="Q180" s="2">
        <f>IF(M180&gt;0,$M$190,IFERROR((O180/J180),0))/crop_intensity!$C$7</f>
        <v>39.467108656327589</v>
      </c>
      <c r="R180" s="389">
        <f t="shared" si="39"/>
        <v>1.3430863341892336</v>
      </c>
    </row>
    <row r="181" spans="1:18" ht="12.5">
      <c r="A181" s="84" t="s">
        <v>1151</v>
      </c>
      <c r="B181" s="705">
        <v>15</v>
      </c>
      <c r="C181" s="24" t="s">
        <v>4053</v>
      </c>
      <c r="D181" s="754">
        <v>32201100</v>
      </c>
      <c r="E181" s="752">
        <f>IF(M181&gt;0,$N$190,IFERROR((P181/L181),0))/crop_intensity!$D$7</f>
        <v>2.6369352977684146</v>
      </c>
      <c r="F181" s="2">
        <f t="shared" si="22"/>
        <v>1</v>
      </c>
      <c r="G181" s="2">
        <f t="shared" si="40"/>
        <v>2.4993969139811365</v>
      </c>
      <c r="H181" s="343">
        <f t="shared" si="35"/>
        <v>31686951.413013723</v>
      </c>
      <c r="I181" s="750"/>
      <c r="J181" s="717">
        <v>9881000</v>
      </c>
      <c r="K181" s="512">
        <v>733385984</v>
      </c>
      <c r="L181" s="512">
        <v>213982000</v>
      </c>
      <c r="M181" s="708">
        <v>1</v>
      </c>
      <c r="N181" s="87">
        <f t="shared" si="36"/>
        <v>1.0381831951302016</v>
      </c>
      <c r="O181" s="25">
        <f t="shared" si="37"/>
        <v>33430640.884707134</v>
      </c>
      <c r="P181" s="25">
        <f t="shared" si="38"/>
        <v>761389004.13282692</v>
      </c>
      <c r="Q181" s="2">
        <f>IF(M181&gt;0,$M$190,IFERROR((O181/J181),0))/crop_intensity!$C$7</f>
        <v>3.229070276356417</v>
      </c>
      <c r="R181" s="389">
        <f t="shared" si="39"/>
        <v>1.224554231227863</v>
      </c>
    </row>
    <row r="182" spans="1:18" ht="12.5">
      <c r="A182" s="84" t="s">
        <v>1154</v>
      </c>
      <c r="B182" s="705">
        <v>137</v>
      </c>
      <c r="C182" s="24" t="s">
        <v>1155</v>
      </c>
      <c r="D182" s="754"/>
      <c r="E182" s="752">
        <f>IF(M182&gt;0,$N$190,IFERROR((P182/L182),0))/crop_intensity!$D$7</f>
        <v>7.7110929477935661</v>
      </c>
      <c r="F182" s="2">
        <f t="shared" si="22"/>
        <v>1</v>
      </c>
      <c r="G182" s="2">
        <f t="shared" si="40"/>
        <v>2.4993969139811365</v>
      </c>
      <c r="H182" s="343">
        <f t="shared" si="35"/>
        <v>0</v>
      </c>
      <c r="I182" s="750"/>
      <c r="J182" s="717"/>
      <c r="K182" s="512">
        <v>73387400</v>
      </c>
      <c r="L182" s="512">
        <v>8686910</v>
      </c>
      <c r="M182" s="708">
        <v>0</v>
      </c>
      <c r="N182" s="87">
        <f t="shared" si="36"/>
        <v>1</v>
      </c>
      <c r="O182" s="25">
        <f t="shared" si="37"/>
        <v>0</v>
      </c>
      <c r="P182" s="25">
        <f t="shared" si="38"/>
        <v>73387400</v>
      </c>
      <c r="Q182" s="2">
        <f>IF(M182&gt;0,$M$190,IFERROR((O182/J182),0))/crop_intensity!$C$7</f>
        <v>0</v>
      </c>
      <c r="R182" s="389">
        <f t="shared" si="39"/>
        <v>0</v>
      </c>
    </row>
    <row r="183" spans="1:18" ht="12.5">
      <c r="A183" s="84" t="s">
        <v>3792</v>
      </c>
      <c r="B183" s="705">
        <v>135</v>
      </c>
      <c r="C183" s="24" t="s">
        <v>539</v>
      </c>
      <c r="D183" s="755"/>
      <c r="E183" s="753">
        <f>IF(M183&gt;0,$N$190,IFERROR((P183/L183),0))/crop_intensity!$D$7</f>
        <v>11.038835451513267</v>
      </c>
      <c r="F183" s="57">
        <f t="shared" si="22"/>
        <v>1</v>
      </c>
      <c r="G183" s="2">
        <f t="shared" si="40"/>
        <v>2.4993969139811365</v>
      </c>
      <c r="H183" s="343">
        <f t="shared" si="35"/>
        <v>0</v>
      </c>
      <c r="I183" s="750"/>
      <c r="J183" s="718"/>
      <c r="K183" s="706">
        <v>464185</v>
      </c>
      <c r="L183" s="706">
        <v>38382</v>
      </c>
      <c r="M183" s="709">
        <v>0</v>
      </c>
      <c r="N183" s="88">
        <f t="shared" si="36"/>
        <v>1</v>
      </c>
      <c r="O183" s="25">
        <f t="shared" si="37"/>
        <v>0</v>
      </c>
      <c r="P183" s="26">
        <f t="shared" si="38"/>
        <v>464185</v>
      </c>
      <c r="Q183" s="57">
        <f>IF(M183&gt;0,$M$190,IFERROR((O183/J183),0))/crop_intensity!$C$7</f>
        <v>0</v>
      </c>
      <c r="R183" s="81">
        <f t="shared" si="39"/>
        <v>0</v>
      </c>
    </row>
    <row r="184" spans="1:18" ht="12.5">
      <c r="A184" s="702"/>
      <c r="B184" s="702"/>
      <c r="C184" s="702"/>
      <c r="G184" s="702"/>
      <c r="H184" s="702"/>
      <c r="I184" s="59"/>
      <c r="O184" s="702"/>
      <c r="R184" s="36"/>
    </row>
    <row r="185" spans="1:18" ht="13">
      <c r="A185" s="700" t="s">
        <v>3843</v>
      </c>
      <c r="B185" s="701"/>
      <c r="C185" s="232"/>
      <c r="D185" s="45">
        <f>SUM(D7:D183)</f>
        <v>103358970</v>
      </c>
      <c r="E185" s="232"/>
      <c r="F185" s="232"/>
      <c r="G185" s="22"/>
      <c r="H185" s="22"/>
      <c r="I185" s="232"/>
      <c r="J185" s="45">
        <f>SUM(J7:J183)</f>
        <v>30848336.588012695</v>
      </c>
      <c r="K185" s="45">
        <f>SUM(K7:K183)</f>
        <v>9214772417</v>
      </c>
      <c r="L185" s="45">
        <f>SUM(L7:L183)</f>
        <v>1430927517</v>
      </c>
      <c r="M185" s="232"/>
      <c r="N185" s="232"/>
      <c r="O185" s="232"/>
      <c r="P185" s="232"/>
      <c r="Q185" s="232"/>
      <c r="R185" s="697">
        <f>SUMPRODUCT(J7:J183,R7:R183)/SUM(J7:J183)</f>
        <v>1.231695465699624</v>
      </c>
    </row>
    <row r="186" spans="1:18" ht="12.75" customHeight="1">
      <c r="R186" s="36"/>
    </row>
    <row r="187" spans="1:18" ht="12.75" customHeight="1">
      <c r="R187" s="36"/>
    </row>
    <row r="188" spans="1:18" ht="17.25" customHeight="1">
      <c r="G188" s="966" t="s">
        <v>6866</v>
      </c>
      <c r="H188" s="742" t="s">
        <v>6867</v>
      </c>
      <c r="I188" s="1141" t="s">
        <v>6905</v>
      </c>
      <c r="J188" s="1141" t="s">
        <v>6904</v>
      </c>
      <c r="K188" s="1141" t="s">
        <v>6906</v>
      </c>
      <c r="L188" s="1141" t="s">
        <v>6896</v>
      </c>
      <c r="M188" s="1141" t="s">
        <v>7583</v>
      </c>
      <c r="N188" s="744" t="s">
        <v>7584</v>
      </c>
      <c r="R188" s="36"/>
    </row>
    <row r="189" spans="1:18" ht="12.75" customHeight="1">
      <c r="G189" s="1140" t="s">
        <v>542</v>
      </c>
      <c r="H189" s="968" t="s">
        <v>542</v>
      </c>
      <c r="I189" s="968" t="s">
        <v>2980</v>
      </c>
      <c r="J189" s="968" t="s">
        <v>4980</v>
      </c>
      <c r="K189" s="968" t="s">
        <v>2980</v>
      </c>
      <c r="L189" s="968" t="s">
        <v>2041</v>
      </c>
      <c r="M189" s="1142" t="s">
        <v>4810</v>
      </c>
      <c r="N189" s="1143" t="s">
        <v>4810</v>
      </c>
      <c r="R189" s="36"/>
    </row>
    <row r="190" spans="1:18" ht="12.75" customHeight="1">
      <c r="G190" s="698" t="s">
        <v>6902</v>
      </c>
      <c r="H190" s="291">
        <v>1</v>
      </c>
      <c r="I190" s="702">
        <f>SUMIF(M7:M183,H190,O7:O183)</f>
        <v>46650360.625094511</v>
      </c>
      <c r="J190" s="702">
        <f>SUMIF(M7:M183,H190,J7:J183)</f>
        <v>13450000</v>
      </c>
      <c r="K190" s="232">
        <f>SUMIF(M7:M183,H190,P7:P183)</f>
        <v>1045442772.2663631</v>
      </c>
      <c r="L190" s="232">
        <f>SUMIF(M7:M183,H190,L7:L183)</f>
        <v>361876640</v>
      </c>
      <c r="M190" s="703">
        <f>I190/J190</f>
        <v>3.4684282992635325</v>
      </c>
      <c r="N190" s="309">
        <f>IFERROR(K190/L190,0)</f>
        <v>2.8889479361429995</v>
      </c>
      <c r="R190" s="36"/>
    </row>
    <row r="191" spans="1:18" ht="12.75" customHeight="1">
      <c r="H191" s="253"/>
    </row>
    <row r="192" spans="1:18" ht="12.75" customHeight="1">
      <c r="H192" s="253"/>
    </row>
  </sheetData>
  <phoneticPr fontId="5" type="noConversion"/>
  <hyperlinks>
    <hyperlink ref="E2" location="constant_crop_factor!A1" tooltip="Go to crop_yield_w" display="constant_crop_factor!A1" xr:uid="{00000000-0004-0000-1000-000000000000}"/>
    <hyperlink ref="F2" location="eqf" tooltip="Go to eqf" display="eqf" xr:uid="{00000000-0004-0000-1000-000001000000}"/>
    <hyperlink ref="D3" location="ef_crop!A1" tooltip="Go to ef_crop" display="ef_crop" xr:uid="{00000000-0004-0000-1000-000002000000}"/>
    <hyperlink ref="E3" location="grass_supply_n!A1" display="grass_supply_n" xr:uid="{00000000-0004-0000-1000-000003000000}"/>
    <hyperlink ref="G2" location="iyf" display="iyf" xr:uid="{00000000-0004-0000-1000-000004000000}"/>
    <hyperlink ref="D2" location="crop_intensity!A1" tooltip="Go to crop_yield_w" display="crop_intensity" xr:uid="{00000000-0004-0000-1000-000005000000}"/>
  </hyperlinks>
  <pageMargins left="0.75" right="0.75" top="1" bottom="1" header="0.5" footer="0.5"/>
  <pageSetup orientation="portrait"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7">
    <tabColor theme="5"/>
    <pageSetUpPr autoPageBreaks="0"/>
  </sheetPr>
  <dimension ref="A1:Q426"/>
  <sheetViews>
    <sheetView zoomScaleNormal="100" workbookViewId="0">
      <pane xSplit="2" ySplit="6" topLeftCell="C7" activePane="bottomRight" state="frozen"/>
      <selection pane="topRight"/>
      <selection pane="bottomLeft"/>
      <selection pane="bottomRight" activeCell="A65536" sqref="A65536"/>
    </sheetView>
  </sheetViews>
  <sheetFormatPr defaultColWidth="9.1796875" defaultRowHeight="12.75" customHeight="1"/>
  <cols>
    <col min="1" max="1" width="39" style="86" customWidth="1"/>
    <col min="2" max="2" width="14.81640625" style="86" customWidth="1"/>
    <col min="3" max="3" width="15.81640625" style="86" customWidth="1"/>
    <col min="4" max="4" width="16.7265625" style="86" customWidth="1"/>
    <col min="5" max="10" width="16.7265625" style="36" customWidth="1"/>
    <col min="11" max="11" width="15.81640625" style="36" customWidth="1"/>
    <col min="12" max="12" width="18.453125" style="36" customWidth="1"/>
    <col min="13" max="13" width="19.81640625" style="36" customWidth="1"/>
    <col min="14" max="14" width="15.1796875" style="36" customWidth="1"/>
    <col min="15" max="15" width="21.7265625" style="36" customWidth="1"/>
    <col min="16" max="16" width="12.26953125" style="36" bestFit="1" customWidth="1"/>
    <col min="17" max="17" width="11.26953125" style="36" customWidth="1"/>
    <col min="18" max="16384" width="9.1796875" style="36"/>
  </cols>
  <sheetData>
    <row r="1" spans="1:17" ht="12.75" customHeight="1">
      <c r="A1" s="36"/>
      <c r="B1" s="36"/>
      <c r="D1" s="36"/>
    </row>
    <row r="2" spans="1:17" ht="12.75" customHeight="1">
      <c r="A2" s="36"/>
      <c r="B2" s="37" t="s">
        <v>985</v>
      </c>
      <c r="C2" s="466" t="s">
        <v>2005</v>
      </c>
      <c r="D2" s="466" t="s">
        <v>6153</v>
      </c>
      <c r="E2" s="466" t="s">
        <v>2004</v>
      </c>
      <c r="F2" s="466" t="s">
        <v>6145</v>
      </c>
    </row>
    <row r="3" spans="1:17" ht="12.75" customHeight="1">
      <c r="A3" s="36"/>
      <c r="B3" s="37" t="s">
        <v>986</v>
      </c>
      <c r="C3" s="466" t="s">
        <v>0</v>
      </c>
      <c r="D3" s="466"/>
      <c r="E3" s="466"/>
      <c r="F3" s="466"/>
    </row>
    <row r="4" spans="1:17" ht="12.75" customHeight="1">
      <c r="A4" s="36"/>
      <c r="B4" s="36"/>
      <c r="C4" s="36"/>
      <c r="D4" s="36"/>
    </row>
    <row r="5" spans="1:17" ht="15">
      <c r="A5" s="966" t="s">
        <v>1923</v>
      </c>
      <c r="B5" s="742" t="s">
        <v>1907</v>
      </c>
      <c r="C5" s="742" t="s">
        <v>1906</v>
      </c>
      <c r="D5" s="743" t="s">
        <v>6908</v>
      </c>
      <c r="E5" s="743" t="s">
        <v>6907</v>
      </c>
      <c r="F5" s="967" t="s">
        <v>1926</v>
      </c>
      <c r="G5" s="967" t="s">
        <v>6022</v>
      </c>
      <c r="H5" s="967" t="s">
        <v>1771</v>
      </c>
      <c r="I5" s="967" t="s">
        <v>3840</v>
      </c>
      <c r="J5" s="744" t="s">
        <v>3842</v>
      </c>
      <c r="L5" s="747" t="s">
        <v>6910</v>
      </c>
      <c r="M5" s="743" t="s">
        <v>6909</v>
      </c>
      <c r="N5" s="743" t="s">
        <v>2797</v>
      </c>
      <c r="O5" s="742" t="s">
        <v>3546</v>
      </c>
      <c r="P5" s="742" t="s">
        <v>3547</v>
      </c>
      <c r="Q5" s="1070" t="s">
        <v>5253</v>
      </c>
    </row>
    <row r="6" spans="1:17" ht="14.5">
      <c r="A6" s="1069" t="s">
        <v>542</v>
      </c>
      <c r="B6" s="1068" t="s">
        <v>542</v>
      </c>
      <c r="C6" s="1068" t="s">
        <v>542</v>
      </c>
      <c r="D6" s="1072" t="s">
        <v>9219</v>
      </c>
      <c r="E6" s="1072" t="s">
        <v>9219</v>
      </c>
      <c r="F6" s="1073" t="s">
        <v>9220</v>
      </c>
      <c r="G6" s="1074" t="s">
        <v>542</v>
      </c>
      <c r="H6" s="1073" t="s">
        <v>9208</v>
      </c>
      <c r="I6" s="1072" t="s">
        <v>720</v>
      </c>
      <c r="J6" s="1076" t="s">
        <v>720</v>
      </c>
      <c r="L6" s="1144" t="s">
        <v>9219</v>
      </c>
      <c r="M6" s="1072" t="s">
        <v>9219</v>
      </c>
      <c r="N6" s="916" t="s">
        <v>542</v>
      </c>
      <c r="O6" s="1071" t="s">
        <v>542</v>
      </c>
      <c r="P6" s="1071" t="s">
        <v>542</v>
      </c>
      <c r="Q6" s="1145" t="s">
        <v>1</v>
      </c>
    </row>
    <row r="7" spans="1:17" ht="12.5">
      <c r="A7" s="82" t="s">
        <v>1151</v>
      </c>
      <c r="B7" s="398">
        <v>15</v>
      </c>
      <c r="C7" s="83" t="s">
        <v>4053</v>
      </c>
      <c r="D7" s="498">
        <v>82800</v>
      </c>
      <c r="E7" s="498">
        <v>22874200</v>
      </c>
      <c r="F7" s="55">
        <f t="shared" ref="F7:F70" si="0">IFERROR(VLOOKUP(P7,crop_efp,4,FALSE)*Q7,0)</f>
        <v>2.6369352977684146</v>
      </c>
      <c r="G7" s="55">
        <f t="shared" ref="G7:G70" si="1">VLOOKUP("Crop Land",iyf,2,FALSE)</f>
        <v>1</v>
      </c>
      <c r="H7" s="55">
        <f t="shared" ref="H7:H70" si="2">VLOOKUP("Crop Land",eqf,2,FALSE)</f>
        <v>2.4993969139811365</v>
      </c>
      <c r="I7" s="27">
        <f t="shared" ref="I7:I17" si="3">IFERROR((D7/F7)*H7*G7,0)</f>
        <v>78481.282666577288</v>
      </c>
      <c r="J7" s="49">
        <f t="shared" ref="J7:J17" si="4">IFERROR((E7/F7)*H7*G7,0)</f>
        <v>21681117.825746644</v>
      </c>
      <c r="L7" s="712">
        <v>181206000</v>
      </c>
      <c r="M7" s="498">
        <v>190908000</v>
      </c>
      <c r="N7" s="543" t="s">
        <v>413</v>
      </c>
      <c r="O7" s="544" t="str">
        <f>IFERROR(VLOOKUP(P7,constant_ag_extr!$D$7:$E$594,2,FALSE),"")</f>
        <v>Wheat</v>
      </c>
      <c r="P7" s="545">
        <f t="shared" ref="P7:P70" si="5">IFERROR(VLOOKUP(B7,constant_ag_extr,3,FALSE),"")</f>
        <v>15</v>
      </c>
      <c r="Q7" s="710">
        <f t="shared" ref="Q7:Q70" si="6">IFERROR(VLOOKUP(B7,constant_ag_extr,14,FALSE),"")</f>
        <v>1</v>
      </c>
    </row>
    <row r="8" spans="1:17" ht="12.5">
      <c r="A8" s="84" t="s">
        <v>7041</v>
      </c>
      <c r="B8" s="399">
        <v>16</v>
      </c>
      <c r="C8" s="24" t="s">
        <v>4004</v>
      </c>
      <c r="D8" s="499">
        <v>102099</v>
      </c>
      <c r="E8" s="499">
        <v>276666</v>
      </c>
      <c r="F8" s="2">
        <f t="shared" si="0"/>
        <v>2.3874436061186213</v>
      </c>
      <c r="G8" s="2">
        <f t="shared" si="1"/>
        <v>1</v>
      </c>
      <c r="H8" s="2">
        <f t="shared" si="2"/>
        <v>2.4993969139811365</v>
      </c>
      <c r="I8" s="25">
        <f t="shared" si="3"/>
        <v>106886.68200017833</v>
      </c>
      <c r="J8" s="343">
        <f t="shared" si="4"/>
        <v>289639.57298564469</v>
      </c>
      <c r="L8" s="713">
        <v>14825800</v>
      </c>
      <c r="M8" s="499">
        <v>15166600</v>
      </c>
      <c r="N8" s="543" t="s">
        <v>2796</v>
      </c>
      <c r="O8" s="544" t="str">
        <f>IFERROR(VLOOKUP(P8,constant_ag_extr!$D$7:$E$594,2,FALSE),"")</f>
        <v>Wheat</v>
      </c>
      <c r="P8" s="545">
        <f t="shared" si="5"/>
        <v>15</v>
      </c>
      <c r="Q8" s="710">
        <f t="shared" si="6"/>
        <v>0.9053857362898009</v>
      </c>
    </row>
    <row r="9" spans="1:17" ht="12.5">
      <c r="A9" s="84" t="s">
        <v>6956</v>
      </c>
      <c r="B9" s="399">
        <v>17</v>
      </c>
      <c r="C9" s="24" t="s">
        <v>4894</v>
      </c>
      <c r="D9" s="499">
        <v>129922</v>
      </c>
      <c r="E9" s="499">
        <v>50282</v>
      </c>
      <c r="F9" s="2">
        <f t="shared" si="0"/>
        <v>5.0875925345499704</v>
      </c>
      <c r="G9" s="2">
        <f t="shared" si="1"/>
        <v>1</v>
      </c>
      <c r="H9" s="2">
        <f t="shared" si="2"/>
        <v>2.4993969139811365</v>
      </c>
      <c r="I9" s="25">
        <f t="shared" si="3"/>
        <v>63827.172410728708</v>
      </c>
      <c r="J9" s="343">
        <f t="shared" si="4"/>
        <v>24702.189645758692</v>
      </c>
      <c r="L9" s="713">
        <v>6523200</v>
      </c>
      <c r="M9" s="499">
        <v>6978960</v>
      </c>
      <c r="N9" s="543" t="s">
        <v>2796</v>
      </c>
      <c r="O9" s="544" t="str">
        <f>IFERROR(VLOOKUP(P9,constant_ag_extr!$D$7:$E$594,2,FALSE),"")</f>
        <v>Wheat</v>
      </c>
      <c r="P9" s="545">
        <f t="shared" si="5"/>
        <v>15</v>
      </c>
      <c r="Q9" s="710">
        <f t="shared" si="6"/>
        <v>1.9293581222320844</v>
      </c>
    </row>
    <row r="10" spans="1:17" ht="12.5">
      <c r="A10" s="84" t="s">
        <v>1333</v>
      </c>
      <c r="B10" s="399">
        <v>18</v>
      </c>
      <c r="C10" s="24" t="s">
        <v>1334</v>
      </c>
      <c r="D10" s="499">
        <v>115616</v>
      </c>
      <c r="E10" s="499">
        <v>40300</v>
      </c>
      <c r="F10" s="2">
        <f t="shared" si="0"/>
        <v>2.3874436061186213</v>
      </c>
      <c r="G10" s="2">
        <f t="shared" si="1"/>
        <v>1</v>
      </c>
      <c r="H10" s="2">
        <f t="shared" si="2"/>
        <v>2.4993969139811365</v>
      </c>
      <c r="I10" s="25">
        <f t="shared" si="3"/>
        <v>121037.52853732767</v>
      </c>
      <c r="J10" s="343">
        <f t="shared" si="4"/>
        <v>42189.769582534464</v>
      </c>
      <c r="L10" s="713">
        <v>4425600</v>
      </c>
      <c r="M10" s="499">
        <v>4685100</v>
      </c>
      <c r="N10" s="543" t="s">
        <v>2796</v>
      </c>
      <c r="O10" s="544" t="str">
        <f>IFERROR(VLOOKUP(P10,constant_ag_extr!$D$7:$E$594,2,FALSE),"")</f>
        <v>Wheat</v>
      </c>
      <c r="P10" s="545">
        <f t="shared" si="5"/>
        <v>15</v>
      </c>
      <c r="Q10" s="710">
        <f t="shared" si="6"/>
        <v>0.9053857362898009</v>
      </c>
    </row>
    <row r="11" spans="1:17" ht="12.5">
      <c r="A11" s="84" t="s">
        <v>92</v>
      </c>
      <c r="B11" s="399">
        <v>19</v>
      </c>
      <c r="C11" s="24" t="s">
        <v>93</v>
      </c>
      <c r="D11" s="499"/>
      <c r="E11" s="499"/>
      <c r="F11" s="2">
        <f t="shared" si="0"/>
        <v>1.5443951135029965</v>
      </c>
      <c r="G11" s="2">
        <f t="shared" si="1"/>
        <v>1</v>
      </c>
      <c r="H11" s="2">
        <f t="shared" si="2"/>
        <v>2.4993969139811365</v>
      </c>
      <c r="I11" s="25">
        <f t="shared" si="3"/>
        <v>0</v>
      </c>
      <c r="J11" s="343">
        <f t="shared" si="4"/>
        <v>0</v>
      </c>
      <c r="L11" s="713"/>
      <c r="M11" s="499"/>
      <c r="N11" s="543" t="s">
        <v>2796</v>
      </c>
      <c r="O11" s="544" t="str">
        <f>IFERROR(VLOOKUP(P11,constant_ag_extr!$D$7:$E$594,2,FALSE),"")</f>
        <v>Wheat</v>
      </c>
      <c r="P11" s="545">
        <f t="shared" si="5"/>
        <v>15</v>
      </c>
      <c r="Q11" s="710">
        <f t="shared" si="6"/>
        <v>0.58567804633279663</v>
      </c>
    </row>
    <row r="12" spans="1:17" ht="12.5">
      <c r="A12" s="84" t="s">
        <v>4897</v>
      </c>
      <c r="B12" s="399">
        <v>20</v>
      </c>
      <c r="C12" s="24" t="s">
        <v>4898</v>
      </c>
      <c r="D12" s="499">
        <v>12686</v>
      </c>
      <c r="E12" s="499">
        <v>18443</v>
      </c>
      <c r="F12" s="2">
        <f t="shared" si="0"/>
        <v>2.7455601470364148</v>
      </c>
      <c r="G12" s="2">
        <f t="shared" si="1"/>
        <v>1</v>
      </c>
      <c r="H12" s="2">
        <f t="shared" si="2"/>
        <v>2.4993969139811365</v>
      </c>
      <c r="I12" s="25">
        <f t="shared" si="3"/>
        <v>11548.590288575515</v>
      </c>
      <c r="J12" s="343">
        <f t="shared" si="4"/>
        <v>16789.425405344329</v>
      </c>
      <c r="L12" s="713">
        <v>570992</v>
      </c>
      <c r="M12" s="499">
        <v>557077</v>
      </c>
      <c r="N12" s="543" t="s">
        <v>2796</v>
      </c>
      <c r="O12" s="544" t="str">
        <f>IFERROR(VLOOKUP(P12,constant_ag_extr!$D$7:$E$594,2,FALSE),"")</f>
        <v>Wheat</v>
      </c>
      <c r="P12" s="545">
        <f t="shared" si="5"/>
        <v>15</v>
      </c>
      <c r="Q12" s="710">
        <f t="shared" si="6"/>
        <v>1.0411935967332711</v>
      </c>
    </row>
    <row r="13" spans="1:17" ht="12.5">
      <c r="A13" s="84" t="s">
        <v>4901</v>
      </c>
      <c r="B13" s="399">
        <v>21</v>
      </c>
      <c r="C13" s="24" t="s">
        <v>1368</v>
      </c>
      <c r="D13" s="499"/>
      <c r="E13" s="499"/>
      <c r="F13" s="2">
        <f t="shared" si="0"/>
        <v>2.5050885328799937</v>
      </c>
      <c r="G13" s="2">
        <f t="shared" si="1"/>
        <v>1</v>
      </c>
      <c r="H13" s="2">
        <f t="shared" si="2"/>
        <v>2.4993969139811365</v>
      </c>
      <c r="I13" s="25">
        <f t="shared" si="3"/>
        <v>0</v>
      </c>
      <c r="J13" s="343">
        <f t="shared" si="4"/>
        <v>0</v>
      </c>
      <c r="L13" s="713">
        <v>79685</v>
      </c>
      <c r="M13" s="499">
        <v>20210</v>
      </c>
      <c r="N13" s="543" t="s">
        <v>2796</v>
      </c>
      <c r="O13" s="544" t="str">
        <f>IFERROR(VLOOKUP(P13,constant_ag_extr!$D$7:$E$594,2,FALSE),"")</f>
        <v>Wheat</v>
      </c>
      <c r="P13" s="545">
        <f t="shared" si="5"/>
        <v>15</v>
      </c>
      <c r="Q13" s="710">
        <f t="shared" si="6"/>
        <v>0.95</v>
      </c>
    </row>
    <row r="14" spans="1:17" ht="12.5">
      <c r="A14" s="84" t="s">
        <v>5227</v>
      </c>
      <c r="B14" s="399">
        <v>22</v>
      </c>
      <c r="C14" s="24" t="s">
        <v>5228</v>
      </c>
      <c r="D14" s="499">
        <v>273583</v>
      </c>
      <c r="E14" s="499">
        <v>621318</v>
      </c>
      <c r="F14" s="2">
        <f t="shared" si="0"/>
        <v>2.7455601470364148</v>
      </c>
      <c r="G14" s="2">
        <f t="shared" si="1"/>
        <v>1</v>
      </c>
      <c r="H14" s="2">
        <f t="shared" si="2"/>
        <v>2.4993969139811365</v>
      </c>
      <c r="I14" s="25">
        <f t="shared" si="3"/>
        <v>249053.91588517695</v>
      </c>
      <c r="J14" s="343">
        <f t="shared" si="4"/>
        <v>565611.46310240903</v>
      </c>
      <c r="L14" s="713">
        <v>10153700</v>
      </c>
      <c r="M14" s="499">
        <v>10481600</v>
      </c>
      <c r="N14" s="543" t="s">
        <v>2796</v>
      </c>
      <c r="O14" s="544" t="str">
        <f>IFERROR(VLOOKUP(P14,constant_ag_extr!$D$7:$E$594,2,FALSE),"")</f>
        <v>Wheat</v>
      </c>
      <c r="P14" s="545">
        <f t="shared" si="5"/>
        <v>15</v>
      </c>
      <c r="Q14" s="710">
        <f t="shared" si="6"/>
        <v>1.0411935967332711</v>
      </c>
    </row>
    <row r="15" spans="1:17" ht="12.5">
      <c r="A15" s="84" t="s">
        <v>6957</v>
      </c>
      <c r="B15" s="399">
        <v>26</v>
      </c>
      <c r="C15" s="24"/>
      <c r="D15" s="499"/>
      <c r="E15" s="499"/>
      <c r="F15" s="2">
        <f t="shared" si="0"/>
        <v>0</v>
      </c>
      <c r="G15" s="2">
        <f t="shared" si="1"/>
        <v>1</v>
      </c>
      <c r="H15" s="2">
        <f t="shared" si="2"/>
        <v>2.4993969139811365</v>
      </c>
      <c r="I15" s="25">
        <f t="shared" si="3"/>
        <v>0</v>
      </c>
      <c r="J15" s="343">
        <f t="shared" si="4"/>
        <v>0</v>
      </c>
      <c r="L15" s="713"/>
      <c r="M15" s="499"/>
      <c r="N15" s="543"/>
      <c r="O15" s="544">
        <f>IFERROR(VLOOKUP(P15,constant_ag_extr!$D$7:$E$594,2,FALSE),"")</f>
        <v>0</v>
      </c>
      <c r="P15" s="545" t="str">
        <f t="shared" si="5"/>
        <v/>
      </c>
      <c r="Q15" s="710" t="str">
        <f t="shared" si="6"/>
        <v/>
      </c>
    </row>
    <row r="16" spans="1:17" ht="12.5">
      <c r="A16" s="84" t="s">
        <v>5392</v>
      </c>
      <c r="B16" s="399">
        <v>27</v>
      </c>
      <c r="C16" s="24" t="s">
        <v>1971</v>
      </c>
      <c r="D16" s="499">
        <v>1321</v>
      </c>
      <c r="E16" s="499">
        <v>147</v>
      </c>
      <c r="F16" s="2">
        <f t="shared" si="0"/>
        <v>4.2066551164310333</v>
      </c>
      <c r="G16" s="2">
        <f t="shared" si="1"/>
        <v>1</v>
      </c>
      <c r="H16" s="2">
        <f t="shared" si="2"/>
        <v>2.4993969139811365</v>
      </c>
      <c r="I16" s="25">
        <f t="shared" si="3"/>
        <v>784.87616217282823</v>
      </c>
      <c r="J16" s="343">
        <f t="shared" si="4"/>
        <v>87.340496471919565</v>
      </c>
      <c r="L16" s="713">
        <v>3135140</v>
      </c>
      <c r="M16" s="499">
        <v>2850240</v>
      </c>
      <c r="N16" s="543" t="s">
        <v>413</v>
      </c>
      <c r="O16" s="544" t="str">
        <f>IFERROR(VLOOKUP(P16,constant_ag_extr!$D$7:$E$594,2,FALSE),"")</f>
        <v>Rice, paddy</v>
      </c>
      <c r="P16" s="545">
        <f t="shared" si="5"/>
        <v>27</v>
      </c>
      <c r="Q16" s="710">
        <f t="shared" si="6"/>
        <v>1</v>
      </c>
    </row>
    <row r="17" spans="1:17" ht="12.5">
      <c r="A17" s="84" t="s">
        <v>2640</v>
      </c>
      <c r="B17" s="399">
        <v>28</v>
      </c>
      <c r="C17" s="24" t="s">
        <v>2641</v>
      </c>
      <c r="D17" s="499">
        <v>50917</v>
      </c>
      <c r="E17" s="499">
        <v>3134</v>
      </c>
      <c r="F17" s="2">
        <f t="shared" si="0"/>
        <v>3.2391244396518957</v>
      </c>
      <c r="G17" s="2">
        <f t="shared" si="1"/>
        <v>1</v>
      </c>
      <c r="H17" s="2">
        <f t="shared" si="2"/>
        <v>2.4993969139811365</v>
      </c>
      <c r="I17" s="25">
        <f t="shared" si="3"/>
        <v>39288.948306924009</v>
      </c>
      <c r="J17" s="343">
        <f t="shared" si="4"/>
        <v>2418.2800242335534</v>
      </c>
      <c r="L17" s="713">
        <v>2625970</v>
      </c>
      <c r="M17" s="499">
        <v>2994800</v>
      </c>
      <c r="N17" s="543" t="s">
        <v>2796</v>
      </c>
      <c r="O17" s="544" t="str">
        <f>IFERROR(VLOOKUP(P17,constant_ag_extr!$D$7:$E$594,2,FALSE),"")</f>
        <v>Rice, paddy</v>
      </c>
      <c r="P17" s="545">
        <f t="shared" si="5"/>
        <v>27</v>
      </c>
      <c r="Q17" s="710">
        <f t="shared" si="6"/>
        <v>0.77</v>
      </c>
    </row>
    <row r="18" spans="1:17" ht="12.5">
      <c r="A18" s="84" t="s">
        <v>7095</v>
      </c>
      <c r="B18" s="399">
        <v>29</v>
      </c>
      <c r="C18" s="24" t="s">
        <v>3269</v>
      </c>
      <c r="D18" s="499"/>
      <c r="E18" s="499"/>
      <c r="F18" s="2">
        <f t="shared" si="0"/>
        <v>2.9152119956867062</v>
      </c>
      <c r="G18" s="2">
        <f t="shared" si="1"/>
        <v>1</v>
      </c>
      <c r="H18" s="2">
        <f t="shared" si="2"/>
        <v>2.4993969139811365</v>
      </c>
      <c r="I18" s="25">
        <f>IFERROR(IF(VLOOKUP(29,$B$7:$E$426,3,FALSE)+VLOOKUP(35,$B$7:$E$426,3,FALSE)&gt;VLOOKUP(30,$B$7:$E$426,3,FALSE),D18/$F18*$H18*$G18,0),0)</f>
        <v>0</v>
      </c>
      <c r="J18" s="343">
        <f>IFERROR(IF(VLOOKUP(29,$B$7:$E$426,4,FALSE)+VLOOKUP(35,$B$7:$E$426,4,FALSE)&gt;VLOOKUP(30,$B$7:$E$426,4,FALSE),E18/$F18*$H18*$G18,0),0)</f>
        <v>0</v>
      </c>
      <c r="L18" s="713">
        <v>15663</v>
      </c>
      <c r="M18" s="499">
        <v>108828</v>
      </c>
      <c r="N18" s="543" t="s">
        <v>2796</v>
      </c>
      <c r="O18" s="544" t="str">
        <f>IFERROR(VLOOKUP(P18,constant_ag_extr!$D$7:$E$594,2,FALSE),"")</f>
        <v>Rice, paddy</v>
      </c>
      <c r="P18" s="545">
        <f t="shared" si="5"/>
        <v>27</v>
      </c>
      <c r="Q18" s="710">
        <f t="shared" si="6"/>
        <v>0.69300000000000006</v>
      </c>
    </row>
    <row r="19" spans="1:17" ht="12.5">
      <c r="A19" s="84" t="s">
        <v>6958</v>
      </c>
      <c r="B19" s="399">
        <v>30</v>
      </c>
      <c r="C19" s="24"/>
      <c r="D19" s="499">
        <v>402861</v>
      </c>
      <c r="E19" s="499">
        <v>13211</v>
      </c>
      <c r="F19" s="2">
        <f t="shared" si="0"/>
        <v>2.9589150591289126</v>
      </c>
      <c r="G19" s="2">
        <f t="shared" si="1"/>
        <v>1</v>
      </c>
      <c r="H19" s="2">
        <f t="shared" si="2"/>
        <v>2.4993969139811365</v>
      </c>
      <c r="I19" s="25">
        <f>IFERROR(IF(VLOOKUP(29,$B$7:$E$426,3,FALSE)+VLOOKUP(35,$B$7:$E$426,3,FALSE)&lt;=VLOOKUP(30,$B$7:$E$426,3,FALSE),D19/$F19*$H19*$G19,0),0)</f>
        <v>340296.87234745524</v>
      </c>
      <c r="J19" s="343">
        <f>IFERROR(IF(VLOOKUP(29,$B$7:$E$426,4,FALSE)+VLOOKUP(35,$B$7:$E$426,4,FALSE)&lt;=VLOOKUP(30,$B$7:$E$426,4,FALSE),E19/$F19*$H19*$G19,0),0)</f>
        <v>11159.337787927429</v>
      </c>
      <c r="L19" s="713">
        <v>46241300</v>
      </c>
      <c r="M19" s="499">
        <v>45672000</v>
      </c>
      <c r="N19" s="543" t="s">
        <v>2796</v>
      </c>
      <c r="O19" s="544" t="str">
        <f>IFERROR(VLOOKUP(P19,constant_ag_extr!$D$7:$E$594,2,FALSE),"")</f>
        <v>Rice, paddy</v>
      </c>
      <c r="P19" s="545">
        <f t="shared" si="5"/>
        <v>27</v>
      </c>
      <c r="Q19" s="710">
        <f t="shared" si="6"/>
        <v>0.70338902934340974</v>
      </c>
    </row>
    <row r="20" spans="1:17" ht="12.5">
      <c r="A20" s="84" t="s">
        <v>658</v>
      </c>
      <c r="B20" s="399">
        <v>31</v>
      </c>
      <c r="C20" s="24" t="s">
        <v>3269</v>
      </c>
      <c r="D20" s="499">
        <v>311873</v>
      </c>
      <c r="E20" s="499">
        <v>10081</v>
      </c>
      <c r="F20" s="2">
        <f t="shared" si="0"/>
        <v>2.8184589280087926</v>
      </c>
      <c r="G20" s="2">
        <f t="shared" si="1"/>
        <v>1</v>
      </c>
      <c r="H20" s="2">
        <f t="shared" si="2"/>
        <v>2.4993969139811365</v>
      </c>
      <c r="I20" s="25">
        <f>IFERROR((D20/F20)*H20*G20,0)</f>
        <v>276567.59728080995</v>
      </c>
      <c r="J20" s="343">
        <f>IFERROR((E20/F20)*H20*G20,0)</f>
        <v>8939.7862212754699</v>
      </c>
      <c r="L20" s="713">
        <v>33963800</v>
      </c>
      <c r="M20" s="499">
        <v>36473600</v>
      </c>
      <c r="N20" s="543" t="s">
        <v>2796</v>
      </c>
      <c r="O20" s="544" t="str">
        <f>IFERROR(VLOOKUP(P20,constant_ag_extr!$D$7:$E$594,2,FALSE),"")</f>
        <v>Rice, paddy</v>
      </c>
      <c r="P20" s="545">
        <f t="shared" si="5"/>
        <v>27</v>
      </c>
      <c r="Q20" s="710">
        <f t="shared" si="6"/>
        <v>0.67</v>
      </c>
    </row>
    <row r="21" spans="1:17" ht="12.5">
      <c r="A21" s="84" t="s">
        <v>3600</v>
      </c>
      <c r="B21" s="399">
        <v>32</v>
      </c>
      <c r="C21" s="24" t="s">
        <v>3601</v>
      </c>
      <c r="D21" s="499">
        <v>44304</v>
      </c>
      <c r="E21" s="499">
        <v>214</v>
      </c>
      <c r="F21" s="2">
        <f t="shared" si="0"/>
        <v>2.8184589280087926</v>
      </c>
      <c r="G21" s="2">
        <f t="shared" si="1"/>
        <v>1</v>
      </c>
      <c r="H21" s="2">
        <f t="shared" si="2"/>
        <v>2.4993969139811365</v>
      </c>
      <c r="I21" s="25">
        <f>IFERROR((D21/F21)*H21*G21,0)</f>
        <v>39288.59128532769</v>
      </c>
      <c r="J21" s="343">
        <f>IFERROR((E21/F21)*H21*G21,0)</f>
        <v>189.77425368048316</v>
      </c>
      <c r="L21" s="713">
        <v>7860690</v>
      </c>
      <c r="M21" s="499">
        <v>4541570</v>
      </c>
      <c r="N21" s="543" t="s">
        <v>2796</v>
      </c>
      <c r="O21" s="544" t="str">
        <f>IFERROR(VLOOKUP(P21,constant_ag_extr!$D$7:$E$594,2,FALSE),"")</f>
        <v>Rice, paddy</v>
      </c>
      <c r="P21" s="545">
        <f t="shared" si="5"/>
        <v>27</v>
      </c>
      <c r="Q21" s="710">
        <f t="shared" si="6"/>
        <v>0.67</v>
      </c>
    </row>
    <row r="22" spans="1:17" ht="12.5">
      <c r="A22" s="84" t="s">
        <v>6959</v>
      </c>
      <c r="B22" s="399">
        <v>35</v>
      </c>
      <c r="C22" s="24" t="s">
        <v>3945</v>
      </c>
      <c r="D22" s="499"/>
      <c r="E22" s="499"/>
      <c r="F22" s="2">
        <f t="shared" si="0"/>
        <v>7.089550351874359</v>
      </c>
      <c r="G22" s="2">
        <f t="shared" si="1"/>
        <v>1</v>
      </c>
      <c r="H22" s="2">
        <f t="shared" si="2"/>
        <v>2.4993969139811365</v>
      </c>
      <c r="I22" s="25">
        <f>IFERROR(IF(VLOOKUP(29,$B$7:$E$426,3,FALSE)+VLOOKUP(35,$B$7:$E$426,3,FALSE)&gt;VLOOKUP(30,$B$7:$E$426,3,FALSE),D22/$F22*$H22*$G22,0),0)</f>
        <v>0</v>
      </c>
      <c r="J22" s="343">
        <f>IFERROR(IF(VLOOKUP(29,$B$7:$E$426,4,FALSE)+VLOOKUP(35,$B$7:$E$426,4,FALSE)&gt;VLOOKUP(30,$B$7:$E$426,4,FALSE),E22/$F22*$H22*$G22,0),0)</f>
        <v>0</v>
      </c>
      <c r="L22" s="713"/>
      <c r="M22" s="499"/>
      <c r="N22" s="543" t="s">
        <v>2796</v>
      </c>
      <c r="O22" s="544" t="str">
        <f>IFERROR(VLOOKUP(P22,constant_ag_extr!$D$7:$E$594,2,FALSE),"")</f>
        <v>Rice, paddy</v>
      </c>
      <c r="P22" s="545">
        <f t="shared" si="5"/>
        <v>27</v>
      </c>
      <c r="Q22" s="710">
        <f t="shared" si="6"/>
        <v>1.6853177062656854</v>
      </c>
    </row>
    <row r="23" spans="1:17" ht="12.5">
      <c r="A23" s="84" t="s">
        <v>7086</v>
      </c>
      <c r="B23" s="399">
        <v>36</v>
      </c>
      <c r="C23" s="24" t="s">
        <v>5391</v>
      </c>
      <c r="D23" s="499"/>
      <c r="E23" s="499"/>
      <c r="F23" s="2">
        <f t="shared" si="0"/>
        <v>11.844417473615485</v>
      </c>
      <c r="G23" s="2">
        <f t="shared" si="1"/>
        <v>1</v>
      </c>
      <c r="H23" s="2">
        <f t="shared" si="2"/>
        <v>2.4993969139811365</v>
      </c>
      <c r="I23" s="25">
        <f t="shared" ref="I23:I86" si="7">IFERROR((D23/F23)*H23*G23,0)</f>
        <v>0</v>
      </c>
      <c r="J23" s="343">
        <f t="shared" ref="J23:J86" si="8">IFERROR((E23/F23)*H23*G23,0)</f>
        <v>0</v>
      </c>
      <c r="L23" s="713">
        <v>47407</v>
      </c>
      <c r="M23" s="499">
        <v>41226</v>
      </c>
      <c r="N23" s="543" t="s">
        <v>2796</v>
      </c>
      <c r="O23" s="544" t="str">
        <f>IFERROR(VLOOKUP(P23,constant_ag_extr!$D$7:$E$594,2,FALSE),"")</f>
        <v>Rice, paddy</v>
      </c>
      <c r="P23" s="545">
        <f t="shared" si="5"/>
        <v>27</v>
      </c>
      <c r="Q23" s="710">
        <f t="shared" si="6"/>
        <v>2.8156378751734707</v>
      </c>
    </row>
    <row r="24" spans="1:17" ht="12.5">
      <c r="A24" s="84" t="s">
        <v>6960</v>
      </c>
      <c r="B24" s="399">
        <v>37</v>
      </c>
      <c r="C24" s="24" t="s">
        <v>1458</v>
      </c>
      <c r="D24" s="499"/>
      <c r="E24" s="499"/>
      <c r="F24" s="2">
        <f t="shared" si="0"/>
        <v>6.1903810793472402</v>
      </c>
      <c r="G24" s="2">
        <f t="shared" si="1"/>
        <v>1</v>
      </c>
      <c r="H24" s="2">
        <f t="shared" si="2"/>
        <v>2.4993969139811365</v>
      </c>
      <c r="I24" s="25">
        <f t="shared" si="7"/>
        <v>0</v>
      </c>
      <c r="J24" s="343">
        <f t="shared" si="8"/>
        <v>0</v>
      </c>
      <c r="L24" s="713">
        <v>835</v>
      </c>
      <c r="M24" s="499">
        <v>31</v>
      </c>
      <c r="N24" s="543" t="s">
        <v>2796</v>
      </c>
      <c r="O24" s="544" t="str">
        <f>IFERROR(VLOOKUP(P24,constant_ag_extr!$D$7:$E$594,2,FALSE),"")</f>
        <v>Rice, paddy</v>
      </c>
      <c r="P24" s="545">
        <f t="shared" si="5"/>
        <v>27</v>
      </c>
      <c r="Q24" s="710">
        <f t="shared" si="6"/>
        <v>1.4715684808977683</v>
      </c>
    </row>
    <row r="25" spans="1:17" ht="12.5">
      <c r="A25" s="84" t="s">
        <v>2638</v>
      </c>
      <c r="B25" s="399">
        <v>38</v>
      </c>
      <c r="C25" s="24" t="s">
        <v>2639</v>
      </c>
      <c r="D25" s="499">
        <v>16360</v>
      </c>
      <c r="E25" s="499">
        <v>0</v>
      </c>
      <c r="F25" s="2">
        <f t="shared" si="0"/>
        <v>2.6775359816083526</v>
      </c>
      <c r="G25" s="2">
        <f t="shared" si="1"/>
        <v>1</v>
      </c>
      <c r="H25" s="2">
        <f t="shared" si="2"/>
        <v>2.4993969139811365</v>
      </c>
      <c r="I25" s="25">
        <f t="shared" si="7"/>
        <v>15271.553321262691</v>
      </c>
      <c r="J25" s="343">
        <f t="shared" si="8"/>
        <v>0</v>
      </c>
      <c r="L25" s="713">
        <v>164996</v>
      </c>
      <c r="M25" s="499">
        <v>128638</v>
      </c>
      <c r="N25" s="543" t="s">
        <v>2796</v>
      </c>
      <c r="O25" s="544" t="str">
        <f>IFERROR(VLOOKUP(P25,constant_ag_extr!$D$7:$E$594,2,FALSE),"")</f>
        <v>Rice, paddy</v>
      </c>
      <c r="P25" s="545">
        <f t="shared" si="5"/>
        <v>27</v>
      </c>
      <c r="Q25" s="710">
        <f t="shared" si="6"/>
        <v>0.63649999999999995</v>
      </c>
    </row>
    <row r="26" spans="1:17" ht="12.5">
      <c r="A26" s="84" t="s">
        <v>2636</v>
      </c>
      <c r="B26" s="399">
        <v>39</v>
      </c>
      <c r="C26" s="24" t="s">
        <v>2637</v>
      </c>
      <c r="D26" s="499">
        <v>494</v>
      </c>
      <c r="E26" s="499"/>
      <c r="F26" s="2">
        <f t="shared" si="0"/>
        <v>2.8184589280087926</v>
      </c>
      <c r="G26" s="2">
        <f t="shared" si="1"/>
        <v>1</v>
      </c>
      <c r="H26" s="2">
        <f t="shared" si="2"/>
        <v>2.4993969139811365</v>
      </c>
      <c r="I26" s="25">
        <f t="shared" si="7"/>
        <v>438.07701550541441</v>
      </c>
      <c r="J26" s="343">
        <f t="shared" si="8"/>
        <v>0</v>
      </c>
      <c r="L26" s="713">
        <v>21437</v>
      </c>
      <c r="M26" s="499">
        <v>31479</v>
      </c>
      <c r="N26" s="543" t="s">
        <v>2796</v>
      </c>
      <c r="O26" s="544" t="str">
        <f>IFERROR(VLOOKUP(P26,constant_ag_extr!$D$7:$E$594,2,FALSE),"")</f>
        <v>Rice, paddy</v>
      </c>
      <c r="P26" s="545">
        <f t="shared" si="5"/>
        <v>27</v>
      </c>
      <c r="Q26" s="710">
        <f t="shared" si="6"/>
        <v>0.67</v>
      </c>
    </row>
    <row r="27" spans="1:17" ht="12.5">
      <c r="A27" s="84" t="s">
        <v>7017</v>
      </c>
      <c r="B27" s="399">
        <v>41</v>
      </c>
      <c r="C27" s="24" t="s">
        <v>4900</v>
      </c>
      <c r="D27" s="499">
        <v>262717</v>
      </c>
      <c r="E27" s="499">
        <v>127180</v>
      </c>
      <c r="F27" s="2">
        <f t="shared" si="0"/>
        <v>2.2413950031031522</v>
      </c>
      <c r="G27" s="2">
        <f t="shared" si="1"/>
        <v>1</v>
      </c>
      <c r="H27" s="2">
        <f t="shared" si="2"/>
        <v>2.4993969139811365</v>
      </c>
      <c r="I27" s="25">
        <f t="shared" si="7"/>
        <v>292957.75985102565</v>
      </c>
      <c r="J27" s="343">
        <f t="shared" si="8"/>
        <v>141819.40223835324</v>
      </c>
      <c r="L27" s="713">
        <v>2795100</v>
      </c>
      <c r="M27" s="499">
        <v>2806960</v>
      </c>
      <c r="N27" s="543" t="s">
        <v>2796</v>
      </c>
      <c r="O27" s="544" t="str">
        <f>IFERROR(VLOOKUP(P27,constant_ag_extr!$D$7:$E$594,2,FALSE),"")</f>
        <v>Wheat</v>
      </c>
      <c r="P27" s="545">
        <f t="shared" si="5"/>
        <v>15</v>
      </c>
      <c r="Q27" s="710">
        <f t="shared" si="6"/>
        <v>0.85</v>
      </c>
    </row>
    <row r="28" spans="1:17" ht="12.5">
      <c r="A28" s="84" t="s">
        <v>615</v>
      </c>
      <c r="B28" s="399">
        <v>44</v>
      </c>
      <c r="C28" s="24" t="s">
        <v>955</v>
      </c>
      <c r="D28" s="499">
        <v>43657</v>
      </c>
      <c r="E28" s="499">
        <v>2238690</v>
      </c>
      <c r="F28" s="2">
        <f t="shared" si="0"/>
        <v>2.6369352977684146</v>
      </c>
      <c r="G28" s="2">
        <f t="shared" si="1"/>
        <v>1</v>
      </c>
      <c r="H28" s="2">
        <f t="shared" si="2"/>
        <v>2.4993969139811365</v>
      </c>
      <c r="I28" s="25">
        <f t="shared" si="7"/>
        <v>41379.919775057548</v>
      </c>
      <c r="J28" s="343">
        <f t="shared" si="8"/>
        <v>2121923.4624739117</v>
      </c>
      <c r="L28" s="713">
        <v>34525700</v>
      </c>
      <c r="M28" s="499">
        <v>36543700</v>
      </c>
      <c r="N28" s="543" t="s">
        <v>413</v>
      </c>
      <c r="O28" s="544" t="str">
        <f>IFERROR(VLOOKUP(P28,constant_ag_extr!$D$7:$E$594,2,FALSE),"")</f>
        <v>Barley</v>
      </c>
      <c r="P28" s="545">
        <f t="shared" si="5"/>
        <v>44</v>
      </c>
      <c r="Q28" s="710">
        <f t="shared" si="6"/>
        <v>1</v>
      </c>
    </row>
    <row r="29" spans="1:17" ht="12.5">
      <c r="A29" s="84" t="s">
        <v>5015</v>
      </c>
      <c r="B29" s="399">
        <v>45</v>
      </c>
      <c r="C29" s="24" t="e">
        <v>#N/A</v>
      </c>
      <c r="D29" s="499"/>
      <c r="E29" s="499"/>
      <c r="F29" s="2">
        <f t="shared" si="0"/>
        <v>3.2090793660506907</v>
      </c>
      <c r="G29" s="2">
        <f t="shared" si="1"/>
        <v>1</v>
      </c>
      <c r="H29" s="2">
        <f t="shared" si="2"/>
        <v>2.4993969139811365</v>
      </c>
      <c r="I29" s="25">
        <f t="shared" si="7"/>
        <v>0</v>
      </c>
      <c r="J29" s="343">
        <f t="shared" si="8"/>
        <v>0</v>
      </c>
      <c r="L29" s="713"/>
      <c r="M29" s="499"/>
      <c r="N29" s="543" t="s">
        <v>2796</v>
      </c>
      <c r="O29" s="544" t="str">
        <f>IFERROR(VLOOKUP(P29,constant_ag_extr!$D$7:$E$594,2,FALSE),"")</f>
        <v>Barley</v>
      </c>
      <c r="P29" s="545">
        <f t="shared" si="5"/>
        <v>44</v>
      </c>
      <c r="Q29" s="710">
        <f t="shared" si="6"/>
        <v>1.2169731160133015</v>
      </c>
    </row>
    <row r="30" spans="1:17" ht="12.5">
      <c r="A30" s="84" t="s">
        <v>3254</v>
      </c>
      <c r="B30" s="399">
        <v>46</v>
      </c>
      <c r="C30" s="24" t="s">
        <v>1909</v>
      </c>
      <c r="D30" s="499">
        <v>1173</v>
      </c>
      <c r="E30" s="499">
        <v>0</v>
      </c>
      <c r="F30" s="2">
        <f t="shared" si="0"/>
        <v>2.8342601543468215</v>
      </c>
      <c r="G30" s="2">
        <f t="shared" si="1"/>
        <v>1</v>
      </c>
      <c r="H30" s="2">
        <f t="shared" si="2"/>
        <v>2.4993969139811365</v>
      </c>
      <c r="I30" s="25">
        <f t="shared" si="7"/>
        <v>1034.4119524820151</v>
      </c>
      <c r="J30" s="343">
        <f t="shared" si="8"/>
        <v>0</v>
      </c>
      <c r="L30" s="713">
        <v>35436</v>
      </c>
      <c r="M30" s="499">
        <v>44136</v>
      </c>
      <c r="N30" s="543" t="s">
        <v>2796</v>
      </c>
      <c r="O30" s="544" t="str">
        <f>IFERROR(VLOOKUP(P30,constant_ag_extr!$D$7:$E$594,2,FALSE),"")</f>
        <v>Barley</v>
      </c>
      <c r="P30" s="545">
        <f t="shared" si="5"/>
        <v>44</v>
      </c>
      <c r="Q30" s="710">
        <f t="shared" si="6"/>
        <v>1.0748311332270455</v>
      </c>
    </row>
    <row r="31" spans="1:17" ht="12.5">
      <c r="A31" s="84" t="s">
        <v>958</v>
      </c>
      <c r="B31" s="399">
        <v>47</v>
      </c>
      <c r="C31" s="24" t="s">
        <v>959</v>
      </c>
      <c r="D31" s="499"/>
      <c r="E31" s="499"/>
      <c r="F31" s="2">
        <f t="shared" si="0"/>
        <v>1.2268773901510437</v>
      </c>
      <c r="G31" s="2">
        <f t="shared" si="1"/>
        <v>1</v>
      </c>
      <c r="H31" s="2">
        <f t="shared" si="2"/>
        <v>2.4993969139811365</v>
      </c>
      <c r="I31" s="25">
        <f t="shared" si="7"/>
        <v>0</v>
      </c>
      <c r="J31" s="343">
        <f t="shared" si="8"/>
        <v>0</v>
      </c>
      <c r="L31" s="713"/>
      <c r="M31" s="499"/>
      <c r="N31" s="543" t="s">
        <v>2796</v>
      </c>
      <c r="O31" s="544" t="str">
        <f>IFERROR(VLOOKUP(P31,constant_ag_extr!$D$7:$E$594,2,FALSE),"")</f>
        <v>Barley</v>
      </c>
      <c r="P31" s="545">
        <f t="shared" si="5"/>
        <v>44</v>
      </c>
      <c r="Q31" s="710">
        <f t="shared" si="6"/>
        <v>0.46526639890987292</v>
      </c>
    </row>
    <row r="32" spans="1:17" ht="12.5">
      <c r="A32" s="84" t="s">
        <v>1410</v>
      </c>
      <c r="B32" s="399">
        <v>48</v>
      </c>
      <c r="C32" s="24" t="s">
        <v>1411</v>
      </c>
      <c r="D32" s="499"/>
      <c r="E32" s="499"/>
      <c r="F32" s="2">
        <f t="shared" si="0"/>
        <v>3.8277778169843306</v>
      </c>
      <c r="G32" s="2">
        <f t="shared" si="1"/>
        <v>1</v>
      </c>
      <c r="H32" s="2">
        <f t="shared" si="2"/>
        <v>2.4993969139811365</v>
      </c>
      <c r="I32" s="25">
        <f t="shared" si="7"/>
        <v>0</v>
      </c>
      <c r="J32" s="343">
        <f t="shared" si="8"/>
        <v>0</v>
      </c>
      <c r="L32" s="713"/>
      <c r="M32" s="499"/>
      <c r="N32" s="543" t="s">
        <v>2796</v>
      </c>
      <c r="O32" s="544" t="str">
        <f>IFERROR(VLOOKUP(P32,constant_ag_extr!$D$7:$E$594,2,FALSE),"")</f>
        <v>Barley</v>
      </c>
      <c r="P32" s="545">
        <f t="shared" si="5"/>
        <v>44</v>
      </c>
      <c r="Q32" s="710">
        <f t="shared" si="6"/>
        <v>1.4516009627629856</v>
      </c>
    </row>
    <row r="33" spans="1:17" ht="12.5">
      <c r="A33" s="84" t="s">
        <v>1335</v>
      </c>
      <c r="B33" s="399">
        <v>49</v>
      </c>
      <c r="C33" s="24" t="s">
        <v>1336</v>
      </c>
      <c r="D33" s="499">
        <v>24401</v>
      </c>
      <c r="E33" s="499">
        <v>571615</v>
      </c>
      <c r="F33" s="2">
        <f t="shared" si="0"/>
        <v>1.9249627673709426</v>
      </c>
      <c r="G33" s="2">
        <f t="shared" si="1"/>
        <v>1</v>
      </c>
      <c r="H33" s="2">
        <f t="shared" si="2"/>
        <v>2.4993969139811365</v>
      </c>
      <c r="I33" s="25">
        <f t="shared" si="7"/>
        <v>31682.578557791549</v>
      </c>
      <c r="J33" s="343">
        <f t="shared" si="8"/>
        <v>742192.41597934579</v>
      </c>
      <c r="L33" s="713">
        <v>7613880</v>
      </c>
      <c r="M33" s="499">
        <v>7739880</v>
      </c>
      <c r="N33" s="543" t="s">
        <v>2796</v>
      </c>
      <c r="O33" s="544" t="str">
        <f>IFERROR(VLOOKUP(P33,constant_ag_extr!$D$7:$E$594,2,FALSE),"")</f>
        <v>Barley</v>
      </c>
      <c r="P33" s="545">
        <f t="shared" si="5"/>
        <v>44</v>
      </c>
      <c r="Q33" s="710">
        <f t="shared" si="6"/>
        <v>0.73</v>
      </c>
    </row>
    <row r="34" spans="1:17" ht="12.5">
      <c r="A34" s="84" t="s">
        <v>1337</v>
      </c>
      <c r="B34" s="399">
        <v>50</v>
      </c>
      <c r="C34" s="24" t="s">
        <v>2294</v>
      </c>
      <c r="D34" s="499"/>
      <c r="E34" s="499"/>
      <c r="F34" s="2">
        <f t="shared" si="0"/>
        <v>1.5399702138967541</v>
      </c>
      <c r="G34" s="2">
        <f t="shared" si="1"/>
        <v>1</v>
      </c>
      <c r="H34" s="2">
        <f t="shared" si="2"/>
        <v>2.4993969139811365</v>
      </c>
      <c r="I34" s="25">
        <f t="shared" si="7"/>
        <v>0</v>
      </c>
      <c r="J34" s="343">
        <f t="shared" si="8"/>
        <v>0</v>
      </c>
      <c r="L34" s="713"/>
      <c r="M34" s="499"/>
      <c r="N34" s="543" t="s">
        <v>2796</v>
      </c>
      <c r="O34" s="544" t="str">
        <f>IFERROR(VLOOKUP(P34,constant_ag_extr!$D$7:$E$594,2,FALSE),"")</f>
        <v>Barley</v>
      </c>
      <c r="P34" s="545">
        <f t="shared" si="5"/>
        <v>44</v>
      </c>
      <c r="Q34" s="710">
        <f t="shared" si="6"/>
        <v>0.58399999999999996</v>
      </c>
    </row>
    <row r="35" spans="1:17" ht="12.5">
      <c r="A35" s="84" t="s">
        <v>3078</v>
      </c>
      <c r="B35" s="399">
        <v>51</v>
      </c>
      <c r="C35" s="24" t="s">
        <v>3996</v>
      </c>
      <c r="D35" s="499">
        <v>367179</v>
      </c>
      <c r="E35" s="499">
        <v>163564</v>
      </c>
      <c r="F35" s="2">
        <f t="shared" si="0"/>
        <v>12.608506126279673</v>
      </c>
      <c r="G35" s="2">
        <f t="shared" si="1"/>
        <v>1</v>
      </c>
      <c r="H35" s="2">
        <f t="shared" si="2"/>
        <v>2.4993969139811365</v>
      </c>
      <c r="I35" s="25">
        <f t="shared" si="7"/>
        <v>72786.264311350926</v>
      </c>
      <c r="J35" s="343">
        <f t="shared" si="8"/>
        <v>32423.457049073622</v>
      </c>
      <c r="L35" s="713">
        <v>16701200</v>
      </c>
      <c r="M35" s="499">
        <v>17092400</v>
      </c>
      <c r="N35" s="543" t="s">
        <v>2796</v>
      </c>
      <c r="O35" s="544" t="str">
        <f>IFERROR(VLOOKUP(P35,constant_ag_extr!$D$7:$E$594,2,FALSE),"")</f>
        <v>Barley</v>
      </c>
      <c r="P35" s="545">
        <f t="shared" si="5"/>
        <v>44</v>
      </c>
      <c r="Q35" s="710">
        <f t="shared" si="6"/>
        <v>4.7814999999999994</v>
      </c>
    </row>
    <row r="36" spans="1:17" ht="12.5">
      <c r="A36" s="84" t="s">
        <v>2057</v>
      </c>
      <c r="B36" s="399">
        <v>56</v>
      </c>
      <c r="C36" s="24" t="s">
        <v>1001</v>
      </c>
      <c r="D36" s="499">
        <v>2034170</v>
      </c>
      <c r="E36" s="499">
        <v>2150250</v>
      </c>
      <c r="F36" s="2">
        <f t="shared" si="0"/>
        <v>5.2165514596559106</v>
      </c>
      <c r="G36" s="2">
        <f t="shared" si="1"/>
        <v>1</v>
      </c>
      <c r="H36" s="2">
        <f t="shared" si="2"/>
        <v>2.4993969139811365</v>
      </c>
      <c r="I36" s="25">
        <f t="shared" si="7"/>
        <v>974628.21172828379</v>
      </c>
      <c r="J36" s="343">
        <f t="shared" si="8"/>
        <v>1030245.4132490117</v>
      </c>
      <c r="L36" s="713">
        <v>166666000</v>
      </c>
      <c r="M36" s="499">
        <v>173647008</v>
      </c>
      <c r="N36" s="543" t="s">
        <v>413</v>
      </c>
      <c r="O36" s="544" t="str">
        <f>IFERROR(VLOOKUP(P36,constant_ag_extr!$D$7:$E$594,2,FALSE),"")</f>
        <v>Maize</v>
      </c>
      <c r="P36" s="545">
        <f t="shared" si="5"/>
        <v>56</v>
      </c>
      <c r="Q36" s="710">
        <f t="shared" si="6"/>
        <v>1</v>
      </c>
    </row>
    <row r="37" spans="1:17" ht="12.5">
      <c r="A37" s="84" t="s">
        <v>7049</v>
      </c>
      <c r="B37" s="399">
        <v>57</v>
      </c>
      <c r="C37" s="24" t="s">
        <v>91</v>
      </c>
      <c r="D37" s="499">
        <v>13290</v>
      </c>
      <c r="E37" s="499">
        <v>30508</v>
      </c>
      <c r="F37" s="2">
        <f t="shared" si="0"/>
        <v>4.2209071117030179</v>
      </c>
      <c r="G37" s="2">
        <f t="shared" si="1"/>
        <v>1</v>
      </c>
      <c r="H37" s="2">
        <f t="shared" si="2"/>
        <v>2.4993969139811365</v>
      </c>
      <c r="I37" s="25">
        <f t="shared" si="7"/>
        <v>7869.6318368890097</v>
      </c>
      <c r="J37" s="343">
        <f t="shared" si="8"/>
        <v>18065.216559805111</v>
      </c>
      <c r="L37" s="713">
        <v>367936</v>
      </c>
      <c r="M37" s="499">
        <v>326097</v>
      </c>
      <c r="N37" s="543" t="s">
        <v>2796</v>
      </c>
      <c r="O37" s="544" t="str">
        <f>IFERROR(VLOOKUP(P37,constant_ag_extr!$D$7:$E$594,2,FALSE),"")</f>
        <v>Maize</v>
      </c>
      <c r="P37" s="545">
        <f t="shared" si="5"/>
        <v>56</v>
      </c>
      <c r="Q37" s="710">
        <f t="shared" si="6"/>
        <v>0.80913744345223682</v>
      </c>
    </row>
    <row r="38" spans="1:17" ht="12.5">
      <c r="A38" s="84" t="s">
        <v>7035</v>
      </c>
      <c r="B38" s="399">
        <v>58</v>
      </c>
      <c r="C38" s="24" t="s">
        <v>3262</v>
      </c>
      <c r="D38" s="499">
        <v>69935</v>
      </c>
      <c r="E38" s="499">
        <v>47686</v>
      </c>
      <c r="F38" s="2">
        <f t="shared" si="0"/>
        <v>4.9845568547968799</v>
      </c>
      <c r="G38" s="2">
        <f t="shared" si="1"/>
        <v>1</v>
      </c>
      <c r="H38" s="2">
        <f t="shared" si="2"/>
        <v>2.4993969139811365</v>
      </c>
      <c r="I38" s="25">
        <f t="shared" si="7"/>
        <v>35067.374747878901</v>
      </c>
      <c r="J38" s="343">
        <f t="shared" si="8"/>
        <v>23911.10076824699</v>
      </c>
      <c r="L38" s="713">
        <v>2192430</v>
      </c>
      <c r="M38" s="499">
        <v>2243280</v>
      </c>
      <c r="N38" s="543" t="s">
        <v>2796</v>
      </c>
      <c r="O38" s="544" t="str">
        <f>IFERROR(VLOOKUP(P38,constant_ag_extr!$D$7:$E$594,2,FALSE),"")</f>
        <v>Maize</v>
      </c>
      <c r="P38" s="545">
        <f t="shared" si="5"/>
        <v>56</v>
      </c>
      <c r="Q38" s="710">
        <f t="shared" si="6"/>
        <v>0.95552720860644336</v>
      </c>
    </row>
    <row r="39" spans="1:17" ht="12.5">
      <c r="A39" s="84" t="s">
        <v>6961</v>
      </c>
      <c r="B39" s="399">
        <v>59</v>
      </c>
      <c r="C39" s="24" t="s">
        <v>2563</v>
      </c>
      <c r="D39" s="499">
        <v>46430</v>
      </c>
      <c r="E39" s="499">
        <v>11170</v>
      </c>
      <c r="F39" s="2">
        <f t="shared" si="0"/>
        <v>8.4781910276988839</v>
      </c>
      <c r="G39" s="2">
        <f t="shared" si="1"/>
        <v>1</v>
      </c>
      <c r="H39" s="2">
        <f t="shared" si="2"/>
        <v>2.4993969139811365</v>
      </c>
      <c r="I39" s="25">
        <f t="shared" si="7"/>
        <v>13687.707476395608</v>
      </c>
      <c r="J39" s="343">
        <f t="shared" si="8"/>
        <v>3292.9505171513879</v>
      </c>
      <c r="L39" s="713">
        <v>1362070</v>
      </c>
      <c r="M39" s="499">
        <v>1245260</v>
      </c>
      <c r="N39" s="543" t="s">
        <v>2796</v>
      </c>
      <c r="O39" s="544" t="str">
        <f>IFERROR(VLOOKUP(P39,constant_ag_extr!$D$7:$E$594,2,FALSE),"")</f>
        <v>Maize</v>
      </c>
      <c r="P39" s="545">
        <f t="shared" si="5"/>
        <v>56</v>
      </c>
      <c r="Q39" s="710">
        <f t="shared" si="6"/>
        <v>1.6252482302279665</v>
      </c>
    </row>
    <row r="40" spans="1:17" ht="12.5">
      <c r="A40" s="84" t="s">
        <v>7079</v>
      </c>
      <c r="B40" s="399">
        <v>60</v>
      </c>
      <c r="C40" s="24" t="s">
        <v>1131</v>
      </c>
      <c r="D40" s="499">
        <v>12224</v>
      </c>
      <c r="E40" s="499">
        <v>22694</v>
      </c>
      <c r="F40" s="2">
        <f t="shared" si="0"/>
        <v>2.1828559316721519</v>
      </c>
      <c r="G40" s="2">
        <f t="shared" si="1"/>
        <v>1</v>
      </c>
      <c r="H40" s="2">
        <f t="shared" si="2"/>
        <v>2.4993969139811365</v>
      </c>
      <c r="I40" s="25">
        <f t="shared" si="7"/>
        <v>13996.630484496025</v>
      </c>
      <c r="J40" s="343">
        <f t="shared" si="8"/>
        <v>25984.90937623959</v>
      </c>
      <c r="L40" s="713">
        <v>732784</v>
      </c>
      <c r="M40" s="499">
        <v>767840</v>
      </c>
      <c r="N40" s="543" t="s">
        <v>2796</v>
      </c>
      <c r="O40" s="544" t="str">
        <f>IFERROR(VLOOKUP(P40,constant_ag_extr!$D$7:$E$594,2,FALSE),"")</f>
        <v>Maize</v>
      </c>
      <c r="P40" s="545">
        <f t="shared" si="5"/>
        <v>56</v>
      </c>
      <c r="Q40" s="710">
        <f t="shared" si="6"/>
        <v>0.41844807792160371</v>
      </c>
    </row>
    <row r="41" spans="1:17" ht="12.5">
      <c r="A41" s="84" t="s">
        <v>6962</v>
      </c>
      <c r="B41" s="399">
        <v>61</v>
      </c>
      <c r="C41" s="24" t="s">
        <v>1139</v>
      </c>
      <c r="D41" s="499">
        <v>0</v>
      </c>
      <c r="E41" s="499">
        <v>0</v>
      </c>
      <c r="F41" s="2">
        <f t="shared" si="0"/>
        <v>16.902900163156769</v>
      </c>
      <c r="G41" s="2">
        <f t="shared" si="1"/>
        <v>1</v>
      </c>
      <c r="H41" s="2">
        <f t="shared" si="2"/>
        <v>2.4993969139811365</v>
      </c>
      <c r="I41" s="25">
        <f t="shared" si="7"/>
        <v>0</v>
      </c>
      <c r="J41" s="343">
        <f t="shared" si="8"/>
        <v>0</v>
      </c>
      <c r="L41" s="713">
        <v>349</v>
      </c>
      <c r="M41" s="499">
        <v>22227</v>
      </c>
      <c r="N41" s="543" t="s">
        <v>2796</v>
      </c>
      <c r="O41" s="544" t="str">
        <f>IFERROR(VLOOKUP(P41,constant_ag_extr!$D$7:$E$594,2,FALSE),"")</f>
        <v>Maize</v>
      </c>
      <c r="P41" s="545">
        <f t="shared" si="5"/>
        <v>56</v>
      </c>
      <c r="Q41" s="710">
        <f t="shared" si="6"/>
        <v>3.2402441141205003</v>
      </c>
    </row>
    <row r="42" spans="1:17" ht="12.5">
      <c r="A42" s="84" t="s">
        <v>6963</v>
      </c>
      <c r="B42" s="399">
        <v>66</v>
      </c>
      <c r="C42" s="24"/>
      <c r="D42" s="499"/>
      <c r="E42" s="499"/>
      <c r="F42" s="2">
        <f t="shared" si="0"/>
        <v>0</v>
      </c>
      <c r="G42" s="2">
        <f t="shared" si="1"/>
        <v>1</v>
      </c>
      <c r="H42" s="2">
        <f t="shared" si="2"/>
        <v>2.4993969139811365</v>
      </c>
      <c r="I42" s="25">
        <f t="shared" si="7"/>
        <v>0</v>
      </c>
      <c r="J42" s="343">
        <f t="shared" si="8"/>
        <v>0</v>
      </c>
      <c r="L42" s="713"/>
      <c r="M42" s="499"/>
      <c r="N42" s="543"/>
      <c r="O42" s="544">
        <f>IFERROR(VLOOKUP(P42,constant_ag_extr!$D$7:$E$594,2,FALSE),"")</f>
        <v>0</v>
      </c>
      <c r="P42" s="545" t="str">
        <f t="shared" si="5"/>
        <v/>
      </c>
      <c r="Q42" s="710" t="str">
        <f t="shared" si="6"/>
        <v/>
      </c>
    </row>
    <row r="43" spans="1:17" ht="12.5">
      <c r="A43" s="84" t="s">
        <v>5014</v>
      </c>
      <c r="B43" s="399">
        <v>68</v>
      </c>
      <c r="C43" s="24" t="s">
        <v>5379</v>
      </c>
      <c r="D43" s="499"/>
      <c r="E43" s="499"/>
      <c r="F43" s="2">
        <f t="shared" si="0"/>
        <v>1.8257930108795686</v>
      </c>
      <c r="G43" s="2">
        <f t="shared" si="1"/>
        <v>1</v>
      </c>
      <c r="H43" s="2">
        <f t="shared" si="2"/>
        <v>2.4993969139811365</v>
      </c>
      <c r="I43" s="25">
        <f t="shared" si="7"/>
        <v>0</v>
      </c>
      <c r="J43" s="343">
        <f t="shared" si="8"/>
        <v>0</v>
      </c>
      <c r="L43" s="713">
        <v>0</v>
      </c>
      <c r="M43" s="499"/>
      <c r="N43" s="543" t="s">
        <v>2796</v>
      </c>
      <c r="O43" s="544" t="str">
        <f>IFERROR(VLOOKUP(P43,constant_ag_extr!$D$7:$E$594,2,FALSE),"")</f>
        <v>Maize</v>
      </c>
      <c r="P43" s="545">
        <f t="shared" si="5"/>
        <v>56</v>
      </c>
      <c r="Q43" s="710">
        <f t="shared" si="6"/>
        <v>0.35</v>
      </c>
    </row>
    <row r="44" spans="1:17" ht="12.5">
      <c r="A44" s="84" t="s">
        <v>5394</v>
      </c>
      <c r="B44" s="399">
        <v>71</v>
      </c>
      <c r="C44" s="24" t="s">
        <v>1972</v>
      </c>
      <c r="D44" s="499">
        <v>1760</v>
      </c>
      <c r="E44" s="499">
        <v>225630</v>
      </c>
      <c r="F44" s="2">
        <f t="shared" si="0"/>
        <v>2.6369352977684146</v>
      </c>
      <c r="G44" s="2">
        <f t="shared" si="1"/>
        <v>1</v>
      </c>
      <c r="H44" s="2">
        <f t="shared" si="2"/>
        <v>2.4993969139811365</v>
      </c>
      <c r="I44" s="25">
        <f t="shared" si="7"/>
        <v>1668.2011774538169</v>
      </c>
      <c r="J44" s="343">
        <f t="shared" si="8"/>
        <v>213861.4952664231</v>
      </c>
      <c r="L44" s="713">
        <v>1419150</v>
      </c>
      <c r="M44" s="499">
        <v>1548410</v>
      </c>
      <c r="N44" s="543" t="s">
        <v>413</v>
      </c>
      <c r="O44" s="544" t="str">
        <f>IFERROR(VLOOKUP(P44,constant_ag_extr!$D$7:$E$594,2,FALSE),"")</f>
        <v>Rye</v>
      </c>
      <c r="P44" s="545">
        <f t="shared" si="5"/>
        <v>71</v>
      </c>
      <c r="Q44" s="710">
        <f t="shared" si="6"/>
        <v>1</v>
      </c>
    </row>
    <row r="45" spans="1:17" ht="12.5">
      <c r="A45" s="84" t="s">
        <v>5442</v>
      </c>
      <c r="B45" s="399">
        <v>72</v>
      </c>
      <c r="C45" s="24" t="s">
        <v>4003</v>
      </c>
      <c r="D45" s="499"/>
      <c r="E45" s="499"/>
      <c r="F45" s="2">
        <f t="shared" si="0"/>
        <v>2.5437855335900479</v>
      </c>
      <c r="G45" s="2">
        <f t="shared" si="1"/>
        <v>1</v>
      </c>
      <c r="H45" s="2">
        <f t="shared" si="2"/>
        <v>2.4993969139811365</v>
      </c>
      <c r="I45" s="25">
        <f t="shared" si="7"/>
        <v>0</v>
      </c>
      <c r="J45" s="343">
        <f t="shared" si="8"/>
        <v>0</v>
      </c>
      <c r="L45" s="713"/>
      <c r="M45" s="499"/>
      <c r="N45" s="543" t="s">
        <v>2796</v>
      </c>
      <c r="O45" s="544" t="str">
        <f>IFERROR(VLOOKUP(P45,constant_ag_extr!$D$7:$E$594,2,FALSE),"")</f>
        <v>Rye</v>
      </c>
      <c r="P45" s="545">
        <f t="shared" si="5"/>
        <v>71</v>
      </c>
      <c r="Q45" s="710">
        <f t="shared" si="6"/>
        <v>0.96467499060094586</v>
      </c>
    </row>
    <row r="46" spans="1:17" ht="12.5">
      <c r="A46" s="84" t="s">
        <v>4567</v>
      </c>
      <c r="B46" s="399">
        <v>73</v>
      </c>
      <c r="C46" s="24" t="s">
        <v>1397</v>
      </c>
      <c r="D46" s="499"/>
      <c r="E46" s="499"/>
      <c r="F46" s="2">
        <f t="shared" si="0"/>
        <v>2.6260426014429927</v>
      </c>
      <c r="G46" s="2">
        <f t="shared" si="1"/>
        <v>1</v>
      </c>
      <c r="H46" s="2">
        <f t="shared" si="2"/>
        <v>2.4993969139811365</v>
      </c>
      <c r="I46" s="25">
        <f t="shared" si="7"/>
        <v>0</v>
      </c>
      <c r="J46" s="343">
        <f t="shared" si="8"/>
        <v>0</v>
      </c>
      <c r="L46" s="713"/>
      <c r="M46" s="499"/>
      <c r="N46" s="543" t="s">
        <v>2796</v>
      </c>
      <c r="O46" s="544" t="str">
        <f>IFERROR(VLOOKUP(P46,constant_ag_extr!$D$7:$E$594,2,FALSE),"")</f>
        <v>Rye</v>
      </c>
      <c r="P46" s="545">
        <f t="shared" si="5"/>
        <v>71</v>
      </c>
      <c r="Q46" s="710">
        <f t="shared" si="6"/>
        <v>0.995869183314949</v>
      </c>
    </row>
    <row r="47" spans="1:17" ht="12.5">
      <c r="A47" s="84" t="s">
        <v>792</v>
      </c>
      <c r="B47" s="399">
        <v>75</v>
      </c>
      <c r="C47" s="24" t="s">
        <v>2851</v>
      </c>
      <c r="D47" s="499">
        <v>10173</v>
      </c>
      <c r="E47" s="499">
        <v>1718710</v>
      </c>
      <c r="F47" s="2">
        <f t="shared" si="0"/>
        <v>2.6369352977684146</v>
      </c>
      <c r="G47" s="2">
        <f t="shared" si="1"/>
        <v>1</v>
      </c>
      <c r="H47" s="2">
        <f t="shared" si="2"/>
        <v>2.4993969139811365</v>
      </c>
      <c r="I47" s="25">
        <f t="shared" si="7"/>
        <v>9642.3923739986803</v>
      </c>
      <c r="J47" s="343">
        <f t="shared" si="8"/>
        <v>1629064.7986941191</v>
      </c>
      <c r="L47" s="713">
        <v>3519210</v>
      </c>
      <c r="M47" s="499">
        <v>3067400</v>
      </c>
      <c r="N47" s="543" t="s">
        <v>413</v>
      </c>
      <c r="O47" s="544" t="str">
        <f>IFERROR(VLOOKUP(P47,constant_ag_extr!$D$7:$E$594,2,FALSE),"")</f>
        <v>Oats</v>
      </c>
      <c r="P47" s="545">
        <f t="shared" si="5"/>
        <v>75</v>
      </c>
      <c r="Q47" s="710">
        <f t="shared" si="6"/>
        <v>1</v>
      </c>
    </row>
    <row r="48" spans="1:17" ht="12.5">
      <c r="A48" s="84" t="s">
        <v>257</v>
      </c>
      <c r="B48" s="399">
        <v>76</v>
      </c>
      <c r="C48" s="24" t="s">
        <v>258</v>
      </c>
      <c r="D48" s="499">
        <v>7536</v>
      </c>
      <c r="E48" s="499">
        <v>303228</v>
      </c>
      <c r="F48" s="2">
        <f t="shared" si="0"/>
        <v>1.4509665160000265</v>
      </c>
      <c r="G48" s="2">
        <f t="shared" si="1"/>
        <v>1</v>
      </c>
      <c r="H48" s="2">
        <f t="shared" si="2"/>
        <v>2.4993969139811365</v>
      </c>
      <c r="I48" s="25">
        <f t="shared" si="7"/>
        <v>12981.316202724489</v>
      </c>
      <c r="J48" s="343">
        <f t="shared" si="8"/>
        <v>522332.61007427564</v>
      </c>
      <c r="L48" s="713">
        <v>1011820</v>
      </c>
      <c r="M48" s="499">
        <v>1017310</v>
      </c>
      <c r="N48" s="543" t="s">
        <v>2796</v>
      </c>
      <c r="O48" s="544" t="str">
        <f>IFERROR(VLOOKUP(P48,constant_ag_extr!$D$7:$E$594,2,FALSE),"")</f>
        <v>Oats</v>
      </c>
      <c r="P48" s="545">
        <f t="shared" si="5"/>
        <v>75</v>
      </c>
      <c r="Q48" s="710">
        <f t="shared" si="6"/>
        <v>0.55024729549790252</v>
      </c>
    </row>
    <row r="49" spans="1:17" ht="12.5">
      <c r="A49" s="84" t="s">
        <v>4565</v>
      </c>
      <c r="B49" s="399">
        <v>77</v>
      </c>
      <c r="C49" s="24" t="s">
        <v>4566</v>
      </c>
      <c r="D49" s="499"/>
      <c r="E49" s="499"/>
      <c r="F49" s="2">
        <f t="shared" si="0"/>
        <v>14.332447670853982</v>
      </c>
      <c r="G49" s="2">
        <f t="shared" si="1"/>
        <v>1</v>
      </c>
      <c r="H49" s="2">
        <f t="shared" si="2"/>
        <v>2.4993969139811365</v>
      </c>
      <c r="I49" s="25">
        <f t="shared" si="7"/>
        <v>0</v>
      </c>
      <c r="J49" s="343">
        <f t="shared" si="8"/>
        <v>0</v>
      </c>
      <c r="L49" s="713"/>
      <c r="M49" s="499"/>
      <c r="N49" s="543" t="s">
        <v>2796</v>
      </c>
      <c r="O49" s="544" t="str">
        <f>IFERROR(VLOOKUP(P49,constant_ag_extr!$D$7:$E$594,2,FALSE),"")</f>
        <v>Oats</v>
      </c>
      <c r="P49" s="545">
        <f t="shared" si="5"/>
        <v>75</v>
      </c>
      <c r="Q49" s="710">
        <f t="shared" si="6"/>
        <v>5.4352671007829603</v>
      </c>
    </row>
    <row r="50" spans="1:17" ht="12.5">
      <c r="A50" s="84" t="s">
        <v>2774</v>
      </c>
      <c r="B50" s="399">
        <v>79</v>
      </c>
      <c r="C50" s="24" t="s">
        <v>3926</v>
      </c>
      <c r="D50" s="499">
        <v>12768</v>
      </c>
      <c r="E50" s="499">
        <v>3323</v>
      </c>
      <c r="F50" s="2">
        <f t="shared" si="0"/>
        <v>2.6369352977684146</v>
      </c>
      <c r="G50" s="2">
        <f t="shared" si="1"/>
        <v>1</v>
      </c>
      <c r="H50" s="2">
        <f t="shared" si="2"/>
        <v>2.4993969139811365</v>
      </c>
      <c r="I50" s="25">
        <f t="shared" si="7"/>
        <v>12102.041269164962</v>
      </c>
      <c r="J50" s="343">
        <f t="shared" si="8"/>
        <v>3149.6775640221776</v>
      </c>
      <c r="L50" s="713">
        <v>387774</v>
      </c>
      <c r="M50" s="499">
        <v>370208</v>
      </c>
      <c r="N50" s="543" t="s">
        <v>413</v>
      </c>
      <c r="O50" s="544" t="str">
        <f>IFERROR(VLOOKUP(P50,constant_ag_extr!$D$7:$E$594,2,FALSE),"")</f>
        <v>Millet</v>
      </c>
      <c r="P50" s="545">
        <f t="shared" si="5"/>
        <v>79</v>
      </c>
      <c r="Q50" s="710">
        <f t="shared" si="6"/>
        <v>1</v>
      </c>
    </row>
    <row r="51" spans="1:17" ht="12.5">
      <c r="A51" s="84" t="s">
        <v>2155</v>
      </c>
      <c r="B51" s="399">
        <v>80</v>
      </c>
      <c r="C51" s="24" t="s">
        <v>5054</v>
      </c>
      <c r="D51" s="499"/>
      <c r="E51" s="499"/>
      <c r="F51" s="2">
        <f t="shared" si="0"/>
        <v>3.4949811104646114</v>
      </c>
      <c r="G51" s="2">
        <f t="shared" si="1"/>
        <v>1</v>
      </c>
      <c r="H51" s="2">
        <f t="shared" si="2"/>
        <v>2.4993969139811365</v>
      </c>
      <c r="I51" s="25">
        <f t="shared" si="7"/>
        <v>0</v>
      </c>
      <c r="J51" s="343">
        <f t="shared" si="8"/>
        <v>0</v>
      </c>
      <c r="L51" s="713"/>
      <c r="M51" s="499"/>
      <c r="N51" s="543" t="s">
        <v>2796</v>
      </c>
      <c r="O51" s="544" t="str">
        <f>IFERROR(VLOOKUP(P51,constant_ag_extr!$D$7:$E$594,2,FALSE),"")</f>
        <v>Millet</v>
      </c>
      <c r="P51" s="545">
        <f t="shared" si="5"/>
        <v>79</v>
      </c>
      <c r="Q51" s="710">
        <f t="shared" si="6"/>
        <v>1.3253950953678475</v>
      </c>
    </row>
    <row r="52" spans="1:17" ht="12.5">
      <c r="A52" s="84" t="s">
        <v>6964</v>
      </c>
      <c r="B52" s="399">
        <v>81</v>
      </c>
      <c r="C52" s="24" t="s">
        <v>4564</v>
      </c>
      <c r="D52" s="499"/>
      <c r="E52" s="499"/>
      <c r="F52" s="2">
        <f t="shared" si="0"/>
        <v>0.75097076553894149</v>
      </c>
      <c r="G52" s="2">
        <f t="shared" si="1"/>
        <v>1</v>
      </c>
      <c r="H52" s="2">
        <f t="shared" si="2"/>
        <v>2.4993969139811365</v>
      </c>
      <c r="I52" s="25">
        <f t="shared" si="7"/>
        <v>0</v>
      </c>
      <c r="J52" s="343">
        <f t="shared" si="8"/>
        <v>0</v>
      </c>
      <c r="L52" s="713">
        <v>0</v>
      </c>
      <c r="M52" s="499">
        <v>0</v>
      </c>
      <c r="N52" s="543" t="s">
        <v>2796</v>
      </c>
      <c r="O52" s="544" t="str">
        <f>IFERROR(VLOOKUP(P52,constant_ag_extr!$D$7:$E$594,2,FALSE),"")</f>
        <v>Millet</v>
      </c>
      <c r="P52" s="545">
        <f t="shared" si="5"/>
        <v>79</v>
      </c>
      <c r="Q52" s="710">
        <f t="shared" si="6"/>
        <v>0.2847892271662763</v>
      </c>
    </row>
    <row r="53" spans="1:17" ht="12.5">
      <c r="A53" s="84" t="s">
        <v>6965</v>
      </c>
      <c r="B53" s="399">
        <v>82</v>
      </c>
      <c r="C53" s="24"/>
      <c r="D53" s="499"/>
      <c r="E53" s="499"/>
      <c r="F53" s="2">
        <f t="shared" si="0"/>
        <v>0</v>
      </c>
      <c r="G53" s="2">
        <f t="shared" si="1"/>
        <v>1</v>
      </c>
      <c r="H53" s="2">
        <f t="shared" si="2"/>
        <v>2.4993969139811365</v>
      </c>
      <c r="I53" s="25">
        <f t="shared" si="7"/>
        <v>0</v>
      </c>
      <c r="J53" s="343">
        <f t="shared" si="8"/>
        <v>0</v>
      </c>
      <c r="L53" s="713"/>
      <c r="M53" s="499"/>
      <c r="N53" s="543"/>
      <c r="O53" s="544">
        <f>IFERROR(VLOOKUP(P53,constant_ag_extr!$D$7:$E$594,2,FALSE),"")</f>
        <v>0</v>
      </c>
      <c r="P53" s="545" t="str">
        <f t="shared" si="5"/>
        <v/>
      </c>
      <c r="Q53" s="710" t="str">
        <f t="shared" si="6"/>
        <v/>
      </c>
    </row>
    <row r="54" spans="1:17" ht="12.5">
      <c r="A54" s="84" t="s">
        <v>2681</v>
      </c>
      <c r="B54" s="399">
        <v>83</v>
      </c>
      <c r="C54" s="24" t="s">
        <v>3930</v>
      </c>
      <c r="D54" s="499">
        <v>6533</v>
      </c>
      <c r="E54" s="499">
        <v>534</v>
      </c>
      <c r="F54" s="2">
        <f t="shared" si="0"/>
        <v>2.6369352977684146</v>
      </c>
      <c r="G54" s="2">
        <f t="shared" si="1"/>
        <v>1</v>
      </c>
      <c r="H54" s="2">
        <f t="shared" si="2"/>
        <v>2.4993969139811365</v>
      </c>
      <c r="I54" s="25">
        <f t="shared" si="7"/>
        <v>6192.2490297191962</v>
      </c>
      <c r="J54" s="343">
        <f t="shared" si="8"/>
        <v>506.1474027047376</v>
      </c>
      <c r="L54" s="713">
        <v>6562310</v>
      </c>
      <c r="M54" s="499">
        <v>5557090</v>
      </c>
      <c r="N54" s="543" t="s">
        <v>413</v>
      </c>
      <c r="O54" s="544" t="str">
        <f>IFERROR(VLOOKUP(P54,constant_ag_extr!$D$7:$E$594,2,FALSE),"")</f>
        <v>Sorghum</v>
      </c>
      <c r="P54" s="545">
        <f t="shared" si="5"/>
        <v>83</v>
      </c>
      <c r="Q54" s="710">
        <f t="shared" si="6"/>
        <v>1</v>
      </c>
    </row>
    <row r="55" spans="1:17" ht="12.5">
      <c r="A55" s="84" t="s">
        <v>842</v>
      </c>
      <c r="B55" s="399">
        <v>84</v>
      </c>
      <c r="C55" s="24" t="s">
        <v>843</v>
      </c>
      <c r="D55" s="499"/>
      <c r="E55" s="499"/>
      <c r="F55" s="2">
        <f t="shared" si="0"/>
        <v>2.3791685641325007</v>
      </c>
      <c r="G55" s="2">
        <f t="shared" si="1"/>
        <v>1</v>
      </c>
      <c r="H55" s="2">
        <f t="shared" si="2"/>
        <v>2.4993969139811365</v>
      </c>
      <c r="I55" s="25">
        <f t="shared" si="7"/>
        <v>0</v>
      </c>
      <c r="J55" s="343">
        <f t="shared" si="8"/>
        <v>0</v>
      </c>
      <c r="L55" s="713"/>
      <c r="M55" s="499"/>
      <c r="N55" s="543" t="s">
        <v>2796</v>
      </c>
      <c r="O55" s="544" t="str">
        <f>IFERROR(VLOOKUP(P55,constant_ag_extr!$D$7:$E$594,2,FALSE),"")</f>
        <v>Sorghum</v>
      </c>
      <c r="P55" s="545">
        <f t="shared" si="5"/>
        <v>83</v>
      </c>
      <c r="Q55" s="710">
        <f t="shared" si="6"/>
        <v>0.90224760772323198</v>
      </c>
    </row>
    <row r="56" spans="1:17" ht="12.5">
      <c r="A56" s="84" t="s">
        <v>6966</v>
      </c>
      <c r="B56" s="399">
        <v>85</v>
      </c>
      <c r="C56" s="24" t="s">
        <v>4892</v>
      </c>
      <c r="D56" s="499"/>
      <c r="E56" s="499"/>
      <c r="F56" s="2">
        <f t="shared" si="0"/>
        <v>84.682697591422908</v>
      </c>
      <c r="G56" s="2">
        <f t="shared" si="1"/>
        <v>1</v>
      </c>
      <c r="H56" s="2">
        <f t="shared" si="2"/>
        <v>2.4993969139811365</v>
      </c>
      <c r="I56" s="25">
        <f t="shared" si="7"/>
        <v>0</v>
      </c>
      <c r="J56" s="343">
        <f t="shared" si="8"/>
        <v>0</v>
      </c>
      <c r="L56" s="713">
        <v>446</v>
      </c>
      <c r="M56" s="499">
        <v>445</v>
      </c>
      <c r="N56" s="543" t="s">
        <v>2796</v>
      </c>
      <c r="O56" s="544" t="str">
        <f>IFERROR(VLOOKUP(P56,constant_ag_extr!$D$7:$E$594,2,FALSE),"")</f>
        <v>Sorghum</v>
      </c>
      <c r="P56" s="545">
        <f t="shared" si="5"/>
        <v>83</v>
      </c>
      <c r="Q56" s="710">
        <f t="shared" si="6"/>
        <v>32.1140597052526</v>
      </c>
    </row>
    <row r="57" spans="1:17" ht="12.5">
      <c r="A57" s="84" t="s">
        <v>319</v>
      </c>
      <c r="B57" s="399">
        <v>86</v>
      </c>
      <c r="C57" s="24" t="s">
        <v>320</v>
      </c>
      <c r="D57" s="499"/>
      <c r="E57" s="499"/>
      <c r="F57" s="2">
        <f t="shared" si="0"/>
        <v>12.789136194176811</v>
      </c>
      <c r="G57" s="2">
        <f t="shared" si="1"/>
        <v>1</v>
      </c>
      <c r="H57" s="2">
        <f t="shared" si="2"/>
        <v>2.4993969139811365</v>
      </c>
      <c r="I57" s="25">
        <f t="shared" si="7"/>
        <v>0</v>
      </c>
      <c r="J57" s="343">
        <f t="shared" si="8"/>
        <v>0</v>
      </c>
      <c r="L57" s="713"/>
      <c r="M57" s="499">
        <v>0</v>
      </c>
      <c r="N57" s="543" t="s">
        <v>2796</v>
      </c>
      <c r="O57" s="544" t="str">
        <f>IFERROR(VLOOKUP(P57,constant_ag_extr!$D$7:$E$594,2,FALSE),"")</f>
        <v>Sorghum</v>
      </c>
      <c r="P57" s="545">
        <f t="shared" si="5"/>
        <v>83</v>
      </c>
      <c r="Q57" s="710">
        <f t="shared" si="6"/>
        <v>4.8499999999999996</v>
      </c>
    </row>
    <row r="58" spans="1:17" ht="12.5">
      <c r="A58" s="84" t="s">
        <v>3770</v>
      </c>
      <c r="B58" s="399">
        <v>89</v>
      </c>
      <c r="C58" s="24" t="s">
        <v>3771</v>
      </c>
      <c r="D58" s="499">
        <v>1079</v>
      </c>
      <c r="E58" s="499">
        <v>5090</v>
      </c>
      <c r="F58" s="2">
        <f t="shared" si="0"/>
        <v>0.85908193099899544</v>
      </c>
      <c r="G58" s="2">
        <f t="shared" si="1"/>
        <v>1</v>
      </c>
      <c r="H58" s="2">
        <f t="shared" si="2"/>
        <v>2.4993969139811365</v>
      </c>
      <c r="I58" s="25">
        <f t="shared" si="7"/>
        <v>3139.222433708479</v>
      </c>
      <c r="J58" s="343">
        <f t="shared" si="8"/>
        <v>14808.75086893064</v>
      </c>
      <c r="L58" s="713">
        <v>240091</v>
      </c>
      <c r="M58" s="499">
        <v>193921</v>
      </c>
      <c r="N58" s="543" t="s">
        <v>413</v>
      </c>
      <c r="O58" s="544" t="str">
        <f>IFERROR(VLOOKUP(P58,constant_ag_extr!$D$7:$E$594,2,FALSE),"")</f>
        <v>Buckwheat</v>
      </c>
      <c r="P58" s="545">
        <f t="shared" si="5"/>
        <v>89</v>
      </c>
      <c r="Q58" s="710">
        <f t="shared" si="6"/>
        <v>1</v>
      </c>
    </row>
    <row r="59" spans="1:17" ht="12.5">
      <c r="A59" s="84" t="s">
        <v>2149</v>
      </c>
      <c r="B59" s="399">
        <v>90</v>
      </c>
      <c r="C59" s="24" t="s">
        <v>2150</v>
      </c>
      <c r="D59" s="499"/>
      <c r="E59" s="499"/>
      <c r="F59" s="2">
        <f t="shared" si="0"/>
        <v>4.3987277259674524</v>
      </c>
      <c r="G59" s="2">
        <f t="shared" si="1"/>
        <v>1</v>
      </c>
      <c r="H59" s="2">
        <f t="shared" si="2"/>
        <v>2.4993969139811365</v>
      </c>
      <c r="I59" s="25">
        <f t="shared" si="7"/>
        <v>0</v>
      </c>
      <c r="J59" s="343">
        <f t="shared" si="8"/>
        <v>0</v>
      </c>
      <c r="L59" s="713"/>
      <c r="M59" s="499"/>
      <c r="N59" s="543" t="s">
        <v>2796</v>
      </c>
      <c r="O59" s="544" t="str">
        <f>IFERROR(VLOOKUP(P59,constant_ag_extr!$D$7:$E$594,2,FALSE),"")</f>
        <v>Buckwheat</v>
      </c>
      <c r="P59" s="545">
        <f t="shared" si="5"/>
        <v>89</v>
      </c>
      <c r="Q59" s="710">
        <f t="shared" si="6"/>
        <v>5.1202656780970006</v>
      </c>
    </row>
    <row r="60" spans="1:17" ht="12.5">
      <c r="A60" s="84" t="s">
        <v>6967</v>
      </c>
      <c r="B60" s="399">
        <v>91</v>
      </c>
      <c r="C60" s="24" t="s">
        <v>957</v>
      </c>
      <c r="D60" s="499"/>
      <c r="E60" s="499"/>
      <c r="F60" s="2">
        <f t="shared" si="0"/>
        <v>0.2013025316979285</v>
      </c>
      <c r="G60" s="2">
        <f t="shared" si="1"/>
        <v>1</v>
      </c>
      <c r="H60" s="2">
        <f t="shared" si="2"/>
        <v>2.4993969139811365</v>
      </c>
      <c r="I60" s="25">
        <f t="shared" si="7"/>
        <v>0</v>
      </c>
      <c r="J60" s="343">
        <f t="shared" si="8"/>
        <v>0</v>
      </c>
      <c r="L60" s="713">
        <v>0</v>
      </c>
      <c r="M60" s="499"/>
      <c r="N60" s="543" t="s">
        <v>2796</v>
      </c>
      <c r="O60" s="544" t="str">
        <f>IFERROR(VLOOKUP(P60,constant_ag_extr!$D$7:$E$594,2,FALSE),"")</f>
        <v>Buckwheat</v>
      </c>
      <c r="P60" s="545">
        <f t="shared" si="5"/>
        <v>89</v>
      </c>
      <c r="Q60" s="710">
        <f t="shared" si="6"/>
        <v>0.23432285610272474</v>
      </c>
    </row>
    <row r="61" spans="1:17" ht="12.5">
      <c r="A61" s="84" t="s">
        <v>5383</v>
      </c>
      <c r="B61" s="399">
        <v>92</v>
      </c>
      <c r="C61" s="24" t="s">
        <v>5384</v>
      </c>
      <c r="D61" s="499">
        <v>9005</v>
      </c>
      <c r="E61" s="499">
        <v>3344</v>
      </c>
      <c r="F61" s="2">
        <f t="shared" si="0"/>
        <v>0.81208457204691609</v>
      </c>
      <c r="G61" s="2">
        <f t="shared" si="1"/>
        <v>1</v>
      </c>
      <c r="H61" s="2">
        <f t="shared" si="2"/>
        <v>2.4993969139811365</v>
      </c>
      <c r="I61" s="25">
        <f t="shared" si="7"/>
        <v>27715.178917473444</v>
      </c>
      <c r="J61" s="343">
        <f t="shared" si="8"/>
        <v>10292.010916161156</v>
      </c>
      <c r="L61" s="713">
        <v>98136</v>
      </c>
      <c r="M61" s="499">
        <v>114321</v>
      </c>
      <c r="N61" s="543" t="s">
        <v>413</v>
      </c>
      <c r="O61" s="544" t="str">
        <f>IFERROR(VLOOKUP(P61,constant_ag_extr!$D$7:$E$594,2,FALSE),"")</f>
        <v>Quinoa</v>
      </c>
      <c r="P61" s="545">
        <f t="shared" si="5"/>
        <v>92</v>
      </c>
      <c r="Q61" s="710">
        <f t="shared" si="6"/>
        <v>1</v>
      </c>
    </row>
    <row r="62" spans="1:17" ht="12.5">
      <c r="A62" s="84" t="s">
        <v>4317</v>
      </c>
      <c r="B62" s="399">
        <v>94</v>
      </c>
      <c r="C62" s="24" t="s">
        <v>5062</v>
      </c>
      <c r="D62" s="499">
        <v>1</v>
      </c>
      <c r="E62" s="499"/>
      <c r="F62" s="2">
        <f t="shared" si="0"/>
        <v>2.6369352977684146</v>
      </c>
      <c r="G62" s="2">
        <f t="shared" si="1"/>
        <v>1</v>
      </c>
      <c r="H62" s="2">
        <f t="shared" si="2"/>
        <v>2.4993969139811365</v>
      </c>
      <c r="I62" s="25">
        <f t="shared" si="7"/>
        <v>0.94784157809875946</v>
      </c>
      <c r="J62" s="343">
        <f t="shared" si="8"/>
        <v>0</v>
      </c>
      <c r="L62" s="713">
        <v>269</v>
      </c>
      <c r="M62" s="499">
        <v>204</v>
      </c>
      <c r="N62" s="543" t="s">
        <v>413</v>
      </c>
      <c r="O62" s="544" t="str">
        <f>IFERROR(VLOOKUP(P62,constant_ag_extr!$D$7:$E$594,2,FALSE),"")</f>
        <v>Fonio</v>
      </c>
      <c r="P62" s="545">
        <f t="shared" si="5"/>
        <v>94</v>
      </c>
      <c r="Q62" s="710">
        <f t="shared" si="6"/>
        <v>1</v>
      </c>
    </row>
    <row r="63" spans="1:17" ht="12.5">
      <c r="A63" s="84" t="s">
        <v>7034</v>
      </c>
      <c r="B63" s="399">
        <v>95</v>
      </c>
      <c r="C63" s="24" t="e">
        <v>#N/A</v>
      </c>
      <c r="D63" s="499"/>
      <c r="E63" s="499"/>
      <c r="F63" s="2">
        <f t="shared" si="0"/>
        <v>2.1142189746885403</v>
      </c>
      <c r="G63" s="2">
        <f t="shared" si="1"/>
        <v>1</v>
      </c>
      <c r="H63" s="2">
        <f t="shared" si="2"/>
        <v>2.4993969139811365</v>
      </c>
      <c r="I63" s="25">
        <f t="shared" si="7"/>
        <v>0</v>
      </c>
      <c r="J63" s="343">
        <f t="shared" si="8"/>
        <v>0</v>
      </c>
      <c r="L63" s="713">
        <v>0</v>
      </c>
      <c r="M63" s="499">
        <v>0</v>
      </c>
      <c r="N63" s="543" t="s">
        <v>2796</v>
      </c>
      <c r="O63" s="544" t="str">
        <f>IFERROR(VLOOKUP(P63,constant_ag_extr!$D$7:$E$594,2,FALSE),"")</f>
        <v>Fonio</v>
      </c>
      <c r="P63" s="545">
        <f t="shared" si="5"/>
        <v>94</v>
      </c>
      <c r="Q63" s="710">
        <f t="shared" si="6"/>
        <v>0.80177127458446218</v>
      </c>
    </row>
    <row r="64" spans="1:17" ht="12.5">
      <c r="A64" s="84" t="s">
        <v>6968</v>
      </c>
      <c r="B64" s="399">
        <v>96</v>
      </c>
      <c r="C64" s="24" t="s">
        <v>1910</v>
      </c>
      <c r="D64" s="499"/>
      <c r="E64" s="499"/>
      <c r="F64" s="2">
        <f t="shared" si="0"/>
        <v>179.04217052805487</v>
      </c>
      <c r="G64" s="2">
        <f t="shared" si="1"/>
        <v>1</v>
      </c>
      <c r="H64" s="2">
        <f t="shared" si="2"/>
        <v>2.4993969139811365</v>
      </c>
      <c r="I64" s="25">
        <f t="shared" si="7"/>
        <v>0</v>
      </c>
      <c r="J64" s="343">
        <f t="shared" si="8"/>
        <v>0</v>
      </c>
      <c r="L64" s="713">
        <v>0</v>
      </c>
      <c r="M64" s="499">
        <v>0</v>
      </c>
      <c r="N64" s="543" t="s">
        <v>2796</v>
      </c>
      <c r="O64" s="544" t="str">
        <f>IFERROR(VLOOKUP(P64,constant_ag_extr!$D$7:$E$594,2,FALSE),"")</f>
        <v>Fonio</v>
      </c>
      <c r="P64" s="545">
        <f t="shared" si="5"/>
        <v>94</v>
      </c>
      <c r="Q64" s="710">
        <f t="shared" si="6"/>
        <v>67.897824675324671</v>
      </c>
    </row>
    <row r="65" spans="1:17" ht="12.5">
      <c r="A65" s="84" t="s">
        <v>4423</v>
      </c>
      <c r="B65" s="399">
        <v>97</v>
      </c>
      <c r="C65" s="24" t="s">
        <v>4424</v>
      </c>
      <c r="D65" s="499">
        <v>30</v>
      </c>
      <c r="E65" s="499">
        <v>4612</v>
      </c>
      <c r="F65" s="2">
        <f t="shared" si="0"/>
        <v>2.6369352977684146</v>
      </c>
      <c r="G65" s="2">
        <f t="shared" si="1"/>
        <v>1</v>
      </c>
      <c r="H65" s="2">
        <f t="shared" si="2"/>
        <v>2.4993969139811365</v>
      </c>
      <c r="I65" s="25">
        <f t="shared" si="7"/>
        <v>28.435247342962786</v>
      </c>
      <c r="J65" s="343">
        <f t="shared" si="8"/>
        <v>4371.4453581914795</v>
      </c>
      <c r="L65" s="713">
        <v>567747</v>
      </c>
      <c r="M65" s="499">
        <v>648457</v>
      </c>
      <c r="N65" s="543" t="s">
        <v>413</v>
      </c>
      <c r="O65" s="544" t="str">
        <f>IFERROR(VLOOKUP(P65,constant_ag_extr!$D$7:$E$594,2,FALSE),"")</f>
        <v>Triticale</v>
      </c>
      <c r="P65" s="545">
        <f t="shared" si="5"/>
        <v>97</v>
      </c>
      <c r="Q65" s="710">
        <f t="shared" si="6"/>
        <v>1</v>
      </c>
    </row>
    <row r="66" spans="1:17" ht="12.5">
      <c r="A66" s="84" t="s">
        <v>6969</v>
      </c>
      <c r="B66" s="399">
        <v>99</v>
      </c>
      <c r="C66" s="24"/>
      <c r="D66" s="499"/>
      <c r="E66" s="499"/>
      <c r="F66" s="2">
        <f t="shared" si="0"/>
        <v>0</v>
      </c>
      <c r="G66" s="2">
        <f t="shared" si="1"/>
        <v>1</v>
      </c>
      <c r="H66" s="2">
        <f t="shared" si="2"/>
        <v>2.4993969139811365</v>
      </c>
      <c r="I66" s="25">
        <f t="shared" si="7"/>
        <v>0</v>
      </c>
      <c r="J66" s="343">
        <f t="shared" si="8"/>
        <v>0</v>
      </c>
      <c r="L66" s="713"/>
      <c r="M66" s="499"/>
      <c r="N66" s="543"/>
      <c r="O66" s="544">
        <f>IFERROR(VLOOKUP(P66,constant_ag_extr!$D$7:$E$594,2,FALSE),"")</f>
        <v>0</v>
      </c>
      <c r="P66" s="545" t="str">
        <f t="shared" si="5"/>
        <v/>
      </c>
      <c r="Q66" s="710" t="str">
        <f t="shared" si="6"/>
        <v/>
      </c>
    </row>
    <row r="67" spans="1:17" ht="12.5">
      <c r="A67" s="84" t="s">
        <v>5438</v>
      </c>
      <c r="B67" s="399">
        <v>101</v>
      </c>
      <c r="C67" s="24" t="s">
        <v>5439</v>
      </c>
      <c r="D67" s="499">
        <v>130</v>
      </c>
      <c r="E67" s="499">
        <v>150950</v>
      </c>
      <c r="F67" s="2">
        <f t="shared" si="0"/>
        <v>0.92074390964245389</v>
      </c>
      <c r="G67" s="2">
        <f t="shared" si="1"/>
        <v>1</v>
      </c>
      <c r="H67" s="2">
        <f t="shared" si="2"/>
        <v>2.4993969139811365</v>
      </c>
      <c r="I67" s="25">
        <f t="shared" si="7"/>
        <v>352.89030469256352</v>
      </c>
      <c r="J67" s="343">
        <f t="shared" si="8"/>
        <v>409759.93456417281</v>
      </c>
      <c r="L67" s="713">
        <v>197651</v>
      </c>
      <c r="M67" s="499">
        <v>184796</v>
      </c>
      <c r="N67" s="543" t="s">
        <v>413</v>
      </c>
      <c r="O67" s="544" t="str">
        <f>IFERROR(VLOOKUP(P67,constant_ag_extr!$D$7:$E$594,2,FALSE),"")</f>
        <v>Canary seed</v>
      </c>
      <c r="P67" s="545">
        <f t="shared" si="5"/>
        <v>101</v>
      </c>
      <c r="Q67" s="710">
        <f t="shared" si="6"/>
        <v>1</v>
      </c>
    </row>
    <row r="68" spans="1:17" ht="12.5">
      <c r="A68" s="84" t="s">
        <v>7050</v>
      </c>
      <c r="B68" s="399">
        <v>103</v>
      </c>
      <c r="C68" s="24" t="s">
        <v>783</v>
      </c>
      <c r="D68" s="499"/>
      <c r="E68" s="499"/>
      <c r="F68" s="2">
        <f t="shared" si="0"/>
        <v>2.6369352977684146</v>
      </c>
      <c r="G68" s="2">
        <f t="shared" si="1"/>
        <v>1</v>
      </c>
      <c r="H68" s="2">
        <f t="shared" si="2"/>
        <v>2.4993969139811365</v>
      </c>
      <c r="I68" s="25">
        <f t="shared" si="7"/>
        <v>0</v>
      </c>
      <c r="J68" s="343">
        <f t="shared" si="8"/>
        <v>0</v>
      </c>
      <c r="L68" s="713">
        <v>51072</v>
      </c>
      <c r="M68" s="499">
        <v>26809</v>
      </c>
      <c r="N68" s="543" t="s">
        <v>413</v>
      </c>
      <c r="O68" s="544" t="str">
        <f>IFERROR(VLOOKUP(P68,constant_ag_extr!$D$7:$E$594,2,FALSE),"")</f>
        <v>Mixed grain</v>
      </c>
      <c r="P68" s="545">
        <f t="shared" si="5"/>
        <v>103</v>
      </c>
      <c r="Q68" s="710">
        <f t="shared" si="6"/>
        <v>1</v>
      </c>
    </row>
    <row r="69" spans="1:17" ht="12.5">
      <c r="A69" s="84" t="s">
        <v>7036</v>
      </c>
      <c r="B69" s="399">
        <v>104</v>
      </c>
      <c r="C69" s="24" t="s">
        <v>3261</v>
      </c>
      <c r="D69" s="499"/>
      <c r="E69" s="499"/>
      <c r="F69" s="2">
        <f t="shared" si="0"/>
        <v>2.4767147981211761</v>
      </c>
      <c r="G69" s="2">
        <f t="shared" si="1"/>
        <v>1</v>
      </c>
      <c r="H69" s="2">
        <f t="shared" si="2"/>
        <v>2.4993969139811365</v>
      </c>
      <c r="I69" s="25">
        <f t="shared" si="7"/>
        <v>0</v>
      </c>
      <c r="J69" s="343">
        <f t="shared" si="8"/>
        <v>0</v>
      </c>
      <c r="L69" s="713">
        <v>90158</v>
      </c>
      <c r="M69" s="499">
        <v>62238</v>
      </c>
      <c r="N69" s="543" t="s">
        <v>2796</v>
      </c>
      <c r="O69" s="544" t="str">
        <f>IFERROR(VLOOKUP(P69,constant_ag_extr!$D$7:$E$594,2,FALSE),"")</f>
        <v>Mixed grain</v>
      </c>
      <c r="P69" s="545">
        <f t="shared" si="5"/>
        <v>103</v>
      </c>
      <c r="Q69" s="710">
        <f t="shared" si="6"/>
        <v>0.93923988207718645</v>
      </c>
    </row>
    <row r="70" spans="1:17" ht="12.5">
      <c r="A70" s="84" t="s">
        <v>3259</v>
      </c>
      <c r="B70" s="399">
        <v>105</v>
      </c>
      <c r="C70" s="24" t="s">
        <v>1910</v>
      </c>
      <c r="D70" s="499"/>
      <c r="E70" s="499"/>
      <c r="F70" s="2">
        <f t="shared" si="0"/>
        <v>5.0493827545136298</v>
      </c>
      <c r="G70" s="2">
        <f t="shared" si="1"/>
        <v>1</v>
      </c>
      <c r="H70" s="2">
        <f t="shared" si="2"/>
        <v>2.4993969139811365</v>
      </c>
      <c r="I70" s="25">
        <f t="shared" si="7"/>
        <v>0</v>
      </c>
      <c r="J70" s="343">
        <f t="shared" si="8"/>
        <v>0</v>
      </c>
      <c r="L70" s="713"/>
      <c r="M70" s="499"/>
      <c r="N70" s="543" t="s">
        <v>2796</v>
      </c>
      <c r="O70" s="544" t="str">
        <f>IFERROR(VLOOKUP(P70,constant_ag_extr!$D$7:$E$594,2,FALSE),"")</f>
        <v>Mixed grain</v>
      </c>
      <c r="P70" s="545">
        <f t="shared" si="5"/>
        <v>103</v>
      </c>
      <c r="Q70" s="710">
        <f t="shared" si="6"/>
        <v>1.9148678994083856</v>
      </c>
    </row>
    <row r="71" spans="1:17" ht="12.5">
      <c r="A71" s="84" t="s">
        <v>1846</v>
      </c>
      <c r="B71" s="399">
        <v>108</v>
      </c>
      <c r="C71" s="24" t="s">
        <v>3062</v>
      </c>
      <c r="D71" s="499"/>
      <c r="E71" s="499"/>
      <c r="F71" s="2">
        <f t="shared" ref="F71:F134" si="9">IFERROR(VLOOKUP(P71,crop_efp,4,FALSE)*Q71,0)</f>
        <v>2.6369352977684146</v>
      </c>
      <c r="G71" s="2">
        <f t="shared" ref="G71:G134" si="10">VLOOKUP("Crop Land",iyf,2,FALSE)</f>
        <v>1</v>
      </c>
      <c r="H71" s="2">
        <f t="shared" ref="H71:H134" si="11">VLOOKUP("Crop Land",eqf,2,FALSE)</f>
        <v>2.4993969139811365</v>
      </c>
      <c r="I71" s="25">
        <f t="shared" si="7"/>
        <v>0</v>
      </c>
      <c r="J71" s="343">
        <f t="shared" si="8"/>
        <v>0</v>
      </c>
      <c r="L71" s="713"/>
      <c r="M71" s="499"/>
      <c r="N71" s="543" t="s">
        <v>413</v>
      </c>
      <c r="O71" s="544" t="str">
        <f>IFERROR(VLOOKUP(P71,constant_ag_extr!$D$7:$E$594,2,FALSE),"")</f>
        <v>Cereals, nes</v>
      </c>
      <c r="P71" s="545">
        <f t="shared" ref="P71:P134" si="12">IFERROR(VLOOKUP(B71,constant_ag_extr,3,FALSE),"")</f>
        <v>108</v>
      </c>
      <c r="Q71" s="710">
        <f t="shared" ref="Q71:Q134" si="13">IFERROR(VLOOKUP(B71,constant_ag_extr,14,FALSE),"")</f>
        <v>1</v>
      </c>
    </row>
    <row r="72" spans="1:17" ht="12.5">
      <c r="A72" s="84" t="s">
        <v>2662</v>
      </c>
      <c r="B72" s="399">
        <v>109</v>
      </c>
      <c r="C72" s="24" t="s">
        <v>2663</v>
      </c>
      <c r="D72" s="499">
        <v>20435</v>
      </c>
      <c r="E72" s="499">
        <v>534</v>
      </c>
      <c r="F72" s="2">
        <f t="shared" si="9"/>
        <v>0</v>
      </c>
      <c r="G72" s="2">
        <f t="shared" si="10"/>
        <v>1</v>
      </c>
      <c r="H72" s="2">
        <f t="shared" si="11"/>
        <v>2.4993969139811365</v>
      </c>
      <c r="I72" s="25">
        <f t="shared" si="7"/>
        <v>0</v>
      </c>
      <c r="J72" s="343">
        <f t="shared" si="8"/>
        <v>0</v>
      </c>
      <c r="L72" s="713">
        <v>1453310</v>
      </c>
      <c r="M72" s="499">
        <v>1421550</v>
      </c>
      <c r="N72" s="543" t="s">
        <v>2796</v>
      </c>
      <c r="O72" s="544">
        <f>IFERROR(VLOOKUP(P72,constant_ag_extr!$D$7:$E$594,2,FALSE),"")</f>
        <v>0</v>
      </c>
      <c r="P72" s="545" t="str">
        <f t="shared" si="12"/>
        <v/>
      </c>
      <c r="Q72" s="710">
        <f t="shared" si="13"/>
        <v>1</v>
      </c>
    </row>
    <row r="73" spans="1:17" ht="12.5">
      <c r="A73" s="84" t="s">
        <v>3543</v>
      </c>
      <c r="B73" s="399">
        <v>110</v>
      </c>
      <c r="C73" s="24" t="s">
        <v>3544</v>
      </c>
      <c r="D73" s="499">
        <v>221853</v>
      </c>
      <c r="E73" s="499">
        <v>70858</v>
      </c>
      <c r="F73" s="2">
        <f t="shared" si="9"/>
        <v>2.4767147981211761</v>
      </c>
      <c r="G73" s="2">
        <f t="shared" si="10"/>
        <v>1</v>
      </c>
      <c r="H73" s="2">
        <f t="shared" si="11"/>
        <v>2.4993969139811365</v>
      </c>
      <c r="I73" s="25">
        <f t="shared" si="7"/>
        <v>223884.76217693582</v>
      </c>
      <c r="J73" s="343">
        <f t="shared" si="8"/>
        <v>71506.927913227744</v>
      </c>
      <c r="L73" s="713">
        <v>1607020</v>
      </c>
      <c r="M73" s="499">
        <v>1551120</v>
      </c>
      <c r="N73" s="543" t="s">
        <v>2796</v>
      </c>
      <c r="O73" s="544" t="str">
        <f>IFERROR(VLOOKUP(P73,constant_ag_extr!$D$7:$E$594,2,FALSE),"")</f>
        <v>Mixed grain</v>
      </c>
      <c r="P73" s="545">
        <f t="shared" si="12"/>
        <v>103</v>
      </c>
      <c r="Q73" s="710">
        <f t="shared" si="13"/>
        <v>0.93923988207718645</v>
      </c>
    </row>
    <row r="74" spans="1:17" ht="12.5">
      <c r="A74" s="84" t="s">
        <v>7033</v>
      </c>
      <c r="B74" s="399">
        <v>111</v>
      </c>
      <c r="C74" s="24" t="s">
        <v>3261</v>
      </c>
      <c r="D74" s="499">
        <v>11393</v>
      </c>
      <c r="E74" s="499">
        <v>210545</v>
      </c>
      <c r="F74" s="2">
        <f t="shared" si="9"/>
        <v>2.4471482471875219</v>
      </c>
      <c r="G74" s="2">
        <f t="shared" si="10"/>
        <v>1</v>
      </c>
      <c r="H74" s="2">
        <f t="shared" si="11"/>
        <v>2.4993969139811365</v>
      </c>
      <c r="I74" s="25">
        <f t="shared" si="7"/>
        <v>11636.250102017231</v>
      </c>
      <c r="J74" s="343">
        <f t="shared" si="8"/>
        <v>215040.31227325706</v>
      </c>
      <c r="L74" s="713">
        <v>811768</v>
      </c>
      <c r="M74" s="499">
        <v>723111</v>
      </c>
      <c r="N74" s="543" t="s">
        <v>2796</v>
      </c>
      <c r="O74" s="544" t="str">
        <f>IFERROR(VLOOKUP(P74,constant_ag_extr!$D$7:$E$594,2,FALSE),"")</f>
        <v>Cereals, nes</v>
      </c>
      <c r="P74" s="545">
        <f t="shared" si="12"/>
        <v>108</v>
      </c>
      <c r="Q74" s="710">
        <f t="shared" si="13"/>
        <v>0.92802741472591088</v>
      </c>
    </row>
    <row r="75" spans="1:17" ht="12.5">
      <c r="A75" s="84" t="s">
        <v>3257</v>
      </c>
      <c r="B75" s="399">
        <v>112</v>
      </c>
      <c r="C75" s="24" t="s">
        <v>1910</v>
      </c>
      <c r="D75" s="499"/>
      <c r="E75" s="499"/>
      <c r="F75" s="2">
        <f t="shared" si="9"/>
        <v>6.9850131269515385</v>
      </c>
      <c r="G75" s="2">
        <f t="shared" si="10"/>
        <v>1</v>
      </c>
      <c r="H75" s="2">
        <f t="shared" si="11"/>
        <v>2.4993969139811365</v>
      </c>
      <c r="I75" s="25">
        <f t="shared" si="7"/>
        <v>0</v>
      </c>
      <c r="J75" s="343">
        <f t="shared" si="8"/>
        <v>0</v>
      </c>
      <c r="L75" s="713"/>
      <c r="M75" s="499"/>
      <c r="N75" s="543" t="s">
        <v>2796</v>
      </c>
      <c r="O75" s="544" t="str">
        <f>IFERROR(VLOOKUP(P75,constant_ag_extr!$D$7:$E$594,2,FALSE),"")</f>
        <v>Cereals, nes</v>
      </c>
      <c r="P75" s="545">
        <f t="shared" si="12"/>
        <v>108</v>
      </c>
      <c r="Q75" s="710">
        <f t="shared" si="13"/>
        <v>2.6489133551599902</v>
      </c>
    </row>
    <row r="76" spans="1:17" ht="12.5">
      <c r="A76" s="84" t="s">
        <v>274</v>
      </c>
      <c r="B76" s="399">
        <v>113</v>
      </c>
      <c r="C76" s="24" t="s">
        <v>3061</v>
      </c>
      <c r="D76" s="499">
        <v>8737</v>
      </c>
      <c r="E76" s="499">
        <v>64418</v>
      </c>
      <c r="F76" s="2">
        <f t="shared" si="9"/>
        <v>2.2413950031031522</v>
      </c>
      <c r="G76" s="2">
        <f t="shared" si="10"/>
        <v>1</v>
      </c>
      <c r="H76" s="2">
        <f t="shared" si="11"/>
        <v>2.4993969139811365</v>
      </c>
      <c r="I76" s="25">
        <f t="shared" si="7"/>
        <v>9742.6963151163091</v>
      </c>
      <c r="J76" s="343">
        <f t="shared" si="8"/>
        <v>71833.010327018696</v>
      </c>
      <c r="L76" s="713">
        <v>2104980</v>
      </c>
      <c r="M76" s="499">
        <v>1396360</v>
      </c>
      <c r="N76" s="543" t="s">
        <v>2796</v>
      </c>
      <c r="O76" s="544" t="str">
        <f>IFERROR(VLOOKUP(P76,constant_ag_extr!$D$7:$E$594,2,FALSE),"")</f>
        <v>Cereals, nes</v>
      </c>
      <c r="P76" s="545">
        <f t="shared" si="12"/>
        <v>108</v>
      </c>
      <c r="Q76" s="710">
        <f t="shared" si="13"/>
        <v>0.85</v>
      </c>
    </row>
    <row r="77" spans="1:17" ht="12.5">
      <c r="A77" s="84" t="s">
        <v>254</v>
      </c>
      <c r="B77" s="399">
        <v>114</v>
      </c>
      <c r="C77" s="24" t="s">
        <v>255</v>
      </c>
      <c r="D77" s="499">
        <v>140417</v>
      </c>
      <c r="E77" s="499">
        <v>157271</v>
      </c>
      <c r="F77" s="2">
        <f t="shared" si="9"/>
        <v>0</v>
      </c>
      <c r="G77" s="2">
        <f t="shared" si="10"/>
        <v>1</v>
      </c>
      <c r="H77" s="2">
        <f t="shared" si="11"/>
        <v>2.4993969139811365</v>
      </c>
      <c r="I77" s="25">
        <f t="shared" si="7"/>
        <v>0</v>
      </c>
      <c r="J77" s="343">
        <f t="shared" si="8"/>
        <v>0</v>
      </c>
      <c r="L77" s="713">
        <v>1722120</v>
      </c>
      <c r="M77" s="499">
        <v>1967980</v>
      </c>
      <c r="N77" s="543" t="s">
        <v>2796</v>
      </c>
      <c r="O77" s="544">
        <f>IFERROR(VLOOKUP(P77,constant_ag_extr!$D$7:$E$594,2,FALSE),"")</f>
        <v>0</v>
      </c>
      <c r="P77" s="545" t="str">
        <f t="shared" si="12"/>
        <v/>
      </c>
      <c r="Q77" s="710">
        <f t="shared" si="13"/>
        <v>1</v>
      </c>
    </row>
    <row r="78" spans="1:17" ht="12.5">
      <c r="A78" s="84" t="s">
        <v>7042</v>
      </c>
      <c r="B78" s="399">
        <v>115</v>
      </c>
      <c r="C78" s="24" t="s">
        <v>4008</v>
      </c>
      <c r="D78" s="499">
        <v>71951</v>
      </c>
      <c r="E78" s="499">
        <v>65026</v>
      </c>
      <c r="F78" s="2">
        <f t="shared" si="9"/>
        <v>0</v>
      </c>
      <c r="G78" s="2">
        <f t="shared" si="10"/>
        <v>1</v>
      </c>
      <c r="H78" s="2">
        <f t="shared" si="11"/>
        <v>2.4993969139811365</v>
      </c>
      <c r="I78" s="25">
        <f t="shared" si="7"/>
        <v>0</v>
      </c>
      <c r="J78" s="343">
        <f t="shared" si="8"/>
        <v>0</v>
      </c>
      <c r="L78" s="713">
        <v>2909430</v>
      </c>
      <c r="M78" s="499">
        <v>3373070</v>
      </c>
      <c r="N78" s="543" t="s">
        <v>2796</v>
      </c>
      <c r="O78" s="544">
        <f>IFERROR(VLOOKUP(P78,constant_ag_extr!$D$7:$E$594,2,FALSE),"")</f>
        <v>0</v>
      </c>
      <c r="P78" s="545" t="str">
        <f t="shared" si="12"/>
        <v/>
      </c>
      <c r="Q78" s="710">
        <f t="shared" si="13"/>
        <v>1</v>
      </c>
    </row>
    <row r="79" spans="1:17" ht="12.5">
      <c r="A79" s="84" t="s">
        <v>3131</v>
      </c>
      <c r="B79" s="399">
        <v>116</v>
      </c>
      <c r="C79" s="24" t="s">
        <v>1968</v>
      </c>
      <c r="D79" s="499">
        <v>165337</v>
      </c>
      <c r="E79" s="499">
        <v>526342</v>
      </c>
      <c r="F79" s="2">
        <f t="shared" si="9"/>
        <v>19.4270749689091</v>
      </c>
      <c r="G79" s="2">
        <f t="shared" si="10"/>
        <v>1</v>
      </c>
      <c r="H79" s="2">
        <f t="shared" si="11"/>
        <v>2.4993969139811365</v>
      </c>
      <c r="I79" s="25">
        <f t="shared" si="7"/>
        <v>21271.487767883165</v>
      </c>
      <c r="J79" s="343">
        <f t="shared" si="8"/>
        <v>67716.708387857303</v>
      </c>
      <c r="L79" s="713">
        <v>14807900</v>
      </c>
      <c r="M79" s="499">
        <v>13373800</v>
      </c>
      <c r="N79" s="543" t="s">
        <v>413</v>
      </c>
      <c r="O79" s="544" t="str">
        <f>IFERROR(VLOOKUP(P79,constant_ag_extr!$D$7:$E$594,2,FALSE),"")</f>
        <v>Potatoes</v>
      </c>
      <c r="P79" s="545">
        <f t="shared" si="12"/>
        <v>116</v>
      </c>
      <c r="Q79" s="710">
        <f t="shared" si="13"/>
        <v>1</v>
      </c>
    </row>
    <row r="80" spans="1:17" ht="12.5">
      <c r="A80" s="84" t="s">
        <v>7038</v>
      </c>
      <c r="B80" s="399">
        <v>117</v>
      </c>
      <c r="C80" s="24" t="s">
        <v>3679</v>
      </c>
      <c r="D80" s="499">
        <v>11695</v>
      </c>
      <c r="E80" s="499">
        <v>10040</v>
      </c>
      <c r="F80" s="2">
        <f t="shared" si="9"/>
        <v>3.8854149937818203</v>
      </c>
      <c r="G80" s="2">
        <f t="shared" si="10"/>
        <v>1</v>
      </c>
      <c r="H80" s="2">
        <f t="shared" si="11"/>
        <v>2.4993969139811365</v>
      </c>
      <c r="I80" s="25">
        <f t="shared" si="7"/>
        <v>7523.1209422389911</v>
      </c>
      <c r="J80" s="343">
        <f t="shared" si="8"/>
        <v>6458.4980128327888</v>
      </c>
      <c r="L80" s="713">
        <v>581521</v>
      </c>
      <c r="M80" s="499">
        <v>552149</v>
      </c>
      <c r="N80" s="543" t="s">
        <v>2796</v>
      </c>
      <c r="O80" s="544" t="str">
        <f>IFERROR(VLOOKUP(P80,constant_ag_extr!$D$7:$E$594,2,FALSE),"")</f>
        <v>Potatoes</v>
      </c>
      <c r="P80" s="545">
        <f t="shared" si="12"/>
        <v>116</v>
      </c>
      <c r="Q80" s="710">
        <f t="shared" si="13"/>
        <v>0.2</v>
      </c>
    </row>
    <row r="81" spans="1:17" ht="12.5">
      <c r="A81" s="84" t="s">
        <v>7094</v>
      </c>
      <c r="B81" s="399">
        <v>118</v>
      </c>
      <c r="C81" s="24" t="s">
        <v>1786</v>
      </c>
      <c r="D81" s="499">
        <v>51636</v>
      </c>
      <c r="E81" s="499">
        <v>1086420</v>
      </c>
      <c r="F81" s="2">
        <f t="shared" si="9"/>
        <v>21.619191594719002</v>
      </c>
      <c r="G81" s="2">
        <f t="shared" si="10"/>
        <v>1</v>
      </c>
      <c r="H81" s="2">
        <f t="shared" si="11"/>
        <v>2.4993969139811365</v>
      </c>
      <c r="I81" s="25">
        <f t="shared" si="7"/>
        <v>5969.6431517751871</v>
      </c>
      <c r="J81" s="343">
        <f t="shared" si="8"/>
        <v>125601.12543480514</v>
      </c>
      <c r="L81" s="713">
        <v>8042780</v>
      </c>
      <c r="M81" s="499">
        <v>8342330</v>
      </c>
      <c r="N81" s="543" t="s">
        <v>2796</v>
      </c>
      <c r="O81" s="544" t="str">
        <f>IFERROR(VLOOKUP(P81,constant_ag_extr!$D$7:$E$594,2,FALSE),"")</f>
        <v>Potatoes</v>
      </c>
      <c r="P81" s="545">
        <f t="shared" si="12"/>
        <v>116</v>
      </c>
      <c r="Q81" s="710">
        <f t="shared" si="13"/>
        <v>1.1128382234236571</v>
      </c>
    </row>
    <row r="82" spans="1:17" ht="12.5">
      <c r="A82" s="84" t="s">
        <v>1966</v>
      </c>
      <c r="B82" s="399">
        <v>120</v>
      </c>
      <c r="C82" s="24" t="s">
        <v>1967</v>
      </c>
      <c r="D82" s="499"/>
      <c r="E82" s="499"/>
      <c r="F82" s="2">
        <f t="shared" si="9"/>
        <v>21.166295542672351</v>
      </c>
      <c r="G82" s="2">
        <f t="shared" si="10"/>
        <v>1</v>
      </c>
      <c r="H82" s="2">
        <f t="shared" si="11"/>
        <v>2.4993969139811365</v>
      </c>
      <c r="I82" s="25">
        <f t="shared" si="7"/>
        <v>0</v>
      </c>
      <c r="J82" s="343">
        <f t="shared" si="8"/>
        <v>0</v>
      </c>
      <c r="L82" s="713">
        <v>145900</v>
      </c>
      <c r="M82" s="499">
        <v>64</v>
      </c>
      <c r="N82" s="543" t="s">
        <v>2796</v>
      </c>
      <c r="O82" s="544" t="str">
        <f>IFERROR(VLOOKUP(P82,constant_ag_extr!$D$7:$E$594,2,FALSE),"")</f>
        <v>Potatoes</v>
      </c>
      <c r="P82" s="545">
        <f t="shared" si="12"/>
        <v>116</v>
      </c>
      <c r="Q82" s="710">
        <f t="shared" si="13"/>
        <v>1.0895256015919372</v>
      </c>
    </row>
    <row r="83" spans="1:17" ht="12.5">
      <c r="A83" s="84" t="s">
        <v>4648</v>
      </c>
      <c r="B83" s="399">
        <v>121</v>
      </c>
      <c r="C83" s="24" t="s">
        <v>4649</v>
      </c>
      <c r="D83" s="499"/>
      <c r="E83" s="499"/>
      <c r="F83" s="2">
        <f t="shared" si="9"/>
        <v>3.8854149937818203</v>
      </c>
      <c r="G83" s="2">
        <f t="shared" si="10"/>
        <v>1</v>
      </c>
      <c r="H83" s="2">
        <f t="shared" si="11"/>
        <v>2.4993969139811365</v>
      </c>
      <c r="I83" s="25">
        <f t="shared" si="7"/>
        <v>0</v>
      </c>
      <c r="J83" s="343">
        <f t="shared" si="8"/>
        <v>0</v>
      </c>
      <c r="L83" s="713"/>
      <c r="M83" s="499"/>
      <c r="N83" s="543" t="s">
        <v>2796</v>
      </c>
      <c r="O83" s="544" t="str">
        <f>IFERROR(VLOOKUP(P83,constant_ag_extr!$D$7:$E$594,2,FALSE),"")</f>
        <v>Potatoes</v>
      </c>
      <c r="P83" s="545">
        <f t="shared" si="12"/>
        <v>116</v>
      </c>
      <c r="Q83" s="710">
        <f t="shared" si="13"/>
        <v>0.2</v>
      </c>
    </row>
    <row r="84" spans="1:17" ht="12.5">
      <c r="A84" s="84" t="s">
        <v>3775</v>
      </c>
      <c r="B84" s="399">
        <v>122</v>
      </c>
      <c r="C84" s="24" t="s">
        <v>3554</v>
      </c>
      <c r="D84" s="499">
        <v>72403</v>
      </c>
      <c r="E84" s="499">
        <v>36961</v>
      </c>
      <c r="F84" s="2">
        <f t="shared" si="9"/>
        <v>10.929532522951135</v>
      </c>
      <c r="G84" s="2">
        <f t="shared" si="10"/>
        <v>1</v>
      </c>
      <c r="H84" s="2">
        <f t="shared" si="11"/>
        <v>2.4993969139811365</v>
      </c>
      <c r="I84" s="25">
        <f t="shared" si="7"/>
        <v>16557.326160379394</v>
      </c>
      <c r="J84" s="343">
        <f t="shared" si="8"/>
        <v>8452.3477233510057</v>
      </c>
      <c r="L84" s="713">
        <v>687419</v>
      </c>
      <c r="M84" s="499">
        <v>778698</v>
      </c>
      <c r="N84" s="543" t="s">
        <v>413</v>
      </c>
      <c r="O84" s="544" t="str">
        <f>IFERROR(VLOOKUP(P84,constant_ag_extr!$D$7:$E$594,2,FALSE),"")</f>
        <v>Sweet potatoes</v>
      </c>
      <c r="P84" s="545">
        <f t="shared" si="12"/>
        <v>122</v>
      </c>
      <c r="Q84" s="710">
        <f t="shared" si="13"/>
        <v>1</v>
      </c>
    </row>
    <row r="85" spans="1:17" ht="12.5">
      <c r="A85" s="84" t="s">
        <v>4505</v>
      </c>
      <c r="B85" s="399">
        <v>125</v>
      </c>
      <c r="C85" s="24" t="s">
        <v>5308</v>
      </c>
      <c r="D85" s="499"/>
      <c r="E85" s="499">
        <v>0</v>
      </c>
      <c r="F85" s="2">
        <f t="shared" si="9"/>
        <v>10.06746024824678</v>
      </c>
      <c r="G85" s="2">
        <f t="shared" si="10"/>
        <v>1</v>
      </c>
      <c r="H85" s="2">
        <f t="shared" si="11"/>
        <v>2.4993969139811365</v>
      </c>
      <c r="I85" s="25">
        <f t="shared" si="7"/>
        <v>0</v>
      </c>
      <c r="J85" s="343">
        <f t="shared" si="8"/>
        <v>0</v>
      </c>
      <c r="L85" s="713">
        <v>13</v>
      </c>
      <c r="M85" s="499">
        <v>76693</v>
      </c>
      <c r="N85" s="543" t="s">
        <v>413</v>
      </c>
      <c r="O85" s="544" t="str">
        <f>IFERROR(VLOOKUP(P85,constant_ag_extr!$D$7:$E$594,2,FALSE),"")</f>
        <v>Cassava</v>
      </c>
      <c r="P85" s="545">
        <f t="shared" si="12"/>
        <v>125</v>
      </c>
      <c r="Q85" s="710">
        <f t="shared" si="13"/>
        <v>1</v>
      </c>
    </row>
    <row r="86" spans="1:17" ht="12.5">
      <c r="A86" s="84" t="s">
        <v>2151</v>
      </c>
      <c r="B86" s="399">
        <v>126</v>
      </c>
      <c r="C86" s="24" t="s">
        <v>2152</v>
      </c>
      <c r="D86" s="499">
        <v>5304</v>
      </c>
      <c r="E86" s="499">
        <v>1724</v>
      </c>
      <c r="F86" s="2">
        <f t="shared" si="9"/>
        <v>3.020238074474034</v>
      </c>
      <c r="G86" s="2">
        <f t="shared" si="10"/>
        <v>1</v>
      </c>
      <c r="H86" s="2">
        <f t="shared" si="11"/>
        <v>2.4993969139811365</v>
      </c>
      <c r="I86" s="25">
        <f t="shared" si="7"/>
        <v>4389.3232602415228</v>
      </c>
      <c r="J86" s="343">
        <f t="shared" si="8"/>
        <v>1426.6955695053518</v>
      </c>
      <c r="L86" s="713">
        <v>22950</v>
      </c>
      <c r="M86" s="499">
        <v>122410</v>
      </c>
      <c r="N86" s="543" t="s">
        <v>2796</v>
      </c>
      <c r="O86" s="544" t="str">
        <f>IFERROR(VLOOKUP(P86,constant_ag_extr!$D$7:$E$594,2,FALSE),"")</f>
        <v>Cassava</v>
      </c>
      <c r="P86" s="545">
        <f t="shared" si="12"/>
        <v>125</v>
      </c>
      <c r="Q86" s="710">
        <f t="shared" si="13"/>
        <v>0.3</v>
      </c>
    </row>
    <row r="87" spans="1:17" ht="12.5">
      <c r="A87" s="84" t="s">
        <v>4646</v>
      </c>
      <c r="B87" s="399">
        <v>127</v>
      </c>
      <c r="C87" s="24" t="s">
        <v>4647</v>
      </c>
      <c r="D87" s="499"/>
      <c r="E87" s="499"/>
      <c r="F87" s="2">
        <f t="shared" si="9"/>
        <v>2.013492049649356</v>
      </c>
      <c r="G87" s="2">
        <f t="shared" si="10"/>
        <v>1</v>
      </c>
      <c r="H87" s="2">
        <f t="shared" si="11"/>
        <v>2.4993969139811365</v>
      </c>
      <c r="I87" s="25">
        <f t="shared" ref="I87:I150" si="14">IFERROR((D87/F87)*H87*G87,0)</f>
        <v>0</v>
      </c>
      <c r="J87" s="343">
        <f t="shared" ref="J87:J150" si="15">IFERROR((E87/F87)*H87*G87,0)</f>
        <v>0</v>
      </c>
      <c r="L87" s="713"/>
      <c r="M87" s="499"/>
      <c r="N87" s="543" t="s">
        <v>2796</v>
      </c>
      <c r="O87" s="544" t="str">
        <f>IFERROR(VLOOKUP(P87,constant_ag_extr!$D$7:$E$594,2,FALSE),"")</f>
        <v>Cassava</v>
      </c>
      <c r="P87" s="545">
        <f t="shared" si="12"/>
        <v>125</v>
      </c>
      <c r="Q87" s="710">
        <f t="shared" si="13"/>
        <v>0.2</v>
      </c>
    </row>
    <row r="88" spans="1:17" ht="12.5">
      <c r="A88" s="84" t="s">
        <v>4348</v>
      </c>
      <c r="B88" s="399">
        <v>128</v>
      </c>
      <c r="C88" s="24" t="s">
        <v>4349</v>
      </c>
      <c r="D88" s="499">
        <v>4522</v>
      </c>
      <c r="E88" s="499">
        <v>1.4080699682235718</v>
      </c>
      <c r="F88" s="2">
        <f t="shared" si="9"/>
        <v>3.5236110868863726</v>
      </c>
      <c r="G88" s="2">
        <f t="shared" si="10"/>
        <v>1</v>
      </c>
      <c r="H88" s="2">
        <f t="shared" si="11"/>
        <v>2.4993969139811365</v>
      </c>
      <c r="I88" s="25">
        <f t="shared" si="14"/>
        <v>3207.5823824841905</v>
      </c>
      <c r="J88" s="343">
        <f t="shared" si="15"/>
        <v>0.99878381764241553</v>
      </c>
      <c r="L88" s="713">
        <v>7539500</v>
      </c>
      <c r="M88" s="499">
        <v>5505830</v>
      </c>
      <c r="N88" s="543" t="s">
        <v>2796</v>
      </c>
      <c r="O88" s="544" t="str">
        <f>IFERROR(VLOOKUP(P88,constant_ag_extr!$D$7:$E$594,2,FALSE),"")</f>
        <v>Cassava</v>
      </c>
      <c r="P88" s="545">
        <f t="shared" si="12"/>
        <v>125</v>
      </c>
      <c r="Q88" s="710">
        <f t="shared" si="13"/>
        <v>0.35</v>
      </c>
    </row>
    <row r="89" spans="1:17" ht="12.5">
      <c r="A89" s="84" t="s">
        <v>7098</v>
      </c>
      <c r="B89" s="399">
        <v>129</v>
      </c>
      <c r="C89" s="24" t="s">
        <v>4351</v>
      </c>
      <c r="D89" s="499">
        <v>8266</v>
      </c>
      <c r="E89" s="499">
        <v>71</v>
      </c>
      <c r="F89" s="2">
        <f t="shared" si="9"/>
        <v>2.516865062061695</v>
      </c>
      <c r="G89" s="2">
        <f t="shared" si="10"/>
        <v>1</v>
      </c>
      <c r="H89" s="2">
        <f t="shared" si="11"/>
        <v>2.4993969139811365</v>
      </c>
      <c r="I89" s="25">
        <f t="shared" si="14"/>
        <v>8208.630332388333</v>
      </c>
      <c r="J89" s="343">
        <f t="shared" si="15"/>
        <v>70.507228840983743</v>
      </c>
      <c r="L89" s="713">
        <v>3580190</v>
      </c>
      <c r="M89" s="499">
        <v>4531370</v>
      </c>
      <c r="N89" s="543" t="s">
        <v>2796</v>
      </c>
      <c r="O89" s="544" t="str">
        <f>IFERROR(VLOOKUP(P89,constant_ag_extr!$D$7:$E$594,2,FALSE),"")</f>
        <v>Cassava</v>
      </c>
      <c r="P89" s="545">
        <f t="shared" si="12"/>
        <v>125</v>
      </c>
      <c r="Q89" s="710">
        <f t="shared" si="13"/>
        <v>0.25</v>
      </c>
    </row>
    <row r="90" spans="1:17" ht="12.5">
      <c r="A90" s="84" t="s">
        <v>3792</v>
      </c>
      <c r="B90" s="399">
        <v>135</v>
      </c>
      <c r="C90" s="24" t="s">
        <v>539</v>
      </c>
      <c r="D90" s="499"/>
      <c r="E90" s="499"/>
      <c r="F90" s="400">
        <f t="shared" si="9"/>
        <v>11.038835451513267</v>
      </c>
      <c r="G90" s="2">
        <f t="shared" si="10"/>
        <v>1</v>
      </c>
      <c r="H90" s="2">
        <f t="shared" si="11"/>
        <v>2.4993969139811365</v>
      </c>
      <c r="I90" s="25">
        <f t="shared" si="14"/>
        <v>0</v>
      </c>
      <c r="J90" s="343">
        <f t="shared" si="15"/>
        <v>0</v>
      </c>
      <c r="L90" s="713"/>
      <c r="M90" s="499"/>
      <c r="N90" s="543" t="s">
        <v>413</v>
      </c>
      <c r="O90" s="544" t="str">
        <f>IFERROR(VLOOKUP(P90,constant_ag_extr!$D$7:$E$594,2,FALSE),"")</f>
        <v>Yautia (cocoyam)</v>
      </c>
      <c r="P90" s="545">
        <f t="shared" si="12"/>
        <v>135</v>
      </c>
      <c r="Q90" s="710">
        <f t="shared" si="13"/>
        <v>1</v>
      </c>
    </row>
    <row r="91" spans="1:17" ht="12.5">
      <c r="A91" s="84" t="s">
        <v>729</v>
      </c>
      <c r="B91" s="399">
        <v>136</v>
      </c>
      <c r="C91" s="24" t="s">
        <v>4419</v>
      </c>
      <c r="D91" s="499"/>
      <c r="E91" s="499"/>
      <c r="F91" s="2">
        <f t="shared" si="9"/>
        <v>5.0754275586450346</v>
      </c>
      <c r="G91" s="2">
        <f t="shared" si="10"/>
        <v>1</v>
      </c>
      <c r="H91" s="2">
        <f t="shared" si="11"/>
        <v>2.4993969139811365</v>
      </c>
      <c r="I91" s="25">
        <f t="shared" si="14"/>
        <v>0</v>
      </c>
      <c r="J91" s="343">
        <f t="shared" si="15"/>
        <v>0</v>
      </c>
      <c r="L91" s="713"/>
      <c r="M91" s="499"/>
      <c r="N91" s="543" t="s">
        <v>413</v>
      </c>
      <c r="O91" s="544" t="str">
        <f>IFERROR(VLOOKUP(P91,constant_ag_extr!$D$7:$E$594,2,FALSE),"")</f>
        <v>Taro (cocoyam)</v>
      </c>
      <c r="P91" s="545">
        <f t="shared" si="12"/>
        <v>136</v>
      </c>
      <c r="Q91" s="710">
        <f t="shared" si="13"/>
        <v>1</v>
      </c>
    </row>
    <row r="92" spans="1:17" ht="12.5">
      <c r="A92" s="84" t="s">
        <v>1154</v>
      </c>
      <c r="B92" s="399">
        <v>137</v>
      </c>
      <c r="C92" s="24" t="s">
        <v>1155</v>
      </c>
      <c r="D92" s="499"/>
      <c r="E92" s="499"/>
      <c r="F92" s="2">
        <f t="shared" si="9"/>
        <v>7.7110929477935661</v>
      </c>
      <c r="G92" s="2">
        <f t="shared" si="10"/>
        <v>1</v>
      </c>
      <c r="H92" s="2">
        <f t="shared" si="11"/>
        <v>2.4993969139811365</v>
      </c>
      <c r="I92" s="25">
        <f t="shared" si="14"/>
        <v>0</v>
      </c>
      <c r="J92" s="343">
        <f t="shared" si="15"/>
        <v>0</v>
      </c>
      <c r="L92" s="713"/>
      <c r="M92" s="499"/>
      <c r="N92" s="543" t="s">
        <v>413</v>
      </c>
      <c r="O92" s="544" t="str">
        <f>IFERROR(VLOOKUP(P92,constant_ag_extr!$D$7:$E$594,2,FALSE),"")</f>
        <v>Yams</v>
      </c>
      <c r="P92" s="545">
        <f t="shared" si="12"/>
        <v>137</v>
      </c>
      <c r="Q92" s="710">
        <f t="shared" si="13"/>
        <v>1</v>
      </c>
    </row>
    <row r="93" spans="1:17" ht="12.5">
      <c r="A93" s="84" t="s">
        <v>660</v>
      </c>
      <c r="B93" s="399">
        <v>149</v>
      </c>
      <c r="C93" s="24" t="s">
        <v>5393</v>
      </c>
      <c r="D93" s="499">
        <v>4877</v>
      </c>
      <c r="E93" s="499">
        <v>112</v>
      </c>
      <c r="F93" s="2">
        <f t="shared" si="9"/>
        <v>11.109354554344595</v>
      </c>
      <c r="G93" s="2">
        <f t="shared" si="10"/>
        <v>1</v>
      </c>
      <c r="H93" s="2">
        <f t="shared" si="11"/>
        <v>2.4993969139811365</v>
      </c>
      <c r="I93" s="25">
        <f t="shared" si="14"/>
        <v>1097.233749256744</v>
      </c>
      <c r="J93" s="343">
        <f t="shared" si="15"/>
        <v>25.197904432387801</v>
      </c>
      <c r="L93" s="713">
        <v>96440</v>
      </c>
      <c r="M93" s="499">
        <v>137342</v>
      </c>
      <c r="N93" s="543" t="s">
        <v>413</v>
      </c>
      <c r="O93" s="544" t="str">
        <f>IFERROR(VLOOKUP(P93,constant_ag_extr!$D$7:$E$594,2,FALSE),"")</f>
        <v>Roots and Tubers, nes</v>
      </c>
      <c r="P93" s="545">
        <f t="shared" si="12"/>
        <v>149</v>
      </c>
      <c r="Q93" s="710">
        <f t="shared" si="13"/>
        <v>1</v>
      </c>
    </row>
    <row r="94" spans="1:17" ht="12.5">
      <c r="A94" s="84" t="s">
        <v>7040</v>
      </c>
      <c r="B94" s="399">
        <v>150</v>
      </c>
      <c r="C94" s="24" t="s">
        <v>582</v>
      </c>
      <c r="D94" s="499"/>
      <c r="E94" s="499"/>
      <c r="F94" s="2">
        <f t="shared" si="9"/>
        <v>2.7597088628783166</v>
      </c>
      <c r="G94" s="2">
        <f t="shared" si="10"/>
        <v>1</v>
      </c>
      <c r="H94" s="2">
        <f t="shared" si="11"/>
        <v>2.4993969139811365</v>
      </c>
      <c r="I94" s="25">
        <f t="shared" si="14"/>
        <v>0</v>
      </c>
      <c r="J94" s="343">
        <f t="shared" si="15"/>
        <v>0</v>
      </c>
      <c r="L94" s="713">
        <v>184405</v>
      </c>
      <c r="M94" s="499">
        <v>36513</v>
      </c>
      <c r="N94" s="543" t="s">
        <v>2796</v>
      </c>
      <c r="O94" s="544" t="str">
        <f>IFERROR(VLOOKUP(P94,constant_ag_extr!$D$7:$E$594,2,FALSE),"")</f>
        <v>Yautia (cocoyam)</v>
      </c>
      <c r="P94" s="545">
        <f t="shared" si="12"/>
        <v>135</v>
      </c>
      <c r="Q94" s="710">
        <f t="shared" si="13"/>
        <v>0.25</v>
      </c>
    </row>
    <row r="95" spans="1:17" ht="12.5">
      <c r="A95" s="84" t="s">
        <v>659</v>
      </c>
      <c r="B95" s="399">
        <v>151</v>
      </c>
      <c r="C95" s="24" t="s">
        <v>3274</v>
      </c>
      <c r="D95" s="499"/>
      <c r="E95" s="499"/>
      <c r="F95" s="2">
        <f t="shared" si="9"/>
        <v>3.3116506354539799</v>
      </c>
      <c r="G95" s="2">
        <f t="shared" si="10"/>
        <v>1</v>
      </c>
      <c r="H95" s="2">
        <f t="shared" si="11"/>
        <v>2.4993969139811365</v>
      </c>
      <c r="I95" s="25">
        <f t="shared" si="14"/>
        <v>0</v>
      </c>
      <c r="J95" s="343">
        <f t="shared" si="15"/>
        <v>0</v>
      </c>
      <c r="L95" s="713"/>
      <c r="M95" s="499"/>
      <c r="N95" s="543" t="s">
        <v>2796</v>
      </c>
      <c r="O95" s="544" t="str">
        <f>IFERROR(VLOOKUP(P95,constant_ag_extr!$D$7:$E$594,2,FALSE),"")</f>
        <v>Yautia (cocoyam)</v>
      </c>
      <c r="P95" s="545">
        <f t="shared" si="12"/>
        <v>135</v>
      </c>
      <c r="Q95" s="710">
        <f t="shared" si="13"/>
        <v>0.3</v>
      </c>
    </row>
    <row r="96" spans="1:17" ht="12.5">
      <c r="A96" s="84" t="s">
        <v>1038</v>
      </c>
      <c r="B96" s="399">
        <v>156</v>
      </c>
      <c r="C96" s="24" t="s">
        <v>1039</v>
      </c>
      <c r="D96" s="499"/>
      <c r="E96" s="499"/>
      <c r="F96" s="2">
        <f t="shared" si="9"/>
        <v>66.527167302537435</v>
      </c>
      <c r="G96" s="2">
        <f t="shared" si="10"/>
        <v>1</v>
      </c>
      <c r="H96" s="2">
        <f t="shared" si="11"/>
        <v>2.4993969139811365</v>
      </c>
      <c r="I96" s="25">
        <f t="shared" si="14"/>
        <v>0</v>
      </c>
      <c r="J96" s="343">
        <f t="shared" si="15"/>
        <v>0</v>
      </c>
      <c r="L96" s="713"/>
      <c r="M96" s="499"/>
      <c r="N96" s="543" t="s">
        <v>413</v>
      </c>
      <c r="O96" s="544" t="str">
        <f>IFERROR(VLOOKUP(P96,constant_ag_extr!$D$7:$E$594,2,FALSE),"")</f>
        <v>Sugar cane</v>
      </c>
      <c r="P96" s="545">
        <f t="shared" si="12"/>
        <v>156</v>
      </c>
      <c r="Q96" s="710">
        <f t="shared" si="13"/>
        <v>1</v>
      </c>
    </row>
    <row r="97" spans="1:17" ht="12.5">
      <c r="A97" s="84" t="s">
        <v>1037</v>
      </c>
      <c r="B97" s="399">
        <v>157</v>
      </c>
      <c r="C97" s="24" t="s">
        <v>3548</v>
      </c>
      <c r="D97" s="499">
        <v>0</v>
      </c>
      <c r="E97" s="499">
        <v>0</v>
      </c>
      <c r="F97" s="2">
        <f t="shared" si="9"/>
        <v>52.073948408545526</v>
      </c>
      <c r="G97" s="2">
        <f t="shared" si="10"/>
        <v>1</v>
      </c>
      <c r="H97" s="2">
        <f t="shared" si="11"/>
        <v>2.4993969139811365</v>
      </c>
      <c r="I97" s="25">
        <f t="shared" si="14"/>
        <v>0</v>
      </c>
      <c r="J97" s="343">
        <f t="shared" si="15"/>
        <v>0</v>
      </c>
      <c r="L97" s="713">
        <v>688089</v>
      </c>
      <c r="M97" s="499">
        <v>517015</v>
      </c>
      <c r="N97" s="543" t="s">
        <v>413</v>
      </c>
      <c r="O97" s="544" t="str">
        <f>IFERROR(VLOOKUP(P97,constant_ag_extr!$D$7:$E$594,2,FALSE),"")</f>
        <v>Sugar beet</v>
      </c>
      <c r="P97" s="545">
        <f t="shared" si="12"/>
        <v>157</v>
      </c>
      <c r="Q97" s="710">
        <f t="shared" si="13"/>
        <v>1</v>
      </c>
    </row>
    <row r="98" spans="1:17" ht="12.5">
      <c r="A98" s="84" t="s">
        <v>2086</v>
      </c>
      <c r="B98" s="399">
        <v>160</v>
      </c>
      <c r="C98" s="24" t="s">
        <v>2087</v>
      </c>
      <c r="D98" s="499">
        <v>2506</v>
      </c>
      <c r="E98" s="499">
        <v>48373</v>
      </c>
      <c r="F98" s="2">
        <f t="shared" si="9"/>
        <v>0</v>
      </c>
      <c r="G98" s="2">
        <f t="shared" si="10"/>
        <v>1</v>
      </c>
      <c r="H98" s="2">
        <f t="shared" si="11"/>
        <v>2.4993969139811365</v>
      </c>
      <c r="I98" s="25">
        <f t="shared" si="14"/>
        <v>0</v>
      </c>
      <c r="J98" s="343">
        <f t="shared" si="15"/>
        <v>0</v>
      </c>
      <c r="L98" s="713">
        <v>61136</v>
      </c>
      <c r="M98" s="499">
        <v>60806</v>
      </c>
      <c r="N98" s="543" t="s">
        <v>413</v>
      </c>
      <c r="O98" s="544">
        <f>IFERROR(VLOOKUP(P98,constant_ag_extr!$D$7:$E$594,2,FALSE),"")</f>
        <v>0</v>
      </c>
      <c r="P98" s="545" t="str">
        <f t="shared" si="12"/>
        <v/>
      </c>
      <c r="Q98" s="710">
        <f t="shared" si="13"/>
        <v>1</v>
      </c>
    </row>
    <row r="99" spans="1:17" ht="12.5">
      <c r="A99" s="84" t="s">
        <v>667</v>
      </c>
      <c r="B99" s="399">
        <v>161</v>
      </c>
      <c r="C99" s="24" t="s">
        <v>1040</v>
      </c>
      <c r="D99" s="499"/>
      <c r="E99" s="499"/>
      <c r="F99" s="2">
        <f t="shared" si="9"/>
        <v>7.5373304978560061</v>
      </c>
      <c r="G99" s="2">
        <f t="shared" si="10"/>
        <v>1</v>
      </c>
      <c r="H99" s="2">
        <f t="shared" si="11"/>
        <v>2.4993969139811365</v>
      </c>
      <c r="I99" s="25">
        <f t="shared" si="14"/>
        <v>0</v>
      </c>
      <c r="J99" s="343">
        <f t="shared" si="15"/>
        <v>0</v>
      </c>
      <c r="L99" s="713">
        <v>96</v>
      </c>
      <c r="M99" s="499">
        <v>1124</v>
      </c>
      <c r="N99" s="543" t="s">
        <v>413</v>
      </c>
      <c r="O99" s="544" t="str">
        <f>IFERROR(VLOOKUP(P99,constant_ag_extr!$D$7:$E$594,2,FALSE),"")</f>
        <v>Sugar crops, nes</v>
      </c>
      <c r="P99" s="545">
        <f t="shared" si="12"/>
        <v>161</v>
      </c>
      <c r="Q99" s="710">
        <f t="shared" si="13"/>
        <v>1</v>
      </c>
    </row>
    <row r="100" spans="1:17" ht="12.5">
      <c r="A100" s="84" t="s">
        <v>668</v>
      </c>
      <c r="B100" s="399">
        <v>162</v>
      </c>
      <c r="C100" s="24" t="s">
        <v>2035</v>
      </c>
      <c r="D100" s="499">
        <v>1250580</v>
      </c>
      <c r="E100" s="499">
        <v>339</v>
      </c>
      <c r="F100" s="2">
        <f t="shared" si="9"/>
        <v>11.816565864025216</v>
      </c>
      <c r="G100" s="2">
        <f t="shared" si="10"/>
        <v>1</v>
      </c>
      <c r="H100" s="2">
        <f t="shared" si="11"/>
        <v>2.4993969139811365</v>
      </c>
      <c r="I100" s="25">
        <f t="shared" si="14"/>
        <v>264518.12046362064</v>
      </c>
      <c r="J100" s="343">
        <f t="shared" si="15"/>
        <v>71.704043593506526</v>
      </c>
      <c r="L100" s="713">
        <v>35404200</v>
      </c>
      <c r="M100" s="499">
        <v>33725100</v>
      </c>
      <c r="N100" s="543" t="s">
        <v>2796</v>
      </c>
      <c r="O100" s="544" t="str">
        <f>IFERROR(VLOOKUP(P100,constant_ag_extr!$D$7:$E$594,2,FALSE),"")</f>
        <v>Sugar cane</v>
      </c>
      <c r="P100" s="545">
        <f t="shared" si="12"/>
        <v>156</v>
      </c>
      <c r="Q100" s="710">
        <f t="shared" si="13"/>
        <v>0.17762015644358448</v>
      </c>
    </row>
    <row r="101" spans="1:17" ht="12.5">
      <c r="A101" s="84" t="s">
        <v>7099</v>
      </c>
      <c r="B101" s="399">
        <v>163</v>
      </c>
      <c r="C101" s="24" t="s">
        <v>3550</v>
      </c>
      <c r="D101" s="499"/>
      <c r="E101" s="499"/>
      <c r="F101" s="2">
        <f t="shared" si="9"/>
        <v>5.9874450572283688</v>
      </c>
      <c r="G101" s="2">
        <f t="shared" si="10"/>
        <v>1</v>
      </c>
      <c r="H101" s="2">
        <f t="shared" si="11"/>
        <v>2.4993969139811365</v>
      </c>
      <c r="I101" s="25">
        <f t="shared" si="14"/>
        <v>0</v>
      </c>
      <c r="J101" s="343">
        <f t="shared" si="15"/>
        <v>0</v>
      </c>
      <c r="L101" s="713">
        <v>7</v>
      </c>
      <c r="M101" s="499">
        <v>116</v>
      </c>
      <c r="N101" s="543" t="s">
        <v>2796</v>
      </c>
      <c r="O101" s="544" t="str">
        <f>IFERROR(VLOOKUP(P101,constant_ag_extr!$D$7:$E$594,2,FALSE),"")</f>
        <v>Sugar cane</v>
      </c>
      <c r="P101" s="545">
        <f t="shared" si="12"/>
        <v>156</v>
      </c>
      <c r="Q101" s="710">
        <f t="shared" si="13"/>
        <v>0.09</v>
      </c>
    </row>
    <row r="102" spans="1:17" ht="12.5">
      <c r="A102" s="84" t="s">
        <v>669</v>
      </c>
      <c r="B102" s="399">
        <v>164</v>
      </c>
      <c r="C102" s="24" t="s">
        <v>2036</v>
      </c>
      <c r="D102" s="499">
        <v>39123</v>
      </c>
      <c r="E102" s="499">
        <v>58684</v>
      </c>
      <c r="F102" s="2">
        <f t="shared" si="9"/>
        <v>11.048489082863579</v>
      </c>
      <c r="G102" s="2">
        <f t="shared" si="10"/>
        <v>1</v>
      </c>
      <c r="H102" s="2">
        <f t="shared" si="11"/>
        <v>2.4993969139811365</v>
      </c>
      <c r="I102" s="25">
        <f t="shared" si="14"/>
        <v>8850.4323742645265</v>
      </c>
      <c r="J102" s="343">
        <f t="shared" si="15"/>
        <v>13275.535451047706</v>
      </c>
      <c r="L102" s="713">
        <v>27438900</v>
      </c>
      <c r="M102" s="499">
        <v>30422900</v>
      </c>
      <c r="N102" s="543" t="s">
        <v>2796</v>
      </c>
      <c r="O102" s="544" t="str">
        <f>IFERROR(VLOOKUP(P102,constant_ag_extr!$D$7:$E$594,2,FALSE),"")</f>
        <v>Sugar cane</v>
      </c>
      <c r="P102" s="545">
        <f t="shared" si="12"/>
        <v>156</v>
      </c>
      <c r="Q102" s="710">
        <f t="shared" si="13"/>
        <v>0.1660748462747515</v>
      </c>
    </row>
    <row r="103" spans="1:17" ht="12.5">
      <c r="A103" s="84" t="s">
        <v>771</v>
      </c>
      <c r="B103" s="399">
        <v>165</v>
      </c>
      <c r="C103" s="24" t="s">
        <v>256</v>
      </c>
      <c r="D103" s="499">
        <v>142077</v>
      </c>
      <c r="E103" s="499">
        <v>12171</v>
      </c>
      <c r="F103" s="2">
        <f t="shared" si="9"/>
        <v>47.563646512383386</v>
      </c>
      <c r="G103" s="2">
        <f t="shared" si="10"/>
        <v>1</v>
      </c>
      <c r="H103" s="2">
        <f t="shared" si="11"/>
        <v>2.4993969139811365</v>
      </c>
      <c r="I103" s="25">
        <f t="shared" si="14"/>
        <v>7465.9291577916438</v>
      </c>
      <c r="J103" s="343">
        <f t="shared" si="15"/>
        <v>639.5674442695306</v>
      </c>
      <c r="L103" s="713">
        <v>6294810</v>
      </c>
      <c r="M103" s="499">
        <v>6340000</v>
      </c>
      <c r="N103" s="543" t="s">
        <v>2796</v>
      </c>
      <c r="O103" s="544" t="str">
        <f>IFERROR(VLOOKUP(P103,constant_ag_extr!$D$7:$E$594,2,FALSE),"")</f>
        <v>Sugar cane</v>
      </c>
      <c r="P103" s="545">
        <f t="shared" si="12"/>
        <v>156</v>
      </c>
      <c r="Q103" s="710">
        <f t="shared" si="13"/>
        <v>0.71495072525911152</v>
      </c>
    </row>
    <row r="104" spans="1:17" ht="12.5">
      <c r="A104" s="84" t="s">
        <v>7044</v>
      </c>
      <c r="B104" s="399">
        <v>166</v>
      </c>
      <c r="C104" s="24" t="s">
        <v>5041</v>
      </c>
      <c r="D104" s="499">
        <v>133329</v>
      </c>
      <c r="E104" s="499">
        <v>60160</v>
      </c>
      <c r="F104" s="2">
        <f t="shared" si="9"/>
        <v>3.7384176410976599</v>
      </c>
      <c r="G104" s="2">
        <f t="shared" si="10"/>
        <v>1</v>
      </c>
      <c r="H104" s="2">
        <f t="shared" si="11"/>
        <v>2.4993969139811365</v>
      </c>
      <c r="I104" s="25">
        <f t="shared" si="14"/>
        <v>89139.877653248419</v>
      </c>
      <c r="J104" s="343">
        <f t="shared" si="15"/>
        <v>40221.219986795251</v>
      </c>
      <c r="L104" s="713">
        <v>1924420</v>
      </c>
      <c r="M104" s="499">
        <v>2083400</v>
      </c>
      <c r="N104" s="543" t="s">
        <v>2796</v>
      </c>
      <c r="O104" s="544" t="str">
        <f>IFERROR(VLOOKUP(P104,constant_ag_extr!$D$7:$E$594,2,FALSE),"")</f>
        <v>Maize</v>
      </c>
      <c r="P104" s="545">
        <f t="shared" si="12"/>
        <v>56</v>
      </c>
      <c r="Q104" s="710">
        <f t="shared" si="13"/>
        <v>0.71664540645483255</v>
      </c>
    </row>
    <row r="105" spans="1:17" ht="12.5">
      <c r="A105" s="84" t="s">
        <v>3243</v>
      </c>
      <c r="B105" s="399">
        <v>167</v>
      </c>
      <c r="C105" s="24" t="s">
        <v>2035</v>
      </c>
      <c r="D105" s="499">
        <v>46926</v>
      </c>
      <c r="E105" s="499">
        <v>10195</v>
      </c>
      <c r="F105" s="2">
        <f t="shared" si="9"/>
        <v>7.3179884032791183</v>
      </c>
      <c r="G105" s="2">
        <f t="shared" si="10"/>
        <v>1</v>
      </c>
      <c r="H105" s="2">
        <f t="shared" si="11"/>
        <v>2.4993969139811365</v>
      </c>
      <c r="I105" s="25">
        <f t="shared" si="14"/>
        <v>16027.177568759716</v>
      </c>
      <c r="J105" s="343">
        <f t="shared" si="15"/>
        <v>3482.0158401207286</v>
      </c>
      <c r="L105" s="713">
        <v>1551410</v>
      </c>
      <c r="M105" s="499">
        <v>1471190</v>
      </c>
      <c r="N105" s="543" t="s">
        <v>2796</v>
      </c>
      <c r="O105" s="544" t="str">
        <f>IFERROR(VLOOKUP(P105,constant_ag_extr!$D$7:$E$594,2,FALSE),"")</f>
        <v>Sugar cane</v>
      </c>
      <c r="P105" s="545">
        <f t="shared" si="12"/>
        <v>156</v>
      </c>
      <c r="Q105" s="710">
        <f t="shared" si="13"/>
        <v>0.11</v>
      </c>
    </row>
    <row r="106" spans="1:17" ht="12.5">
      <c r="A106" s="84" t="s">
        <v>4435</v>
      </c>
      <c r="B106" s="399">
        <v>168</v>
      </c>
      <c r="C106" s="24" t="s">
        <v>3479</v>
      </c>
      <c r="D106" s="499">
        <v>145591</v>
      </c>
      <c r="E106" s="499">
        <v>155126</v>
      </c>
      <c r="F106" s="2">
        <f t="shared" si="9"/>
        <v>11.048489082863579</v>
      </c>
      <c r="G106" s="2">
        <f t="shared" si="10"/>
        <v>1</v>
      </c>
      <c r="H106" s="2">
        <f t="shared" si="11"/>
        <v>2.4993969139811365</v>
      </c>
      <c r="I106" s="25">
        <f t="shared" si="14"/>
        <v>32935.697666373911</v>
      </c>
      <c r="J106" s="343">
        <f t="shared" si="15"/>
        <v>35092.712023366279</v>
      </c>
      <c r="L106" s="713">
        <v>3642240</v>
      </c>
      <c r="M106" s="499">
        <v>3902530</v>
      </c>
      <c r="N106" s="543" t="s">
        <v>2796</v>
      </c>
      <c r="O106" s="544" t="str">
        <f>IFERROR(VLOOKUP(P106,constant_ag_extr!$D$7:$E$594,2,FALSE),"")</f>
        <v>Sugar cane</v>
      </c>
      <c r="P106" s="545">
        <f t="shared" si="12"/>
        <v>156</v>
      </c>
      <c r="Q106" s="710">
        <f t="shared" si="13"/>
        <v>0.1660748462747515</v>
      </c>
    </row>
    <row r="107" spans="1:17" ht="12.5">
      <c r="A107" s="84" t="s">
        <v>3497</v>
      </c>
      <c r="B107" s="399">
        <v>169</v>
      </c>
      <c r="C107" s="24" t="s">
        <v>3498</v>
      </c>
      <c r="D107" s="499">
        <v>42565</v>
      </c>
      <c r="E107" s="499">
        <v>8689</v>
      </c>
      <c r="F107" s="2">
        <f t="shared" si="9"/>
        <v>3.6451763885981872</v>
      </c>
      <c r="G107" s="2">
        <f t="shared" si="10"/>
        <v>1</v>
      </c>
      <c r="H107" s="2">
        <f t="shared" si="11"/>
        <v>2.4993969139811365</v>
      </c>
      <c r="I107" s="25">
        <f t="shared" si="14"/>
        <v>29185.646537263972</v>
      </c>
      <c r="J107" s="343">
        <f t="shared" si="15"/>
        <v>5957.8076532899486</v>
      </c>
      <c r="L107" s="713">
        <v>3594970</v>
      </c>
      <c r="M107" s="499">
        <v>3895980</v>
      </c>
      <c r="N107" s="543" t="s">
        <v>2796</v>
      </c>
      <c r="O107" s="544" t="str">
        <f>IFERROR(VLOOKUP(P107,constant_ag_extr!$D$7:$E$594,2,FALSE),"")</f>
        <v>Sugar beet</v>
      </c>
      <c r="P107" s="545">
        <f t="shared" si="12"/>
        <v>157</v>
      </c>
      <c r="Q107" s="710">
        <f t="shared" si="13"/>
        <v>7.0000000000000007E-2</v>
      </c>
    </row>
    <row r="108" spans="1:17" ht="12.5">
      <c r="A108" s="84" t="s">
        <v>1408</v>
      </c>
      <c r="B108" s="399">
        <v>170</v>
      </c>
      <c r="C108" s="24" t="s">
        <v>1409</v>
      </c>
      <c r="D108" s="499"/>
      <c r="E108" s="499"/>
      <c r="F108" s="2">
        <f t="shared" si="9"/>
        <v>53.518693659655469</v>
      </c>
      <c r="G108" s="2">
        <f t="shared" si="10"/>
        <v>1</v>
      </c>
      <c r="H108" s="2">
        <f t="shared" si="11"/>
        <v>2.4993969139811365</v>
      </c>
      <c r="I108" s="25">
        <f t="shared" si="14"/>
        <v>0</v>
      </c>
      <c r="J108" s="343">
        <f t="shared" si="15"/>
        <v>0</v>
      </c>
      <c r="L108" s="713"/>
      <c r="M108" s="499"/>
      <c r="N108" s="543" t="s">
        <v>2796</v>
      </c>
      <c r="O108" s="544" t="str">
        <f>IFERROR(VLOOKUP(P108,constant_ag_extr!$D$7:$E$594,2,FALSE),"")</f>
        <v>Sugar cane</v>
      </c>
      <c r="P108" s="545">
        <f t="shared" si="12"/>
        <v>156</v>
      </c>
      <c r="Q108" s="710">
        <f t="shared" si="13"/>
        <v>0.80446373759272016</v>
      </c>
    </row>
    <row r="109" spans="1:17" ht="12.5">
      <c r="A109" s="84" t="s">
        <v>402</v>
      </c>
      <c r="B109" s="399">
        <v>172</v>
      </c>
      <c r="C109" s="24" t="s">
        <v>403</v>
      </c>
      <c r="D109" s="499">
        <v>148688</v>
      </c>
      <c r="E109" s="499">
        <v>170046</v>
      </c>
      <c r="F109" s="2">
        <f t="shared" si="9"/>
        <v>3.7384176410976599</v>
      </c>
      <c r="G109" s="2">
        <f t="shared" si="10"/>
        <v>1</v>
      </c>
      <c r="H109" s="2">
        <f t="shared" si="11"/>
        <v>2.4993969139811365</v>
      </c>
      <c r="I109" s="25">
        <f t="shared" si="14"/>
        <v>99408.456738640511</v>
      </c>
      <c r="J109" s="343">
        <f t="shared" si="15"/>
        <v>113687.79211892597</v>
      </c>
      <c r="L109" s="713">
        <v>4956000</v>
      </c>
      <c r="M109" s="499">
        <v>3559820</v>
      </c>
      <c r="N109" s="543" t="s">
        <v>2796</v>
      </c>
      <c r="O109" s="544" t="str">
        <f>IFERROR(VLOOKUP(P109,constant_ag_extr!$D$7:$E$594,2,FALSE),"")</f>
        <v>Maize</v>
      </c>
      <c r="P109" s="545">
        <f t="shared" si="12"/>
        <v>56</v>
      </c>
      <c r="Q109" s="710">
        <f t="shared" si="13"/>
        <v>0.71664540645483255</v>
      </c>
    </row>
    <row r="110" spans="1:17" ht="12.5">
      <c r="A110" s="84" t="s">
        <v>803</v>
      </c>
      <c r="B110" s="399">
        <v>175</v>
      </c>
      <c r="C110" s="24" t="s">
        <v>3265</v>
      </c>
      <c r="D110" s="499"/>
      <c r="E110" s="499"/>
      <c r="F110" s="2">
        <f t="shared" si="9"/>
        <v>3.7384176410976599</v>
      </c>
      <c r="G110" s="2">
        <f t="shared" si="10"/>
        <v>1</v>
      </c>
      <c r="H110" s="2">
        <f t="shared" si="11"/>
        <v>2.4993969139811365</v>
      </c>
      <c r="I110" s="25">
        <f t="shared" si="14"/>
        <v>0</v>
      </c>
      <c r="J110" s="343">
        <f t="shared" si="15"/>
        <v>0</v>
      </c>
      <c r="L110" s="713"/>
      <c r="M110" s="499"/>
      <c r="N110" s="543" t="s">
        <v>2796</v>
      </c>
      <c r="O110" s="544" t="str">
        <f>IFERROR(VLOOKUP(P110,constant_ag_extr!$D$7:$E$594,2,FALSE),"")</f>
        <v>Maize</v>
      </c>
      <c r="P110" s="545">
        <f t="shared" si="12"/>
        <v>56</v>
      </c>
      <c r="Q110" s="710">
        <f t="shared" si="13"/>
        <v>0.71664540645483255</v>
      </c>
    </row>
    <row r="111" spans="1:17" ht="12.5">
      <c r="A111" s="84" t="s">
        <v>1917</v>
      </c>
      <c r="B111" s="399">
        <v>176</v>
      </c>
      <c r="C111" s="24" t="s">
        <v>1918</v>
      </c>
      <c r="D111" s="499">
        <v>86415</v>
      </c>
      <c r="E111" s="499">
        <v>346633</v>
      </c>
      <c r="F111" s="2">
        <f t="shared" si="9"/>
        <v>0.76636424204379072</v>
      </c>
      <c r="G111" s="2">
        <f t="shared" si="10"/>
        <v>1</v>
      </c>
      <c r="H111" s="2">
        <f t="shared" si="11"/>
        <v>2.4993969139811365</v>
      </c>
      <c r="I111" s="25">
        <f t="shared" si="14"/>
        <v>281831.23960177973</v>
      </c>
      <c r="J111" s="343">
        <f t="shared" si="15"/>
        <v>1130498.2708659805</v>
      </c>
      <c r="L111" s="713">
        <v>3649000</v>
      </c>
      <c r="M111" s="499">
        <v>4360940</v>
      </c>
      <c r="N111" s="543" t="s">
        <v>413</v>
      </c>
      <c r="O111" s="544" t="str">
        <f>IFERROR(VLOOKUP(P111,constant_ag_extr!$D$7:$E$594,2,FALSE),"")</f>
        <v>Beans, dry</v>
      </c>
      <c r="P111" s="545">
        <f t="shared" si="12"/>
        <v>176</v>
      </c>
      <c r="Q111" s="710">
        <f t="shared" si="13"/>
        <v>1</v>
      </c>
    </row>
    <row r="112" spans="1:17" ht="12.5">
      <c r="A112" s="84" t="s">
        <v>3768</v>
      </c>
      <c r="B112" s="399">
        <v>181</v>
      </c>
      <c r="C112" s="24" t="s">
        <v>3769</v>
      </c>
      <c r="D112" s="499">
        <v>1073</v>
      </c>
      <c r="E112" s="499">
        <v>23741</v>
      </c>
      <c r="F112" s="2">
        <f t="shared" si="9"/>
        <v>1.7625623217258546</v>
      </c>
      <c r="G112" s="2">
        <f t="shared" si="10"/>
        <v>1</v>
      </c>
      <c r="H112" s="2">
        <f t="shared" si="11"/>
        <v>2.4993969139811365</v>
      </c>
      <c r="I112" s="25">
        <f t="shared" si="14"/>
        <v>1521.5648579596095</v>
      </c>
      <c r="J112" s="343">
        <f t="shared" si="15"/>
        <v>33665.863273829535</v>
      </c>
      <c r="L112" s="713">
        <v>876972</v>
      </c>
      <c r="M112" s="499">
        <v>1122810</v>
      </c>
      <c r="N112" s="543" t="s">
        <v>413</v>
      </c>
      <c r="O112" s="544" t="str">
        <f>IFERROR(VLOOKUP(P112,constant_ag_extr!$D$7:$E$594,2,FALSE),"")</f>
        <v>Broad beans, horse beans, dry</v>
      </c>
      <c r="P112" s="545">
        <f t="shared" si="12"/>
        <v>181</v>
      </c>
      <c r="Q112" s="710">
        <f t="shared" si="13"/>
        <v>1</v>
      </c>
    </row>
    <row r="113" spans="1:17" ht="12.5">
      <c r="A113" s="84" t="s">
        <v>5094</v>
      </c>
      <c r="B113" s="399">
        <v>187</v>
      </c>
      <c r="C113" s="24" t="s">
        <v>5095</v>
      </c>
      <c r="D113" s="499">
        <v>20831</v>
      </c>
      <c r="E113" s="499">
        <v>3183840</v>
      </c>
      <c r="F113" s="2">
        <f t="shared" si="9"/>
        <v>1.6457627174182443</v>
      </c>
      <c r="G113" s="2">
        <f t="shared" si="10"/>
        <v>1</v>
      </c>
      <c r="H113" s="2">
        <f t="shared" si="11"/>
        <v>2.4993969139811365</v>
      </c>
      <c r="I113" s="25">
        <f t="shared" si="14"/>
        <v>31635.749530659457</v>
      </c>
      <c r="J113" s="343">
        <f t="shared" si="15"/>
        <v>4835253.4581006579</v>
      </c>
      <c r="L113" s="713">
        <v>6433240</v>
      </c>
      <c r="M113" s="499">
        <v>6554300</v>
      </c>
      <c r="N113" s="543" t="s">
        <v>413</v>
      </c>
      <c r="O113" s="544" t="str">
        <f>IFERROR(VLOOKUP(P113,constant_ag_extr!$D$7:$E$594,2,FALSE),"")</f>
        <v>Peas, dry</v>
      </c>
      <c r="P113" s="545">
        <f t="shared" si="12"/>
        <v>187</v>
      </c>
      <c r="Q113" s="710">
        <f t="shared" si="13"/>
        <v>1</v>
      </c>
    </row>
    <row r="114" spans="1:17" ht="12.5">
      <c r="A114" s="84" t="s">
        <v>2507</v>
      </c>
      <c r="B114" s="399">
        <v>191</v>
      </c>
      <c r="C114" s="24" t="s">
        <v>1582</v>
      </c>
      <c r="D114" s="499">
        <v>35956</v>
      </c>
      <c r="E114" s="499">
        <v>85159</v>
      </c>
      <c r="F114" s="2">
        <f t="shared" si="9"/>
        <v>0.95676425130758969</v>
      </c>
      <c r="G114" s="2">
        <f t="shared" si="10"/>
        <v>1</v>
      </c>
      <c r="H114" s="2">
        <f t="shared" si="11"/>
        <v>2.4993969139811365</v>
      </c>
      <c r="I114" s="25">
        <f t="shared" si="14"/>
        <v>93929.424428519967</v>
      </c>
      <c r="J114" s="343">
        <f t="shared" si="15"/>
        <v>222464.56376983903</v>
      </c>
      <c r="L114" s="713">
        <v>2055010</v>
      </c>
      <c r="M114" s="499">
        <v>1958490</v>
      </c>
      <c r="N114" s="543" t="s">
        <v>413</v>
      </c>
      <c r="O114" s="544" t="str">
        <f>IFERROR(VLOOKUP(P114,constant_ag_extr!$D$7:$E$594,2,FALSE),"")</f>
        <v>Chick peas</v>
      </c>
      <c r="P114" s="545">
        <f t="shared" si="12"/>
        <v>191</v>
      </c>
      <c r="Q114" s="710">
        <f t="shared" si="13"/>
        <v>1</v>
      </c>
    </row>
    <row r="115" spans="1:17" ht="12.5">
      <c r="A115" s="84" t="s">
        <v>1075</v>
      </c>
      <c r="B115" s="399">
        <v>195</v>
      </c>
      <c r="C115" s="24" t="s">
        <v>1076</v>
      </c>
      <c r="D115" s="499"/>
      <c r="E115" s="499"/>
      <c r="F115" s="2">
        <f t="shared" si="9"/>
        <v>0.55602126246025174</v>
      </c>
      <c r="G115" s="2">
        <f t="shared" si="10"/>
        <v>1</v>
      </c>
      <c r="H115" s="2">
        <f t="shared" si="11"/>
        <v>2.4993969139811365</v>
      </c>
      <c r="I115" s="25">
        <f t="shared" si="14"/>
        <v>0</v>
      </c>
      <c r="J115" s="343">
        <f t="shared" si="15"/>
        <v>0</v>
      </c>
      <c r="L115" s="713"/>
      <c r="M115" s="499"/>
      <c r="N115" s="543" t="s">
        <v>413</v>
      </c>
      <c r="O115" s="544" t="str">
        <f>IFERROR(VLOOKUP(P115,constant_ag_extr!$D$7:$E$594,2,FALSE),"")</f>
        <v>Cow peas, dry</v>
      </c>
      <c r="P115" s="545">
        <f t="shared" si="12"/>
        <v>195</v>
      </c>
      <c r="Q115" s="710">
        <f t="shared" si="13"/>
        <v>1</v>
      </c>
    </row>
    <row r="116" spans="1:17" ht="12.5">
      <c r="A116" s="84" t="s">
        <v>5102</v>
      </c>
      <c r="B116" s="399">
        <v>197</v>
      </c>
      <c r="C116" s="24" t="s">
        <v>5103</v>
      </c>
      <c r="D116" s="499"/>
      <c r="E116" s="499"/>
      <c r="F116" s="2">
        <f t="shared" si="9"/>
        <v>0.89671306742192958</v>
      </c>
      <c r="G116" s="2">
        <f t="shared" si="10"/>
        <v>1</v>
      </c>
      <c r="H116" s="2">
        <f t="shared" si="11"/>
        <v>2.4993969139811365</v>
      </c>
      <c r="I116" s="25">
        <f t="shared" si="14"/>
        <v>0</v>
      </c>
      <c r="J116" s="343">
        <f t="shared" si="15"/>
        <v>0</v>
      </c>
      <c r="L116" s="713"/>
      <c r="M116" s="499"/>
      <c r="N116" s="543" t="s">
        <v>413</v>
      </c>
      <c r="O116" s="544" t="str">
        <f>IFERROR(VLOOKUP(P116,constant_ag_extr!$D$7:$E$594,2,FALSE),"")</f>
        <v>Pigeon peas</v>
      </c>
      <c r="P116" s="545">
        <f t="shared" si="12"/>
        <v>197</v>
      </c>
      <c r="Q116" s="710">
        <f t="shared" si="13"/>
        <v>1</v>
      </c>
    </row>
    <row r="117" spans="1:17" ht="12.5">
      <c r="A117" s="84" t="s">
        <v>567</v>
      </c>
      <c r="B117" s="399">
        <v>201</v>
      </c>
      <c r="C117" s="24" t="s">
        <v>568</v>
      </c>
      <c r="D117" s="499">
        <v>19511</v>
      </c>
      <c r="E117" s="499">
        <v>1643410</v>
      </c>
      <c r="F117" s="2">
        <f t="shared" si="9"/>
        <v>1.0456634603088133</v>
      </c>
      <c r="G117" s="2">
        <f t="shared" si="10"/>
        <v>1</v>
      </c>
      <c r="H117" s="2">
        <f t="shared" si="11"/>
        <v>2.4993969139811365</v>
      </c>
      <c r="I117" s="25">
        <f t="shared" si="14"/>
        <v>46636.164540247089</v>
      </c>
      <c r="J117" s="343">
        <f t="shared" si="15"/>
        <v>3928160.4821427646</v>
      </c>
      <c r="L117" s="713">
        <v>2919740</v>
      </c>
      <c r="M117" s="499">
        <v>3135550</v>
      </c>
      <c r="N117" s="543" t="s">
        <v>413</v>
      </c>
      <c r="O117" s="544" t="str">
        <f>IFERROR(VLOOKUP(P117,constant_ag_extr!$D$7:$E$594,2,FALSE),"")</f>
        <v>Lentils</v>
      </c>
      <c r="P117" s="545">
        <f t="shared" si="12"/>
        <v>201</v>
      </c>
      <c r="Q117" s="710">
        <f t="shared" si="13"/>
        <v>1</v>
      </c>
    </row>
    <row r="118" spans="1:17" ht="12.5">
      <c r="A118" s="84" t="s">
        <v>612</v>
      </c>
      <c r="B118" s="399">
        <v>203</v>
      </c>
      <c r="C118" s="24" t="s">
        <v>613</v>
      </c>
      <c r="D118" s="499">
        <v>5</v>
      </c>
      <c r="E118" s="499"/>
      <c r="F118" s="2">
        <f t="shared" si="9"/>
        <v>0.58754896306502347</v>
      </c>
      <c r="G118" s="2">
        <f t="shared" si="10"/>
        <v>1</v>
      </c>
      <c r="H118" s="2">
        <f t="shared" si="11"/>
        <v>2.4993969139811365</v>
      </c>
      <c r="I118" s="25">
        <f t="shared" si="14"/>
        <v>21.269690452202624</v>
      </c>
      <c r="J118" s="343">
        <f t="shared" si="15"/>
        <v>0</v>
      </c>
      <c r="L118" s="713">
        <v>1367</v>
      </c>
      <c r="M118" s="499">
        <v>2402</v>
      </c>
      <c r="N118" s="543" t="s">
        <v>413</v>
      </c>
      <c r="O118" s="544" t="str">
        <f>IFERROR(VLOOKUP(P118,constant_ag_extr!$D$7:$E$594,2,FALSE),"")</f>
        <v>Bambara beans</v>
      </c>
      <c r="P118" s="545">
        <f t="shared" si="12"/>
        <v>203</v>
      </c>
      <c r="Q118" s="710">
        <f t="shared" si="13"/>
        <v>1</v>
      </c>
    </row>
    <row r="119" spans="1:17" ht="12.5">
      <c r="A119" s="84" t="s">
        <v>1146</v>
      </c>
      <c r="B119" s="399">
        <v>205</v>
      </c>
      <c r="C119" s="24" t="s">
        <v>1147</v>
      </c>
      <c r="D119" s="499"/>
      <c r="E119" s="499"/>
      <c r="F119" s="2">
        <f t="shared" si="9"/>
        <v>1.5645931942119788</v>
      </c>
      <c r="G119" s="2">
        <f t="shared" si="10"/>
        <v>1</v>
      </c>
      <c r="H119" s="2">
        <f t="shared" si="11"/>
        <v>2.4993969139811365</v>
      </c>
      <c r="I119" s="25">
        <f t="shared" si="14"/>
        <v>0</v>
      </c>
      <c r="J119" s="343">
        <f t="shared" si="15"/>
        <v>0</v>
      </c>
      <c r="L119" s="713">
        <v>144</v>
      </c>
      <c r="M119" s="499">
        <v>0</v>
      </c>
      <c r="N119" s="543" t="s">
        <v>413</v>
      </c>
      <c r="O119" s="544" t="str">
        <f>IFERROR(VLOOKUP(P119,constant_ag_extr!$D$7:$E$594,2,FALSE),"")</f>
        <v>Vetches</v>
      </c>
      <c r="P119" s="545">
        <f t="shared" si="12"/>
        <v>205</v>
      </c>
      <c r="Q119" s="710">
        <f t="shared" si="13"/>
        <v>1</v>
      </c>
    </row>
    <row r="120" spans="1:17" ht="12.5">
      <c r="A120" s="84" t="s">
        <v>3128</v>
      </c>
      <c r="B120" s="399">
        <v>210</v>
      </c>
      <c r="C120" s="24" t="s">
        <v>3129</v>
      </c>
      <c r="D120" s="499"/>
      <c r="E120" s="499"/>
      <c r="F120" s="2">
        <f t="shared" si="9"/>
        <v>1.1181354109931518</v>
      </c>
      <c r="G120" s="2">
        <f t="shared" si="10"/>
        <v>1</v>
      </c>
      <c r="H120" s="2">
        <f t="shared" si="11"/>
        <v>2.4993969139811365</v>
      </c>
      <c r="I120" s="25">
        <f t="shared" si="14"/>
        <v>0</v>
      </c>
      <c r="J120" s="343">
        <f t="shared" si="15"/>
        <v>0</v>
      </c>
      <c r="L120" s="713"/>
      <c r="M120" s="499"/>
      <c r="N120" s="543" t="s">
        <v>413</v>
      </c>
      <c r="O120" s="544" t="str">
        <f>IFERROR(VLOOKUP(P120,constant_ag_extr!$D$7:$E$594,2,FALSE),"")</f>
        <v>Lupins</v>
      </c>
      <c r="P120" s="545">
        <f t="shared" si="12"/>
        <v>210</v>
      </c>
      <c r="Q120" s="710">
        <f t="shared" si="13"/>
        <v>1</v>
      </c>
    </row>
    <row r="121" spans="1:17" ht="12.5">
      <c r="A121" s="84" t="s">
        <v>101</v>
      </c>
      <c r="B121" s="399">
        <v>211</v>
      </c>
      <c r="C121" s="24" t="s">
        <v>477</v>
      </c>
      <c r="D121" s="499"/>
      <c r="E121" s="499"/>
      <c r="F121" s="2">
        <f t="shared" si="9"/>
        <v>0.70357355954725009</v>
      </c>
      <c r="G121" s="2">
        <f t="shared" si="10"/>
        <v>1</v>
      </c>
      <c r="H121" s="2">
        <f t="shared" si="11"/>
        <v>2.4993969139811365</v>
      </c>
      <c r="I121" s="25">
        <f t="shared" si="14"/>
        <v>0</v>
      </c>
      <c r="J121" s="343">
        <f t="shared" si="15"/>
        <v>0</v>
      </c>
      <c r="L121" s="713"/>
      <c r="M121" s="499"/>
      <c r="N121" s="543" t="s">
        <v>413</v>
      </c>
      <c r="O121" s="544" t="str">
        <f>IFERROR(VLOOKUP(P121,constant_ag_extr!$D$7:$E$594,2,FALSE),"")</f>
        <v>Pulses, nes</v>
      </c>
      <c r="P121" s="545">
        <f t="shared" si="12"/>
        <v>211</v>
      </c>
      <c r="Q121" s="710">
        <f t="shared" si="13"/>
        <v>1</v>
      </c>
    </row>
    <row r="122" spans="1:17" ht="12.5">
      <c r="A122" s="84" t="s">
        <v>7039</v>
      </c>
      <c r="B122" s="399">
        <v>212</v>
      </c>
      <c r="C122" s="24" t="s">
        <v>580</v>
      </c>
      <c r="D122" s="499">
        <v>25256</v>
      </c>
      <c r="E122" s="499">
        <v>35074</v>
      </c>
      <c r="F122" s="2">
        <f t="shared" si="9"/>
        <v>0.61126441977650514</v>
      </c>
      <c r="G122" s="2">
        <f t="shared" si="10"/>
        <v>1</v>
      </c>
      <c r="H122" s="2">
        <f t="shared" si="11"/>
        <v>2.4993969139811365</v>
      </c>
      <c r="I122" s="25">
        <f t="shared" si="14"/>
        <v>103269.16865632014</v>
      </c>
      <c r="J122" s="343">
        <f t="shared" si="15"/>
        <v>143413.95396942401</v>
      </c>
      <c r="L122" s="713">
        <v>141376</v>
      </c>
      <c r="M122" s="499">
        <v>134140</v>
      </c>
      <c r="N122" s="543" t="s">
        <v>2796</v>
      </c>
      <c r="O122" s="544" t="str">
        <f>IFERROR(VLOOKUP(P122,constant_ag_extr!$D$7:$E$594,2,FALSE),"")</f>
        <v>Beans, dry</v>
      </c>
      <c r="P122" s="545">
        <f t="shared" si="12"/>
        <v>176</v>
      </c>
      <c r="Q122" s="710">
        <f t="shared" si="13"/>
        <v>0.7976160502300379</v>
      </c>
    </row>
    <row r="123" spans="1:17" ht="12.5">
      <c r="A123" s="84" t="s">
        <v>2564</v>
      </c>
      <c r="B123" s="399">
        <v>213</v>
      </c>
      <c r="C123" s="24" t="s">
        <v>3944</v>
      </c>
      <c r="D123" s="499"/>
      <c r="E123" s="499"/>
      <c r="F123" s="2">
        <f t="shared" si="9"/>
        <v>1.8113626773317406</v>
      </c>
      <c r="G123" s="2">
        <f t="shared" si="10"/>
        <v>1</v>
      </c>
      <c r="H123" s="2">
        <f t="shared" si="11"/>
        <v>2.4993969139811365</v>
      </c>
      <c r="I123" s="25">
        <f t="shared" si="14"/>
        <v>0</v>
      </c>
      <c r="J123" s="343">
        <f t="shared" si="15"/>
        <v>0</v>
      </c>
      <c r="L123" s="713"/>
      <c r="M123" s="499"/>
      <c r="N123" s="543" t="s">
        <v>2796</v>
      </c>
      <c r="O123" s="544" t="str">
        <f>IFERROR(VLOOKUP(P123,constant_ag_extr!$D$7:$E$594,2,FALSE),"")</f>
        <v>Beans, dry</v>
      </c>
      <c r="P123" s="545">
        <f t="shared" si="12"/>
        <v>176</v>
      </c>
      <c r="Q123" s="710">
        <f t="shared" si="13"/>
        <v>2.3635793242402321</v>
      </c>
    </row>
    <row r="124" spans="1:17" ht="12.5">
      <c r="A124" s="84" t="s">
        <v>321</v>
      </c>
      <c r="B124" s="399">
        <v>216</v>
      </c>
      <c r="C124" s="24" t="s">
        <v>322</v>
      </c>
      <c r="D124" s="499"/>
      <c r="E124" s="499"/>
      <c r="F124" s="2">
        <f t="shared" si="9"/>
        <v>5.6912920788614203</v>
      </c>
      <c r="G124" s="2">
        <f t="shared" si="10"/>
        <v>1</v>
      </c>
      <c r="H124" s="2">
        <f t="shared" si="11"/>
        <v>2.4993969139811365</v>
      </c>
      <c r="I124" s="25">
        <f t="shared" si="14"/>
        <v>0</v>
      </c>
      <c r="J124" s="343">
        <f t="shared" si="15"/>
        <v>0</v>
      </c>
      <c r="L124" s="713"/>
      <c r="M124" s="499"/>
      <c r="N124" s="543" t="s">
        <v>413</v>
      </c>
      <c r="O124" s="544" t="str">
        <f>IFERROR(VLOOKUP(P124,constant_ag_extr!$D$7:$E$594,2,FALSE),"")</f>
        <v>Brazil nuts, with shell</v>
      </c>
      <c r="P124" s="545">
        <f t="shared" si="12"/>
        <v>216</v>
      </c>
      <c r="Q124" s="710">
        <f t="shared" si="13"/>
        <v>1</v>
      </c>
    </row>
    <row r="125" spans="1:17" ht="12.5">
      <c r="A125" s="84" t="s">
        <v>4502</v>
      </c>
      <c r="B125" s="399">
        <v>217</v>
      </c>
      <c r="C125" s="24" t="s">
        <v>5307</v>
      </c>
      <c r="D125" s="499">
        <v>342</v>
      </c>
      <c r="E125" s="499">
        <v>32</v>
      </c>
      <c r="F125" s="2">
        <f t="shared" si="9"/>
        <v>0.51090446074150708</v>
      </c>
      <c r="G125" s="2">
        <f t="shared" si="10"/>
        <v>1</v>
      </c>
      <c r="H125" s="2">
        <f t="shared" si="11"/>
        <v>2.4993969139811365</v>
      </c>
      <c r="I125" s="25">
        <f t="shared" si="14"/>
        <v>1673.0990043440488</v>
      </c>
      <c r="J125" s="343">
        <f t="shared" si="15"/>
        <v>156.54727526026187</v>
      </c>
      <c r="L125" s="713">
        <v>1081090</v>
      </c>
      <c r="M125" s="499">
        <v>1605350</v>
      </c>
      <c r="N125" s="543" t="s">
        <v>413</v>
      </c>
      <c r="O125" s="544" t="str">
        <f>IFERROR(VLOOKUP(P125,constant_ag_extr!$D$7:$E$594,2,FALSE),"")</f>
        <v>Cashew nuts, with shell</v>
      </c>
      <c r="P125" s="545">
        <f t="shared" si="12"/>
        <v>217</v>
      </c>
      <c r="Q125" s="710">
        <f t="shared" si="13"/>
        <v>1</v>
      </c>
    </row>
    <row r="126" spans="1:17" ht="12.5">
      <c r="A126" s="84" t="s">
        <v>7019</v>
      </c>
      <c r="B126" s="399">
        <v>220</v>
      </c>
      <c r="C126" s="24" t="s">
        <v>1356</v>
      </c>
      <c r="D126" s="499">
        <v>1860</v>
      </c>
      <c r="E126" s="499">
        <v>26</v>
      </c>
      <c r="F126" s="2">
        <f t="shared" si="9"/>
        <v>3.4949318010796642</v>
      </c>
      <c r="G126" s="2">
        <f t="shared" si="10"/>
        <v>1</v>
      </c>
      <c r="H126" s="2">
        <f t="shared" si="11"/>
        <v>2.4993969139811365</v>
      </c>
      <c r="I126" s="25">
        <f t="shared" si="14"/>
        <v>1330.1771034756014</v>
      </c>
      <c r="J126" s="343">
        <f t="shared" si="15"/>
        <v>18.593873489443887</v>
      </c>
      <c r="L126" s="713">
        <v>117489</v>
      </c>
      <c r="M126" s="499">
        <v>116369</v>
      </c>
      <c r="N126" s="543" t="s">
        <v>413</v>
      </c>
      <c r="O126" s="544" t="str">
        <f>IFERROR(VLOOKUP(P126,constant_ag_extr!$D$7:$E$594,2,FALSE),"")</f>
        <v>Chestnuts</v>
      </c>
      <c r="P126" s="545">
        <f t="shared" si="12"/>
        <v>220</v>
      </c>
      <c r="Q126" s="710">
        <f t="shared" si="13"/>
        <v>1</v>
      </c>
    </row>
    <row r="127" spans="1:17" ht="12.5">
      <c r="A127" s="84" t="s">
        <v>2649</v>
      </c>
      <c r="B127" s="399">
        <v>221</v>
      </c>
      <c r="C127" s="24" t="s">
        <v>951</v>
      </c>
      <c r="D127" s="499">
        <v>417</v>
      </c>
      <c r="E127" s="499">
        <v>2</v>
      </c>
      <c r="F127" s="2">
        <f t="shared" si="9"/>
        <v>1.452931515895054</v>
      </c>
      <c r="G127" s="2">
        <f t="shared" si="10"/>
        <v>1</v>
      </c>
      <c r="H127" s="2">
        <f t="shared" si="11"/>
        <v>2.4993969139811365</v>
      </c>
      <c r="I127" s="25">
        <f t="shared" si="14"/>
        <v>717.34180291909649</v>
      </c>
      <c r="J127" s="343">
        <f t="shared" si="15"/>
        <v>3.4404882634009426</v>
      </c>
      <c r="L127" s="713">
        <v>263004</v>
      </c>
      <c r="M127" s="499">
        <v>310977</v>
      </c>
      <c r="N127" s="543" t="s">
        <v>413</v>
      </c>
      <c r="O127" s="544" t="str">
        <f>IFERROR(VLOOKUP(P127,constant_ag_extr!$D$7:$E$594,2,FALSE),"")</f>
        <v>Almonds, with shell</v>
      </c>
      <c r="P127" s="545">
        <f t="shared" si="12"/>
        <v>221</v>
      </c>
      <c r="Q127" s="710">
        <f t="shared" si="13"/>
        <v>1</v>
      </c>
    </row>
    <row r="128" spans="1:17" ht="12.5">
      <c r="A128" s="84" t="s">
        <v>1148</v>
      </c>
      <c r="B128" s="399">
        <v>222</v>
      </c>
      <c r="C128" s="24" t="s">
        <v>4052</v>
      </c>
      <c r="D128" s="499">
        <v>1312</v>
      </c>
      <c r="E128" s="499">
        <v>1</v>
      </c>
      <c r="F128" s="2">
        <f t="shared" si="9"/>
        <v>3.1673661072067731</v>
      </c>
      <c r="G128" s="2">
        <f t="shared" si="10"/>
        <v>1</v>
      </c>
      <c r="H128" s="2">
        <f t="shared" si="11"/>
        <v>2.4993969139811365</v>
      </c>
      <c r="I128" s="25">
        <f t="shared" si="14"/>
        <v>1035.310930328515</v>
      </c>
      <c r="J128" s="343">
        <f t="shared" si="15"/>
        <v>0.78910894079917304</v>
      </c>
      <c r="L128" s="713">
        <v>281442</v>
      </c>
      <c r="M128" s="499">
        <v>335226</v>
      </c>
      <c r="N128" s="543" t="s">
        <v>413</v>
      </c>
      <c r="O128" s="544" t="str">
        <f>IFERROR(VLOOKUP(P128,constant_ag_extr!$D$7:$E$594,2,FALSE),"")</f>
        <v>Walnuts, with shell</v>
      </c>
      <c r="P128" s="545">
        <f t="shared" si="12"/>
        <v>222</v>
      </c>
      <c r="Q128" s="710">
        <f t="shared" si="13"/>
        <v>1</v>
      </c>
    </row>
    <row r="129" spans="1:17" ht="12.5">
      <c r="A129" s="84" t="s">
        <v>5105</v>
      </c>
      <c r="B129" s="399">
        <v>223</v>
      </c>
      <c r="C129" s="24" t="s">
        <v>3722</v>
      </c>
      <c r="D129" s="499">
        <v>1948</v>
      </c>
      <c r="E129" s="499">
        <v>25</v>
      </c>
      <c r="F129" s="2">
        <f t="shared" si="9"/>
        <v>1.2518470215594488</v>
      </c>
      <c r="G129" s="2">
        <f t="shared" si="10"/>
        <v>1</v>
      </c>
      <c r="H129" s="2">
        <f t="shared" si="11"/>
        <v>2.4993969139811365</v>
      </c>
      <c r="I129" s="25">
        <f t="shared" si="14"/>
        <v>3889.3132344318469</v>
      </c>
      <c r="J129" s="343">
        <f t="shared" si="15"/>
        <v>49.914184220121236</v>
      </c>
      <c r="L129" s="713">
        <v>357678</v>
      </c>
      <c r="M129" s="499">
        <v>377256</v>
      </c>
      <c r="N129" s="543" t="s">
        <v>413</v>
      </c>
      <c r="O129" s="544" t="str">
        <f>IFERROR(VLOOKUP(P129,constant_ag_extr!$D$7:$E$594,2,FALSE),"")</f>
        <v>Pistachios</v>
      </c>
      <c r="P129" s="545">
        <f t="shared" si="12"/>
        <v>223</v>
      </c>
      <c r="Q129" s="710">
        <f t="shared" si="13"/>
        <v>1</v>
      </c>
    </row>
    <row r="130" spans="1:17" ht="12.5">
      <c r="A130" s="84" t="s">
        <v>7067</v>
      </c>
      <c r="B130" s="399">
        <v>224</v>
      </c>
      <c r="C130" s="24" t="s">
        <v>564</v>
      </c>
      <c r="D130" s="499">
        <v>4</v>
      </c>
      <c r="E130" s="499"/>
      <c r="F130" s="2">
        <f t="shared" si="9"/>
        <v>0.45143988522466222</v>
      </c>
      <c r="G130" s="2">
        <f t="shared" si="10"/>
        <v>1</v>
      </c>
      <c r="H130" s="2">
        <f t="shared" si="11"/>
        <v>2.4993969139811365</v>
      </c>
      <c r="I130" s="25">
        <f t="shared" si="14"/>
        <v>22.145999906386599</v>
      </c>
      <c r="J130" s="343">
        <f t="shared" si="15"/>
        <v>0</v>
      </c>
      <c r="L130" s="713">
        <v>19134</v>
      </c>
      <c r="M130" s="499">
        <v>19724</v>
      </c>
      <c r="N130" s="543" t="s">
        <v>413</v>
      </c>
      <c r="O130" s="544" t="str">
        <f>IFERROR(VLOOKUP(P130,constant_ag_extr!$D$7:$E$594,2,FALSE),"")</f>
        <v>Kolanuts</v>
      </c>
      <c r="P130" s="545">
        <f t="shared" si="12"/>
        <v>224</v>
      </c>
      <c r="Q130" s="710">
        <f t="shared" si="13"/>
        <v>1</v>
      </c>
    </row>
    <row r="131" spans="1:17" ht="12.5">
      <c r="A131" s="84" t="s">
        <v>3642</v>
      </c>
      <c r="B131" s="399">
        <v>225</v>
      </c>
      <c r="C131" s="24" t="s">
        <v>1475</v>
      </c>
      <c r="D131" s="499">
        <v>3013</v>
      </c>
      <c r="E131" s="499">
        <v>106.7030029296875</v>
      </c>
      <c r="F131" s="2">
        <f t="shared" si="9"/>
        <v>0.82907021985223095</v>
      </c>
      <c r="G131" s="2">
        <f t="shared" si="10"/>
        <v>1</v>
      </c>
      <c r="H131" s="2">
        <f t="shared" si="11"/>
        <v>2.4993969139811365</v>
      </c>
      <c r="I131" s="25">
        <f t="shared" si="14"/>
        <v>9083.2871830414952</v>
      </c>
      <c r="J131" s="343">
        <f t="shared" si="15"/>
        <v>321.67740421615321</v>
      </c>
      <c r="L131" s="713">
        <v>21532</v>
      </c>
      <c r="M131" s="499">
        <v>29765</v>
      </c>
      <c r="N131" s="543" t="s">
        <v>413</v>
      </c>
      <c r="O131" s="544" t="str">
        <f>IFERROR(VLOOKUP(P131,constant_ag_extr!$D$7:$E$594,2,FALSE),"")</f>
        <v>Hazelnuts, with shell</v>
      </c>
      <c r="P131" s="545">
        <f t="shared" si="12"/>
        <v>225</v>
      </c>
      <c r="Q131" s="710">
        <f t="shared" si="13"/>
        <v>1</v>
      </c>
    </row>
    <row r="132" spans="1:17" ht="12.5">
      <c r="A132" s="84" t="s">
        <v>3795</v>
      </c>
      <c r="B132" s="399">
        <v>226</v>
      </c>
      <c r="C132" s="24" t="s">
        <v>3796</v>
      </c>
      <c r="D132" s="499">
        <v>12</v>
      </c>
      <c r="E132" s="499">
        <v>4</v>
      </c>
      <c r="F132" s="2">
        <f t="shared" si="9"/>
        <v>1.3020322999010387</v>
      </c>
      <c r="G132" s="2">
        <f t="shared" si="10"/>
        <v>1</v>
      </c>
      <c r="H132" s="2">
        <f t="shared" si="11"/>
        <v>2.4993969139811365</v>
      </c>
      <c r="I132" s="25">
        <f t="shared" si="14"/>
        <v>23.035344799090812</v>
      </c>
      <c r="J132" s="343">
        <f t="shared" si="15"/>
        <v>7.6784482663636027</v>
      </c>
      <c r="L132" s="713">
        <v>161030</v>
      </c>
      <c r="M132" s="499">
        <v>387865</v>
      </c>
      <c r="N132" s="543" t="s">
        <v>413</v>
      </c>
      <c r="O132" s="544" t="str">
        <f>IFERROR(VLOOKUP(P132,constant_ag_extr!$D$7:$E$594,2,FALSE),"")</f>
        <v>Arecanuts</v>
      </c>
      <c r="P132" s="545">
        <f t="shared" si="12"/>
        <v>226</v>
      </c>
      <c r="Q132" s="710">
        <f t="shared" si="13"/>
        <v>1</v>
      </c>
    </row>
    <row r="133" spans="1:17" ht="12.5">
      <c r="A133" s="84" t="s">
        <v>7015</v>
      </c>
      <c r="B133" s="399">
        <v>229</v>
      </c>
      <c r="C133" s="24" t="s">
        <v>4896</v>
      </c>
      <c r="D133" s="499">
        <v>2659</v>
      </c>
      <c r="E133" s="499">
        <v>199</v>
      </c>
      <c r="F133" s="2">
        <f t="shared" si="9"/>
        <v>3.1302106433737813</v>
      </c>
      <c r="G133" s="2">
        <f t="shared" si="10"/>
        <v>1</v>
      </c>
      <c r="H133" s="2">
        <f t="shared" si="11"/>
        <v>2.4993969139811365</v>
      </c>
      <c r="I133" s="25">
        <f t="shared" si="14"/>
        <v>2123.1466988792836</v>
      </c>
      <c r="J133" s="343">
        <f t="shared" si="15"/>
        <v>158.89665027340257</v>
      </c>
      <c r="L133" s="713">
        <v>43718</v>
      </c>
      <c r="M133" s="499">
        <v>48505</v>
      </c>
      <c r="N133" s="543" t="s">
        <v>2796</v>
      </c>
      <c r="O133" s="544" t="str">
        <f>IFERROR(VLOOKUP(P133,constant_ag_extr!$D$7:$E$594,2,FALSE),"")</f>
        <v>Brazil nuts, with shell</v>
      </c>
      <c r="P133" s="545">
        <f t="shared" si="12"/>
        <v>216</v>
      </c>
      <c r="Q133" s="710">
        <f t="shared" si="13"/>
        <v>0.55000000000000004</v>
      </c>
    </row>
    <row r="134" spans="1:17" ht="12.5">
      <c r="A134" s="84" t="s">
        <v>7016</v>
      </c>
      <c r="B134" s="399">
        <v>230</v>
      </c>
      <c r="C134" s="24" t="s">
        <v>4347</v>
      </c>
      <c r="D134" s="499">
        <v>13789</v>
      </c>
      <c r="E134" s="499">
        <v>960</v>
      </c>
      <c r="F134" s="2">
        <f t="shared" si="9"/>
        <v>0.15327133822245212</v>
      </c>
      <c r="G134" s="2">
        <f t="shared" si="10"/>
        <v>1</v>
      </c>
      <c r="H134" s="2">
        <f t="shared" si="11"/>
        <v>2.4993969139811365</v>
      </c>
      <c r="I134" s="25">
        <f t="shared" si="14"/>
        <v>224857.33110039073</v>
      </c>
      <c r="J134" s="343">
        <f t="shared" si="15"/>
        <v>15654.727526026189</v>
      </c>
      <c r="L134" s="713">
        <v>503406</v>
      </c>
      <c r="M134" s="499">
        <v>485932</v>
      </c>
      <c r="N134" s="543" t="s">
        <v>2796</v>
      </c>
      <c r="O134" s="544" t="str">
        <f>IFERROR(VLOOKUP(P134,constant_ag_extr!$D$7:$E$594,2,FALSE),"")</f>
        <v>Cashew nuts, with shell</v>
      </c>
      <c r="P134" s="545">
        <f t="shared" si="12"/>
        <v>217</v>
      </c>
      <c r="Q134" s="710">
        <f t="shared" si="13"/>
        <v>0.3</v>
      </c>
    </row>
    <row r="135" spans="1:17" ht="12.5">
      <c r="A135" s="84" t="s">
        <v>4439</v>
      </c>
      <c r="B135" s="399">
        <v>231</v>
      </c>
      <c r="C135" s="24" t="s">
        <v>4440</v>
      </c>
      <c r="D135" s="499">
        <v>29806</v>
      </c>
      <c r="E135" s="499">
        <v>21</v>
      </c>
      <c r="F135" s="2">
        <f t="shared" ref="F135:F198" si="16">IFERROR(VLOOKUP(P135,crop_efp,4,FALSE)*Q135,0)</f>
        <v>0.72646575794752699</v>
      </c>
      <c r="G135" s="2">
        <f t="shared" ref="G135:G198" si="17">VLOOKUP("Crop Land",iyf,2,FALSE)</f>
        <v>1</v>
      </c>
      <c r="H135" s="2">
        <f t="shared" ref="H135:H198" si="18">VLOOKUP("Crop Land",eqf,2,FALSE)</f>
        <v>2.4993969139811365</v>
      </c>
      <c r="I135" s="25">
        <f t="shared" si="14"/>
        <v>102547.1931789285</v>
      </c>
      <c r="J135" s="343">
        <f t="shared" si="15"/>
        <v>72.250253531419787</v>
      </c>
      <c r="L135" s="713">
        <v>758146</v>
      </c>
      <c r="M135" s="499">
        <v>811476</v>
      </c>
      <c r="N135" s="708" t="s">
        <v>2796</v>
      </c>
      <c r="O135" s="546" t="str">
        <f>IFERROR(VLOOKUP(P135,constant_ag_extr!$D$7:$E$594,2,FALSE),"")</f>
        <v>Almonds, with shell</v>
      </c>
      <c r="P135" s="547">
        <f t="shared" ref="P135:P198" si="19">IFERROR(VLOOKUP(B135,constant_ag_extr,3,FALSE),"")</f>
        <v>221</v>
      </c>
      <c r="Q135" s="590">
        <f t="shared" ref="Q135:Q198" si="20">IFERROR(VLOOKUP(B135,constant_ag_extr,14,FALSE),"")</f>
        <v>0.5</v>
      </c>
    </row>
    <row r="136" spans="1:17" ht="12.5">
      <c r="A136" s="84" t="s">
        <v>7114</v>
      </c>
      <c r="B136" s="399">
        <v>232</v>
      </c>
      <c r="C136" s="24" t="s">
        <v>264</v>
      </c>
      <c r="D136" s="499">
        <v>11616</v>
      </c>
      <c r="E136" s="499">
        <v>214</v>
      </c>
      <c r="F136" s="2">
        <f t="shared" si="16"/>
        <v>1.6787040368195898</v>
      </c>
      <c r="G136" s="2">
        <f t="shared" si="17"/>
        <v>1</v>
      </c>
      <c r="H136" s="2">
        <f t="shared" si="18"/>
        <v>2.4993969139811365</v>
      </c>
      <c r="I136" s="25">
        <f t="shared" si="14"/>
        <v>17294.885766647534</v>
      </c>
      <c r="J136" s="343">
        <f t="shared" si="15"/>
        <v>318.62134590759058</v>
      </c>
      <c r="L136" s="713">
        <v>243860</v>
      </c>
      <c r="M136" s="499">
        <v>294194</v>
      </c>
      <c r="N136" s="708" t="s">
        <v>2796</v>
      </c>
      <c r="O136" s="546" t="str">
        <f>IFERROR(VLOOKUP(P136,constant_ag_extr!$D$7:$E$594,2,FALSE),"")</f>
        <v>Walnuts, with shell</v>
      </c>
      <c r="P136" s="547">
        <f t="shared" si="19"/>
        <v>222</v>
      </c>
      <c r="Q136" s="590">
        <f t="shared" si="20"/>
        <v>0.53</v>
      </c>
    </row>
    <row r="137" spans="1:17" ht="12.5">
      <c r="A137" s="84" t="s">
        <v>7052</v>
      </c>
      <c r="B137" s="399">
        <v>233</v>
      </c>
      <c r="C137" s="24" t="s">
        <v>4736</v>
      </c>
      <c r="D137" s="499">
        <v>10749</v>
      </c>
      <c r="E137" s="499">
        <v>183</v>
      </c>
      <c r="F137" s="2">
        <f t="shared" si="16"/>
        <v>0.41453510992611547</v>
      </c>
      <c r="G137" s="2">
        <f t="shared" si="17"/>
        <v>1</v>
      </c>
      <c r="H137" s="2">
        <f t="shared" si="18"/>
        <v>2.4993969139811365</v>
      </c>
      <c r="I137" s="25">
        <f t="shared" si="14"/>
        <v>64809.992652182562</v>
      </c>
      <c r="J137" s="343">
        <f t="shared" si="15"/>
        <v>1103.3797241928933</v>
      </c>
      <c r="L137" s="713">
        <v>264269</v>
      </c>
      <c r="M137" s="499">
        <v>249332</v>
      </c>
      <c r="N137" s="708" t="s">
        <v>2796</v>
      </c>
      <c r="O137" s="546" t="str">
        <f>IFERROR(VLOOKUP(P137,constant_ag_extr!$D$7:$E$594,2,FALSE),"")</f>
        <v>Hazelnuts, with shell</v>
      </c>
      <c r="P137" s="547">
        <f t="shared" si="19"/>
        <v>225</v>
      </c>
      <c r="Q137" s="590">
        <f t="shared" si="20"/>
        <v>0.5</v>
      </c>
    </row>
    <row r="138" spans="1:17" ht="12.5">
      <c r="A138" s="84" t="s">
        <v>895</v>
      </c>
      <c r="B138" s="399">
        <v>234</v>
      </c>
      <c r="C138" s="24" t="s">
        <v>791</v>
      </c>
      <c r="D138" s="499">
        <v>7788</v>
      </c>
      <c r="E138" s="499">
        <v>313</v>
      </c>
      <c r="F138" s="2">
        <f t="shared" si="16"/>
        <v>1.0627556195666661</v>
      </c>
      <c r="G138" s="2">
        <f t="shared" si="17"/>
        <v>1</v>
      </c>
      <c r="H138" s="2">
        <f t="shared" si="18"/>
        <v>2.4993969139811365</v>
      </c>
      <c r="I138" s="25">
        <f t="shared" si="14"/>
        <v>18315.878841480022</v>
      </c>
      <c r="J138" s="343">
        <f t="shared" si="15"/>
        <v>736.11582914525513</v>
      </c>
      <c r="L138" s="713">
        <v>350014</v>
      </c>
      <c r="M138" s="499">
        <v>310520</v>
      </c>
      <c r="N138" s="708" t="s">
        <v>413</v>
      </c>
      <c r="O138" s="546" t="str">
        <f>IFERROR(VLOOKUP(P138,constant_ag_extr!$D$7:$E$594,2,FALSE),"")</f>
        <v>Nuts, nes</v>
      </c>
      <c r="P138" s="547">
        <f t="shared" si="19"/>
        <v>234</v>
      </c>
      <c r="Q138" s="590">
        <f t="shared" si="20"/>
        <v>1</v>
      </c>
    </row>
    <row r="139" spans="1:17" ht="12.5">
      <c r="A139" s="84" t="s">
        <v>7071</v>
      </c>
      <c r="B139" s="399">
        <v>235</v>
      </c>
      <c r="C139" s="24" t="s">
        <v>2901</v>
      </c>
      <c r="D139" s="499">
        <v>51932</v>
      </c>
      <c r="E139" s="499">
        <v>18664</v>
      </c>
      <c r="F139" s="2">
        <f t="shared" si="16"/>
        <v>0</v>
      </c>
      <c r="G139" s="2">
        <f t="shared" si="17"/>
        <v>1</v>
      </c>
      <c r="H139" s="2">
        <f t="shared" si="18"/>
        <v>2.4993969139811365</v>
      </c>
      <c r="I139" s="25">
        <f t="shared" si="14"/>
        <v>0</v>
      </c>
      <c r="J139" s="343">
        <f t="shared" si="15"/>
        <v>0</v>
      </c>
      <c r="L139" s="713">
        <v>836415</v>
      </c>
      <c r="M139" s="499">
        <v>888944</v>
      </c>
      <c r="N139" s="708" t="s">
        <v>2796</v>
      </c>
      <c r="O139" s="546" t="str">
        <f>IFERROR(VLOOKUP(P139,constant_ag_extr!$D$7:$E$594,2,FALSE),"")</f>
        <v>Nuts, prepared (exc. groundnuts)</v>
      </c>
      <c r="P139" s="547">
        <f t="shared" si="19"/>
        <v>235</v>
      </c>
      <c r="Q139" s="590">
        <f t="shared" si="20"/>
        <v>1</v>
      </c>
    </row>
    <row r="140" spans="1:17" ht="12.5">
      <c r="A140" s="84" t="s">
        <v>3905</v>
      </c>
      <c r="B140" s="399">
        <v>236</v>
      </c>
      <c r="C140" s="24" t="s">
        <v>3931</v>
      </c>
      <c r="D140" s="499">
        <v>1005640</v>
      </c>
      <c r="E140" s="499">
        <v>5499840</v>
      </c>
      <c r="F140" s="2">
        <f t="shared" si="16"/>
        <v>2.5364260576660946</v>
      </c>
      <c r="G140" s="2">
        <f t="shared" si="17"/>
        <v>1</v>
      </c>
      <c r="H140" s="2">
        <f t="shared" si="18"/>
        <v>2.4993969139811365</v>
      </c>
      <c r="I140" s="25">
        <f t="shared" si="14"/>
        <v>990958.71727827692</v>
      </c>
      <c r="J140" s="343">
        <f t="shared" si="15"/>
        <v>5419548.1401254516</v>
      </c>
      <c r="L140" s="713">
        <v>153283008</v>
      </c>
      <c r="M140" s="499">
        <v>152563008</v>
      </c>
      <c r="N140" s="708" t="s">
        <v>413</v>
      </c>
      <c r="O140" s="546" t="str">
        <f>IFERROR(VLOOKUP(P140,constant_ag_extr!$D$7:$E$594,2,FALSE),"")</f>
        <v>Soybeans</v>
      </c>
      <c r="P140" s="547">
        <f t="shared" si="19"/>
        <v>236</v>
      </c>
      <c r="Q140" s="590">
        <f t="shared" si="20"/>
        <v>1</v>
      </c>
    </row>
    <row r="141" spans="1:17" ht="12.5">
      <c r="A141" s="84" t="s">
        <v>7089</v>
      </c>
      <c r="B141" s="399">
        <v>237</v>
      </c>
      <c r="C141" s="24" t="s">
        <v>3904</v>
      </c>
      <c r="D141" s="499">
        <v>22775</v>
      </c>
      <c r="E141" s="499">
        <v>169903</v>
      </c>
      <c r="F141" s="2">
        <f t="shared" si="16"/>
        <v>1.1599159422607035</v>
      </c>
      <c r="G141" s="2">
        <f t="shared" si="17"/>
        <v>1</v>
      </c>
      <c r="H141" s="2">
        <f t="shared" si="18"/>
        <v>2.4993969139811365</v>
      </c>
      <c r="I141" s="25">
        <f t="shared" si="14"/>
        <v>49075.767167209226</v>
      </c>
      <c r="J141" s="343">
        <f t="shared" si="15"/>
        <v>366108.45528036659</v>
      </c>
      <c r="L141" s="713">
        <v>11808700</v>
      </c>
      <c r="M141" s="499">
        <v>11330300</v>
      </c>
      <c r="N141" s="708" t="s">
        <v>2796</v>
      </c>
      <c r="O141" s="546" t="str">
        <f>IFERROR(VLOOKUP(P141,constant_ag_extr!$D$7:$E$594,2,FALSE),"")</f>
        <v>Soybeans</v>
      </c>
      <c r="P141" s="547">
        <f t="shared" si="19"/>
        <v>236</v>
      </c>
      <c r="Q141" s="590">
        <f t="shared" si="20"/>
        <v>0.45730327472191562</v>
      </c>
    </row>
    <row r="142" spans="1:17" ht="12.5">
      <c r="A142" s="84" t="s">
        <v>6972</v>
      </c>
      <c r="B142" s="399">
        <v>238</v>
      </c>
      <c r="C142" s="24" t="s">
        <v>1456</v>
      </c>
      <c r="D142" s="499">
        <v>1003440</v>
      </c>
      <c r="E142" s="499">
        <v>398407</v>
      </c>
      <c r="F142" s="2">
        <f t="shared" si="16"/>
        <v>3.3044456301674416</v>
      </c>
      <c r="G142" s="2">
        <f t="shared" si="17"/>
        <v>1</v>
      </c>
      <c r="H142" s="2">
        <f t="shared" si="18"/>
        <v>2.4993969139811365</v>
      </c>
      <c r="I142" s="25">
        <f t="shared" si="14"/>
        <v>758975.9736001913</v>
      </c>
      <c r="J142" s="343">
        <f t="shared" si="15"/>
        <v>301344.714894893</v>
      </c>
      <c r="L142" s="713">
        <v>65916800</v>
      </c>
      <c r="M142" s="499">
        <v>67451600</v>
      </c>
      <c r="N142" s="708" t="s">
        <v>2796</v>
      </c>
      <c r="O142" s="546" t="str">
        <f>IFERROR(VLOOKUP(P142,constant_ag_extr!$D$7:$E$594,2,FALSE),"")</f>
        <v>Soybeans</v>
      </c>
      <c r="P142" s="547">
        <f t="shared" si="19"/>
        <v>236</v>
      </c>
      <c r="Q142" s="590">
        <f t="shared" si="20"/>
        <v>1.302795963706525</v>
      </c>
    </row>
    <row r="143" spans="1:17" ht="12.5">
      <c r="A143" s="84" t="s">
        <v>2023</v>
      </c>
      <c r="B143" s="399">
        <v>239</v>
      </c>
      <c r="C143" s="24" t="s">
        <v>2024</v>
      </c>
      <c r="D143" s="499">
        <v>22894</v>
      </c>
      <c r="E143" s="499">
        <v>2490</v>
      </c>
      <c r="F143" s="2">
        <f t="shared" si="16"/>
        <v>8.8774912018313312</v>
      </c>
      <c r="G143" s="2">
        <f t="shared" si="17"/>
        <v>1</v>
      </c>
      <c r="H143" s="2">
        <f t="shared" si="18"/>
        <v>2.4993969139811365</v>
      </c>
      <c r="I143" s="25">
        <f t="shared" si="14"/>
        <v>6445.6490744682478</v>
      </c>
      <c r="J143" s="343">
        <f t="shared" si="15"/>
        <v>701.04246507495145</v>
      </c>
      <c r="L143" s="713">
        <v>446794</v>
      </c>
      <c r="M143" s="499">
        <v>468593</v>
      </c>
      <c r="N143" s="708" t="s">
        <v>2796</v>
      </c>
      <c r="O143" s="546" t="str">
        <f>IFERROR(VLOOKUP(P143,constant_ag_extr!$D$7:$E$594,2,FALSE),"")</f>
        <v>Soybeans</v>
      </c>
      <c r="P143" s="547">
        <f t="shared" si="19"/>
        <v>236</v>
      </c>
      <c r="Q143" s="590">
        <f t="shared" si="20"/>
        <v>3.5</v>
      </c>
    </row>
    <row r="144" spans="1:17" ht="12.5">
      <c r="A144" s="84" t="s">
        <v>664</v>
      </c>
      <c r="B144" s="399">
        <v>240</v>
      </c>
      <c r="C144" s="24" t="e">
        <v>#N/A</v>
      </c>
      <c r="D144" s="499"/>
      <c r="E144" s="499"/>
      <c r="F144" s="2">
        <f t="shared" si="16"/>
        <v>11.413917259497426</v>
      </c>
      <c r="G144" s="2">
        <f t="shared" si="17"/>
        <v>1</v>
      </c>
      <c r="H144" s="2">
        <f t="shared" si="18"/>
        <v>2.4993969139811365</v>
      </c>
      <c r="I144" s="25">
        <f t="shared" si="14"/>
        <v>0</v>
      </c>
      <c r="J144" s="343">
        <f t="shared" si="15"/>
        <v>0</v>
      </c>
      <c r="L144" s="713">
        <v>17150</v>
      </c>
      <c r="M144" s="499">
        <v>17762</v>
      </c>
      <c r="N144" s="708" t="s">
        <v>2796</v>
      </c>
      <c r="O144" s="546" t="str">
        <f>IFERROR(VLOOKUP(P144,constant_ag_extr!$D$7:$E$594,2,FALSE),"")</f>
        <v>Soybeans</v>
      </c>
      <c r="P144" s="547">
        <f t="shared" si="19"/>
        <v>236</v>
      </c>
      <c r="Q144" s="590">
        <f t="shared" si="20"/>
        <v>4.5</v>
      </c>
    </row>
    <row r="145" spans="1:17" ht="12.5">
      <c r="A145" s="84" t="s">
        <v>663</v>
      </c>
      <c r="B145" s="399">
        <v>241</v>
      </c>
      <c r="C145" s="24" t="s">
        <v>2034</v>
      </c>
      <c r="D145" s="499"/>
      <c r="E145" s="499"/>
      <c r="F145" s="2">
        <f t="shared" si="16"/>
        <v>9.5115977162478558</v>
      </c>
      <c r="G145" s="2">
        <f t="shared" si="17"/>
        <v>1</v>
      </c>
      <c r="H145" s="2">
        <f t="shared" si="18"/>
        <v>2.4993969139811365</v>
      </c>
      <c r="I145" s="25">
        <f t="shared" si="14"/>
        <v>0</v>
      </c>
      <c r="J145" s="343">
        <f t="shared" si="15"/>
        <v>0</v>
      </c>
      <c r="L145" s="713"/>
      <c r="M145" s="499"/>
      <c r="N145" s="708" t="s">
        <v>2796</v>
      </c>
      <c r="O145" s="546" t="str">
        <f>IFERROR(VLOOKUP(P145,constant_ag_extr!$D$7:$E$594,2,FALSE),"")</f>
        <v>Soybeans</v>
      </c>
      <c r="P145" s="547">
        <f t="shared" si="19"/>
        <v>236</v>
      </c>
      <c r="Q145" s="590">
        <f t="shared" si="20"/>
        <v>3.75</v>
      </c>
    </row>
    <row r="146" spans="1:17" ht="12.5">
      <c r="A146" s="84" t="s">
        <v>3641</v>
      </c>
      <c r="B146" s="399">
        <v>242</v>
      </c>
      <c r="C146" s="24" t="s">
        <v>1472</v>
      </c>
      <c r="D146" s="499"/>
      <c r="E146" s="499"/>
      <c r="F146" s="2">
        <f t="shared" si="16"/>
        <v>1.5638134626813047</v>
      </c>
      <c r="G146" s="2">
        <f t="shared" si="17"/>
        <v>1</v>
      </c>
      <c r="H146" s="2">
        <f t="shared" si="18"/>
        <v>2.4993969139811365</v>
      </c>
      <c r="I146" s="25">
        <f t="shared" si="14"/>
        <v>0</v>
      </c>
      <c r="J146" s="343">
        <f t="shared" si="15"/>
        <v>0</v>
      </c>
      <c r="L146" s="713"/>
      <c r="M146" s="499"/>
      <c r="N146" s="708" t="s">
        <v>413</v>
      </c>
      <c r="O146" s="546" t="str">
        <f>IFERROR(VLOOKUP(P146,constant_ag_extr!$D$7:$E$594,2,FALSE),"")</f>
        <v>Groundnuts, with shell</v>
      </c>
      <c r="P146" s="547">
        <f t="shared" si="19"/>
        <v>242</v>
      </c>
      <c r="Q146" s="590">
        <f t="shared" si="20"/>
        <v>1</v>
      </c>
    </row>
    <row r="147" spans="1:17" ht="12.5">
      <c r="A147" s="84" t="s">
        <v>7051</v>
      </c>
      <c r="B147" s="399">
        <v>243</v>
      </c>
      <c r="C147" s="24" t="s">
        <v>5270</v>
      </c>
      <c r="D147" s="499">
        <v>100872</v>
      </c>
      <c r="E147" s="499">
        <v>28</v>
      </c>
      <c r="F147" s="2">
        <f t="shared" si="16"/>
        <v>1.0946694238769132</v>
      </c>
      <c r="G147" s="2">
        <f t="shared" si="17"/>
        <v>1</v>
      </c>
      <c r="H147" s="2">
        <f t="shared" si="18"/>
        <v>2.4993969139811365</v>
      </c>
      <c r="I147" s="25">
        <f t="shared" si="14"/>
        <v>230315.34453039951</v>
      </c>
      <c r="J147" s="343">
        <f t="shared" si="15"/>
        <v>63.930819720548676</v>
      </c>
      <c r="L147" s="713">
        <v>2270100</v>
      </c>
      <c r="M147" s="499">
        <v>1969050</v>
      </c>
      <c r="N147" s="708" t="s">
        <v>2796</v>
      </c>
      <c r="O147" s="546" t="str">
        <f>IFERROR(VLOOKUP(P147,constant_ag_extr!$D$7:$E$594,2,FALSE),"")</f>
        <v>Groundnuts, with shell</v>
      </c>
      <c r="P147" s="547">
        <f t="shared" si="19"/>
        <v>242</v>
      </c>
      <c r="Q147" s="590">
        <f t="shared" si="20"/>
        <v>0.7</v>
      </c>
    </row>
    <row r="148" spans="1:17" ht="12.5">
      <c r="A148" s="84" t="s">
        <v>7076</v>
      </c>
      <c r="B148" s="399">
        <v>244</v>
      </c>
      <c r="C148" s="24" t="s">
        <v>4402</v>
      </c>
      <c r="D148" s="499">
        <v>3065</v>
      </c>
      <c r="E148" s="499">
        <v>22</v>
      </c>
      <c r="F148" s="2">
        <f t="shared" si="16"/>
        <v>0.5956107849920651</v>
      </c>
      <c r="G148" s="2">
        <f t="shared" si="17"/>
        <v>1</v>
      </c>
      <c r="H148" s="2">
        <f t="shared" si="18"/>
        <v>2.4993969139811365</v>
      </c>
      <c r="I148" s="25">
        <f t="shared" si="14"/>
        <v>12861.841548846769</v>
      </c>
      <c r="J148" s="343">
        <f t="shared" si="15"/>
        <v>92.319906712766382</v>
      </c>
      <c r="L148" s="713">
        <v>341300</v>
      </c>
      <c r="M148" s="499">
        <v>283740</v>
      </c>
      <c r="N148" s="708" t="s">
        <v>2796</v>
      </c>
      <c r="O148" s="546" t="str">
        <f>IFERROR(VLOOKUP(P148,constant_ag_extr!$D$7:$E$594,2,FALSE),"")</f>
        <v>Groundnuts, with shell</v>
      </c>
      <c r="P148" s="547">
        <f t="shared" si="19"/>
        <v>242</v>
      </c>
      <c r="Q148" s="590">
        <f t="shared" si="20"/>
        <v>0.38087073631584845</v>
      </c>
    </row>
    <row r="149" spans="1:17" ht="12.5">
      <c r="A149" s="84" t="s">
        <v>6973</v>
      </c>
      <c r="B149" s="399">
        <v>245</v>
      </c>
      <c r="C149" s="24" t="s">
        <v>1135</v>
      </c>
      <c r="D149" s="499">
        <v>400</v>
      </c>
      <c r="E149" s="499">
        <v>6</v>
      </c>
      <c r="F149" s="2">
        <f t="shared" si="16"/>
        <v>2.8188155901891512</v>
      </c>
      <c r="G149" s="2">
        <f t="shared" si="17"/>
        <v>1</v>
      </c>
      <c r="H149" s="2">
        <f t="shared" si="18"/>
        <v>2.4993969139811365</v>
      </c>
      <c r="I149" s="25">
        <f t="shared" si="14"/>
        <v>354.67334900236153</v>
      </c>
      <c r="J149" s="343">
        <f t="shared" si="15"/>
        <v>5.3201002350354241</v>
      </c>
      <c r="L149" s="713">
        <v>119955</v>
      </c>
      <c r="M149" s="499">
        <v>133536</v>
      </c>
      <c r="N149" s="708" t="s">
        <v>2796</v>
      </c>
      <c r="O149" s="546" t="str">
        <f>IFERROR(VLOOKUP(P149,constant_ag_extr!$D$7:$E$594,2,FALSE),"")</f>
        <v>Groundnuts, with shell</v>
      </c>
      <c r="P149" s="547">
        <f t="shared" si="19"/>
        <v>242</v>
      </c>
      <c r="Q149" s="590">
        <f t="shared" si="20"/>
        <v>1.8025267446898863</v>
      </c>
    </row>
    <row r="150" spans="1:17" ht="12.5">
      <c r="A150" s="84" t="s">
        <v>2890</v>
      </c>
      <c r="B150" s="399">
        <v>246</v>
      </c>
      <c r="C150" s="24" t="s">
        <v>2891</v>
      </c>
      <c r="D150" s="499">
        <v>14985</v>
      </c>
      <c r="E150" s="499">
        <v>3303</v>
      </c>
      <c r="F150" s="2">
        <f t="shared" si="16"/>
        <v>1.0946694238769132</v>
      </c>
      <c r="G150" s="2">
        <f t="shared" si="17"/>
        <v>1</v>
      </c>
      <c r="H150" s="2">
        <f t="shared" si="18"/>
        <v>2.4993969139811365</v>
      </c>
      <c r="I150" s="25">
        <f t="shared" si="14"/>
        <v>34214.404768300781</v>
      </c>
      <c r="J150" s="343">
        <f t="shared" si="15"/>
        <v>7541.5534834632963</v>
      </c>
      <c r="L150" s="713">
        <v>537629</v>
      </c>
      <c r="M150" s="499">
        <v>1016670</v>
      </c>
      <c r="N150" s="708" t="s">
        <v>2796</v>
      </c>
      <c r="O150" s="546" t="str">
        <f>IFERROR(VLOOKUP(P150,constant_ag_extr!$D$7:$E$594,2,FALSE),"")</f>
        <v>Groundnuts, with shell</v>
      </c>
      <c r="P150" s="547">
        <f t="shared" si="19"/>
        <v>242</v>
      </c>
      <c r="Q150" s="590">
        <f t="shared" si="20"/>
        <v>0.7</v>
      </c>
    </row>
    <row r="151" spans="1:17" ht="12.5">
      <c r="A151" s="84" t="s">
        <v>5229</v>
      </c>
      <c r="B151" s="399">
        <v>247</v>
      </c>
      <c r="C151" s="24" t="s">
        <v>5230</v>
      </c>
      <c r="D151" s="499">
        <v>17644</v>
      </c>
      <c r="E151" s="499">
        <v>17675</v>
      </c>
      <c r="F151" s="2">
        <f t="shared" si="16"/>
        <v>0.93046901029537632</v>
      </c>
      <c r="G151" s="2">
        <f t="shared" si="17"/>
        <v>1</v>
      </c>
      <c r="H151" s="2">
        <f t="shared" si="18"/>
        <v>2.4993969139811365</v>
      </c>
      <c r="I151" s="25">
        <f t="shared" ref="I151:I214" si="21">IFERROR((D151/F151)*H151*G151,0)</f>
        <v>47394.763997872302</v>
      </c>
      <c r="J151" s="343">
        <f t="shared" ref="J151:J214" si="22">IFERROR((E151/F151)*H151*G151,0)</f>
        <v>47478.035233642768</v>
      </c>
      <c r="L151" s="713">
        <v>119353</v>
      </c>
      <c r="M151" s="499">
        <v>133754</v>
      </c>
      <c r="N151" s="708" t="s">
        <v>2796</v>
      </c>
      <c r="O151" s="546" t="str">
        <f>IFERROR(VLOOKUP(P151,constant_ag_extr!$D$7:$E$594,2,FALSE),"")</f>
        <v>Groundnuts, with shell</v>
      </c>
      <c r="P151" s="547">
        <f t="shared" si="19"/>
        <v>242</v>
      </c>
      <c r="Q151" s="590">
        <f t="shared" si="20"/>
        <v>0.59499999999999997</v>
      </c>
    </row>
    <row r="152" spans="1:17" ht="12.5">
      <c r="A152" s="84" t="s">
        <v>882</v>
      </c>
      <c r="B152" s="399">
        <v>249</v>
      </c>
      <c r="C152" s="24" t="s">
        <v>3510</v>
      </c>
      <c r="D152" s="499">
        <v>7251</v>
      </c>
      <c r="E152" s="499">
        <v>8</v>
      </c>
      <c r="F152" s="2">
        <f t="shared" si="16"/>
        <v>4.9920059476827348</v>
      </c>
      <c r="G152" s="2">
        <f t="shared" si="17"/>
        <v>1</v>
      </c>
      <c r="H152" s="2">
        <f t="shared" si="18"/>
        <v>2.4993969139811365</v>
      </c>
      <c r="I152" s="25">
        <f t="shared" si="21"/>
        <v>3630.4297737645707</v>
      </c>
      <c r="J152" s="343">
        <f t="shared" si="22"/>
        <v>4.005439000153987</v>
      </c>
      <c r="L152" s="713">
        <v>1266180</v>
      </c>
      <c r="M152" s="499">
        <v>1093140</v>
      </c>
      <c r="N152" s="708" t="s">
        <v>413</v>
      </c>
      <c r="O152" s="546" t="str">
        <f>IFERROR(VLOOKUP(P152,constant_ag_extr!$D$7:$E$594,2,FALSE),"")</f>
        <v>Coconuts</v>
      </c>
      <c r="P152" s="547">
        <f t="shared" si="19"/>
        <v>249</v>
      </c>
      <c r="Q152" s="590">
        <f t="shared" si="20"/>
        <v>1</v>
      </c>
    </row>
    <row r="153" spans="1:17" ht="12.5">
      <c r="A153" s="84" t="s">
        <v>7026</v>
      </c>
      <c r="B153" s="399">
        <v>250</v>
      </c>
      <c r="C153" s="24" t="s">
        <v>2713</v>
      </c>
      <c r="D153" s="499">
        <v>13367</v>
      </c>
      <c r="E153" s="499">
        <v>1125</v>
      </c>
      <c r="F153" s="2">
        <f t="shared" si="16"/>
        <v>0.998401189536547</v>
      </c>
      <c r="G153" s="2">
        <f t="shared" si="17"/>
        <v>1</v>
      </c>
      <c r="H153" s="2">
        <f t="shared" si="18"/>
        <v>2.4993969139811365</v>
      </c>
      <c r="I153" s="25">
        <f t="shared" si="21"/>
        <v>33462.939446911463</v>
      </c>
      <c r="J153" s="343">
        <f t="shared" si="22"/>
        <v>2816.3242969832722</v>
      </c>
      <c r="L153" s="713">
        <v>416295</v>
      </c>
      <c r="M153" s="499">
        <v>393557</v>
      </c>
      <c r="N153" s="708" t="s">
        <v>2796</v>
      </c>
      <c r="O153" s="546" t="str">
        <f>IFERROR(VLOOKUP(P153,constant_ag_extr!$D$7:$E$594,2,FALSE),"")</f>
        <v>Coconuts</v>
      </c>
      <c r="P153" s="547">
        <f t="shared" si="19"/>
        <v>249</v>
      </c>
      <c r="Q153" s="590">
        <f t="shared" si="20"/>
        <v>0.2</v>
      </c>
    </row>
    <row r="154" spans="1:17" ht="12.5">
      <c r="A154" s="84" t="s">
        <v>884</v>
      </c>
      <c r="B154" s="399">
        <v>251</v>
      </c>
      <c r="C154" s="24" t="s">
        <v>885</v>
      </c>
      <c r="D154" s="499">
        <v>7</v>
      </c>
      <c r="E154" s="499">
        <v>0</v>
      </c>
      <c r="F154" s="2">
        <f t="shared" si="16"/>
        <v>1.0483212490133742</v>
      </c>
      <c r="G154" s="2">
        <f t="shared" si="17"/>
        <v>1</v>
      </c>
      <c r="H154" s="2">
        <f t="shared" si="18"/>
        <v>2.4993969139811365</v>
      </c>
      <c r="I154" s="25">
        <f t="shared" si="21"/>
        <v>16.689329167308284</v>
      </c>
      <c r="J154" s="343">
        <f t="shared" si="22"/>
        <v>0</v>
      </c>
      <c r="L154" s="713">
        <v>155990</v>
      </c>
      <c r="M154" s="499">
        <v>227348</v>
      </c>
      <c r="N154" s="708" t="s">
        <v>2796</v>
      </c>
      <c r="O154" s="546" t="str">
        <f>IFERROR(VLOOKUP(P154,constant_ag_extr!$D$7:$E$594,2,FALSE),"")</f>
        <v>Coconuts</v>
      </c>
      <c r="P154" s="547">
        <f t="shared" si="19"/>
        <v>249</v>
      </c>
      <c r="Q154" s="590">
        <f t="shared" si="20"/>
        <v>0.21</v>
      </c>
    </row>
    <row r="155" spans="1:17" ht="12.5">
      <c r="A155" s="84" t="s">
        <v>7074</v>
      </c>
      <c r="B155" s="399">
        <v>252</v>
      </c>
      <c r="C155" s="24" t="s">
        <v>3216</v>
      </c>
      <c r="D155" s="499">
        <v>25065</v>
      </c>
      <c r="E155" s="499">
        <v>5403</v>
      </c>
      <c r="F155" s="2">
        <f t="shared" si="16"/>
        <v>0.68653327156369937</v>
      </c>
      <c r="G155" s="2">
        <f t="shared" si="17"/>
        <v>1</v>
      </c>
      <c r="H155" s="2">
        <f t="shared" si="18"/>
        <v>2.4993969139811365</v>
      </c>
      <c r="I155" s="25">
        <f t="shared" si="21"/>
        <v>91251.780858700178</v>
      </c>
      <c r="J155" s="343">
        <f t="shared" si="22"/>
        <v>19670.19237899689</v>
      </c>
      <c r="L155" s="713">
        <v>2116000</v>
      </c>
      <c r="M155" s="499">
        <v>2146900</v>
      </c>
      <c r="N155" s="708" t="s">
        <v>2796</v>
      </c>
      <c r="O155" s="546" t="str">
        <f>IFERROR(VLOOKUP(P155,constant_ag_extr!$D$7:$E$594,2,FALSE),"")</f>
        <v>Coconuts</v>
      </c>
      <c r="P155" s="547">
        <f t="shared" si="19"/>
        <v>249</v>
      </c>
      <c r="Q155" s="590">
        <f t="shared" si="20"/>
        <v>0.13752653317297925</v>
      </c>
    </row>
    <row r="156" spans="1:17" ht="12.5">
      <c r="A156" s="84" t="s">
        <v>6974</v>
      </c>
      <c r="B156" s="399">
        <v>253</v>
      </c>
      <c r="C156" s="24" t="s">
        <v>1371</v>
      </c>
      <c r="D156" s="499">
        <v>31</v>
      </c>
      <c r="E156" s="499">
        <v>2</v>
      </c>
      <c r="F156" s="2">
        <f t="shared" si="16"/>
        <v>5.5059388619126874</v>
      </c>
      <c r="G156" s="2">
        <f t="shared" si="17"/>
        <v>1</v>
      </c>
      <c r="H156" s="2">
        <f t="shared" si="18"/>
        <v>2.4993969139811365</v>
      </c>
      <c r="I156" s="25">
        <f t="shared" si="21"/>
        <v>14.07231469084989</v>
      </c>
      <c r="J156" s="343">
        <f t="shared" si="22"/>
        <v>0.90789127037741224</v>
      </c>
      <c r="L156" s="713">
        <v>693730</v>
      </c>
      <c r="M156" s="499">
        <v>758513</v>
      </c>
      <c r="N156" s="708" t="s">
        <v>2796</v>
      </c>
      <c r="O156" s="546" t="str">
        <f>IFERROR(VLOOKUP(P156,constant_ag_extr!$D$7:$E$594,2,FALSE),"")</f>
        <v>Coconuts</v>
      </c>
      <c r="P156" s="547">
        <f t="shared" si="19"/>
        <v>249</v>
      </c>
      <c r="Q156" s="590">
        <f t="shared" si="20"/>
        <v>1.1029511822734341</v>
      </c>
    </row>
    <row r="157" spans="1:17" ht="12.5">
      <c r="A157" s="84" t="s">
        <v>793</v>
      </c>
      <c r="B157" s="399">
        <v>254</v>
      </c>
      <c r="C157" s="24" t="s">
        <v>794</v>
      </c>
      <c r="D157" s="499"/>
      <c r="E157" s="499"/>
      <c r="F157" s="2">
        <f t="shared" si="16"/>
        <v>13.308277213346715</v>
      </c>
      <c r="G157" s="2">
        <f t="shared" si="17"/>
        <v>1</v>
      </c>
      <c r="H157" s="2">
        <f t="shared" si="18"/>
        <v>2.4993969139811365</v>
      </c>
      <c r="I157" s="25">
        <f t="shared" si="21"/>
        <v>0</v>
      </c>
      <c r="J157" s="343">
        <f t="shared" si="22"/>
        <v>0</v>
      </c>
      <c r="L157" s="713"/>
      <c r="M157" s="499"/>
      <c r="N157" s="708" t="s">
        <v>413</v>
      </c>
      <c r="O157" s="546" t="str">
        <f>IFERROR(VLOOKUP(P157,constant_ag_extr!$D$7:$E$594,2,FALSE),"")</f>
        <v>Oil palm fruit</v>
      </c>
      <c r="P157" s="547">
        <f t="shared" si="19"/>
        <v>254</v>
      </c>
      <c r="Q157" s="590">
        <f t="shared" si="20"/>
        <v>1</v>
      </c>
    </row>
    <row r="158" spans="1:17" ht="12.5">
      <c r="A158" s="84" t="s">
        <v>3101</v>
      </c>
      <c r="B158" s="399">
        <v>256</v>
      </c>
      <c r="C158" s="24" t="s">
        <v>297</v>
      </c>
      <c r="D158" s="499"/>
      <c r="E158" s="499"/>
      <c r="F158" s="2">
        <f t="shared" si="16"/>
        <v>7.7333473508015427</v>
      </c>
      <c r="G158" s="2">
        <f t="shared" si="17"/>
        <v>1</v>
      </c>
      <c r="H158" s="2">
        <f t="shared" si="18"/>
        <v>2.4993969139811365</v>
      </c>
      <c r="I158" s="25">
        <f t="shared" si="21"/>
        <v>0</v>
      </c>
      <c r="J158" s="343">
        <f t="shared" si="22"/>
        <v>0</v>
      </c>
      <c r="L158" s="713"/>
      <c r="M158" s="499"/>
      <c r="N158" s="708" t="s">
        <v>2796</v>
      </c>
      <c r="O158" s="546" t="str">
        <f>IFERROR(VLOOKUP(P158,constant_ag_extr!$D$7:$E$594,2,FALSE),"")</f>
        <v>Oil palm fruit</v>
      </c>
      <c r="P158" s="547">
        <f t="shared" si="19"/>
        <v>254</v>
      </c>
      <c r="Q158" s="590">
        <f t="shared" si="20"/>
        <v>0.58109304659252659</v>
      </c>
    </row>
    <row r="159" spans="1:17" ht="12.5">
      <c r="A159" s="84" t="s">
        <v>7082</v>
      </c>
      <c r="B159" s="399">
        <v>257</v>
      </c>
      <c r="C159" s="24" t="s">
        <v>4025</v>
      </c>
      <c r="D159" s="499">
        <v>108933</v>
      </c>
      <c r="E159" s="499">
        <v>4714</v>
      </c>
      <c r="F159" s="2">
        <f t="shared" si="16"/>
        <v>2.8197190621913126</v>
      </c>
      <c r="G159" s="2">
        <f t="shared" si="17"/>
        <v>1</v>
      </c>
      <c r="H159" s="2">
        <f t="shared" si="18"/>
        <v>2.4993969139811365</v>
      </c>
      <c r="I159" s="25">
        <f t="shared" si="21"/>
        <v>96558.131510845662</v>
      </c>
      <c r="J159" s="343">
        <f t="shared" si="22"/>
        <v>4178.4861515071316</v>
      </c>
      <c r="L159" s="713">
        <v>47839900</v>
      </c>
      <c r="M159" s="499">
        <v>48768400</v>
      </c>
      <c r="N159" s="708" t="s">
        <v>2796</v>
      </c>
      <c r="O159" s="546" t="str">
        <f>IFERROR(VLOOKUP(P159,constant_ag_extr!$D$7:$E$594,2,FALSE),"")</f>
        <v>Oil palm fruit</v>
      </c>
      <c r="P159" s="547">
        <f t="shared" si="19"/>
        <v>254</v>
      </c>
      <c r="Q159" s="590">
        <f t="shared" si="20"/>
        <v>0.21187709100043764</v>
      </c>
    </row>
    <row r="160" spans="1:17" ht="12.5">
      <c r="A160" s="84" t="s">
        <v>7083</v>
      </c>
      <c r="B160" s="399">
        <v>258</v>
      </c>
      <c r="C160" s="24" t="s">
        <v>3100</v>
      </c>
      <c r="D160" s="499">
        <v>13494</v>
      </c>
      <c r="E160" s="499">
        <v>119</v>
      </c>
      <c r="F160" s="2">
        <f t="shared" si="16"/>
        <v>4.0014713918296891</v>
      </c>
      <c r="G160" s="2">
        <f t="shared" si="17"/>
        <v>1</v>
      </c>
      <c r="H160" s="2">
        <f t="shared" si="18"/>
        <v>2.4993969139811365</v>
      </c>
      <c r="I160" s="25">
        <f t="shared" si="21"/>
        <v>8428.6150404888213</v>
      </c>
      <c r="J160" s="343">
        <f t="shared" si="22"/>
        <v>74.329716156674792</v>
      </c>
      <c r="L160" s="713">
        <v>3255490</v>
      </c>
      <c r="M160" s="499">
        <v>3004930</v>
      </c>
      <c r="N160" s="708" t="s">
        <v>2796</v>
      </c>
      <c r="O160" s="546" t="str">
        <f>IFERROR(VLOOKUP(P160,constant_ag_extr!$D$7:$E$594,2,FALSE),"")</f>
        <v>Oil palm fruit</v>
      </c>
      <c r="P160" s="547">
        <f t="shared" si="19"/>
        <v>254</v>
      </c>
      <c r="Q160" s="590">
        <f t="shared" si="20"/>
        <v>0.30067538627889873</v>
      </c>
    </row>
    <row r="161" spans="1:17" ht="12.5">
      <c r="A161" s="84" t="s">
        <v>6975</v>
      </c>
      <c r="B161" s="399">
        <v>259</v>
      </c>
      <c r="C161" s="24" t="s">
        <v>3436</v>
      </c>
      <c r="D161" s="499">
        <v>3</v>
      </c>
      <c r="E161" s="499">
        <v>245</v>
      </c>
      <c r="F161" s="2">
        <f t="shared" si="16"/>
        <v>36.230880843409722</v>
      </c>
      <c r="G161" s="2">
        <f t="shared" si="17"/>
        <v>1</v>
      </c>
      <c r="H161" s="2">
        <f t="shared" si="18"/>
        <v>2.4993969139811365</v>
      </c>
      <c r="I161" s="25">
        <f t="shared" si="21"/>
        <v>0.20695579481908472</v>
      </c>
      <c r="J161" s="343">
        <f t="shared" si="22"/>
        <v>16.901389910225252</v>
      </c>
      <c r="L161" s="713">
        <v>8825200</v>
      </c>
      <c r="M161" s="499">
        <v>7928410</v>
      </c>
      <c r="N161" s="708" t="s">
        <v>2796</v>
      </c>
      <c r="O161" s="546" t="str">
        <f>IFERROR(VLOOKUP(P161,constant_ag_extr!$D$7:$E$594,2,FALSE),"")</f>
        <v>Oil palm fruit</v>
      </c>
      <c r="P161" s="547">
        <f t="shared" si="19"/>
        <v>254</v>
      </c>
      <c r="Q161" s="590">
        <f t="shared" si="20"/>
        <v>2.7224320821236123</v>
      </c>
    </row>
    <row r="162" spans="1:17" ht="12.5">
      <c r="A162" s="84" t="s">
        <v>3734</v>
      </c>
      <c r="B162" s="399">
        <v>260</v>
      </c>
      <c r="C162" s="24" t="s">
        <v>2855</v>
      </c>
      <c r="D162" s="499">
        <v>175</v>
      </c>
      <c r="E162" s="499">
        <v>44</v>
      </c>
      <c r="F162" s="2">
        <f t="shared" si="16"/>
        <v>1.9046465673123252</v>
      </c>
      <c r="G162" s="2">
        <f t="shared" si="17"/>
        <v>1</v>
      </c>
      <c r="H162" s="2">
        <f t="shared" si="18"/>
        <v>2.4993969139811365</v>
      </c>
      <c r="I162" s="25">
        <f t="shared" si="21"/>
        <v>229.645997033409</v>
      </c>
      <c r="J162" s="343">
        <f t="shared" si="22"/>
        <v>57.739564968399982</v>
      </c>
      <c r="L162" s="713">
        <v>58579</v>
      </c>
      <c r="M162" s="499">
        <v>121874</v>
      </c>
      <c r="N162" s="708" t="s">
        <v>413</v>
      </c>
      <c r="O162" s="546" t="str">
        <f>IFERROR(VLOOKUP(P162,constant_ag_extr!$D$7:$E$594,2,FALSE),"")</f>
        <v>Olives</v>
      </c>
      <c r="P162" s="547">
        <f t="shared" si="19"/>
        <v>260</v>
      </c>
      <c r="Q162" s="590">
        <f t="shared" si="20"/>
        <v>1</v>
      </c>
    </row>
    <row r="163" spans="1:17" ht="12.5">
      <c r="A163" s="84" t="s">
        <v>7081</v>
      </c>
      <c r="B163" s="399">
        <v>261</v>
      </c>
      <c r="C163" s="24" t="s">
        <v>3733</v>
      </c>
      <c r="D163" s="499">
        <v>49425</v>
      </c>
      <c r="E163" s="499">
        <v>296</v>
      </c>
      <c r="F163" s="2">
        <f t="shared" si="16"/>
        <v>0.40367113517141467</v>
      </c>
      <c r="G163" s="2">
        <f t="shared" si="17"/>
        <v>1</v>
      </c>
      <c r="H163" s="2">
        <f t="shared" si="18"/>
        <v>2.4993969139811365</v>
      </c>
      <c r="I163" s="25">
        <f t="shared" si="21"/>
        <v>306023.10076260671</v>
      </c>
      <c r="J163" s="343">
        <f t="shared" si="22"/>
        <v>1832.7331881786868</v>
      </c>
      <c r="L163" s="713">
        <v>2027250</v>
      </c>
      <c r="M163" s="499">
        <v>1968480</v>
      </c>
      <c r="N163" s="708" t="s">
        <v>2796</v>
      </c>
      <c r="O163" s="546" t="str">
        <f>IFERROR(VLOOKUP(P163,constant_ag_extr!$D$7:$E$594,2,FALSE),"")</f>
        <v>Olives</v>
      </c>
      <c r="P163" s="547">
        <f t="shared" si="19"/>
        <v>260</v>
      </c>
      <c r="Q163" s="590">
        <f t="shared" si="20"/>
        <v>0.21194017940086435</v>
      </c>
    </row>
    <row r="164" spans="1:17" ht="12.5">
      <c r="A164" s="84" t="s">
        <v>4599</v>
      </c>
      <c r="B164" s="399">
        <v>262</v>
      </c>
      <c r="C164" s="24" t="s">
        <v>4600</v>
      </c>
      <c r="D164" s="499">
        <v>27443</v>
      </c>
      <c r="E164" s="499">
        <v>199</v>
      </c>
      <c r="F164" s="2">
        <f t="shared" si="16"/>
        <v>1.9046465673123252</v>
      </c>
      <c r="G164" s="2">
        <f t="shared" si="17"/>
        <v>1</v>
      </c>
      <c r="H164" s="2">
        <f t="shared" si="18"/>
        <v>2.4993969139811365</v>
      </c>
      <c r="I164" s="25">
        <f t="shared" si="21"/>
        <v>36012.429123359107</v>
      </c>
      <c r="J164" s="343">
        <f t="shared" si="22"/>
        <v>261.14030519799081</v>
      </c>
      <c r="L164" s="713">
        <v>1198410</v>
      </c>
      <c r="M164" s="499">
        <v>1151490</v>
      </c>
      <c r="N164" s="708" t="s">
        <v>2796</v>
      </c>
      <c r="O164" s="546" t="str">
        <f>IFERROR(VLOOKUP(P164,constant_ag_extr!$D$7:$E$594,2,FALSE),"")</f>
        <v>Olives</v>
      </c>
      <c r="P164" s="547">
        <f t="shared" si="19"/>
        <v>260</v>
      </c>
      <c r="Q164" s="590">
        <f t="shared" si="20"/>
        <v>1</v>
      </c>
    </row>
    <row r="165" spans="1:17" ht="12.5">
      <c r="A165" s="84" t="s">
        <v>3911</v>
      </c>
      <c r="B165" s="399">
        <v>263</v>
      </c>
      <c r="C165" s="24" t="s">
        <v>1421</v>
      </c>
      <c r="D165" s="499">
        <v>0</v>
      </c>
      <c r="E165" s="499"/>
      <c r="F165" s="2">
        <f t="shared" si="16"/>
        <v>0.82424577002845956</v>
      </c>
      <c r="G165" s="2">
        <f t="shared" si="17"/>
        <v>1</v>
      </c>
      <c r="H165" s="2">
        <f t="shared" si="18"/>
        <v>2.4993969139811365</v>
      </c>
      <c r="I165" s="25">
        <f t="shared" si="21"/>
        <v>0</v>
      </c>
      <c r="J165" s="343">
        <f t="shared" si="22"/>
        <v>0</v>
      </c>
      <c r="L165" s="713">
        <v>16289</v>
      </c>
      <c r="M165" s="499">
        <v>186531</v>
      </c>
      <c r="N165" s="708" t="s">
        <v>413</v>
      </c>
      <c r="O165" s="546" t="str">
        <f>IFERROR(VLOOKUP(P165,constant_ag_extr!$D$7:$E$594,2,FALSE),"")</f>
        <v>Karite Nuts (Sheanuts)</v>
      </c>
      <c r="P165" s="547">
        <f t="shared" si="19"/>
        <v>263</v>
      </c>
      <c r="Q165" s="590">
        <f t="shared" si="20"/>
        <v>1</v>
      </c>
    </row>
    <row r="166" spans="1:17" ht="12.5">
      <c r="A166" s="84" t="s">
        <v>104</v>
      </c>
      <c r="B166" s="399">
        <v>264</v>
      </c>
      <c r="C166" s="24" t="e">
        <v>#N/A</v>
      </c>
      <c r="D166" s="499"/>
      <c r="E166" s="499"/>
      <c r="F166" s="2">
        <f t="shared" si="16"/>
        <v>0.82424577002845956</v>
      </c>
      <c r="G166" s="2">
        <f t="shared" si="17"/>
        <v>1</v>
      </c>
      <c r="H166" s="2">
        <f t="shared" si="18"/>
        <v>2.4993969139811365</v>
      </c>
      <c r="I166" s="25">
        <f t="shared" si="21"/>
        <v>0</v>
      </c>
      <c r="J166" s="343">
        <f t="shared" si="22"/>
        <v>0</v>
      </c>
      <c r="L166" s="713">
        <v>0</v>
      </c>
      <c r="M166" s="499">
        <v>0</v>
      </c>
      <c r="N166" s="708" t="s">
        <v>2796</v>
      </c>
      <c r="O166" s="546" t="str">
        <f>IFERROR(VLOOKUP(P166,constant_ag_extr!$D$7:$E$594,2,FALSE),"")</f>
        <v>Karite Nuts (Sheanuts)</v>
      </c>
      <c r="P166" s="547">
        <f t="shared" si="19"/>
        <v>263</v>
      </c>
      <c r="Q166" s="590">
        <f t="shared" si="20"/>
        <v>1</v>
      </c>
    </row>
    <row r="167" spans="1:17" ht="12.5">
      <c r="A167" s="84" t="s">
        <v>3739</v>
      </c>
      <c r="B167" s="399">
        <v>265</v>
      </c>
      <c r="C167" s="24" t="s">
        <v>5309</v>
      </c>
      <c r="D167" s="499"/>
      <c r="E167" s="499"/>
      <c r="F167" s="2">
        <f t="shared" si="16"/>
        <v>1.3251768534970589</v>
      </c>
      <c r="G167" s="2">
        <f t="shared" si="17"/>
        <v>1</v>
      </c>
      <c r="H167" s="2">
        <f t="shared" si="18"/>
        <v>2.4993969139811365</v>
      </c>
      <c r="I167" s="25">
        <f t="shared" si="21"/>
        <v>0</v>
      </c>
      <c r="J167" s="343">
        <f t="shared" si="22"/>
        <v>0</v>
      </c>
      <c r="L167" s="713"/>
      <c r="M167" s="499"/>
      <c r="N167" s="708" t="s">
        <v>413</v>
      </c>
      <c r="O167" s="546" t="str">
        <f>IFERROR(VLOOKUP(P167,constant_ag_extr!$D$7:$E$594,2,FALSE),"")</f>
        <v>Castor oil seed</v>
      </c>
      <c r="P167" s="547">
        <f t="shared" si="19"/>
        <v>265</v>
      </c>
      <c r="Q167" s="590">
        <f t="shared" si="20"/>
        <v>1</v>
      </c>
    </row>
    <row r="168" spans="1:17" ht="12.5">
      <c r="A168" s="84" t="s">
        <v>7073</v>
      </c>
      <c r="B168" s="399">
        <v>266</v>
      </c>
      <c r="C168" s="24" t="s">
        <v>2916</v>
      </c>
      <c r="D168" s="499">
        <v>5630</v>
      </c>
      <c r="E168" s="499">
        <v>156</v>
      </c>
      <c r="F168" s="2">
        <f t="shared" si="16"/>
        <v>0.5300707413988236</v>
      </c>
      <c r="G168" s="2">
        <f t="shared" si="17"/>
        <v>1</v>
      </c>
      <c r="H168" s="2">
        <f t="shared" si="18"/>
        <v>2.4993969139811365</v>
      </c>
      <c r="I168" s="25">
        <f t="shared" si="21"/>
        <v>26546.654109939576</v>
      </c>
      <c r="J168" s="343">
        <f t="shared" si="22"/>
        <v>735.57336432514637</v>
      </c>
      <c r="L168" s="713">
        <v>678617</v>
      </c>
      <c r="M168" s="499">
        <v>682438</v>
      </c>
      <c r="N168" s="708" t="s">
        <v>2796</v>
      </c>
      <c r="O168" s="546" t="str">
        <f>IFERROR(VLOOKUP(P168,constant_ag_extr!$D$7:$E$594,2,FALSE),"")</f>
        <v>Castor oil seed</v>
      </c>
      <c r="P168" s="547">
        <f t="shared" si="19"/>
        <v>265</v>
      </c>
      <c r="Q168" s="590">
        <f t="shared" si="20"/>
        <v>0.4</v>
      </c>
    </row>
    <row r="169" spans="1:17" ht="12.5">
      <c r="A169" s="84" t="s">
        <v>3774</v>
      </c>
      <c r="B169" s="399">
        <v>267</v>
      </c>
      <c r="C169" s="24" t="s">
        <v>3551</v>
      </c>
      <c r="D169" s="499">
        <v>21467</v>
      </c>
      <c r="E169" s="499">
        <v>21305</v>
      </c>
      <c r="F169" s="2">
        <f t="shared" si="16"/>
        <v>1.7678919209257846</v>
      </c>
      <c r="G169" s="2">
        <f t="shared" si="17"/>
        <v>1</v>
      </c>
      <c r="H169" s="2">
        <f t="shared" si="18"/>
        <v>2.4993969139811365</v>
      </c>
      <c r="I169" s="25">
        <f t="shared" si="21"/>
        <v>30349.453446416566</v>
      </c>
      <c r="J169" s="343">
        <f t="shared" si="22"/>
        <v>30120.422307537381</v>
      </c>
      <c r="L169" s="713">
        <v>6036000</v>
      </c>
      <c r="M169" s="499">
        <v>5941220</v>
      </c>
      <c r="N169" s="708" t="s">
        <v>413</v>
      </c>
      <c r="O169" s="546" t="str">
        <f>IFERROR(VLOOKUP(P169,constant_ag_extr!$D$7:$E$594,2,FALSE),"")</f>
        <v>Sunflower seed</v>
      </c>
      <c r="P169" s="547">
        <f t="shared" si="19"/>
        <v>267</v>
      </c>
      <c r="Q169" s="590">
        <f t="shared" si="20"/>
        <v>1</v>
      </c>
    </row>
    <row r="170" spans="1:17" ht="12.5">
      <c r="A170" s="84" t="s">
        <v>7090</v>
      </c>
      <c r="B170" s="399">
        <v>268</v>
      </c>
      <c r="C170" s="24" t="s">
        <v>3041</v>
      </c>
      <c r="D170" s="499">
        <v>27838</v>
      </c>
      <c r="E170" s="499">
        <v>1496</v>
      </c>
      <c r="F170" s="2">
        <f t="shared" si="16"/>
        <v>0.8691114990512655</v>
      </c>
      <c r="G170" s="2">
        <f t="shared" si="17"/>
        <v>1</v>
      </c>
      <c r="H170" s="2">
        <f t="shared" si="18"/>
        <v>2.4993969139811365</v>
      </c>
      <c r="I170" s="25">
        <f t="shared" si="21"/>
        <v>80056.714664757572</v>
      </c>
      <c r="J170" s="343">
        <f t="shared" si="22"/>
        <v>4302.2072396895364</v>
      </c>
      <c r="L170" s="713">
        <v>11819800</v>
      </c>
      <c r="M170" s="499">
        <v>12648500</v>
      </c>
      <c r="N170" s="708" t="s">
        <v>2796</v>
      </c>
      <c r="O170" s="546" t="str">
        <f>IFERROR(VLOOKUP(P170,constant_ag_extr!$D$7:$E$594,2,FALSE),"")</f>
        <v>Sunflower seed</v>
      </c>
      <c r="P170" s="547">
        <f t="shared" si="19"/>
        <v>267</v>
      </c>
      <c r="Q170" s="590">
        <f t="shared" si="20"/>
        <v>0.49160895457689602</v>
      </c>
    </row>
    <row r="171" spans="1:17" ht="12.5">
      <c r="A171" s="84" t="s">
        <v>6976</v>
      </c>
      <c r="B171" s="399">
        <v>269</v>
      </c>
      <c r="C171" s="24" t="s">
        <v>3481</v>
      </c>
      <c r="D171" s="499">
        <v>2260</v>
      </c>
      <c r="E171" s="499">
        <v>611.88299560546875</v>
      </c>
      <c r="F171" s="2">
        <f t="shared" si="16"/>
        <v>5.0053625447340115</v>
      </c>
      <c r="G171" s="2">
        <f t="shared" si="17"/>
        <v>1</v>
      </c>
      <c r="H171" s="2">
        <f t="shared" si="18"/>
        <v>2.4993969139811365</v>
      </c>
      <c r="I171" s="25">
        <f t="shared" si="21"/>
        <v>1128.5170604754946</v>
      </c>
      <c r="J171" s="343">
        <f t="shared" si="22"/>
        <v>305.53999980337329</v>
      </c>
      <c r="L171" s="713">
        <v>8705260</v>
      </c>
      <c r="M171" s="499">
        <v>8890560</v>
      </c>
      <c r="N171" s="708" t="s">
        <v>2796</v>
      </c>
      <c r="O171" s="546" t="str">
        <f>IFERROR(VLOOKUP(P171,constant_ag_extr!$D$7:$E$594,2,FALSE),"")</f>
        <v>Sunflower seed</v>
      </c>
      <c r="P171" s="547">
        <f t="shared" si="19"/>
        <v>267</v>
      </c>
      <c r="Q171" s="590">
        <f t="shared" si="20"/>
        <v>2.8312604891100324</v>
      </c>
    </row>
    <row r="172" spans="1:17" ht="12.5">
      <c r="A172" s="84" t="s">
        <v>5387</v>
      </c>
      <c r="B172" s="399">
        <v>270</v>
      </c>
      <c r="C172" s="24" t="s">
        <v>4521</v>
      </c>
      <c r="D172" s="499">
        <v>155105</v>
      </c>
      <c r="E172" s="499">
        <v>10207300</v>
      </c>
      <c r="F172" s="2">
        <f t="shared" si="16"/>
        <v>1.8558405302239993</v>
      </c>
      <c r="G172" s="2">
        <f t="shared" si="17"/>
        <v>1</v>
      </c>
      <c r="H172" s="2">
        <f t="shared" si="18"/>
        <v>2.4993969139811365</v>
      </c>
      <c r="I172" s="25">
        <f t="shared" si="21"/>
        <v>208891.3093714214</v>
      </c>
      <c r="J172" s="343">
        <f t="shared" si="22"/>
        <v>13746921.518628733</v>
      </c>
      <c r="L172" s="713">
        <v>23970900</v>
      </c>
      <c r="M172" s="499">
        <v>23165300</v>
      </c>
      <c r="N172" s="708" t="s">
        <v>413</v>
      </c>
      <c r="O172" s="546" t="str">
        <f>IFERROR(VLOOKUP(P172,constant_ag_extr!$D$7:$E$594,2,FALSE),"")</f>
        <v>Rapeseed</v>
      </c>
      <c r="P172" s="547">
        <f t="shared" si="19"/>
        <v>270</v>
      </c>
      <c r="Q172" s="590">
        <f t="shared" si="20"/>
        <v>1</v>
      </c>
    </row>
    <row r="173" spans="1:17" ht="12.5">
      <c r="A173" s="84" t="s">
        <v>7085</v>
      </c>
      <c r="B173" s="399">
        <v>271</v>
      </c>
      <c r="C173" s="24" t="s">
        <v>5389</v>
      </c>
      <c r="D173" s="499">
        <v>14772</v>
      </c>
      <c r="E173" s="499">
        <v>3261470</v>
      </c>
      <c r="F173" s="2">
        <f t="shared" si="16"/>
        <v>0.9321005876180527</v>
      </c>
      <c r="G173" s="2">
        <f t="shared" si="17"/>
        <v>1</v>
      </c>
      <c r="H173" s="2">
        <f t="shared" si="18"/>
        <v>2.4993969139811365</v>
      </c>
      <c r="I173" s="25">
        <f t="shared" si="21"/>
        <v>39610.629693603973</v>
      </c>
      <c r="J173" s="343">
        <f t="shared" si="22"/>
        <v>8745523.9931491017</v>
      </c>
      <c r="L173" s="713">
        <v>7296150</v>
      </c>
      <c r="M173" s="499">
        <v>7252140</v>
      </c>
      <c r="N173" s="708" t="s">
        <v>2796</v>
      </c>
      <c r="O173" s="546" t="str">
        <f>IFERROR(VLOOKUP(P173,constant_ag_extr!$D$7:$E$594,2,FALSE),"")</f>
        <v>Rapeseed</v>
      </c>
      <c r="P173" s="547">
        <f t="shared" si="19"/>
        <v>270</v>
      </c>
      <c r="Q173" s="590">
        <f t="shared" si="20"/>
        <v>0.50225252247592012</v>
      </c>
    </row>
    <row r="174" spans="1:17" ht="12.5">
      <c r="A174" s="84" t="s">
        <v>6977</v>
      </c>
      <c r="B174" s="399">
        <v>272</v>
      </c>
      <c r="C174" s="24" t="s">
        <v>510</v>
      </c>
      <c r="D174" s="499">
        <v>11598</v>
      </c>
      <c r="E174" s="499">
        <v>4664260</v>
      </c>
      <c r="F174" s="2">
        <f t="shared" si="16"/>
        <v>4.5746324185743319</v>
      </c>
      <c r="G174" s="2">
        <f t="shared" si="17"/>
        <v>1</v>
      </c>
      <c r="H174" s="2">
        <f t="shared" si="18"/>
        <v>2.4993969139811365</v>
      </c>
      <c r="I174" s="25">
        <f t="shared" si="21"/>
        <v>6336.6851707371134</v>
      </c>
      <c r="J174" s="343">
        <f t="shared" si="22"/>
        <v>2548365.8539801934</v>
      </c>
      <c r="L174" s="713">
        <v>10669600</v>
      </c>
      <c r="M174" s="499">
        <v>11620600</v>
      </c>
      <c r="N174" s="708" t="s">
        <v>2796</v>
      </c>
      <c r="O174" s="546" t="str">
        <f>IFERROR(VLOOKUP(P174,constant_ag_extr!$D$7:$E$594,2,FALSE),"")</f>
        <v>Rapeseed</v>
      </c>
      <c r="P174" s="547">
        <f t="shared" si="19"/>
        <v>270</v>
      </c>
      <c r="Q174" s="590">
        <f t="shared" si="20"/>
        <v>2.464992193064226</v>
      </c>
    </row>
    <row r="175" spans="1:17" ht="12.5">
      <c r="A175" s="84" t="s">
        <v>622</v>
      </c>
      <c r="B175" s="399">
        <v>273</v>
      </c>
      <c r="C175" s="24" t="s">
        <v>4596</v>
      </c>
      <c r="D175" s="499"/>
      <c r="E175" s="499"/>
      <c r="F175" s="2">
        <f t="shared" si="16"/>
        <v>13.523117923745549</v>
      </c>
      <c r="G175" s="2">
        <f t="shared" si="17"/>
        <v>1</v>
      </c>
      <c r="H175" s="2">
        <f t="shared" si="18"/>
        <v>2.4993969139811365</v>
      </c>
      <c r="I175" s="25">
        <f t="shared" si="21"/>
        <v>0</v>
      </c>
      <c r="J175" s="343">
        <f t="shared" si="22"/>
        <v>0</v>
      </c>
      <c r="L175" s="713"/>
      <c r="M175" s="499"/>
      <c r="N175" s="708" t="s">
        <v>2796</v>
      </c>
      <c r="O175" s="546" t="str">
        <f>IFERROR(VLOOKUP(P175,constant_ag_extr!$D$7:$E$594,2,FALSE),"")</f>
        <v>Olives</v>
      </c>
      <c r="P175" s="547">
        <f t="shared" si="19"/>
        <v>260</v>
      </c>
      <c r="Q175" s="590">
        <f t="shared" si="20"/>
        <v>7.100066834356686</v>
      </c>
    </row>
    <row r="176" spans="1:17" ht="12.5">
      <c r="A176" s="84" t="s">
        <v>7080</v>
      </c>
      <c r="B176" s="399">
        <v>274</v>
      </c>
      <c r="C176" s="24" t="s">
        <v>4596</v>
      </c>
      <c r="D176" s="499">
        <v>1047</v>
      </c>
      <c r="E176" s="499">
        <v>244</v>
      </c>
      <c r="F176" s="2">
        <f t="shared" si="16"/>
        <v>0.67615589618727745</v>
      </c>
      <c r="G176" s="2">
        <f t="shared" si="17"/>
        <v>1</v>
      </c>
      <c r="H176" s="2">
        <f t="shared" si="18"/>
        <v>2.4993969139811365</v>
      </c>
      <c r="I176" s="25">
        <f t="shared" si="21"/>
        <v>3870.2148183492968</v>
      </c>
      <c r="J176" s="343">
        <f t="shared" si="22"/>
        <v>901.94118020747692</v>
      </c>
      <c r="L176" s="713">
        <v>228656</v>
      </c>
      <c r="M176" s="499">
        <v>261414</v>
      </c>
      <c r="N176" s="708" t="s">
        <v>2796</v>
      </c>
      <c r="O176" s="546" t="str">
        <f>IFERROR(VLOOKUP(P176,constant_ag_extr!$D$7:$E$594,2,FALSE),"")</f>
        <v>Olives</v>
      </c>
      <c r="P176" s="547">
        <f t="shared" si="19"/>
        <v>260</v>
      </c>
      <c r="Q176" s="590">
        <f t="shared" si="20"/>
        <v>0.35500334171783432</v>
      </c>
    </row>
    <row r="177" spans="1:17" ht="12.5">
      <c r="A177" s="84" t="s">
        <v>3560</v>
      </c>
      <c r="B177" s="399">
        <v>275</v>
      </c>
      <c r="C177" s="24" t="s">
        <v>3561</v>
      </c>
      <c r="D177" s="499"/>
      <c r="E177" s="499"/>
      <c r="F177" s="2">
        <f t="shared" si="16"/>
        <v>2.4481709357935921</v>
      </c>
      <c r="G177" s="2">
        <f t="shared" si="17"/>
        <v>1</v>
      </c>
      <c r="H177" s="2">
        <f t="shared" si="18"/>
        <v>2.4993969139811365</v>
      </c>
      <c r="I177" s="25">
        <f t="shared" si="21"/>
        <v>0</v>
      </c>
      <c r="J177" s="343">
        <f t="shared" si="22"/>
        <v>0</v>
      </c>
      <c r="L177" s="713"/>
      <c r="M177" s="499"/>
      <c r="N177" s="708" t="s">
        <v>413</v>
      </c>
      <c r="O177" s="546" t="str">
        <f>IFERROR(VLOOKUP(P177,constant_ag_extr!$D$7:$E$594,2,FALSE),"")</f>
        <v>Tung Nuts</v>
      </c>
      <c r="P177" s="547">
        <f t="shared" si="19"/>
        <v>275</v>
      </c>
      <c r="Q177" s="590">
        <f t="shared" si="20"/>
        <v>1</v>
      </c>
    </row>
    <row r="178" spans="1:17" ht="12.5">
      <c r="A178" s="84" t="s">
        <v>4597</v>
      </c>
      <c r="B178" s="399">
        <v>276</v>
      </c>
      <c r="C178" s="24" t="s">
        <v>4598</v>
      </c>
      <c r="D178" s="499"/>
      <c r="E178" s="499"/>
      <c r="F178" s="2">
        <f t="shared" si="16"/>
        <v>1.2240854678967961</v>
      </c>
      <c r="G178" s="2">
        <f t="shared" si="17"/>
        <v>1</v>
      </c>
      <c r="H178" s="2">
        <f t="shared" si="18"/>
        <v>2.4993969139811365</v>
      </c>
      <c r="I178" s="25">
        <f t="shared" si="21"/>
        <v>0</v>
      </c>
      <c r="J178" s="343">
        <f t="shared" si="22"/>
        <v>0</v>
      </c>
      <c r="L178" s="713"/>
      <c r="M178" s="499"/>
      <c r="N178" s="708" t="s">
        <v>2796</v>
      </c>
      <c r="O178" s="546" t="str">
        <f>IFERROR(VLOOKUP(P178,constant_ag_extr!$D$7:$E$594,2,FALSE),"")</f>
        <v>Tung Nuts</v>
      </c>
      <c r="P178" s="547">
        <f t="shared" si="19"/>
        <v>275</v>
      </c>
      <c r="Q178" s="590">
        <f t="shared" si="20"/>
        <v>0.5</v>
      </c>
    </row>
    <row r="179" spans="1:17" ht="12.5">
      <c r="A179" s="84" t="s">
        <v>916</v>
      </c>
      <c r="B179" s="399">
        <v>278</v>
      </c>
      <c r="C179" s="24" t="s">
        <v>917</v>
      </c>
      <c r="D179" s="499"/>
      <c r="E179" s="499"/>
      <c r="F179" s="2">
        <f t="shared" si="16"/>
        <v>0.19231993082630039</v>
      </c>
      <c r="G179" s="2">
        <f t="shared" si="17"/>
        <v>1</v>
      </c>
      <c r="H179" s="2">
        <f t="shared" si="18"/>
        <v>2.4993969139811365</v>
      </c>
      <c r="I179" s="25">
        <f t="shared" si="21"/>
        <v>0</v>
      </c>
      <c r="J179" s="343">
        <f t="shared" si="22"/>
        <v>0</v>
      </c>
      <c r="L179" s="713"/>
      <c r="M179" s="499"/>
      <c r="N179" s="708" t="s">
        <v>2796</v>
      </c>
      <c r="O179" s="546" t="str">
        <f>IFERROR(VLOOKUP(P179,constant_ag_extr!$D$7:$E$594,2,FALSE),"")</f>
        <v>Jojoba seed</v>
      </c>
      <c r="P179" s="547">
        <f t="shared" si="19"/>
        <v>277</v>
      </c>
      <c r="Q179" s="590">
        <f t="shared" si="20"/>
        <v>0.43</v>
      </c>
    </row>
    <row r="180" spans="1:17" ht="12.5">
      <c r="A180" s="84" t="s">
        <v>5151</v>
      </c>
      <c r="B180" s="399">
        <v>280</v>
      </c>
      <c r="C180" s="24" t="s">
        <v>5152</v>
      </c>
      <c r="D180" s="499"/>
      <c r="E180" s="499"/>
      <c r="F180" s="2">
        <f t="shared" si="16"/>
        <v>0.84818244978500035</v>
      </c>
      <c r="G180" s="2">
        <f t="shared" si="17"/>
        <v>1</v>
      </c>
      <c r="H180" s="2">
        <f t="shared" si="18"/>
        <v>2.4993969139811365</v>
      </c>
      <c r="I180" s="25">
        <f t="shared" si="21"/>
        <v>0</v>
      </c>
      <c r="J180" s="343">
        <f t="shared" si="22"/>
        <v>0</v>
      </c>
      <c r="L180" s="713"/>
      <c r="M180" s="499"/>
      <c r="N180" s="708" t="s">
        <v>413</v>
      </c>
      <c r="O180" s="546" t="str">
        <f>IFERROR(VLOOKUP(P180,constant_ag_extr!$D$7:$E$594,2,FALSE),"")</f>
        <v>Safflower seed</v>
      </c>
      <c r="P180" s="547">
        <f t="shared" si="19"/>
        <v>280</v>
      </c>
      <c r="Q180" s="590">
        <f t="shared" si="20"/>
        <v>1</v>
      </c>
    </row>
    <row r="181" spans="1:17" ht="12.5">
      <c r="A181" s="84" t="s">
        <v>7087</v>
      </c>
      <c r="B181" s="399">
        <v>281</v>
      </c>
      <c r="C181" s="24" t="s">
        <v>2176</v>
      </c>
      <c r="D181" s="499"/>
      <c r="E181" s="499"/>
      <c r="F181" s="2">
        <f t="shared" si="16"/>
        <v>1.8750757666353699</v>
      </c>
      <c r="G181" s="2">
        <f t="shared" si="17"/>
        <v>1</v>
      </c>
      <c r="H181" s="2">
        <f t="shared" si="18"/>
        <v>2.4993969139811365</v>
      </c>
      <c r="I181" s="25">
        <f t="shared" si="21"/>
        <v>0</v>
      </c>
      <c r="J181" s="343">
        <f t="shared" si="22"/>
        <v>0</v>
      </c>
      <c r="L181" s="713">
        <v>117899</v>
      </c>
      <c r="M181" s="499">
        <v>30230</v>
      </c>
      <c r="N181" s="708" t="s">
        <v>2796</v>
      </c>
      <c r="O181" s="546" t="str">
        <f>IFERROR(VLOOKUP(P181,constant_ag_extr!$D$7:$E$594,2,FALSE),"")</f>
        <v>Safflower seed</v>
      </c>
      <c r="P181" s="547">
        <f t="shared" si="19"/>
        <v>280</v>
      </c>
      <c r="Q181" s="590">
        <f t="shared" si="20"/>
        <v>2.2106986145618426</v>
      </c>
    </row>
    <row r="182" spans="1:17" ht="12.5">
      <c r="A182" s="84" t="s">
        <v>6978</v>
      </c>
      <c r="B182" s="399">
        <v>282</v>
      </c>
      <c r="C182" s="24" t="s">
        <v>5304</v>
      </c>
      <c r="D182" s="499"/>
      <c r="E182" s="499"/>
      <c r="F182" s="2">
        <f t="shared" si="16"/>
        <v>0.61454433353055715</v>
      </c>
      <c r="G182" s="2">
        <f t="shared" si="17"/>
        <v>1</v>
      </c>
      <c r="H182" s="2">
        <f t="shared" si="18"/>
        <v>2.4993969139811365</v>
      </c>
      <c r="I182" s="25">
        <f t="shared" si="21"/>
        <v>0</v>
      </c>
      <c r="J182" s="343">
        <f t="shared" si="22"/>
        <v>0</v>
      </c>
      <c r="L182" s="713">
        <v>25</v>
      </c>
      <c r="M182" s="499">
        <v>24</v>
      </c>
      <c r="N182" s="708" t="s">
        <v>2796</v>
      </c>
      <c r="O182" s="546" t="str">
        <f>IFERROR(VLOOKUP(P182,constant_ag_extr!$D$7:$E$594,2,FALSE),"")</f>
        <v>Safflower seed</v>
      </c>
      <c r="P182" s="547">
        <f t="shared" si="19"/>
        <v>280</v>
      </c>
      <c r="Q182" s="590">
        <f t="shared" si="20"/>
        <v>0.72454261896875316</v>
      </c>
    </row>
    <row r="183" spans="1:17" ht="12.5">
      <c r="A183" s="84" t="s">
        <v>2680</v>
      </c>
      <c r="B183" s="399">
        <v>289</v>
      </c>
      <c r="C183" s="24" t="s">
        <v>1973</v>
      </c>
      <c r="D183" s="499">
        <v>9189</v>
      </c>
      <c r="E183" s="499">
        <v>491</v>
      </c>
      <c r="F183" s="2">
        <f t="shared" si="16"/>
        <v>0.45856429638220336</v>
      </c>
      <c r="G183" s="2">
        <f t="shared" si="17"/>
        <v>1</v>
      </c>
      <c r="H183" s="2">
        <f t="shared" si="18"/>
        <v>2.4993969139811365</v>
      </c>
      <c r="I183" s="25">
        <f t="shared" si="21"/>
        <v>50084.488530328585</v>
      </c>
      <c r="J183" s="343">
        <f t="shared" si="22"/>
        <v>2676.1871660018869</v>
      </c>
      <c r="L183" s="713">
        <v>1981390</v>
      </c>
      <c r="M183" s="499">
        <v>2068010</v>
      </c>
      <c r="N183" s="708" t="s">
        <v>413</v>
      </c>
      <c r="O183" s="546" t="str">
        <f>IFERROR(VLOOKUP(P183,constant_ag_extr!$D$7:$E$594,2,FALSE),"")</f>
        <v>Sesame seed</v>
      </c>
      <c r="P183" s="547">
        <f t="shared" si="19"/>
        <v>289</v>
      </c>
      <c r="Q183" s="590">
        <f t="shared" si="20"/>
        <v>1</v>
      </c>
    </row>
    <row r="184" spans="1:17" ht="12.5">
      <c r="A184" s="84" t="s">
        <v>7088</v>
      </c>
      <c r="B184" s="399">
        <v>290</v>
      </c>
      <c r="C184" s="24" t="s">
        <v>2679</v>
      </c>
      <c r="D184" s="499">
        <v>2612</v>
      </c>
      <c r="E184" s="499">
        <v>8</v>
      </c>
      <c r="F184" s="2">
        <f t="shared" si="16"/>
        <v>0.49621866828158517</v>
      </c>
      <c r="G184" s="2">
        <f t="shared" si="17"/>
        <v>1</v>
      </c>
      <c r="H184" s="2">
        <f t="shared" si="18"/>
        <v>2.4993969139811365</v>
      </c>
      <c r="I184" s="25">
        <f t="shared" si="21"/>
        <v>13156.346499269746</v>
      </c>
      <c r="J184" s="343">
        <f t="shared" si="22"/>
        <v>40.295088818590344</v>
      </c>
      <c r="L184" s="713">
        <v>73090</v>
      </c>
      <c r="M184" s="499">
        <v>69830</v>
      </c>
      <c r="N184" s="708" t="s">
        <v>2796</v>
      </c>
      <c r="O184" s="546" t="str">
        <f>IFERROR(VLOOKUP(P184,constant_ag_extr!$D$7:$E$594,2,FALSE),"")</f>
        <v>Sesame seed</v>
      </c>
      <c r="P184" s="547">
        <f t="shared" si="19"/>
        <v>289</v>
      </c>
      <c r="Q184" s="590">
        <f t="shared" si="20"/>
        <v>1.0821136145933126</v>
      </c>
    </row>
    <row r="185" spans="1:17" ht="12.5">
      <c r="A185" s="84" t="s">
        <v>6979</v>
      </c>
      <c r="B185" s="399">
        <v>291</v>
      </c>
      <c r="C185" s="24" t="s">
        <v>1300</v>
      </c>
      <c r="D185" s="499"/>
      <c r="E185" s="499"/>
      <c r="F185" s="2">
        <f t="shared" si="16"/>
        <v>0.38807887944715774</v>
      </c>
      <c r="G185" s="2">
        <f t="shared" si="17"/>
        <v>1</v>
      </c>
      <c r="H185" s="2">
        <f t="shared" si="18"/>
        <v>2.4993969139811365</v>
      </c>
      <c r="I185" s="25">
        <f t="shared" si="21"/>
        <v>0</v>
      </c>
      <c r="J185" s="343">
        <f t="shared" si="22"/>
        <v>0</v>
      </c>
      <c r="L185" s="713">
        <v>1189</v>
      </c>
      <c r="M185" s="499">
        <v>1644</v>
      </c>
      <c r="N185" s="708" t="s">
        <v>2796</v>
      </c>
      <c r="O185" s="546" t="str">
        <f>IFERROR(VLOOKUP(P185,constant_ag_extr!$D$7:$E$594,2,FALSE),"")</f>
        <v>Sesame seed</v>
      </c>
      <c r="P185" s="547">
        <f t="shared" si="19"/>
        <v>289</v>
      </c>
      <c r="Q185" s="590">
        <f t="shared" si="20"/>
        <v>0.84629109267526237</v>
      </c>
    </row>
    <row r="186" spans="1:17" ht="12.5">
      <c r="A186" s="84" t="s">
        <v>787</v>
      </c>
      <c r="B186" s="399">
        <v>292</v>
      </c>
      <c r="C186" s="24" t="s">
        <v>788</v>
      </c>
      <c r="D186" s="499">
        <v>7241</v>
      </c>
      <c r="E186" s="499">
        <v>114299</v>
      </c>
      <c r="F186" s="2">
        <f t="shared" si="16"/>
        <v>0.67863080212517557</v>
      </c>
      <c r="G186" s="2">
        <f t="shared" si="17"/>
        <v>1</v>
      </c>
      <c r="H186" s="2">
        <f t="shared" si="18"/>
        <v>2.4993969139811365</v>
      </c>
      <c r="I186" s="25">
        <f t="shared" si="21"/>
        <v>26668.599476271862</v>
      </c>
      <c r="J186" s="343">
        <f t="shared" si="22"/>
        <v>420963.16137804132</v>
      </c>
      <c r="L186" s="713">
        <v>298278</v>
      </c>
      <c r="M186" s="499">
        <v>324540</v>
      </c>
      <c r="N186" s="708" t="s">
        <v>413</v>
      </c>
      <c r="O186" s="546" t="str">
        <f>IFERROR(VLOOKUP(P186,constant_ag_extr!$D$7:$E$594,2,FALSE),"")</f>
        <v>Mustard seed</v>
      </c>
      <c r="P186" s="547">
        <f t="shared" si="19"/>
        <v>292</v>
      </c>
      <c r="Q186" s="590">
        <f t="shared" si="20"/>
        <v>1</v>
      </c>
    </row>
    <row r="187" spans="1:17" ht="12.5">
      <c r="A187" s="84" t="s">
        <v>785</v>
      </c>
      <c r="B187" s="399">
        <v>293</v>
      </c>
      <c r="C187" s="24" t="s">
        <v>786</v>
      </c>
      <c r="D187" s="499"/>
      <c r="E187" s="499"/>
      <c r="F187" s="2">
        <f t="shared" si="16"/>
        <v>2.8254791886044521</v>
      </c>
      <c r="G187" s="2">
        <f t="shared" si="17"/>
        <v>1</v>
      </c>
      <c r="H187" s="2">
        <f t="shared" si="18"/>
        <v>2.4993969139811365</v>
      </c>
      <c r="I187" s="25">
        <f t="shared" si="21"/>
        <v>0</v>
      </c>
      <c r="J187" s="343">
        <f t="shared" si="22"/>
        <v>0</v>
      </c>
      <c r="L187" s="713"/>
      <c r="M187" s="499"/>
      <c r="N187" s="708" t="s">
        <v>2796</v>
      </c>
      <c r="O187" s="546" t="str">
        <f>IFERROR(VLOOKUP(P187,constant_ag_extr!$D$7:$E$594,2,FALSE),"")</f>
        <v>Mustard seed</v>
      </c>
      <c r="P187" s="547">
        <f t="shared" si="19"/>
        <v>292</v>
      </c>
      <c r="Q187" s="590">
        <f t="shared" si="20"/>
        <v>4.1634997700609579</v>
      </c>
    </row>
    <row r="188" spans="1:17" ht="12.5">
      <c r="A188" s="84" t="s">
        <v>6980</v>
      </c>
      <c r="B188" s="399">
        <v>294</v>
      </c>
      <c r="C188" s="24" t="s">
        <v>1298</v>
      </c>
      <c r="D188" s="499"/>
      <c r="E188" s="499"/>
      <c r="F188" s="2">
        <f t="shared" si="16"/>
        <v>0.4457177903642941</v>
      </c>
      <c r="G188" s="2">
        <f t="shared" si="17"/>
        <v>1</v>
      </c>
      <c r="H188" s="2">
        <f t="shared" si="18"/>
        <v>2.4993969139811365</v>
      </c>
      <c r="I188" s="25">
        <f t="shared" si="21"/>
        <v>0</v>
      </c>
      <c r="J188" s="343">
        <f t="shared" si="22"/>
        <v>0</v>
      </c>
      <c r="L188" s="713">
        <v>3357</v>
      </c>
      <c r="M188" s="499">
        <v>2636</v>
      </c>
      <c r="N188" s="708" t="s">
        <v>2796</v>
      </c>
      <c r="O188" s="546" t="str">
        <f>IFERROR(VLOOKUP(P188,constant_ag_extr!$D$7:$E$594,2,FALSE),"")</f>
        <v>Mustard seed</v>
      </c>
      <c r="P188" s="547">
        <f t="shared" si="19"/>
        <v>292</v>
      </c>
      <c r="Q188" s="590">
        <f t="shared" si="20"/>
        <v>0.65678980230266659</v>
      </c>
    </row>
    <row r="189" spans="1:17" ht="12.5">
      <c r="A189" s="84" t="s">
        <v>7037</v>
      </c>
      <c r="B189" s="399">
        <v>295</v>
      </c>
      <c r="C189" s="24" t="s">
        <v>5056</v>
      </c>
      <c r="D189" s="499">
        <v>12770</v>
      </c>
      <c r="E189" s="499">
        <v>14511</v>
      </c>
      <c r="F189" s="2">
        <f t="shared" si="16"/>
        <v>0.54290464170014052</v>
      </c>
      <c r="G189" s="2">
        <f t="shared" si="17"/>
        <v>1</v>
      </c>
      <c r="H189" s="2">
        <f t="shared" si="18"/>
        <v>2.4993969139811365</v>
      </c>
      <c r="I189" s="25">
        <f t="shared" si="21"/>
        <v>58789.879732079753</v>
      </c>
      <c r="J189" s="343">
        <f t="shared" si="22"/>
        <v>66805.007423039104</v>
      </c>
      <c r="L189" s="713">
        <v>195502</v>
      </c>
      <c r="M189" s="499">
        <v>182904</v>
      </c>
      <c r="N189" s="708" t="s">
        <v>2796</v>
      </c>
      <c r="O189" s="546" t="str">
        <f>IFERROR(VLOOKUP(P189,constant_ag_extr!$D$7:$E$594,2,FALSE),"")</f>
        <v>Mustard seed</v>
      </c>
      <c r="P189" s="547">
        <f t="shared" si="19"/>
        <v>292</v>
      </c>
      <c r="Q189" s="590">
        <f t="shared" si="20"/>
        <v>0.8</v>
      </c>
    </row>
    <row r="190" spans="1:17" ht="12.75" customHeight="1">
      <c r="A190" s="84" t="s">
        <v>3682</v>
      </c>
      <c r="B190" s="399">
        <v>296</v>
      </c>
      <c r="C190" s="24" t="s">
        <v>2215</v>
      </c>
      <c r="D190" s="499">
        <v>710</v>
      </c>
      <c r="E190" s="499">
        <v>43</v>
      </c>
      <c r="F190" s="2">
        <f t="shared" si="16"/>
        <v>0.5798363515200764</v>
      </c>
      <c r="G190" s="2">
        <f t="shared" si="17"/>
        <v>1</v>
      </c>
      <c r="H190" s="2">
        <f t="shared" si="18"/>
        <v>2.4993969139811365</v>
      </c>
      <c r="I190" s="25">
        <f t="shared" si="21"/>
        <v>3060.4700865588343</v>
      </c>
      <c r="J190" s="343">
        <f t="shared" si="22"/>
        <v>185.35241369299985</v>
      </c>
      <c r="L190" s="713">
        <v>87806</v>
      </c>
      <c r="M190" s="499">
        <v>92338</v>
      </c>
      <c r="N190" s="708" t="s">
        <v>413</v>
      </c>
      <c r="O190" s="546" t="str">
        <f>IFERROR(VLOOKUP(P190,constant_ag_extr!$D$7:$E$594,2,FALSE),"")</f>
        <v>Poppy seed</v>
      </c>
      <c r="P190" s="547">
        <f t="shared" si="19"/>
        <v>296</v>
      </c>
      <c r="Q190" s="590">
        <f t="shared" si="20"/>
        <v>1</v>
      </c>
    </row>
    <row r="191" spans="1:17" ht="12.75" customHeight="1">
      <c r="A191" s="84" t="s">
        <v>7084</v>
      </c>
      <c r="B191" s="399">
        <v>297</v>
      </c>
      <c r="C191" s="24" t="s">
        <v>541</v>
      </c>
      <c r="D191" s="499"/>
      <c r="E191" s="499"/>
      <c r="F191" s="2">
        <f t="shared" si="16"/>
        <v>0.23193454060803056</v>
      </c>
      <c r="G191" s="2">
        <f t="shared" si="17"/>
        <v>1</v>
      </c>
      <c r="H191" s="2">
        <f t="shared" si="18"/>
        <v>2.4993969139811365</v>
      </c>
      <c r="I191" s="25">
        <f t="shared" si="21"/>
        <v>0</v>
      </c>
      <c r="J191" s="343">
        <f t="shared" si="22"/>
        <v>0</v>
      </c>
      <c r="L191" s="713">
        <v>0</v>
      </c>
      <c r="M191" s="499">
        <v>0</v>
      </c>
      <c r="N191" s="708" t="s">
        <v>2796</v>
      </c>
      <c r="O191" s="546" t="str">
        <f>IFERROR(VLOOKUP(P191,constant_ag_extr!$D$7:$E$594,2,FALSE),"")</f>
        <v>Poppy seed</v>
      </c>
      <c r="P191" s="547">
        <f t="shared" si="19"/>
        <v>296</v>
      </c>
      <c r="Q191" s="590">
        <f t="shared" si="20"/>
        <v>0.4</v>
      </c>
    </row>
    <row r="192" spans="1:17" ht="12.75" customHeight="1">
      <c r="A192" s="84" t="s">
        <v>2772</v>
      </c>
      <c r="B192" s="399">
        <v>299</v>
      </c>
      <c r="C192" s="24" t="s">
        <v>2773</v>
      </c>
      <c r="D192" s="499"/>
      <c r="E192" s="499"/>
      <c r="F192" s="2">
        <f t="shared" si="16"/>
        <v>0.44235668254825389</v>
      </c>
      <c r="G192" s="2">
        <f t="shared" si="17"/>
        <v>1</v>
      </c>
      <c r="H192" s="2">
        <f t="shared" si="18"/>
        <v>2.4993969139811365</v>
      </c>
      <c r="I192" s="25">
        <f t="shared" si="21"/>
        <v>0</v>
      </c>
      <c r="J192" s="343">
        <f t="shared" si="22"/>
        <v>0</v>
      </c>
      <c r="L192" s="713"/>
      <c r="M192" s="499"/>
      <c r="N192" s="708" t="s">
        <v>413</v>
      </c>
      <c r="O192" s="546" t="str">
        <f>IFERROR(VLOOKUP(P192,constant_ag_extr!$D$7:$E$594,2,FALSE),"")</f>
        <v>Melonseed</v>
      </c>
      <c r="P192" s="547">
        <f t="shared" si="19"/>
        <v>299</v>
      </c>
      <c r="Q192" s="590">
        <f t="shared" si="20"/>
        <v>1</v>
      </c>
    </row>
    <row r="193" spans="1:17" ht="12.75" customHeight="1">
      <c r="A193" s="84" t="s">
        <v>3246</v>
      </c>
      <c r="B193" s="399">
        <v>306</v>
      </c>
      <c r="C193" s="24" t="s">
        <v>3271</v>
      </c>
      <c r="D193" s="499"/>
      <c r="E193" s="499"/>
      <c r="F193" s="2">
        <f t="shared" si="16"/>
        <v>0.33691080758736575</v>
      </c>
      <c r="G193" s="2">
        <f t="shared" si="17"/>
        <v>1</v>
      </c>
      <c r="H193" s="2">
        <f t="shared" si="18"/>
        <v>2.4993969139811365</v>
      </c>
      <c r="I193" s="25">
        <f t="shared" si="21"/>
        <v>0</v>
      </c>
      <c r="J193" s="343">
        <f t="shared" si="22"/>
        <v>0</v>
      </c>
      <c r="L193" s="713">
        <v>0</v>
      </c>
      <c r="M193" s="499"/>
      <c r="N193" s="708" t="s">
        <v>2796</v>
      </c>
      <c r="O193" s="546" t="str">
        <f>IFERROR(VLOOKUP(P193,constant_ag_extr!$D$7:$E$594,2,FALSE),"")</f>
        <v>Tallowtree seed</v>
      </c>
      <c r="P193" s="547">
        <f t="shared" si="19"/>
        <v>305</v>
      </c>
      <c r="Q193" s="590">
        <f t="shared" si="20"/>
        <v>0.15</v>
      </c>
    </row>
    <row r="194" spans="1:17" ht="12.75" customHeight="1">
      <c r="A194" s="84" t="s">
        <v>4575</v>
      </c>
      <c r="B194" s="399">
        <v>311</v>
      </c>
      <c r="C194" s="24" t="s">
        <v>4576</v>
      </c>
      <c r="D194" s="499"/>
      <c r="E194" s="499"/>
      <c r="F194" s="2">
        <f t="shared" si="16"/>
        <v>0.80223522218279708</v>
      </c>
      <c r="G194" s="2">
        <f t="shared" si="17"/>
        <v>1</v>
      </c>
      <c r="H194" s="2">
        <f t="shared" si="18"/>
        <v>2.4993969139811365</v>
      </c>
      <c r="I194" s="25">
        <f t="shared" si="21"/>
        <v>0</v>
      </c>
      <c r="J194" s="343">
        <f t="shared" si="22"/>
        <v>0</v>
      </c>
      <c r="L194" s="713">
        <v>0</v>
      </c>
      <c r="M194" s="499">
        <v>0</v>
      </c>
      <c r="N194" s="708" t="s">
        <v>413</v>
      </c>
      <c r="O194" s="546" t="str">
        <f>IFERROR(VLOOKUP(P194,constant_ag_extr!$D$7:$E$594,2,FALSE),"")</f>
        <v>Kapok Fruit</v>
      </c>
      <c r="P194" s="547">
        <f t="shared" si="19"/>
        <v>310</v>
      </c>
      <c r="Q194" s="590">
        <f t="shared" si="20"/>
        <v>0.76939680957128653</v>
      </c>
    </row>
    <row r="195" spans="1:17" ht="12.75" customHeight="1">
      <c r="A195" s="84" t="s">
        <v>4908</v>
      </c>
      <c r="B195" s="399">
        <v>312</v>
      </c>
      <c r="C195" s="24" t="s">
        <v>997</v>
      </c>
      <c r="D195" s="499"/>
      <c r="E195" s="499"/>
      <c r="F195" s="2">
        <f t="shared" si="16"/>
        <v>0.56156465552795798</v>
      </c>
      <c r="G195" s="2">
        <f t="shared" si="17"/>
        <v>1</v>
      </c>
      <c r="H195" s="2">
        <f t="shared" si="18"/>
        <v>2.4993969139811365</v>
      </c>
      <c r="I195" s="25">
        <f t="shared" si="21"/>
        <v>0</v>
      </c>
      <c r="J195" s="343">
        <f t="shared" si="22"/>
        <v>0</v>
      </c>
      <c r="L195" s="713">
        <v>0</v>
      </c>
      <c r="M195" s="499">
        <v>0</v>
      </c>
      <c r="N195" s="708" t="s">
        <v>2796</v>
      </c>
      <c r="O195" s="546" t="str">
        <f>IFERROR(VLOOKUP(P195,constant_ag_extr!$D$7:$E$594,2,FALSE),"")</f>
        <v>Kapok Fruit</v>
      </c>
      <c r="P195" s="547">
        <f t="shared" si="19"/>
        <v>310</v>
      </c>
      <c r="Q195" s="590">
        <f t="shared" si="20"/>
        <v>0.53857776669990054</v>
      </c>
    </row>
    <row r="196" spans="1:17" ht="12.75" customHeight="1">
      <c r="A196" s="84" t="s">
        <v>7077</v>
      </c>
      <c r="B196" s="399">
        <v>313</v>
      </c>
      <c r="C196" s="24" t="s">
        <v>3617</v>
      </c>
      <c r="D196" s="499"/>
      <c r="E196" s="499"/>
      <c r="F196" s="2">
        <f t="shared" si="16"/>
        <v>5.2620000532032849</v>
      </c>
      <c r="G196" s="2">
        <f t="shared" si="17"/>
        <v>1</v>
      </c>
      <c r="H196" s="2">
        <f t="shared" si="18"/>
        <v>2.4993969139811365</v>
      </c>
      <c r="I196" s="25">
        <f t="shared" si="21"/>
        <v>0</v>
      </c>
      <c r="J196" s="343">
        <f t="shared" si="22"/>
        <v>0</v>
      </c>
      <c r="L196" s="713">
        <v>0</v>
      </c>
      <c r="M196" s="499">
        <v>0</v>
      </c>
      <c r="N196" s="708" t="s">
        <v>2796</v>
      </c>
      <c r="O196" s="546" t="str">
        <f>IFERROR(VLOOKUP(P196,constant_ag_extr!$D$7:$E$594,2,FALSE),"")</f>
        <v>Kapok Fruit</v>
      </c>
      <c r="P196" s="547">
        <f t="shared" si="19"/>
        <v>310</v>
      </c>
      <c r="Q196" s="590">
        <f t="shared" si="20"/>
        <v>5.0466072056557527</v>
      </c>
    </row>
    <row r="197" spans="1:17" ht="12.75" customHeight="1">
      <c r="A197" s="84" t="s">
        <v>6981</v>
      </c>
      <c r="B197" s="399">
        <v>314</v>
      </c>
      <c r="C197" s="24" t="s">
        <v>149</v>
      </c>
      <c r="D197" s="499"/>
      <c r="E197" s="499"/>
      <c r="F197" s="2">
        <f t="shared" si="16"/>
        <v>0.45904975229819672</v>
      </c>
      <c r="G197" s="2">
        <f t="shared" si="17"/>
        <v>1</v>
      </c>
      <c r="H197" s="2">
        <f t="shared" si="18"/>
        <v>2.4993969139811365</v>
      </c>
      <c r="I197" s="25">
        <f t="shared" si="21"/>
        <v>0</v>
      </c>
      <c r="J197" s="343">
        <f t="shared" si="22"/>
        <v>0</v>
      </c>
      <c r="L197" s="713">
        <v>0</v>
      </c>
      <c r="M197" s="499">
        <v>0</v>
      </c>
      <c r="N197" s="708" t="s">
        <v>2796</v>
      </c>
      <c r="O197" s="546" t="str">
        <f>IFERROR(VLOOKUP(P197,constant_ag_extr!$D$7:$E$594,2,FALSE),"")</f>
        <v>Kapok Fruit</v>
      </c>
      <c r="P197" s="547">
        <f t="shared" si="19"/>
        <v>310</v>
      </c>
      <c r="Q197" s="590">
        <f t="shared" si="20"/>
        <v>0.44025917223096422</v>
      </c>
    </row>
    <row r="198" spans="1:17" ht="12.75" customHeight="1">
      <c r="A198" s="84" t="s">
        <v>2033</v>
      </c>
      <c r="B198" s="399">
        <v>328</v>
      </c>
      <c r="C198" s="24" t="s">
        <v>1258</v>
      </c>
      <c r="D198" s="499"/>
      <c r="E198" s="499"/>
      <c r="F198" s="2">
        <f t="shared" si="16"/>
        <v>1.9967431493364451</v>
      </c>
      <c r="G198" s="2">
        <f t="shared" si="17"/>
        <v>1</v>
      </c>
      <c r="H198" s="2">
        <f t="shared" si="18"/>
        <v>2.4993969139811365</v>
      </c>
      <c r="I198" s="25">
        <f t="shared" si="21"/>
        <v>0</v>
      </c>
      <c r="J198" s="343">
        <f t="shared" si="22"/>
        <v>0</v>
      </c>
      <c r="L198" s="713"/>
      <c r="M198" s="499"/>
      <c r="N198" s="708" t="s">
        <v>413</v>
      </c>
      <c r="O198" s="546" t="str">
        <f>IFERROR(VLOOKUP(P198,constant_ag_extr!$D$7:$E$594,2,FALSE),"")</f>
        <v>Seed Cotton</v>
      </c>
      <c r="P198" s="547">
        <f t="shared" si="19"/>
        <v>328</v>
      </c>
      <c r="Q198" s="590">
        <f t="shared" si="20"/>
        <v>1</v>
      </c>
    </row>
    <row r="199" spans="1:17" ht="12.75" customHeight="1">
      <c r="A199" s="84" t="s">
        <v>887</v>
      </c>
      <c r="B199" s="399">
        <v>329</v>
      </c>
      <c r="C199" s="24" t="s">
        <v>3513</v>
      </c>
      <c r="D199" s="499">
        <v>9289</v>
      </c>
      <c r="E199" s="499">
        <v>15.788599967956543</v>
      </c>
      <c r="F199" s="2">
        <f t="shared" ref="F199:F262" si="23">IFERROR(VLOOKUP(P199,crop_efp,4,FALSE)*Q199,0)</f>
        <v>7.1849729830231839</v>
      </c>
      <c r="G199" s="2">
        <f t="shared" ref="G199:G262" si="24">VLOOKUP("Crop Land",iyf,2,FALSE)</f>
        <v>1</v>
      </c>
      <c r="H199" s="2">
        <f t="shared" ref="H199:H262" si="25">VLOOKUP("Crop Land",eqf,2,FALSE)</f>
        <v>2.4993969139811365</v>
      </c>
      <c r="I199" s="25">
        <f t="shared" si="21"/>
        <v>3231.3131850082368</v>
      </c>
      <c r="J199" s="343">
        <f t="shared" si="22"/>
        <v>5.4922931692624175</v>
      </c>
      <c r="L199" s="713">
        <v>1039000</v>
      </c>
      <c r="M199" s="499">
        <v>1033940</v>
      </c>
      <c r="N199" s="708" t="s">
        <v>2796</v>
      </c>
      <c r="O199" s="546" t="str">
        <f>IFERROR(VLOOKUP(P199,constant_ag_extr!$D$7:$E$594,2,FALSE),"")</f>
        <v>Seed Cotton</v>
      </c>
      <c r="P199" s="547">
        <f t="shared" ref="P199:P262" si="26">IFERROR(VLOOKUP(B199,constant_ag_extr,3,FALSE),"")</f>
        <v>328</v>
      </c>
      <c r="Q199" s="590">
        <f t="shared" ref="Q199:Q262" si="27">IFERROR(VLOOKUP(B199,constant_ag_extr,14,FALSE),"")</f>
        <v>3.5983461295013752</v>
      </c>
    </row>
    <row r="200" spans="1:17" ht="12.75" customHeight="1">
      <c r="A200" s="84" t="s">
        <v>7075</v>
      </c>
      <c r="B200" s="399">
        <v>331</v>
      </c>
      <c r="C200" s="24" t="s">
        <v>1074</v>
      </c>
      <c r="D200" s="499">
        <v>8771</v>
      </c>
      <c r="E200" s="499">
        <v>65.37750244140625</v>
      </c>
      <c r="F200" s="2">
        <f t="shared" si="23"/>
        <v>2.9466593410235773</v>
      </c>
      <c r="G200" s="2">
        <f t="shared" si="24"/>
        <v>1</v>
      </c>
      <c r="H200" s="2">
        <f t="shared" si="25"/>
        <v>2.4993969139811365</v>
      </c>
      <c r="I200" s="25">
        <f t="shared" si="21"/>
        <v>7439.6826356294914</v>
      </c>
      <c r="J200" s="343">
        <f t="shared" si="22"/>
        <v>55.454095276952998</v>
      </c>
      <c r="L200" s="713">
        <v>151841</v>
      </c>
      <c r="M200" s="499">
        <v>141885</v>
      </c>
      <c r="N200" s="708" t="s">
        <v>2796</v>
      </c>
      <c r="O200" s="546" t="str">
        <f>IFERROR(VLOOKUP(P200,constant_ag_extr!$D$7:$E$594,2,FALSE),"")</f>
        <v>Seed Cotton</v>
      </c>
      <c r="P200" s="547">
        <f t="shared" si="26"/>
        <v>328</v>
      </c>
      <c r="Q200" s="590">
        <f t="shared" si="27"/>
        <v>1.4757327911718676</v>
      </c>
    </row>
    <row r="201" spans="1:17" ht="12.75" customHeight="1">
      <c r="A201" s="84" t="s">
        <v>6982</v>
      </c>
      <c r="B201" s="399">
        <v>332</v>
      </c>
      <c r="C201" s="24" t="s">
        <v>1594</v>
      </c>
      <c r="D201" s="499">
        <v>3346</v>
      </c>
      <c r="E201" s="499">
        <v>149.74899291992188</v>
      </c>
      <c r="F201" s="2">
        <f t="shared" si="23"/>
        <v>11.753397474855785</v>
      </c>
      <c r="G201" s="2">
        <f t="shared" si="24"/>
        <v>1</v>
      </c>
      <c r="H201" s="2">
        <f t="shared" si="25"/>
        <v>2.4993969139811365</v>
      </c>
      <c r="I201" s="25">
        <f t="shared" si="21"/>
        <v>711.53741648505741</v>
      </c>
      <c r="J201" s="343">
        <f t="shared" si="22"/>
        <v>31.844594005821985</v>
      </c>
      <c r="L201" s="713">
        <v>480122</v>
      </c>
      <c r="M201" s="499">
        <v>580519</v>
      </c>
      <c r="N201" s="708" t="s">
        <v>2796</v>
      </c>
      <c r="O201" s="546" t="str">
        <f>IFERROR(VLOOKUP(P201,constant_ag_extr!$D$7:$E$594,2,FALSE),"")</f>
        <v>Seed Cotton</v>
      </c>
      <c r="P201" s="547">
        <f t="shared" si="26"/>
        <v>328</v>
      </c>
      <c r="Q201" s="590">
        <f t="shared" si="27"/>
        <v>5.8862841115852369</v>
      </c>
    </row>
    <row r="202" spans="1:17" ht="12.75" customHeight="1">
      <c r="A202" s="84" t="s">
        <v>259</v>
      </c>
      <c r="B202" s="399">
        <v>333</v>
      </c>
      <c r="C202" s="24" t="s">
        <v>1000</v>
      </c>
      <c r="D202" s="499">
        <v>7489</v>
      </c>
      <c r="E202" s="499">
        <v>511955</v>
      </c>
      <c r="F202" s="2">
        <f t="shared" si="23"/>
        <v>0.86237425974648507</v>
      </c>
      <c r="G202" s="2">
        <f t="shared" si="24"/>
        <v>1</v>
      </c>
      <c r="H202" s="2">
        <f t="shared" si="25"/>
        <v>2.4993969139811365</v>
      </c>
      <c r="I202" s="25">
        <f t="shared" si="21"/>
        <v>21705.174148295333</v>
      </c>
      <c r="J202" s="343">
        <f t="shared" si="22"/>
        <v>1483785.8767646598</v>
      </c>
      <c r="L202" s="713">
        <v>1743300</v>
      </c>
      <c r="M202" s="499">
        <v>1750660</v>
      </c>
      <c r="N202" s="708" t="s">
        <v>413</v>
      </c>
      <c r="O202" s="546" t="str">
        <f>IFERROR(VLOOKUP(P202,constant_ag_extr!$D$7:$E$594,2,FALSE),"")</f>
        <v>Linseed</v>
      </c>
      <c r="P202" s="547">
        <f t="shared" si="26"/>
        <v>333</v>
      </c>
      <c r="Q202" s="590">
        <f t="shared" si="27"/>
        <v>1</v>
      </c>
    </row>
    <row r="203" spans="1:17" ht="12.75" customHeight="1">
      <c r="A203" s="84" t="s">
        <v>7078</v>
      </c>
      <c r="B203" s="399">
        <v>334</v>
      </c>
      <c r="C203" s="24" t="s">
        <v>3127</v>
      </c>
      <c r="D203" s="499">
        <v>966</v>
      </c>
      <c r="E203" s="499">
        <v>1988</v>
      </c>
      <c r="F203" s="2">
        <f t="shared" si="23"/>
        <v>0.48545710129725594</v>
      </c>
      <c r="G203" s="2">
        <f t="shared" si="24"/>
        <v>1</v>
      </c>
      <c r="H203" s="2">
        <f t="shared" si="25"/>
        <v>2.4993969139811365</v>
      </c>
      <c r="I203" s="25">
        <f t="shared" si="21"/>
        <v>4973.4928430419177</v>
      </c>
      <c r="J203" s="343">
        <f t="shared" si="22"/>
        <v>10235.304111767426</v>
      </c>
      <c r="L203" s="713">
        <v>259418</v>
      </c>
      <c r="M203" s="499">
        <v>222070</v>
      </c>
      <c r="N203" s="708" t="s">
        <v>2796</v>
      </c>
      <c r="O203" s="546" t="str">
        <f>IFERROR(VLOOKUP(P203,constant_ag_extr!$D$7:$E$594,2,FALSE),"")</f>
        <v>Linseed</v>
      </c>
      <c r="P203" s="547">
        <f t="shared" si="26"/>
        <v>333</v>
      </c>
      <c r="Q203" s="590">
        <f t="shared" si="27"/>
        <v>0.56293088042767803</v>
      </c>
    </row>
    <row r="204" spans="1:17" ht="12.75" customHeight="1">
      <c r="A204" s="84" t="s">
        <v>6983</v>
      </c>
      <c r="B204" s="399">
        <v>335</v>
      </c>
      <c r="C204" s="24" t="s">
        <v>1137</v>
      </c>
      <c r="D204" s="499">
        <v>4000</v>
      </c>
      <c r="E204" s="499">
        <v>4485</v>
      </c>
      <c r="F204" s="2">
        <f t="shared" si="23"/>
        <v>1.436325126740595</v>
      </c>
      <c r="G204" s="2">
        <f t="shared" si="24"/>
        <v>1</v>
      </c>
      <c r="H204" s="2">
        <f t="shared" si="25"/>
        <v>2.4993969139811365</v>
      </c>
      <c r="I204" s="25">
        <f t="shared" si="21"/>
        <v>6960.5324517379577</v>
      </c>
      <c r="J204" s="343">
        <f t="shared" si="22"/>
        <v>7804.4970115111846</v>
      </c>
      <c r="L204" s="713">
        <v>196844</v>
      </c>
      <c r="M204" s="499">
        <v>213825</v>
      </c>
      <c r="N204" s="708" t="s">
        <v>2796</v>
      </c>
      <c r="O204" s="546" t="str">
        <f>IFERROR(VLOOKUP(P204,constant_ag_extr!$D$7:$E$594,2,FALSE),"")</f>
        <v>Linseed</v>
      </c>
      <c r="P204" s="547">
        <f t="shared" si="26"/>
        <v>333</v>
      </c>
      <c r="Q204" s="590">
        <f t="shared" si="27"/>
        <v>1.6655473079203873</v>
      </c>
    </row>
    <row r="205" spans="1:17" ht="12.75" customHeight="1">
      <c r="A205" s="84" t="s">
        <v>4029</v>
      </c>
      <c r="B205" s="399">
        <v>336</v>
      </c>
      <c r="C205" s="24" t="s">
        <v>68</v>
      </c>
      <c r="D205" s="499"/>
      <c r="E205" s="499"/>
      <c r="F205" s="2">
        <f t="shared" si="23"/>
        <v>3.6482650405058989</v>
      </c>
      <c r="G205" s="2">
        <f t="shared" si="24"/>
        <v>1</v>
      </c>
      <c r="H205" s="2">
        <f t="shared" si="25"/>
        <v>2.4993969139811365</v>
      </c>
      <c r="I205" s="25">
        <f t="shared" si="21"/>
        <v>0</v>
      </c>
      <c r="J205" s="343">
        <f t="shared" si="22"/>
        <v>0</v>
      </c>
      <c r="L205" s="713"/>
      <c r="M205" s="499"/>
      <c r="N205" s="708" t="s">
        <v>413</v>
      </c>
      <c r="O205" s="546" t="str">
        <f>IFERROR(VLOOKUP(P205,constant_ag_extr!$D$7:$E$594,2,FALSE),"")</f>
        <v>Hempseed</v>
      </c>
      <c r="P205" s="547">
        <f t="shared" si="26"/>
        <v>336</v>
      </c>
      <c r="Q205" s="590">
        <f t="shared" si="27"/>
        <v>1</v>
      </c>
    </row>
    <row r="206" spans="1:17" ht="12.75" customHeight="1">
      <c r="A206" s="84" t="s">
        <v>6984</v>
      </c>
      <c r="B206" s="399">
        <v>338</v>
      </c>
      <c r="C206" s="24" t="s">
        <v>147</v>
      </c>
      <c r="D206" s="499"/>
      <c r="E206" s="499"/>
      <c r="F206" s="2">
        <f t="shared" si="23"/>
        <v>2.2984069755187164</v>
      </c>
      <c r="G206" s="2">
        <f t="shared" si="24"/>
        <v>1</v>
      </c>
      <c r="H206" s="2">
        <f t="shared" si="25"/>
        <v>2.4993969139811365</v>
      </c>
      <c r="I206" s="25">
        <f t="shared" si="21"/>
        <v>0</v>
      </c>
      <c r="J206" s="343">
        <f t="shared" si="22"/>
        <v>0</v>
      </c>
      <c r="L206" s="713">
        <v>0</v>
      </c>
      <c r="M206" s="499">
        <v>0</v>
      </c>
      <c r="N206" s="708" t="s">
        <v>2796</v>
      </c>
      <c r="O206" s="546" t="str">
        <f>IFERROR(VLOOKUP(P206,constant_ag_extr!$D$7:$E$594,2,FALSE),"")</f>
        <v>Hempseed</v>
      </c>
      <c r="P206" s="547">
        <f t="shared" si="26"/>
        <v>336</v>
      </c>
      <c r="Q206" s="590">
        <f t="shared" si="27"/>
        <v>0.63</v>
      </c>
    </row>
    <row r="207" spans="1:17" ht="12.75" customHeight="1">
      <c r="A207" s="84" t="s">
        <v>5826</v>
      </c>
      <c r="B207" s="399">
        <v>339</v>
      </c>
      <c r="C207" s="24" t="s">
        <v>5377</v>
      </c>
      <c r="D207" s="499">
        <v>7887</v>
      </c>
      <c r="E207" s="499">
        <v>6124</v>
      </c>
      <c r="F207" s="2">
        <f t="shared" si="23"/>
        <v>1.2280738910787798</v>
      </c>
      <c r="G207" s="2">
        <f t="shared" si="24"/>
        <v>1</v>
      </c>
      <c r="H207" s="2">
        <f t="shared" si="25"/>
        <v>2.4993969139811365</v>
      </c>
      <c r="I207" s="25">
        <f t="shared" si="21"/>
        <v>16051.756823242053</v>
      </c>
      <c r="J207" s="343">
        <f t="shared" si="22"/>
        <v>12463.669175292804</v>
      </c>
      <c r="L207" s="713">
        <v>450994</v>
      </c>
      <c r="M207" s="499">
        <v>378927</v>
      </c>
      <c r="N207" s="708" t="s">
        <v>413</v>
      </c>
      <c r="O207" s="546" t="str">
        <f>IFERROR(VLOOKUP(P207,constant_ag_extr!$D$7:$E$594,2,FALSE),"")</f>
        <v>Oilseeds, Nes</v>
      </c>
      <c r="P207" s="547">
        <f t="shared" si="26"/>
        <v>339</v>
      </c>
      <c r="Q207" s="590">
        <f t="shared" si="27"/>
        <v>1</v>
      </c>
    </row>
    <row r="208" spans="1:17" ht="12.75" customHeight="1">
      <c r="A208" s="84" t="s">
        <v>7091</v>
      </c>
      <c r="B208" s="399">
        <v>340</v>
      </c>
      <c r="C208" s="24" t="s">
        <v>3271</v>
      </c>
      <c r="D208" s="499">
        <v>10389</v>
      </c>
      <c r="E208" s="499">
        <v>7532</v>
      </c>
      <c r="F208" s="2">
        <f t="shared" si="23"/>
        <v>0.54258003897642837</v>
      </c>
      <c r="G208" s="2">
        <f t="shared" si="24"/>
        <v>1</v>
      </c>
      <c r="H208" s="2">
        <f t="shared" si="25"/>
        <v>2.4993969139811365</v>
      </c>
      <c r="I208" s="25">
        <f t="shared" si="21"/>
        <v>47856.96611385679</v>
      </c>
      <c r="J208" s="343">
        <f t="shared" si="22"/>
        <v>34696.185269955655</v>
      </c>
      <c r="L208" s="713">
        <v>828893</v>
      </c>
      <c r="M208" s="499">
        <v>769562</v>
      </c>
      <c r="N208" s="708" t="s">
        <v>2796</v>
      </c>
      <c r="O208" s="546" t="str">
        <f>IFERROR(VLOOKUP(P208,constant_ag_extr!$D$7:$E$594,2,FALSE),"")</f>
        <v>Oilseeds, Nes</v>
      </c>
      <c r="P208" s="547">
        <f t="shared" si="26"/>
        <v>339</v>
      </c>
      <c r="Q208" s="590">
        <f t="shared" si="27"/>
        <v>0.44181383784635997</v>
      </c>
    </row>
    <row r="209" spans="1:17" ht="12.75" customHeight="1">
      <c r="A209" s="84" t="s">
        <v>3433</v>
      </c>
      <c r="B209" s="399">
        <v>341</v>
      </c>
      <c r="C209" s="24" t="s">
        <v>3434</v>
      </c>
      <c r="D209" s="499"/>
      <c r="E209" s="499"/>
      <c r="F209" s="2">
        <f t="shared" si="23"/>
        <v>5.2665881092032443</v>
      </c>
      <c r="G209" s="2">
        <f t="shared" si="24"/>
        <v>1</v>
      </c>
      <c r="H209" s="2">
        <f t="shared" si="25"/>
        <v>2.4993969139811365</v>
      </c>
      <c r="I209" s="25">
        <f t="shared" si="21"/>
        <v>0</v>
      </c>
      <c r="J209" s="343">
        <f t="shared" si="22"/>
        <v>0</v>
      </c>
      <c r="L209" s="713"/>
      <c r="M209" s="499"/>
      <c r="N209" s="708" t="s">
        <v>2796</v>
      </c>
      <c r="O209" s="546" t="str">
        <f>IFERROR(VLOOKUP(P209,constant_ag_extr!$D$7:$E$594,2,FALSE),"")</f>
        <v>Oilseeds, Nes</v>
      </c>
      <c r="P209" s="547">
        <f t="shared" si="26"/>
        <v>339</v>
      </c>
      <c r="Q209" s="590">
        <f t="shared" si="27"/>
        <v>4.2884944851135165</v>
      </c>
    </row>
    <row r="210" spans="1:17" ht="12.75" customHeight="1">
      <c r="A210" s="84" t="s">
        <v>5057</v>
      </c>
      <c r="B210" s="399">
        <v>343</v>
      </c>
      <c r="C210" s="24" t="s">
        <v>5058</v>
      </c>
      <c r="D210" s="499"/>
      <c r="E210" s="499"/>
      <c r="F210" s="2">
        <f t="shared" si="23"/>
        <v>1.0438628074169629</v>
      </c>
      <c r="G210" s="2">
        <f t="shared" si="24"/>
        <v>1</v>
      </c>
      <c r="H210" s="2">
        <f t="shared" si="25"/>
        <v>2.4993969139811365</v>
      </c>
      <c r="I210" s="25">
        <f t="shared" si="21"/>
        <v>0</v>
      </c>
      <c r="J210" s="343">
        <f t="shared" si="22"/>
        <v>0</v>
      </c>
      <c r="L210" s="713"/>
      <c r="M210" s="499"/>
      <c r="N210" s="708" t="s">
        <v>2796</v>
      </c>
      <c r="O210" s="546" t="str">
        <f>IFERROR(VLOOKUP(P210,constant_ag_extr!$D$7:$E$594,2,FALSE),"")</f>
        <v>Oilseeds, Nes</v>
      </c>
      <c r="P210" s="547">
        <f t="shared" si="26"/>
        <v>339</v>
      </c>
      <c r="Q210" s="590">
        <f t="shared" si="27"/>
        <v>0.85</v>
      </c>
    </row>
    <row r="211" spans="1:17" ht="12.75" customHeight="1">
      <c r="A211" s="84" t="s">
        <v>3772</v>
      </c>
      <c r="B211" s="399">
        <v>358</v>
      </c>
      <c r="C211" s="24" t="s">
        <v>3773</v>
      </c>
      <c r="D211" s="499">
        <v>188819</v>
      </c>
      <c r="E211" s="499">
        <v>85334</v>
      </c>
      <c r="F211" s="2">
        <f t="shared" si="23"/>
        <v>26.104173822915314</v>
      </c>
      <c r="G211" s="2">
        <f t="shared" si="24"/>
        <v>1</v>
      </c>
      <c r="H211" s="2">
        <f t="shared" si="25"/>
        <v>2.4993969139811365</v>
      </c>
      <c r="I211" s="25">
        <f t="shared" si="21"/>
        <v>18078.857009706298</v>
      </c>
      <c r="J211" s="343">
        <f t="shared" si="22"/>
        <v>8170.4764036790648</v>
      </c>
      <c r="L211" s="713">
        <v>2935230</v>
      </c>
      <c r="M211" s="499">
        <v>2569800</v>
      </c>
      <c r="N211" s="708" t="s">
        <v>413</v>
      </c>
      <c r="O211" s="546" t="str">
        <f>IFERROR(VLOOKUP(P211,constant_ag_extr!$D$7:$E$594,2,FALSE),"")</f>
        <v>Cabbages and other brassicas</v>
      </c>
      <c r="P211" s="547">
        <f t="shared" si="26"/>
        <v>358</v>
      </c>
      <c r="Q211" s="590">
        <f t="shared" si="27"/>
        <v>1</v>
      </c>
    </row>
    <row r="212" spans="1:17" ht="12.75" customHeight="1">
      <c r="A212" s="84" t="s">
        <v>2080</v>
      </c>
      <c r="B212" s="399">
        <v>366</v>
      </c>
      <c r="C212" s="24" t="s">
        <v>2081</v>
      </c>
      <c r="D212" s="499">
        <v>1505</v>
      </c>
      <c r="E212" s="499">
        <v>11</v>
      </c>
      <c r="F212" s="2">
        <f t="shared" si="23"/>
        <v>11.928051987870264</v>
      </c>
      <c r="G212" s="2">
        <f t="shared" si="24"/>
        <v>1</v>
      </c>
      <c r="H212" s="2">
        <f t="shared" si="25"/>
        <v>2.4993969139811365</v>
      </c>
      <c r="I212" s="25">
        <f t="shared" si="21"/>
        <v>315.35680422644077</v>
      </c>
      <c r="J212" s="343">
        <f t="shared" si="22"/>
        <v>2.3049334528178398</v>
      </c>
      <c r="L212" s="713">
        <v>44931</v>
      </c>
      <c r="M212" s="499">
        <v>36855</v>
      </c>
      <c r="N212" s="708" t="s">
        <v>413</v>
      </c>
      <c r="O212" s="546" t="str">
        <f>IFERROR(VLOOKUP(P212,constant_ag_extr!$D$7:$E$594,2,FALSE),"")</f>
        <v>Artichokes</v>
      </c>
      <c r="P212" s="547">
        <f t="shared" si="26"/>
        <v>366</v>
      </c>
      <c r="Q212" s="590">
        <f t="shared" si="27"/>
        <v>1</v>
      </c>
    </row>
    <row r="213" spans="1:17" ht="12.75" customHeight="1">
      <c r="A213" s="84" t="s">
        <v>2082</v>
      </c>
      <c r="B213" s="399">
        <v>367</v>
      </c>
      <c r="C213" s="24" t="s">
        <v>2339</v>
      </c>
      <c r="D213" s="499">
        <v>23737</v>
      </c>
      <c r="E213" s="499">
        <v>1649</v>
      </c>
      <c r="F213" s="2">
        <f t="shared" si="23"/>
        <v>5.2691967667579807</v>
      </c>
      <c r="G213" s="2">
        <f t="shared" si="24"/>
        <v>1</v>
      </c>
      <c r="H213" s="2">
        <f t="shared" si="25"/>
        <v>2.4993969139811365</v>
      </c>
      <c r="I213" s="25">
        <f t="shared" si="21"/>
        <v>11259.436148115899</v>
      </c>
      <c r="J213" s="343">
        <f t="shared" si="22"/>
        <v>782.18857514610602</v>
      </c>
      <c r="L213" s="713">
        <v>433517</v>
      </c>
      <c r="M213" s="499">
        <v>437324</v>
      </c>
      <c r="N213" s="708" t="s">
        <v>413</v>
      </c>
      <c r="O213" s="546" t="str">
        <f>IFERROR(VLOOKUP(P213,constant_ag_extr!$D$7:$E$594,2,FALSE),"")</f>
        <v>Asparagus</v>
      </c>
      <c r="P213" s="547">
        <f t="shared" si="26"/>
        <v>367</v>
      </c>
      <c r="Q213" s="590">
        <f t="shared" si="27"/>
        <v>1</v>
      </c>
    </row>
    <row r="214" spans="1:17" ht="12.75" customHeight="1">
      <c r="A214" s="84" t="s">
        <v>569</v>
      </c>
      <c r="B214" s="399">
        <v>372</v>
      </c>
      <c r="C214" s="24" t="s">
        <v>4519</v>
      </c>
      <c r="D214" s="499">
        <v>274992</v>
      </c>
      <c r="E214" s="499">
        <v>38068</v>
      </c>
      <c r="F214" s="2">
        <f t="shared" si="23"/>
        <v>20.084716948122963</v>
      </c>
      <c r="G214" s="2">
        <f t="shared" si="24"/>
        <v>1</v>
      </c>
      <c r="H214" s="2">
        <f t="shared" si="25"/>
        <v>2.4993969139811365</v>
      </c>
      <c r="I214" s="25">
        <f t="shared" si="21"/>
        <v>34220.753916760288</v>
      </c>
      <c r="J214" s="343">
        <f t="shared" si="22"/>
        <v>4737.2856668675113</v>
      </c>
      <c r="L214" s="713">
        <v>2223080</v>
      </c>
      <c r="M214" s="499">
        <v>2264070</v>
      </c>
      <c r="N214" s="708" t="s">
        <v>413</v>
      </c>
      <c r="O214" s="546" t="str">
        <f>IFERROR(VLOOKUP(P214,constant_ag_extr!$D$7:$E$594,2,FALSE),"")</f>
        <v>Lettuce and chicory</v>
      </c>
      <c r="P214" s="547">
        <f t="shared" si="26"/>
        <v>372</v>
      </c>
      <c r="Q214" s="590">
        <f t="shared" si="27"/>
        <v>1</v>
      </c>
    </row>
    <row r="215" spans="1:17" ht="12.75" customHeight="1">
      <c r="A215" s="84" t="s">
        <v>3906</v>
      </c>
      <c r="B215" s="399">
        <v>373</v>
      </c>
      <c r="C215" s="24" t="s">
        <v>525</v>
      </c>
      <c r="D215" s="499">
        <v>36616</v>
      </c>
      <c r="E215" s="499">
        <v>1891</v>
      </c>
      <c r="F215" s="2">
        <f t="shared" si="23"/>
        <v>28.658313262530079</v>
      </c>
      <c r="G215" s="2">
        <f t="shared" si="24"/>
        <v>1</v>
      </c>
      <c r="H215" s="2">
        <f t="shared" si="25"/>
        <v>2.4993969139811365</v>
      </c>
      <c r="I215" s="25">
        <f t="shared" ref="I215:I278" si="28">IFERROR((D215/F215)*H215*G215,0)</f>
        <v>3193.4160452489136</v>
      </c>
      <c r="J215" s="343">
        <f t="shared" ref="J215:J278" si="29">IFERROR((E215/F215)*H215*G215,0)</f>
        <v>164.92106569711862</v>
      </c>
      <c r="L215" s="713">
        <v>200916</v>
      </c>
      <c r="M215" s="499">
        <v>214008</v>
      </c>
      <c r="N215" s="708" t="s">
        <v>413</v>
      </c>
      <c r="O215" s="546" t="str">
        <f>IFERROR(VLOOKUP(P215,constant_ag_extr!$D$7:$E$594,2,FALSE),"")</f>
        <v>Spinach</v>
      </c>
      <c r="P215" s="547">
        <f t="shared" si="26"/>
        <v>373</v>
      </c>
      <c r="Q215" s="590">
        <f t="shared" si="27"/>
        <v>1</v>
      </c>
    </row>
    <row r="216" spans="1:17" ht="12.75" customHeight="1">
      <c r="A216" s="84" t="s">
        <v>4422</v>
      </c>
      <c r="B216" s="399">
        <v>388</v>
      </c>
      <c r="C216" s="24" t="s">
        <v>3557</v>
      </c>
      <c r="D216" s="499">
        <v>227947</v>
      </c>
      <c r="E216" s="499">
        <v>191369</v>
      </c>
      <c r="F216" s="2">
        <f t="shared" si="23"/>
        <v>33.341501178375857</v>
      </c>
      <c r="G216" s="2">
        <f t="shared" si="24"/>
        <v>1</v>
      </c>
      <c r="H216" s="2">
        <f t="shared" si="25"/>
        <v>2.4993969139811365</v>
      </c>
      <c r="I216" s="25">
        <f t="shared" si="28"/>
        <v>17087.713756594898</v>
      </c>
      <c r="J216" s="343">
        <f t="shared" si="29"/>
        <v>14345.697437938683</v>
      </c>
      <c r="L216" s="713">
        <v>8013980</v>
      </c>
      <c r="M216" s="499">
        <v>8359880</v>
      </c>
      <c r="N216" s="708" t="s">
        <v>413</v>
      </c>
      <c r="O216" s="546" t="str">
        <f>IFERROR(VLOOKUP(P216,constant_ag_extr!$D$7:$E$594,2,FALSE),"")</f>
        <v>Tomatoes</v>
      </c>
      <c r="P216" s="547">
        <f t="shared" si="26"/>
        <v>388</v>
      </c>
      <c r="Q216" s="590">
        <f t="shared" si="27"/>
        <v>1</v>
      </c>
    </row>
    <row r="217" spans="1:17" ht="12.75" customHeight="1">
      <c r="A217" s="84" t="s">
        <v>3558</v>
      </c>
      <c r="B217" s="399">
        <v>389</v>
      </c>
      <c r="C217" s="24" t="s">
        <v>3559</v>
      </c>
      <c r="D217" s="499"/>
      <c r="E217" s="499"/>
      <c r="F217" s="2">
        <f t="shared" si="23"/>
        <v>6.6683002356751722</v>
      </c>
      <c r="G217" s="2">
        <f t="shared" si="24"/>
        <v>1</v>
      </c>
      <c r="H217" s="2">
        <f t="shared" si="25"/>
        <v>2.4993969139811365</v>
      </c>
      <c r="I217" s="25">
        <f t="shared" si="28"/>
        <v>0</v>
      </c>
      <c r="J217" s="343">
        <f t="shared" si="29"/>
        <v>0</v>
      </c>
      <c r="L217" s="713"/>
      <c r="M217" s="499"/>
      <c r="N217" s="708" t="s">
        <v>2796</v>
      </c>
      <c r="O217" s="546" t="str">
        <f>IFERROR(VLOOKUP(P217,constant_ag_extr!$D$7:$E$594,2,FALSE),"")</f>
        <v>Tomatoes</v>
      </c>
      <c r="P217" s="547">
        <f t="shared" si="26"/>
        <v>388</v>
      </c>
      <c r="Q217" s="590">
        <f t="shared" si="27"/>
        <v>0.2</v>
      </c>
    </row>
    <row r="218" spans="1:17" ht="12.75" customHeight="1">
      <c r="A218" s="84" t="s">
        <v>7066</v>
      </c>
      <c r="B218" s="399">
        <v>390</v>
      </c>
      <c r="C218" s="24" t="s">
        <v>1313</v>
      </c>
      <c r="D218" s="499">
        <v>990</v>
      </c>
      <c r="E218" s="499">
        <v>504</v>
      </c>
      <c r="F218" s="2">
        <f t="shared" si="23"/>
        <v>26.673200942700689</v>
      </c>
      <c r="G218" s="2">
        <f t="shared" si="24"/>
        <v>1</v>
      </c>
      <c r="H218" s="2">
        <f t="shared" si="25"/>
        <v>2.4993969139811365</v>
      </c>
      <c r="I218" s="25">
        <f t="shared" si="28"/>
        <v>92.767379144214146</v>
      </c>
      <c r="J218" s="343">
        <f t="shared" si="29"/>
        <v>47.227029382509023</v>
      </c>
      <c r="L218" s="713">
        <v>93969</v>
      </c>
      <c r="M218" s="499">
        <v>88392</v>
      </c>
      <c r="N218" s="708" t="s">
        <v>2796</v>
      </c>
      <c r="O218" s="546" t="str">
        <f>IFERROR(VLOOKUP(P218,constant_ag_extr!$D$7:$E$594,2,FALSE),"")</f>
        <v>Tomatoes</v>
      </c>
      <c r="P218" s="547">
        <f t="shared" si="26"/>
        <v>388</v>
      </c>
      <c r="Q218" s="590">
        <f t="shared" si="27"/>
        <v>0.8</v>
      </c>
    </row>
    <row r="219" spans="1:17" ht="12.75" customHeight="1">
      <c r="A219" s="84" t="s">
        <v>7102</v>
      </c>
      <c r="B219" s="399">
        <v>391</v>
      </c>
      <c r="C219" s="24" t="s">
        <v>5043</v>
      </c>
      <c r="D219" s="499">
        <v>58539</v>
      </c>
      <c r="E219" s="499">
        <v>7833</v>
      </c>
      <c r="F219" s="2">
        <f t="shared" si="23"/>
        <v>8.3353752945939643</v>
      </c>
      <c r="G219" s="2">
        <f t="shared" si="24"/>
        <v>1</v>
      </c>
      <c r="H219" s="2">
        <f t="shared" si="25"/>
        <v>2.4993969139811365</v>
      </c>
      <c r="I219" s="25">
        <f t="shared" si="28"/>
        <v>17553.162368398069</v>
      </c>
      <c r="J219" s="343">
        <f t="shared" si="29"/>
        <v>2348.7575946234492</v>
      </c>
      <c r="L219" s="713">
        <v>2958060</v>
      </c>
      <c r="M219" s="499">
        <v>3365250</v>
      </c>
      <c r="N219" s="708" t="s">
        <v>2796</v>
      </c>
      <c r="O219" s="546" t="str">
        <f>IFERROR(VLOOKUP(P219,constant_ag_extr!$D$7:$E$594,2,FALSE),"")</f>
        <v>Tomatoes</v>
      </c>
      <c r="P219" s="547">
        <f t="shared" si="26"/>
        <v>388</v>
      </c>
      <c r="Q219" s="590">
        <f t="shared" si="27"/>
        <v>0.25</v>
      </c>
    </row>
    <row r="220" spans="1:17" ht="12.75" customHeight="1">
      <c r="A220" s="84" t="s">
        <v>7103</v>
      </c>
      <c r="B220" s="399">
        <v>392</v>
      </c>
      <c r="C220" s="24" t="s">
        <v>4651</v>
      </c>
      <c r="D220" s="499">
        <v>68216</v>
      </c>
      <c r="E220" s="499">
        <v>100</v>
      </c>
      <c r="F220" s="2">
        <f t="shared" si="23"/>
        <v>26.673200942700689</v>
      </c>
      <c r="G220" s="2">
        <f t="shared" si="24"/>
        <v>1</v>
      </c>
      <c r="H220" s="2">
        <f t="shared" si="25"/>
        <v>2.4993969139811365</v>
      </c>
      <c r="I220" s="25">
        <f t="shared" si="28"/>
        <v>6392.1409451532445</v>
      </c>
      <c r="J220" s="343">
        <f t="shared" si="29"/>
        <v>9.3704423377994086</v>
      </c>
      <c r="L220" s="713">
        <v>1543000</v>
      </c>
      <c r="M220" s="499">
        <v>1787970</v>
      </c>
      <c r="N220" s="708" t="s">
        <v>2796</v>
      </c>
      <c r="O220" s="546" t="str">
        <f>IFERROR(VLOOKUP(P220,constant_ag_extr!$D$7:$E$594,2,FALSE),"")</f>
        <v>Tomatoes</v>
      </c>
      <c r="P220" s="547">
        <f t="shared" si="26"/>
        <v>388</v>
      </c>
      <c r="Q220" s="590">
        <f t="shared" si="27"/>
        <v>0.8</v>
      </c>
    </row>
    <row r="221" spans="1:17" ht="12.75" customHeight="1">
      <c r="A221" s="84" t="s">
        <v>3740</v>
      </c>
      <c r="B221" s="399">
        <v>393</v>
      </c>
      <c r="C221" s="24" t="s">
        <v>3741</v>
      </c>
      <c r="D221" s="499">
        <v>110101</v>
      </c>
      <c r="E221" s="499">
        <v>14633</v>
      </c>
      <c r="F221" s="2">
        <f t="shared" si="23"/>
        <v>16.976835100335471</v>
      </c>
      <c r="G221" s="2">
        <f t="shared" si="24"/>
        <v>1</v>
      </c>
      <c r="H221" s="2">
        <f t="shared" si="25"/>
        <v>2.4993969139811365</v>
      </c>
      <c r="I221" s="25">
        <f t="shared" si="28"/>
        <v>16209.505364212397</v>
      </c>
      <c r="J221" s="343">
        <f t="shared" si="29"/>
        <v>2154.3282258518998</v>
      </c>
      <c r="L221" s="713">
        <v>1076310</v>
      </c>
      <c r="M221" s="499">
        <v>1380890</v>
      </c>
      <c r="N221" s="708" t="s">
        <v>413</v>
      </c>
      <c r="O221" s="546" t="str">
        <f>IFERROR(VLOOKUP(P221,constant_ag_extr!$D$7:$E$594,2,FALSE),"")</f>
        <v>Cauliflowers and broccoli</v>
      </c>
      <c r="P221" s="547">
        <f t="shared" si="26"/>
        <v>393</v>
      </c>
      <c r="Q221" s="590">
        <f t="shared" si="27"/>
        <v>1</v>
      </c>
    </row>
    <row r="222" spans="1:17" ht="12.75" customHeight="1">
      <c r="A222" s="84" t="s">
        <v>478</v>
      </c>
      <c r="B222" s="399">
        <v>394</v>
      </c>
      <c r="C222" s="24" t="s">
        <v>479</v>
      </c>
      <c r="D222" s="499">
        <v>55579</v>
      </c>
      <c r="E222" s="499">
        <v>32736</v>
      </c>
      <c r="F222" s="2">
        <f t="shared" si="23"/>
        <v>13.60055845451329</v>
      </c>
      <c r="G222" s="2">
        <f t="shared" si="24"/>
        <v>1</v>
      </c>
      <c r="H222" s="2">
        <f t="shared" si="25"/>
        <v>2.4993969139811365</v>
      </c>
      <c r="I222" s="25">
        <f t="shared" si="28"/>
        <v>10213.843905509595</v>
      </c>
      <c r="J222" s="343">
        <f t="shared" si="29"/>
        <v>6015.9483634243534</v>
      </c>
      <c r="L222" s="713">
        <v>1543260</v>
      </c>
      <c r="M222" s="499">
        <v>1613250</v>
      </c>
      <c r="N222" s="708" t="s">
        <v>413</v>
      </c>
      <c r="O222" s="546" t="str">
        <f>IFERROR(VLOOKUP(P222,constant_ag_extr!$D$7:$E$594,2,FALSE),"")</f>
        <v>Pumpkins, squash and gourds</v>
      </c>
      <c r="P222" s="547">
        <f t="shared" si="26"/>
        <v>394</v>
      </c>
      <c r="Q222" s="590">
        <f t="shared" si="27"/>
        <v>1</v>
      </c>
    </row>
    <row r="223" spans="1:17" ht="12.75" customHeight="1">
      <c r="A223" s="84" t="s">
        <v>2452</v>
      </c>
      <c r="B223" s="399">
        <v>397</v>
      </c>
      <c r="C223" s="24" t="s">
        <v>2453</v>
      </c>
      <c r="D223" s="499">
        <v>54363</v>
      </c>
      <c r="E223" s="499">
        <v>156024</v>
      </c>
      <c r="F223" s="2">
        <f t="shared" si="23"/>
        <v>35.960569834565227</v>
      </c>
      <c r="G223" s="2">
        <f t="shared" si="24"/>
        <v>1</v>
      </c>
      <c r="H223" s="2">
        <f t="shared" si="25"/>
        <v>2.4993969139811365</v>
      </c>
      <c r="I223" s="25">
        <f t="shared" si="28"/>
        <v>3778.4360776217186</v>
      </c>
      <c r="J223" s="343">
        <f t="shared" si="29"/>
        <v>10844.263756136545</v>
      </c>
      <c r="L223" s="713">
        <v>2936620</v>
      </c>
      <c r="M223" s="499">
        <v>3070490</v>
      </c>
      <c r="N223" s="708" t="s">
        <v>413</v>
      </c>
      <c r="O223" s="546" t="str">
        <f>IFERROR(VLOOKUP(P223,constant_ag_extr!$D$7:$E$594,2,FALSE),"")</f>
        <v>Cucumbers and gherkins</v>
      </c>
      <c r="P223" s="547">
        <f t="shared" si="26"/>
        <v>397</v>
      </c>
      <c r="Q223" s="590">
        <f t="shared" si="27"/>
        <v>1</v>
      </c>
    </row>
    <row r="224" spans="1:17" ht="12.75" customHeight="1">
      <c r="A224" s="84" t="s">
        <v>811</v>
      </c>
      <c r="B224" s="399">
        <v>399</v>
      </c>
      <c r="C224" s="24" t="s">
        <v>812</v>
      </c>
      <c r="D224" s="499">
        <v>25253</v>
      </c>
      <c r="E224" s="499">
        <v>2038</v>
      </c>
      <c r="F224" s="2">
        <f t="shared" si="23"/>
        <v>26.789392611474717</v>
      </c>
      <c r="G224" s="2">
        <f t="shared" si="24"/>
        <v>1</v>
      </c>
      <c r="H224" s="2">
        <f t="shared" si="25"/>
        <v>2.4993969139811365</v>
      </c>
      <c r="I224" s="25">
        <f t="shared" si="28"/>
        <v>2356.0545468183022</v>
      </c>
      <c r="J224" s="343">
        <f t="shared" si="29"/>
        <v>190.14133633293866</v>
      </c>
      <c r="L224" s="713">
        <v>599907</v>
      </c>
      <c r="M224" s="499">
        <v>625572</v>
      </c>
      <c r="N224" s="708" t="s">
        <v>413</v>
      </c>
      <c r="O224" s="546" t="str">
        <f>IFERROR(VLOOKUP(P224,constant_ag_extr!$D$7:$E$594,2,FALSE),"")</f>
        <v>Eggplants (aubergines)</v>
      </c>
      <c r="P224" s="547">
        <f t="shared" si="26"/>
        <v>399</v>
      </c>
      <c r="Q224" s="590">
        <f t="shared" si="27"/>
        <v>1</v>
      </c>
    </row>
    <row r="225" spans="1:17" ht="12.75" customHeight="1">
      <c r="A225" s="84" t="s">
        <v>2510</v>
      </c>
      <c r="B225" s="399">
        <v>401</v>
      </c>
      <c r="C225" s="24" t="s">
        <v>2511</v>
      </c>
      <c r="D225" s="499">
        <v>141152</v>
      </c>
      <c r="E225" s="499">
        <v>144992</v>
      </c>
      <c r="F225" s="2">
        <f t="shared" si="23"/>
        <v>17.111905654673176</v>
      </c>
      <c r="G225" s="2">
        <f t="shared" si="24"/>
        <v>1</v>
      </c>
      <c r="H225" s="2">
        <f t="shared" si="25"/>
        <v>2.4993969139811365</v>
      </c>
      <c r="I225" s="25">
        <f t="shared" si="28"/>
        <v>20616.924866338242</v>
      </c>
      <c r="J225" s="343">
        <f t="shared" si="29"/>
        <v>21177.80244148233</v>
      </c>
      <c r="L225" s="713">
        <v>3659770</v>
      </c>
      <c r="M225" s="499">
        <v>3752810</v>
      </c>
      <c r="N225" s="708" t="s">
        <v>413</v>
      </c>
      <c r="O225" s="546" t="str">
        <f>IFERROR(VLOOKUP(P225,constant_ag_extr!$D$7:$E$594,2,FALSE),"")</f>
        <v>Chillies and peppers, green</v>
      </c>
      <c r="P225" s="547">
        <f t="shared" si="26"/>
        <v>401</v>
      </c>
      <c r="Q225" s="590">
        <f t="shared" si="27"/>
        <v>1</v>
      </c>
    </row>
    <row r="226" spans="1:17" ht="12.75" customHeight="1">
      <c r="A226" s="84" t="s">
        <v>7092</v>
      </c>
      <c r="B226" s="399">
        <v>402</v>
      </c>
      <c r="C226" s="24" t="s">
        <v>3368</v>
      </c>
      <c r="D226" s="499"/>
      <c r="E226" s="499"/>
      <c r="F226" s="2">
        <f t="shared" si="23"/>
        <v>18.705917134002988</v>
      </c>
      <c r="G226" s="2">
        <f t="shared" si="24"/>
        <v>1</v>
      </c>
      <c r="H226" s="2">
        <f t="shared" si="25"/>
        <v>2.4993969139811365</v>
      </c>
      <c r="I226" s="25">
        <f t="shared" si="28"/>
        <v>0</v>
      </c>
      <c r="J226" s="343">
        <f t="shared" si="29"/>
        <v>0</v>
      </c>
      <c r="L226" s="713">
        <v>480856</v>
      </c>
      <c r="M226" s="499">
        <v>338692</v>
      </c>
      <c r="N226" s="708" t="s">
        <v>413</v>
      </c>
      <c r="O226" s="546" t="str">
        <f>IFERROR(VLOOKUP(P226,constant_ag_extr!$D$7:$E$594,2,FALSE),"")</f>
        <v>Onions (inc. shallots), green</v>
      </c>
      <c r="P226" s="547">
        <f t="shared" si="26"/>
        <v>402</v>
      </c>
      <c r="Q226" s="590">
        <f t="shared" si="27"/>
        <v>1</v>
      </c>
    </row>
    <row r="227" spans="1:17" ht="12.75" customHeight="1">
      <c r="A227" s="84" t="s">
        <v>2373</v>
      </c>
      <c r="B227" s="399">
        <v>403</v>
      </c>
      <c r="C227" s="24" t="s">
        <v>3095</v>
      </c>
      <c r="D227" s="499">
        <v>198066</v>
      </c>
      <c r="E227" s="499">
        <v>67019</v>
      </c>
      <c r="F227" s="2">
        <f t="shared" si="23"/>
        <v>17.265051596944925</v>
      </c>
      <c r="G227" s="2">
        <f t="shared" si="24"/>
        <v>1</v>
      </c>
      <c r="H227" s="2">
        <f t="shared" si="25"/>
        <v>2.4993969139811365</v>
      </c>
      <c r="I227" s="25">
        <f t="shared" si="28"/>
        <v>28673.273658341499</v>
      </c>
      <c r="J227" s="343">
        <f t="shared" si="29"/>
        <v>9702.0898453464451</v>
      </c>
      <c r="L227" s="713">
        <v>7681440</v>
      </c>
      <c r="M227" s="499">
        <v>7651640</v>
      </c>
      <c r="N227" s="708" t="s">
        <v>413</v>
      </c>
      <c r="O227" s="546" t="str">
        <f>IFERROR(VLOOKUP(P227,constant_ag_extr!$D$7:$E$594,2,FALSE),"")</f>
        <v>Onions, dry</v>
      </c>
      <c r="P227" s="547">
        <f t="shared" si="26"/>
        <v>403</v>
      </c>
      <c r="Q227" s="590">
        <f t="shared" si="27"/>
        <v>1</v>
      </c>
    </row>
    <row r="228" spans="1:17" ht="12.75" customHeight="1">
      <c r="A228" s="84" t="s">
        <v>5063</v>
      </c>
      <c r="B228" s="399">
        <v>406</v>
      </c>
      <c r="C228" s="24" t="s">
        <v>5064</v>
      </c>
      <c r="D228" s="499">
        <v>21391</v>
      </c>
      <c r="E228" s="499">
        <v>296</v>
      </c>
      <c r="F228" s="2">
        <f t="shared" si="23"/>
        <v>16.553777737383299</v>
      </c>
      <c r="G228" s="2">
        <f t="shared" si="24"/>
        <v>1</v>
      </c>
      <c r="H228" s="2">
        <f t="shared" si="25"/>
        <v>2.4993969139811365</v>
      </c>
      <c r="I228" s="25">
        <f t="shared" si="28"/>
        <v>3229.7521590030592</v>
      </c>
      <c r="J228" s="343">
        <f t="shared" si="29"/>
        <v>44.692003135192628</v>
      </c>
      <c r="L228" s="713">
        <v>2038960</v>
      </c>
      <c r="M228" s="499">
        <v>2343440</v>
      </c>
      <c r="N228" s="708" t="s">
        <v>413</v>
      </c>
      <c r="O228" s="546" t="str">
        <f>IFERROR(VLOOKUP(P228,constant_ag_extr!$D$7:$E$594,2,FALSE),"")</f>
        <v>Garlic</v>
      </c>
      <c r="P228" s="547">
        <f t="shared" si="26"/>
        <v>406</v>
      </c>
      <c r="Q228" s="590">
        <f t="shared" si="27"/>
        <v>1</v>
      </c>
    </row>
    <row r="229" spans="1:17" ht="12.75" customHeight="1">
      <c r="A229" s="84" t="s">
        <v>6878</v>
      </c>
      <c r="B229" s="399">
        <v>407</v>
      </c>
      <c r="C229" s="24" t="s">
        <v>565</v>
      </c>
      <c r="D229" s="499">
        <v>5349</v>
      </c>
      <c r="E229" s="499">
        <v>671</v>
      </c>
      <c r="F229" s="2">
        <f t="shared" si="23"/>
        <v>14.175846564715664</v>
      </c>
      <c r="G229" s="2">
        <f t="shared" si="24"/>
        <v>1</v>
      </c>
      <c r="H229" s="2">
        <f t="shared" si="25"/>
        <v>2.4993969139811365</v>
      </c>
      <c r="I229" s="25">
        <f t="shared" si="28"/>
        <v>943.10234184968101</v>
      </c>
      <c r="J229" s="343">
        <f t="shared" si="29"/>
        <v>118.30653792879716</v>
      </c>
      <c r="L229" s="713">
        <v>308397</v>
      </c>
      <c r="M229" s="499">
        <v>288265</v>
      </c>
      <c r="N229" s="708" t="s">
        <v>413</v>
      </c>
      <c r="O229" s="546" t="str">
        <f>IFERROR(VLOOKUP(P229,constant_ag_extr!$D$7:$E$594,2,FALSE),"")</f>
        <v>Leeks, other alliaceous vegetables</v>
      </c>
      <c r="P229" s="547">
        <f t="shared" si="26"/>
        <v>407</v>
      </c>
      <c r="Q229" s="590">
        <f t="shared" si="27"/>
        <v>1</v>
      </c>
    </row>
    <row r="230" spans="1:17" ht="12.75" customHeight="1">
      <c r="A230" s="84" t="s">
        <v>3076</v>
      </c>
      <c r="B230" s="399">
        <v>414</v>
      </c>
      <c r="C230" s="24" t="s">
        <v>3077</v>
      </c>
      <c r="D230" s="499">
        <v>29546</v>
      </c>
      <c r="E230" s="499">
        <v>4475</v>
      </c>
      <c r="F230" s="2">
        <f t="shared" si="23"/>
        <v>14.687023403760495</v>
      </c>
      <c r="G230" s="2">
        <f t="shared" si="24"/>
        <v>1</v>
      </c>
      <c r="H230" s="2">
        <f t="shared" si="25"/>
        <v>2.4993969139811365</v>
      </c>
      <c r="I230" s="25">
        <f t="shared" si="28"/>
        <v>5028.0563454116018</v>
      </c>
      <c r="J230" s="343">
        <f t="shared" si="29"/>
        <v>761.54309029029037</v>
      </c>
      <c r="L230" s="713">
        <v>655643</v>
      </c>
      <c r="M230" s="499">
        <v>616401</v>
      </c>
      <c r="N230" s="708" t="s">
        <v>413</v>
      </c>
      <c r="O230" s="546" t="str">
        <f>IFERROR(VLOOKUP(P230,constant_ag_extr!$D$7:$E$594,2,FALSE),"")</f>
        <v>Beans, green</v>
      </c>
      <c r="P230" s="547">
        <f t="shared" si="26"/>
        <v>414</v>
      </c>
      <c r="Q230" s="590">
        <f t="shared" si="27"/>
        <v>1</v>
      </c>
    </row>
    <row r="231" spans="1:17" ht="12.75" customHeight="1">
      <c r="A231" s="84" t="s">
        <v>5096</v>
      </c>
      <c r="B231" s="399">
        <v>417</v>
      </c>
      <c r="C231" s="24" t="s">
        <v>5097</v>
      </c>
      <c r="D231" s="499">
        <v>12920</v>
      </c>
      <c r="E231" s="499">
        <v>2146</v>
      </c>
      <c r="F231" s="2">
        <f t="shared" si="23"/>
        <v>7.1142812957588477</v>
      </c>
      <c r="G231" s="2">
        <f t="shared" si="24"/>
        <v>1</v>
      </c>
      <c r="H231" s="2">
        <f t="shared" si="25"/>
        <v>2.4993969139811365</v>
      </c>
      <c r="I231" s="25">
        <f t="shared" si="28"/>
        <v>4539.0682187232551</v>
      </c>
      <c r="J231" s="343">
        <f t="shared" si="29"/>
        <v>753.93501527709793</v>
      </c>
      <c r="L231" s="713">
        <v>310046</v>
      </c>
      <c r="M231" s="499">
        <v>287429</v>
      </c>
      <c r="N231" s="708" t="s">
        <v>413</v>
      </c>
      <c r="O231" s="546" t="str">
        <f>IFERROR(VLOOKUP(P231,constant_ag_extr!$D$7:$E$594,2,FALSE),"")</f>
        <v>Peas, green</v>
      </c>
      <c r="P231" s="547">
        <f t="shared" si="26"/>
        <v>417</v>
      </c>
      <c r="Q231" s="590">
        <f t="shared" si="27"/>
        <v>1</v>
      </c>
    </row>
    <row r="232" spans="1:17" ht="12.75" customHeight="1">
      <c r="A232" s="84" t="s">
        <v>805</v>
      </c>
      <c r="B232" s="399">
        <v>420</v>
      </c>
      <c r="C232" s="24" t="s">
        <v>998</v>
      </c>
      <c r="D232" s="499"/>
      <c r="E232" s="499"/>
      <c r="F232" s="2">
        <f t="shared" si="23"/>
        <v>6.1090329936000565</v>
      </c>
      <c r="G232" s="2">
        <f t="shared" si="24"/>
        <v>1</v>
      </c>
      <c r="H232" s="2">
        <f t="shared" si="25"/>
        <v>2.4993969139811365</v>
      </c>
      <c r="I232" s="25">
        <f t="shared" si="28"/>
        <v>0</v>
      </c>
      <c r="J232" s="343">
        <f t="shared" si="29"/>
        <v>0</v>
      </c>
      <c r="L232" s="713"/>
      <c r="M232" s="499"/>
      <c r="N232" s="708" t="s">
        <v>413</v>
      </c>
      <c r="O232" s="546" t="str">
        <f>IFERROR(VLOOKUP(P232,constant_ag_extr!$D$7:$E$594,2,FALSE),"")</f>
        <v>Leguminous vegetables, nes</v>
      </c>
      <c r="P232" s="547">
        <f t="shared" si="26"/>
        <v>420</v>
      </c>
      <c r="Q232" s="590">
        <f t="shared" si="27"/>
        <v>1</v>
      </c>
    </row>
    <row r="233" spans="1:17" ht="12.75" customHeight="1">
      <c r="A233" s="84" t="s">
        <v>521</v>
      </c>
      <c r="B233" s="399">
        <v>423</v>
      </c>
      <c r="C233" s="24" t="s">
        <v>1036</v>
      </c>
      <c r="D233" s="499"/>
      <c r="E233" s="499"/>
      <c r="F233" s="2">
        <f t="shared" si="23"/>
        <v>8.4093269158908317</v>
      </c>
      <c r="G233" s="2">
        <f t="shared" si="24"/>
        <v>1</v>
      </c>
      <c r="H233" s="2">
        <f t="shared" si="25"/>
        <v>2.4993969139811365</v>
      </c>
      <c r="I233" s="25">
        <f t="shared" si="28"/>
        <v>0</v>
      </c>
      <c r="J233" s="343">
        <f t="shared" si="29"/>
        <v>0</v>
      </c>
      <c r="L233" s="713"/>
      <c r="M233" s="499"/>
      <c r="N233" s="708" t="s">
        <v>413</v>
      </c>
      <c r="O233" s="546" t="str">
        <f>IFERROR(VLOOKUP(P233,constant_ag_extr!$D$7:$E$594,2,FALSE),"")</f>
        <v>String beans</v>
      </c>
      <c r="P233" s="547">
        <f t="shared" si="26"/>
        <v>423</v>
      </c>
      <c r="Q233" s="590">
        <f t="shared" si="27"/>
        <v>1</v>
      </c>
    </row>
    <row r="234" spans="1:17" ht="12.75" customHeight="1">
      <c r="A234" s="84" t="s">
        <v>755</v>
      </c>
      <c r="B234" s="399">
        <v>426</v>
      </c>
      <c r="C234" s="24" t="s">
        <v>4501</v>
      </c>
      <c r="D234" s="499">
        <v>114991</v>
      </c>
      <c r="E234" s="499">
        <v>94814</v>
      </c>
      <c r="F234" s="2">
        <f t="shared" si="23"/>
        <v>34.761084870113777</v>
      </c>
      <c r="G234" s="2">
        <f t="shared" si="24"/>
        <v>1</v>
      </c>
      <c r="H234" s="2">
        <f t="shared" si="25"/>
        <v>2.4993969139811365</v>
      </c>
      <c r="I234" s="25">
        <f t="shared" si="28"/>
        <v>8268.1007111693216</v>
      </c>
      <c r="J234" s="343">
        <f t="shared" si="29"/>
        <v>6817.3309287579723</v>
      </c>
      <c r="L234" s="713">
        <v>2707930</v>
      </c>
      <c r="M234" s="499">
        <v>2937780</v>
      </c>
      <c r="N234" s="708" t="s">
        <v>413</v>
      </c>
      <c r="O234" s="546" t="str">
        <f>IFERROR(VLOOKUP(P234,constant_ag_extr!$D$7:$E$594,2,FALSE),"")</f>
        <v>Carrots and turnips</v>
      </c>
      <c r="P234" s="547">
        <f t="shared" si="26"/>
        <v>426</v>
      </c>
      <c r="Q234" s="590">
        <f t="shared" si="27"/>
        <v>1</v>
      </c>
    </row>
    <row r="235" spans="1:17" ht="12.75" customHeight="1">
      <c r="A235" s="84" t="s">
        <v>795</v>
      </c>
      <c r="B235" s="399">
        <v>430</v>
      </c>
      <c r="C235" s="24" t="s">
        <v>796</v>
      </c>
      <c r="D235" s="499"/>
      <c r="E235" s="499"/>
      <c r="F235" s="2">
        <f t="shared" si="23"/>
        <v>3.703862150577256</v>
      </c>
      <c r="G235" s="2">
        <f t="shared" si="24"/>
        <v>1</v>
      </c>
      <c r="H235" s="2">
        <f t="shared" si="25"/>
        <v>2.4993969139811365</v>
      </c>
      <c r="I235" s="25">
        <f t="shared" si="28"/>
        <v>0</v>
      </c>
      <c r="J235" s="343">
        <f t="shared" si="29"/>
        <v>0</v>
      </c>
      <c r="L235" s="713"/>
      <c r="M235" s="499"/>
      <c r="N235" s="708" t="s">
        <v>413</v>
      </c>
      <c r="O235" s="546" t="str">
        <f>IFERROR(VLOOKUP(P235,constant_ag_extr!$D$7:$E$594,2,FALSE),"")</f>
        <v>Okra</v>
      </c>
      <c r="P235" s="547">
        <f t="shared" si="26"/>
        <v>430</v>
      </c>
      <c r="Q235" s="590">
        <f t="shared" si="27"/>
        <v>1</v>
      </c>
    </row>
    <row r="236" spans="1:17" ht="12.75" customHeight="1">
      <c r="A236" s="84" t="s">
        <v>1132</v>
      </c>
      <c r="B236" s="399">
        <v>446</v>
      </c>
      <c r="C236" s="24" t="s">
        <v>1133</v>
      </c>
      <c r="D236" s="499">
        <v>0</v>
      </c>
      <c r="E236" s="499"/>
      <c r="F236" s="2">
        <f t="shared" si="23"/>
        <v>7.4661502706224629</v>
      </c>
      <c r="G236" s="2">
        <f t="shared" si="24"/>
        <v>1</v>
      </c>
      <c r="H236" s="2">
        <f t="shared" si="25"/>
        <v>2.4993969139811365</v>
      </c>
      <c r="I236" s="25">
        <f t="shared" si="28"/>
        <v>0</v>
      </c>
      <c r="J236" s="343">
        <f t="shared" si="29"/>
        <v>0</v>
      </c>
      <c r="L236" s="713">
        <v>212485</v>
      </c>
      <c r="M236" s="499">
        <v>160568</v>
      </c>
      <c r="N236" s="708" t="s">
        <v>413</v>
      </c>
      <c r="O236" s="546" t="str">
        <f>IFERROR(VLOOKUP(P236,constant_ag_extr!$D$7:$E$594,2,FALSE),"")</f>
        <v>Maize, green</v>
      </c>
      <c r="P236" s="547">
        <f t="shared" si="26"/>
        <v>446</v>
      </c>
      <c r="Q236" s="590">
        <f t="shared" si="27"/>
        <v>1</v>
      </c>
    </row>
    <row r="237" spans="1:17" ht="12.75" customHeight="1">
      <c r="A237" s="84" t="s">
        <v>5004</v>
      </c>
      <c r="B237" s="399">
        <v>447</v>
      </c>
      <c r="C237" s="24" t="s">
        <v>5005</v>
      </c>
      <c r="D237" s="499">
        <v>8646</v>
      </c>
      <c r="E237" s="499">
        <v>19539</v>
      </c>
      <c r="F237" s="2">
        <f t="shared" si="23"/>
        <v>2.613152594717862</v>
      </c>
      <c r="G237" s="2">
        <f t="shared" si="24"/>
        <v>1</v>
      </c>
      <c r="H237" s="2">
        <f t="shared" si="25"/>
        <v>2.4993969139811365</v>
      </c>
      <c r="I237" s="25">
        <f t="shared" si="28"/>
        <v>8269.6225861291805</v>
      </c>
      <c r="J237" s="343">
        <f t="shared" si="29"/>
        <v>18688.428835343289</v>
      </c>
      <c r="L237" s="713">
        <v>384581</v>
      </c>
      <c r="M237" s="499">
        <v>420812</v>
      </c>
      <c r="N237" s="708" t="s">
        <v>2796</v>
      </c>
      <c r="O237" s="546" t="str">
        <f>IFERROR(VLOOKUP(P237,constant_ag_extr!$D$7:$E$594,2,FALSE),"")</f>
        <v>Maize, green</v>
      </c>
      <c r="P237" s="547">
        <f t="shared" si="26"/>
        <v>446</v>
      </c>
      <c r="Q237" s="590">
        <f t="shared" si="27"/>
        <v>0.35</v>
      </c>
    </row>
    <row r="238" spans="1:17" ht="12.75" customHeight="1">
      <c r="A238" s="84" t="s">
        <v>4758</v>
      </c>
      <c r="B238" s="399">
        <v>448</v>
      </c>
      <c r="C238" s="24" t="s">
        <v>4759</v>
      </c>
      <c r="D238" s="499">
        <v>6716</v>
      </c>
      <c r="E238" s="499">
        <v>3024</v>
      </c>
      <c r="F238" s="2">
        <f t="shared" si="23"/>
        <v>3.3597676217801085</v>
      </c>
      <c r="G238" s="2">
        <f t="shared" si="24"/>
        <v>1</v>
      </c>
      <c r="H238" s="2">
        <f t="shared" si="25"/>
        <v>2.4993969139811365</v>
      </c>
      <c r="I238" s="25">
        <f t="shared" si="28"/>
        <v>4996.1638910620841</v>
      </c>
      <c r="J238" s="343">
        <f t="shared" si="29"/>
        <v>2249.6128062197354</v>
      </c>
      <c r="L238" s="713">
        <v>788013</v>
      </c>
      <c r="M238" s="499">
        <v>825811</v>
      </c>
      <c r="N238" s="708" t="s">
        <v>2796</v>
      </c>
      <c r="O238" s="546" t="str">
        <f>IFERROR(VLOOKUP(P238,constant_ag_extr!$D$7:$E$594,2,FALSE),"")</f>
        <v>Maize, green</v>
      </c>
      <c r="P238" s="547">
        <f t="shared" si="26"/>
        <v>446</v>
      </c>
      <c r="Q238" s="590">
        <f t="shared" si="27"/>
        <v>0.45</v>
      </c>
    </row>
    <row r="239" spans="1:17" ht="12.75" customHeight="1">
      <c r="A239" s="84" t="s">
        <v>784</v>
      </c>
      <c r="B239" s="399">
        <v>449</v>
      </c>
      <c r="C239" s="24" t="s">
        <v>3927</v>
      </c>
      <c r="D239" s="499">
        <v>11450</v>
      </c>
      <c r="E239" s="499">
        <v>46027</v>
      </c>
      <c r="F239" s="2">
        <f t="shared" si="23"/>
        <v>129.89189770472029</v>
      </c>
      <c r="G239" s="2">
        <f t="shared" si="24"/>
        <v>1</v>
      </c>
      <c r="H239" s="2">
        <f t="shared" si="25"/>
        <v>2.4993969139811365</v>
      </c>
      <c r="I239" s="25">
        <f t="shared" si="28"/>
        <v>220.32240017110803</v>
      </c>
      <c r="J239" s="343">
        <f t="shared" si="29"/>
        <v>885.65756442581562</v>
      </c>
      <c r="L239" s="713">
        <v>689175</v>
      </c>
      <c r="M239" s="499">
        <v>712800</v>
      </c>
      <c r="N239" s="708" t="s">
        <v>413</v>
      </c>
      <c r="O239" s="546" t="str">
        <f>IFERROR(VLOOKUP(P239,constant_ag_extr!$D$7:$E$594,2,FALSE),"")</f>
        <v>Mushrooms and truffles</v>
      </c>
      <c r="P239" s="547">
        <f t="shared" si="26"/>
        <v>449</v>
      </c>
      <c r="Q239" s="590">
        <f t="shared" si="27"/>
        <v>1</v>
      </c>
    </row>
    <row r="240" spans="1:17" ht="12.75" customHeight="1">
      <c r="A240" s="84" t="s">
        <v>3067</v>
      </c>
      <c r="B240" s="399">
        <v>450</v>
      </c>
      <c r="C240" s="24" t="s">
        <v>3068</v>
      </c>
      <c r="D240" s="499"/>
      <c r="E240" s="499"/>
      <c r="F240" s="2">
        <f t="shared" si="23"/>
        <v>64.725731600083904</v>
      </c>
      <c r="G240" s="2">
        <f t="shared" si="24"/>
        <v>1</v>
      </c>
      <c r="H240" s="2">
        <f t="shared" si="25"/>
        <v>2.4993969139811365</v>
      </c>
      <c r="I240" s="25">
        <f t="shared" si="28"/>
        <v>0</v>
      </c>
      <c r="J240" s="343">
        <f t="shared" si="29"/>
        <v>0</v>
      </c>
      <c r="L240" s="713"/>
      <c r="M240" s="499"/>
      <c r="N240" s="708" t="s">
        <v>2796</v>
      </c>
      <c r="O240" s="546" t="str">
        <f>IFERROR(VLOOKUP(P240,constant_ag_extr!$D$7:$E$594,2,FALSE),"")</f>
        <v>Mushrooms and truffles</v>
      </c>
      <c r="P240" s="547">
        <f t="shared" si="26"/>
        <v>449</v>
      </c>
      <c r="Q240" s="590">
        <f t="shared" si="27"/>
        <v>0.49830461132551268</v>
      </c>
    </row>
    <row r="241" spans="1:17" ht="12.75" customHeight="1">
      <c r="A241" s="84" t="s">
        <v>7070</v>
      </c>
      <c r="B241" s="399">
        <v>451</v>
      </c>
      <c r="C241" s="24" t="s">
        <v>1142</v>
      </c>
      <c r="D241" s="499">
        <v>11306</v>
      </c>
      <c r="E241" s="499">
        <v>770</v>
      </c>
      <c r="F241" s="2">
        <f t="shared" si="23"/>
        <v>298.77015121137885</v>
      </c>
      <c r="G241" s="2">
        <f t="shared" si="24"/>
        <v>1</v>
      </c>
      <c r="H241" s="2">
        <f t="shared" si="25"/>
        <v>2.4993969139811365</v>
      </c>
      <c r="I241" s="25">
        <f t="shared" si="28"/>
        <v>94.581675561954526</v>
      </c>
      <c r="J241" s="343">
        <f t="shared" si="29"/>
        <v>6.441525754705907</v>
      </c>
      <c r="L241" s="713">
        <v>572625</v>
      </c>
      <c r="M241" s="499">
        <v>643098</v>
      </c>
      <c r="N241" s="708" t="s">
        <v>2796</v>
      </c>
      <c r="O241" s="546" t="str">
        <f>IFERROR(VLOOKUP(P241,constant_ag_extr!$D$7:$E$594,2,FALSE),"")</f>
        <v>Mushrooms and truffles</v>
      </c>
      <c r="P241" s="547">
        <f t="shared" si="26"/>
        <v>449</v>
      </c>
      <c r="Q241" s="590">
        <f t="shared" si="27"/>
        <v>2.300144631734959</v>
      </c>
    </row>
    <row r="242" spans="1:17" ht="12.75" customHeight="1">
      <c r="A242" s="84" t="s">
        <v>4493</v>
      </c>
      <c r="B242" s="399">
        <v>459</v>
      </c>
      <c r="C242" s="24" t="s">
        <v>4494</v>
      </c>
      <c r="D242" s="499"/>
      <c r="E242" s="499"/>
      <c r="F242" s="2">
        <f t="shared" si="23"/>
        <v>11.18374922026506</v>
      </c>
      <c r="G242" s="2">
        <f t="shared" si="24"/>
        <v>1</v>
      </c>
      <c r="H242" s="2">
        <f t="shared" si="25"/>
        <v>2.4993969139811365</v>
      </c>
      <c r="I242" s="25">
        <f t="shared" si="28"/>
        <v>0</v>
      </c>
      <c r="J242" s="343">
        <f t="shared" si="29"/>
        <v>0</v>
      </c>
      <c r="L242" s="713"/>
      <c r="M242" s="499"/>
      <c r="N242" s="708" t="s">
        <v>413</v>
      </c>
      <c r="O242" s="546" t="str">
        <f>IFERROR(VLOOKUP(P242,constant_ag_extr!$D$7:$E$594,2,FALSE),"")</f>
        <v>Chicory roots</v>
      </c>
      <c r="P242" s="547">
        <f t="shared" si="26"/>
        <v>459</v>
      </c>
      <c r="Q242" s="590">
        <f t="shared" si="27"/>
        <v>1</v>
      </c>
    </row>
    <row r="243" spans="1:17" ht="12.75" customHeight="1">
      <c r="A243" s="84" t="s">
        <v>7107</v>
      </c>
      <c r="B243" s="399">
        <v>460</v>
      </c>
      <c r="C243" s="24" t="s">
        <v>133</v>
      </c>
      <c r="D243" s="499">
        <v>2675</v>
      </c>
      <c r="E243" s="499">
        <v>2696</v>
      </c>
      <c r="F243" s="2">
        <f t="shared" si="23"/>
        <v>12.977212465140283</v>
      </c>
      <c r="G243" s="2">
        <f t="shared" si="24"/>
        <v>1</v>
      </c>
      <c r="H243" s="2">
        <f t="shared" si="25"/>
        <v>2.4993969139811365</v>
      </c>
      <c r="I243" s="25">
        <f t="shared" si="28"/>
        <v>515.20207154343348</v>
      </c>
      <c r="J243" s="343">
        <f t="shared" si="29"/>
        <v>519.24664855368098</v>
      </c>
      <c r="L243" s="713">
        <v>250233</v>
      </c>
      <c r="M243" s="499">
        <v>343662</v>
      </c>
      <c r="N243" s="708" t="s">
        <v>2796</v>
      </c>
      <c r="O243" s="546" t="str">
        <f>IFERROR(VLOOKUP(P243,constant_ag_extr!$D$7:$E$594,2,FALSE),"")</f>
        <v>Vegetables fresh nes</v>
      </c>
      <c r="P243" s="547">
        <f t="shared" si="26"/>
        <v>463</v>
      </c>
      <c r="Q243" s="590">
        <f t="shared" si="27"/>
        <v>1</v>
      </c>
    </row>
    <row r="244" spans="1:17" ht="12.75" customHeight="1">
      <c r="A244" s="84" t="s">
        <v>5440</v>
      </c>
      <c r="B244" s="399">
        <v>461</v>
      </c>
      <c r="C244" s="24" t="s">
        <v>754</v>
      </c>
      <c r="D244" s="499"/>
      <c r="E244" s="499"/>
      <c r="F244" s="2">
        <f t="shared" si="23"/>
        <v>2.920460820171292</v>
      </c>
      <c r="G244" s="2">
        <f t="shared" si="24"/>
        <v>1</v>
      </c>
      <c r="H244" s="2">
        <f t="shared" si="25"/>
        <v>2.4993969139811365</v>
      </c>
      <c r="I244" s="25">
        <f t="shared" si="28"/>
        <v>0</v>
      </c>
      <c r="J244" s="343">
        <f t="shared" si="29"/>
        <v>0</v>
      </c>
      <c r="L244" s="713"/>
      <c r="M244" s="499"/>
      <c r="N244" s="708" t="s">
        <v>413</v>
      </c>
      <c r="O244" s="546" t="str">
        <f>IFERROR(VLOOKUP(P244,constant_ag_extr!$D$7:$E$594,2,FALSE),"")</f>
        <v>Carobs</v>
      </c>
      <c r="P244" s="547">
        <f t="shared" si="26"/>
        <v>461</v>
      </c>
      <c r="Q244" s="590">
        <f t="shared" si="27"/>
        <v>1</v>
      </c>
    </row>
    <row r="245" spans="1:17" ht="12.75" customHeight="1">
      <c r="A245" s="84" t="s">
        <v>7106</v>
      </c>
      <c r="B245" s="399">
        <v>463</v>
      </c>
      <c r="C245" s="24" t="s">
        <v>815</v>
      </c>
      <c r="D245" s="499">
        <v>230149</v>
      </c>
      <c r="E245" s="499">
        <v>30239</v>
      </c>
      <c r="F245" s="2">
        <f t="shared" si="23"/>
        <v>12.977212465140283</v>
      </c>
      <c r="G245" s="2">
        <f t="shared" si="24"/>
        <v>1</v>
      </c>
      <c r="H245" s="2">
        <f t="shared" si="25"/>
        <v>2.4993969139811365</v>
      </c>
      <c r="I245" s="25">
        <f t="shared" si="28"/>
        <v>44326.445444355013</v>
      </c>
      <c r="J245" s="343">
        <f t="shared" si="29"/>
        <v>5823.9982958511719</v>
      </c>
      <c r="L245" s="713">
        <v>3019500</v>
      </c>
      <c r="M245" s="499">
        <v>3277060</v>
      </c>
      <c r="N245" s="708" t="s">
        <v>413</v>
      </c>
      <c r="O245" s="546" t="str">
        <f>IFERROR(VLOOKUP(P245,constant_ag_extr!$D$7:$E$594,2,FALSE),"")</f>
        <v>Vegetables fresh nes</v>
      </c>
      <c r="P245" s="547">
        <f t="shared" si="26"/>
        <v>463</v>
      </c>
      <c r="Q245" s="590">
        <f t="shared" si="27"/>
        <v>1</v>
      </c>
    </row>
    <row r="246" spans="1:17" ht="12.75" customHeight="1">
      <c r="A246" s="84" t="s">
        <v>3250</v>
      </c>
      <c r="B246" s="399">
        <v>464</v>
      </c>
      <c r="C246" s="24" t="s">
        <v>2039</v>
      </c>
      <c r="D246" s="499"/>
      <c r="E246" s="499"/>
      <c r="F246" s="2">
        <f t="shared" si="23"/>
        <v>3.2443031162850708</v>
      </c>
      <c r="G246" s="2">
        <f t="shared" si="24"/>
        <v>1</v>
      </c>
      <c r="H246" s="2">
        <f t="shared" si="25"/>
        <v>2.4993969139811365</v>
      </c>
      <c r="I246" s="25">
        <f t="shared" si="28"/>
        <v>0</v>
      </c>
      <c r="J246" s="343">
        <f t="shared" si="29"/>
        <v>0</v>
      </c>
      <c r="L246" s="713">
        <v>0</v>
      </c>
      <c r="M246" s="499">
        <v>0</v>
      </c>
      <c r="N246" s="708" t="s">
        <v>2796</v>
      </c>
      <c r="O246" s="546" t="str">
        <f>IFERROR(VLOOKUP(P246,constant_ag_extr!$D$7:$E$594,2,FALSE),"")</f>
        <v>Vegetables fresh nes</v>
      </c>
      <c r="P246" s="547">
        <f t="shared" si="26"/>
        <v>463</v>
      </c>
      <c r="Q246" s="590">
        <f t="shared" si="27"/>
        <v>0.25</v>
      </c>
    </row>
    <row r="247" spans="1:17" ht="12.75" customHeight="1">
      <c r="A247" s="84" t="s">
        <v>7104</v>
      </c>
      <c r="B247" s="399">
        <v>465</v>
      </c>
      <c r="C247" s="24"/>
      <c r="D247" s="499"/>
      <c r="E247" s="499"/>
      <c r="F247" s="2">
        <f t="shared" si="23"/>
        <v>0</v>
      </c>
      <c r="G247" s="2">
        <f t="shared" si="24"/>
        <v>1</v>
      </c>
      <c r="H247" s="2">
        <f t="shared" si="25"/>
        <v>2.4993969139811365</v>
      </c>
      <c r="I247" s="25">
        <f t="shared" si="28"/>
        <v>0</v>
      </c>
      <c r="J247" s="343">
        <f t="shared" si="29"/>
        <v>0</v>
      </c>
      <c r="L247" s="713"/>
      <c r="M247" s="499"/>
      <c r="N247" s="708"/>
      <c r="O247" s="546">
        <f>IFERROR(VLOOKUP(P247,constant_ag_extr!$D$7:$E$594,2,FALSE),"")</f>
        <v>0</v>
      </c>
      <c r="P247" s="547" t="str">
        <f t="shared" si="26"/>
        <v/>
      </c>
      <c r="Q247" s="590" t="str">
        <f t="shared" si="27"/>
        <v/>
      </c>
    </row>
    <row r="248" spans="1:17" ht="12.75" customHeight="1">
      <c r="A248" s="84" t="s">
        <v>1314</v>
      </c>
      <c r="B248" s="399">
        <v>466</v>
      </c>
      <c r="C248" s="24" t="s">
        <v>1315</v>
      </c>
      <c r="D248" s="499"/>
      <c r="E248" s="499"/>
      <c r="F248" s="2">
        <f t="shared" si="23"/>
        <v>6.4886062325701417</v>
      </c>
      <c r="G248" s="2">
        <f t="shared" si="24"/>
        <v>1</v>
      </c>
      <c r="H248" s="2">
        <f t="shared" si="25"/>
        <v>2.4993969139811365</v>
      </c>
      <c r="I248" s="25">
        <f t="shared" si="28"/>
        <v>0</v>
      </c>
      <c r="J248" s="343">
        <f t="shared" si="29"/>
        <v>0</v>
      </c>
      <c r="L248" s="713"/>
      <c r="M248" s="499"/>
      <c r="N248" s="708" t="s">
        <v>2796</v>
      </c>
      <c r="O248" s="546" t="str">
        <f>IFERROR(VLOOKUP(P248,constant_ag_extr!$D$7:$E$594,2,FALSE),"")</f>
        <v>Vegetables fresh nes</v>
      </c>
      <c r="P248" s="547">
        <f t="shared" si="26"/>
        <v>463</v>
      </c>
      <c r="Q248" s="590">
        <f t="shared" si="27"/>
        <v>0.5</v>
      </c>
    </row>
    <row r="249" spans="1:17" ht="12.75" customHeight="1">
      <c r="A249" s="84" t="s">
        <v>7105</v>
      </c>
      <c r="B249" s="399">
        <v>469</v>
      </c>
      <c r="C249" s="24" t="s">
        <v>2037</v>
      </c>
      <c r="D249" s="499">
        <v>48036</v>
      </c>
      <c r="E249" s="499">
        <v>1275</v>
      </c>
      <c r="F249" s="2">
        <f t="shared" si="23"/>
        <v>3.2443031162850708</v>
      </c>
      <c r="G249" s="2">
        <f t="shared" si="24"/>
        <v>1</v>
      </c>
      <c r="H249" s="2">
        <f t="shared" si="25"/>
        <v>2.4993969139811365</v>
      </c>
      <c r="I249" s="25">
        <f t="shared" si="28"/>
        <v>37006.724050333258</v>
      </c>
      <c r="J249" s="343">
        <f t="shared" si="29"/>
        <v>982.25441677439642</v>
      </c>
      <c r="L249" s="713">
        <v>759126</v>
      </c>
      <c r="M249" s="499">
        <v>835578</v>
      </c>
      <c r="N249" s="708" t="s">
        <v>2796</v>
      </c>
      <c r="O249" s="546" t="str">
        <f>IFERROR(VLOOKUP(P249,constant_ag_extr!$D$7:$E$594,2,FALSE),"")</f>
        <v>Vegetables fresh nes</v>
      </c>
      <c r="P249" s="547">
        <f t="shared" si="26"/>
        <v>463</v>
      </c>
      <c r="Q249" s="590">
        <f t="shared" si="27"/>
        <v>0.25</v>
      </c>
    </row>
    <row r="250" spans="1:17" ht="12.75" customHeight="1">
      <c r="A250" s="84" t="s">
        <v>4524</v>
      </c>
      <c r="B250" s="399">
        <v>471</v>
      </c>
      <c r="C250" s="24" t="s">
        <v>4175</v>
      </c>
      <c r="D250" s="499">
        <v>98613</v>
      </c>
      <c r="E250" s="499">
        <v>3264</v>
      </c>
      <c r="F250" s="2">
        <f t="shared" si="23"/>
        <v>12.977212465140283</v>
      </c>
      <c r="G250" s="2">
        <f t="shared" si="24"/>
        <v>1</v>
      </c>
      <c r="H250" s="2">
        <f t="shared" si="25"/>
        <v>2.4993969139811365</v>
      </c>
      <c r="I250" s="25">
        <f t="shared" si="28"/>
        <v>18992.75584340658</v>
      </c>
      <c r="J250" s="343">
        <f t="shared" si="29"/>
        <v>628.64282673561365</v>
      </c>
      <c r="L250" s="713">
        <v>1554180</v>
      </c>
      <c r="M250" s="499">
        <v>1482950</v>
      </c>
      <c r="N250" s="708" t="s">
        <v>2796</v>
      </c>
      <c r="O250" s="546" t="str">
        <f>IFERROR(VLOOKUP(P250,constant_ag_extr!$D$7:$E$594,2,FALSE),"")</f>
        <v>Vegetables fresh nes</v>
      </c>
      <c r="P250" s="547">
        <f t="shared" si="26"/>
        <v>463</v>
      </c>
      <c r="Q250" s="590">
        <f t="shared" si="27"/>
        <v>1</v>
      </c>
    </row>
    <row r="251" spans="1:17" ht="12.75" customHeight="1">
      <c r="A251" s="84" t="s">
        <v>7110</v>
      </c>
      <c r="B251" s="399">
        <v>472</v>
      </c>
      <c r="C251" s="24" t="s">
        <v>2038</v>
      </c>
      <c r="D251" s="499">
        <v>109835</v>
      </c>
      <c r="E251" s="499">
        <v>78493</v>
      </c>
      <c r="F251" s="2">
        <f t="shared" si="23"/>
        <v>12.977212465140283</v>
      </c>
      <c r="G251" s="2">
        <f t="shared" si="24"/>
        <v>1</v>
      </c>
      <c r="H251" s="2">
        <f t="shared" si="25"/>
        <v>2.4993969139811365</v>
      </c>
      <c r="I251" s="25">
        <f t="shared" si="28"/>
        <v>21154.100758120752</v>
      </c>
      <c r="J251" s="343">
        <f t="shared" si="29"/>
        <v>15117.665869778961</v>
      </c>
      <c r="L251" s="713">
        <v>4334330</v>
      </c>
      <c r="M251" s="499">
        <v>4688010</v>
      </c>
      <c r="N251" s="708" t="s">
        <v>2796</v>
      </c>
      <c r="O251" s="546" t="str">
        <f>IFERROR(VLOOKUP(P251,constant_ag_extr!$D$7:$E$594,2,FALSE),"")</f>
        <v>Vegetables fresh nes</v>
      </c>
      <c r="P251" s="547">
        <f t="shared" si="26"/>
        <v>463</v>
      </c>
      <c r="Q251" s="590">
        <f t="shared" si="27"/>
        <v>1</v>
      </c>
    </row>
    <row r="252" spans="1:17" ht="12.75" customHeight="1">
      <c r="A252" s="84" t="s">
        <v>7108</v>
      </c>
      <c r="B252" s="399">
        <v>473</v>
      </c>
      <c r="C252" s="24" t="s">
        <v>4523</v>
      </c>
      <c r="D252" s="499">
        <v>111118</v>
      </c>
      <c r="E252" s="499">
        <v>109392</v>
      </c>
      <c r="F252" s="2">
        <f t="shared" si="23"/>
        <v>6.4886062325701417</v>
      </c>
      <c r="G252" s="2">
        <f t="shared" si="24"/>
        <v>1</v>
      </c>
      <c r="H252" s="2">
        <f t="shared" si="25"/>
        <v>2.4993969139811365</v>
      </c>
      <c r="I252" s="25">
        <f t="shared" si="28"/>
        <v>42802.410307112696</v>
      </c>
      <c r="J252" s="343">
        <f t="shared" si="29"/>
        <v>42137.558886190105</v>
      </c>
      <c r="L252" s="713">
        <v>5358880</v>
      </c>
      <c r="M252" s="499">
        <v>5435340</v>
      </c>
      <c r="N252" s="708" t="s">
        <v>2796</v>
      </c>
      <c r="O252" s="546" t="str">
        <f>IFERROR(VLOOKUP(P252,constant_ag_extr!$D$7:$E$594,2,FALSE),"")</f>
        <v>Vegetables fresh nes</v>
      </c>
      <c r="P252" s="547">
        <f t="shared" si="26"/>
        <v>463</v>
      </c>
      <c r="Q252" s="590">
        <f t="shared" si="27"/>
        <v>0.5</v>
      </c>
    </row>
    <row r="253" spans="1:17" ht="12.75" customHeight="1">
      <c r="A253" s="84" t="s">
        <v>7112</v>
      </c>
      <c r="B253" s="399">
        <v>474</v>
      </c>
      <c r="C253" s="24" t="s">
        <v>4782</v>
      </c>
      <c r="D253" s="499">
        <v>5021</v>
      </c>
      <c r="E253" s="499">
        <v>149</v>
      </c>
      <c r="F253" s="2">
        <f t="shared" si="23"/>
        <v>6.4886062325701417</v>
      </c>
      <c r="G253" s="2">
        <f t="shared" si="24"/>
        <v>1</v>
      </c>
      <c r="H253" s="2">
        <f t="shared" si="25"/>
        <v>2.4993969139811365</v>
      </c>
      <c r="I253" s="25">
        <f t="shared" si="28"/>
        <v>1934.0782065193116</v>
      </c>
      <c r="J253" s="343">
        <f t="shared" si="29"/>
        <v>57.394473764464728</v>
      </c>
      <c r="L253" s="713">
        <v>537779</v>
      </c>
      <c r="M253" s="499">
        <v>508741</v>
      </c>
      <c r="N253" s="708" t="s">
        <v>2796</v>
      </c>
      <c r="O253" s="546" t="str">
        <f>IFERROR(VLOOKUP(P253,constant_ag_extr!$D$7:$E$594,2,FALSE),"")</f>
        <v>Vegetables fresh nes</v>
      </c>
      <c r="P253" s="547">
        <f t="shared" si="26"/>
        <v>463</v>
      </c>
      <c r="Q253" s="590">
        <f t="shared" si="27"/>
        <v>0.5</v>
      </c>
    </row>
    <row r="254" spans="1:17" ht="12.75" customHeight="1">
      <c r="A254" s="84" t="s">
        <v>7111</v>
      </c>
      <c r="B254" s="399">
        <v>475</v>
      </c>
      <c r="C254" s="24" t="s">
        <v>3672</v>
      </c>
      <c r="D254" s="499">
        <v>21958</v>
      </c>
      <c r="E254" s="499">
        <v>14425</v>
      </c>
      <c r="F254" s="2">
        <f t="shared" si="23"/>
        <v>6.4886062325701417</v>
      </c>
      <c r="G254" s="2">
        <f t="shared" si="24"/>
        <v>1</v>
      </c>
      <c r="H254" s="2">
        <f t="shared" si="25"/>
        <v>2.4993969139811365</v>
      </c>
      <c r="I254" s="25">
        <f t="shared" si="28"/>
        <v>8458.1735229538026</v>
      </c>
      <c r="J254" s="343">
        <f t="shared" si="29"/>
        <v>5556.4784164590856</v>
      </c>
      <c r="L254" s="713">
        <v>760190</v>
      </c>
      <c r="M254" s="499">
        <v>720819</v>
      </c>
      <c r="N254" s="708" t="s">
        <v>2796</v>
      </c>
      <c r="O254" s="546" t="str">
        <f>IFERROR(VLOOKUP(P254,constant_ag_extr!$D$7:$E$594,2,FALSE),"")</f>
        <v>Vegetables fresh nes</v>
      </c>
      <c r="P254" s="547">
        <f t="shared" si="26"/>
        <v>463</v>
      </c>
      <c r="Q254" s="590">
        <f t="shared" si="27"/>
        <v>0.5</v>
      </c>
    </row>
    <row r="255" spans="1:17" ht="12.75" customHeight="1">
      <c r="A255" s="84" t="s">
        <v>7109</v>
      </c>
      <c r="B255" s="399">
        <v>476</v>
      </c>
      <c r="C255" s="24" t="s">
        <v>2658</v>
      </c>
      <c r="D255" s="499">
        <v>614</v>
      </c>
      <c r="E255" s="499">
        <v>789</v>
      </c>
      <c r="F255" s="2">
        <f t="shared" si="23"/>
        <v>6.4886062325701417</v>
      </c>
      <c r="G255" s="2">
        <f t="shared" si="24"/>
        <v>1</v>
      </c>
      <c r="H255" s="2">
        <f t="shared" si="25"/>
        <v>2.4993969139811365</v>
      </c>
      <c r="I255" s="25">
        <f t="shared" si="28"/>
        <v>236.51145564685464</v>
      </c>
      <c r="J255" s="343">
        <f t="shared" si="29"/>
        <v>303.92107248431324</v>
      </c>
      <c r="L255" s="713">
        <v>41294</v>
      </c>
      <c r="M255" s="499">
        <v>49669</v>
      </c>
      <c r="N255" s="708" t="s">
        <v>2796</v>
      </c>
      <c r="O255" s="546" t="str">
        <f>IFERROR(VLOOKUP(P255,constant_ag_extr!$D$7:$E$594,2,FALSE),"")</f>
        <v>Vegetables fresh nes</v>
      </c>
      <c r="P255" s="547">
        <f t="shared" si="26"/>
        <v>463</v>
      </c>
      <c r="Q255" s="590">
        <f t="shared" si="27"/>
        <v>0.5</v>
      </c>
    </row>
    <row r="256" spans="1:17" ht="12.75" customHeight="1">
      <c r="A256" s="84" t="s">
        <v>614</v>
      </c>
      <c r="B256" s="399">
        <v>486</v>
      </c>
      <c r="C256" s="24" t="s">
        <v>954</v>
      </c>
      <c r="D256" s="499">
        <v>571585</v>
      </c>
      <c r="E256" s="499">
        <v>56</v>
      </c>
      <c r="F256" s="2">
        <f t="shared" si="23"/>
        <v>20.633840725557437</v>
      </c>
      <c r="G256" s="2">
        <f t="shared" si="24"/>
        <v>1</v>
      </c>
      <c r="H256" s="2">
        <f t="shared" si="25"/>
        <v>2.4993969139811365</v>
      </c>
      <c r="I256" s="25">
        <f t="shared" si="28"/>
        <v>69236.639173452422</v>
      </c>
      <c r="J256" s="343">
        <f t="shared" si="29"/>
        <v>6.783333701397579</v>
      </c>
      <c r="L256" s="713">
        <v>22484100</v>
      </c>
      <c r="M256" s="499">
        <v>24379300</v>
      </c>
      <c r="N256" s="708" t="s">
        <v>413</v>
      </c>
      <c r="O256" s="546" t="str">
        <f>IFERROR(VLOOKUP(P256,constant_ag_extr!$D$7:$E$594,2,FALSE),"")</f>
        <v>Bananas</v>
      </c>
      <c r="P256" s="547">
        <f t="shared" si="26"/>
        <v>486</v>
      </c>
      <c r="Q256" s="590">
        <f t="shared" si="27"/>
        <v>1</v>
      </c>
    </row>
    <row r="257" spans="1:17" ht="12.75" customHeight="1">
      <c r="A257" s="84" t="s">
        <v>5106</v>
      </c>
      <c r="B257" s="399">
        <v>489</v>
      </c>
      <c r="C257" s="24" t="s">
        <v>5107</v>
      </c>
      <c r="D257" s="499">
        <v>21279</v>
      </c>
      <c r="E257" s="499">
        <v>43</v>
      </c>
      <c r="F257" s="2">
        <f t="shared" si="23"/>
        <v>6.6387478697784834</v>
      </c>
      <c r="G257" s="2">
        <f t="shared" si="24"/>
        <v>1</v>
      </c>
      <c r="H257" s="2">
        <f t="shared" si="25"/>
        <v>2.4993969139811365</v>
      </c>
      <c r="I257" s="25">
        <f t="shared" si="28"/>
        <v>8011.249707903009</v>
      </c>
      <c r="J257" s="343">
        <f t="shared" si="29"/>
        <v>16.188906313258585</v>
      </c>
      <c r="L257" s="713">
        <v>1258690</v>
      </c>
      <c r="M257" s="499">
        <v>1112390</v>
      </c>
      <c r="N257" s="708" t="s">
        <v>413</v>
      </c>
      <c r="O257" s="546" t="str">
        <f>IFERROR(VLOOKUP(P257,constant_ag_extr!$D$7:$E$594,2,FALSE),"")</f>
        <v>Plantains</v>
      </c>
      <c r="P257" s="547">
        <f t="shared" si="26"/>
        <v>489</v>
      </c>
      <c r="Q257" s="590">
        <f t="shared" si="27"/>
        <v>1</v>
      </c>
    </row>
    <row r="258" spans="1:17" ht="12.75" customHeight="1">
      <c r="A258" s="84" t="s">
        <v>3096</v>
      </c>
      <c r="B258" s="399">
        <v>490</v>
      </c>
      <c r="C258" s="24" t="s">
        <v>2856</v>
      </c>
      <c r="D258" s="499">
        <v>190751</v>
      </c>
      <c r="E258" s="499">
        <v>47</v>
      </c>
      <c r="F258" s="2">
        <f t="shared" si="23"/>
        <v>17.43542751812668</v>
      </c>
      <c r="G258" s="2">
        <f t="shared" si="24"/>
        <v>1</v>
      </c>
      <c r="H258" s="2">
        <f t="shared" si="25"/>
        <v>2.4993969139811365</v>
      </c>
      <c r="I258" s="25">
        <f t="shared" si="28"/>
        <v>27344.466331161162</v>
      </c>
      <c r="J258" s="343">
        <f t="shared" si="29"/>
        <v>6.7375265008549068</v>
      </c>
      <c r="L258" s="713">
        <v>7428480</v>
      </c>
      <c r="M258" s="499">
        <v>7483180</v>
      </c>
      <c r="N258" s="708" t="s">
        <v>413</v>
      </c>
      <c r="O258" s="546" t="str">
        <f>IFERROR(VLOOKUP(P258,constant_ag_extr!$D$7:$E$594,2,FALSE),"")</f>
        <v>Oranges</v>
      </c>
      <c r="P258" s="547">
        <f t="shared" si="26"/>
        <v>490</v>
      </c>
      <c r="Q258" s="590">
        <f t="shared" si="27"/>
        <v>1</v>
      </c>
    </row>
    <row r="259" spans="1:17" ht="12.75" customHeight="1">
      <c r="A259" s="84" t="s">
        <v>7061</v>
      </c>
      <c r="B259" s="399">
        <v>491</v>
      </c>
      <c r="C259" s="24" t="s">
        <v>3273</v>
      </c>
      <c r="D259" s="499">
        <v>234862</v>
      </c>
      <c r="E259" s="499">
        <v>5170</v>
      </c>
      <c r="F259" s="2">
        <f t="shared" si="23"/>
        <v>9.5894851349696744</v>
      </c>
      <c r="G259" s="2">
        <f t="shared" si="24"/>
        <v>1</v>
      </c>
      <c r="H259" s="2">
        <f t="shared" si="25"/>
        <v>2.4993969139811365</v>
      </c>
      <c r="I259" s="25">
        <f t="shared" si="28"/>
        <v>61214.272690281832</v>
      </c>
      <c r="J259" s="343">
        <f t="shared" si="29"/>
        <v>1347.5053001709814</v>
      </c>
      <c r="L259" s="713">
        <v>4048600</v>
      </c>
      <c r="M259" s="499">
        <v>4056850</v>
      </c>
      <c r="N259" s="708" t="s">
        <v>2796</v>
      </c>
      <c r="O259" s="546" t="str">
        <f>IFERROR(VLOOKUP(P259,constant_ag_extr!$D$7:$E$594,2,FALSE),"")</f>
        <v>Oranges</v>
      </c>
      <c r="P259" s="547">
        <f t="shared" si="26"/>
        <v>490</v>
      </c>
      <c r="Q259" s="590">
        <f t="shared" si="27"/>
        <v>0.55000000000000004</v>
      </c>
    </row>
    <row r="260" spans="1:17" ht="12.75" customHeight="1">
      <c r="A260" s="84" t="s">
        <v>7060</v>
      </c>
      <c r="B260" s="399">
        <v>492</v>
      </c>
      <c r="C260" s="24" t="s">
        <v>3272</v>
      </c>
      <c r="D260" s="499">
        <v>31206</v>
      </c>
      <c r="E260" s="499">
        <v>11485</v>
      </c>
      <c r="F260" s="2">
        <f t="shared" si="23"/>
        <v>1.743542751812668</v>
      </c>
      <c r="G260" s="2">
        <f t="shared" si="24"/>
        <v>1</v>
      </c>
      <c r="H260" s="2">
        <f t="shared" si="25"/>
        <v>2.4993969139811365</v>
      </c>
      <c r="I260" s="25">
        <f t="shared" si="28"/>
        <v>44734.308933123029</v>
      </c>
      <c r="J260" s="343">
        <f t="shared" si="29"/>
        <v>16463.934438791191</v>
      </c>
      <c r="L260" s="713">
        <v>2468980</v>
      </c>
      <c r="M260" s="499">
        <v>1505670</v>
      </c>
      <c r="N260" s="708" t="s">
        <v>2796</v>
      </c>
      <c r="O260" s="546" t="str">
        <f>IFERROR(VLOOKUP(P260,constant_ag_extr!$D$7:$E$594,2,FALSE),"")</f>
        <v>Oranges</v>
      </c>
      <c r="P260" s="547">
        <f t="shared" si="26"/>
        <v>490</v>
      </c>
      <c r="Q260" s="590">
        <f t="shared" si="27"/>
        <v>0.1</v>
      </c>
    </row>
    <row r="261" spans="1:17" ht="12.75" customHeight="1">
      <c r="A261" s="84" t="s">
        <v>7100</v>
      </c>
      <c r="B261" s="399">
        <v>495</v>
      </c>
      <c r="C261" s="24" t="s">
        <v>3555</v>
      </c>
      <c r="D261" s="499">
        <v>149581</v>
      </c>
      <c r="E261" s="499">
        <v>14</v>
      </c>
      <c r="F261" s="2">
        <f t="shared" si="23"/>
        <v>11.59005150177879</v>
      </c>
      <c r="G261" s="2">
        <f t="shared" si="24"/>
        <v>1</v>
      </c>
      <c r="H261" s="2">
        <f t="shared" si="25"/>
        <v>2.4993969139811365</v>
      </c>
      <c r="I261" s="25">
        <f t="shared" si="28"/>
        <v>32257.172432135754</v>
      </c>
      <c r="J261" s="343">
        <f t="shared" si="29"/>
        <v>3.0191027874522871</v>
      </c>
      <c r="L261" s="713">
        <v>4968340</v>
      </c>
      <c r="M261" s="499">
        <v>5351150</v>
      </c>
      <c r="N261" s="708" t="s">
        <v>413</v>
      </c>
      <c r="O261" s="546" t="str">
        <f>IFERROR(VLOOKUP(P261,constant_ag_extr!$D$7:$E$594,2,FALSE),"")</f>
        <v>Tangerines, mandarins, clem.</v>
      </c>
      <c r="P261" s="547">
        <f t="shared" si="26"/>
        <v>495</v>
      </c>
      <c r="Q261" s="590">
        <f t="shared" si="27"/>
        <v>1</v>
      </c>
    </row>
    <row r="262" spans="1:17" ht="12.75" customHeight="1">
      <c r="A262" s="84" t="s">
        <v>3244</v>
      </c>
      <c r="B262" s="399">
        <v>496</v>
      </c>
      <c r="C262" s="24" t="s">
        <v>3260</v>
      </c>
      <c r="D262" s="499"/>
      <c r="E262" s="499"/>
      <c r="F262" s="2">
        <f t="shared" si="23"/>
        <v>5.2155231758004552</v>
      </c>
      <c r="G262" s="2">
        <f t="shared" si="24"/>
        <v>1</v>
      </c>
      <c r="H262" s="2">
        <f t="shared" si="25"/>
        <v>2.4993969139811365</v>
      </c>
      <c r="I262" s="25">
        <f t="shared" si="28"/>
        <v>0</v>
      </c>
      <c r="J262" s="343">
        <f t="shared" si="29"/>
        <v>0</v>
      </c>
      <c r="L262" s="713"/>
      <c r="M262" s="499"/>
      <c r="N262" s="708" t="s">
        <v>2796</v>
      </c>
      <c r="O262" s="546" t="str">
        <f>IFERROR(VLOOKUP(P262,constant_ag_extr!$D$7:$E$594,2,FALSE),"")</f>
        <v>Tangerines, mandarins, clem.</v>
      </c>
      <c r="P262" s="547">
        <f t="shared" si="26"/>
        <v>495</v>
      </c>
      <c r="Q262" s="590">
        <f t="shared" si="27"/>
        <v>0.45</v>
      </c>
    </row>
    <row r="263" spans="1:17" ht="12.75" customHeight="1">
      <c r="A263" s="84" t="s">
        <v>566</v>
      </c>
      <c r="B263" s="399">
        <v>497</v>
      </c>
      <c r="C263" s="24" t="s">
        <v>999</v>
      </c>
      <c r="D263" s="499">
        <v>106106</v>
      </c>
      <c r="E263" s="499">
        <v>12</v>
      </c>
      <c r="F263" s="2">
        <f t="shared" ref="F263:F326" si="30">IFERROR(VLOOKUP(P263,crop_efp,4,FALSE)*Q263,0)</f>
        <v>15.172821854076854</v>
      </c>
      <c r="G263" s="2">
        <f t="shared" ref="G263:G326" si="31">VLOOKUP("Crop Land",iyf,2,FALSE)</f>
        <v>1</v>
      </c>
      <c r="H263" s="2">
        <f t="shared" ref="H263:H326" si="32">VLOOKUP("Crop Land",eqf,2,FALSE)</f>
        <v>2.4993969139811365</v>
      </c>
      <c r="I263" s="25">
        <f t="shared" si="28"/>
        <v>17478.687320356588</v>
      </c>
      <c r="J263" s="343">
        <f t="shared" si="29"/>
        <v>1.9767425767089426</v>
      </c>
      <c r="L263" s="713">
        <v>3547320</v>
      </c>
      <c r="M263" s="499">
        <v>3598230</v>
      </c>
      <c r="N263" s="708" t="s">
        <v>413</v>
      </c>
      <c r="O263" s="546" t="str">
        <f>IFERROR(VLOOKUP(P263,constant_ag_extr!$D$7:$E$594,2,FALSE),"")</f>
        <v>Lemons and limes</v>
      </c>
      <c r="P263" s="547">
        <f t="shared" ref="P263:P326" si="33">IFERROR(VLOOKUP(B263,constant_ag_extr,3,FALSE),"")</f>
        <v>497</v>
      </c>
      <c r="Q263" s="590">
        <f t="shared" ref="Q263:Q326" si="34">IFERROR(VLOOKUP(B263,constant_ag_extr,14,FALSE),"")</f>
        <v>1</v>
      </c>
    </row>
    <row r="264" spans="1:17" ht="12.75" customHeight="1">
      <c r="A264" s="84" t="s">
        <v>4988</v>
      </c>
      <c r="B264" s="399">
        <v>498</v>
      </c>
      <c r="C264" s="24" t="s">
        <v>3266</v>
      </c>
      <c r="D264" s="499">
        <v>7221</v>
      </c>
      <c r="E264" s="499"/>
      <c r="F264" s="2">
        <f t="shared" si="30"/>
        <v>5.9174005230899738</v>
      </c>
      <c r="G264" s="2">
        <f t="shared" si="31"/>
        <v>1</v>
      </c>
      <c r="H264" s="2">
        <f t="shared" si="32"/>
        <v>2.4993969139811365</v>
      </c>
      <c r="I264" s="25">
        <f t="shared" si="28"/>
        <v>3050.0124244477083</v>
      </c>
      <c r="J264" s="343">
        <f t="shared" si="29"/>
        <v>0</v>
      </c>
      <c r="L264" s="713">
        <v>134204</v>
      </c>
      <c r="M264" s="499">
        <v>40161</v>
      </c>
      <c r="N264" s="708" t="s">
        <v>2796</v>
      </c>
      <c r="O264" s="546" t="str">
        <f>IFERROR(VLOOKUP(P264,constant_ag_extr!$D$7:$E$594,2,FALSE),"")</f>
        <v>Lemons and limes</v>
      </c>
      <c r="P264" s="547">
        <f t="shared" si="33"/>
        <v>497</v>
      </c>
      <c r="Q264" s="590">
        <f t="shared" si="34"/>
        <v>0.39</v>
      </c>
    </row>
    <row r="265" spans="1:17" ht="12.75" customHeight="1">
      <c r="A265" s="84" t="s">
        <v>7059</v>
      </c>
      <c r="B265" s="399">
        <v>499</v>
      </c>
      <c r="C265" s="24" t="s">
        <v>3266</v>
      </c>
      <c r="D265" s="499">
        <v>0</v>
      </c>
      <c r="E265" s="499">
        <v>0</v>
      </c>
      <c r="F265" s="2">
        <f t="shared" si="30"/>
        <v>1.8207386224892224</v>
      </c>
      <c r="G265" s="2">
        <f t="shared" si="31"/>
        <v>1</v>
      </c>
      <c r="H265" s="2">
        <f t="shared" si="32"/>
        <v>2.4993969139811365</v>
      </c>
      <c r="I265" s="25">
        <f t="shared" si="28"/>
        <v>0</v>
      </c>
      <c r="J265" s="343">
        <f t="shared" si="29"/>
        <v>0</v>
      </c>
      <c r="L265" s="713">
        <v>199417</v>
      </c>
      <c r="M265" s="499">
        <v>125576</v>
      </c>
      <c r="N265" s="708" t="s">
        <v>2796</v>
      </c>
      <c r="O265" s="546" t="str">
        <f>IFERROR(VLOOKUP(P265,constant_ag_extr!$D$7:$E$594,2,FALSE),"")</f>
        <v>Lemons and limes</v>
      </c>
      <c r="P265" s="547">
        <f t="shared" si="33"/>
        <v>497</v>
      </c>
      <c r="Q265" s="590">
        <f t="shared" si="34"/>
        <v>0.12</v>
      </c>
    </row>
    <row r="266" spans="1:17" ht="12.75" customHeight="1">
      <c r="A266" s="84" t="s">
        <v>4774</v>
      </c>
      <c r="B266" s="399">
        <v>507</v>
      </c>
      <c r="C266" s="24" t="s">
        <v>2364</v>
      </c>
      <c r="D266" s="499">
        <v>36073</v>
      </c>
      <c r="E266" s="499">
        <v>0</v>
      </c>
      <c r="F266" s="2">
        <f t="shared" si="30"/>
        <v>22.339858389385991</v>
      </c>
      <c r="G266" s="2">
        <f t="shared" si="31"/>
        <v>1</v>
      </c>
      <c r="H266" s="2">
        <f t="shared" si="32"/>
        <v>2.4993969139811365</v>
      </c>
      <c r="I266" s="25">
        <f t="shared" si="28"/>
        <v>4035.8691316001491</v>
      </c>
      <c r="J266" s="343">
        <f t="shared" si="29"/>
        <v>0</v>
      </c>
      <c r="L266" s="713">
        <v>1231480</v>
      </c>
      <c r="M266" s="499">
        <v>1260730</v>
      </c>
      <c r="N266" s="708" t="s">
        <v>413</v>
      </c>
      <c r="O266" s="546" t="str">
        <f>IFERROR(VLOOKUP(P266,constant_ag_extr!$D$7:$E$594,2,FALSE),"")</f>
        <v>Grapefruit (inc. pomelos)</v>
      </c>
      <c r="P266" s="547">
        <f t="shared" si="33"/>
        <v>507</v>
      </c>
      <c r="Q266" s="590">
        <f t="shared" si="34"/>
        <v>1</v>
      </c>
    </row>
    <row r="267" spans="1:17" ht="12.75" customHeight="1">
      <c r="A267" s="84" t="s">
        <v>7057</v>
      </c>
      <c r="B267" s="399">
        <v>509</v>
      </c>
      <c r="C267" s="24" t="s">
        <v>5068</v>
      </c>
      <c r="D267" s="499">
        <v>3919</v>
      </c>
      <c r="E267" s="499">
        <v>18</v>
      </c>
      <c r="F267" s="2">
        <f t="shared" si="30"/>
        <v>10.499733443011415</v>
      </c>
      <c r="G267" s="2">
        <f t="shared" si="31"/>
        <v>1</v>
      </c>
      <c r="H267" s="2">
        <f t="shared" si="32"/>
        <v>2.4993969139811365</v>
      </c>
      <c r="I267" s="25">
        <f t="shared" si="28"/>
        <v>932.89382621533889</v>
      </c>
      <c r="J267" s="343">
        <f t="shared" si="29"/>
        <v>4.2847891992539173</v>
      </c>
      <c r="L267" s="713">
        <v>131362</v>
      </c>
      <c r="M267" s="499">
        <v>128303</v>
      </c>
      <c r="N267" s="708" t="s">
        <v>2796</v>
      </c>
      <c r="O267" s="546" t="str">
        <f>IFERROR(VLOOKUP(P267,constant_ag_extr!$D$7:$E$594,2,FALSE),"")</f>
        <v>Grapefruit (inc. pomelos)</v>
      </c>
      <c r="P267" s="547">
        <f t="shared" si="33"/>
        <v>507</v>
      </c>
      <c r="Q267" s="590">
        <f t="shared" si="34"/>
        <v>0.47</v>
      </c>
    </row>
    <row r="268" spans="1:17" ht="12.75" customHeight="1">
      <c r="A268" s="84" t="s">
        <v>7058</v>
      </c>
      <c r="B268" s="399">
        <v>510</v>
      </c>
      <c r="C268" s="24" t="s">
        <v>3264</v>
      </c>
      <c r="D268" s="499">
        <v>1573</v>
      </c>
      <c r="E268" s="499">
        <v>5</v>
      </c>
      <c r="F268" s="2">
        <f t="shared" si="30"/>
        <v>3.1275801745140392</v>
      </c>
      <c r="G268" s="2">
        <f t="shared" si="31"/>
        <v>1</v>
      </c>
      <c r="H268" s="2">
        <f t="shared" si="32"/>
        <v>2.4993969139811365</v>
      </c>
      <c r="I268" s="25">
        <f t="shared" si="28"/>
        <v>1257.0585328969894</v>
      </c>
      <c r="J268" s="343">
        <f t="shared" si="29"/>
        <v>3.9957359596217077</v>
      </c>
      <c r="L268" s="713">
        <v>129497</v>
      </c>
      <c r="M268" s="499">
        <v>104238</v>
      </c>
      <c r="N268" s="708" t="s">
        <v>2796</v>
      </c>
      <c r="O268" s="546" t="str">
        <f>IFERROR(VLOOKUP(P268,constant_ag_extr!$D$7:$E$594,2,FALSE),"")</f>
        <v>Grapefruit (inc. pomelos)</v>
      </c>
      <c r="P268" s="547">
        <f t="shared" si="33"/>
        <v>507</v>
      </c>
      <c r="Q268" s="590">
        <f t="shared" si="34"/>
        <v>0.14000000000000001</v>
      </c>
    </row>
    <row r="269" spans="1:17" ht="12.75" customHeight="1">
      <c r="A269" s="84" t="s">
        <v>1848</v>
      </c>
      <c r="B269" s="399">
        <v>512</v>
      </c>
      <c r="C269" s="24" t="s">
        <v>5312</v>
      </c>
      <c r="D269" s="499"/>
      <c r="E269" s="499"/>
      <c r="F269" s="2">
        <f t="shared" si="30"/>
        <v>8.8245568497114775</v>
      </c>
      <c r="G269" s="2">
        <f t="shared" si="31"/>
        <v>1</v>
      </c>
      <c r="H269" s="2">
        <f t="shared" si="32"/>
        <v>2.4993969139811365</v>
      </c>
      <c r="I269" s="25">
        <f t="shared" si="28"/>
        <v>0</v>
      </c>
      <c r="J269" s="343">
        <f t="shared" si="29"/>
        <v>0</v>
      </c>
      <c r="L269" s="713"/>
      <c r="M269" s="499"/>
      <c r="N269" s="708" t="s">
        <v>413</v>
      </c>
      <c r="O269" s="546" t="str">
        <f>IFERROR(VLOOKUP(P269,constant_ag_extr!$D$7:$E$594,2,FALSE),"")</f>
        <v>Citrus fruit, nes</v>
      </c>
      <c r="P269" s="547">
        <f t="shared" si="33"/>
        <v>512</v>
      </c>
      <c r="Q269" s="590">
        <f t="shared" si="34"/>
        <v>1</v>
      </c>
    </row>
    <row r="270" spans="1:17" ht="12.75" customHeight="1">
      <c r="A270" s="84" t="s">
        <v>7054</v>
      </c>
      <c r="B270" s="399">
        <v>513</v>
      </c>
      <c r="C270" s="24" t="s">
        <v>3260</v>
      </c>
      <c r="D270" s="499">
        <v>9964.6904296875</v>
      </c>
      <c r="E270" s="499">
        <v>995</v>
      </c>
      <c r="F270" s="2">
        <f t="shared" si="30"/>
        <v>3.4415771713874763</v>
      </c>
      <c r="G270" s="2">
        <f t="shared" si="31"/>
        <v>1</v>
      </c>
      <c r="H270" s="2">
        <f t="shared" si="32"/>
        <v>2.4993969139811365</v>
      </c>
      <c r="I270" s="25">
        <f t="shared" si="28"/>
        <v>7236.7159788828822</v>
      </c>
      <c r="J270" s="343">
        <f t="shared" si="29"/>
        <v>722.60472613741626</v>
      </c>
      <c r="L270" s="713">
        <v>240523</v>
      </c>
      <c r="M270" s="499">
        <v>272554</v>
      </c>
      <c r="N270" s="708" t="s">
        <v>2796</v>
      </c>
      <c r="O270" s="546" t="str">
        <f>IFERROR(VLOOKUP(P270,constant_ag_extr!$D$7:$E$594,2,FALSE),"")</f>
        <v>Citrus fruit, nes</v>
      </c>
      <c r="P270" s="547">
        <f t="shared" si="33"/>
        <v>512</v>
      </c>
      <c r="Q270" s="590">
        <f t="shared" si="34"/>
        <v>0.39</v>
      </c>
    </row>
    <row r="271" spans="1:17" ht="12.75" customHeight="1">
      <c r="A271" s="84" t="s">
        <v>7053</v>
      </c>
      <c r="B271" s="399">
        <v>514</v>
      </c>
      <c r="C271" s="24" t="s">
        <v>3260</v>
      </c>
      <c r="D271" s="499">
        <v>13744</v>
      </c>
      <c r="E271" s="499">
        <v>433</v>
      </c>
      <c r="F271" s="2">
        <f t="shared" si="30"/>
        <v>1.0589468219653773</v>
      </c>
      <c r="G271" s="2">
        <f t="shared" si="31"/>
        <v>1</v>
      </c>
      <c r="H271" s="2">
        <f t="shared" si="32"/>
        <v>2.4993969139811365</v>
      </c>
      <c r="I271" s="25">
        <f t="shared" si="28"/>
        <v>32439.505434277493</v>
      </c>
      <c r="J271" s="343">
        <f t="shared" si="29"/>
        <v>1021.9954782481196</v>
      </c>
      <c r="L271" s="713">
        <v>189577</v>
      </c>
      <c r="M271" s="499">
        <v>172665</v>
      </c>
      <c r="N271" s="708" t="s">
        <v>2796</v>
      </c>
      <c r="O271" s="546" t="str">
        <f>IFERROR(VLOOKUP(P271,constant_ag_extr!$D$7:$E$594,2,FALSE),"")</f>
        <v>Citrus fruit, nes</v>
      </c>
      <c r="P271" s="547">
        <f t="shared" si="33"/>
        <v>512</v>
      </c>
      <c r="Q271" s="590">
        <f t="shared" si="34"/>
        <v>0.12</v>
      </c>
    </row>
    <row r="272" spans="1:17" ht="12.75" customHeight="1">
      <c r="A272" s="84" t="s">
        <v>774</v>
      </c>
      <c r="B272" s="399">
        <v>515</v>
      </c>
      <c r="C272" s="24" t="s">
        <v>952</v>
      </c>
      <c r="D272" s="499">
        <v>219208</v>
      </c>
      <c r="E272" s="499">
        <v>27452</v>
      </c>
      <c r="F272" s="2">
        <f t="shared" si="30"/>
        <v>16.863350096869443</v>
      </c>
      <c r="G272" s="2">
        <f t="shared" si="31"/>
        <v>1</v>
      </c>
      <c r="H272" s="2">
        <f t="shared" si="32"/>
        <v>2.4993969139811365</v>
      </c>
      <c r="I272" s="25">
        <f t="shared" si="28"/>
        <v>32489.854956026105</v>
      </c>
      <c r="J272" s="343">
        <f t="shared" si="29"/>
        <v>4068.7908208314871</v>
      </c>
      <c r="L272" s="713">
        <v>8339320</v>
      </c>
      <c r="M272" s="499">
        <v>8357470</v>
      </c>
      <c r="N272" s="708" t="s">
        <v>413</v>
      </c>
      <c r="O272" s="546" t="str">
        <f>IFERROR(VLOOKUP(P272,constant_ag_extr!$D$7:$E$594,2,FALSE),"")</f>
        <v>Apples</v>
      </c>
      <c r="P272" s="547">
        <f t="shared" si="33"/>
        <v>515</v>
      </c>
      <c r="Q272" s="590">
        <f t="shared" si="34"/>
        <v>1</v>
      </c>
    </row>
    <row r="273" spans="1:17" ht="12.75" customHeight="1">
      <c r="A273" s="84" t="s">
        <v>1847</v>
      </c>
      <c r="B273" s="399">
        <v>517</v>
      </c>
      <c r="C273" s="24" t="s">
        <v>1911</v>
      </c>
      <c r="D273" s="499">
        <v>35411</v>
      </c>
      <c r="E273" s="499">
        <v>26331</v>
      </c>
      <c r="F273" s="2">
        <f t="shared" si="30"/>
        <v>3.7099370213112772</v>
      </c>
      <c r="G273" s="2">
        <f t="shared" si="31"/>
        <v>1</v>
      </c>
      <c r="H273" s="2">
        <f t="shared" si="32"/>
        <v>2.4993969139811365</v>
      </c>
      <c r="I273" s="25">
        <f t="shared" si="28"/>
        <v>23856.508510137333</v>
      </c>
      <c r="J273" s="343">
        <f t="shared" si="29"/>
        <v>17739.282301556748</v>
      </c>
      <c r="L273" s="713">
        <v>1170010</v>
      </c>
      <c r="M273" s="499">
        <v>1262850</v>
      </c>
      <c r="N273" s="708" t="s">
        <v>2796</v>
      </c>
      <c r="O273" s="546" t="str">
        <f>IFERROR(VLOOKUP(P273,constant_ag_extr!$D$7:$E$594,2,FALSE),"")</f>
        <v>Apples</v>
      </c>
      <c r="P273" s="547">
        <f t="shared" si="33"/>
        <v>515</v>
      </c>
      <c r="Q273" s="590">
        <f t="shared" si="34"/>
        <v>0.22</v>
      </c>
    </row>
    <row r="274" spans="1:17" ht="12.75" customHeight="1">
      <c r="A274" s="84" t="s">
        <v>3252</v>
      </c>
      <c r="B274" s="399">
        <v>518</v>
      </c>
      <c r="C274" s="24" t="s">
        <v>1908</v>
      </c>
      <c r="D274" s="499">
        <v>17370</v>
      </c>
      <c r="E274" s="499">
        <v>6567</v>
      </c>
      <c r="F274" s="2">
        <f t="shared" si="30"/>
        <v>10.961177562965139</v>
      </c>
      <c r="G274" s="2">
        <f t="shared" si="31"/>
        <v>1</v>
      </c>
      <c r="H274" s="2">
        <f t="shared" si="32"/>
        <v>2.4993969139811365</v>
      </c>
      <c r="I274" s="25">
        <f t="shared" si="28"/>
        <v>3960.7536823906862</v>
      </c>
      <c r="J274" s="343">
        <f t="shared" si="29"/>
        <v>1497.4248377812112</v>
      </c>
      <c r="L274" s="713">
        <v>1043900</v>
      </c>
      <c r="M274" s="499">
        <v>1494760</v>
      </c>
      <c r="N274" s="708" t="s">
        <v>2796</v>
      </c>
      <c r="O274" s="546" t="str">
        <f>IFERROR(VLOOKUP(P274,constant_ag_extr!$D$7:$E$594,2,FALSE),"")</f>
        <v>Apples</v>
      </c>
      <c r="P274" s="547">
        <f t="shared" si="33"/>
        <v>515</v>
      </c>
      <c r="Q274" s="590">
        <f t="shared" si="34"/>
        <v>0.65</v>
      </c>
    </row>
    <row r="275" spans="1:17" ht="12.75" customHeight="1">
      <c r="A275" s="84" t="s">
        <v>3251</v>
      </c>
      <c r="B275" s="399">
        <v>519</v>
      </c>
      <c r="C275" s="24" t="s">
        <v>4406</v>
      </c>
      <c r="D275" s="499">
        <v>35265</v>
      </c>
      <c r="E275" s="499">
        <v>1960</v>
      </c>
      <c r="F275" s="2">
        <f t="shared" si="30"/>
        <v>3.7099370213112772</v>
      </c>
      <c r="G275" s="2">
        <f t="shared" si="31"/>
        <v>1</v>
      </c>
      <c r="H275" s="2">
        <f t="shared" si="32"/>
        <v>2.4993969139811365</v>
      </c>
      <c r="I275" s="25">
        <f t="shared" si="28"/>
        <v>23758.147824404645</v>
      </c>
      <c r="J275" s="343">
        <f t="shared" si="29"/>
        <v>1320.4585207949274</v>
      </c>
      <c r="L275" s="713">
        <v>3020650</v>
      </c>
      <c r="M275" s="499">
        <v>915193</v>
      </c>
      <c r="N275" s="708" t="s">
        <v>2796</v>
      </c>
      <c r="O275" s="546" t="str">
        <f>IFERROR(VLOOKUP(P275,constant_ag_extr!$D$7:$E$594,2,FALSE),"")</f>
        <v>Apples</v>
      </c>
      <c r="P275" s="547">
        <f t="shared" si="33"/>
        <v>515</v>
      </c>
      <c r="Q275" s="590">
        <f t="shared" si="34"/>
        <v>0.22</v>
      </c>
    </row>
    <row r="276" spans="1:17" ht="12.75" customHeight="1">
      <c r="A276" s="84" t="s">
        <v>2500</v>
      </c>
      <c r="B276" s="399">
        <v>521</v>
      </c>
      <c r="C276" s="24" t="s">
        <v>5093</v>
      </c>
      <c r="D276" s="499">
        <v>64298</v>
      </c>
      <c r="E276" s="499">
        <v>168</v>
      </c>
      <c r="F276" s="2">
        <f t="shared" si="30"/>
        <v>15.657243237373233</v>
      </c>
      <c r="G276" s="2">
        <f t="shared" si="31"/>
        <v>1</v>
      </c>
      <c r="H276" s="2">
        <f t="shared" si="32"/>
        <v>2.4993969139811365</v>
      </c>
      <c r="I276" s="25">
        <f t="shared" si="28"/>
        <v>10264.01776728866</v>
      </c>
      <c r="J276" s="343">
        <f t="shared" si="29"/>
        <v>26.818174514051684</v>
      </c>
      <c r="L276" s="713">
        <v>2681670</v>
      </c>
      <c r="M276" s="499">
        <v>2746780</v>
      </c>
      <c r="N276" s="708" t="s">
        <v>413</v>
      </c>
      <c r="O276" s="546" t="str">
        <f>IFERROR(VLOOKUP(P276,constant_ag_extr!$D$7:$E$594,2,FALSE),"")</f>
        <v>Pears</v>
      </c>
      <c r="P276" s="547">
        <f t="shared" si="33"/>
        <v>521</v>
      </c>
      <c r="Q276" s="590">
        <f t="shared" si="34"/>
        <v>1</v>
      </c>
    </row>
    <row r="277" spans="1:17" ht="12.75" customHeight="1">
      <c r="A277" s="84" t="s">
        <v>480</v>
      </c>
      <c r="B277" s="399">
        <v>523</v>
      </c>
      <c r="C277" s="24" t="s">
        <v>5382</v>
      </c>
      <c r="D277" s="499">
        <v>133</v>
      </c>
      <c r="E277" s="499"/>
      <c r="F277" s="2">
        <f t="shared" si="30"/>
        <v>6.8526692491604724</v>
      </c>
      <c r="G277" s="2">
        <f t="shared" si="31"/>
        <v>1</v>
      </c>
      <c r="H277" s="2">
        <f t="shared" si="32"/>
        <v>2.4993969139811365</v>
      </c>
      <c r="I277" s="25">
        <f t="shared" si="28"/>
        <v>48.509533653651275</v>
      </c>
      <c r="J277" s="343">
        <f t="shared" si="29"/>
        <v>0</v>
      </c>
      <c r="L277" s="713">
        <v>30645</v>
      </c>
      <c r="M277" s="499">
        <v>44777</v>
      </c>
      <c r="N277" s="708" t="s">
        <v>413</v>
      </c>
      <c r="O277" s="546" t="str">
        <f>IFERROR(VLOOKUP(P277,constant_ag_extr!$D$7:$E$594,2,FALSE),"")</f>
        <v>Quinces</v>
      </c>
      <c r="P277" s="547">
        <f t="shared" si="33"/>
        <v>523</v>
      </c>
      <c r="Q277" s="590">
        <f t="shared" si="34"/>
        <v>1</v>
      </c>
    </row>
    <row r="278" spans="1:17" ht="12.75" customHeight="1">
      <c r="A278" s="84" t="s">
        <v>2831</v>
      </c>
      <c r="B278" s="399">
        <v>526</v>
      </c>
      <c r="C278" s="24" t="s">
        <v>953</v>
      </c>
      <c r="D278" s="499">
        <v>2767</v>
      </c>
      <c r="E278" s="499">
        <v>10</v>
      </c>
      <c r="F278" s="2">
        <f t="shared" si="30"/>
        <v>6.5123262213999169</v>
      </c>
      <c r="G278" s="2">
        <f t="shared" si="31"/>
        <v>1</v>
      </c>
      <c r="H278" s="2">
        <f t="shared" si="32"/>
        <v>2.4993969139811365</v>
      </c>
      <c r="I278" s="25">
        <f t="shared" si="28"/>
        <v>1061.9602006821995</v>
      </c>
      <c r="J278" s="343">
        <f t="shared" si="29"/>
        <v>3.8379479605428237</v>
      </c>
      <c r="L278" s="713">
        <v>392620</v>
      </c>
      <c r="M278" s="499">
        <v>467943</v>
      </c>
      <c r="N278" s="708" t="s">
        <v>413</v>
      </c>
      <c r="O278" s="546" t="str">
        <f>IFERROR(VLOOKUP(P278,constant_ag_extr!$D$7:$E$594,2,FALSE),"")</f>
        <v>Apricots</v>
      </c>
      <c r="P278" s="547">
        <f t="shared" si="33"/>
        <v>526</v>
      </c>
      <c r="Q278" s="590">
        <f t="shared" si="34"/>
        <v>1</v>
      </c>
    </row>
    <row r="279" spans="1:17" ht="12.75" customHeight="1">
      <c r="A279" s="84" t="s">
        <v>3069</v>
      </c>
      <c r="B279" s="399">
        <v>527</v>
      </c>
      <c r="C279" s="24" t="s">
        <v>3070</v>
      </c>
      <c r="D279" s="499">
        <v>2724</v>
      </c>
      <c r="E279" s="499">
        <v>304</v>
      </c>
      <c r="F279" s="2">
        <f t="shared" si="30"/>
        <v>1.8885746042059757</v>
      </c>
      <c r="G279" s="2">
        <f t="shared" si="31"/>
        <v>1</v>
      </c>
      <c r="H279" s="2">
        <f t="shared" si="32"/>
        <v>2.4993969139811365</v>
      </c>
      <c r="I279" s="25">
        <f t="shared" ref="I279:I342" si="35">IFERROR((D279/F279)*H279*G279,0)</f>
        <v>3605.0242222478114</v>
      </c>
      <c r="J279" s="343">
        <f t="shared" ref="J279:J342" si="36">IFERROR((E279/F279)*H279*G279,0)</f>
        <v>402.32282069138574</v>
      </c>
      <c r="L279" s="713">
        <v>138936</v>
      </c>
      <c r="M279" s="499">
        <v>181355</v>
      </c>
      <c r="N279" s="708" t="s">
        <v>2796</v>
      </c>
      <c r="O279" s="546" t="str">
        <f>IFERROR(VLOOKUP(P279,constant_ag_extr!$D$7:$E$594,2,FALSE),"")</f>
        <v>Apricots</v>
      </c>
      <c r="P279" s="547">
        <f t="shared" si="33"/>
        <v>526</v>
      </c>
      <c r="Q279" s="590">
        <f t="shared" si="34"/>
        <v>0.28999999999999998</v>
      </c>
    </row>
    <row r="280" spans="1:17" ht="12.75" customHeight="1">
      <c r="A280" s="84" t="s">
        <v>7018</v>
      </c>
      <c r="B280" s="399">
        <v>530</v>
      </c>
      <c r="C280" s="24" t="s">
        <v>3902</v>
      </c>
      <c r="D280" s="499">
        <v>31</v>
      </c>
      <c r="E280" s="499">
        <v>2158</v>
      </c>
      <c r="F280" s="2">
        <f t="shared" si="30"/>
        <v>6.4903647997402745</v>
      </c>
      <c r="G280" s="2">
        <f t="shared" si="31"/>
        <v>1</v>
      </c>
      <c r="H280" s="2">
        <f t="shared" si="32"/>
        <v>2.4993969139811365</v>
      </c>
      <c r="I280" s="25">
        <f t="shared" si="35"/>
        <v>11.937896670540892</v>
      </c>
      <c r="J280" s="343">
        <f t="shared" si="36"/>
        <v>831.03164564604015</v>
      </c>
      <c r="L280" s="713">
        <v>75414</v>
      </c>
      <c r="M280" s="499">
        <v>67305</v>
      </c>
      <c r="N280" s="708" t="s">
        <v>413</v>
      </c>
      <c r="O280" s="546" t="str">
        <f>IFERROR(VLOOKUP(P280,constant_ag_extr!$D$7:$E$594,2,FALSE),"")</f>
        <v>Sour cherries</v>
      </c>
      <c r="P280" s="547">
        <f t="shared" si="33"/>
        <v>530</v>
      </c>
      <c r="Q280" s="590">
        <f t="shared" si="34"/>
        <v>1</v>
      </c>
    </row>
    <row r="281" spans="1:17" ht="12.75" customHeight="1">
      <c r="A281" s="84" t="s">
        <v>3742</v>
      </c>
      <c r="B281" s="399">
        <v>531</v>
      </c>
      <c r="C281" s="24" t="s">
        <v>3743</v>
      </c>
      <c r="D281" s="499">
        <v>27609</v>
      </c>
      <c r="E281" s="499">
        <v>10896</v>
      </c>
      <c r="F281" s="2">
        <f t="shared" si="30"/>
        <v>5.5157444500254424</v>
      </c>
      <c r="G281" s="2">
        <f t="shared" si="31"/>
        <v>1</v>
      </c>
      <c r="H281" s="2">
        <f t="shared" si="32"/>
        <v>2.4993969139811365</v>
      </c>
      <c r="I281" s="25">
        <f t="shared" si="35"/>
        <v>12510.70458816976</v>
      </c>
      <c r="J281" s="343">
        <f t="shared" si="36"/>
        <v>4937.3985726646279</v>
      </c>
      <c r="L281" s="713">
        <v>726672</v>
      </c>
      <c r="M281" s="499">
        <v>707866</v>
      </c>
      <c r="N281" s="708" t="s">
        <v>413</v>
      </c>
      <c r="O281" s="546" t="str">
        <f>IFERROR(VLOOKUP(P281,constant_ag_extr!$D$7:$E$594,2,FALSE),"")</f>
        <v>Cherries</v>
      </c>
      <c r="P281" s="547">
        <f t="shared" si="33"/>
        <v>531</v>
      </c>
      <c r="Q281" s="590">
        <f t="shared" si="34"/>
        <v>1</v>
      </c>
    </row>
    <row r="282" spans="1:17" ht="12.75" customHeight="1">
      <c r="A282" s="84" t="s">
        <v>4311</v>
      </c>
      <c r="B282" s="399">
        <v>534</v>
      </c>
      <c r="C282" s="24" t="s">
        <v>2499</v>
      </c>
      <c r="D282" s="499">
        <v>36791</v>
      </c>
      <c r="E282" s="499">
        <v>99</v>
      </c>
      <c r="F282" s="2">
        <f t="shared" si="30"/>
        <v>14.873153866452334</v>
      </c>
      <c r="G282" s="2">
        <f t="shared" si="31"/>
        <v>1</v>
      </c>
      <c r="H282" s="2">
        <f t="shared" si="32"/>
        <v>2.4993969139811365</v>
      </c>
      <c r="I282" s="25">
        <f t="shared" si="35"/>
        <v>6182.6370309859449</v>
      </c>
      <c r="J282" s="343">
        <f t="shared" si="36"/>
        <v>16.636706424604075</v>
      </c>
      <c r="L282" s="713">
        <v>1970320</v>
      </c>
      <c r="M282" s="499">
        <v>1959380</v>
      </c>
      <c r="N282" s="708" t="s">
        <v>413</v>
      </c>
      <c r="O282" s="546" t="str">
        <f>IFERROR(VLOOKUP(P282,constant_ag_extr!$D$7:$E$594,2,FALSE),"")</f>
        <v>Peaches and nectarines</v>
      </c>
      <c r="P282" s="547">
        <f t="shared" si="33"/>
        <v>534</v>
      </c>
      <c r="Q282" s="590">
        <f t="shared" si="34"/>
        <v>1</v>
      </c>
    </row>
    <row r="283" spans="1:17" ht="12.75" customHeight="1">
      <c r="A283" s="84" t="s">
        <v>3681</v>
      </c>
      <c r="B283" s="399">
        <v>536</v>
      </c>
      <c r="C283" s="24" t="s">
        <v>3723</v>
      </c>
      <c r="D283" s="499">
        <v>16480</v>
      </c>
      <c r="E283" s="499">
        <v>6</v>
      </c>
      <c r="F283" s="2">
        <f t="shared" si="30"/>
        <v>4.1716580459799628</v>
      </c>
      <c r="G283" s="2">
        <f t="shared" si="31"/>
        <v>1</v>
      </c>
      <c r="H283" s="2">
        <f t="shared" si="32"/>
        <v>2.4993969139811365</v>
      </c>
      <c r="I283" s="25">
        <f t="shared" si="35"/>
        <v>9873.7865588245222</v>
      </c>
      <c r="J283" s="343">
        <f t="shared" si="36"/>
        <v>3.5948252034555299</v>
      </c>
      <c r="L283" s="713">
        <v>726160</v>
      </c>
      <c r="M283" s="499">
        <v>757437</v>
      </c>
      <c r="N283" s="708" t="s">
        <v>413</v>
      </c>
      <c r="O283" s="546" t="str">
        <f>IFERROR(VLOOKUP(P283,constant_ag_extr!$D$7:$E$594,2,FALSE),"")</f>
        <v>Plums and sloes</v>
      </c>
      <c r="P283" s="547">
        <f t="shared" si="33"/>
        <v>536</v>
      </c>
      <c r="Q283" s="590">
        <f t="shared" si="34"/>
        <v>1</v>
      </c>
    </row>
    <row r="284" spans="1:17" ht="12.75" customHeight="1">
      <c r="A284" s="84" t="s">
        <v>3675</v>
      </c>
      <c r="B284" s="399">
        <v>537</v>
      </c>
      <c r="C284" s="24" t="s">
        <v>3676</v>
      </c>
      <c r="D284" s="499">
        <v>3698</v>
      </c>
      <c r="E284" s="499">
        <v>73</v>
      </c>
      <c r="F284" s="2">
        <f t="shared" si="30"/>
        <v>1.4600803160929869</v>
      </c>
      <c r="G284" s="2">
        <f t="shared" si="31"/>
        <v>1</v>
      </c>
      <c r="H284" s="2">
        <f t="shared" si="32"/>
        <v>2.4993969139811365</v>
      </c>
      <c r="I284" s="25">
        <f t="shared" si="35"/>
        <v>6330.3160011326436</v>
      </c>
      <c r="J284" s="343">
        <f t="shared" si="36"/>
        <v>124.96297135821605</v>
      </c>
      <c r="L284" s="713">
        <v>200919</v>
      </c>
      <c r="M284" s="499">
        <v>224880</v>
      </c>
      <c r="N284" s="708" t="s">
        <v>2796</v>
      </c>
      <c r="O284" s="546" t="str">
        <f>IFERROR(VLOOKUP(P284,constant_ag_extr!$D$7:$E$594,2,FALSE),"")</f>
        <v>Plums and sloes</v>
      </c>
      <c r="P284" s="547">
        <f t="shared" si="33"/>
        <v>536</v>
      </c>
      <c r="Q284" s="590">
        <f t="shared" si="34"/>
        <v>0.35</v>
      </c>
    </row>
    <row r="285" spans="1:17" ht="12.75" customHeight="1">
      <c r="A285" s="84" t="s">
        <v>7065</v>
      </c>
      <c r="B285" s="399">
        <v>538</v>
      </c>
      <c r="C285" s="24" t="s">
        <v>3263</v>
      </c>
      <c r="D285" s="499"/>
      <c r="E285" s="499"/>
      <c r="F285" s="2">
        <f t="shared" si="30"/>
        <v>0.83433160919599259</v>
      </c>
      <c r="G285" s="2">
        <f t="shared" si="31"/>
        <v>1</v>
      </c>
      <c r="H285" s="2">
        <f t="shared" si="32"/>
        <v>2.4993969139811365</v>
      </c>
      <c r="I285" s="25">
        <f t="shared" si="35"/>
        <v>0</v>
      </c>
      <c r="J285" s="343">
        <f t="shared" si="36"/>
        <v>0</v>
      </c>
      <c r="L285" s="713">
        <v>0</v>
      </c>
      <c r="M285" s="499">
        <v>0</v>
      </c>
      <c r="N285" s="708" t="s">
        <v>2796</v>
      </c>
      <c r="O285" s="546" t="str">
        <f>IFERROR(VLOOKUP(P285,constant_ag_extr!$D$7:$E$594,2,FALSE),"")</f>
        <v>Plums and sloes</v>
      </c>
      <c r="P285" s="547">
        <f t="shared" si="33"/>
        <v>536</v>
      </c>
      <c r="Q285" s="590">
        <f t="shared" si="34"/>
        <v>0.2</v>
      </c>
    </row>
    <row r="286" spans="1:17" ht="12.75" customHeight="1">
      <c r="A286" s="84" t="s">
        <v>7064</v>
      </c>
      <c r="B286" s="399">
        <v>539</v>
      </c>
      <c r="C286" s="24" t="s">
        <v>3263</v>
      </c>
      <c r="D286" s="499"/>
      <c r="E286" s="499"/>
      <c r="F286" s="2">
        <f t="shared" si="30"/>
        <v>0.41716580459799629</v>
      </c>
      <c r="G286" s="2">
        <f t="shared" si="31"/>
        <v>1</v>
      </c>
      <c r="H286" s="2">
        <f t="shared" si="32"/>
        <v>2.4993969139811365</v>
      </c>
      <c r="I286" s="25">
        <f t="shared" si="35"/>
        <v>0</v>
      </c>
      <c r="J286" s="343">
        <f t="shared" si="36"/>
        <v>0</v>
      </c>
      <c r="L286" s="713">
        <v>0</v>
      </c>
      <c r="M286" s="499">
        <v>0</v>
      </c>
      <c r="N286" s="708" t="s">
        <v>2796</v>
      </c>
      <c r="O286" s="546" t="str">
        <f>IFERROR(VLOOKUP(P286,constant_ag_extr!$D$7:$E$594,2,FALSE),"")</f>
        <v>Plums and sloes</v>
      </c>
      <c r="P286" s="547">
        <f t="shared" si="33"/>
        <v>536</v>
      </c>
      <c r="Q286" s="590">
        <f t="shared" si="34"/>
        <v>0.1</v>
      </c>
    </row>
    <row r="287" spans="1:17" ht="12.75" customHeight="1">
      <c r="A287" s="84" t="s">
        <v>666</v>
      </c>
      <c r="B287" s="399">
        <v>541</v>
      </c>
      <c r="C287" s="24" t="s">
        <v>518</v>
      </c>
      <c r="D287" s="499"/>
      <c r="E287" s="499"/>
      <c r="F287" s="2">
        <f t="shared" si="30"/>
        <v>7.2969822635009809</v>
      </c>
      <c r="G287" s="2">
        <f t="shared" si="31"/>
        <v>1</v>
      </c>
      <c r="H287" s="2">
        <f t="shared" si="32"/>
        <v>2.4993969139811365</v>
      </c>
      <c r="I287" s="25">
        <f t="shared" si="35"/>
        <v>0</v>
      </c>
      <c r="J287" s="343">
        <f t="shared" si="36"/>
        <v>0</v>
      </c>
      <c r="L287" s="713"/>
      <c r="M287" s="499"/>
      <c r="N287" s="708" t="s">
        <v>413</v>
      </c>
      <c r="O287" s="546" t="str">
        <f>IFERROR(VLOOKUP(P287,constant_ag_extr!$D$7:$E$594,2,FALSE),"")</f>
        <v>Stone fruit, nes</v>
      </c>
      <c r="P287" s="547">
        <f t="shared" si="33"/>
        <v>541</v>
      </c>
      <c r="Q287" s="590">
        <f t="shared" si="34"/>
        <v>1</v>
      </c>
    </row>
    <row r="288" spans="1:17" ht="12.75" customHeight="1">
      <c r="A288" s="84" t="s">
        <v>519</v>
      </c>
      <c r="B288" s="399">
        <v>544</v>
      </c>
      <c r="C288" s="24" t="s">
        <v>520</v>
      </c>
      <c r="D288" s="499">
        <v>116315</v>
      </c>
      <c r="E288" s="499">
        <v>1277</v>
      </c>
      <c r="F288" s="2">
        <f t="shared" si="30"/>
        <v>19.800143232584954</v>
      </c>
      <c r="G288" s="2">
        <f t="shared" si="31"/>
        <v>1</v>
      </c>
      <c r="H288" s="2">
        <f t="shared" si="32"/>
        <v>2.4993969139811365</v>
      </c>
      <c r="I288" s="25">
        <f t="shared" si="35"/>
        <v>14682.588334577522</v>
      </c>
      <c r="J288" s="343">
        <f t="shared" si="36"/>
        <v>161.19731163870088</v>
      </c>
      <c r="L288" s="713">
        <v>903582</v>
      </c>
      <c r="M288" s="499">
        <v>889679</v>
      </c>
      <c r="N288" s="708" t="s">
        <v>413</v>
      </c>
      <c r="O288" s="546" t="str">
        <f>IFERROR(VLOOKUP(P288,constant_ag_extr!$D$7:$E$594,2,FALSE),"")</f>
        <v>Strawberries</v>
      </c>
      <c r="P288" s="547">
        <f t="shared" si="33"/>
        <v>544</v>
      </c>
      <c r="Q288" s="590">
        <f t="shared" si="34"/>
        <v>1</v>
      </c>
    </row>
    <row r="289" spans="1:17" ht="12.75" customHeight="1">
      <c r="A289" s="84" t="s">
        <v>3598</v>
      </c>
      <c r="B289" s="399">
        <v>547</v>
      </c>
      <c r="C289" s="24" t="s">
        <v>1970</v>
      </c>
      <c r="D289" s="499"/>
      <c r="E289" s="499"/>
      <c r="F289" s="2">
        <f t="shared" si="30"/>
        <v>6.1550409203360585</v>
      </c>
      <c r="G289" s="2">
        <f t="shared" si="31"/>
        <v>1</v>
      </c>
      <c r="H289" s="2">
        <f t="shared" si="32"/>
        <v>2.4993969139811365</v>
      </c>
      <c r="I289" s="25">
        <f t="shared" si="35"/>
        <v>0</v>
      </c>
      <c r="J289" s="343">
        <f t="shared" si="36"/>
        <v>0</v>
      </c>
      <c r="L289" s="713"/>
      <c r="M289" s="499"/>
      <c r="N289" s="708" t="s">
        <v>413</v>
      </c>
      <c r="O289" s="546" t="str">
        <f>IFERROR(VLOOKUP(P289,constant_ag_extr!$D$7:$E$594,2,FALSE),"")</f>
        <v>Raspberries</v>
      </c>
      <c r="P289" s="547">
        <f t="shared" si="33"/>
        <v>547</v>
      </c>
      <c r="Q289" s="590">
        <f t="shared" si="34"/>
        <v>1</v>
      </c>
    </row>
    <row r="290" spans="1:17" ht="12.75" customHeight="1">
      <c r="A290" s="84" t="s">
        <v>5067</v>
      </c>
      <c r="B290" s="399">
        <v>549</v>
      </c>
      <c r="C290" s="24" t="s">
        <v>4773</v>
      </c>
      <c r="D290" s="499">
        <v>0</v>
      </c>
      <c r="E290" s="499">
        <v>0</v>
      </c>
      <c r="F290" s="2">
        <f t="shared" si="30"/>
        <v>4.8786983745816217</v>
      </c>
      <c r="G290" s="2">
        <f t="shared" si="31"/>
        <v>1</v>
      </c>
      <c r="H290" s="2">
        <f t="shared" si="32"/>
        <v>2.4993969139811365</v>
      </c>
      <c r="I290" s="25">
        <f t="shared" si="35"/>
        <v>0</v>
      </c>
      <c r="J290" s="343">
        <f t="shared" si="36"/>
        <v>0</v>
      </c>
      <c r="L290" s="713">
        <v>1715</v>
      </c>
      <c r="M290" s="499">
        <v>1031</v>
      </c>
      <c r="N290" s="708" t="s">
        <v>413</v>
      </c>
      <c r="O290" s="546" t="str">
        <f>IFERROR(VLOOKUP(P290,constant_ag_extr!$D$7:$E$594,2,FALSE),"")</f>
        <v>Gooseberries</v>
      </c>
      <c r="P290" s="547">
        <f t="shared" si="33"/>
        <v>549</v>
      </c>
      <c r="Q290" s="590">
        <f t="shared" si="34"/>
        <v>1</v>
      </c>
    </row>
    <row r="291" spans="1:17" ht="12.75" customHeight="1">
      <c r="A291" s="84" t="s">
        <v>807</v>
      </c>
      <c r="B291" s="399">
        <v>550</v>
      </c>
      <c r="C291" s="24" t="s">
        <v>808</v>
      </c>
      <c r="D291" s="499">
        <v>13</v>
      </c>
      <c r="E291" s="499">
        <v>66</v>
      </c>
      <c r="F291" s="2">
        <f t="shared" si="30"/>
        <v>4.5656177372104754</v>
      </c>
      <c r="G291" s="2">
        <f t="shared" si="31"/>
        <v>1</v>
      </c>
      <c r="H291" s="2">
        <f t="shared" si="32"/>
        <v>2.4993969139811365</v>
      </c>
      <c r="I291" s="25">
        <f t="shared" si="35"/>
        <v>7.1167061615646787</v>
      </c>
      <c r="J291" s="343">
        <f t="shared" si="36"/>
        <v>36.130969743328365</v>
      </c>
      <c r="L291" s="713">
        <v>18581</v>
      </c>
      <c r="M291" s="499">
        <v>15026</v>
      </c>
      <c r="N291" s="708" t="s">
        <v>413</v>
      </c>
      <c r="O291" s="546" t="str">
        <f>IFERROR(VLOOKUP(P291,constant_ag_extr!$D$7:$E$594,2,FALSE),"")</f>
        <v>Currants</v>
      </c>
      <c r="P291" s="547">
        <f t="shared" si="33"/>
        <v>550</v>
      </c>
      <c r="Q291" s="590">
        <f t="shared" si="34"/>
        <v>1</v>
      </c>
    </row>
    <row r="292" spans="1:17" ht="12.75" customHeight="1">
      <c r="A292" s="84" t="s">
        <v>3256</v>
      </c>
      <c r="B292" s="399">
        <v>552</v>
      </c>
      <c r="C292" s="24" t="s">
        <v>5374</v>
      </c>
      <c r="D292" s="499">
        <v>39139</v>
      </c>
      <c r="E292" s="499">
        <v>31672</v>
      </c>
      <c r="F292" s="2">
        <f t="shared" si="30"/>
        <v>5.3941000522584712</v>
      </c>
      <c r="G292" s="2">
        <f t="shared" si="31"/>
        <v>1</v>
      </c>
      <c r="H292" s="2">
        <f t="shared" si="32"/>
        <v>2.4993969139811365</v>
      </c>
      <c r="I292" s="25">
        <f t="shared" si="35"/>
        <v>18135.350636544004</v>
      </c>
      <c r="J292" s="343">
        <f t="shared" si="36"/>
        <v>14675.459908547016</v>
      </c>
      <c r="L292" s="713">
        <v>321050</v>
      </c>
      <c r="M292" s="499">
        <v>242613</v>
      </c>
      <c r="N292" s="708" t="s">
        <v>413</v>
      </c>
      <c r="O292" s="546" t="str">
        <f>IFERROR(VLOOKUP(P292,constant_ag_extr!$D$7:$E$594,2,FALSE),"")</f>
        <v>Blueberries</v>
      </c>
      <c r="P292" s="547">
        <f t="shared" si="33"/>
        <v>552</v>
      </c>
      <c r="Q292" s="590">
        <f t="shared" si="34"/>
        <v>1</v>
      </c>
    </row>
    <row r="293" spans="1:17" ht="12.75" customHeight="1">
      <c r="A293" s="84" t="s">
        <v>577</v>
      </c>
      <c r="B293" s="399">
        <v>554</v>
      </c>
      <c r="C293" s="24" t="s">
        <v>5375</v>
      </c>
      <c r="D293" s="499">
        <v>3454</v>
      </c>
      <c r="E293" s="499">
        <v>73603</v>
      </c>
      <c r="F293" s="2">
        <f t="shared" si="30"/>
        <v>16.672962077860689</v>
      </c>
      <c r="G293" s="2">
        <f t="shared" si="31"/>
        <v>1</v>
      </c>
      <c r="H293" s="2">
        <f t="shared" si="32"/>
        <v>2.4993969139811365</v>
      </c>
      <c r="I293" s="25">
        <f t="shared" si="35"/>
        <v>517.77943838510407</v>
      </c>
      <c r="J293" s="343">
        <f t="shared" si="36"/>
        <v>11033.61899347389</v>
      </c>
      <c r="L293" s="713">
        <v>181444</v>
      </c>
      <c r="M293" s="499">
        <v>221451</v>
      </c>
      <c r="N293" s="708" t="s">
        <v>413</v>
      </c>
      <c r="O293" s="546" t="str">
        <f>IFERROR(VLOOKUP(P293,constant_ag_extr!$D$7:$E$594,2,FALSE),"")</f>
        <v>Cranberries</v>
      </c>
      <c r="P293" s="547">
        <f t="shared" si="33"/>
        <v>554</v>
      </c>
      <c r="Q293" s="590">
        <f t="shared" si="34"/>
        <v>1</v>
      </c>
    </row>
    <row r="294" spans="1:17" ht="12.75" customHeight="1">
      <c r="A294" s="84" t="s">
        <v>1355</v>
      </c>
      <c r="B294" s="399">
        <v>558</v>
      </c>
      <c r="C294" s="24" t="s">
        <v>2558</v>
      </c>
      <c r="D294" s="499"/>
      <c r="E294" s="499"/>
      <c r="F294" s="2">
        <f t="shared" si="30"/>
        <v>6.7326821870138289</v>
      </c>
      <c r="G294" s="2">
        <f t="shared" si="31"/>
        <v>1</v>
      </c>
      <c r="H294" s="2">
        <f t="shared" si="32"/>
        <v>2.4993969139811365</v>
      </c>
      <c r="I294" s="25">
        <f t="shared" si="35"/>
        <v>0</v>
      </c>
      <c r="J294" s="343">
        <f t="shared" si="36"/>
        <v>0</v>
      </c>
      <c r="L294" s="713"/>
      <c r="M294" s="499"/>
      <c r="N294" s="708" t="s">
        <v>413</v>
      </c>
      <c r="O294" s="546" t="str">
        <f>IFERROR(VLOOKUP(P294,constant_ag_extr!$D$7:$E$594,2,FALSE),"")</f>
        <v>Berries Nes</v>
      </c>
      <c r="P294" s="547">
        <f t="shared" si="33"/>
        <v>558</v>
      </c>
      <c r="Q294" s="590">
        <f t="shared" si="34"/>
        <v>1</v>
      </c>
    </row>
    <row r="295" spans="1:17" ht="12.75" customHeight="1">
      <c r="A295" s="84" t="s">
        <v>4775</v>
      </c>
      <c r="B295" s="399">
        <v>560</v>
      </c>
      <c r="C295" s="24" t="s">
        <v>2365</v>
      </c>
      <c r="D295" s="499">
        <v>185582</v>
      </c>
      <c r="E295" s="499">
        <v>1589</v>
      </c>
      <c r="F295" s="2">
        <f t="shared" si="30"/>
        <v>10.641578687009698</v>
      </c>
      <c r="G295" s="2">
        <f t="shared" si="31"/>
        <v>1</v>
      </c>
      <c r="H295" s="2">
        <f t="shared" si="32"/>
        <v>2.4993969139811365</v>
      </c>
      <c r="I295" s="25">
        <f t="shared" si="35"/>
        <v>43587.807009937918</v>
      </c>
      <c r="J295" s="343">
        <f t="shared" si="36"/>
        <v>373.20982282113215</v>
      </c>
      <c r="L295" s="713">
        <v>4639700</v>
      </c>
      <c r="M295" s="499">
        <v>4802900</v>
      </c>
      <c r="N295" s="708" t="s">
        <v>413</v>
      </c>
      <c r="O295" s="546" t="str">
        <f>IFERROR(VLOOKUP(P295,constant_ag_extr!$D$7:$E$594,2,FALSE),"")</f>
        <v>Grapes</v>
      </c>
      <c r="P295" s="547">
        <f t="shared" si="33"/>
        <v>560</v>
      </c>
      <c r="Q295" s="590">
        <f t="shared" si="34"/>
        <v>1</v>
      </c>
    </row>
    <row r="296" spans="1:17" ht="12.75" customHeight="1">
      <c r="A296" s="84" t="s">
        <v>5385</v>
      </c>
      <c r="B296" s="399">
        <v>561</v>
      </c>
      <c r="C296" s="24" t="s">
        <v>5386</v>
      </c>
      <c r="D296" s="499">
        <v>24999</v>
      </c>
      <c r="E296" s="499">
        <v>400</v>
      </c>
      <c r="F296" s="2">
        <f t="shared" si="30"/>
        <v>2.6603946717524245</v>
      </c>
      <c r="G296" s="2">
        <f t="shared" si="31"/>
        <v>1</v>
      </c>
      <c r="H296" s="2">
        <f t="shared" si="32"/>
        <v>2.4993969139811365</v>
      </c>
      <c r="I296" s="25">
        <f t="shared" si="35"/>
        <v>23486.148170435452</v>
      </c>
      <c r="J296" s="343">
        <f t="shared" si="36"/>
        <v>375.79340246306572</v>
      </c>
      <c r="L296" s="713">
        <v>877666</v>
      </c>
      <c r="M296" s="499">
        <v>885744</v>
      </c>
      <c r="N296" s="708" t="s">
        <v>2796</v>
      </c>
      <c r="O296" s="546" t="str">
        <f>IFERROR(VLOOKUP(P296,constant_ag_extr!$D$7:$E$594,2,FALSE),"")</f>
        <v>Grapes</v>
      </c>
      <c r="P296" s="547">
        <f t="shared" si="33"/>
        <v>560</v>
      </c>
      <c r="Q296" s="590">
        <f t="shared" si="34"/>
        <v>0.25</v>
      </c>
    </row>
    <row r="297" spans="1:17" ht="12.75" customHeight="1">
      <c r="A297" s="84" t="s">
        <v>7056</v>
      </c>
      <c r="B297" s="399">
        <v>562</v>
      </c>
      <c r="C297" s="24" t="s">
        <v>3186</v>
      </c>
      <c r="D297" s="499">
        <v>24720</v>
      </c>
      <c r="E297" s="499">
        <v>4869</v>
      </c>
      <c r="F297" s="2">
        <f t="shared" si="30"/>
        <v>7.9811840152572735</v>
      </c>
      <c r="G297" s="2">
        <f t="shared" si="31"/>
        <v>1</v>
      </c>
      <c r="H297" s="2">
        <f t="shared" si="32"/>
        <v>2.4993969139811365</v>
      </c>
      <c r="I297" s="25">
        <f t="shared" si="35"/>
        <v>7741.344090739155</v>
      </c>
      <c r="J297" s="343">
        <f t="shared" si="36"/>
        <v>1524.7817304938894</v>
      </c>
      <c r="L297" s="713">
        <v>680820</v>
      </c>
      <c r="M297" s="499">
        <v>643926</v>
      </c>
      <c r="N297" s="708" t="s">
        <v>2796</v>
      </c>
      <c r="O297" s="546" t="str">
        <f>IFERROR(VLOOKUP(P297,constant_ag_extr!$D$7:$E$594,2,FALSE),"")</f>
        <v>Grapes</v>
      </c>
      <c r="P297" s="547">
        <f t="shared" si="33"/>
        <v>560</v>
      </c>
      <c r="Q297" s="590">
        <f t="shared" si="34"/>
        <v>0.75</v>
      </c>
    </row>
    <row r="298" spans="1:17" ht="12.75" customHeight="1">
      <c r="A298" s="84" t="s">
        <v>894</v>
      </c>
      <c r="B298" s="399">
        <v>563</v>
      </c>
      <c r="C298" s="24" t="e">
        <v>#N/A</v>
      </c>
      <c r="D298" s="499"/>
      <c r="E298" s="499"/>
      <c r="F298" s="2">
        <f t="shared" si="30"/>
        <v>9.1517576708283404</v>
      </c>
      <c r="G298" s="2">
        <f t="shared" si="31"/>
        <v>1</v>
      </c>
      <c r="H298" s="2">
        <f t="shared" si="32"/>
        <v>2.4993969139811365</v>
      </c>
      <c r="I298" s="25">
        <f t="shared" si="35"/>
        <v>0</v>
      </c>
      <c r="J298" s="343">
        <f t="shared" si="36"/>
        <v>0</v>
      </c>
      <c r="L298" s="713"/>
      <c r="M298" s="499"/>
      <c r="N298" s="708" t="s">
        <v>2796</v>
      </c>
      <c r="O298" s="546" t="str">
        <f>IFERROR(VLOOKUP(P298,constant_ag_extr!$D$7:$E$594,2,FALSE),"")</f>
        <v>Grapes</v>
      </c>
      <c r="P298" s="547">
        <f t="shared" si="33"/>
        <v>560</v>
      </c>
      <c r="Q298" s="590">
        <f t="shared" si="34"/>
        <v>0.86</v>
      </c>
    </row>
    <row r="299" spans="1:17" ht="12.75" customHeight="1">
      <c r="A299" s="84" t="s">
        <v>1152</v>
      </c>
      <c r="B299" s="399">
        <v>564</v>
      </c>
      <c r="C299" s="24" t="s">
        <v>1153</v>
      </c>
      <c r="D299" s="499">
        <v>421798</v>
      </c>
      <c r="E299" s="499">
        <v>96034</v>
      </c>
      <c r="F299" s="2">
        <f t="shared" si="30"/>
        <v>7.7199433760281808</v>
      </c>
      <c r="G299" s="2">
        <f t="shared" si="31"/>
        <v>1</v>
      </c>
      <c r="H299" s="2">
        <f t="shared" si="32"/>
        <v>2.4993969139811365</v>
      </c>
      <c r="I299" s="25">
        <f t="shared" si="35"/>
        <v>136560.66737445552</v>
      </c>
      <c r="J299" s="343">
        <f t="shared" si="36"/>
        <v>31091.819142429456</v>
      </c>
      <c r="L299" s="713">
        <v>10769200</v>
      </c>
      <c r="M299" s="499">
        <v>10598200</v>
      </c>
      <c r="N299" s="708" t="s">
        <v>2796</v>
      </c>
      <c r="O299" s="546" t="str">
        <f>IFERROR(VLOOKUP(P299,constant_ag_extr!$D$7:$E$594,2,FALSE),"")</f>
        <v>Grapes</v>
      </c>
      <c r="P299" s="547">
        <f t="shared" si="33"/>
        <v>560</v>
      </c>
      <c r="Q299" s="590">
        <f t="shared" si="34"/>
        <v>0.72545095075526789</v>
      </c>
    </row>
    <row r="300" spans="1:17" ht="12.75" customHeight="1">
      <c r="A300" s="84" t="s">
        <v>7113</v>
      </c>
      <c r="B300" s="399">
        <v>565</v>
      </c>
      <c r="C300" s="24" t="s">
        <v>3540</v>
      </c>
      <c r="D300" s="499">
        <v>2962</v>
      </c>
      <c r="E300" s="499">
        <v>37</v>
      </c>
      <c r="F300" s="2">
        <f t="shared" si="30"/>
        <v>5.4039603632197259</v>
      </c>
      <c r="G300" s="2">
        <f t="shared" si="31"/>
        <v>1</v>
      </c>
      <c r="H300" s="2">
        <f t="shared" si="32"/>
        <v>2.4993969139811365</v>
      </c>
      <c r="I300" s="25">
        <f t="shared" si="35"/>
        <v>1369.960762406708</v>
      </c>
      <c r="J300" s="343">
        <f t="shared" si="36"/>
        <v>17.112946728240445</v>
      </c>
      <c r="L300" s="713">
        <v>253500</v>
      </c>
      <c r="M300" s="499">
        <v>269563</v>
      </c>
      <c r="N300" s="708" t="s">
        <v>2796</v>
      </c>
      <c r="O300" s="546" t="str">
        <f>IFERROR(VLOOKUP(P300,constant_ag_extr!$D$7:$E$594,2,FALSE),"")</f>
        <v>Grapes</v>
      </c>
      <c r="P300" s="547">
        <f t="shared" si="33"/>
        <v>560</v>
      </c>
      <c r="Q300" s="590">
        <f t="shared" si="34"/>
        <v>0.50781566552868751</v>
      </c>
    </row>
    <row r="301" spans="1:17" ht="12.75" customHeight="1">
      <c r="A301" s="84" t="s">
        <v>1002</v>
      </c>
      <c r="B301" s="399">
        <v>566</v>
      </c>
      <c r="C301" s="24" t="s">
        <v>1003</v>
      </c>
      <c r="D301" s="499"/>
      <c r="E301" s="499"/>
      <c r="F301" s="2">
        <f t="shared" si="30"/>
        <v>60.665265123192057</v>
      </c>
      <c r="G301" s="2">
        <f t="shared" si="31"/>
        <v>1</v>
      </c>
      <c r="H301" s="2">
        <f t="shared" si="32"/>
        <v>2.4993969139811365</v>
      </c>
      <c r="I301" s="25">
        <f t="shared" si="35"/>
        <v>0</v>
      </c>
      <c r="J301" s="343">
        <f t="shared" si="36"/>
        <v>0</v>
      </c>
      <c r="L301" s="713"/>
      <c r="M301" s="499"/>
      <c r="N301" s="708" t="s">
        <v>2796</v>
      </c>
      <c r="O301" s="546" t="str">
        <f>IFERROR(VLOOKUP(P301,constant_ag_extr!$D$7:$E$594,2,FALSE),"")</f>
        <v>Grapes</v>
      </c>
      <c r="P301" s="547">
        <f t="shared" si="33"/>
        <v>560</v>
      </c>
      <c r="Q301" s="590">
        <f t="shared" si="34"/>
        <v>5.7007768215111607</v>
      </c>
    </row>
    <row r="302" spans="1:17" ht="12.75" customHeight="1">
      <c r="A302" s="84" t="s">
        <v>1149</v>
      </c>
      <c r="B302" s="399">
        <v>567</v>
      </c>
      <c r="C302" s="24" t="s">
        <v>1150</v>
      </c>
      <c r="D302" s="499">
        <v>227959</v>
      </c>
      <c r="E302" s="499">
        <v>346</v>
      </c>
      <c r="F302" s="2">
        <f t="shared" si="30"/>
        <v>29.385384730425592</v>
      </c>
      <c r="G302" s="2">
        <f t="shared" si="31"/>
        <v>1</v>
      </c>
      <c r="H302" s="2">
        <f t="shared" si="32"/>
        <v>2.4993969139811365</v>
      </c>
      <c r="I302" s="25">
        <f t="shared" si="35"/>
        <v>19389.231291033499</v>
      </c>
      <c r="J302" s="343">
        <f t="shared" si="36"/>
        <v>29.429301000169289</v>
      </c>
      <c r="L302" s="713">
        <v>4141250</v>
      </c>
      <c r="M302" s="499">
        <v>4127470</v>
      </c>
      <c r="N302" s="708" t="s">
        <v>413</v>
      </c>
      <c r="O302" s="546" t="str">
        <f>IFERROR(VLOOKUP(P302,constant_ag_extr!$D$7:$E$594,2,FALSE),"")</f>
        <v>Watermelons</v>
      </c>
      <c r="P302" s="547">
        <f t="shared" si="33"/>
        <v>567</v>
      </c>
      <c r="Q302" s="590">
        <f t="shared" si="34"/>
        <v>1</v>
      </c>
    </row>
    <row r="303" spans="1:17" ht="12.75" customHeight="1">
      <c r="A303" s="84" t="s">
        <v>7069</v>
      </c>
      <c r="B303" s="399">
        <v>568</v>
      </c>
      <c r="C303" s="24" t="s">
        <v>3098</v>
      </c>
      <c r="D303" s="499">
        <v>158795</v>
      </c>
      <c r="E303" s="499">
        <v>275</v>
      </c>
      <c r="F303" s="2">
        <f t="shared" si="30"/>
        <v>24.054418346651083</v>
      </c>
      <c r="G303" s="2">
        <f t="shared" si="31"/>
        <v>1</v>
      </c>
      <c r="H303" s="2">
        <f t="shared" si="32"/>
        <v>2.4993969139811365</v>
      </c>
      <c r="I303" s="25">
        <f t="shared" si="35"/>
        <v>16499.743508073261</v>
      </c>
      <c r="J303" s="343">
        <f t="shared" si="36"/>
        <v>28.574133094367877</v>
      </c>
      <c r="L303" s="713">
        <v>2313800</v>
      </c>
      <c r="M303" s="499">
        <v>2318630</v>
      </c>
      <c r="N303" s="708" t="s">
        <v>413</v>
      </c>
      <c r="O303" s="546" t="str">
        <f>IFERROR(VLOOKUP(P303,constant_ag_extr!$D$7:$E$594,2,FALSE),"")</f>
        <v>Other melons (inc.cantaloupes)</v>
      </c>
      <c r="P303" s="547">
        <f t="shared" si="33"/>
        <v>568</v>
      </c>
      <c r="Q303" s="590">
        <f t="shared" si="34"/>
        <v>1</v>
      </c>
    </row>
    <row r="304" spans="1:17" ht="12.75" customHeight="1">
      <c r="A304" s="84" t="s">
        <v>813</v>
      </c>
      <c r="B304" s="399">
        <v>569</v>
      </c>
      <c r="C304" s="24" t="s">
        <v>841</v>
      </c>
      <c r="D304" s="499">
        <v>1546</v>
      </c>
      <c r="E304" s="499"/>
      <c r="F304" s="2">
        <f t="shared" si="30"/>
        <v>3.8880136661503757</v>
      </c>
      <c r="G304" s="2">
        <f t="shared" si="31"/>
        <v>1</v>
      </c>
      <c r="H304" s="2">
        <f t="shared" si="32"/>
        <v>2.4993969139811365</v>
      </c>
      <c r="I304" s="25">
        <f t="shared" si="35"/>
        <v>993.84106147979458</v>
      </c>
      <c r="J304" s="343">
        <f t="shared" si="36"/>
        <v>0</v>
      </c>
      <c r="L304" s="713">
        <v>63389</v>
      </c>
      <c r="M304" s="499">
        <v>30881</v>
      </c>
      <c r="N304" s="708" t="s">
        <v>413</v>
      </c>
      <c r="O304" s="546" t="str">
        <f>IFERROR(VLOOKUP(P304,constant_ag_extr!$D$7:$E$594,2,FALSE),"")</f>
        <v>Figs</v>
      </c>
      <c r="P304" s="547">
        <f t="shared" si="33"/>
        <v>569</v>
      </c>
      <c r="Q304" s="590">
        <f t="shared" si="34"/>
        <v>1</v>
      </c>
    </row>
    <row r="305" spans="1:17" ht="12.75" customHeight="1">
      <c r="A305" s="84" t="s">
        <v>2142</v>
      </c>
      <c r="B305" s="399">
        <v>570</v>
      </c>
      <c r="C305" s="24" t="s">
        <v>2143</v>
      </c>
      <c r="D305" s="499">
        <v>2589</v>
      </c>
      <c r="E305" s="499">
        <v>259</v>
      </c>
      <c r="F305" s="2">
        <f t="shared" si="30"/>
        <v>1.3608047831526313</v>
      </c>
      <c r="G305" s="2">
        <f t="shared" si="31"/>
        <v>1</v>
      </c>
      <c r="H305" s="2">
        <f t="shared" si="32"/>
        <v>2.4993969139811365</v>
      </c>
      <c r="I305" s="25">
        <f t="shared" si="35"/>
        <v>4755.2291779175539</v>
      </c>
      <c r="J305" s="343">
        <f t="shared" si="36"/>
        <v>475.70658828916436</v>
      </c>
      <c r="L305" s="713">
        <v>84272</v>
      </c>
      <c r="M305" s="499">
        <v>131269</v>
      </c>
      <c r="N305" s="708" t="s">
        <v>2796</v>
      </c>
      <c r="O305" s="546" t="str">
        <f>IFERROR(VLOOKUP(P305,constant_ag_extr!$D$7:$E$594,2,FALSE),"")</f>
        <v>Figs</v>
      </c>
      <c r="P305" s="547">
        <f t="shared" si="33"/>
        <v>569</v>
      </c>
      <c r="Q305" s="590">
        <f t="shared" si="34"/>
        <v>0.35</v>
      </c>
    </row>
    <row r="306" spans="1:17" ht="12.75" customHeight="1">
      <c r="A306" s="84" t="s">
        <v>4992</v>
      </c>
      <c r="B306" s="399">
        <v>571</v>
      </c>
      <c r="C306" s="24" t="s">
        <v>1473</v>
      </c>
      <c r="D306" s="499"/>
      <c r="E306" s="499"/>
      <c r="F306" s="2">
        <f t="shared" si="30"/>
        <v>9.081160168119915</v>
      </c>
      <c r="G306" s="2">
        <f t="shared" si="31"/>
        <v>1</v>
      </c>
      <c r="H306" s="2">
        <f t="shared" si="32"/>
        <v>2.4993969139811365</v>
      </c>
      <c r="I306" s="25">
        <f t="shared" si="35"/>
        <v>0</v>
      </c>
      <c r="J306" s="343">
        <f t="shared" si="36"/>
        <v>0</v>
      </c>
      <c r="L306" s="713">
        <v>1797470</v>
      </c>
      <c r="M306" s="499">
        <v>2141760</v>
      </c>
      <c r="N306" s="708" t="s">
        <v>413</v>
      </c>
      <c r="O306" s="546" t="str">
        <f>IFERROR(VLOOKUP(P306,constant_ag_extr!$D$7:$E$594,2,FALSE),"")</f>
        <v>Mangoes, mangosteens, guavas</v>
      </c>
      <c r="P306" s="547">
        <f t="shared" si="33"/>
        <v>571</v>
      </c>
      <c r="Q306" s="590">
        <f t="shared" si="34"/>
        <v>1</v>
      </c>
    </row>
    <row r="307" spans="1:17" ht="12.75" customHeight="1">
      <c r="A307" s="84" t="s">
        <v>2340</v>
      </c>
      <c r="B307" s="399">
        <v>572</v>
      </c>
      <c r="C307" s="24" t="s">
        <v>2341</v>
      </c>
      <c r="D307" s="499">
        <v>94205</v>
      </c>
      <c r="E307" s="499">
        <v>17</v>
      </c>
      <c r="F307" s="2">
        <f t="shared" si="30"/>
        <v>8.9404016483394049</v>
      </c>
      <c r="G307" s="2">
        <f t="shared" si="31"/>
        <v>1</v>
      </c>
      <c r="H307" s="2">
        <f t="shared" si="32"/>
        <v>2.4993969139811365</v>
      </c>
      <c r="I307" s="25">
        <f t="shared" si="35"/>
        <v>26336.141880753941</v>
      </c>
      <c r="J307" s="343">
        <f t="shared" si="36"/>
        <v>4.7525546624151263</v>
      </c>
      <c r="L307" s="713">
        <v>2553290</v>
      </c>
      <c r="M307" s="499">
        <v>2516760</v>
      </c>
      <c r="N307" s="708" t="s">
        <v>413</v>
      </c>
      <c r="O307" s="546" t="str">
        <f>IFERROR(VLOOKUP(P307,constant_ag_extr!$D$7:$E$594,2,FALSE),"")</f>
        <v>Avocados</v>
      </c>
      <c r="P307" s="547">
        <f t="shared" si="33"/>
        <v>572</v>
      </c>
      <c r="Q307" s="590">
        <f t="shared" si="34"/>
        <v>1</v>
      </c>
    </row>
    <row r="308" spans="1:17" ht="12.75" customHeight="1">
      <c r="A308" s="84" t="s">
        <v>5104</v>
      </c>
      <c r="B308" s="399">
        <v>574</v>
      </c>
      <c r="C308" s="24" t="s">
        <v>2860</v>
      </c>
      <c r="D308" s="499">
        <v>126515</v>
      </c>
      <c r="E308" s="499">
        <v>429</v>
      </c>
      <c r="F308" s="2">
        <f t="shared" si="30"/>
        <v>22.863396956198955</v>
      </c>
      <c r="G308" s="2">
        <f t="shared" si="31"/>
        <v>1</v>
      </c>
      <c r="H308" s="2">
        <f t="shared" si="32"/>
        <v>2.4993969139811365</v>
      </c>
      <c r="I308" s="25">
        <f t="shared" si="35"/>
        <v>13830.455779520074</v>
      </c>
      <c r="J308" s="343">
        <f t="shared" si="36"/>
        <v>46.897723822583188</v>
      </c>
      <c r="L308" s="713">
        <v>3620780</v>
      </c>
      <c r="M308" s="499">
        <v>3969110</v>
      </c>
      <c r="N308" s="708" t="s">
        <v>413</v>
      </c>
      <c r="O308" s="546" t="str">
        <f>IFERROR(VLOOKUP(P308,constant_ag_extr!$D$7:$E$594,2,FALSE),"")</f>
        <v>Pineapples</v>
      </c>
      <c r="P308" s="547">
        <f t="shared" si="33"/>
        <v>574</v>
      </c>
      <c r="Q308" s="590">
        <f t="shared" si="34"/>
        <v>1</v>
      </c>
    </row>
    <row r="309" spans="1:17" ht="12.75" customHeight="1">
      <c r="A309" s="84" t="s">
        <v>7093</v>
      </c>
      <c r="B309" s="399">
        <v>575</v>
      </c>
      <c r="C309" s="24" t="s">
        <v>3674</v>
      </c>
      <c r="D309" s="499">
        <v>22823</v>
      </c>
      <c r="E309" s="499">
        <v>350</v>
      </c>
      <c r="F309" s="2">
        <f t="shared" si="30"/>
        <v>15.106017590041951</v>
      </c>
      <c r="G309" s="2">
        <f t="shared" si="31"/>
        <v>1</v>
      </c>
      <c r="H309" s="2">
        <f t="shared" si="32"/>
        <v>2.4993969139811365</v>
      </c>
      <c r="I309" s="25">
        <f t="shared" si="35"/>
        <v>3776.2259594742773</v>
      </c>
      <c r="J309" s="343">
        <f t="shared" si="36"/>
        <v>57.909963011698601</v>
      </c>
      <c r="L309" s="713">
        <v>988696</v>
      </c>
      <c r="M309" s="499">
        <v>1039300</v>
      </c>
      <c r="N309" s="708" t="s">
        <v>2796</v>
      </c>
      <c r="O309" s="546" t="str">
        <f>IFERROR(VLOOKUP(P309,constant_ag_extr!$D$7:$E$594,2,FALSE),"")</f>
        <v>Pineapples</v>
      </c>
      <c r="P309" s="547">
        <f t="shared" si="33"/>
        <v>574</v>
      </c>
      <c r="Q309" s="590">
        <f t="shared" si="34"/>
        <v>0.66070748887322517</v>
      </c>
    </row>
    <row r="310" spans="1:17" ht="12.75" customHeight="1">
      <c r="A310" s="84" t="s">
        <v>7062</v>
      </c>
      <c r="B310" s="399">
        <v>576</v>
      </c>
      <c r="C310" s="24" t="s">
        <v>3488</v>
      </c>
      <c r="D310" s="499">
        <v>4752</v>
      </c>
      <c r="E310" s="499">
        <v>423</v>
      </c>
      <c r="F310" s="2">
        <f t="shared" si="30"/>
        <v>21.471518980275732</v>
      </c>
      <c r="G310" s="2">
        <f t="shared" si="31"/>
        <v>1</v>
      </c>
      <c r="H310" s="2">
        <f t="shared" si="32"/>
        <v>2.4993969139811365</v>
      </c>
      <c r="I310" s="25">
        <f t="shared" si="35"/>
        <v>553.15761060728812</v>
      </c>
      <c r="J310" s="343">
        <f t="shared" si="36"/>
        <v>49.239408519966943</v>
      </c>
      <c r="L310" s="713">
        <v>326975</v>
      </c>
      <c r="M310" s="499">
        <v>369571</v>
      </c>
      <c r="N310" s="708" t="s">
        <v>2796</v>
      </c>
      <c r="O310" s="546" t="str">
        <f>IFERROR(VLOOKUP(P310,constant_ag_extr!$D$7:$E$594,2,FALSE),"")</f>
        <v>Pineapples</v>
      </c>
      <c r="P310" s="547">
        <f t="shared" si="33"/>
        <v>574</v>
      </c>
      <c r="Q310" s="590">
        <f t="shared" si="34"/>
        <v>0.93912199580011047</v>
      </c>
    </row>
    <row r="311" spans="1:17" ht="12.75" customHeight="1">
      <c r="A311" s="84" t="s">
        <v>809</v>
      </c>
      <c r="B311" s="399">
        <v>577</v>
      </c>
      <c r="C311" s="24" t="s">
        <v>810</v>
      </c>
      <c r="D311" s="499">
        <v>14337</v>
      </c>
      <c r="E311" s="499">
        <v>859</v>
      </c>
      <c r="F311" s="2">
        <f t="shared" si="30"/>
        <v>6.0505658839045955</v>
      </c>
      <c r="G311" s="2">
        <f t="shared" si="31"/>
        <v>1</v>
      </c>
      <c r="H311" s="2">
        <f t="shared" si="32"/>
        <v>2.4993969139811365</v>
      </c>
      <c r="I311" s="25">
        <f t="shared" si="35"/>
        <v>5922.3970523271109</v>
      </c>
      <c r="J311" s="343">
        <f t="shared" si="36"/>
        <v>354.83985966024886</v>
      </c>
      <c r="L311" s="713">
        <v>1402090</v>
      </c>
      <c r="M311" s="499">
        <v>1383340</v>
      </c>
      <c r="N311" s="708" t="s">
        <v>413</v>
      </c>
      <c r="O311" s="546" t="str">
        <f>IFERROR(VLOOKUP(P311,constant_ag_extr!$D$7:$E$594,2,FALSE),"")</f>
        <v>Dates</v>
      </c>
      <c r="P311" s="547">
        <f t="shared" si="33"/>
        <v>577</v>
      </c>
      <c r="Q311" s="590">
        <f t="shared" si="34"/>
        <v>1</v>
      </c>
    </row>
    <row r="312" spans="1:17" ht="12.75" customHeight="1">
      <c r="A312" s="84" t="s">
        <v>7063</v>
      </c>
      <c r="B312" s="399">
        <v>580</v>
      </c>
      <c r="C312" s="24" t="s">
        <v>1710</v>
      </c>
      <c r="D312" s="499">
        <v>3493</v>
      </c>
      <c r="E312" s="499">
        <v>128</v>
      </c>
      <c r="F312" s="2">
        <f t="shared" si="30"/>
        <v>1.8290717564959165</v>
      </c>
      <c r="G312" s="2">
        <f t="shared" si="31"/>
        <v>1</v>
      </c>
      <c r="H312" s="2">
        <f t="shared" si="32"/>
        <v>2.4993969139811365</v>
      </c>
      <c r="I312" s="25">
        <f t="shared" si="35"/>
        <v>4773.1278937145416</v>
      </c>
      <c r="J312" s="343">
        <f t="shared" si="36"/>
        <v>174.90992567863191</v>
      </c>
      <c r="L312" s="713">
        <v>367360</v>
      </c>
      <c r="M312" s="499">
        <v>393127</v>
      </c>
      <c r="N312" s="708" t="s">
        <v>2796</v>
      </c>
      <c r="O312" s="546" t="str">
        <f>IFERROR(VLOOKUP(P312,constant_ag_extr!$D$7:$E$594,2,FALSE),"")</f>
        <v>Pineapples</v>
      </c>
      <c r="P312" s="547">
        <f t="shared" si="33"/>
        <v>574</v>
      </c>
      <c r="Q312" s="590">
        <f t="shared" si="34"/>
        <v>0.08</v>
      </c>
    </row>
    <row r="313" spans="1:17" ht="12.75" customHeight="1">
      <c r="A313" s="84" t="s">
        <v>4990</v>
      </c>
      <c r="B313" s="399">
        <v>583</v>
      </c>
      <c r="C313" s="24" t="e">
        <v>#N/A</v>
      </c>
      <c r="D313" s="499"/>
      <c r="E313" s="499"/>
      <c r="F313" s="2">
        <f t="shared" si="30"/>
        <v>9.2716088579193947</v>
      </c>
      <c r="G313" s="2">
        <f t="shared" si="31"/>
        <v>1</v>
      </c>
      <c r="H313" s="2">
        <f t="shared" si="32"/>
        <v>2.4993969139811365</v>
      </c>
      <c r="I313" s="25">
        <f t="shared" si="35"/>
        <v>0</v>
      </c>
      <c r="J313" s="343">
        <f t="shared" si="36"/>
        <v>0</v>
      </c>
      <c r="L313" s="713"/>
      <c r="M313" s="499"/>
      <c r="N313" s="708" t="s">
        <v>2796</v>
      </c>
      <c r="O313" s="546" t="str">
        <f>IFERROR(VLOOKUP(P313,constant_ag_extr!$D$7:$E$594,2,FALSE),"")</f>
        <v>Mangoes, mangosteens, guavas</v>
      </c>
      <c r="P313" s="547">
        <f t="shared" si="33"/>
        <v>571</v>
      </c>
      <c r="Q313" s="590">
        <f t="shared" si="34"/>
        <v>1.0209718456974324</v>
      </c>
    </row>
    <row r="314" spans="1:17" ht="12.75" customHeight="1">
      <c r="A314" s="84" t="s">
        <v>4991</v>
      </c>
      <c r="B314" s="399">
        <v>584</v>
      </c>
      <c r="C314" s="24" t="e">
        <v>#N/A</v>
      </c>
      <c r="D314" s="499"/>
      <c r="E314" s="499"/>
      <c r="F314" s="2">
        <f t="shared" si="30"/>
        <v>5.5369606526831578</v>
      </c>
      <c r="G314" s="2">
        <f t="shared" si="31"/>
        <v>1</v>
      </c>
      <c r="H314" s="2">
        <f t="shared" si="32"/>
        <v>2.4993969139811365</v>
      </c>
      <c r="I314" s="25">
        <f t="shared" si="35"/>
        <v>0</v>
      </c>
      <c r="J314" s="343">
        <f t="shared" si="36"/>
        <v>0</v>
      </c>
      <c r="L314" s="713"/>
      <c r="M314" s="499"/>
      <c r="N314" s="708" t="s">
        <v>2796</v>
      </c>
      <c r="O314" s="546" t="str">
        <f>IFERROR(VLOOKUP(P314,constant_ag_extr!$D$7:$E$594,2,FALSE),"")</f>
        <v>Mangoes, mangosteens, guavas</v>
      </c>
      <c r="P314" s="547">
        <f t="shared" si="33"/>
        <v>571</v>
      </c>
      <c r="Q314" s="590">
        <f t="shared" si="34"/>
        <v>0.60971952373674321</v>
      </c>
    </row>
    <row r="315" spans="1:17" ht="12.75" customHeight="1">
      <c r="A315" s="84" t="s">
        <v>5100</v>
      </c>
      <c r="B315" s="399">
        <v>587</v>
      </c>
      <c r="C315" s="24" t="s">
        <v>5101</v>
      </c>
      <c r="D315" s="499">
        <v>7820</v>
      </c>
      <c r="E315" s="499">
        <v>0</v>
      </c>
      <c r="F315" s="2">
        <f t="shared" si="30"/>
        <v>3.9179918942576242</v>
      </c>
      <c r="G315" s="2">
        <f t="shared" si="31"/>
        <v>1</v>
      </c>
      <c r="H315" s="2">
        <f t="shared" si="32"/>
        <v>2.4993969139811365</v>
      </c>
      <c r="I315" s="25">
        <f t="shared" si="35"/>
        <v>4988.5973209844788</v>
      </c>
      <c r="J315" s="343">
        <f t="shared" si="36"/>
        <v>0</v>
      </c>
      <c r="L315" s="713">
        <v>432624</v>
      </c>
      <c r="M315" s="499">
        <v>531691</v>
      </c>
      <c r="N315" s="708" t="s">
        <v>413</v>
      </c>
      <c r="O315" s="546" t="str">
        <f>IFERROR(VLOOKUP(P315,constant_ag_extr!$D$7:$E$594,2,FALSE),"")</f>
        <v>Persimmons</v>
      </c>
      <c r="P315" s="547">
        <f t="shared" si="33"/>
        <v>587</v>
      </c>
      <c r="Q315" s="590">
        <f t="shared" si="34"/>
        <v>1</v>
      </c>
    </row>
    <row r="316" spans="1:17" ht="12.75" customHeight="1">
      <c r="A316" s="84" t="s">
        <v>4503</v>
      </c>
      <c r="B316" s="399">
        <v>591</v>
      </c>
      <c r="C316" s="24" t="s">
        <v>4504</v>
      </c>
      <c r="D316" s="499"/>
      <c r="E316" s="499"/>
      <c r="F316" s="2">
        <f t="shared" si="30"/>
        <v>2.4385286563133652</v>
      </c>
      <c r="G316" s="2">
        <f t="shared" si="31"/>
        <v>1</v>
      </c>
      <c r="H316" s="2">
        <f t="shared" si="32"/>
        <v>2.4993969139811365</v>
      </c>
      <c r="I316" s="25">
        <f t="shared" si="35"/>
        <v>0</v>
      </c>
      <c r="J316" s="343">
        <f t="shared" si="36"/>
        <v>0</v>
      </c>
      <c r="L316" s="713">
        <v>254</v>
      </c>
      <c r="M316" s="499"/>
      <c r="N316" s="708" t="s">
        <v>413</v>
      </c>
      <c r="O316" s="546" t="str">
        <f>IFERROR(VLOOKUP(P316,constant_ag_extr!$D$7:$E$594,2,FALSE),"")</f>
        <v>Cashewapple</v>
      </c>
      <c r="P316" s="547">
        <f t="shared" si="33"/>
        <v>591</v>
      </c>
      <c r="Q316" s="590">
        <f t="shared" si="34"/>
        <v>1</v>
      </c>
    </row>
    <row r="317" spans="1:17" ht="12.75" customHeight="1">
      <c r="A317" s="84" t="s">
        <v>561</v>
      </c>
      <c r="B317" s="399">
        <v>592</v>
      </c>
      <c r="C317" s="24" t="s">
        <v>562</v>
      </c>
      <c r="D317" s="499">
        <v>17451</v>
      </c>
      <c r="E317" s="499">
        <v>12</v>
      </c>
      <c r="F317" s="2">
        <f t="shared" si="30"/>
        <v>14.696292295321824</v>
      </c>
      <c r="G317" s="2">
        <f t="shared" si="31"/>
        <v>1</v>
      </c>
      <c r="H317" s="2">
        <f t="shared" si="32"/>
        <v>2.4993969139811365</v>
      </c>
      <c r="I317" s="25">
        <f t="shared" si="35"/>
        <v>2967.88976902488</v>
      </c>
      <c r="J317" s="343">
        <f t="shared" si="36"/>
        <v>2.0408387615780503</v>
      </c>
      <c r="L317" s="713">
        <v>1622640</v>
      </c>
      <c r="M317" s="499">
        <v>1537800</v>
      </c>
      <c r="N317" s="708" t="s">
        <v>413</v>
      </c>
      <c r="O317" s="546" t="str">
        <f>IFERROR(VLOOKUP(P317,constant_ag_extr!$D$7:$E$594,2,FALSE),"")</f>
        <v>Kiwi fruit</v>
      </c>
      <c r="P317" s="547">
        <f t="shared" si="33"/>
        <v>592</v>
      </c>
      <c r="Q317" s="590">
        <f t="shared" si="34"/>
        <v>1</v>
      </c>
    </row>
    <row r="318" spans="1:17" ht="12.75" customHeight="1">
      <c r="A318" s="84" t="s">
        <v>928</v>
      </c>
      <c r="B318" s="399">
        <v>600</v>
      </c>
      <c r="C318" s="24" t="s">
        <v>929</v>
      </c>
      <c r="D318" s="499">
        <v>16344</v>
      </c>
      <c r="E318" s="499">
        <v>4</v>
      </c>
      <c r="F318" s="2">
        <f t="shared" si="30"/>
        <v>26.764320639444559</v>
      </c>
      <c r="G318" s="2">
        <f t="shared" si="31"/>
        <v>1</v>
      </c>
      <c r="H318" s="2">
        <f t="shared" si="32"/>
        <v>2.4993969139811365</v>
      </c>
      <c r="I318" s="25">
        <f t="shared" si="35"/>
        <v>1526.2910541395854</v>
      </c>
      <c r="J318" s="343">
        <f t="shared" si="36"/>
        <v>0.37354161873215497</v>
      </c>
      <c r="L318" s="713">
        <v>347633</v>
      </c>
      <c r="M318" s="499">
        <v>362171</v>
      </c>
      <c r="N318" s="708" t="s">
        <v>413</v>
      </c>
      <c r="O318" s="546" t="str">
        <f>IFERROR(VLOOKUP(P318,constant_ag_extr!$D$7:$E$594,2,FALSE),"")</f>
        <v>Papayas</v>
      </c>
      <c r="P318" s="547">
        <f t="shared" si="33"/>
        <v>600</v>
      </c>
      <c r="Q318" s="590">
        <f t="shared" si="34"/>
        <v>1</v>
      </c>
    </row>
    <row r="319" spans="1:17" ht="12.75" customHeight="1">
      <c r="A319" s="84" t="s">
        <v>801</v>
      </c>
      <c r="B319" s="399">
        <v>603</v>
      </c>
      <c r="C319" s="24" t="s">
        <v>5376</v>
      </c>
      <c r="D319" s="499">
        <v>65156</v>
      </c>
      <c r="E319" s="499">
        <v>762</v>
      </c>
      <c r="F319" s="2">
        <f t="shared" si="30"/>
        <v>6.5472691598457136</v>
      </c>
      <c r="G319" s="2">
        <f t="shared" si="31"/>
        <v>1</v>
      </c>
      <c r="H319" s="2">
        <f t="shared" si="32"/>
        <v>2.4993969139811365</v>
      </c>
      <c r="I319" s="25">
        <f t="shared" si="35"/>
        <v>24873.073238857422</v>
      </c>
      <c r="J319" s="343">
        <f t="shared" si="36"/>
        <v>290.89081294139231</v>
      </c>
      <c r="L319" s="713">
        <v>1044310</v>
      </c>
      <c r="M319" s="499">
        <v>980580</v>
      </c>
      <c r="N319" s="708" t="s">
        <v>413</v>
      </c>
      <c r="O319" s="546" t="str">
        <f>IFERROR(VLOOKUP(P319,constant_ag_extr!$D$7:$E$594,2,FALSE),"")</f>
        <v>Fruit, tropical fresh nes</v>
      </c>
      <c r="P319" s="547">
        <f t="shared" si="33"/>
        <v>603</v>
      </c>
      <c r="Q319" s="590">
        <f t="shared" si="34"/>
        <v>1</v>
      </c>
    </row>
    <row r="320" spans="1:17" ht="12.75" customHeight="1">
      <c r="A320" s="84" t="s">
        <v>3626</v>
      </c>
      <c r="B320" s="399">
        <v>604</v>
      </c>
      <c r="C320" s="24" t="s">
        <v>3627</v>
      </c>
      <c r="D320" s="499"/>
      <c r="E320" s="499"/>
      <c r="F320" s="2">
        <f t="shared" si="30"/>
        <v>2.2915442059459994</v>
      </c>
      <c r="G320" s="2">
        <f t="shared" si="31"/>
        <v>1</v>
      </c>
      <c r="H320" s="2">
        <f t="shared" si="32"/>
        <v>2.4993969139811365</v>
      </c>
      <c r="I320" s="25">
        <f t="shared" si="35"/>
        <v>0</v>
      </c>
      <c r="J320" s="343">
        <f t="shared" si="36"/>
        <v>0</v>
      </c>
      <c r="L320" s="713"/>
      <c r="M320" s="499"/>
      <c r="N320" s="708" t="s">
        <v>2796</v>
      </c>
      <c r="O320" s="546" t="str">
        <f>IFERROR(VLOOKUP(P320,constant_ag_extr!$D$7:$E$594,2,FALSE),"")</f>
        <v>Fruit, tropical fresh nes</v>
      </c>
      <c r="P320" s="547">
        <f t="shared" si="33"/>
        <v>603</v>
      </c>
      <c r="Q320" s="590">
        <f t="shared" si="34"/>
        <v>0.35</v>
      </c>
    </row>
    <row r="321" spans="1:17" ht="12.75" customHeight="1">
      <c r="A321" s="84" t="s">
        <v>7047</v>
      </c>
      <c r="B321" s="399">
        <v>619</v>
      </c>
      <c r="C321" s="24" t="s">
        <v>287</v>
      </c>
      <c r="D321" s="499">
        <v>23595</v>
      </c>
      <c r="E321" s="499">
        <v>367</v>
      </c>
      <c r="F321" s="2">
        <f t="shared" si="30"/>
        <v>6.3064195772038873</v>
      </c>
      <c r="G321" s="2">
        <f t="shared" si="31"/>
        <v>1</v>
      </c>
      <c r="H321" s="2">
        <f t="shared" si="32"/>
        <v>2.4993969139811365</v>
      </c>
      <c r="I321" s="25">
        <f t="shared" si="35"/>
        <v>9351.3077370491465</v>
      </c>
      <c r="J321" s="343">
        <f t="shared" si="36"/>
        <v>145.45157616007785</v>
      </c>
      <c r="L321" s="713">
        <v>2746710</v>
      </c>
      <c r="M321" s="499">
        <v>2687330</v>
      </c>
      <c r="N321" s="708" t="s">
        <v>413</v>
      </c>
      <c r="O321" s="546" t="str">
        <f>IFERROR(VLOOKUP(P321,constant_ag_extr!$D$7:$E$594,2,FALSE),"")</f>
        <v>Fruit Fresh Nes</v>
      </c>
      <c r="P321" s="547">
        <f t="shared" si="33"/>
        <v>619</v>
      </c>
      <c r="Q321" s="590">
        <f t="shared" si="34"/>
        <v>1</v>
      </c>
    </row>
    <row r="322" spans="1:17" ht="12.75" customHeight="1">
      <c r="A322" s="84" t="s">
        <v>7046</v>
      </c>
      <c r="B322" s="399">
        <v>620</v>
      </c>
      <c r="C322" s="24" t="s">
        <v>285</v>
      </c>
      <c r="D322" s="499">
        <v>6175</v>
      </c>
      <c r="E322" s="499">
        <v>1803</v>
      </c>
      <c r="F322" s="2">
        <f t="shared" si="30"/>
        <v>1.5766048943009718</v>
      </c>
      <c r="G322" s="2">
        <f t="shared" si="31"/>
        <v>1</v>
      </c>
      <c r="H322" s="2">
        <f t="shared" si="32"/>
        <v>2.4993969139811365</v>
      </c>
      <c r="I322" s="25">
        <f t="shared" si="35"/>
        <v>9789.2477688117779</v>
      </c>
      <c r="J322" s="343">
        <f t="shared" si="36"/>
        <v>2858.3018181647994</v>
      </c>
      <c r="L322" s="713">
        <v>463256</v>
      </c>
      <c r="M322" s="499">
        <v>634448</v>
      </c>
      <c r="N322" s="708" t="s">
        <v>2796</v>
      </c>
      <c r="O322" s="546" t="str">
        <f>IFERROR(VLOOKUP(P322,constant_ag_extr!$D$7:$E$594,2,FALSE),"")</f>
        <v>Fruit Fresh Nes</v>
      </c>
      <c r="P322" s="547">
        <f t="shared" si="33"/>
        <v>619</v>
      </c>
      <c r="Q322" s="590">
        <f t="shared" si="34"/>
        <v>0.25</v>
      </c>
    </row>
    <row r="323" spans="1:17" ht="12.75" customHeight="1">
      <c r="A323" s="84" t="s">
        <v>7055</v>
      </c>
      <c r="B323" s="399">
        <v>622</v>
      </c>
      <c r="C323" s="24" t="s">
        <v>3263</v>
      </c>
      <c r="D323" s="499">
        <v>96205</v>
      </c>
      <c r="E323" s="499">
        <v>45320</v>
      </c>
      <c r="F323" s="2">
        <f t="shared" si="30"/>
        <v>3.1532097886019437</v>
      </c>
      <c r="G323" s="2">
        <f t="shared" si="31"/>
        <v>1</v>
      </c>
      <c r="H323" s="2">
        <f t="shared" si="32"/>
        <v>2.4993969139811365</v>
      </c>
      <c r="I323" s="25">
        <f t="shared" si="35"/>
        <v>76257.051141581949</v>
      </c>
      <c r="J323" s="343">
        <f t="shared" si="36"/>
        <v>35922.972379153827</v>
      </c>
      <c r="L323" s="713">
        <v>3678190</v>
      </c>
      <c r="M323" s="499">
        <v>3784740</v>
      </c>
      <c r="N323" s="708" t="s">
        <v>2796</v>
      </c>
      <c r="O323" s="546" t="str">
        <f>IFERROR(VLOOKUP(P323,constant_ag_extr!$D$7:$E$594,2,FALSE),"")</f>
        <v>Fruit Fresh Nes</v>
      </c>
      <c r="P323" s="547">
        <f t="shared" si="33"/>
        <v>619</v>
      </c>
      <c r="Q323" s="590">
        <f t="shared" si="34"/>
        <v>0.5</v>
      </c>
    </row>
    <row r="324" spans="1:17" ht="12.75" customHeight="1">
      <c r="A324" s="84" t="s">
        <v>7048</v>
      </c>
      <c r="B324" s="399">
        <v>623</v>
      </c>
      <c r="C324" s="24" t="e">
        <v>#N/A</v>
      </c>
      <c r="D324" s="499">
        <v>343398</v>
      </c>
      <c r="E324" s="499">
        <v>265203</v>
      </c>
      <c r="F324" s="2">
        <f t="shared" si="30"/>
        <v>1.5766048943009718</v>
      </c>
      <c r="G324" s="2">
        <f t="shared" si="31"/>
        <v>1</v>
      </c>
      <c r="H324" s="2">
        <f t="shared" si="32"/>
        <v>2.4993969139811365</v>
      </c>
      <c r="I324" s="25">
        <f t="shared" si="35"/>
        <v>544389.976569138</v>
      </c>
      <c r="J324" s="343">
        <f t="shared" si="36"/>
        <v>420427.18640197412</v>
      </c>
      <c r="L324" s="713">
        <v>8590990</v>
      </c>
      <c r="M324" s="499">
        <v>8751740</v>
      </c>
      <c r="N324" s="708" t="s">
        <v>2796</v>
      </c>
      <c r="O324" s="546" t="str">
        <f>IFERROR(VLOOKUP(P324,constant_ag_extr!$D$7:$E$594,2,FALSE),"")</f>
        <v>Fruit Fresh Nes</v>
      </c>
      <c r="P324" s="547">
        <f t="shared" si="33"/>
        <v>619</v>
      </c>
      <c r="Q324" s="590">
        <f t="shared" si="34"/>
        <v>0.25</v>
      </c>
    </row>
    <row r="325" spans="1:17" ht="12.75" customHeight="1">
      <c r="A325" s="84" t="s">
        <v>2153</v>
      </c>
      <c r="B325" s="399">
        <v>624</v>
      </c>
      <c r="C325" s="24" t="s">
        <v>2154</v>
      </c>
      <c r="D325" s="499"/>
      <c r="E325" s="499"/>
      <c r="F325" s="2">
        <f t="shared" si="30"/>
        <v>3.1532097886019437</v>
      </c>
      <c r="G325" s="2">
        <f t="shared" si="31"/>
        <v>1</v>
      </c>
      <c r="H325" s="2">
        <f t="shared" si="32"/>
        <v>2.4993969139811365</v>
      </c>
      <c r="I325" s="25">
        <f t="shared" si="35"/>
        <v>0</v>
      </c>
      <c r="J325" s="343">
        <f t="shared" si="36"/>
        <v>0</v>
      </c>
      <c r="L325" s="713"/>
      <c r="M325" s="499"/>
      <c r="N325" s="708" t="s">
        <v>2796</v>
      </c>
      <c r="O325" s="546" t="str">
        <f>IFERROR(VLOOKUP(P325,constant_ag_extr!$D$7:$E$594,2,FALSE),"")</f>
        <v>Fruit Fresh Nes</v>
      </c>
      <c r="P325" s="547">
        <f t="shared" si="33"/>
        <v>619</v>
      </c>
      <c r="Q325" s="590">
        <f t="shared" si="34"/>
        <v>0.5</v>
      </c>
    </row>
    <row r="326" spans="1:17" ht="12.75" customHeight="1">
      <c r="A326" s="84" t="s">
        <v>2374</v>
      </c>
      <c r="B326" s="399">
        <v>625</v>
      </c>
      <c r="C326" s="24" t="s">
        <v>90</v>
      </c>
      <c r="D326" s="499"/>
      <c r="E326" s="499"/>
      <c r="F326" s="2">
        <f t="shared" si="30"/>
        <v>0.63064195772038878</v>
      </c>
      <c r="G326" s="2">
        <f t="shared" si="31"/>
        <v>1</v>
      </c>
      <c r="H326" s="2">
        <f t="shared" si="32"/>
        <v>2.4993969139811365</v>
      </c>
      <c r="I326" s="25">
        <f t="shared" si="35"/>
        <v>0</v>
      </c>
      <c r="J326" s="343">
        <f t="shared" si="36"/>
        <v>0</v>
      </c>
      <c r="L326" s="713"/>
      <c r="M326" s="499"/>
      <c r="N326" s="708" t="s">
        <v>2796</v>
      </c>
      <c r="O326" s="546" t="str">
        <f>IFERROR(VLOOKUP(P326,constant_ag_extr!$D$7:$E$594,2,FALSE),"")</f>
        <v>Fruit Fresh Nes</v>
      </c>
      <c r="P326" s="547">
        <f t="shared" si="33"/>
        <v>619</v>
      </c>
      <c r="Q326" s="590">
        <f t="shared" si="34"/>
        <v>0.1</v>
      </c>
    </row>
    <row r="327" spans="1:17" ht="12.75" customHeight="1">
      <c r="A327" s="84" t="s">
        <v>7045</v>
      </c>
      <c r="B327" s="399">
        <v>626</v>
      </c>
      <c r="C327" s="24" t="s">
        <v>3834</v>
      </c>
      <c r="D327" s="499">
        <v>1278</v>
      </c>
      <c r="E327" s="499">
        <v>151</v>
      </c>
      <c r="F327" s="2">
        <f t="shared" ref="F327:F390" si="37">IFERROR(VLOOKUP(P327,crop_efp,4,FALSE)*Q327,0)</f>
        <v>3.1532097886019437</v>
      </c>
      <c r="G327" s="2">
        <f t="shared" ref="G327:G390" si="38">VLOOKUP("Crop Land",iyf,2,FALSE)</f>
        <v>1</v>
      </c>
      <c r="H327" s="2">
        <f t="shared" ref="H327:H390" si="39">VLOOKUP("Crop Land",eqf,2,FALSE)</f>
        <v>2.4993969139811365</v>
      </c>
      <c r="I327" s="25">
        <f t="shared" si="35"/>
        <v>1013.0087974527493</v>
      </c>
      <c r="J327" s="343">
        <f t="shared" si="36"/>
        <v>119.69039782109948</v>
      </c>
      <c r="L327" s="713">
        <v>173103</v>
      </c>
      <c r="M327" s="499">
        <v>230493</v>
      </c>
      <c r="N327" s="708" t="s">
        <v>2796</v>
      </c>
      <c r="O327" s="546" t="str">
        <f>IFERROR(VLOOKUP(P327,constant_ag_extr!$D$7:$E$594,2,FALSE),"")</f>
        <v>Fruit Fresh Nes</v>
      </c>
      <c r="P327" s="547">
        <f t="shared" ref="P327:P390" si="40">IFERROR(VLOOKUP(B327,constant_ag_extr,3,FALSE),"")</f>
        <v>619</v>
      </c>
      <c r="Q327" s="590">
        <f t="shared" ref="Q327:Q390" si="41">IFERROR(VLOOKUP(B327,constant_ag_extr,14,FALSE),"")</f>
        <v>0.5</v>
      </c>
    </row>
    <row r="328" spans="1:17" ht="12.75" customHeight="1">
      <c r="A328" s="84" t="s">
        <v>7032</v>
      </c>
      <c r="B328" s="399">
        <v>628</v>
      </c>
      <c r="C328" s="24" t="s">
        <v>2905</v>
      </c>
      <c r="D328" s="499"/>
      <c r="E328" s="499"/>
      <c r="F328" s="2">
        <f t="shared" si="37"/>
        <v>5.0451356617631102</v>
      </c>
      <c r="G328" s="2">
        <f t="shared" si="38"/>
        <v>1</v>
      </c>
      <c r="H328" s="2">
        <f t="shared" si="39"/>
        <v>2.4993969139811365</v>
      </c>
      <c r="I328" s="25">
        <f t="shared" si="35"/>
        <v>0</v>
      </c>
      <c r="J328" s="343">
        <f t="shared" si="36"/>
        <v>0</v>
      </c>
      <c r="L328" s="713">
        <v>360262</v>
      </c>
      <c r="M328" s="499">
        <v>255865</v>
      </c>
      <c r="N328" s="708" t="s">
        <v>2796</v>
      </c>
      <c r="O328" s="546" t="str">
        <f>IFERROR(VLOOKUP(P328,constant_ag_extr!$D$7:$E$594,2,FALSE),"")</f>
        <v>Fruit Fresh Nes</v>
      </c>
      <c r="P328" s="547">
        <f t="shared" si="40"/>
        <v>619</v>
      </c>
      <c r="Q328" s="590">
        <f t="shared" si="41"/>
        <v>0.8</v>
      </c>
    </row>
    <row r="329" spans="1:17" ht="12.75" customHeight="1">
      <c r="A329" s="84" t="s">
        <v>6985</v>
      </c>
      <c r="B329" s="399">
        <v>629</v>
      </c>
      <c r="C329" s="24"/>
      <c r="D329" s="499"/>
      <c r="E329" s="499"/>
      <c r="F329" s="2">
        <f t="shared" si="37"/>
        <v>0</v>
      </c>
      <c r="G329" s="2">
        <f t="shared" si="38"/>
        <v>1</v>
      </c>
      <c r="H329" s="2">
        <f t="shared" si="39"/>
        <v>2.4993969139811365</v>
      </c>
      <c r="I329" s="25">
        <f t="shared" si="35"/>
        <v>0</v>
      </c>
      <c r="J329" s="343">
        <f t="shared" si="36"/>
        <v>0</v>
      </c>
      <c r="L329" s="713"/>
      <c r="M329" s="499"/>
      <c r="N329" s="708"/>
      <c r="O329" s="546">
        <f>IFERROR(VLOOKUP(P329,constant_ag_extr!$D$7:$E$594,2,FALSE),"")</f>
        <v>0</v>
      </c>
      <c r="P329" s="547" t="str">
        <f t="shared" si="40"/>
        <v/>
      </c>
      <c r="Q329" s="590" t="str">
        <f t="shared" si="41"/>
        <v/>
      </c>
    </row>
    <row r="330" spans="1:17" ht="12.75" customHeight="1">
      <c r="A330" s="84" t="s">
        <v>5305</v>
      </c>
      <c r="B330" s="399">
        <v>630</v>
      </c>
      <c r="C330" s="24" t="s">
        <v>5306</v>
      </c>
      <c r="D330" s="499"/>
      <c r="E330" s="499"/>
      <c r="F330" s="2">
        <f t="shared" si="37"/>
        <v>33.263583651268718</v>
      </c>
      <c r="G330" s="2">
        <f t="shared" si="38"/>
        <v>1</v>
      </c>
      <c r="H330" s="2">
        <f t="shared" si="39"/>
        <v>2.4993969139811365</v>
      </c>
      <c r="I330" s="25">
        <f t="shared" si="35"/>
        <v>0</v>
      </c>
      <c r="J330" s="343">
        <f t="shared" si="36"/>
        <v>0</v>
      </c>
      <c r="L330" s="713">
        <v>0</v>
      </c>
      <c r="M330" s="499">
        <v>0</v>
      </c>
      <c r="N330" s="708" t="s">
        <v>2796</v>
      </c>
      <c r="O330" s="546" t="str">
        <f>IFERROR(VLOOKUP(P330,constant_ag_extr!$D$7:$E$594,2,FALSE),"")</f>
        <v>Sugar cane</v>
      </c>
      <c r="P330" s="547">
        <f t="shared" si="40"/>
        <v>156</v>
      </c>
      <c r="Q330" s="590">
        <f t="shared" si="41"/>
        <v>0.5</v>
      </c>
    </row>
    <row r="331" spans="1:17" ht="12.75" customHeight="1">
      <c r="A331" s="84" t="s">
        <v>265</v>
      </c>
      <c r="B331" s="399">
        <v>631</v>
      </c>
      <c r="C331" s="24" t="s">
        <v>266</v>
      </c>
      <c r="D331" s="499">
        <v>134169</v>
      </c>
      <c r="E331" s="499">
        <v>174666</v>
      </c>
      <c r="F331" s="2">
        <f t="shared" si="37"/>
        <v>0</v>
      </c>
      <c r="G331" s="2">
        <f t="shared" si="38"/>
        <v>1</v>
      </c>
      <c r="H331" s="2">
        <f t="shared" si="39"/>
        <v>2.4993969139811365</v>
      </c>
      <c r="I331" s="25">
        <f t="shared" si="35"/>
        <v>0</v>
      </c>
      <c r="J331" s="343">
        <f t="shared" si="36"/>
        <v>0</v>
      </c>
      <c r="L331" s="713">
        <v>126508000</v>
      </c>
      <c r="M331" s="499">
        <v>21201600</v>
      </c>
      <c r="N331" s="708" t="s">
        <v>413</v>
      </c>
      <c r="O331" s="546">
        <f>IFERROR(VLOOKUP(P331,constant_ag_extr!$D$7:$E$594,2,FALSE),"")</f>
        <v>0</v>
      </c>
      <c r="P331" s="547" t="str">
        <f t="shared" si="40"/>
        <v/>
      </c>
      <c r="Q331" s="590">
        <f t="shared" si="41"/>
        <v>1</v>
      </c>
    </row>
    <row r="332" spans="1:17" ht="12.75" customHeight="1">
      <c r="A332" s="84" t="s">
        <v>2560</v>
      </c>
      <c r="B332" s="399">
        <v>633</v>
      </c>
      <c r="C332" s="24" t="s">
        <v>2561</v>
      </c>
      <c r="D332" s="499">
        <v>874700</v>
      </c>
      <c r="E332" s="499">
        <v>227473</v>
      </c>
      <c r="F332" s="2">
        <f t="shared" si="37"/>
        <v>0</v>
      </c>
      <c r="G332" s="2">
        <f t="shared" si="38"/>
        <v>1</v>
      </c>
      <c r="H332" s="2">
        <f t="shared" si="39"/>
        <v>2.4993969139811365</v>
      </c>
      <c r="I332" s="25">
        <f t="shared" si="35"/>
        <v>0</v>
      </c>
      <c r="J332" s="343">
        <f t="shared" si="36"/>
        <v>0</v>
      </c>
      <c r="L332" s="713">
        <v>22293800</v>
      </c>
      <c r="M332" s="499">
        <v>23518600</v>
      </c>
      <c r="N332" s="708" t="s">
        <v>413</v>
      </c>
      <c r="O332" s="546">
        <f>IFERROR(VLOOKUP(P332,constant_ag_extr!$D$7:$E$594,2,FALSE),"")</f>
        <v>0</v>
      </c>
      <c r="P332" s="547" t="str">
        <f t="shared" si="40"/>
        <v/>
      </c>
      <c r="Q332" s="590">
        <f t="shared" si="41"/>
        <v>1</v>
      </c>
    </row>
    <row r="333" spans="1:17" ht="12.75" customHeight="1">
      <c r="A333" s="84" t="s">
        <v>7014</v>
      </c>
      <c r="B333" s="399">
        <v>634</v>
      </c>
      <c r="C333" s="24" t="s">
        <v>2559</v>
      </c>
      <c r="D333" s="499">
        <v>104707</v>
      </c>
      <c r="E333" s="499">
        <v>183975</v>
      </c>
      <c r="F333" s="2">
        <f t="shared" si="37"/>
        <v>0</v>
      </c>
      <c r="G333" s="2">
        <f t="shared" si="38"/>
        <v>1</v>
      </c>
      <c r="H333" s="2">
        <f t="shared" si="39"/>
        <v>2.4993969139811365</v>
      </c>
      <c r="I333" s="25">
        <f t="shared" si="35"/>
        <v>0</v>
      </c>
      <c r="J333" s="343">
        <f t="shared" si="36"/>
        <v>0</v>
      </c>
      <c r="L333" s="713">
        <v>4720930</v>
      </c>
      <c r="M333" s="499">
        <v>5113360</v>
      </c>
      <c r="N333" s="708" t="s">
        <v>413</v>
      </c>
      <c r="O333" s="546" t="str">
        <f>IFERROR(VLOOKUP(P333,constant_ag_extr!$D$7:$E$594,2,FALSE),"")</f>
        <v>Beverages, distilled alcoholic</v>
      </c>
      <c r="P333" s="547">
        <f t="shared" si="40"/>
        <v>634</v>
      </c>
      <c r="Q333" s="590">
        <f t="shared" si="41"/>
        <v>1</v>
      </c>
    </row>
    <row r="334" spans="1:17" ht="12.75" customHeight="1">
      <c r="A334" s="84" t="s">
        <v>4433</v>
      </c>
      <c r="B334" s="399">
        <v>635</v>
      </c>
      <c r="C334" s="24" t="s">
        <v>4434</v>
      </c>
      <c r="D334" s="499">
        <v>106775</v>
      </c>
      <c r="E334" s="499">
        <v>30277</v>
      </c>
      <c r="F334" s="2">
        <f t="shared" si="37"/>
        <v>0</v>
      </c>
      <c r="G334" s="2">
        <f t="shared" si="38"/>
        <v>1</v>
      </c>
      <c r="H334" s="2">
        <f t="shared" si="39"/>
        <v>2.4993969139811365</v>
      </c>
      <c r="I334" s="25">
        <f t="shared" si="35"/>
        <v>0</v>
      </c>
      <c r="J334" s="343">
        <f t="shared" si="36"/>
        <v>0</v>
      </c>
      <c r="L334" s="713">
        <v>2713270</v>
      </c>
      <c r="M334" s="499">
        <v>2190380</v>
      </c>
      <c r="N334" s="708" t="s">
        <v>413</v>
      </c>
      <c r="O334" s="546">
        <f>IFERROR(VLOOKUP(P334,constant_ag_extr!$D$7:$E$594,2,FALSE),"")</f>
        <v>0</v>
      </c>
      <c r="P334" s="547" t="str">
        <f t="shared" si="40"/>
        <v/>
      </c>
      <c r="Q334" s="590">
        <f t="shared" si="41"/>
        <v>1</v>
      </c>
    </row>
    <row r="335" spans="1:17" ht="12.75" customHeight="1">
      <c r="A335" s="84" t="s">
        <v>1128</v>
      </c>
      <c r="B335" s="399">
        <v>636</v>
      </c>
      <c r="C335" s="24" t="s">
        <v>1129</v>
      </c>
      <c r="D335" s="499"/>
      <c r="E335" s="499"/>
      <c r="F335" s="2">
        <f t="shared" si="37"/>
        <v>0</v>
      </c>
      <c r="G335" s="2">
        <f t="shared" si="38"/>
        <v>1</v>
      </c>
      <c r="H335" s="2">
        <f t="shared" si="39"/>
        <v>2.4993969139811365</v>
      </c>
      <c r="I335" s="25">
        <f t="shared" si="35"/>
        <v>0</v>
      </c>
      <c r="J335" s="343">
        <f t="shared" si="36"/>
        <v>0</v>
      </c>
      <c r="L335" s="713"/>
      <c r="M335" s="499"/>
      <c r="N335" s="708" t="s">
        <v>413</v>
      </c>
      <c r="O335" s="546" t="str">
        <f>IFERROR(VLOOKUP(P335,constant_ag_extr!$D$7:$E$594,2,FALSE),"")</f>
        <v>Maize for forage and silage</v>
      </c>
      <c r="P335" s="547">
        <f t="shared" si="40"/>
        <v>636</v>
      </c>
      <c r="Q335" s="590">
        <f t="shared" si="41"/>
        <v>1</v>
      </c>
    </row>
    <row r="336" spans="1:17" ht="12.75" customHeight="1">
      <c r="A336" s="84" t="s">
        <v>6872</v>
      </c>
      <c r="B336" s="399">
        <v>639</v>
      </c>
      <c r="C336" s="24" t="s">
        <v>411</v>
      </c>
      <c r="D336" s="499"/>
      <c r="E336" s="499"/>
      <c r="F336" s="2">
        <f t="shared" si="37"/>
        <v>0</v>
      </c>
      <c r="G336" s="2">
        <f t="shared" si="38"/>
        <v>1</v>
      </c>
      <c r="H336" s="2">
        <f t="shared" si="39"/>
        <v>2.4993969139811365</v>
      </c>
      <c r="I336" s="25">
        <f t="shared" si="35"/>
        <v>0</v>
      </c>
      <c r="J336" s="343">
        <f t="shared" si="36"/>
        <v>0</v>
      </c>
      <c r="L336" s="713">
        <v>0</v>
      </c>
      <c r="M336" s="499">
        <v>0</v>
      </c>
      <c r="N336" s="708" t="s">
        <v>413</v>
      </c>
      <c r="O336" s="546" t="str">
        <f>IFERROR(VLOOKUP(P336,constant_ag_extr!$D$7:$E$594,2,FALSE),"")</f>
        <v>Forage and silage, grasses nes</v>
      </c>
      <c r="P336" s="547">
        <f t="shared" si="40"/>
        <v>639</v>
      </c>
      <c r="Q336" s="590">
        <f t="shared" si="41"/>
        <v>1</v>
      </c>
    </row>
    <row r="337" spans="1:17" ht="12.75" customHeight="1">
      <c r="A337" s="84" t="s">
        <v>7043</v>
      </c>
      <c r="B337" s="399">
        <v>640</v>
      </c>
      <c r="C337" s="24" t="s">
        <v>2515</v>
      </c>
      <c r="D337" s="499"/>
      <c r="E337" s="499"/>
      <c r="F337" s="2">
        <f t="shared" si="37"/>
        <v>0</v>
      </c>
      <c r="G337" s="2">
        <f t="shared" si="38"/>
        <v>1</v>
      </c>
      <c r="H337" s="2">
        <f t="shared" si="39"/>
        <v>2.4993969139811365</v>
      </c>
      <c r="I337" s="25">
        <f t="shared" si="35"/>
        <v>0</v>
      </c>
      <c r="J337" s="343">
        <f t="shared" si="36"/>
        <v>0</v>
      </c>
      <c r="L337" s="713">
        <v>0</v>
      </c>
      <c r="M337" s="499">
        <v>0</v>
      </c>
      <c r="N337" s="708" t="s">
        <v>413</v>
      </c>
      <c r="O337" s="546" t="str">
        <f>IFERROR(VLOOKUP(P337,constant_ag_extr!$D$7:$E$594,2,FALSE),"")</f>
        <v>Clover for forage and silage</v>
      </c>
      <c r="P337" s="547">
        <f t="shared" si="40"/>
        <v>640</v>
      </c>
      <c r="Q337" s="590">
        <f t="shared" si="41"/>
        <v>1</v>
      </c>
    </row>
    <row r="338" spans="1:17" ht="12.75" customHeight="1">
      <c r="A338" s="84" t="s">
        <v>2308</v>
      </c>
      <c r="B338" s="399">
        <v>641</v>
      </c>
      <c r="C338" s="24" t="s">
        <v>2648</v>
      </c>
      <c r="D338" s="499"/>
      <c r="E338" s="499"/>
      <c r="F338" s="2">
        <f t="shared" si="37"/>
        <v>0</v>
      </c>
      <c r="G338" s="2">
        <f t="shared" si="38"/>
        <v>1</v>
      </c>
      <c r="H338" s="2">
        <f t="shared" si="39"/>
        <v>2.4993969139811365</v>
      </c>
      <c r="I338" s="25">
        <f t="shared" si="35"/>
        <v>0</v>
      </c>
      <c r="J338" s="343">
        <f t="shared" si="36"/>
        <v>0</v>
      </c>
      <c r="L338" s="713"/>
      <c r="M338" s="499"/>
      <c r="N338" s="708" t="s">
        <v>413</v>
      </c>
      <c r="O338" s="546" t="str">
        <f>IFERROR(VLOOKUP(P338,constant_ag_extr!$D$7:$E$594,2,FALSE),"")</f>
        <v>Alfalfa for forage and silage</v>
      </c>
      <c r="P338" s="547">
        <f t="shared" si="40"/>
        <v>641</v>
      </c>
      <c r="Q338" s="590">
        <f t="shared" si="41"/>
        <v>1</v>
      </c>
    </row>
    <row r="339" spans="1:17" ht="12.75" customHeight="1">
      <c r="A339" s="84" t="s">
        <v>6873</v>
      </c>
      <c r="B339" s="399">
        <v>643</v>
      </c>
      <c r="C339" s="24" t="s">
        <v>3736</v>
      </c>
      <c r="D339" s="499"/>
      <c r="E339" s="499"/>
      <c r="F339" s="2">
        <f t="shared" si="37"/>
        <v>0</v>
      </c>
      <c r="G339" s="2">
        <f t="shared" si="38"/>
        <v>1</v>
      </c>
      <c r="H339" s="2">
        <f t="shared" si="39"/>
        <v>2.4993969139811365</v>
      </c>
      <c r="I339" s="25">
        <f t="shared" si="35"/>
        <v>0</v>
      </c>
      <c r="J339" s="343">
        <f t="shared" si="36"/>
        <v>0</v>
      </c>
      <c r="L339" s="713">
        <v>0</v>
      </c>
      <c r="M339" s="499">
        <v>0</v>
      </c>
      <c r="N339" s="708" t="s">
        <v>2796</v>
      </c>
      <c r="O339" s="546" t="str">
        <f>IFERROR(VLOOKUP(P339,constant_ag_extr!$D$7:$E$594,2,FALSE),"")</f>
        <v>Forage and silage, legumes</v>
      </c>
      <c r="P339" s="547">
        <f t="shared" si="40"/>
        <v>643</v>
      </c>
      <c r="Q339" s="590">
        <f t="shared" si="41"/>
        <v>1</v>
      </c>
    </row>
    <row r="340" spans="1:17" ht="12.75" customHeight="1">
      <c r="A340" s="290" t="s">
        <v>7562</v>
      </c>
      <c r="B340" s="399">
        <v>645</v>
      </c>
      <c r="C340" s="24"/>
      <c r="D340" s="499"/>
      <c r="E340" s="499"/>
      <c r="F340" s="2">
        <f t="shared" si="37"/>
        <v>0</v>
      </c>
      <c r="G340" s="2">
        <f t="shared" si="38"/>
        <v>1</v>
      </c>
      <c r="H340" s="2">
        <f t="shared" si="39"/>
        <v>2.4993969139811365</v>
      </c>
      <c r="I340" s="25">
        <f t="shared" si="35"/>
        <v>0</v>
      </c>
      <c r="J340" s="343">
        <f t="shared" si="36"/>
        <v>0</v>
      </c>
      <c r="L340" s="713"/>
      <c r="M340" s="499"/>
      <c r="N340" s="708"/>
      <c r="O340" s="546" t="str">
        <f>IFERROR(VLOOKUP(P340,constant_ag_extr!$D$7:$E$594,2,FALSE),"")</f>
        <v>Mixed grasses and legumes</v>
      </c>
      <c r="P340" s="547">
        <f t="shared" si="40"/>
        <v>645</v>
      </c>
      <c r="Q340" s="590">
        <f t="shared" si="41"/>
        <v>1</v>
      </c>
    </row>
    <row r="341" spans="1:17" ht="12.75" customHeight="1">
      <c r="A341" s="84" t="s">
        <v>2342</v>
      </c>
      <c r="B341" s="399">
        <v>646</v>
      </c>
      <c r="C341" s="24" t="s">
        <v>2343</v>
      </c>
      <c r="D341" s="499"/>
      <c r="E341" s="499"/>
      <c r="F341" s="2">
        <f t="shared" si="37"/>
        <v>0</v>
      </c>
      <c r="G341" s="2">
        <f t="shared" si="38"/>
        <v>1</v>
      </c>
      <c r="H341" s="2">
        <f t="shared" si="39"/>
        <v>2.4993969139811365</v>
      </c>
      <c r="I341" s="25">
        <f t="shared" si="35"/>
        <v>0</v>
      </c>
      <c r="J341" s="343">
        <f t="shared" si="36"/>
        <v>0</v>
      </c>
      <c r="L341" s="713">
        <v>0</v>
      </c>
      <c r="M341" s="499">
        <v>0</v>
      </c>
      <c r="N341" s="708" t="s">
        <v>413</v>
      </c>
      <c r="O341" s="546" t="str">
        <f>IFERROR(VLOOKUP(P341,constant_ag_extr!$D$7:$E$594,2,FALSE),"")</f>
        <v>Turnips for Fodder</v>
      </c>
      <c r="P341" s="547">
        <f t="shared" si="40"/>
        <v>646</v>
      </c>
      <c r="Q341" s="590">
        <f t="shared" si="41"/>
        <v>1</v>
      </c>
    </row>
    <row r="342" spans="1:17" ht="12.75" customHeight="1">
      <c r="A342" s="84" t="s">
        <v>3499</v>
      </c>
      <c r="B342" s="399">
        <v>647</v>
      </c>
      <c r="C342" s="24" t="s">
        <v>3500</v>
      </c>
      <c r="D342" s="499"/>
      <c r="E342" s="499"/>
      <c r="F342" s="2">
        <f t="shared" si="37"/>
        <v>0</v>
      </c>
      <c r="G342" s="2">
        <f t="shared" si="38"/>
        <v>1</v>
      </c>
      <c r="H342" s="2">
        <f t="shared" si="39"/>
        <v>2.4993969139811365</v>
      </c>
      <c r="I342" s="25">
        <f t="shared" si="35"/>
        <v>0</v>
      </c>
      <c r="J342" s="343">
        <f t="shared" si="36"/>
        <v>0</v>
      </c>
      <c r="L342" s="713"/>
      <c r="M342" s="499"/>
      <c r="N342" s="708" t="s">
        <v>413</v>
      </c>
      <c r="O342" s="546" t="str">
        <f>IFERROR(VLOOKUP(P342,constant_ag_extr!$D$7:$E$594,2,FALSE),"")</f>
        <v>Beets for Fodder</v>
      </c>
      <c r="P342" s="547">
        <f t="shared" si="40"/>
        <v>647</v>
      </c>
      <c r="Q342" s="590">
        <f t="shared" si="41"/>
        <v>1</v>
      </c>
    </row>
    <row r="343" spans="1:17" ht="12.75" customHeight="1">
      <c r="A343" s="84" t="s">
        <v>3552</v>
      </c>
      <c r="B343" s="399">
        <v>649</v>
      </c>
      <c r="C343" s="24" t="s">
        <v>3553</v>
      </c>
      <c r="D343" s="499"/>
      <c r="E343" s="499"/>
      <c r="F343" s="2">
        <f t="shared" si="37"/>
        <v>0</v>
      </c>
      <c r="G343" s="2">
        <f t="shared" si="38"/>
        <v>1</v>
      </c>
      <c r="H343" s="2">
        <f t="shared" si="39"/>
        <v>2.4993969139811365</v>
      </c>
      <c r="I343" s="25">
        <f t="shared" ref="I343:I406" si="42">IFERROR((D343/F343)*H343*G343,0)</f>
        <v>0</v>
      </c>
      <c r="J343" s="343">
        <f t="shared" ref="J343:J406" si="43">IFERROR((E343/F343)*H343*G343,0)</f>
        <v>0</v>
      </c>
      <c r="L343" s="713"/>
      <c r="M343" s="499"/>
      <c r="N343" s="708" t="s">
        <v>413</v>
      </c>
      <c r="O343" s="546" t="str">
        <f>IFERROR(VLOOKUP(P343,constant_ag_extr!$D$7:$E$594,2,FALSE),"")</f>
        <v>Swedes for Fodder</v>
      </c>
      <c r="P343" s="547">
        <f t="shared" si="40"/>
        <v>649</v>
      </c>
      <c r="Q343" s="590">
        <f t="shared" si="41"/>
        <v>1</v>
      </c>
    </row>
    <row r="344" spans="1:17" ht="12.75" customHeight="1">
      <c r="A344" s="84" t="s">
        <v>6987</v>
      </c>
      <c r="B344" s="399">
        <v>650</v>
      </c>
      <c r="C344" s="24"/>
      <c r="D344" s="499"/>
      <c r="E344" s="499"/>
      <c r="F344" s="2">
        <f t="shared" si="37"/>
        <v>0</v>
      </c>
      <c r="G344" s="2">
        <f t="shared" si="38"/>
        <v>1</v>
      </c>
      <c r="H344" s="2">
        <f t="shared" si="39"/>
        <v>2.4993969139811365</v>
      </c>
      <c r="I344" s="25">
        <f t="shared" si="42"/>
        <v>0</v>
      </c>
      <c r="J344" s="343">
        <f t="shared" si="43"/>
        <v>0</v>
      </c>
      <c r="L344" s="713"/>
      <c r="M344" s="499"/>
      <c r="N344" s="708"/>
      <c r="O344" s="546">
        <f>IFERROR(VLOOKUP(P344,constant_ag_extr!$D$7:$E$594,2,FALSE),"")</f>
        <v>0</v>
      </c>
      <c r="P344" s="547" t="str">
        <f t="shared" si="40"/>
        <v/>
      </c>
      <c r="Q344" s="590" t="str">
        <f t="shared" si="41"/>
        <v/>
      </c>
    </row>
    <row r="345" spans="1:17" ht="12.75" customHeight="1">
      <c r="A345" s="84" t="s">
        <v>1927</v>
      </c>
      <c r="B345" s="399">
        <v>651</v>
      </c>
      <c r="C345" s="24" t="s">
        <v>814</v>
      </c>
      <c r="D345" s="499">
        <v>82817</v>
      </c>
      <c r="E345" s="499">
        <v>8344</v>
      </c>
      <c r="F345" s="2">
        <f t="shared" si="37"/>
        <v>0</v>
      </c>
      <c r="G345" s="2">
        <f t="shared" si="38"/>
        <v>1</v>
      </c>
      <c r="H345" s="2">
        <f t="shared" si="39"/>
        <v>2.4993969139811365</v>
      </c>
      <c r="I345" s="25">
        <f t="shared" si="42"/>
        <v>0</v>
      </c>
      <c r="J345" s="343">
        <f t="shared" si="43"/>
        <v>0</v>
      </c>
      <c r="L345" s="713">
        <v>7483510</v>
      </c>
      <c r="M345" s="499">
        <v>6925280</v>
      </c>
      <c r="N345" s="708" t="s">
        <v>413</v>
      </c>
      <c r="O345" s="546" t="str">
        <f>IFERROR(VLOOKUP(P345,constant_ag_extr!$D$7:$E$594,2,FALSE),"")</f>
        <v>Forage Products</v>
      </c>
      <c r="P345" s="547">
        <f t="shared" si="40"/>
        <v>651</v>
      </c>
      <c r="Q345" s="590">
        <f t="shared" si="41"/>
        <v>1</v>
      </c>
    </row>
    <row r="346" spans="1:17" ht="12.75" customHeight="1">
      <c r="A346" s="84" t="s">
        <v>6988</v>
      </c>
      <c r="B346" s="399">
        <v>652</v>
      </c>
      <c r="C346" s="24" t="s">
        <v>4780</v>
      </c>
      <c r="D346" s="499">
        <v>4913</v>
      </c>
      <c r="E346" s="499">
        <v>39811</v>
      </c>
      <c r="F346" s="2">
        <f t="shared" si="37"/>
        <v>0</v>
      </c>
      <c r="G346" s="2">
        <f t="shared" si="38"/>
        <v>1</v>
      </c>
      <c r="H346" s="2">
        <f t="shared" si="39"/>
        <v>2.4993969139811365</v>
      </c>
      <c r="I346" s="25">
        <f t="shared" si="42"/>
        <v>0</v>
      </c>
      <c r="J346" s="343">
        <f t="shared" si="43"/>
        <v>0</v>
      </c>
      <c r="L346" s="713">
        <v>3568840</v>
      </c>
      <c r="M346" s="499">
        <v>3916940</v>
      </c>
      <c r="N346" s="708" t="s">
        <v>2796</v>
      </c>
      <c r="O346" s="546">
        <f>IFERROR(VLOOKUP(P346,constant_ag_extr!$D$7:$E$594,2,FALSE),"")</f>
        <v>0</v>
      </c>
      <c r="P346" s="547" t="str">
        <f t="shared" si="40"/>
        <v/>
      </c>
      <c r="Q346" s="590">
        <f t="shared" si="41"/>
        <v>1</v>
      </c>
    </row>
    <row r="347" spans="1:17" ht="12.75" customHeight="1">
      <c r="A347" s="84" t="s">
        <v>2060</v>
      </c>
      <c r="B347" s="399">
        <v>653</v>
      </c>
      <c r="C347" s="24" t="s">
        <v>4776</v>
      </c>
      <c r="D347" s="499">
        <v>7022</v>
      </c>
      <c r="E347" s="499">
        <v>120.87599945068359</v>
      </c>
      <c r="F347" s="2">
        <f t="shared" si="37"/>
        <v>0</v>
      </c>
      <c r="G347" s="2">
        <f t="shared" si="38"/>
        <v>1</v>
      </c>
      <c r="H347" s="2">
        <f t="shared" si="39"/>
        <v>2.4993969139811365</v>
      </c>
      <c r="I347" s="25">
        <f t="shared" si="42"/>
        <v>0</v>
      </c>
      <c r="J347" s="343">
        <f t="shared" si="43"/>
        <v>0</v>
      </c>
      <c r="L347" s="713">
        <v>15109300</v>
      </c>
      <c r="M347" s="499">
        <v>14891900</v>
      </c>
      <c r="N347" s="708" t="s">
        <v>2796</v>
      </c>
      <c r="O347" s="546">
        <f>IFERROR(VLOOKUP(P347,constant_ag_extr!$D$7:$E$594,2,FALSE),"")</f>
        <v>0</v>
      </c>
      <c r="P347" s="547" t="str">
        <f t="shared" si="40"/>
        <v/>
      </c>
      <c r="Q347" s="590">
        <f t="shared" si="41"/>
        <v>1</v>
      </c>
    </row>
    <row r="348" spans="1:17" ht="12.75" customHeight="1">
      <c r="A348" s="84" t="s">
        <v>6990</v>
      </c>
      <c r="B348" s="399">
        <v>654</v>
      </c>
      <c r="C348" s="24" t="s">
        <v>3066</v>
      </c>
      <c r="D348" s="499">
        <v>660154</v>
      </c>
      <c r="E348" s="499">
        <v>437866</v>
      </c>
      <c r="F348" s="2">
        <f t="shared" si="37"/>
        <v>0</v>
      </c>
      <c r="G348" s="2">
        <f t="shared" si="38"/>
        <v>1</v>
      </c>
      <c r="H348" s="2">
        <f t="shared" si="39"/>
        <v>2.4993969139811365</v>
      </c>
      <c r="I348" s="25">
        <f t="shared" si="42"/>
        <v>0</v>
      </c>
      <c r="J348" s="343">
        <f t="shared" si="43"/>
        <v>0</v>
      </c>
      <c r="L348" s="713">
        <v>14029400</v>
      </c>
      <c r="M348" s="499">
        <v>14923800</v>
      </c>
      <c r="N348" s="708" t="s">
        <v>2796</v>
      </c>
      <c r="O348" s="546" t="str">
        <f>IFERROR(VLOOKUP(P348,constant_ag_extr!$D$7:$E$594,2,FALSE),"")</f>
        <v>Dregs from brewing, distillation</v>
      </c>
      <c r="P348" s="547">
        <f t="shared" si="40"/>
        <v>654</v>
      </c>
      <c r="Q348" s="590">
        <f t="shared" si="41"/>
        <v>1</v>
      </c>
    </row>
    <row r="349" spans="1:17" ht="12.75" customHeight="1">
      <c r="A349" s="84" t="s">
        <v>4636</v>
      </c>
      <c r="B349" s="399">
        <v>655</v>
      </c>
      <c r="C349" s="24" t="s">
        <v>4051</v>
      </c>
      <c r="D349" s="499"/>
      <c r="E349" s="499"/>
      <c r="F349" s="2">
        <f t="shared" si="37"/>
        <v>0</v>
      </c>
      <c r="G349" s="2">
        <f t="shared" si="38"/>
        <v>1</v>
      </c>
      <c r="H349" s="2">
        <f t="shared" si="39"/>
        <v>2.4993969139811365</v>
      </c>
      <c r="I349" s="25">
        <f t="shared" si="42"/>
        <v>0</v>
      </c>
      <c r="J349" s="343">
        <f t="shared" si="43"/>
        <v>0</v>
      </c>
      <c r="L349" s="713"/>
      <c r="M349" s="499"/>
      <c r="N349" s="708" t="s">
        <v>413</v>
      </c>
      <c r="O349" s="546" t="str">
        <f>IFERROR(VLOOKUP(P349,constant_ag_extr!$D$7:$E$594,2,FALSE),"")</f>
        <v>Vegetables Roots Fodder</v>
      </c>
      <c r="P349" s="547">
        <f t="shared" si="40"/>
        <v>655</v>
      </c>
      <c r="Q349" s="590">
        <f t="shared" si="41"/>
        <v>1</v>
      </c>
    </row>
    <row r="350" spans="1:17" ht="12.75" customHeight="1">
      <c r="A350" s="84" t="s">
        <v>883</v>
      </c>
      <c r="B350" s="399">
        <v>656</v>
      </c>
      <c r="C350" s="24" t="s">
        <v>3511</v>
      </c>
      <c r="D350" s="499">
        <v>200583</v>
      </c>
      <c r="E350" s="499">
        <v>18715</v>
      </c>
      <c r="F350" s="2">
        <f t="shared" si="37"/>
        <v>0.88478413611248241</v>
      </c>
      <c r="G350" s="2">
        <f t="shared" si="38"/>
        <v>1</v>
      </c>
      <c r="H350" s="2">
        <f t="shared" si="39"/>
        <v>2.4993969139811365</v>
      </c>
      <c r="I350" s="25">
        <f t="shared" si="42"/>
        <v>566620.1627436768</v>
      </c>
      <c r="J350" s="343">
        <f t="shared" si="43"/>
        <v>52867.373335466669</v>
      </c>
      <c r="L350" s="713">
        <v>7484570</v>
      </c>
      <c r="M350" s="499">
        <v>7488990</v>
      </c>
      <c r="N350" s="708" t="s">
        <v>413</v>
      </c>
      <c r="O350" s="546" t="str">
        <f>IFERROR(VLOOKUP(P350,constant_ag_extr!$D$7:$E$594,2,FALSE),"")</f>
        <v>Coffee, green</v>
      </c>
      <c r="P350" s="547">
        <f t="shared" si="40"/>
        <v>656</v>
      </c>
      <c r="Q350" s="590">
        <f t="shared" si="41"/>
        <v>1</v>
      </c>
    </row>
    <row r="351" spans="1:17" ht="12.75" customHeight="1">
      <c r="A351" s="84" t="s">
        <v>7029</v>
      </c>
      <c r="B351" s="399">
        <v>657</v>
      </c>
      <c r="C351" s="24" t="s">
        <v>3388</v>
      </c>
      <c r="D351" s="499">
        <v>61406</v>
      </c>
      <c r="E351" s="499">
        <v>48186</v>
      </c>
      <c r="F351" s="2">
        <f t="shared" si="37"/>
        <v>0.88478413611248241</v>
      </c>
      <c r="G351" s="2">
        <f t="shared" si="38"/>
        <v>1</v>
      </c>
      <c r="H351" s="2">
        <f t="shared" si="39"/>
        <v>2.4993969139811365</v>
      </c>
      <c r="I351" s="25">
        <f t="shared" si="42"/>
        <v>173463.7417599608</v>
      </c>
      <c r="J351" s="343">
        <f t="shared" si="43"/>
        <v>136119.00889889378</v>
      </c>
      <c r="L351" s="713">
        <v>1203510</v>
      </c>
      <c r="M351" s="499">
        <v>1207200</v>
      </c>
      <c r="N351" s="708" t="s">
        <v>2796</v>
      </c>
      <c r="O351" s="546" t="str">
        <f>IFERROR(VLOOKUP(P351,constant_ag_extr!$D$7:$E$594,2,FALSE),"")</f>
        <v>Coffee, green</v>
      </c>
      <c r="P351" s="547">
        <f t="shared" si="40"/>
        <v>656</v>
      </c>
      <c r="Q351" s="590">
        <f t="shared" si="41"/>
        <v>1</v>
      </c>
    </row>
    <row r="352" spans="1:17" ht="12.75" customHeight="1">
      <c r="A352" s="84" t="s">
        <v>7030</v>
      </c>
      <c r="B352" s="399">
        <v>658</v>
      </c>
      <c r="C352" s="24" t="s">
        <v>3390</v>
      </c>
      <c r="D352" s="499">
        <v>182</v>
      </c>
      <c r="E352" s="499">
        <v>31</v>
      </c>
      <c r="F352" s="2">
        <f t="shared" si="37"/>
        <v>0.88478413611248241</v>
      </c>
      <c r="G352" s="2">
        <f t="shared" si="38"/>
        <v>1</v>
      </c>
      <c r="H352" s="2">
        <f t="shared" si="39"/>
        <v>2.4993969139811365</v>
      </c>
      <c r="I352" s="25">
        <f t="shared" si="42"/>
        <v>514.12567176355515</v>
      </c>
      <c r="J352" s="343">
        <f t="shared" si="43"/>
        <v>87.570856179506634</v>
      </c>
      <c r="L352" s="713">
        <v>530189</v>
      </c>
      <c r="M352" s="499">
        <v>93488</v>
      </c>
      <c r="N352" s="708" t="s">
        <v>2796</v>
      </c>
      <c r="O352" s="546" t="str">
        <f>IFERROR(VLOOKUP(P352,constant_ag_extr!$D$7:$E$594,2,FALSE),"")</f>
        <v>Coffee, green</v>
      </c>
      <c r="P352" s="547">
        <f t="shared" si="40"/>
        <v>656</v>
      </c>
      <c r="Q352" s="590">
        <f t="shared" si="41"/>
        <v>1</v>
      </c>
    </row>
    <row r="353" spans="1:17" ht="12.75" customHeight="1">
      <c r="A353" s="84" t="s">
        <v>7027</v>
      </c>
      <c r="B353" s="399">
        <v>659</v>
      </c>
      <c r="C353" s="24" t="s">
        <v>2716</v>
      </c>
      <c r="D353" s="499">
        <v>34014</v>
      </c>
      <c r="E353" s="499">
        <v>415</v>
      </c>
      <c r="F353" s="2">
        <f t="shared" si="37"/>
        <v>0.88478413611248241</v>
      </c>
      <c r="G353" s="2">
        <f t="shared" si="38"/>
        <v>1</v>
      </c>
      <c r="H353" s="2">
        <f t="shared" si="39"/>
        <v>2.4993969139811365</v>
      </c>
      <c r="I353" s="25">
        <f t="shared" si="42"/>
        <v>96085.003293217393</v>
      </c>
      <c r="J353" s="343">
        <f t="shared" si="43"/>
        <v>1172.3195262740405</v>
      </c>
      <c r="L353" s="713">
        <v>1212690</v>
      </c>
      <c r="M353" s="499">
        <v>1210370</v>
      </c>
      <c r="N353" s="708" t="s">
        <v>2796</v>
      </c>
      <c r="O353" s="546" t="str">
        <f>IFERROR(VLOOKUP(P353,constant_ag_extr!$D$7:$E$594,2,FALSE),"")</f>
        <v>Coffee, green</v>
      </c>
      <c r="P353" s="547">
        <f t="shared" si="40"/>
        <v>656</v>
      </c>
      <c r="Q353" s="590">
        <f t="shared" si="41"/>
        <v>1</v>
      </c>
    </row>
    <row r="354" spans="1:17" ht="12.75" customHeight="1">
      <c r="A354" s="84" t="s">
        <v>7028</v>
      </c>
      <c r="B354" s="399">
        <v>660</v>
      </c>
      <c r="C354" s="24" t="s">
        <v>2001</v>
      </c>
      <c r="D354" s="499">
        <v>0</v>
      </c>
      <c r="E354" s="499">
        <v>0</v>
      </c>
      <c r="F354" s="2">
        <f t="shared" si="37"/>
        <v>0.88478413611248241</v>
      </c>
      <c r="G354" s="2">
        <f t="shared" si="38"/>
        <v>1</v>
      </c>
      <c r="H354" s="2">
        <f t="shared" si="39"/>
        <v>2.4993969139811365</v>
      </c>
      <c r="I354" s="25">
        <f t="shared" si="42"/>
        <v>0</v>
      </c>
      <c r="J354" s="343">
        <f t="shared" si="43"/>
        <v>0</v>
      </c>
      <c r="L354" s="713">
        <v>27272</v>
      </c>
      <c r="M354" s="499">
        <v>8214</v>
      </c>
      <c r="N354" s="708" t="s">
        <v>2796</v>
      </c>
      <c r="O354" s="546" t="str">
        <f>IFERROR(VLOOKUP(P354,constant_ag_extr!$D$7:$E$594,2,FALSE),"")</f>
        <v>Coffee, green</v>
      </c>
      <c r="P354" s="547">
        <f t="shared" si="40"/>
        <v>656</v>
      </c>
      <c r="Q354" s="590">
        <f t="shared" si="41"/>
        <v>1</v>
      </c>
    </row>
    <row r="355" spans="1:17" ht="12.75" customHeight="1">
      <c r="A355" s="84" t="s">
        <v>7022</v>
      </c>
      <c r="B355" s="399">
        <v>661</v>
      </c>
      <c r="C355" s="24" t="s">
        <v>3509</v>
      </c>
      <c r="D355" s="499">
        <v>100443</v>
      </c>
      <c r="E355" s="499">
        <v>8977</v>
      </c>
      <c r="F355" s="2">
        <f t="shared" si="37"/>
        <v>0.41523454118266084</v>
      </c>
      <c r="G355" s="2">
        <f t="shared" si="38"/>
        <v>1</v>
      </c>
      <c r="H355" s="2">
        <f t="shared" si="39"/>
        <v>2.4993969139811365</v>
      </c>
      <c r="I355" s="25">
        <f t="shared" si="42"/>
        <v>604590.65740528621</v>
      </c>
      <c r="J355" s="343">
        <f t="shared" si="43"/>
        <v>54034.729463748139</v>
      </c>
      <c r="L355" s="713">
        <v>4089440</v>
      </c>
      <c r="M355" s="499">
        <v>4145240</v>
      </c>
      <c r="N355" s="708" t="s">
        <v>413</v>
      </c>
      <c r="O355" s="546" t="str">
        <f>IFERROR(VLOOKUP(P355,constant_ag_extr!$D$7:$E$594,2,FALSE),"")</f>
        <v>Cocoa beans</v>
      </c>
      <c r="P355" s="547">
        <f t="shared" si="40"/>
        <v>661</v>
      </c>
      <c r="Q355" s="590">
        <f t="shared" si="41"/>
        <v>1</v>
      </c>
    </row>
    <row r="356" spans="1:17" ht="12.75" customHeight="1">
      <c r="A356" s="84" t="s">
        <v>7024</v>
      </c>
      <c r="B356" s="399">
        <v>662</v>
      </c>
      <c r="C356" s="24" t="s">
        <v>2707</v>
      </c>
      <c r="D356" s="499">
        <v>21774</v>
      </c>
      <c r="E356" s="499">
        <v>7053</v>
      </c>
      <c r="F356" s="2">
        <f t="shared" si="37"/>
        <v>0.33996161030271249</v>
      </c>
      <c r="G356" s="2">
        <f t="shared" si="38"/>
        <v>1</v>
      </c>
      <c r="H356" s="2">
        <f t="shared" si="39"/>
        <v>2.4993969139811365</v>
      </c>
      <c r="I356" s="25">
        <f t="shared" si="42"/>
        <v>160082.3938813748</v>
      </c>
      <c r="J356" s="343">
        <f t="shared" si="43"/>
        <v>51853.638469979625</v>
      </c>
      <c r="L356" s="713">
        <v>787751</v>
      </c>
      <c r="M356" s="499">
        <v>709378</v>
      </c>
      <c r="N356" s="708" t="s">
        <v>2796</v>
      </c>
      <c r="O356" s="546" t="str">
        <f>IFERROR(VLOOKUP(P356,constant_ag_extr!$D$7:$E$594,2,FALSE),"")</f>
        <v>Cocoa beans</v>
      </c>
      <c r="P356" s="547">
        <f t="shared" si="40"/>
        <v>661</v>
      </c>
      <c r="Q356" s="590">
        <f t="shared" si="41"/>
        <v>0.81872189470182843</v>
      </c>
    </row>
    <row r="357" spans="1:17" ht="12.75" customHeight="1">
      <c r="A357" s="84" t="s">
        <v>2708</v>
      </c>
      <c r="B357" s="399">
        <v>663</v>
      </c>
      <c r="C357" s="24" t="s">
        <v>2709</v>
      </c>
      <c r="D357" s="499"/>
      <c r="E357" s="499"/>
      <c r="F357" s="2">
        <f t="shared" si="37"/>
        <v>3.6317009118688257</v>
      </c>
      <c r="G357" s="2">
        <f t="shared" si="38"/>
        <v>1</v>
      </c>
      <c r="H357" s="2">
        <f t="shared" si="39"/>
        <v>2.4993969139811365</v>
      </c>
      <c r="I357" s="25">
        <f t="shared" si="42"/>
        <v>0</v>
      </c>
      <c r="J357" s="343">
        <f t="shared" si="43"/>
        <v>0</v>
      </c>
      <c r="L357" s="713"/>
      <c r="M357" s="499"/>
      <c r="N357" s="708" t="s">
        <v>2796</v>
      </c>
      <c r="O357" s="546" t="str">
        <f>IFERROR(VLOOKUP(P357,constant_ag_extr!$D$7:$E$594,2,FALSE),"")</f>
        <v>Cocoa beans</v>
      </c>
      <c r="P357" s="547">
        <f t="shared" si="40"/>
        <v>661</v>
      </c>
      <c r="Q357" s="590">
        <f t="shared" si="41"/>
        <v>8.7461435687048201</v>
      </c>
    </row>
    <row r="358" spans="1:17" ht="12.75" customHeight="1">
      <c r="A358" s="84" t="s">
        <v>7023</v>
      </c>
      <c r="B358" s="399">
        <v>664</v>
      </c>
      <c r="C358" s="24" t="s">
        <v>2706</v>
      </c>
      <c r="D358" s="499">
        <v>24492</v>
      </c>
      <c r="E358" s="499">
        <v>1394</v>
      </c>
      <c r="F358" s="2">
        <f t="shared" si="37"/>
        <v>0.33125541722909974</v>
      </c>
      <c r="G358" s="2">
        <f t="shared" si="38"/>
        <v>1</v>
      </c>
      <c r="H358" s="2">
        <f t="shared" si="39"/>
        <v>2.4993969139811365</v>
      </c>
      <c r="I358" s="25">
        <f t="shared" si="42"/>
        <v>184797.66981407249</v>
      </c>
      <c r="J358" s="343">
        <f t="shared" si="43"/>
        <v>10518.044737906952</v>
      </c>
      <c r="L358" s="713">
        <v>963166</v>
      </c>
      <c r="M358" s="499">
        <v>1018510</v>
      </c>
      <c r="N358" s="708" t="s">
        <v>2796</v>
      </c>
      <c r="O358" s="546" t="str">
        <f>IFERROR(VLOOKUP(P358,constant_ag_extr!$D$7:$E$594,2,FALSE),"")</f>
        <v>Cocoa beans</v>
      </c>
      <c r="P358" s="547">
        <f t="shared" si="40"/>
        <v>661</v>
      </c>
      <c r="Q358" s="590">
        <f t="shared" si="41"/>
        <v>0.79775496586971351</v>
      </c>
    </row>
    <row r="359" spans="1:17" ht="12.75" customHeight="1">
      <c r="A359" s="84" t="s">
        <v>7025</v>
      </c>
      <c r="B359" s="399">
        <v>665</v>
      </c>
      <c r="C359" s="24" t="s">
        <v>2711</v>
      </c>
      <c r="D359" s="499">
        <v>32649</v>
      </c>
      <c r="E359" s="499">
        <v>5109</v>
      </c>
      <c r="F359" s="2">
        <f t="shared" si="37"/>
        <v>0.34807419263942141</v>
      </c>
      <c r="G359" s="2">
        <f t="shared" si="38"/>
        <v>1</v>
      </c>
      <c r="H359" s="2">
        <f t="shared" si="39"/>
        <v>2.4993969139811365</v>
      </c>
      <c r="I359" s="25">
        <f t="shared" si="42"/>
        <v>234440.85074444022</v>
      </c>
      <c r="J359" s="343">
        <f t="shared" si="43"/>
        <v>36685.910945307514</v>
      </c>
      <c r="L359" s="713">
        <v>1284280</v>
      </c>
      <c r="M359" s="499">
        <v>1261570</v>
      </c>
      <c r="N359" s="708" t="s">
        <v>2796</v>
      </c>
      <c r="O359" s="546" t="str">
        <f>IFERROR(VLOOKUP(P359,constant_ag_extr!$D$7:$E$594,2,FALSE),"")</f>
        <v>Cocoa beans</v>
      </c>
      <c r="P359" s="547">
        <f t="shared" si="40"/>
        <v>661</v>
      </c>
      <c r="Q359" s="590">
        <f t="shared" si="41"/>
        <v>0.83825924415643516</v>
      </c>
    </row>
    <row r="360" spans="1:17" ht="12.75" customHeight="1">
      <c r="A360" s="84" t="s">
        <v>7020</v>
      </c>
      <c r="B360" s="399">
        <v>666</v>
      </c>
      <c r="C360" s="24" t="s">
        <v>4554</v>
      </c>
      <c r="D360" s="499">
        <v>212835</v>
      </c>
      <c r="E360" s="499">
        <v>367711</v>
      </c>
      <c r="F360" s="2">
        <f t="shared" si="37"/>
        <v>1.6359487054052808</v>
      </c>
      <c r="G360" s="2">
        <f t="shared" si="38"/>
        <v>1</v>
      </c>
      <c r="H360" s="2">
        <f t="shared" si="39"/>
        <v>2.4993969139811365</v>
      </c>
      <c r="I360" s="25">
        <f t="shared" si="42"/>
        <v>325168.595096868</v>
      </c>
      <c r="J360" s="343">
        <f t="shared" si="43"/>
        <v>561787.62549235055</v>
      </c>
      <c r="L360" s="713">
        <v>5986650</v>
      </c>
      <c r="M360" s="499">
        <v>6160140</v>
      </c>
      <c r="N360" s="708" t="s">
        <v>2796</v>
      </c>
      <c r="O360" s="546" t="str">
        <f>IFERROR(VLOOKUP(P360,constant_ag_extr!$D$7:$E$594,2,FALSE),"")</f>
        <v>Cocoa beans</v>
      </c>
      <c r="P360" s="547">
        <f t="shared" si="40"/>
        <v>661</v>
      </c>
      <c r="Q360" s="590">
        <f t="shared" si="41"/>
        <v>3.9398184475352456</v>
      </c>
    </row>
    <row r="361" spans="1:17" ht="12.75" customHeight="1">
      <c r="A361" s="84" t="s">
        <v>4420</v>
      </c>
      <c r="B361" s="399">
        <v>667</v>
      </c>
      <c r="C361" s="24" t="s">
        <v>1868</v>
      </c>
      <c r="D361" s="499">
        <v>18433</v>
      </c>
      <c r="E361" s="499">
        <v>2681</v>
      </c>
      <c r="F361" s="2">
        <f t="shared" si="37"/>
        <v>1.1895678710605218</v>
      </c>
      <c r="G361" s="2">
        <f t="shared" si="38"/>
        <v>1</v>
      </c>
      <c r="H361" s="2">
        <f t="shared" si="39"/>
        <v>2.4993969139811365</v>
      </c>
      <c r="I361" s="25">
        <f t="shared" si="42"/>
        <v>38729.512149937946</v>
      </c>
      <c r="J361" s="343">
        <f t="shared" si="43"/>
        <v>5633.0397696513664</v>
      </c>
      <c r="L361" s="713">
        <v>1905030</v>
      </c>
      <c r="M361" s="499">
        <v>2014630</v>
      </c>
      <c r="N361" s="708" t="s">
        <v>413</v>
      </c>
      <c r="O361" s="546" t="str">
        <f>IFERROR(VLOOKUP(P361,constant_ag_extr!$D$7:$E$594,2,FALSE),"")</f>
        <v>Tea</v>
      </c>
      <c r="P361" s="547">
        <f t="shared" si="40"/>
        <v>667</v>
      </c>
      <c r="Q361" s="590">
        <f t="shared" si="41"/>
        <v>1</v>
      </c>
    </row>
    <row r="362" spans="1:17" ht="12.75" customHeight="1">
      <c r="A362" s="84" t="s">
        <v>2770</v>
      </c>
      <c r="B362" s="399">
        <v>671</v>
      </c>
      <c r="C362" s="24" t="s">
        <v>2771</v>
      </c>
      <c r="D362" s="499">
        <v>603</v>
      </c>
      <c r="E362" s="499">
        <v>22</v>
      </c>
      <c r="F362" s="2">
        <f t="shared" si="37"/>
        <v>3.3377448548592881</v>
      </c>
      <c r="G362" s="2">
        <f t="shared" si="38"/>
        <v>1</v>
      </c>
      <c r="H362" s="2">
        <f t="shared" si="39"/>
        <v>2.4993969139811365</v>
      </c>
      <c r="I362" s="25">
        <f t="shared" si="42"/>
        <v>451.54330383775334</v>
      </c>
      <c r="J362" s="343">
        <f t="shared" si="43"/>
        <v>16.474216723765462</v>
      </c>
      <c r="L362" s="713">
        <v>80903</v>
      </c>
      <c r="M362" s="499">
        <v>80667</v>
      </c>
      <c r="N362" s="708" t="s">
        <v>413</v>
      </c>
      <c r="O362" s="546" t="str">
        <f>IFERROR(VLOOKUP(P362,constant_ag_extr!$D$7:$E$594,2,FALSE),"")</f>
        <v>Maté</v>
      </c>
      <c r="P362" s="547">
        <f t="shared" si="40"/>
        <v>671</v>
      </c>
      <c r="Q362" s="590">
        <f t="shared" si="41"/>
        <v>1</v>
      </c>
    </row>
    <row r="363" spans="1:17" ht="12.75" customHeight="1">
      <c r="A363" s="84" t="s">
        <v>7101</v>
      </c>
      <c r="B363" s="399">
        <v>672</v>
      </c>
      <c r="C363" s="24" t="s">
        <v>5323</v>
      </c>
      <c r="D363" s="499">
        <v>5088</v>
      </c>
      <c r="E363" s="499">
        <v>47393</v>
      </c>
      <c r="F363" s="2">
        <f t="shared" si="37"/>
        <v>0</v>
      </c>
      <c r="G363" s="2">
        <f t="shared" si="38"/>
        <v>1</v>
      </c>
      <c r="H363" s="2">
        <f t="shared" si="39"/>
        <v>2.4993969139811365</v>
      </c>
      <c r="I363" s="25">
        <f t="shared" si="42"/>
        <v>0</v>
      </c>
      <c r="J363" s="343">
        <f t="shared" si="43"/>
        <v>0</v>
      </c>
      <c r="L363" s="713">
        <v>203005</v>
      </c>
      <c r="M363" s="499">
        <v>275287</v>
      </c>
      <c r="N363" s="708" t="s">
        <v>2796</v>
      </c>
      <c r="O363" s="546" t="str">
        <f>IFERROR(VLOOKUP(P363,constant_ag_extr!$D$7:$E$594,2,FALSE),"")</f>
        <v>Tea, mate extracts</v>
      </c>
      <c r="P363" s="547">
        <f t="shared" si="40"/>
        <v>672</v>
      </c>
      <c r="Q363" s="590">
        <f t="shared" si="41"/>
        <v>1</v>
      </c>
    </row>
    <row r="364" spans="1:17" ht="12.75" customHeight="1">
      <c r="A364" s="84" t="s">
        <v>5874</v>
      </c>
      <c r="B364" s="399">
        <v>674</v>
      </c>
      <c r="C364" s="24"/>
      <c r="D364" s="499"/>
      <c r="E364" s="499"/>
      <c r="F364" s="2">
        <f t="shared" si="37"/>
        <v>0</v>
      </c>
      <c r="G364" s="2">
        <f t="shared" si="38"/>
        <v>1</v>
      </c>
      <c r="H364" s="2">
        <f t="shared" si="39"/>
        <v>2.4993969139811365</v>
      </c>
      <c r="I364" s="25">
        <f t="shared" si="42"/>
        <v>0</v>
      </c>
      <c r="J364" s="343">
        <f t="shared" si="43"/>
        <v>0</v>
      </c>
      <c r="L364" s="713"/>
      <c r="M364" s="499"/>
      <c r="N364" s="548" t="s">
        <v>413</v>
      </c>
      <c r="O364" s="546" t="str">
        <f>IFERROR(VLOOKUP(P364,constant_ag_extr!$D$7:$E$594,2,FALSE),"")</f>
        <v>Tea nes</v>
      </c>
      <c r="P364" s="547">
        <f t="shared" si="40"/>
        <v>674</v>
      </c>
      <c r="Q364" s="590">
        <f t="shared" si="41"/>
        <v>1</v>
      </c>
    </row>
    <row r="365" spans="1:17" ht="12.75" customHeight="1">
      <c r="A365" s="84" t="s">
        <v>3643</v>
      </c>
      <c r="B365" s="399">
        <v>677</v>
      </c>
      <c r="C365" s="24" t="s">
        <v>3644</v>
      </c>
      <c r="D365" s="499">
        <v>2211</v>
      </c>
      <c r="E365" s="499">
        <v>95</v>
      </c>
      <c r="F365" s="2">
        <f t="shared" si="37"/>
        <v>1.4958749070517452</v>
      </c>
      <c r="G365" s="2">
        <f t="shared" si="38"/>
        <v>1</v>
      </c>
      <c r="H365" s="2">
        <f t="shared" si="39"/>
        <v>2.4993969139811365</v>
      </c>
      <c r="I365" s="25">
        <f t="shared" si="42"/>
        <v>3694.2705240667105</v>
      </c>
      <c r="J365" s="343">
        <f t="shared" si="43"/>
        <v>158.73165978577001</v>
      </c>
      <c r="L365" s="713">
        <v>53326</v>
      </c>
      <c r="M365" s="499">
        <v>55011</v>
      </c>
      <c r="N365" s="708" t="s">
        <v>413</v>
      </c>
      <c r="O365" s="546" t="str">
        <f>IFERROR(VLOOKUP(P365,constant_ag_extr!$D$7:$E$594,2,FALSE),"")</f>
        <v>Hops</v>
      </c>
      <c r="P365" s="547">
        <f t="shared" si="40"/>
        <v>677</v>
      </c>
      <c r="Q365" s="590">
        <f t="shared" si="41"/>
        <v>1</v>
      </c>
    </row>
    <row r="366" spans="1:17" ht="12.75" customHeight="1">
      <c r="A366" s="84" t="s">
        <v>5098</v>
      </c>
      <c r="B366" s="399">
        <v>687</v>
      </c>
      <c r="C366" s="24" t="s">
        <v>5099</v>
      </c>
      <c r="D366" s="499">
        <v>7065</v>
      </c>
      <c r="E366" s="499">
        <v>675</v>
      </c>
      <c r="F366" s="2">
        <f t="shared" si="37"/>
        <v>1.2703349892141182</v>
      </c>
      <c r="G366" s="2">
        <f t="shared" si="38"/>
        <v>1</v>
      </c>
      <c r="H366" s="2">
        <f t="shared" si="39"/>
        <v>2.4993969139811365</v>
      </c>
      <c r="I366" s="25">
        <f t="shared" si="42"/>
        <v>13900.458813781746</v>
      </c>
      <c r="J366" s="343">
        <f t="shared" si="43"/>
        <v>1328.0693134186383</v>
      </c>
      <c r="L366" s="713">
        <v>407600</v>
      </c>
      <c r="M366" s="499">
        <v>371770</v>
      </c>
      <c r="N366" s="708" t="s">
        <v>413</v>
      </c>
      <c r="O366" s="546" t="str">
        <f>IFERROR(VLOOKUP(P366,constant_ag_extr!$D$7:$E$594,2,FALSE),"")</f>
        <v>Pepper (Piper spp.)</v>
      </c>
      <c r="P366" s="547">
        <f t="shared" si="40"/>
        <v>687</v>
      </c>
      <c r="Q366" s="590">
        <f t="shared" si="41"/>
        <v>1</v>
      </c>
    </row>
    <row r="367" spans="1:17" ht="12.75" customHeight="1">
      <c r="A367" s="84" t="s">
        <v>2508</v>
      </c>
      <c r="B367" s="399">
        <v>689</v>
      </c>
      <c r="C367" s="24" t="s">
        <v>2509</v>
      </c>
      <c r="D367" s="499">
        <v>7889</v>
      </c>
      <c r="E367" s="499">
        <v>210</v>
      </c>
      <c r="F367" s="2">
        <f t="shared" si="37"/>
        <v>2.4702958454214352</v>
      </c>
      <c r="G367" s="2">
        <f t="shared" si="38"/>
        <v>1</v>
      </c>
      <c r="H367" s="2">
        <f t="shared" si="39"/>
        <v>2.4993969139811365</v>
      </c>
      <c r="I367" s="25">
        <f t="shared" si="42"/>
        <v>7981.9355608531641</v>
      </c>
      <c r="J367" s="343">
        <f t="shared" si="43"/>
        <v>212.47388360744893</v>
      </c>
      <c r="L367" s="713">
        <v>787908</v>
      </c>
      <c r="M367" s="499">
        <v>852204</v>
      </c>
      <c r="N367" s="708" t="s">
        <v>413</v>
      </c>
      <c r="O367" s="546" t="str">
        <f>IFERROR(VLOOKUP(P367,constant_ag_extr!$D$7:$E$594,2,FALSE),"")</f>
        <v>Chillies and peppers, dry</v>
      </c>
      <c r="P367" s="547">
        <f t="shared" si="40"/>
        <v>689</v>
      </c>
      <c r="Q367" s="590">
        <f t="shared" si="41"/>
        <v>1</v>
      </c>
    </row>
    <row r="368" spans="1:17" ht="12.75" customHeight="1">
      <c r="A368" s="84" t="s">
        <v>4425</v>
      </c>
      <c r="B368" s="399">
        <v>692</v>
      </c>
      <c r="C368" s="24" t="s">
        <v>4426</v>
      </c>
      <c r="D368" s="499">
        <v>313</v>
      </c>
      <c r="E368" s="499">
        <v>154</v>
      </c>
      <c r="F368" s="2">
        <f t="shared" si="37"/>
        <v>6.9742066021328847E-2</v>
      </c>
      <c r="G368" s="2">
        <f t="shared" si="38"/>
        <v>1</v>
      </c>
      <c r="H368" s="2">
        <f t="shared" si="39"/>
        <v>2.4993969139811365</v>
      </c>
      <c r="I368" s="25">
        <f t="shared" si="42"/>
        <v>11217.207615226735</v>
      </c>
      <c r="J368" s="343">
        <f t="shared" si="43"/>
        <v>5519.0094975875954</v>
      </c>
      <c r="L368" s="713">
        <v>5996</v>
      </c>
      <c r="M368" s="499">
        <v>6455</v>
      </c>
      <c r="N368" s="708" t="s">
        <v>413</v>
      </c>
      <c r="O368" s="546" t="str">
        <f>IFERROR(VLOOKUP(P368,constant_ag_extr!$D$7:$E$594,2,FALSE),"")</f>
        <v>Vanilla</v>
      </c>
      <c r="P368" s="547">
        <f t="shared" si="40"/>
        <v>692</v>
      </c>
      <c r="Q368" s="590">
        <f t="shared" si="41"/>
        <v>1</v>
      </c>
    </row>
    <row r="369" spans="1:17" ht="12.75" customHeight="1">
      <c r="A369" s="84" t="s">
        <v>2512</v>
      </c>
      <c r="B369" s="399">
        <v>693</v>
      </c>
      <c r="C369" s="24" t="s">
        <v>2513</v>
      </c>
      <c r="D369" s="499">
        <v>2673</v>
      </c>
      <c r="E369" s="499">
        <v>203</v>
      </c>
      <c r="F369" s="2">
        <f t="shared" si="37"/>
        <v>0.72189330833018284</v>
      </c>
      <c r="G369" s="2">
        <f t="shared" si="38"/>
        <v>1</v>
      </c>
      <c r="H369" s="2">
        <f t="shared" si="39"/>
        <v>2.4993969139811365</v>
      </c>
      <c r="I369" s="25">
        <f t="shared" si="42"/>
        <v>9254.674996953765</v>
      </c>
      <c r="J369" s="343">
        <f t="shared" si="43"/>
        <v>702.84288229764843</v>
      </c>
      <c r="L369" s="713">
        <v>174205</v>
      </c>
      <c r="M369" s="499">
        <v>162779</v>
      </c>
      <c r="N369" s="708" t="s">
        <v>413</v>
      </c>
      <c r="O369" s="546" t="str">
        <f>IFERROR(VLOOKUP(P369,constant_ag_extr!$D$7:$E$594,2,FALSE),"")</f>
        <v>Cinnamon (canella)</v>
      </c>
      <c r="P369" s="547">
        <f t="shared" si="40"/>
        <v>693</v>
      </c>
      <c r="Q369" s="590">
        <f t="shared" si="41"/>
        <v>1</v>
      </c>
    </row>
    <row r="370" spans="1:17" ht="12.75" customHeight="1">
      <c r="A370" s="84" t="s">
        <v>2516</v>
      </c>
      <c r="B370" s="399">
        <v>698</v>
      </c>
      <c r="C370" s="24" t="s">
        <v>3213</v>
      </c>
      <c r="D370" s="499">
        <v>222</v>
      </c>
      <c r="E370" s="499">
        <v>57</v>
      </c>
      <c r="F370" s="2">
        <f t="shared" si="37"/>
        <v>0.24228437387210841</v>
      </c>
      <c r="G370" s="2">
        <f t="shared" si="38"/>
        <v>1</v>
      </c>
      <c r="H370" s="2">
        <f t="shared" si="39"/>
        <v>2.4993969139811365</v>
      </c>
      <c r="I370" s="25">
        <f t="shared" si="42"/>
        <v>2290.1440403940474</v>
      </c>
      <c r="J370" s="343">
        <f t="shared" si="43"/>
        <v>588.00995631739056</v>
      </c>
      <c r="L370" s="713">
        <v>68214</v>
      </c>
      <c r="M370" s="499">
        <v>72488</v>
      </c>
      <c r="N370" s="708" t="s">
        <v>413</v>
      </c>
      <c r="O370" s="546" t="str">
        <f>IFERROR(VLOOKUP(P370,constant_ag_extr!$D$7:$E$594,2,FALSE),"")</f>
        <v>Cloves</v>
      </c>
      <c r="P370" s="547">
        <f t="shared" si="40"/>
        <v>698</v>
      </c>
      <c r="Q370" s="590">
        <f t="shared" si="41"/>
        <v>1</v>
      </c>
    </row>
    <row r="371" spans="1:17" ht="12.75" customHeight="1">
      <c r="A371" s="84" t="s">
        <v>790</v>
      </c>
      <c r="B371" s="399">
        <v>702</v>
      </c>
      <c r="C371" s="24" t="s">
        <v>4520</v>
      </c>
      <c r="D371" s="499">
        <v>1000</v>
      </c>
      <c r="E371" s="499">
        <v>384</v>
      </c>
      <c r="F371" s="2">
        <f t="shared" si="37"/>
        <v>0.29352747417704622</v>
      </c>
      <c r="G371" s="2">
        <f t="shared" si="38"/>
        <v>1</v>
      </c>
      <c r="H371" s="2">
        <f t="shared" si="39"/>
        <v>2.4993969139811365</v>
      </c>
      <c r="I371" s="25">
        <f t="shared" si="42"/>
        <v>8515.0356742196527</v>
      </c>
      <c r="J371" s="343">
        <f t="shared" si="43"/>
        <v>3269.773698900347</v>
      </c>
      <c r="L371" s="713">
        <v>71641</v>
      </c>
      <c r="M371" s="499">
        <v>100638</v>
      </c>
      <c r="N371" s="708" t="s">
        <v>413</v>
      </c>
      <c r="O371" s="546" t="str">
        <f>IFERROR(VLOOKUP(P371,constant_ag_extr!$D$7:$E$594,2,FALSE),"")</f>
        <v>Nutmeg, mace and cardamoms</v>
      </c>
      <c r="P371" s="547">
        <f t="shared" si="40"/>
        <v>702</v>
      </c>
      <c r="Q371" s="590">
        <f t="shared" si="41"/>
        <v>1</v>
      </c>
    </row>
    <row r="372" spans="1:17" ht="12.75" customHeight="1">
      <c r="A372" s="84" t="s">
        <v>773</v>
      </c>
      <c r="B372" s="399">
        <v>711</v>
      </c>
      <c r="C372" s="24" t="s">
        <v>4516</v>
      </c>
      <c r="D372" s="499">
        <v>3325</v>
      </c>
      <c r="E372" s="499">
        <v>5407</v>
      </c>
      <c r="F372" s="2">
        <f t="shared" si="37"/>
        <v>0.93005466750316979</v>
      </c>
      <c r="G372" s="2">
        <f t="shared" si="38"/>
        <v>1</v>
      </c>
      <c r="H372" s="2">
        <f t="shared" si="39"/>
        <v>2.4993969139811365</v>
      </c>
      <c r="I372" s="25">
        <f t="shared" si="42"/>
        <v>8935.4906000285791</v>
      </c>
      <c r="J372" s="343">
        <f t="shared" si="43"/>
        <v>14530.585766723165</v>
      </c>
      <c r="L372" s="713">
        <v>436462</v>
      </c>
      <c r="M372" s="499">
        <v>512768</v>
      </c>
      <c r="N372" s="708" t="s">
        <v>413</v>
      </c>
      <c r="O372" s="546" t="str">
        <f>IFERROR(VLOOKUP(P372,constant_ag_extr!$D$7:$E$594,2,FALSE),"")</f>
        <v>Anise, badian, fennel, corian.</v>
      </c>
      <c r="P372" s="547">
        <f t="shared" si="40"/>
        <v>711</v>
      </c>
      <c r="Q372" s="590">
        <f t="shared" si="41"/>
        <v>1</v>
      </c>
    </row>
    <row r="373" spans="1:17" ht="12.75" customHeight="1">
      <c r="A373" s="84" t="s">
        <v>5065</v>
      </c>
      <c r="B373" s="399">
        <v>720</v>
      </c>
      <c r="C373" s="24" t="s">
        <v>5066</v>
      </c>
      <c r="D373" s="499">
        <v>17331</v>
      </c>
      <c r="E373" s="499">
        <v>117</v>
      </c>
      <c r="F373" s="2">
        <f t="shared" si="37"/>
        <v>9.4598685497361981</v>
      </c>
      <c r="G373" s="2">
        <f t="shared" si="38"/>
        <v>1</v>
      </c>
      <c r="H373" s="2">
        <f t="shared" si="39"/>
        <v>2.4993969139811365</v>
      </c>
      <c r="I373" s="25">
        <f t="shared" si="42"/>
        <v>4579.0327517198994</v>
      </c>
      <c r="J373" s="343">
        <f t="shared" si="43"/>
        <v>30.912632390007978</v>
      </c>
      <c r="L373" s="713">
        <v>798228</v>
      </c>
      <c r="M373" s="499">
        <v>824727</v>
      </c>
      <c r="N373" s="708" t="s">
        <v>413</v>
      </c>
      <c r="O373" s="546" t="str">
        <f>IFERROR(VLOOKUP(P373,constant_ag_extr!$D$7:$E$594,2,FALSE),"")</f>
        <v>Ginger</v>
      </c>
      <c r="P373" s="547">
        <f t="shared" si="40"/>
        <v>720</v>
      </c>
      <c r="Q373" s="590">
        <f t="shared" si="41"/>
        <v>1</v>
      </c>
    </row>
    <row r="374" spans="1:17" ht="12.75" customHeight="1">
      <c r="A374" s="84" t="s">
        <v>665</v>
      </c>
      <c r="B374" s="399">
        <v>723</v>
      </c>
      <c r="C374" s="24" t="s">
        <v>709</v>
      </c>
      <c r="D374" s="499">
        <v>7594</v>
      </c>
      <c r="E374" s="499">
        <v>2017</v>
      </c>
      <c r="F374" s="2">
        <f t="shared" si="37"/>
        <v>1.7020924317104515</v>
      </c>
      <c r="G374" s="2">
        <f t="shared" si="38"/>
        <v>1</v>
      </c>
      <c r="H374" s="2">
        <f t="shared" si="39"/>
        <v>2.4993969139811365</v>
      </c>
      <c r="I374" s="25">
        <f t="shared" si="42"/>
        <v>11151.22763673834</v>
      </c>
      <c r="J374" s="343">
        <f t="shared" si="43"/>
        <v>2961.8153994339254</v>
      </c>
      <c r="L374" s="713">
        <v>524120</v>
      </c>
      <c r="M374" s="499">
        <v>522633</v>
      </c>
      <c r="N374" s="708" t="s">
        <v>413</v>
      </c>
      <c r="O374" s="546" t="str">
        <f>IFERROR(VLOOKUP(P374,constant_ag_extr!$D$7:$E$594,2,FALSE),"")</f>
        <v>Spices, nes</v>
      </c>
      <c r="P374" s="547">
        <f t="shared" si="40"/>
        <v>723</v>
      </c>
      <c r="Q374" s="590">
        <f t="shared" si="41"/>
        <v>1</v>
      </c>
    </row>
    <row r="375" spans="1:17" ht="12.75" customHeight="1">
      <c r="A375" s="84" t="s">
        <v>4793</v>
      </c>
      <c r="B375" s="399">
        <v>737</v>
      </c>
      <c r="C375" s="24" t="s">
        <v>4794</v>
      </c>
      <c r="D375" s="499"/>
      <c r="E375" s="499"/>
      <c r="F375" s="2">
        <f t="shared" si="37"/>
        <v>0</v>
      </c>
      <c r="G375" s="2">
        <f t="shared" si="38"/>
        <v>1</v>
      </c>
      <c r="H375" s="2">
        <f t="shared" si="39"/>
        <v>2.4993969139811365</v>
      </c>
      <c r="I375" s="25">
        <f t="shared" si="42"/>
        <v>0</v>
      </c>
      <c r="J375" s="343">
        <f t="shared" si="43"/>
        <v>0</v>
      </c>
      <c r="L375" s="713">
        <v>1732</v>
      </c>
      <c r="M375" s="499">
        <v>1120</v>
      </c>
      <c r="N375" s="708" t="s">
        <v>2796</v>
      </c>
      <c r="O375" s="546" t="str">
        <f>IFERROR(VLOOKUP(P375,constant_ag_extr!$D$7:$E$594,2,FALSE),"")</f>
        <v>Oil Citronella</v>
      </c>
      <c r="P375" s="547">
        <f t="shared" si="40"/>
        <v>737</v>
      </c>
      <c r="Q375" s="590">
        <f t="shared" si="41"/>
        <v>1</v>
      </c>
    </row>
    <row r="376" spans="1:17" ht="12.75" customHeight="1">
      <c r="A376" s="84" t="s">
        <v>2857</v>
      </c>
      <c r="B376" s="399">
        <v>748</v>
      </c>
      <c r="C376" s="24" t="s">
        <v>2858</v>
      </c>
      <c r="D376" s="499"/>
      <c r="E376" s="499"/>
      <c r="F376" s="2">
        <f t="shared" si="37"/>
        <v>28.382721366790463</v>
      </c>
      <c r="G376" s="2">
        <f t="shared" si="38"/>
        <v>1</v>
      </c>
      <c r="H376" s="2">
        <f t="shared" si="39"/>
        <v>2.4993969139811365</v>
      </c>
      <c r="I376" s="25">
        <f t="shared" si="42"/>
        <v>0</v>
      </c>
      <c r="J376" s="343">
        <f t="shared" si="43"/>
        <v>0</v>
      </c>
      <c r="L376" s="713">
        <v>2656</v>
      </c>
      <c r="M376" s="499">
        <v>9503</v>
      </c>
      <c r="N376" s="708" t="s">
        <v>413</v>
      </c>
      <c r="O376" s="546" t="str">
        <f>IFERROR(VLOOKUP(P376,constant_ag_extr!$D$7:$E$594,2,FALSE),"")</f>
        <v>Peppermint</v>
      </c>
      <c r="P376" s="547">
        <f t="shared" si="40"/>
        <v>748</v>
      </c>
      <c r="Q376" s="590">
        <f t="shared" si="41"/>
        <v>1</v>
      </c>
    </row>
    <row r="377" spans="1:17" ht="12.75" customHeight="1">
      <c r="A377" s="84" t="s">
        <v>4795</v>
      </c>
      <c r="B377" s="399">
        <v>753</v>
      </c>
      <c r="C377" s="24" t="s">
        <v>2914</v>
      </c>
      <c r="D377" s="499">
        <v>9397</v>
      </c>
      <c r="E377" s="499">
        <v>2908</v>
      </c>
      <c r="F377" s="2">
        <f t="shared" si="37"/>
        <v>0</v>
      </c>
      <c r="G377" s="2">
        <f t="shared" si="38"/>
        <v>1</v>
      </c>
      <c r="H377" s="2">
        <f t="shared" si="39"/>
        <v>2.4993969139811365</v>
      </c>
      <c r="I377" s="25">
        <f t="shared" si="42"/>
        <v>0</v>
      </c>
      <c r="J377" s="343">
        <f t="shared" si="43"/>
        <v>0</v>
      </c>
      <c r="L377" s="713">
        <v>260613</v>
      </c>
      <c r="M377" s="499">
        <v>283165</v>
      </c>
      <c r="N377" s="708" t="s">
        <v>2796</v>
      </c>
      <c r="O377" s="546">
        <f>IFERROR(VLOOKUP(P377,constant_ag_extr!$D$7:$E$594,2,FALSE),"")</f>
        <v>0</v>
      </c>
      <c r="P377" s="547" t="str">
        <f t="shared" si="40"/>
        <v/>
      </c>
      <c r="Q377" s="590">
        <f t="shared" si="41"/>
        <v>1</v>
      </c>
    </row>
    <row r="378" spans="1:17" ht="12.75" customHeight="1">
      <c r="A378" s="84" t="s">
        <v>3593</v>
      </c>
      <c r="B378" s="399">
        <v>754</v>
      </c>
      <c r="C378" s="24" t="s">
        <v>3594</v>
      </c>
      <c r="D378" s="499"/>
      <c r="E378" s="499"/>
      <c r="F378" s="2">
        <f t="shared" si="37"/>
        <v>0.40835601522713522</v>
      </c>
      <c r="G378" s="2">
        <f t="shared" si="38"/>
        <v>1</v>
      </c>
      <c r="H378" s="2">
        <f t="shared" si="39"/>
        <v>2.4993969139811365</v>
      </c>
      <c r="I378" s="25">
        <f t="shared" si="42"/>
        <v>0</v>
      </c>
      <c r="J378" s="343">
        <f t="shared" si="43"/>
        <v>0</v>
      </c>
      <c r="L378" s="713">
        <v>8530</v>
      </c>
      <c r="M378" s="499">
        <v>4154</v>
      </c>
      <c r="N378" s="708" t="s">
        <v>413</v>
      </c>
      <c r="O378" s="546" t="str">
        <f>IFERROR(VLOOKUP(P378,constant_ag_extr!$D$7:$E$594,2,FALSE),"")</f>
        <v>Pyrethrum,Dried</v>
      </c>
      <c r="P378" s="547">
        <f t="shared" si="40"/>
        <v>754</v>
      </c>
      <c r="Q378" s="590">
        <f t="shared" si="41"/>
        <v>1</v>
      </c>
    </row>
    <row r="379" spans="1:17" ht="12.75" customHeight="1">
      <c r="A379" s="84" t="s">
        <v>3591</v>
      </c>
      <c r="B379" s="399">
        <v>755</v>
      </c>
      <c r="C379" s="24" t="s">
        <v>3592</v>
      </c>
      <c r="D379" s="499">
        <v>19</v>
      </c>
      <c r="E379" s="499">
        <v>12</v>
      </c>
      <c r="F379" s="2">
        <f t="shared" si="37"/>
        <v>0</v>
      </c>
      <c r="G379" s="2">
        <f t="shared" si="38"/>
        <v>1</v>
      </c>
      <c r="H379" s="2">
        <f t="shared" si="39"/>
        <v>2.4993969139811365</v>
      </c>
      <c r="I379" s="25">
        <f t="shared" si="42"/>
        <v>0</v>
      </c>
      <c r="J379" s="343">
        <f t="shared" si="43"/>
        <v>0</v>
      </c>
      <c r="L379" s="713">
        <v>92</v>
      </c>
      <c r="M379" s="499">
        <v>116</v>
      </c>
      <c r="N379" s="708" t="s">
        <v>413</v>
      </c>
      <c r="O379" s="546">
        <f>IFERROR(VLOOKUP(P379,constant_ag_extr!$D$7:$E$594,2,FALSE),"")</f>
        <v>0</v>
      </c>
      <c r="P379" s="547" t="str">
        <f t="shared" si="40"/>
        <v/>
      </c>
      <c r="Q379" s="590">
        <f t="shared" si="41"/>
        <v>1</v>
      </c>
    </row>
    <row r="380" spans="1:17" ht="12.75" customHeight="1">
      <c r="A380" s="84" t="s">
        <v>886</v>
      </c>
      <c r="B380" s="399">
        <v>767</v>
      </c>
      <c r="C380" s="24" t="s">
        <v>3512</v>
      </c>
      <c r="D380" s="499">
        <v>452</v>
      </c>
      <c r="E380" s="499">
        <v>1</v>
      </c>
      <c r="F380" s="2">
        <f t="shared" si="37"/>
        <v>0.94460055738380488</v>
      </c>
      <c r="G380" s="2">
        <f t="shared" si="38"/>
        <v>1</v>
      </c>
      <c r="H380" s="2">
        <f t="shared" si="39"/>
        <v>2.4993969139811365</v>
      </c>
      <c r="I380" s="25">
        <f t="shared" si="42"/>
        <v>1195.9842668825031</v>
      </c>
      <c r="J380" s="343">
        <f t="shared" si="43"/>
        <v>2.6459828913329719</v>
      </c>
      <c r="L380" s="713">
        <v>7977980</v>
      </c>
      <c r="M380" s="499">
        <v>8270420</v>
      </c>
      <c r="N380" s="708" t="s">
        <v>2796</v>
      </c>
      <c r="O380" s="546" t="str">
        <f>IFERROR(VLOOKUP(P380,constant_ag_extr!$D$7:$E$594,2,FALSE),"")</f>
        <v>Seed Cotton</v>
      </c>
      <c r="P380" s="547">
        <f t="shared" si="40"/>
        <v>328</v>
      </c>
      <c r="Q380" s="590">
        <f t="shared" si="41"/>
        <v>0.47307063890401385</v>
      </c>
    </row>
    <row r="381" spans="1:17" ht="12.75" customHeight="1">
      <c r="A381" s="84" t="s">
        <v>7031</v>
      </c>
      <c r="B381" s="399">
        <v>768</v>
      </c>
      <c r="C381" s="24" t="s">
        <v>2968</v>
      </c>
      <c r="D381" s="499">
        <v>35</v>
      </c>
      <c r="E381" s="499">
        <v>1</v>
      </c>
      <c r="F381" s="2">
        <f t="shared" si="37"/>
        <v>0.94460055738380488</v>
      </c>
      <c r="G381" s="2">
        <f t="shared" si="38"/>
        <v>1</v>
      </c>
      <c r="H381" s="2">
        <f t="shared" si="39"/>
        <v>2.4993969139811365</v>
      </c>
      <c r="I381" s="25">
        <f t="shared" si="42"/>
        <v>92.609401196653991</v>
      </c>
      <c r="J381" s="343">
        <f t="shared" si="43"/>
        <v>2.6459828913329719</v>
      </c>
      <c r="L381" s="713">
        <v>134489</v>
      </c>
      <c r="M381" s="499">
        <v>115038</v>
      </c>
      <c r="N381" s="708" t="s">
        <v>2796</v>
      </c>
      <c r="O381" s="546" t="str">
        <f>IFERROR(VLOOKUP(P381,constant_ag_extr!$D$7:$E$594,2,FALSE),"")</f>
        <v>Seed Cotton</v>
      </c>
      <c r="P381" s="547">
        <f t="shared" si="40"/>
        <v>328</v>
      </c>
      <c r="Q381" s="590">
        <f t="shared" si="41"/>
        <v>0.47307063890401385</v>
      </c>
    </row>
    <row r="382" spans="1:17" ht="12.75" customHeight="1">
      <c r="A382" s="84" t="s">
        <v>1363</v>
      </c>
      <c r="B382" s="399">
        <v>769</v>
      </c>
      <c r="C382" s="24" t="s">
        <v>511</v>
      </c>
      <c r="D382" s="499">
        <v>7858</v>
      </c>
      <c r="E382" s="499">
        <v>357</v>
      </c>
      <c r="F382" s="2">
        <f t="shared" si="37"/>
        <v>1.6429784332753898</v>
      </c>
      <c r="G382" s="2">
        <f t="shared" si="38"/>
        <v>1</v>
      </c>
      <c r="H382" s="2">
        <f t="shared" si="39"/>
        <v>2.4993969139811365</v>
      </c>
      <c r="I382" s="25">
        <f t="shared" si="42"/>
        <v>11954.058892245814</v>
      </c>
      <c r="J382" s="343">
        <f t="shared" si="43"/>
        <v>543.08972060724818</v>
      </c>
      <c r="L382" s="713">
        <v>447025</v>
      </c>
      <c r="M382" s="499">
        <v>484038</v>
      </c>
      <c r="N382" s="708" t="s">
        <v>2796</v>
      </c>
      <c r="O382" s="546" t="str">
        <f>IFERROR(VLOOKUP(P382,constant_ag_extr!$D$7:$E$594,2,FALSE),"")</f>
        <v>Seed Cotton</v>
      </c>
      <c r="P382" s="547">
        <f t="shared" si="40"/>
        <v>328</v>
      </c>
      <c r="Q382" s="590">
        <f t="shared" si="41"/>
        <v>0.82282913244068578</v>
      </c>
    </row>
    <row r="383" spans="1:17" ht="12.75" customHeight="1">
      <c r="A383" s="84" t="s">
        <v>5298</v>
      </c>
      <c r="B383" s="399">
        <v>770</v>
      </c>
      <c r="C383" s="24" t="s">
        <v>5299</v>
      </c>
      <c r="D383" s="499">
        <v>92</v>
      </c>
      <c r="E383" s="499">
        <v>3</v>
      </c>
      <c r="F383" s="2">
        <f t="shared" si="37"/>
        <v>2.4102842846998076</v>
      </c>
      <c r="G383" s="2">
        <f t="shared" si="38"/>
        <v>1</v>
      </c>
      <c r="H383" s="2">
        <f t="shared" si="39"/>
        <v>2.4993969139811365</v>
      </c>
      <c r="I383" s="25">
        <f t="shared" si="42"/>
        <v>95.401408682753512</v>
      </c>
      <c r="J383" s="343">
        <f t="shared" si="43"/>
        <v>3.110915500524571</v>
      </c>
      <c r="L383" s="713">
        <v>110932</v>
      </c>
      <c r="M383" s="499">
        <v>120134</v>
      </c>
      <c r="N383" s="708" t="s">
        <v>2796</v>
      </c>
      <c r="O383" s="546" t="str">
        <f>IFERROR(VLOOKUP(P383,constant_ag_extr!$D$7:$E$594,2,FALSE),"")</f>
        <v>Seed Cotton</v>
      </c>
      <c r="P383" s="547">
        <f t="shared" si="40"/>
        <v>328</v>
      </c>
      <c r="Q383" s="590">
        <f t="shared" si="41"/>
        <v>1.2071078273140889</v>
      </c>
    </row>
    <row r="384" spans="1:17" ht="12.75" customHeight="1">
      <c r="A384" s="84" t="s">
        <v>2145</v>
      </c>
      <c r="B384" s="399">
        <v>771</v>
      </c>
      <c r="C384" s="24" t="s">
        <v>2146</v>
      </c>
      <c r="D384" s="499">
        <v>240</v>
      </c>
      <c r="E384" s="499">
        <v>1247</v>
      </c>
      <c r="F384" s="2">
        <f t="shared" si="37"/>
        <v>1.3897390723675553</v>
      </c>
      <c r="G384" s="2">
        <f t="shared" si="38"/>
        <v>1</v>
      </c>
      <c r="H384" s="2">
        <f t="shared" si="39"/>
        <v>2.4993969139811365</v>
      </c>
      <c r="I384" s="25">
        <f t="shared" si="42"/>
        <v>431.63157119383646</v>
      </c>
      <c r="J384" s="343">
        <f t="shared" si="43"/>
        <v>2242.6857053279755</v>
      </c>
      <c r="L384" s="713">
        <v>39723</v>
      </c>
      <c r="M384" s="499">
        <v>3460</v>
      </c>
      <c r="N384" s="708" t="s">
        <v>2796</v>
      </c>
      <c r="O384" s="546" t="str">
        <f>IFERROR(VLOOKUP(P384,constant_ag_extr!$D$7:$E$594,2,FALSE),"")</f>
        <v>Flax fibre and tow</v>
      </c>
      <c r="P384" s="547">
        <f t="shared" si="40"/>
        <v>773</v>
      </c>
      <c r="Q384" s="590">
        <f t="shared" si="41"/>
        <v>0.40656607254211946</v>
      </c>
    </row>
    <row r="385" spans="1:17" ht="12.75" customHeight="1">
      <c r="A385" s="84" t="s">
        <v>4316</v>
      </c>
      <c r="B385" s="399">
        <v>773</v>
      </c>
      <c r="C385" s="24" t="s">
        <v>4517</v>
      </c>
      <c r="D385" s="499">
        <v>100</v>
      </c>
      <c r="E385" s="499">
        <v>1.5</v>
      </c>
      <c r="F385" s="2">
        <f t="shared" si="37"/>
        <v>3.4182367054830456</v>
      </c>
      <c r="G385" s="2">
        <f t="shared" si="38"/>
        <v>1</v>
      </c>
      <c r="H385" s="2">
        <f t="shared" si="39"/>
        <v>2.4993969139811365</v>
      </c>
      <c r="I385" s="25">
        <f t="shared" si="42"/>
        <v>73.119480285609299</v>
      </c>
      <c r="J385" s="343">
        <f t="shared" si="43"/>
        <v>1.0967922042841396</v>
      </c>
      <c r="L385" s="713">
        <v>226307</v>
      </c>
      <c r="M385" s="499">
        <v>304268</v>
      </c>
      <c r="N385" s="708" t="s">
        <v>413</v>
      </c>
      <c r="O385" s="546" t="str">
        <f>IFERROR(VLOOKUP(P385,constant_ag_extr!$D$7:$E$594,2,FALSE),"")</f>
        <v>Flax fibre and tow</v>
      </c>
      <c r="P385" s="547">
        <f t="shared" si="40"/>
        <v>773</v>
      </c>
      <c r="Q385" s="590">
        <f t="shared" si="41"/>
        <v>1</v>
      </c>
    </row>
    <row r="386" spans="1:17" ht="12.75" customHeight="1">
      <c r="A386" s="84" t="s">
        <v>2147</v>
      </c>
      <c r="B386" s="399">
        <v>774</v>
      </c>
      <c r="C386" s="24" t="s">
        <v>2148</v>
      </c>
      <c r="D386" s="499">
        <v>0</v>
      </c>
      <c r="E386" s="499">
        <v>9843</v>
      </c>
      <c r="F386" s="2">
        <f t="shared" si="37"/>
        <v>1.7197894549474391</v>
      </c>
      <c r="G386" s="2">
        <f t="shared" si="38"/>
        <v>1</v>
      </c>
      <c r="H386" s="2">
        <f t="shared" si="39"/>
        <v>2.4993969139811365</v>
      </c>
      <c r="I386" s="25">
        <f t="shared" si="42"/>
        <v>0</v>
      </c>
      <c r="J386" s="343">
        <f t="shared" si="43"/>
        <v>14304.98585367138</v>
      </c>
      <c r="L386" s="713">
        <v>189020</v>
      </c>
      <c r="M386" s="499">
        <v>253048</v>
      </c>
      <c r="N386" s="708" t="s">
        <v>2796</v>
      </c>
      <c r="O386" s="546" t="str">
        <f>IFERROR(VLOOKUP(P386,constant_ag_extr!$D$7:$E$594,2,FALSE),"")</f>
        <v>Flax fibre and tow</v>
      </c>
      <c r="P386" s="547">
        <f t="shared" si="40"/>
        <v>773</v>
      </c>
      <c r="Q386" s="590">
        <f t="shared" si="41"/>
        <v>0.5031218148786476</v>
      </c>
    </row>
    <row r="387" spans="1:17" ht="12.75" customHeight="1">
      <c r="A387" s="84" t="s">
        <v>4737</v>
      </c>
      <c r="B387" s="399">
        <v>777</v>
      </c>
      <c r="C387" s="24" t="s">
        <v>4518</v>
      </c>
      <c r="D387" s="499"/>
      <c r="E387" s="499"/>
      <c r="F387" s="2">
        <f t="shared" si="37"/>
        <v>2.9774193227348191</v>
      </c>
      <c r="G387" s="2">
        <f t="shared" si="38"/>
        <v>1</v>
      </c>
      <c r="H387" s="2">
        <f t="shared" si="39"/>
        <v>2.4993969139811365</v>
      </c>
      <c r="I387" s="25">
        <f t="shared" si="42"/>
        <v>0</v>
      </c>
      <c r="J387" s="343">
        <f t="shared" si="43"/>
        <v>0</v>
      </c>
      <c r="L387" s="713"/>
      <c r="M387" s="499"/>
      <c r="N387" s="708" t="s">
        <v>413</v>
      </c>
      <c r="O387" s="546" t="str">
        <f>IFERROR(VLOOKUP(P387,constant_ag_extr!$D$7:$E$594,2,FALSE),"")</f>
        <v>Hemp Tow Waste</v>
      </c>
      <c r="P387" s="547">
        <f t="shared" si="40"/>
        <v>777</v>
      </c>
      <c r="Q387" s="590">
        <f t="shared" si="41"/>
        <v>1</v>
      </c>
    </row>
    <row r="388" spans="1:17" ht="12.75" customHeight="1">
      <c r="A388" s="84" t="s">
        <v>5168</v>
      </c>
      <c r="B388" s="399">
        <v>778</v>
      </c>
      <c r="C388" s="24" t="s">
        <v>4574</v>
      </c>
      <c r="D388" s="499"/>
      <c r="E388" s="499"/>
      <c r="F388" s="2">
        <f t="shared" si="37"/>
        <v>2.4199757228551655</v>
      </c>
      <c r="G388" s="2">
        <f t="shared" si="38"/>
        <v>1</v>
      </c>
      <c r="H388" s="2">
        <f t="shared" si="39"/>
        <v>2.4993969139811365</v>
      </c>
      <c r="I388" s="25">
        <f t="shared" si="42"/>
        <v>0</v>
      </c>
      <c r="J388" s="343">
        <f t="shared" si="43"/>
        <v>0</v>
      </c>
      <c r="L388" s="713">
        <v>0</v>
      </c>
      <c r="M388" s="499">
        <v>0</v>
      </c>
      <c r="N388" s="708" t="s">
        <v>413</v>
      </c>
      <c r="O388" s="546" t="str">
        <f>IFERROR(VLOOKUP(P388,constant_ag_extr!$D$7:$E$594,2,FALSE),"")</f>
        <v>Kapok Fruit</v>
      </c>
      <c r="P388" s="547">
        <f t="shared" si="40"/>
        <v>310</v>
      </c>
      <c r="Q388" s="590">
        <f t="shared" si="41"/>
        <v>2.3209172932330753</v>
      </c>
    </row>
    <row r="389" spans="1:17" ht="12.75" customHeight="1">
      <c r="A389" s="84" t="s">
        <v>804</v>
      </c>
      <c r="B389" s="399">
        <v>780</v>
      </c>
      <c r="C389" s="24" t="s">
        <v>560</v>
      </c>
      <c r="D389" s="499">
        <v>90</v>
      </c>
      <c r="E389" s="499">
        <v>172</v>
      </c>
      <c r="F389" s="2">
        <f t="shared" si="37"/>
        <v>2.118417615424339</v>
      </c>
      <c r="G389" s="2">
        <f t="shared" si="38"/>
        <v>1</v>
      </c>
      <c r="H389" s="2">
        <f t="shared" si="39"/>
        <v>2.4993969139811365</v>
      </c>
      <c r="I389" s="25">
        <f t="shared" si="42"/>
        <v>106.18573062292231</v>
      </c>
      <c r="J389" s="343">
        <f t="shared" si="43"/>
        <v>202.93272963491819</v>
      </c>
      <c r="L389" s="713">
        <v>286429</v>
      </c>
      <c r="M389" s="499">
        <v>276448</v>
      </c>
      <c r="N389" s="708" t="s">
        <v>413</v>
      </c>
      <c r="O389" s="546" t="str">
        <f>IFERROR(VLOOKUP(P389,constant_ag_extr!$D$7:$E$594,2,FALSE),"")</f>
        <v>Jute</v>
      </c>
      <c r="P389" s="547">
        <f t="shared" si="40"/>
        <v>780</v>
      </c>
      <c r="Q389" s="590">
        <f t="shared" si="41"/>
        <v>1</v>
      </c>
    </row>
    <row r="390" spans="1:17" ht="12.75" customHeight="1">
      <c r="A390" s="84" t="s">
        <v>5011</v>
      </c>
      <c r="B390" s="399">
        <v>782</v>
      </c>
      <c r="C390" s="24" t="s">
        <v>5378</v>
      </c>
      <c r="D390" s="499"/>
      <c r="E390" s="499"/>
      <c r="F390" s="2">
        <f t="shared" si="37"/>
        <v>1.3243633378484518</v>
      </c>
      <c r="G390" s="2">
        <f t="shared" si="38"/>
        <v>1</v>
      </c>
      <c r="H390" s="2">
        <f t="shared" si="39"/>
        <v>2.4993969139811365</v>
      </c>
      <c r="I390" s="25">
        <f t="shared" si="42"/>
        <v>0</v>
      </c>
      <c r="J390" s="343">
        <f t="shared" si="43"/>
        <v>0</v>
      </c>
      <c r="L390" s="713"/>
      <c r="M390" s="499"/>
      <c r="N390" s="708" t="s">
        <v>413</v>
      </c>
      <c r="O390" s="546" t="str">
        <f>IFERROR(VLOOKUP(P390,constant_ag_extr!$D$7:$E$594,2,FALSE),"")</f>
        <v>Other Bastfibres</v>
      </c>
      <c r="P390" s="547">
        <f t="shared" si="40"/>
        <v>782</v>
      </c>
      <c r="Q390" s="590">
        <f t="shared" si="41"/>
        <v>1</v>
      </c>
    </row>
    <row r="391" spans="1:17" ht="12.75" customHeight="1">
      <c r="A391" s="84" t="s">
        <v>3596</v>
      </c>
      <c r="B391" s="399">
        <v>788</v>
      </c>
      <c r="C391" s="24" t="s">
        <v>3597</v>
      </c>
      <c r="D391" s="499"/>
      <c r="E391" s="499"/>
      <c r="F391" s="2">
        <f t="shared" ref="F391:F426" si="44">IFERROR(VLOOKUP(P391,crop_efp,4,FALSE)*Q391,0)</f>
        <v>1.766143494532197</v>
      </c>
      <c r="G391" s="2">
        <f t="shared" ref="G391:G426" si="45">VLOOKUP("Crop Land",iyf,2,FALSE)</f>
        <v>1</v>
      </c>
      <c r="H391" s="2">
        <f t="shared" ref="H391:H426" si="46">VLOOKUP("Crop Land",eqf,2,FALSE)</f>
        <v>2.4993969139811365</v>
      </c>
      <c r="I391" s="25">
        <f t="shared" si="42"/>
        <v>0</v>
      </c>
      <c r="J391" s="343">
        <f t="shared" si="43"/>
        <v>0</v>
      </c>
      <c r="L391" s="713"/>
      <c r="M391" s="499"/>
      <c r="N391" s="708" t="s">
        <v>413</v>
      </c>
      <c r="O391" s="546" t="str">
        <f>IFERROR(VLOOKUP(P391,constant_ag_extr!$D$7:$E$594,2,FALSE),"")</f>
        <v>Ramie</v>
      </c>
      <c r="P391" s="547">
        <f t="shared" ref="P391:P426" si="47">IFERROR(VLOOKUP(B391,constant_ag_extr,3,FALSE),"")</f>
        <v>788</v>
      </c>
      <c r="Q391" s="590">
        <f t="shared" ref="Q391:Q426" si="48">IFERROR(VLOOKUP(B391,constant_ag_extr,14,FALSE),"")</f>
        <v>1</v>
      </c>
    </row>
    <row r="392" spans="1:17" ht="12.75" customHeight="1">
      <c r="A392" s="84" t="s">
        <v>662</v>
      </c>
      <c r="B392" s="399">
        <v>789</v>
      </c>
      <c r="C392" s="24" t="s">
        <v>5380</v>
      </c>
      <c r="D392" s="499"/>
      <c r="E392" s="499"/>
      <c r="F392" s="2">
        <f t="shared" si="44"/>
        <v>0.79130402920150833</v>
      </c>
      <c r="G392" s="2">
        <f t="shared" si="45"/>
        <v>1</v>
      </c>
      <c r="H392" s="2">
        <f t="shared" si="46"/>
        <v>2.4993969139811365</v>
      </c>
      <c r="I392" s="25">
        <f t="shared" si="42"/>
        <v>0</v>
      </c>
      <c r="J392" s="343">
        <f t="shared" si="43"/>
        <v>0</v>
      </c>
      <c r="L392" s="713"/>
      <c r="M392" s="499"/>
      <c r="N392" s="708" t="s">
        <v>413</v>
      </c>
      <c r="O392" s="546" t="str">
        <f>IFERROR(VLOOKUP(P392,constant_ag_extr!$D$7:$E$594,2,FALSE),"")</f>
        <v>Sisal</v>
      </c>
      <c r="P392" s="547">
        <f t="shared" si="47"/>
        <v>789</v>
      </c>
      <c r="Q392" s="590">
        <f t="shared" si="48"/>
        <v>1</v>
      </c>
    </row>
    <row r="393" spans="1:17" ht="12.75" customHeight="1">
      <c r="A393" s="84" t="s">
        <v>3241</v>
      </c>
      <c r="B393" s="399">
        <v>800</v>
      </c>
      <c r="C393" s="24" t="s">
        <v>5373</v>
      </c>
      <c r="D393" s="499"/>
      <c r="E393" s="499"/>
      <c r="F393" s="2">
        <f t="shared" si="44"/>
        <v>0.5693615327412257</v>
      </c>
      <c r="G393" s="2">
        <f t="shared" si="45"/>
        <v>1</v>
      </c>
      <c r="H393" s="2">
        <f t="shared" si="46"/>
        <v>2.4993969139811365</v>
      </c>
      <c r="I393" s="25">
        <f t="shared" si="42"/>
        <v>0</v>
      </c>
      <c r="J393" s="343">
        <f t="shared" si="43"/>
        <v>0</v>
      </c>
      <c r="L393" s="713"/>
      <c r="M393" s="499"/>
      <c r="N393" s="708" t="s">
        <v>413</v>
      </c>
      <c r="O393" s="546" t="str">
        <f>IFERROR(VLOOKUP(P393,constant_ag_extr!$D$7:$E$594,2,FALSE),"")</f>
        <v>Agave Fibres Nes</v>
      </c>
      <c r="P393" s="547">
        <f t="shared" si="47"/>
        <v>800</v>
      </c>
      <c r="Q393" s="590">
        <f t="shared" si="48"/>
        <v>1</v>
      </c>
    </row>
    <row r="394" spans="1:17" ht="12.75" customHeight="1">
      <c r="A394" s="84" t="s">
        <v>4122</v>
      </c>
      <c r="B394" s="399">
        <v>809</v>
      </c>
      <c r="C394" s="24" t="s">
        <v>2085</v>
      </c>
      <c r="D394" s="499">
        <v>0</v>
      </c>
      <c r="E394" s="499">
        <v>0</v>
      </c>
      <c r="F394" s="2">
        <f t="shared" si="44"/>
        <v>0.57301744139398236</v>
      </c>
      <c r="G394" s="2">
        <f t="shared" si="45"/>
        <v>1</v>
      </c>
      <c r="H394" s="2">
        <f t="shared" si="46"/>
        <v>2.4993969139811365</v>
      </c>
      <c r="I394" s="25">
        <f t="shared" si="42"/>
        <v>0</v>
      </c>
      <c r="J394" s="343">
        <f t="shared" si="43"/>
        <v>0</v>
      </c>
      <c r="L394" s="713">
        <v>22729</v>
      </c>
      <c r="M394" s="499">
        <v>59252</v>
      </c>
      <c r="N394" s="708" t="s">
        <v>413</v>
      </c>
      <c r="O394" s="546" t="str">
        <f>IFERROR(VLOOKUP(P394,constant_ag_extr!$D$7:$E$594,2,FALSE),"")</f>
        <v>Manila Fibre (Abaca)</v>
      </c>
      <c r="P394" s="547">
        <f t="shared" si="47"/>
        <v>809</v>
      </c>
      <c r="Q394" s="590">
        <f t="shared" si="48"/>
        <v>1</v>
      </c>
    </row>
    <row r="395" spans="1:17" ht="12.75" customHeight="1">
      <c r="A395" s="84" t="s">
        <v>3391</v>
      </c>
      <c r="B395" s="399">
        <v>813</v>
      </c>
      <c r="C395" s="24" t="s">
        <v>3392</v>
      </c>
      <c r="D395" s="499">
        <v>100</v>
      </c>
      <c r="E395" s="499">
        <v>0.75</v>
      </c>
      <c r="F395" s="2">
        <f t="shared" si="44"/>
        <v>0</v>
      </c>
      <c r="G395" s="2">
        <f t="shared" si="45"/>
        <v>1</v>
      </c>
      <c r="H395" s="2">
        <f t="shared" si="46"/>
        <v>2.4993969139811365</v>
      </c>
      <c r="I395" s="25">
        <f t="shared" si="42"/>
        <v>0</v>
      </c>
      <c r="J395" s="343">
        <f t="shared" si="43"/>
        <v>0</v>
      </c>
      <c r="L395" s="713">
        <v>21057</v>
      </c>
      <c r="M395" s="499">
        <v>895633</v>
      </c>
      <c r="N395" s="708" t="s">
        <v>413</v>
      </c>
      <c r="O395" s="546">
        <f>IFERROR(VLOOKUP(P395,constant_ag_extr!$D$7:$E$594,2,FALSE),"")</f>
        <v>0</v>
      </c>
      <c r="P395" s="547" t="str">
        <f t="shared" si="47"/>
        <v/>
      </c>
      <c r="Q395" s="590">
        <f t="shared" si="48"/>
        <v>1</v>
      </c>
    </row>
    <row r="396" spans="1:17" ht="12.75" customHeight="1">
      <c r="A396" s="84" t="s">
        <v>2140</v>
      </c>
      <c r="B396" s="399">
        <v>821</v>
      </c>
      <c r="C396" s="24" t="s">
        <v>2141</v>
      </c>
      <c r="D396" s="499">
        <v>11977</v>
      </c>
      <c r="E396" s="499">
        <v>887</v>
      </c>
      <c r="F396" s="2">
        <f t="shared" si="44"/>
        <v>0.64515972546379996</v>
      </c>
      <c r="G396" s="2">
        <f t="shared" si="45"/>
        <v>1</v>
      </c>
      <c r="H396" s="2">
        <f t="shared" si="46"/>
        <v>2.4993969139811365</v>
      </c>
      <c r="I396" s="25">
        <f t="shared" si="42"/>
        <v>46399.79164420384</v>
      </c>
      <c r="J396" s="343">
        <f t="shared" si="43"/>
        <v>3436.3041820496628</v>
      </c>
      <c r="L396" s="713">
        <v>993160</v>
      </c>
      <c r="M396" s="499">
        <v>362320</v>
      </c>
      <c r="N396" s="708" t="s">
        <v>413</v>
      </c>
      <c r="O396" s="546" t="str">
        <f>IFERROR(VLOOKUP(P396,constant_ag_extr!$D$7:$E$594,2,FALSE),"")</f>
        <v>Fibre Crops Nes</v>
      </c>
      <c r="P396" s="547">
        <f t="shared" si="47"/>
        <v>821</v>
      </c>
      <c r="Q396" s="590">
        <f t="shared" si="48"/>
        <v>1</v>
      </c>
    </row>
    <row r="397" spans="1:17" ht="12.75" customHeight="1">
      <c r="A397" s="84" t="s">
        <v>4421</v>
      </c>
      <c r="B397" s="399">
        <v>826</v>
      </c>
      <c r="C397" s="24" t="s">
        <v>3556</v>
      </c>
      <c r="D397" s="499">
        <v>12523</v>
      </c>
      <c r="E397" s="499">
        <v>17685</v>
      </c>
      <c r="F397" s="2">
        <f t="shared" si="44"/>
        <v>1.6345550245811744</v>
      </c>
      <c r="G397" s="2">
        <f t="shared" si="45"/>
        <v>1</v>
      </c>
      <c r="H397" s="2">
        <f t="shared" si="46"/>
        <v>2.4993969139811365</v>
      </c>
      <c r="I397" s="25">
        <f t="shared" si="42"/>
        <v>19148.910304690311</v>
      </c>
      <c r="J397" s="343">
        <f t="shared" si="43"/>
        <v>27042.120796809722</v>
      </c>
      <c r="L397" s="713">
        <v>2462940</v>
      </c>
      <c r="M397" s="499">
        <v>2425230</v>
      </c>
      <c r="N397" s="708" t="s">
        <v>413</v>
      </c>
      <c r="O397" s="546" t="str">
        <f>IFERROR(VLOOKUP(P397,constant_ag_extr!$D$7:$E$594,2,FALSE),"")</f>
        <v>Tobacco, unmanufactured</v>
      </c>
      <c r="P397" s="547">
        <f t="shared" si="47"/>
        <v>826</v>
      </c>
      <c r="Q397" s="590">
        <f t="shared" si="48"/>
        <v>1</v>
      </c>
    </row>
    <row r="398" spans="1:17" ht="12.75" customHeight="1">
      <c r="A398" s="84" t="s">
        <v>4326</v>
      </c>
      <c r="B398" s="399">
        <v>828</v>
      </c>
      <c r="C398" s="24" t="s">
        <v>4555</v>
      </c>
      <c r="D398" s="499">
        <v>389</v>
      </c>
      <c r="E398" s="499">
        <v>4704</v>
      </c>
      <c r="F398" s="2">
        <f t="shared" si="44"/>
        <v>0</v>
      </c>
      <c r="G398" s="2">
        <f t="shared" si="45"/>
        <v>1</v>
      </c>
      <c r="H398" s="2">
        <f t="shared" si="46"/>
        <v>2.4993969139811365</v>
      </c>
      <c r="I398" s="25">
        <f t="shared" si="42"/>
        <v>0</v>
      </c>
      <c r="J398" s="343">
        <f t="shared" si="43"/>
        <v>0</v>
      </c>
      <c r="L398" s="713">
        <v>1264670</v>
      </c>
      <c r="M398" s="499">
        <v>1593230</v>
      </c>
      <c r="N398" s="708" t="s">
        <v>2796</v>
      </c>
      <c r="O398" s="546">
        <f>IFERROR(VLOOKUP(P398,constant_ag_extr!$D$7:$E$594,2,FALSE),"")</f>
        <v>0</v>
      </c>
      <c r="P398" s="547" t="str">
        <f t="shared" si="47"/>
        <v/>
      </c>
      <c r="Q398" s="590">
        <f t="shared" si="48"/>
        <v>1</v>
      </c>
    </row>
    <row r="399" spans="1:17" ht="12.75" customHeight="1">
      <c r="A399" s="84" t="s">
        <v>7021</v>
      </c>
      <c r="B399" s="399">
        <v>829</v>
      </c>
      <c r="C399" s="24" t="s">
        <v>2750</v>
      </c>
      <c r="D399" s="499">
        <v>3263</v>
      </c>
      <c r="E399" s="499">
        <v>31</v>
      </c>
      <c r="F399" s="2">
        <f t="shared" si="44"/>
        <v>0</v>
      </c>
      <c r="G399" s="2">
        <f t="shared" si="45"/>
        <v>1</v>
      </c>
      <c r="H399" s="2">
        <f t="shared" si="46"/>
        <v>2.4993969139811365</v>
      </c>
      <c r="I399" s="25">
        <f t="shared" si="42"/>
        <v>0</v>
      </c>
      <c r="J399" s="343">
        <f t="shared" si="43"/>
        <v>0</v>
      </c>
      <c r="L399" s="713">
        <v>66593</v>
      </c>
      <c r="M399" s="499">
        <v>79571</v>
      </c>
      <c r="N399" s="708" t="s">
        <v>2796</v>
      </c>
      <c r="O399" s="546">
        <f>IFERROR(VLOOKUP(P399,constant_ag_extr!$D$7:$E$594,2,FALSE),"")</f>
        <v>0</v>
      </c>
      <c r="P399" s="547" t="str">
        <f t="shared" si="47"/>
        <v/>
      </c>
      <c r="Q399" s="590">
        <f t="shared" si="48"/>
        <v>1</v>
      </c>
    </row>
    <row r="400" spans="1:17" ht="12.75" customHeight="1">
      <c r="A400" s="84" t="s">
        <v>3245</v>
      </c>
      <c r="B400" s="399">
        <v>831</v>
      </c>
      <c r="C400" s="24" t="e">
        <v>#N/A</v>
      </c>
      <c r="D400" s="499">
        <v>3869</v>
      </c>
      <c r="E400" s="499">
        <v>277</v>
      </c>
      <c r="F400" s="2">
        <f t="shared" si="44"/>
        <v>0</v>
      </c>
      <c r="G400" s="2">
        <f t="shared" si="45"/>
        <v>1</v>
      </c>
      <c r="H400" s="2">
        <f t="shared" si="46"/>
        <v>2.4993969139811365</v>
      </c>
      <c r="I400" s="25">
        <f t="shared" si="42"/>
        <v>0</v>
      </c>
      <c r="J400" s="343">
        <f t="shared" si="43"/>
        <v>0</v>
      </c>
      <c r="L400" s="713">
        <v>942088</v>
      </c>
      <c r="M400" s="499">
        <v>680162</v>
      </c>
      <c r="N400" s="708" t="s">
        <v>2796</v>
      </c>
      <c r="O400" s="546">
        <f>IFERROR(VLOOKUP(P400,constant_ag_extr!$D$7:$E$594,2,FALSE),"")</f>
        <v>0</v>
      </c>
      <c r="P400" s="547" t="str">
        <f t="shared" si="47"/>
        <v/>
      </c>
      <c r="Q400" s="590">
        <f t="shared" si="48"/>
        <v>1</v>
      </c>
    </row>
    <row r="401" spans="1:17" ht="12.75" customHeight="1">
      <c r="A401" s="84" t="s">
        <v>7097</v>
      </c>
      <c r="B401" s="399">
        <v>836</v>
      </c>
      <c r="C401" s="24" t="s">
        <v>2850</v>
      </c>
      <c r="D401" s="499">
        <v>2204</v>
      </c>
      <c r="E401" s="499">
        <v>60</v>
      </c>
      <c r="F401" s="2">
        <f t="shared" si="44"/>
        <v>1.092384274252004</v>
      </c>
      <c r="G401" s="2">
        <f t="shared" si="45"/>
        <v>1</v>
      </c>
      <c r="H401" s="2">
        <f t="shared" si="46"/>
        <v>2.4993969139811365</v>
      </c>
      <c r="I401" s="25">
        <f t="shared" si="42"/>
        <v>5042.7957709171669</v>
      </c>
      <c r="J401" s="343">
        <f t="shared" si="43"/>
        <v>137.28119158576681</v>
      </c>
      <c r="L401" s="713">
        <v>1360360</v>
      </c>
      <c r="M401" s="499">
        <v>1702980</v>
      </c>
      <c r="N401" s="708" t="s">
        <v>413</v>
      </c>
      <c r="O401" s="546" t="str">
        <f>IFERROR(VLOOKUP(P401,constant_ag_extr!$D$7:$E$594,2,FALSE),"")</f>
        <v>Natural rubber</v>
      </c>
      <c r="P401" s="547">
        <f t="shared" si="47"/>
        <v>836</v>
      </c>
      <c r="Q401" s="590">
        <f t="shared" si="48"/>
        <v>1</v>
      </c>
    </row>
    <row r="402" spans="1:17" ht="12.75" customHeight="1">
      <c r="A402" s="84" t="s">
        <v>7096</v>
      </c>
      <c r="B402" s="399">
        <v>837</v>
      </c>
      <c r="C402" s="24" t="s">
        <v>512</v>
      </c>
      <c r="D402" s="499">
        <v>139483</v>
      </c>
      <c r="E402" s="499">
        <v>2242</v>
      </c>
      <c r="F402" s="2">
        <f t="shared" si="44"/>
        <v>0</v>
      </c>
      <c r="G402" s="2">
        <f t="shared" si="45"/>
        <v>1</v>
      </c>
      <c r="H402" s="2">
        <f t="shared" si="46"/>
        <v>2.4993969139811365</v>
      </c>
      <c r="I402" s="25">
        <f t="shared" si="42"/>
        <v>0</v>
      </c>
      <c r="J402" s="343">
        <f t="shared" si="43"/>
        <v>0</v>
      </c>
      <c r="L402" s="713">
        <v>8306710</v>
      </c>
      <c r="M402" s="499">
        <v>7955100</v>
      </c>
      <c r="N402" s="708" t="s">
        <v>2796</v>
      </c>
      <c r="O402" s="546">
        <f>IFERROR(VLOOKUP(P402,constant_ag_extr!$D$7:$E$594,2,FALSE),"")</f>
        <v>0</v>
      </c>
      <c r="P402" s="547" t="str">
        <f t="shared" si="47"/>
        <v/>
      </c>
      <c r="Q402" s="590">
        <f t="shared" si="48"/>
        <v>1</v>
      </c>
    </row>
    <row r="403" spans="1:17" ht="12.75" customHeight="1">
      <c r="A403" s="84" t="s">
        <v>5271</v>
      </c>
      <c r="B403" s="399">
        <v>839</v>
      </c>
      <c r="C403" s="24" t="s">
        <v>5272</v>
      </c>
      <c r="D403" s="499"/>
      <c r="E403" s="499"/>
      <c r="F403" s="2">
        <f t="shared" si="44"/>
        <v>0</v>
      </c>
      <c r="G403" s="2">
        <f t="shared" si="45"/>
        <v>1</v>
      </c>
      <c r="H403" s="2">
        <f t="shared" si="46"/>
        <v>2.4993969139811365</v>
      </c>
      <c r="I403" s="25">
        <f t="shared" si="42"/>
        <v>0</v>
      </c>
      <c r="J403" s="343">
        <f t="shared" si="43"/>
        <v>0</v>
      </c>
      <c r="L403" s="713"/>
      <c r="M403" s="499"/>
      <c r="N403" s="708" t="s">
        <v>413</v>
      </c>
      <c r="O403" s="546">
        <f>IFERROR(VLOOKUP(P403,constant_ag_extr!$D$7:$E$594,2,FALSE),"")</f>
        <v>0</v>
      </c>
      <c r="P403" s="547" t="str">
        <f t="shared" si="47"/>
        <v/>
      </c>
      <c r="Q403" s="590">
        <f t="shared" si="48"/>
        <v>1</v>
      </c>
    </row>
    <row r="404" spans="1:17" ht="12.75" customHeight="1">
      <c r="A404" s="84" t="s">
        <v>3393</v>
      </c>
      <c r="B404" s="399">
        <v>840</v>
      </c>
      <c r="C404" s="24" t="s">
        <v>3394</v>
      </c>
      <c r="D404" s="499"/>
      <c r="E404" s="499"/>
      <c r="F404" s="2">
        <f t="shared" si="44"/>
        <v>0</v>
      </c>
      <c r="G404" s="2">
        <f t="shared" si="45"/>
        <v>1</v>
      </c>
      <c r="H404" s="2">
        <f t="shared" si="46"/>
        <v>2.4993969139811365</v>
      </c>
      <c r="I404" s="25">
        <f t="shared" si="42"/>
        <v>0</v>
      </c>
      <c r="J404" s="343">
        <f t="shared" si="43"/>
        <v>0</v>
      </c>
      <c r="L404" s="713"/>
      <c r="M404" s="499"/>
      <c r="N404" s="708" t="s">
        <v>413</v>
      </c>
      <c r="O404" s="546">
        <f>IFERROR(VLOOKUP(P404,constant_ag_extr!$D$7:$E$594,2,FALSE),"")</f>
        <v>0</v>
      </c>
      <c r="P404" s="547" t="str">
        <f t="shared" si="47"/>
        <v/>
      </c>
      <c r="Q404" s="590">
        <f t="shared" si="48"/>
        <v>1</v>
      </c>
    </row>
    <row r="405" spans="1:17" ht="12.75" customHeight="1">
      <c r="A405" s="84" t="s">
        <v>2702</v>
      </c>
      <c r="B405" s="399">
        <v>841</v>
      </c>
      <c r="C405" s="24" t="s">
        <v>2703</v>
      </c>
      <c r="D405" s="499"/>
      <c r="E405" s="499"/>
      <c r="F405" s="2">
        <f t="shared" si="44"/>
        <v>0</v>
      </c>
      <c r="G405" s="2">
        <f t="shared" si="45"/>
        <v>1</v>
      </c>
      <c r="H405" s="2">
        <f t="shared" si="46"/>
        <v>2.4993969139811365</v>
      </c>
      <c r="I405" s="25">
        <f t="shared" si="42"/>
        <v>0</v>
      </c>
      <c r="J405" s="343">
        <f t="shared" si="43"/>
        <v>0</v>
      </c>
      <c r="L405" s="713"/>
      <c r="M405" s="499"/>
      <c r="N405" s="708" t="s">
        <v>2796</v>
      </c>
      <c r="O405" s="546">
        <f>IFERROR(VLOOKUP(P405,constant_ag_extr!$D$7:$E$594,2,FALSE),"")</f>
        <v>0</v>
      </c>
      <c r="P405" s="547" t="str">
        <f t="shared" si="47"/>
        <v/>
      </c>
      <c r="Q405" s="590">
        <f t="shared" si="48"/>
        <v>1</v>
      </c>
    </row>
    <row r="406" spans="1:17" ht="12.75" customHeight="1">
      <c r="A406" s="84" t="s">
        <v>5313</v>
      </c>
      <c r="B406" s="399">
        <v>842</v>
      </c>
      <c r="C406" s="24" t="s">
        <v>3508</v>
      </c>
      <c r="D406" s="499"/>
      <c r="E406" s="499"/>
      <c r="F406" s="2">
        <f t="shared" si="44"/>
        <v>0</v>
      </c>
      <c r="G406" s="2">
        <f t="shared" si="45"/>
        <v>1</v>
      </c>
      <c r="H406" s="2">
        <f t="shared" si="46"/>
        <v>2.4993969139811365</v>
      </c>
      <c r="I406" s="25">
        <f t="shared" si="42"/>
        <v>0</v>
      </c>
      <c r="J406" s="343">
        <f t="shared" si="43"/>
        <v>0</v>
      </c>
      <c r="L406" s="713"/>
      <c r="M406" s="499"/>
      <c r="N406" s="708" t="s">
        <v>2796</v>
      </c>
      <c r="O406" s="546">
        <f>IFERROR(VLOOKUP(P406,constant_ag_extr!$D$7:$E$594,2,FALSE),"")</f>
        <v>0</v>
      </c>
      <c r="P406" s="547" t="str">
        <f t="shared" si="47"/>
        <v/>
      </c>
      <c r="Q406" s="590">
        <f t="shared" si="48"/>
        <v>1</v>
      </c>
    </row>
    <row r="407" spans="1:17" ht="12.75" customHeight="1">
      <c r="A407" s="84" t="s">
        <v>6991</v>
      </c>
      <c r="B407" s="399">
        <v>845</v>
      </c>
      <c r="C407" s="24" t="s">
        <v>2751</v>
      </c>
      <c r="D407" s="499">
        <v>296115</v>
      </c>
      <c r="E407" s="499">
        <v>122044</v>
      </c>
      <c r="F407" s="2">
        <f t="shared" si="44"/>
        <v>0</v>
      </c>
      <c r="G407" s="2">
        <f t="shared" si="45"/>
        <v>1</v>
      </c>
      <c r="H407" s="2">
        <f t="shared" si="46"/>
        <v>2.4993969139811365</v>
      </c>
      <c r="I407" s="25">
        <f t="shared" ref="I407:I426" si="49">IFERROR((D407/F407)*H407*G407,0)</f>
        <v>0</v>
      </c>
      <c r="J407" s="343">
        <f t="shared" ref="J407:J426" si="50">IFERROR((E407/F407)*H407*G407,0)</f>
        <v>0</v>
      </c>
      <c r="L407" s="713">
        <v>2941610</v>
      </c>
      <c r="M407" s="499">
        <v>2617820</v>
      </c>
      <c r="N407" s="708" t="s">
        <v>2796</v>
      </c>
      <c r="O407" s="546">
        <f>IFERROR(VLOOKUP(P407,constant_ag_extr!$D$7:$E$594,2,FALSE),"")</f>
        <v>0</v>
      </c>
      <c r="P407" s="547" t="str">
        <f t="shared" si="47"/>
        <v/>
      </c>
      <c r="Q407" s="590">
        <f t="shared" si="48"/>
        <v>1</v>
      </c>
    </row>
    <row r="408" spans="1:17" ht="12.75" customHeight="1">
      <c r="A408" s="84" t="s">
        <v>6992</v>
      </c>
      <c r="B408" s="399">
        <v>846</v>
      </c>
      <c r="C408" s="24" t="s">
        <v>405</v>
      </c>
      <c r="D408" s="499">
        <v>92183</v>
      </c>
      <c r="E408" s="499">
        <v>89663</v>
      </c>
      <c r="F408" s="2">
        <f t="shared" si="44"/>
        <v>0.35811654091779321</v>
      </c>
      <c r="G408" s="2">
        <f t="shared" si="45"/>
        <v>1</v>
      </c>
      <c r="H408" s="2">
        <f t="shared" si="46"/>
        <v>2.4993969139811365</v>
      </c>
      <c r="I408" s="25">
        <f t="shared" si="49"/>
        <v>643371.30346183199</v>
      </c>
      <c r="J408" s="343">
        <f t="shared" si="50"/>
        <v>625783.50869789696</v>
      </c>
      <c r="L408" s="713">
        <v>4879070</v>
      </c>
      <c r="M408" s="499">
        <v>6485500</v>
      </c>
      <c r="N408" s="708" t="s">
        <v>2796</v>
      </c>
      <c r="O408" s="546" t="str">
        <f>IFERROR(VLOOKUP(P408,constant_ag_extr!$D$7:$E$594,2,FALSE),"")</f>
        <v>Wheat</v>
      </c>
      <c r="P408" s="547">
        <f t="shared" si="47"/>
        <v>15</v>
      </c>
      <c r="Q408" s="590">
        <f t="shared" si="48"/>
        <v>0.13580786044347012</v>
      </c>
    </row>
    <row r="409" spans="1:17" ht="12.75" customHeight="1">
      <c r="A409" s="84" t="s">
        <v>2138</v>
      </c>
      <c r="B409" s="399">
        <v>850</v>
      </c>
      <c r="C409" s="24" t="s">
        <v>2139</v>
      </c>
      <c r="D409" s="499">
        <v>0</v>
      </c>
      <c r="E409" s="499"/>
      <c r="F409" s="2">
        <f t="shared" si="44"/>
        <v>0</v>
      </c>
      <c r="G409" s="2">
        <f t="shared" si="45"/>
        <v>1</v>
      </c>
      <c r="H409" s="2">
        <f t="shared" si="46"/>
        <v>2.4993969139811365</v>
      </c>
      <c r="I409" s="25">
        <f t="shared" si="49"/>
        <v>0</v>
      </c>
      <c r="J409" s="343">
        <f t="shared" si="50"/>
        <v>0</v>
      </c>
      <c r="L409" s="713">
        <v>90659</v>
      </c>
      <c r="M409" s="499">
        <v>241848</v>
      </c>
      <c r="N409" s="708" t="s">
        <v>413</v>
      </c>
      <c r="O409" s="546">
        <f>IFERROR(VLOOKUP(P409,constant_ag_extr!$D$7:$E$594,2,FALSE),"")</f>
        <v>0</v>
      </c>
      <c r="P409" s="547" t="str">
        <f t="shared" si="47"/>
        <v/>
      </c>
      <c r="Q409" s="590">
        <f t="shared" si="48"/>
        <v>1</v>
      </c>
    </row>
    <row r="410" spans="1:17" ht="12.75" customHeight="1">
      <c r="A410" s="84" t="s">
        <v>544</v>
      </c>
      <c r="B410" s="399">
        <v>852</v>
      </c>
      <c r="C410" s="24" t="s">
        <v>545</v>
      </c>
      <c r="D410" s="499"/>
      <c r="E410" s="499"/>
      <c r="F410" s="2">
        <f t="shared" si="44"/>
        <v>0</v>
      </c>
      <c r="G410" s="2">
        <f t="shared" si="45"/>
        <v>1</v>
      </c>
      <c r="H410" s="2">
        <f t="shared" si="46"/>
        <v>2.4993969139811365</v>
      </c>
      <c r="I410" s="25">
        <f t="shared" si="49"/>
        <v>0</v>
      </c>
      <c r="J410" s="343">
        <f t="shared" si="50"/>
        <v>0</v>
      </c>
      <c r="L410" s="713"/>
      <c r="M410" s="499"/>
      <c r="N410" s="708" t="s">
        <v>2796</v>
      </c>
      <c r="O410" s="546">
        <f>IFERROR(VLOOKUP(P410,constant_ag_extr!$D$7:$E$594,2,FALSE),"")</f>
        <v>0</v>
      </c>
      <c r="P410" s="547" t="str">
        <f t="shared" si="47"/>
        <v/>
      </c>
      <c r="Q410" s="590">
        <f t="shared" si="48"/>
        <v>1</v>
      </c>
    </row>
    <row r="411" spans="1:17" ht="12.75" customHeight="1">
      <c r="A411" s="84" t="s">
        <v>3541</v>
      </c>
      <c r="B411" s="399">
        <v>853</v>
      </c>
      <c r="C411" s="24" t="s">
        <v>3542</v>
      </c>
      <c r="D411" s="499"/>
      <c r="E411" s="499"/>
      <c r="F411" s="2">
        <f t="shared" si="44"/>
        <v>0</v>
      </c>
      <c r="G411" s="2">
        <f t="shared" si="45"/>
        <v>1</v>
      </c>
      <c r="H411" s="2">
        <f t="shared" si="46"/>
        <v>2.4993969139811365</v>
      </c>
      <c r="I411" s="25">
        <f t="shared" si="49"/>
        <v>0</v>
      </c>
      <c r="J411" s="343">
        <f t="shared" si="50"/>
        <v>0</v>
      </c>
      <c r="L411" s="713">
        <v>70</v>
      </c>
      <c r="M411" s="499">
        <v>0</v>
      </c>
      <c r="N411" s="708" t="s">
        <v>2796</v>
      </c>
      <c r="O411" s="546">
        <f>IFERROR(VLOOKUP(P411,constant_ag_extr!$D$7:$E$594,2,FALSE),"")</f>
        <v>0</v>
      </c>
      <c r="P411" s="547" t="str">
        <f t="shared" si="47"/>
        <v/>
      </c>
      <c r="Q411" s="590">
        <f t="shared" si="48"/>
        <v>1</v>
      </c>
    </row>
    <row r="412" spans="1:17" ht="12.75" customHeight="1">
      <c r="A412" s="84" t="s">
        <v>4036</v>
      </c>
      <c r="B412" s="399">
        <v>854</v>
      </c>
      <c r="C412" s="24" t="s">
        <v>4037</v>
      </c>
      <c r="D412" s="499"/>
      <c r="E412" s="499"/>
      <c r="F412" s="2">
        <f t="shared" si="44"/>
        <v>0</v>
      </c>
      <c r="G412" s="2">
        <f t="shared" si="45"/>
        <v>1</v>
      </c>
      <c r="H412" s="2">
        <f t="shared" si="46"/>
        <v>2.4993969139811365</v>
      </c>
      <c r="I412" s="25">
        <f t="shared" si="49"/>
        <v>0</v>
      </c>
      <c r="J412" s="343">
        <f t="shared" si="50"/>
        <v>0</v>
      </c>
      <c r="L412" s="713"/>
      <c r="M412" s="499"/>
      <c r="N412" s="708" t="s">
        <v>413</v>
      </c>
      <c r="O412" s="546">
        <f>IFERROR(VLOOKUP(P412,constant_ag_extr!$D$7:$E$594,2,FALSE),"")</f>
        <v>0</v>
      </c>
      <c r="P412" s="547" t="str">
        <f t="shared" si="47"/>
        <v/>
      </c>
      <c r="Q412" s="590">
        <f t="shared" si="48"/>
        <v>1</v>
      </c>
    </row>
    <row r="413" spans="1:17" ht="12.75" customHeight="1">
      <c r="A413" s="84" t="s">
        <v>839</v>
      </c>
      <c r="B413" s="399">
        <v>855</v>
      </c>
      <c r="C413" s="24" t="s">
        <v>840</v>
      </c>
      <c r="D413" s="499"/>
      <c r="E413" s="499"/>
      <c r="F413" s="2">
        <f t="shared" si="44"/>
        <v>0</v>
      </c>
      <c r="G413" s="2">
        <f t="shared" si="45"/>
        <v>1</v>
      </c>
      <c r="H413" s="2">
        <f t="shared" si="46"/>
        <v>2.4993969139811365</v>
      </c>
      <c r="I413" s="25">
        <f t="shared" si="49"/>
        <v>0</v>
      </c>
      <c r="J413" s="343">
        <f t="shared" si="50"/>
        <v>0</v>
      </c>
      <c r="L413" s="713">
        <v>0</v>
      </c>
      <c r="M413" s="499">
        <v>0</v>
      </c>
      <c r="N413" s="708" t="s">
        <v>413</v>
      </c>
      <c r="O413" s="546">
        <f>IFERROR(VLOOKUP(P413,constant_ag_extr!$D$7:$E$594,2,FALSE),"")</f>
        <v>0</v>
      </c>
      <c r="P413" s="547" t="str">
        <f t="shared" si="47"/>
        <v/>
      </c>
      <c r="Q413" s="590">
        <f t="shared" si="48"/>
        <v>1</v>
      </c>
    </row>
    <row r="414" spans="1:17" ht="12.75" customHeight="1">
      <c r="A414" s="84" t="s">
        <v>4733</v>
      </c>
      <c r="B414" s="399">
        <v>857</v>
      </c>
      <c r="C414" s="24" t="s">
        <v>4734</v>
      </c>
      <c r="D414" s="499"/>
      <c r="E414" s="499"/>
      <c r="F414" s="2">
        <f t="shared" si="44"/>
        <v>0</v>
      </c>
      <c r="G414" s="2">
        <f t="shared" si="45"/>
        <v>1</v>
      </c>
      <c r="H414" s="2">
        <f t="shared" si="46"/>
        <v>2.4993969139811365</v>
      </c>
      <c r="I414" s="25">
        <f t="shared" si="49"/>
        <v>0</v>
      </c>
      <c r="J414" s="343">
        <f t="shared" si="50"/>
        <v>0</v>
      </c>
      <c r="L414" s="713"/>
      <c r="M414" s="499"/>
      <c r="N414" s="708" t="s">
        <v>2796</v>
      </c>
      <c r="O414" s="546">
        <f>IFERROR(VLOOKUP(P414,constant_ag_extr!$D$7:$E$594,2,FALSE),"")</f>
        <v>0</v>
      </c>
      <c r="P414" s="547" t="str">
        <f t="shared" si="47"/>
        <v/>
      </c>
      <c r="Q414" s="590">
        <f t="shared" si="48"/>
        <v>1</v>
      </c>
    </row>
    <row r="415" spans="1:17" ht="12.75" customHeight="1">
      <c r="A415" s="84" t="s">
        <v>1474</v>
      </c>
      <c r="B415" s="399">
        <v>858</v>
      </c>
      <c r="C415" s="24" t="s">
        <v>4885</v>
      </c>
      <c r="D415" s="499"/>
      <c r="E415" s="499"/>
      <c r="F415" s="2">
        <f t="shared" si="44"/>
        <v>0</v>
      </c>
      <c r="G415" s="2">
        <f t="shared" si="45"/>
        <v>1</v>
      </c>
      <c r="H415" s="2">
        <f t="shared" si="46"/>
        <v>2.4993969139811365</v>
      </c>
      <c r="I415" s="25">
        <f t="shared" si="49"/>
        <v>0</v>
      </c>
      <c r="J415" s="343">
        <f t="shared" si="50"/>
        <v>0</v>
      </c>
      <c r="L415" s="713">
        <v>0</v>
      </c>
      <c r="M415" s="499">
        <v>0</v>
      </c>
      <c r="N415" s="708" t="s">
        <v>2796</v>
      </c>
      <c r="O415" s="546">
        <f>IFERROR(VLOOKUP(P415,constant_ag_extr!$D$7:$E$594,2,FALSE),"")</f>
        <v>0</v>
      </c>
      <c r="P415" s="547" t="str">
        <f t="shared" si="47"/>
        <v/>
      </c>
      <c r="Q415" s="590">
        <f t="shared" si="48"/>
        <v>1</v>
      </c>
    </row>
    <row r="416" spans="1:17" ht="12.75" customHeight="1">
      <c r="A416" s="84" t="s">
        <v>4731</v>
      </c>
      <c r="B416" s="399">
        <v>859</v>
      </c>
      <c r="C416" s="24" t="s">
        <v>4732</v>
      </c>
      <c r="D416" s="499"/>
      <c r="E416" s="499"/>
      <c r="F416" s="2">
        <f t="shared" si="44"/>
        <v>0</v>
      </c>
      <c r="G416" s="2">
        <f t="shared" si="45"/>
        <v>1</v>
      </c>
      <c r="H416" s="2">
        <f t="shared" si="46"/>
        <v>2.4993969139811365</v>
      </c>
      <c r="I416" s="25">
        <f t="shared" si="49"/>
        <v>0</v>
      </c>
      <c r="J416" s="343">
        <f t="shared" si="50"/>
        <v>0</v>
      </c>
      <c r="L416" s="713">
        <v>140813</v>
      </c>
      <c r="M416" s="499">
        <v>58302</v>
      </c>
      <c r="N416" s="708" t="s">
        <v>2796</v>
      </c>
      <c r="O416" s="546">
        <f>IFERROR(VLOOKUP(P416,constant_ag_extr!$D$7:$E$594,2,FALSE),"")</f>
        <v>0</v>
      </c>
      <c r="P416" s="547" t="str">
        <f t="shared" si="47"/>
        <v/>
      </c>
      <c r="Q416" s="590">
        <f t="shared" si="48"/>
        <v>1</v>
      </c>
    </row>
    <row r="417" spans="1:17" ht="12.75" customHeight="1">
      <c r="A417" s="84" t="s">
        <v>4437</v>
      </c>
      <c r="B417" s="399">
        <v>862</v>
      </c>
      <c r="C417" s="24" t="s">
        <v>4438</v>
      </c>
      <c r="D417" s="499">
        <v>692</v>
      </c>
      <c r="E417" s="499">
        <v>83179</v>
      </c>
      <c r="F417" s="2">
        <f t="shared" si="44"/>
        <v>0</v>
      </c>
      <c r="G417" s="2">
        <f t="shared" si="45"/>
        <v>1</v>
      </c>
      <c r="H417" s="2">
        <f t="shared" si="46"/>
        <v>2.4993969139811365</v>
      </c>
      <c r="I417" s="25">
        <f t="shared" si="49"/>
        <v>0</v>
      </c>
      <c r="J417" s="343">
        <f t="shared" si="50"/>
        <v>0</v>
      </c>
      <c r="L417" s="713">
        <v>2202910</v>
      </c>
      <c r="M417" s="499">
        <v>1507210</v>
      </c>
      <c r="N417" s="708" t="s">
        <v>2796</v>
      </c>
      <c r="O417" s="546" t="str">
        <f>IFERROR(VLOOKUP(P417,constant_ag_extr!$D$7:$E$594,2,FALSE),"")</f>
        <v>Alfalfa for forage and silage</v>
      </c>
      <c r="P417" s="547">
        <f t="shared" si="47"/>
        <v>641</v>
      </c>
      <c r="Q417" s="590">
        <f t="shared" si="48"/>
        <v>1</v>
      </c>
    </row>
    <row r="418" spans="1:17" ht="12.75" customHeight="1">
      <c r="A418" s="84" t="s">
        <v>1367</v>
      </c>
      <c r="B418" s="399">
        <v>1222</v>
      </c>
      <c r="C418" s="24" t="s">
        <v>3065</v>
      </c>
      <c r="D418" s="499"/>
      <c r="E418" s="499"/>
      <c r="F418" s="2">
        <f t="shared" si="44"/>
        <v>0</v>
      </c>
      <c r="G418" s="2">
        <f t="shared" si="45"/>
        <v>1</v>
      </c>
      <c r="H418" s="2">
        <f t="shared" si="46"/>
        <v>2.4993969139811365</v>
      </c>
      <c r="I418" s="25">
        <f t="shared" si="49"/>
        <v>0</v>
      </c>
      <c r="J418" s="343">
        <f t="shared" si="50"/>
        <v>0</v>
      </c>
      <c r="L418" s="713"/>
      <c r="M418" s="499"/>
      <c r="N418" s="708" t="s">
        <v>2796</v>
      </c>
      <c r="O418" s="546">
        <f>IFERROR(VLOOKUP(P418,constant_ag_extr!$D$7:$E$594,2,FALSE),"")</f>
        <v>0</v>
      </c>
      <c r="P418" s="547" t="str">
        <f t="shared" si="47"/>
        <v/>
      </c>
      <c r="Q418" s="590">
        <f t="shared" si="48"/>
        <v>1</v>
      </c>
    </row>
    <row r="419" spans="1:17" ht="12.75" customHeight="1">
      <c r="A419" s="84" t="s">
        <v>4005</v>
      </c>
      <c r="B419" s="399">
        <v>1232</v>
      </c>
      <c r="C419" s="24" t="s">
        <v>4006</v>
      </c>
      <c r="D419" s="499">
        <v>858104</v>
      </c>
      <c r="E419" s="499">
        <v>516600</v>
      </c>
      <c r="F419" s="2">
        <f t="shared" si="44"/>
        <v>0</v>
      </c>
      <c r="G419" s="2">
        <f t="shared" si="45"/>
        <v>1</v>
      </c>
      <c r="H419" s="2">
        <f t="shared" si="46"/>
        <v>2.4993969139811365</v>
      </c>
      <c r="I419" s="25">
        <f t="shared" si="49"/>
        <v>0</v>
      </c>
      <c r="J419" s="343">
        <f t="shared" si="50"/>
        <v>0</v>
      </c>
      <c r="L419" s="713">
        <v>18519700</v>
      </c>
      <c r="M419" s="499">
        <v>17801800</v>
      </c>
      <c r="N419" s="708" t="s">
        <v>2796</v>
      </c>
      <c r="O419" s="546">
        <f>IFERROR(VLOOKUP(P419,constant_ag_extr!$D$7:$E$594,2,FALSE),"")</f>
        <v>0</v>
      </c>
      <c r="P419" s="547" t="str">
        <f t="shared" si="47"/>
        <v/>
      </c>
      <c r="Q419" s="590">
        <f t="shared" si="48"/>
        <v>1</v>
      </c>
    </row>
    <row r="420" spans="1:17" ht="12.75" customHeight="1">
      <c r="A420" s="84" t="s">
        <v>7068</v>
      </c>
      <c r="B420" s="399">
        <v>1241</v>
      </c>
      <c r="C420" s="24" t="s">
        <v>3267</v>
      </c>
      <c r="D420" s="499"/>
      <c r="E420" s="499"/>
      <c r="F420" s="2">
        <f t="shared" si="44"/>
        <v>0</v>
      </c>
      <c r="G420" s="2">
        <f t="shared" si="45"/>
        <v>1</v>
      </c>
      <c r="H420" s="2">
        <f t="shared" si="46"/>
        <v>2.4993969139811365</v>
      </c>
      <c r="I420" s="25">
        <f t="shared" si="49"/>
        <v>0</v>
      </c>
      <c r="J420" s="343">
        <f t="shared" si="50"/>
        <v>0</v>
      </c>
      <c r="L420" s="713">
        <v>133504</v>
      </c>
      <c r="M420" s="499">
        <v>110164</v>
      </c>
      <c r="N420" s="708" t="s">
        <v>2796</v>
      </c>
      <c r="O420" s="546">
        <f>IFERROR(VLOOKUP(P420,constant_ag_extr!$D$7:$E$594,2,FALSE),"")</f>
        <v>0</v>
      </c>
      <c r="P420" s="547" t="str">
        <f t="shared" si="47"/>
        <v/>
      </c>
      <c r="Q420" s="590">
        <f t="shared" si="48"/>
        <v>1</v>
      </c>
    </row>
    <row r="421" spans="1:17" ht="12.75" customHeight="1">
      <c r="A421" s="84" t="s">
        <v>4993</v>
      </c>
      <c r="B421" s="399">
        <v>1242</v>
      </c>
      <c r="C421" s="24" t="s">
        <v>3268</v>
      </c>
      <c r="D421" s="499">
        <v>1739</v>
      </c>
      <c r="E421" s="499">
        <v>8824</v>
      </c>
      <c r="F421" s="2">
        <f t="shared" si="44"/>
        <v>0</v>
      </c>
      <c r="G421" s="2">
        <f t="shared" si="45"/>
        <v>1</v>
      </c>
      <c r="H421" s="2">
        <f t="shared" si="46"/>
        <v>2.4993969139811365</v>
      </c>
      <c r="I421" s="25">
        <f t="shared" si="49"/>
        <v>0</v>
      </c>
      <c r="J421" s="343">
        <f t="shared" si="50"/>
        <v>0</v>
      </c>
      <c r="L421" s="713">
        <v>1137570</v>
      </c>
      <c r="M421" s="499">
        <v>1216740</v>
      </c>
      <c r="N421" s="708" t="s">
        <v>2796</v>
      </c>
      <c r="O421" s="546">
        <f>IFERROR(VLOOKUP(P421,constant_ag_extr!$D$7:$E$594,2,FALSE),"")</f>
        <v>0</v>
      </c>
      <c r="P421" s="547" t="str">
        <f t="shared" si="47"/>
        <v/>
      </c>
      <c r="Q421" s="590">
        <f t="shared" si="48"/>
        <v>1</v>
      </c>
    </row>
    <row r="422" spans="1:17" ht="12.75" customHeight="1">
      <c r="A422" s="84" t="s">
        <v>2058</v>
      </c>
      <c r="B422" s="399">
        <v>1259</v>
      </c>
      <c r="C422" s="24" t="s">
        <v>2059</v>
      </c>
      <c r="D422" s="499"/>
      <c r="E422" s="499"/>
      <c r="F422" s="2">
        <f t="shared" si="44"/>
        <v>0</v>
      </c>
      <c r="G422" s="2">
        <f t="shared" si="45"/>
        <v>1</v>
      </c>
      <c r="H422" s="2">
        <f t="shared" si="46"/>
        <v>2.4993969139811365</v>
      </c>
      <c r="I422" s="25">
        <f t="shared" si="49"/>
        <v>0</v>
      </c>
      <c r="J422" s="343">
        <f t="shared" si="50"/>
        <v>0</v>
      </c>
      <c r="L422" s="713"/>
      <c r="M422" s="499"/>
      <c r="N422" s="708" t="s">
        <v>2796</v>
      </c>
      <c r="O422" s="546">
        <f>IFERROR(VLOOKUP(P422,constant_ag_extr!$D$7:$E$594,2,FALSE),"")</f>
        <v>0</v>
      </c>
      <c r="P422" s="547" t="str">
        <f t="shared" si="47"/>
        <v/>
      </c>
      <c r="Q422" s="590">
        <f t="shared" si="48"/>
        <v>1</v>
      </c>
    </row>
    <row r="423" spans="1:17" ht="12.75" customHeight="1">
      <c r="A423" s="84" t="s">
        <v>7072</v>
      </c>
      <c r="B423" s="399">
        <v>1274</v>
      </c>
      <c r="C423" s="24" t="s">
        <v>111</v>
      </c>
      <c r="D423" s="499">
        <v>7187</v>
      </c>
      <c r="E423" s="499">
        <v>87691</v>
      </c>
      <c r="F423" s="2">
        <f t="shared" si="44"/>
        <v>0</v>
      </c>
      <c r="G423" s="2">
        <f t="shared" si="45"/>
        <v>1</v>
      </c>
      <c r="H423" s="2">
        <f t="shared" si="46"/>
        <v>2.4993969139811365</v>
      </c>
      <c r="I423" s="25">
        <f t="shared" si="49"/>
        <v>0</v>
      </c>
      <c r="J423" s="343">
        <f t="shared" si="50"/>
        <v>0</v>
      </c>
      <c r="L423" s="713">
        <v>5410820</v>
      </c>
      <c r="M423" s="499">
        <v>3794850</v>
      </c>
      <c r="N423" s="708" t="s">
        <v>2796</v>
      </c>
      <c r="O423" s="546">
        <f>IFERROR(VLOOKUP(P423,constant_ag_extr!$D$7:$E$594,2,FALSE),"")</f>
        <v>0</v>
      </c>
      <c r="P423" s="547" t="str">
        <f t="shared" si="47"/>
        <v/>
      </c>
      <c r="Q423" s="590">
        <f t="shared" si="48"/>
        <v>1</v>
      </c>
    </row>
    <row r="424" spans="1:17" ht="12.75" customHeight="1">
      <c r="A424" s="84" t="s">
        <v>618</v>
      </c>
      <c r="B424" s="399">
        <v>1275</v>
      </c>
      <c r="C424" s="24" t="s">
        <v>3270</v>
      </c>
      <c r="D424" s="499"/>
      <c r="E424" s="499"/>
      <c r="F424" s="2">
        <f t="shared" si="44"/>
        <v>0</v>
      </c>
      <c r="G424" s="2">
        <f t="shared" si="45"/>
        <v>1</v>
      </c>
      <c r="H424" s="2">
        <f t="shared" si="46"/>
        <v>2.4993969139811365</v>
      </c>
      <c r="I424" s="25">
        <f t="shared" si="49"/>
        <v>0</v>
      </c>
      <c r="J424" s="343">
        <f t="shared" si="50"/>
        <v>0</v>
      </c>
      <c r="L424" s="713"/>
      <c r="M424" s="499"/>
      <c r="N424" s="708" t="s">
        <v>2796</v>
      </c>
      <c r="O424" s="546">
        <f>IFERROR(VLOOKUP(P424,constant_ag_extr!$D$7:$E$594,2,FALSE),"")</f>
        <v>0</v>
      </c>
      <c r="P424" s="547" t="str">
        <f t="shared" si="47"/>
        <v/>
      </c>
      <c r="Q424" s="590">
        <f t="shared" si="48"/>
        <v>1</v>
      </c>
    </row>
    <row r="425" spans="1:17" ht="12.75" customHeight="1">
      <c r="A425" s="84" t="s">
        <v>1365</v>
      </c>
      <c r="B425" s="399">
        <v>1293</v>
      </c>
      <c r="C425" s="24" t="s">
        <v>1366</v>
      </c>
      <c r="D425" s="499">
        <v>0</v>
      </c>
      <c r="E425" s="499">
        <v>0</v>
      </c>
      <c r="F425" s="2">
        <f t="shared" si="44"/>
        <v>0</v>
      </c>
      <c r="G425" s="2">
        <f t="shared" si="45"/>
        <v>1</v>
      </c>
      <c r="H425" s="2">
        <f t="shared" si="46"/>
        <v>2.4993969139811365</v>
      </c>
      <c r="I425" s="25">
        <f t="shared" si="49"/>
        <v>0</v>
      </c>
      <c r="J425" s="343">
        <f t="shared" si="50"/>
        <v>0</v>
      </c>
      <c r="L425" s="713">
        <v>0</v>
      </c>
      <c r="M425" s="499">
        <v>0</v>
      </c>
      <c r="N425" s="708" t="s">
        <v>2796</v>
      </c>
      <c r="O425" s="546">
        <f>IFERROR(VLOOKUP(P425,constant_ag_extr!$D$7:$E$594,2,FALSE),"")</f>
        <v>0</v>
      </c>
      <c r="P425" s="547" t="str">
        <f t="shared" si="47"/>
        <v/>
      </c>
      <c r="Q425" s="590">
        <f t="shared" si="48"/>
        <v>1</v>
      </c>
    </row>
    <row r="426" spans="1:17" ht="12.75" customHeight="1">
      <c r="A426" s="85" t="s">
        <v>267</v>
      </c>
      <c r="B426" s="401">
        <v>1296</v>
      </c>
      <c r="C426" s="59" t="s">
        <v>268</v>
      </c>
      <c r="D426" s="500">
        <v>911</v>
      </c>
      <c r="E426" s="500">
        <v>9</v>
      </c>
      <c r="F426" s="346">
        <f t="shared" si="44"/>
        <v>0</v>
      </c>
      <c r="G426" s="57">
        <f t="shared" si="45"/>
        <v>1</v>
      </c>
      <c r="H426" s="57">
        <f t="shared" si="46"/>
        <v>2.4993969139811365</v>
      </c>
      <c r="I426" s="344">
        <f t="shared" si="49"/>
        <v>0</v>
      </c>
      <c r="J426" s="44">
        <f t="shared" si="50"/>
        <v>0</v>
      </c>
      <c r="L426" s="714">
        <v>40056</v>
      </c>
      <c r="M426" s="500">
        <v>29495</v>
      </c>
      <c r="N426" s="709" t="s">
        <v>2796</v>
      </c>
      <c r="O426" s="549">
        <f>IFERROR(VLOOKUP(P426,constant_ag_extr!$D$7:$E$594,2,FALSE),"")</f>
        <v>0</v>
      </c>
      <c r="P426" s="550" t="str">
        <f t="shared" si="47"/>
        <v/>
      </c>
      <c r="Q426" s="711">
        <f t="shared" si="48"/>
        <v>1</v>
      </c>
    </row>
  </sheetData>
  <sortState xmlns:xlrd2="http://schemas.microsoft.com/office/spreadsheetml/2017/richdata2" ref="A7:P429">
    <sortCondition ref="B7:B429"/>
  </sortState>
  <phoneticPr fontId="5" type="noConversion"/>
  <hyperlinks>
    <hyperlink ref="E2" location="eqf" tooltip="Go to eqf" display="eqf" xr:uid="{00000000-0004-0000-1100-000000000000}"/>
    <hyperlink ref="C3" location="ef_crop!A1" tooltip="Go to ef_crop" display="ef_crop" xr:uid="{00000000-0004-0000-1100-000001000000}"/>
    <hyperlink ref="D2" location="constant_ag_extr!A1" tooltip="Go to crop_trade_yield_w" display="constant_ag_extr" xr:uid="{00000000-0004-0000-1100-000002000000}"/>
    <hyperlink ref="F2" location="iyf" display="iyf" xr:uid="{00000000-0004-0000-1100-000003000000}"/>
    <hyperlink ref="C2" location="crop_efp!A1" tooltip="Go to crop_trade_yield_w" display="crop_efp" xr:uid="{00000000-0004-0000-1100-000004000000}"/>
  </hyperlinks>
  <pageMargins left="0.75" right="0.75" top="1" bottom="1" header="0.5" footer="0.5"/>
  <pageSetup orientation="portrait" verticalDpi="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autoPageBreaks="0"/>
  </sheetPr>
  <dimension ref="A1:K67"/>
  <sheetViews>
    <sheetView tabSelected="1" zoomScale="118" zoomScaleNormal="118" workbookViewId="0">
      <selection activeCell="K42" sqref="K42"/>
    </sheetView>
  </sheetViews>
  <sheetFormatPr defaultColWidth="9.1796875" defaultRowHeight="12.75" customHeight="1"/>
  <cols>
    <col min="1" max="1" width="45.54296875" style="8" customWidth="1"/>
    <col min="2" max="11" width="16.81640625" style="1" customWidth="1"/>
    <col min="12" max="16384" width="9.1796875" style="1"/>
  </cols>
  <sheetData>
    <row r="1" spans="1:11" s="58" customFormat="1" ht="18">
      <c r="A1" s="1185" t="str">
        <f ca="1">"National Footprint Accounts 2022 Edition - Data Year " &amp; YEAR</f>
        <v>National Footprint Accounts 2022 Edition - Data Year 2018</v>
      </c>
      <c r="B1" s="1186"/>
      <c r="C1" s="1186"/>
      <c r="D1" s="1186"/>
      <c r="E1" s="1186"/>
      <c r="F1" s="1186"/>
      <c r="G1" s="1186"/>
      <c r="H1" s="1186"/>
      <c r="I1" s="1186"/>
      <c r="J1" s="1186"/>
      <c r="K1" s="1187"/>
    </row>
    <row r="2" spans="1:11" s="38" customFormat="1" ht="30">
      <c r="A2" s="1170" t="str">
        <f>COUNTRY</f>
        <v>Canada</v>
      </c>
      <c r="B2" s="1171"/>
      <c r="C2" s="1171"/>
      <c r="D2" s="1171"/>
      <c r="E2" s="1171"/>
      <c r="F2" s="1171"/>
      <c r="G2" s="1171"/>
      <c r="H2" s="1171"/>
      <c r="I2" s="1171"/>
      <c r="J2" s="1171"/>
      <c r="K2" s="1172"/>
    </row>
    <row r="3" spans="1:11" s="36" customFormat="1" ht="12.75" customHeight="1">
      <c r="A3" s="37"/>
      <c r="B3" s="53"/>
      <c r="C3" s="53"/>
      <c r="D3" s="53"/>
      <c r="I3" s="53"/>
      <c r="J3" s="53"/>
    </row>
    <row r="4" spans="1:11" s="36" customFormat="1" ht="12.75" customHeight="1">
      <c r="A4" s="12" t="s">
        <v>2798</v>
      </c>
      <c r="B4" s="7"/>
      <c r="C4" s="7"/>
      <c r="D4" s="7"/>
      <c r="E4" s="7"/>
      <c r="F4" s="7"/>
      <c r="G4" s="1"/>
      <c r="H4" s="1"/>
      <c r="I4" s="1"/>
      <c r="J4" s="1"/>
      <c r="K4" s="7"/>
    </row>
    <row r="5" spans="1:11" s="36" customFormat="1" ht="15">
      <c r="A5" s="159" t="s">
        <v>5412</v>
      </c>
      <c r="B5" s="1163" t="s">
        <v>2982</v>
      </c>
      <c r="C5" s="1169"/>
      <c r="D5" s="1169" t="s">
        <v>2392</v>
      </c>
      <c r="E5" s="1169"/>
      <c r="F5" s="1169" t="s">
        <v>2393</v>
      </c>
      <c r="G5" s="1173"/>
      <c r="H5" s="1169" t="s">
        <v>2394</v>
      </c>
      <c r="I5" s="1173"/>
      <c r="J5" s="1163" t="s">
        <v>1783</v>
      </c>
      <c r="K5" s="1164"/>
    </row>
    <row r="6" spans="1:11" s="36" customFormat="1" ht="12.75" customHeight="1">
      <c r="A6" s="160" t="s">
        <v>542</v>
      </c>
      <c r="B6" s="1165" t="s">
        <v>720</v>
      </c>
      <c r="C6" s="1167"/>
      <c r="D6" s="1167" t="s">
        <v>720</v>
      </c>
      <c r="E6" s="1167"/>
      <c r="F6" s="1167" t="s">
        <v>720</v>
      </c>
      <c r="G6" s="1168"/>
      <c r="H6" s="1167" t="s">
        <v>720</v>
      </c>
      <c r="I6" s="1168"/>
      <c r="J6" s="1165" t="s">
        <v>720</v>
      </c>
      <c r="K6" s="1166"/>
    </row>
    <row r="7" spans="1:11" s="36" customFormat="1" ht="12.75" customHeight="1">
      <c r="A7" s="72" t="s">
        <v>6174</v>
      </c>
      <c r="B7" s="1178">
        <f>ef_crop!B7</f>
        <v>102005959.85502966</v>
      </c>
      <c r="C7" s="1180"/>
      <c r="D7" s="1180">
        <f>ef_crop!C7</f>
        <v>15922858.201156098</v>
      </c>
      <c r="E7" s="1180"/>
      <c r="F7" s="1180">
        <f>ef_crop!D7</f>
        <v>84814926.19354786</v>
      </c>
      <c r="G7" s="1179"/>
      <c r="H7" s="1180">
        <f>IF(COUNTRY="World",ef_crop!B7,ef_crop!E7)</f>
        <v>33113891.862637892</v>
      </c>
      <c r="I7" s="1179"/>
      <c r="J7" s="1178">
        <f>biocap!F3</f>
        <v>102005959.85502967</v>
      </c>
      <c r="K7" s="1179"/>
    </row>
    <row r="8" spans="1:11" s="36" customFormat="1" ht="12.75" customHeight="1">
      <c r="A8" s="72" t="s">
        <v>6173</v>
      </c>
      <c r="B8" s="1181">
        <f>ef_grazing!B5</f>
        <v>12421174.057624212</v>
      </c>
      <c r="C8" s="1182"/>
      <c r="D8" s="1180">
        <f>ef_grazing!C5</f>
        <v>4748035.2553544594</v>
      </c>
      <c r="E8" s="1180"/>
      <c r="F8" s="1180">
        <f>ef_grazing!D5</f>
        <v>6466959.8228655066</v>
      </c>
      <c r="G8" s="1179"/>
      <c r="H8" s="1180">
        <f>IF(COUNTRY="World",ef_grazing!B5,ef_grazing!E5)</f>
        <v>10702249.490113163</v>
      </c>
      <c r="I8" s="1179"/>
      <c r="J8" s="1178">
        <f>biocap!F4</f>
        <v>12421174.057624212</v>
      </c>
      <c r="K8" s="1179"/>
    </row>
    <row r="9" spans="1:11" s="36" customFormat="1" ht="12.75" customHeight="1">
      <c r="A9" s="72" t="s">
        <v>6171</v>
      </c>
      <c r="B9" s="1178">
        <f>ef_forest_products!B$5</f>
        <v>108442633.66216043</v>
      </c>
      <c r="C9" s="1180"/>
      <c r="D9" s="1180">
        <f>ef_forest_products!C$5</f>
        <v>14780478.788962139</v>
      </c>
      <c r="E9" s="1180"/>
      <c r="F9" s="1180">
        <f>ef_forest_products!D$5</f>
        <v>72947217.185124502</v>
      </c>
      <c r="G9" s="1179"/>
      <c r="H9" s="1178">
        <f>IF(COUNTRY="World",ef_forest_products!B$5,ef_forest_products!E$5)</f>
        <v>50275895.265998065</v>
      </c>
      <c r="I9" s="1179"/>
      <c r="J9" s="1178">
        <f>biocap!F$7</f>
        <v>308894364.83521152</v>
      </c>
      <c r="K9" s="1179"/>
    </row>
    <row r="10" spans="1:11" s="36" customFormat="1" ht="12.75" customHeight="1">
      <c r="A10" s="72" t="s">
        <v>6172</v>
      </c>
      <c r="B10" s="1178">
        <f>ef_fish!B7</f>
        <v>6525288.7123265425</v>
      </c>
      <c r="C10" s="1180"/>
      <c r="D10" s="1180">
        <f>ef_fish!C7</f>
        <v>3725694.0386738656</v>
      </c>
      <c r="E10" s="1180"/>
      <c r="F10" s="1180">
        <f>ef_fish!D7</f>
        <v>4826505.4236819781</v>
      </c>
      <c r="G10" s="1179"/>
      <c r="H10" s="1180">
        <f>IF(COUNTRY="World",ef_fish!B7,ef_fish!E7)</f>
        <v>5424477.3273184299</v>
      </c>
      <c r="I10" s="1179"/>
      <c r="J10" s="1178">
        <f>biocap!F5+biocap!F6</f>
        <v>119678101.57024458</v>
      </c>
      <c r="K10" s="1179"/>
    </row>
    <row r="11" spans="1:11" s="6" customFormat="1" ht="12.75" customHeight="1">
      <c r="A11" s="72" t="s">
        <v>6175</v>
      </c>
      <c r="B11" s="1178">
        <f>ef_built!B4</f>
        <v>3354421.443636999</v>
      </c>
      <c r="C11" s="1180"/>
      <c r="D11" s="1180">
        <v>0</v>
      </c>
      <c r="E11" s="1180"/>
      <c r="F11" s="1180">
        <v>0</v>
      </c>
      <c r="G11" s="1179"/>
      <c r="H11" s="1180">
        <f>IF(COUNTRY="World",ef_built!B4,ef_built!E4)</f>
        <v>3354421.443636999</v>
      </c>
      <c r="I11" s="1179"/>
      <c r="J11" s="1178">
        <f>biocap!F8</f>
        <v>3354421.443636999</v>
      </c>
      <c r="K11" s="1179"/>
    </row>
    <row r="12" spans="1:11" s="6" customFormat="1" ht="12.75" customHeight="1">
      <c r="A12" s="13" t="s">
        <v>4067</v>
      </c>
      <c r="B12" s="1178">
        <f>ef_carbon!B7</f>
        <v>201920511.9389914</v>
      </c>
      <c r="C12" s="1180"/>
      <c r="D12" s="1180">
        <f>ef_carbon!C7</f>
        <v>61309162.289826617</v>
      </c>
      <c r="E12" s="1180"/>
      <c r="F12" s="1180">
        <f>ef_carbon!D7</f>
        <v>67092105.173670992</v>
      </c>
      <c r="G12" s="1179"/>
      <c r="H12" s="1178">
        <f>IF(COUNTRY="World",ef_carbon!B7,ef_carbon!E7)</f>
        <v>196137569.05514699</v>
      </c>
      <c r="I12" s="1179"/>
      <c r="J12" s="1180">
        <v>0</v>
      </c>
      <c r="K12" s="1179"/>
    </row>
    <row r="13" spans="1:11" ht="12.75" customHeight="1">
      <c r="A13" s="92" t="s">
        <v>3843</v>
      </c>
      <c r="B13" s="1183">
        <f>SUM(B7:B12)</f>
        <v>434669989.66976929</v>
      </c>
      <c r="C13" s="1177"/>
      <c r="D13" s="1177">
        <f>SUM(D7:D12)</f>
        <v>100486228.57397318</v>
      </c>
      <c r="E13" s="1177"/>
      <c r="F13" s="1177">
        <f>SUM(F7:F12)</f>
        <v>236147713.79889083</v>
      </c>
      <c r="G13" s="1184"/>
      <c r="H13" s="1183">
        <f>SUM(H7:I12)</f>
        <v>299008504.44485152</v>
      </c>
      <c r="I13" s="1184"/>
      <c r="J13" s="1183">
        <f>SUM(J7:K12)</f>
        <v>546354021.761747</v>
      </c>
      <c r="K13" s="1184"/>
    </row>
    <row r="14" spans="1:11" ht="12.75" customHeight="1">
      <c r="A14" s="9"/>
      <c r="B14" s="11"/>
      <c r="C14" s="11"/>
      <c r="D14" s="11"/>
      <c r="E14" s="11"/>
      <c r="F14" s="11"/>
      <c r="G14" s="11"/>
      <c r="H14" s="11"/>
      <c r="I14" s="11"/>
      <c r="J14" s="11"/>
      <c r="K14" s="11"/>
    </row>
    <row r="15" spans="1:11" ht="12.75" customHeight="1">
      <c r="A15" s="12" t="s">
        <v>4807</v>
      </c>
      <c r="B15" s="7"/>
      <c r="C15" s="7"/>
      <c r="D15" s="7"/>
      <c r="E15" s="7"/>
      <c r="F15" s="7"/>
      <c r="G15" s="7"/>
      <c r="H15" s="7"/>
      <c r="I15" s="7"/>
      <c r="J15" s="7"/>
      <c r="K15" s="7"/>
    </row>
    <row r="16" spans="1:11" ht="12.75" customHeight="1">
      <c r="A16" s="176" t="s">
        <v>5412</v>
      </c>
      <c r="B16" s="1163" t="s">
        <v>2982</v>
      </c>
      <c r="C16" s="1169"/>
      <c r="D16" s="1169" t="s">
        <v>2392</v>
      </c>
      <c r="E16" s="1169"/>
      <c r="F16" s="1169" t="s">
        <v>2393</v>
      </c>
      <c r="G16" s="1173"/>
      <c r="H16" s="1169" t="s">
        <v>2394</v>
      </c>
      <c r="I16" s="1173"/>
      <c r="J16" s="1163" t="s">
        <v>1783</v>
      </c>
      <c r="K16" s="1173"/>
    </row>
    <row r="17" spans="1:11" ht="12.75" customHeight="1">
      <c r="A17" s="177" t="s">
        <v>542</v>
      </c>
      <c r="B17" s="1199" t="s">
        <v>1061</v>
      </c>
      <c r="C17" s="1188"/>
      <c r="D17" s="1188" t="s">
        <v>1061</v>
      </c>
      <c r="E17" s="1188"/>
      <c r="F17" s="1188" t="s">
        <v>1061</v>
      </c>
      <c r="G17" s="1200"/>
      <c r="H17" s="1167" t="s">
        <v>1061</v>
      </c>
      <c r="I17" s="1167"/>
      <c r="J17" s="1165" t="s">
        <v>1061</v>
      </c>
      <c r="K17" s="1168"/>
    </row>
    <row r="18" spans="1:11" s="8" customFormat="1" ht="12.75" customHeight="1">
      <c r="A18" s="72" t="s">
        <v>6174</v>
      </c>
      <c r="B18" s="1176">
        <f t="shared" ref="B18:B23" si="0">B7/(population_n*1000)</f>
        <v>2.7513703601930559</v>
      </c>
      <c r="C18" s="1174"/>
      <c r="D18" s="1174">
        <f t="shared" ref="D18:D23" si="1">D7/(population_n*1000)</f>
        <v>0.42948157310102175</v>
      </c>
      <c r="E18" s="1174"/>
      <c r="F18" s="1174">
        <f t="shared" ref="F18:F23" si="2">F7/(population_n*1000)</f>
        <v>2.2876827428763513</v>
      </c>
      <c r="G18" s="1175"/>
      <c r="H18" s="1176">
        <f t="shared" ref="H18:H23" si="3">H7/(population_n*1000)</f>
        <v>0.89316919041772624</v>
      </c>
      <c r="I18" s="1175"/>
      <c r="J18" s="1176">
        <f t="shared" ref="J18:J23" si="4">J7/(population_n*1000)</f>
        <v>2.7513703601930564</v>
      </c>
      <c r="K18" s="1175"/>
    </row>
    <row r="19" spans="1:11" ht="12.75" customHeight="1">
      <c r="A19" s="72" t="s">
        <v>6173</v>
      </c>
      <c r="B19" s="1176">
        <f t="shared" si="0"/>
        <v>0.33503189607269868</v>
      </c>
      <c r="C19" s="1174"/>
      <c r="D19" s="1174">
        <f t="shared" si="1"/>
        <v>0.1280670608785982</v>
      </c>
      <c r="E19" s="1174"/>
      <c r="F19" s="1174">
        <f t="shared" si="2"/>
        <v>0.17443099993842331</v>
      </c>
      <c r="G19" s="1175"/>
      <c r="H19" s="1176">
        <f t="shared" si="3"/>
        <v>0.28866795701287351</v>
      </c>
      <c r="I19" s="1175"/>
      <c r="J19" s="1176">
        <f t="shared" si="4"/>
        <v>0.33503189607269868</v>
      </c>
      <c r="K19" s="1175"/>
    </row>
    <row r="20" spans="1:11" ht="12.75" customHeight="1">
      <c r="A20" s="72" t="s">
        <v>6171</v>
      </c>
      <c r="B20" s="1176">
        <f t="shared" si="0"/>
        <v>2.9249844662348941</v>
      </c>
      <c r="C20" s="1174"/>
      <c r="D20" s="1174">
        <f t="shared" si="1"/>
        <v>0.39866858080849105</v>
      </c>
      <c r="E20" s="1174"/>
      <c r="F20" s="1174">
        <f t="shared" si="2"/>
        <v>1.967579262103486</v>
      </c>
      <c r="G20" s="1175"/>
      <c r="H20" s="1176">
        <f t="shared" si="3"/>
        <v>1.3560737849398989</v>
      </c>
      <c r="I20" s="1175"/>
      <c r="J20" s="1176">
        <f t="shared" si="4"/>
        <v>8.3316974914613837</v>
      </c>
      <c r="K20" s="1175"/>
    </row>
    <row r="21" spans="1:11" ht="12.75" customHeight="1">
      <c r="A21" s="72" t="s">
        <v>6172</v>
      </c>
      <c r="B21" s="1176">
        <f t="shared" si="0"/>
        <v>0.17600428426253684</v>
      </c>
      <c r="C21" s="1174"/>
      <c r="D21" s="1174">
        <f t="shared" si="1"/>
        <v>0.10049181600490371</v>
      </c>
      <c r="E21" s="1174"/>
      <c r="F21" s="1174">
        <f t="shared" si="2"/>
        <v>0.13018360873131712</v>
      </c>
      <c r="G21" s="1175"/>
      <c r="H21" s="1176">
        <f t="shared" si="3"/>
        <v>0.14631249153612344</v>
      </c>
      <c r="I21" s="1175"/>
      <c r="J21" s="1176">
        <f t="shared" si="4"/>
        <v>3.228034733387287</v>
      </c>
      <c r="K21" s="1175"/>
    </row>
    <row r="22" spans="1:11" ht="12.75" customHeight="1">
      <c r="A22" s="72" t="s">
        <v>6175</v>
      </c>
      <c r="B22" s="1176">
        <f t="shared" si="0"/>
        <v>9.04776127663071E-2</v>
      </c>
      <c r="C22" s="1174"/>
      <c r="D22" s="1174">
        <f t="shared" si="1"/>
        <v>0</v>
      </c>
      <c r="E22" s="1174"/>
      <c r="F22" s="1174">
        <f t="shared" si="2"/>
        <v>0</v>
      </c>
      <c r="G22" s="1175"/>
      <c r="H22" s="1176">
        <f t="shared" si="3"/>
        <v>9.04776127663071E-2</v>
      </c>
      <c r="I22" s="1175"/>
      <c r="J22" s="1176">
        <f t="shared" si="4"/>
        <v>9.04776127663071E-2</v>
      </c>
      <c r="K22" s="1175"/>
    </row>
    <row r="23" spans="1:11" ht="12.75" customHeight="1">
      <c r="A23" s="13" t="s">
        <v>4067</v>
      </c>
      <c r="B23" s="1176">
        <f t="shared" si="0"/>
        <v>5.4463299247760162</v>
      </c>
      <c r="C23" s="1174"/>
      <c r="D23" s="1174">
        <f t="shared" si="1"/>
        <v>1.6536701597850547</v>
      </c>
      <c r="E23" s="1174"/>
      <c r="F23" s="1174">
        <f t="shared" si="2"/>
        <v>1.8096514148794769</v>
      </c>
      <c r="G23" s="1175"/>
      <c r="H23" s="1176">
        <f t="shared" si="3"/>
        <v>5.2903486696815936</v>
      </c>
      <c r="I23" s="1175"/>
      <c r="J23" s="1176">
        <f t="shared" si="4"/>
        <v>0</v>
      </c>
      <c r="K23" s="1175"/>
    </row>
    <row r="24" spans="1:11" ht="12.75" customHeight="1">
      <c r="A24" s="92" t="s">
        <v>3843</v>
      </c>
      <c r="B24" s="1193">
        <f>SUM(B18:B23)</f>
        <v>11.724198544305509</v>
      </c>
      <c r="C24" s="1198"/>
      <c r="D24" s="1198">
        <f>SUM(D18:E23)</f>
        <v>2.7103791905780694</v>
      </c>
      <c r="E24" s="1198"/>
      <c r="F24" s="1198">
        <f>SUM(F18:G23)</f>
        <v>6.3695280285290554</v>
      </c>
      <c r="G24" s="1194"/>
      <c r="H24" s="1193">
        <f>SUM(H18:I23)</f>
        <v>8.0650497063545217</v>
      </c>
      <c r="I24" s="1194"/>
      <c r="J24" s="1193">
        <f>SUM(J18:K23)</f>
        <v>14.736612093880733</v>
      </c>
      <c r="K24" s="1194"/>
    </row>
    <row r="25" spans="1:11" ht="12.75" customHeight="1">
      <c r="A25" s="91"/>
      <c r="B25" s="67"/>
      <c r="C25" s="67"/>
      <c r="D25" s="67"/>
      <c r="E25" s="67"/>
      <c r="F25" s="67"/>
      <c r="G25" s="66"/>
      <c r="H25" s="36"/>
      <c r="I25" s="36"/>
      <c r="J25" s="36"/>
      <c r="K25" s="36"/>
    </row>
    <row r="26" spans="1:11" ht="12.75" customHeight="1">
      <c r="A26" s="171"/>
      <c r="B26" s="172"/>
      <c r="C26" s="1195" t="s">
        <v>4068</v>
      </c>
      <c r="D26" s="1196"/>
      <c r="E26" s="1197" t="s">
        <v>2965</v>
      </c>
      <c r="F26" s="1196"/>
      <c r="G26"/>
      <c r="H26" s="1189" t="str">
        <f>"Number of planets demanded if world's population lived like residents of "&amp;COUNTRY</f>
        <v>Number of planets demanded if world's population lived like residents of Canada</v>
      </c>
      <c r="I26" s="1189"/>
      <c r="J26" s="1189"/>
      <c r="K26" s="1190">
        <f>E31/F28</f>
        <v>5.0960000488972073</v>
      </c>
    </row>
    <row r="27" spans="1:11" ht="12.75" customHeight="1">
      <c r="A27" s="161"/>
      <c r="B27" s="173"/>
      <c r="C27" s="174" t="str">
        <f>COUNTRY</f>
        <v>Canada</v>
      </c>
      <c r="D27" s="162" t="s">
        <v>2966</v>
      </c>
      <c r="E27" s="175" t="str">
        <f>COUNTRY</f>
        <v>Canada</v>
      </c>
      <c r="F27" s="162" t="s">
        <v>2966</v>
      </c>
      <c r="G27" s="36"/>
      <c r="H27" s="1189"/>
      <c r="I27" s="1189"/>
      <c r="J27" s="1189"/>
      <c r="K27" s="1191"/>
    </row>
    <row r="28" spans="1:11" ht="12.75" customHeight="1">
      <c r="A28" s="14" t="s">
        <v>2963</v>
      </c>
      <c r="B28" s="93" t="s">
        <v>720</v>
      </c>
      <c r="C28" s="170">
        <f>J13</f>
        <v>546354021.761747</v>
      </c>
      <c r="D28" s="30">
        <f>VLOOKUP(YEAR,world_results,3,FALSE)</f>
        <v>12077144356</v>
      </c>
      <c r="E28" s="2">
        <f>J24</f>
        <v>14.736612093880733</v>
      </c>
      <c r="F28" s="54">
        <f>D28/VLOOKUP(YEAR,world_results,4,FALSE)</f>
        <v>1.5826235535652766</v>
      </c>
      <c r="G28" s="36"/>
      <c r="H28" s="1189"/>
      <c r="I28" s="1189"/>
      <c r="J28" s="1189"/>
      <c r="K28" s="1192"/>
    </row>
    <row r="29" spans="1:11" ht="12.75" customHeight="1">
      <c r="A29" s="14" t="s">
        <v>2964</v>
      </c>
      <c r="B29" s="93" t="s">
        <v>720</v>
      </c>
      <c r="C29" s="61">
        <f>B13</f>
        <v>434669989.66976929</v>
      </c>
      <c r="D29" s="30">
        <f>VLOOKUP(YEAR,world_results,2,FALSE)</f>
        <v>21175902918</v>
      </c>
      <c r="E29" s="2">
        <f>B24</f>
        <v>11.724198544305509</v>
      </c>
      <c r="F29" s="54">
        <f>D29/VLOOKUP(YEAR,world_results,4,FALSE)</f>
        <v>2.7749509104268313</v>
      </c>
      <c r="G29" s="36"/>
      <c r="H29" s="36"/>
      <c r="I29" s="36"/>
      <c r="J29" s="36"/>
      <c r="K29" s="36"/>
    </row>
    <row r="30" spans="1:11" ht="12.75" customHeight="1">
      <c r="A30" s="14" t="s">
        <v>2801</v>
      </c>
      <c r="B30" s="93" t="s">
        <v>720</v>
      </c>
      <c r="C30" s="61">
        <f>D13-F13</f>
        <v>-135661485.22491765</v>
      </c>
      <c r="D30" s="127"/>
      <c r="E30" s="2">
        <f>D24-F24</f>
        <v>-3.659148837950986</v>
      </c>
      <c r="F30" s="129"/>
      <c r="G30" s="36"/>
      <c r="H30" s="6"/>
      <c r="I30" s="6"/>
      <c r="J30" s="6"/>
      <c r="K30" s="6"/>
    </row>
    <row r="31" spans="1:11" ht="12.75" customHeight="1">
      <c r="A31" s="14" t="s">
        <v>2802</v>
      </c>
      <c r="B31" s="93" t="s">
        <v>720</v>
      </c>
      <c r="C31" s="61">
        <f>H13</f>
        <v>299008504.44485152</v>
      </c>
      <c r="D31" s="127"/>
      <c r="E31" s="2">
        <f>H24</f>
        <v>8.0650497063545217</v>
      </c>
      <c r="F31" s="129"/>
      <c r="G31" s="36"/>
    </row>
    <row r="32" spans="1:11" ht="15.5">
      <c r="A32" s="244" t="s">
        <v>6024</v>
      </c>
      <c r="B32" s="94" t="s">
        <v>720</v>
      </c>
      <c r="C32" s="62">
        <f>C28-C29</f>
        <v>111684032.09197772</v>
      </c>
      <c r="D32" s="63">
        <f>D28-D29</f>
        <v>-9098758562</v>
      </c>
      <c r="E32" s="55">
        <f>E28-E29</f>
        <v>3.0124135495752249</v>
      </c>
      <c r="F32" s="56">
        <f>F28-F29</f>
        <v>-1.1923273568615547</v>
      </c>
      <c r="G32" s="36"/>
    </row>
    <row r="33" spans="1:11" ht="15.5">
      <c r="A33" s="245" t="s">
        <v>6025</v>
      </c>
      <c r="B33" s="95" t="s">
        <v>720</v>
      </c>
      <c r="C33" s="64">
        <f>C28-C31</f>
        <v>247345517.31689548</v>
      </c>
      <c r="D33" s="128"/>
      <c r="E33" s="57">
        <f>E28-E31</f>
        <v>6.6715623875262118</v>
      </c>
      <c r="F33" s="130"/>
      <c r="G33" s="36"/>
    </row>
    <row r="34" spans="1:11" ht="12.75" customHeight="1">
      <c r="A34" s="36"/>
      <c r="B34" s="36"/>
      <c r="C34" s="36"/>
      <c r="D34" s="53"/>
      <c r="E34" s="53"/>
      <c r="F34" s="6"/>
      <c r="G34" s="6"/>
    </row>
    <row r="35" spans="1:11" ht="12.75" customHeight="1">
      <c r="A35" s="6"/>
      <c r="B35" s="6"/>
      <c r="C35" s="6"/>
      <c r="D35" s="6"/>
      <c r="E35" s="6"/>
    </row>
    <row r="36" spans="1:11" ht="12.75" customHeight="1">
      <c r="A36" s="1"/>
      <c r="E36" s="261"/>
    </row>
    <row r="37" spans="1:11" ht="12.75" customHeight="1">
      <c r="A37" s="1"/>
      <c r="E37" s="262"/>
    </row>
    <row r="38" spans="1:11" ht="12.75" customHeight="1">
      <c r="A38" s="10"/>
      <c r="B38" s="10"/>
      <c r="C38" s="10"/>
      <c r="D38" s="10"/>
      <c r="E38" s="262"/>
      <c r="F38" s="10"/>
    </row>
    <row r="39" spans="1:11" ht="12.75" customHeight="1">
      <c r="A39" s="10"/>
      <c r="B39" s="10"/>
      <c r="C39" s="10"/>
      <c r="D39" s="10"/>
      <c r="E39" s="10"/>
    </row>
    <row r="40" spans="1:11" ht="12.75" customHeight="1">
      <c r="A40" s="1"/>
      <c r="E40" s="263"/>
    </row>
    <row r="41" spans="1:11" ht="12.75" customHeight="1">
      <c r="E41" s="262"/>
    </row>
    <row r="42" spans="1:11" ht="12.75" customHeight="1">
      <c r="E42" s="261"/>
    </row>
    <row r="43" spans="1:11" ht="12.75" customHeight="1">
      <c r="E43" s="261"/>
    </row>
    <row r="44" spans="1:11" ht="12.75" customHeight="1">
      <c r="E44" s="261"/>
    </row>
    <row r="45" spans="1:11" ht="21" customHeight="1"/>
    <row r="46" spans="1:11" s="8" customFormat="1" ht="12.5">
      <c r="B46" s="1"/>
      <c r="C46" s="1"/>
      <c r="D46" s="1"/>
      <c r="E46" s="1"/>
      <c r="F46" s="1"/>
      <c r="G46" s="1"/>
      <c r="H46" s="1"/>
      <c r="I46" s="1"/>
      <c r="J46" s="1"/>
      <c r="K46" s="1"/>
    </row>
    <row r="47" spans="1:11" s="8" customFormat="1" ht="12.5">
      <c r="B47" s="1"/>
      <c r="C47" s="1"/>
      <c r="D47" s="1"/>
      <c r="E47" s="1"/>
      <c r="F47" s="1"/>
      <c r="G47" s="1"/>
      <c r="H47" s="1"/>
      <c r="I47" s="1"/>
      <c r="J47" s="1"/>
      <c r="K47" s="1"/>
    </row>
    <row r="48" spans="1:11" s="8" customFormat="1" ht="12.5">
      <c r="B48" s="1"/>
      <c r="C48" s="1"/>
      <c r="D48" s="1"/>
      <c r="E48" s="1"/>
      <c r="F48" s="1"/>
      <c r="G48" s="1"/>
      <c r="H48" s="1"/>
      <c r="I48" s="1"/>
      <c r="J48" s="1"/>
      <c r="K48" s="1"/>
    </row>
    <row r="49" spans="2:11" s="8" customFormat="1" ht="12.5">
      <c r="B49" s="1"/>
      <c r="C49" s="1"/>
      <c r="D49" s="1"/>
      <c r="E49" s="1"/>
      <c r="F49" s="1"/>
      <c r="G49" s="1"/>
      <c r="H49" s="1"/>
      <c r="I49" s="1"/>
      <c r="J49" s="1"/>
      <c r="K49" s="1"/>
    </row>
    <row r="50" spans="2:11" s="8" customFormat="1" ht="12.5">
      <c r="B50" s="1"/>
      <c r="C50" s="1"/>
      <c r="D50" s="1"/>
      <c r="E50" s="1"/>
      <c r="F50" s="1"/>
      <c r="G50" s="1"/>
      <c r="H50" s="1"/>
      <c r="I50" s="1"/>
      <c r="J50" s="1"/>
      <c r="K50" s="1"/>
    </row>
    <row r="51" spans="2:11" s="8" customFormat="1" ht="12.5">
      <c r="B51" s="1"/>
      <c r="C51" s="1"/>
      <c r="D51" s="1"/>
      <c r="E51" s="1"/>
      <c r="F51" s="1"/>
      <c r="G51" s="1"/>
      <c r="H51" s="1"/>
      <c r="I51" s="1"/>
      <c r="J51" s="1"/>
      <c r="K51" s="1"/>
    </row>
    <row r="52" spans="2:11" s="8" customFormat="1" ht="12.5">
      <c r="B52" s="1"/>
      <c r="C52" s="1"/>
      <c r="D52" s="1"/>
      <c r="E52" s="1"/>
      <c r="F52" s="1"/>
      <c r="G52" s="1"/>
      <c r="H52" s="1"/>
      <c r="I52" s="1"/>
      <c r="J52" s="1"/>
      <c r="K52" s="1"/>
    </row>
    <row r="53" spans="2:11" s="8" customFormat="1" ht="12.5">
      <c r="B53" s="1"/>
      <c r="C53" s="1"/>
      <c r="D53" s="1"/>
      <c r="E53" s="1"/>
      <c r="F53" s="1"/>
      <c r="G53" s="1"/>
      <c r="H53" s="1"/>
      <c r="I53" s="1"/>
      <c r="J53" s="1"/>
      <c r="K53" s="1"/>
    </row>
    <row r="54" spans="2:11" s="8" customFormat="1" ht="12.5">
      <c r="B54" s="1"/>
      <c r="C54" s="1"/>
      <c r="D54" s="1"/>
      <c r="E54" s="1"/>
      <c r="F54" s="1"/>
      <c r="G54" s="1"/>
      <c r="H54" s="1"/>
      <c r="I54" s="1"/>
      <c r="J54" s="1"/>
      <c r="K54" s="1"/>
    </row>
    <row r="55" spans="2:11" ht="4.5" customHeight="1"/>
    <row r="57" spans="2:11" s="8" customFormat="1" ht="12.75" customHeight="1">
      <c r="B57" s="1"/>
      <c r="C57" s="1"/>
      <c r="D57" s="1"/>
      <c r="E57" s="1"/>
      <c r="F57" s="1"/>
      <c r="G57" s="1"/>
      <c r="H57" s="1"/>
      <c r="I57" s="1"/>
      <c r="J57" s="1"/>
      <c r="K57" s="1"/>
    </row>
    <row r="58" spans="2:11" s="8" customFormat="1" ht="12.75" customHeight="1">
      <c r="B58" s="1"/>
      <c r="C58" s="1"/>
      <c r="D58" s="1"/>
      <c r="E58" s="1"/>
      <c r="F58" s="1"/>
      <c r="G58" s="1"/>
      <c r="H58" s="1"/>
      <c r="I58" s="1"/>
      <c r="J58" s="1"/>
      <c r="K58" s="1"/>
    </row>
    <row r="61" spans="2:11" s="8" customFormat="1" ht="12.75" customHeight="1">
      <c r="B61" s="1"/>
      <c r="C61" s="1"/>
      <c r="D61" s="1"/>
      <c r="E61" s="1"/>
      <c r="F61" s="1"/>
      <c r="G61" s="1"/>
      <c r="H61" s="7"/>
      <c r="I61" s="7"/>
      <c r="J61" s="7"/>
      <c r="K61" s="7"/>
    </row>
    <row r="62" spans="2:11" ht="12.75" customHeight="1">
      <c r="H62" s="36"/>
      <c r="I62" s="36"/>
      <c r="J62" s="36"/>
      <c r="K62" s="36"/>
    </row>
    <row r="63" spans="2:11" ht="12.75" customHeight="1">
      <c r="H63" s="36"/>
      <c r="I63" s="36"/>
      <c r="J63" s="36"/>
      <c r="K63" s="36"/>
    </row>
    <row r="64" spans="2:11" ht="12.75" customHeight="1">
      <c r="H64" s="101"/>
      <c r="I64" s="36"/>
      <c r="J64" s="36"/>
      <c r="K64" s="36"/>
    </row>
    <row r="65" spans="1:11" s="7" customFormat="1" ht="12.75" customHeight="1">
      <c r="A65" s="100"/>
      <c r="H65" s="101"/>
      <c r="I65" s="36"/>
      <c r="J65" s="36"/>
      <c r="K65" s="36"/>
    </row>
    <row r="66" spans="1:11" s="36" customFormat="1" ht="12.75" customHeight="1">
      <c r="H66" s="101"/>
    </row>
    <row r="67" spans="1:11" s="36" customFormat="1" ht="12.75" customHeight="1">
      <c r="H67" s="101"/>
    </row>
  </sheetData>
  <mergeCells count="96">
    <mergeCell ref="H9:I9"/>
    <mergeCell ref="J9:K9"/>
    <mergeCell ref="H20:I20"/>
    <mergeCell ref="J20:K20"/>
    <mergeCell ref="J12:K12"/>
    <mergeCell ref="H17:I17"/>
    <mergeCell ref="J19:K19"/>
    <mergeCell ref="H16:I16"/>
    <mergeCell ref="J16:K16"/>
    <mergeCell ref="H19:I19"/>
    <mergeCell ref="J18:K18"/>
    <mergeCell ref="H18:I18"/>
    <mergeCell ref="B20:C20"/>
    <mergeCell ref="D20:E20"/>
    <mergeCell ref="B12:C12"/>
    <mergeCell ref="D12:E12"/>
    <mergeCell ref="F12:G12"/>
    <mergeCell ref="F20:G20"/>
    <mergeCell ref="B16:C16"/>
    <mergeCell ref="B17:C17"/>
    <mergeCell ref="F17:G17"/>
    <mergeCell ref="F16:G16"/>
    <mergeCell ref="F18:G18"/>
    <mergeCell ref="B21:C21"/>
    <mergeCell ref="H26:J28"/>
    <mergeCell ref="K26:K28"/>
    <mergeCell ref="H24:I24"/>
    <mergeCell ref="J24:K24"/>
    <mergeCell ref="J22:K22"/>
    <mergeCell ref="H22:I22"/>
    <mergeCell ref="J21:K21"/>
    <mergeCell ref="J23:K23"/>
    <mergeCell ref="C26:D26"/>
    <mergeCell ref="E26:F26"/>
    <mergeCell ref="D24:E24"/>
    <mergeCell ref="D22:E22"/>
    <mergeCell ref="F24:G24"/>
    <mergeCell ref="B24:C24"/>
    <mergeCell ref="F23:G23"/>
    <mergeCell ref="A1:K1"/>
    <mergeCell ref="D17:E17"/>
    <mergeCell ref="J17:K17"/>
    <mergeCell ref="H11:I11"/>
    <mergeCell ref="F13:G13"/>
    <mergeCell ref="J13:K13"/>
    <mergeCell ref="D11:E11"/>
    <mergeCell ref="J11:K11"/>
    <mergeCell ref="B13:C13"/>
    <mergeCell ref="B9:C9"/>
    <mergeCell ref="B11:C11"/>
    <mergeCell ref="B7:C7"/>
    <mergeCell ref="B6:C6"/>
    <mergeCell ref="D6:E6"/>
    <mergeCell ref="B10:C10"/>
    <mergeCell ref="F7:G7"/>
    <mergeCell ref="H23:I23"/>
    <mergeCell ref="F19:G19"/>
    <mergeCell ref="H10:I10"/>
    <mergeCell ref="B8:C8"/>
    <mergeCell ref="H8:I8"/>
    <mergeCell ref="F11:G11"/>
    <mergeCell ref="B18:C18"/>
    <mergeCell ref="B19:C19"/>
    <mergeCell ref="D18:E18"/>
    <mergeCell ref="D19:E19"/>
    <mergeCell ref="D16:E16"/>
    <mergeCell ref="B22:C22"/>
    <mergeCell ref="F22:G22"/>
    <mergeCell ref="B23:C23"/>
    <mergeCell ref="D23:E23"/>
    <mergeCell ref="H13:I13"/>
    <mergeCell ref="D21:E21"/>
    <mergeCell ref="F21:G21"/>
    <mergeCell ref="H21:I21"/>
    <mergeCell ref="D13:E13"/>
    <mergeCell ref="J7:K7"/>
    <mergeCell ref="D8:E8"/>
    <mergeCell ref="F10:G10"/>
    <mergeCell ref="H12:I12"/>
    <mergeCell ref="J10:K10"/>
    <mergeCell ref="J8:K8"/>
    <mergeCell ref="F8:G8"/>
    <mergeCell ref="D7:E7"/>
    <mergeCell ref="H7:I7"/>
    <mergeCell ref="D10:E10"/>
    <mergeCell ref="D9:E9"/>
    <mergeCell ref="F9:G9"/>
    <mergeCell ref="J5:K5"/>
    <mergeCell ref="J6:K6"/>
    <mergeCell ref="H6:I6"/>
    <mergeCell ref="D5:E5"/>
    <mergeCell ref="A2:K2"/>
    <mergeCell ref="H5:I5"/>
    <mergeCell ref="F5:G5"/>
    <mergeCell ref="F6:G6"/>
    <mergeCell ref="B5:C5"/>
  </mergeCells>
  <phoneticPr fontId="5" type="noConversion"/>
  <conditionalFormatting sqref="K26:K28">
    <cfRule type="cellIs" dxfId="17" priority="1" stopIfTrue="1" operator="greaterThan">
      <formula>1</formula>
    </cfRule>
  </conditionalFormatting>
  <conditionalFormatting sqref="C32:F33">
    <cfRule type="cellIs" dxfId="16" priority="2" stopIfTrue="1" operator="lessThan">
      <formula>0</formula>
    </cfRule>
  </conditionalFormatting>
  <hyperlinks>
    <hyperlink ref="A7" location="ef_crop!A1" display="Cropland" xr:uid="{00000000-0004-0000-0100-000000000000}"/>
    <hyperlink ref="A8" location="ef_grazing!A1" display="Grazing Land" xr:uid="{00000000-0004-0000-0100-000001000000}"/>
    <hyperlink ref="A10" location="ef_fish!A1" display="Fishing Grounds" xr:uid="{00000000-0004-0000-0100-000002000000}"/>
    <hyperlink ref="A11" location="ef_built!A1" display="Built-up Land" xr:uid="{00000000-0004-0000-0100-000003000000}"/>
    <hyperlink ref="A12" location="ef_carbon!A1" display="Carbon Footprint" xr:uid="{00000000-0004-0000-0100-000004000000}"/>
    <hyperlink ref="A9" location="ef_forest!A1" display="Forest Land" xr:uid="{00000000-0004-0000-0100-000005000000}"/>
    <hyperlink ref="A18" location="ef_crop!A1" display="Cropland" xr:uid="{00000000-0004-0000-0100-000006000000}"/>
    <hyperlink ref="A19" location="ef_grazing!A1" display="Grazing Land" xr:uid="{00000000-0004-0000-0100-000007000000}"/>
    <hyperlink ref="A21" location="ef_fish!A1" display="Fishing Grounds" xr:uid="{00000000-0004-0000-0100-000008000000}"/>
    <hyperlink ref="A22" location="ef_built!A1" display="Built-up Land" xr:uid="{00000000-0004-0000-0100-000009000000}"/>
    <hyperlink ref="A23" location="ef_carbon!A1" display="Carbon Footprint" xr:uid="{00000000-0004-0000-0100-00000A000000}"/>
    <hyperlink ref="A20" location="ef_forest!A1" display="Forest Land" xr:uid="{00000000-0004-0000-0100-00000B000000}"/>
  </hyperlinks>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2">
    <tabColor theme="5"/>
  </sheetPr>
  <dimension ref="A1:H8"/>
  <sheetViews>
    <sheetView zoomScaleNormal="100" workbookViewId="0">
      <selection activeCell="A65536" sqref="A65536"/>
    </sheetView>
  </sheetViews>
  <sheetFormatPr defaultColWidth="9.1796875" defaultRowHeight="12.5"/>
  <cols>
    <col min="1" max="1" width="50.7265625" style="86" customWidth="1"/>
    <col min="2" max="2" width="21.7265625" style="86" customWidth="1"/>
    <col min="3" max="5" width="21.7265625" style="36" customWidth="1"/>
    <col min="6" max="16384" width="9.1796875" style="36"/>
  </cols>
  <sheetData>
    <row r="1" spans="1:8" ht="12.75" customHeight="1">
      <c r="A1" s="36"/>
      <c r="B1" s="36"/>
    </row>
    <row r="2" spans="1:8" ht="12.75" customHeight="1">
      <c r="A2" s="36"/>
      <c r="B2" s="37" t="s">
        <v>985</v>
      </c>
      <c r="C2" s="466" t="s">
        <v>0</v>
      </c>
      <c r="D2" s="466" t="s">
        <v>2005</v>
      </c>
      <c r="E2" s="466" t="s">
        <v>6146</v>
      </c>
    </row>
    <row r="3" spans="1:8" ht="12.75" customHeight="1">
      <c r="A3" s="36"/>
      <c r="B3" s="37" t="s">
        <v>986</v>
      </c>
      <c r="C3" s="466" t="s">
        <v>2005</v>
      </c>
      <c r="E3" s="466"/>
    </row>
    <row r="4" spans="1:8" ht="12.75" customHeight="1">
      <c r="A4" s="36"/>
      <c r="B4" s="36"/>
    </row>
    <row r="5" spans="1:8" ht="15">
      <c r="A5" s="972" t="s">
        <v>1923</v>
      </c>
      <c r="B5" s="973" t="s">
        <v>2532</v>
      </c>
      <c r="C5" s="970" t="s">
        <v>3841</v>
      </c>
      <c r="D5" s="970" t="s">
        <v>3840</v>
      </c>
      <c r="E5" s="974" t="s">
        <v>3842</v>
      </c>
      <c r="F5" s="253"/>
      <c r="G5" s="253"/>
      <c r="H5" s="253"/>
    </row>
    <row r="6" spans="1:8">
      <c r="A6" s="1077" t="s">
        <v>7546</v>
      </c>
      <c r="B6" s="1078" t="s">
        <v>720</v>
      </c>
      <c r="C6" s="1079">
        <f>SUM(ef_crop!B3:B6)</f>
        <v>102005959.85502966</v>
      </c>
      <c r="D6" s="1079">
        <f>SUM(ef_crop!C3:C6)</f>
        <v>15922858.201156098</v>
      </c>
      <c r="E6" s="1080">
        <f>SUM(ef_crop!D3:D6)</f>
        <v>84814926.19354786</v>
      </c>
      <c r="F6" s="253"/>
      <c r="G6" s="253"/>
      <c r="H6" s="253"/>
    </row>
    <row r="7" spans="1:8">
      <c r="A7" s="1077" t="s">
        <v>6184</v>
      </c>
      <c r="B7" s="1081" t="s">
        <v>542</v>
      </c>
      <c r="C7" s="1082">
        <f>(IF(bioproductive_area!$D$7&gt;0,bioproductive_area!$D$7,(IF(bioproductive_area!$D$13&gt;0,bioproductive_area!$D$13,)))*1000/SUM(INDEX(tbl_prodstat_crop_n,,10)))</f>
        <v>1.0741259874892533</v>
      </c>
      <c r="D7" s="1082">
        <f>((bioproductive_area!$E$13*1000)/SUM(INDEX(tbl_prodstat_crop_w,,12)))</f>
        <v>1.095570277582411</v>
      </c>
      <c r="E7" s="1083">
        <f>(C8+D8)/(C6+D6)</f>
        <v>7.7021415392339032E-2</v>
      </c>
    </row>
    <row r="8" spans="1:8">
      <c r="A8" s="1084" t="s">
        <v>6185</v>
      </c>
      <c r="B8" s="1085" t="s">
        <v>720</v>
      </c>
      <c r="C8" s="1086">
        <f>C6*(C7-1)</f>
        <v>7561292.5040431982</v>
      </c>
      <c r="D8" s="1086">
        <f>D6*(D7-1)</f>
        <v>1521751.9781898577</v>
      </c>
      <c r="E8" s="1087">
        <f>E6*E7</f>
        <v>6532565.6618238259</v>
      </c>
    </row>
  </sheetData>
  <phoneticPr fontId="5" type="noConversion"/>
  <hyperlinks>
    <hyperlink ref="C2" location="ef_crop!A1" tooltip="Go to ef_crop" display="ef_crop" xr:uid="{00000000-0004-0000-1200-000000000000}"/>
    <hyperlink ref="E2" location="bioproductive_area!A1" display="bioproductive_area" xr:uid="{00000000-0004-0000-1200-000001000000}"/>
    <hyperlink ref="D2" location="crop_efp!A1" display="crop_efp" xr:uid="{00000000-0004-0000-1200-000002000000}"/>
    <hyperlink ref="C3" location="crop_efp!A1" display="crop_efp" xr:uid="{00000000-0004-0000-1200-000003000000}"/>
  </hyperlinks>
  <pageMargins left="0.75" right="0.75" top="1" bottom="1" header="0.5" footer="0.5"/>
  <pageSetup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2">
    <tabColor theme="5"/>
  </sheetPr>
  <dimension ref="A1:G331"/>
  <sheetViews>
    <sheetView zoomScaleNormal="100" workbookViewId="0">
      <pane ySplit="5" topLeftCell="A6" activePane="bottomLeft" state="frozen"/>
      <selection pane="bottomLeft" activeCell="A65536" sqref="A65536"/>
    </sheetView>
  </sheetViews>
  <sheetFormatPr defaultColWidth="11.453125" defaultRowHeight="12.5"/>
  <cols>
    <col min="1" max="1" width="51.7265625" style="273" customWidth="1"/>
    <col min="2" max="2" width="16.453125" style="273" customWidth="1"/>
    <col min="3" max="3" width="14.1796875" style="273" customWidth="1"/>
    <col min="4" max="4" width="14.54296875" style="273" customWidth="1"/>
    <col min="5" max="5" width="25.7265625" style="273" customWidth="1"/>
    <col min="6" max="6" width="22.7265625" style="273" customWidth="1"/>
    <col min="7" max="16384" width="11.453125" style="273"/>
  </cols>
  <sheetData>
    <row r="1" spans="1:7">
      <c r="A1" s="36"/>
    </row>
    <row r="2" spans="1:7" ht="13">
      <c r="A2" s="36"/>
      <c r="B2" s="37" t="s">
        <v>985</v>
      </c>
      <c r="C2" s="466"/>
      <c r="D2" s="466"/>
      <c r="E2" s="466"/>
      <c r="F2" s="466"/>
    </row>
    <row r="3" spans="1:7" ht="13">
      <c r="A3" s="36"/>
      <c r="B3" s="37" t="s">
        <v>986</v>
      </c>
      <c r="C3" s="466" t="s">
        <v>2005</v>
      </c>
      <c r="D3" s="466" t="s">
        <v>4</v>
      </c>
      <c r="E3" s="466" t="s">
        <v>3</v>
      </c>
      <c r="F3" s="466" t="s">
        <v>2</v>
      </c>
      <c r="G3" s="466" t="s">
        <v>8826</v>
      </c>
    </row>
    <row r="4" spans="1:7">
      <c r="A4" s="36"/>
    </row>
    <row r="5" spans="1:7" s="253" customFormat="1" ht="13">
      <c r="A5" s="969" t="s">
        <v>5794</v>
      </c>
      <c r="B5" s="970" t="s">
        <v>1924</v>
      </c>
      <c r="C5" s="743" t="s">
        <v>6912</v>
      </c>
      <c r="D5" s="744" t="s">
        <v>6868</v>
      </c>
    </row>
    <row r="6" spans="1:7" s="253" customFormat="1">
      <c r="A6" t="s">
        <v>1151</v>
      </c>
      <c r="B6">
        <v>15</v>
      </c>
      <c r="C6" s="551">
        <v>0.14000000000000001</v>
      </c>
      <c r="D6" s="552">
        <v>1.0381831951302016</v>
      </c>
    </row>
    <row r="7" spans="1:7">
      <c r="A7" t="s">
        <v>6956</v>
      </c>
      <c r="B7">
        <v>17</v>
      </c>
      <c r="C7" s="551">
        <v>0.115</v>
      </c>
      <c r="D7" s="552">
        <v>1</v>
      </c>
    </row>
    <row r="8" spans="1:7">
      <c r="A8" t="s">
        <v>6957</v>
      </c>
      <c r="B8">
        <v>26</v>
      </c>
      <c r="C8" s="551">
        <v>0.9</v>
      </c>
      <c r="D8" s="552">
        <v>1</v>
      </c>
    </row>
    <row r="9" spans="1:7">
      <c r="A9" t="s">
        <v>2167</v>
      </c>
      <c r="B9" s="233">
        <v>27</v>
      </c>
      <c r="C9" s="551">
        <v>0.14000000000000001</v>
      </c>
      <c r="D9" s="552">
        <v>1</v>
      </c>
    </row>
    <row r="10" spans="1:7">
      <c r="A10" s="13" t="s">
        <v>6958</v>
      </c>
      <c r="B10" s="13">
        <v>30</v>
      </c>
      <c r="C10" s="551">
        <v>0.12</v>
      </c>
      <c r="D10" s="552">
        <v>1</v>
      </c>
    </row>
    <row r="11" spans="1:7">
      <c r="A11" t="s">
        <v>6959</v>
      </c>
      <c r="B11">
        <v>35</v>
      </c>
      <c r="C11" s="551">
        <v>9.7000000000000003E-2</v>
      </c>
      <c r="D11" s="552">
        <v>1</v>
      </c>
    </row>
    <row r="12" spans="1:7">
      <c r="A12" t="s">
        <v>6960</v>
      </c>
      <c r="B12">
        <v>37</v>
      </c>
      <c r="C12" s="551">
        <v>0.1</v>
      </c>
      <c r="D12" s="552">
        <v>1</v>
      </c>
    </row>
    <row r="13" spans="1:7">
      <c r="A13" t="s">
        <v>615</v>
      </c>
      <c r="B13" s="233">
        <v>44</v>
      </c>
      <c r="C13" s="551">
        <v>0.14000000000000001</v>
      </c>
      <c r="D13" s="676">
        <v>0.99815209796853166</v>
      </c>
    </row>
    <row r="14" spans="1:7">
      <c r="A14" t="s">
        <v>2057</v>
      </c>
      <c r="B14" s="233">
        <v>56</v>
      </c>
      <c r="C14" s="551">
        <v>0.14000000000000001</v>
      </c>
      <c r="D14" s="552">
        <v>1</v>
      </c>
    </row>
    <row r="15" spans="1:7">
      <c r="A15" t="s">
        <v>6961</v>
      </c>
      <c r="B15">
        <v>59</v>
      </c>
      <c r="C15" s="551">
        <v>0.12</v>
      </c>
      <c r="D15" s="552">
        <v>1</v>
      </c>
    </row>
    <row r="16" spans="1:7">
      <c r="A16" t="s">
        <v>6962</v>
      </c>
      <c r="B16">
        <v>61</v>
      </c>
      <c r="C16" s="551">
        <v>0.12</v>
      </c>
      <c r="D16" s="552">
        <v>1</v>
      </c>
    </row>
    <row r="17" spans="1:4">
      <c r="A17" s="13" t="s">
        <v>6963</v>
      </c>
      <c r="B17" s="13">
        <v>66</v>
      </c>
      <c r="C17" s="551">
        <v>0.9</v>
      </c>
      <c r="D17" s="552">
        <v>1</v>
      </c>
    </row>
    <row r="18" spans="1:4">
      <c r="A18" s="13" t="s">
        <v>5014</v>
      </c>
      <c r="B18" s="233">
        <v>68</v>
      </c>
      <c r="C18" s="551">
        <v>0.14000000000000001</v>
      </c>
      <c r="D18" s="552">
        <v>1</v>
      </c>
    </row>
    <row r="19" spans="1:4">
      <c r="A19" t="s">
        <v>5394</v>
      </c>
      <c r="B19" s="233">
        <v>71</v>
      </c>
      <c r="C19" s="551">
        <v>0.14000000000000001</v>
      </c>
      <c r="D19" s="676">
        <v>0.86407721861505915</v>
      </c>
    </row>
    <row r="20" spans="1:4">
      <c r="A20" t="s">
        <v>792</v>
      </c>
      <c r="B20" s="233">
        <v>75</v>
      </c>
      <c r="C20" s="551">
        <v>0.14000000000000001</v>
      </c>
      <c r="D20" s="676">
        <v>1.2761289567149765</v>
      </c>
    </row>
    <row r="21" spans="1:4">
      <c r="A21" t="s">
        <v>2774</v>
      </c>
      <c r="B21" s="233">
        <v>79</v>
      </c>
      <c r="C21" s="551">
        <v>0.14000000000000001</v>
      </c>
      <c r="D21" s="676">
        <v>0.93564502879811484</v>
      </c>
    </row>
    <row r="22" spans="1:4">
      <c r="A22" s="24" t="s">
        <v>6964</v>
      </c>
      <c r="B22" s="392">
        <v>81</v>
      </c>
      <c r="C22" s="551">
        <v>0.12</v>
      </c>
      <c r="D22" s="552">
        <v>1</v>
      </c>
    </row>
    <row r="23" spans="1:4">
      <c r="A23" s="13" t="s">
        <v>6965</v>
      </c>
      <c r="B23" s="13">
        <v>82</v>
      </c>
      <c r="C23" s="551">
        <v>0.9</v>
      </c>
      <c r="D23" s="552">
        <v>1</v>
      </c>
    </row>
    <row r="24" spans="1:4">
      <c r="A24" t="s">
        <v>2681</v>
      </c>
      <c r="B24" s="233">
        <v>83</v>
      </c>
      <c r="C24" s="551">
        <v>0.14000000000000001</v>
      </c>
      <c r="D24" s="676">
        <v>0.87241711551891887</v>
      </c>
    </row>
    <row r="25" spans="1:4">
      <c r="A25" t="s">
        <v>6966</v>
      </c>
      <c r="B25">
        <v>85</v>
      </c>
      <c r="C25" s="551">
        <v>0.12</v>
      </c>
      <c r="D25" s="552">
        <v>1</v>
      </c>
    </row>
    <row r="26" spans="1:4">
      <c r="A26" t="s">
        <v>3770</v>
      </c>
      <c r="B26" s="233">
        <v>89</v>
      </c>
      <c r="C26" s="551">
        <v>0.14000000000000001</v>
      </c>
      <c r="D26" s="552">
        <v>1</v>
      </c>
    </row>
    <row r="27" spans="1:4">
      <c r="A27" s="24" t="s">
        <v>6967</v>
      </c>
      <c r="B27" s="392">
        <v>91</v>
      </c>
      <c r="C27" s="551">
        <v>0.12</v>
      </c>
      <c r="D27" s="552">
        <v>1</v>
      </c>
    </row>
    <row r="28" spans="1:4">
      <c r="A28" t="s">
        <v>5383</v>
      </c>
      <c r="B28" s="233">
        <v>92</v>
      </c>
      <c r="C28" s="551">
        <v>0.14000000000000001</v>
      </c>
      <c r="D28" s="552">
        <v>1</v>
      </c>
    </row>
    <row r="29" spans="1:4">
      <c r="A29" t="s">
        <v>4317</v>
      </c>
      <c r="B29" s="233">
        <v>94</v>
      </c>
      <c r="C29" s="551">
        <v>0.14000000000000001</v>
      </c>
      <c r="D29" s="552">
        <v>1</v>
      </c>
    </row>
    <row r="30" spans="1:4">
      <c r="A30" s="24" t="s">
        <v>6968</v>
      </c>
      <c r="B30" s="392">
        <v>96</v>
      </c>
      <c r="C30" s="551">
        <v>0.12</v>
      </c>
      <c r="D30" s="552">
        <v>1</v>
      </c>
    </row>
    <row r="31" spans="1:4">
      <c r="A31" t="s">
        <v>4423</v>
      </c>
      <c r="B31" s="233">
        <v>97</v>
      </c>
      <c r="C31" s="551">
        <v>0.14000000000000001</v>
      </c>
      <c r="D31" s="676">
        <v>1.0153963872541969</v>
      </c>
    </row>
    <row r="32" spans="1:4">
      <c r="A32" s="13" t="s">
        <v>6969</v>
      </c>
      <c r="B32" s="13">
        <v>99</v>
      </c>
      <c r="C32" s="551">
        <v>0.12</v>
      </c>
      <c r="D32" s="552">
        <v>1</v>
      </c>
    </row>
    <row r="33" spans="1:4">
      <c r="A33" t="s">
        <v>5795</v>
      </c>
      <c r="B33" s="233">
        <v>101</v>
      </c>
      <c r="C33" s="551">
        <v>0.14000000000000001</v>
      </c>
      <c r="D33" s="552">
        <v>1</v>
      </c>
    </row>
    <row r="34" spans="1:4">
      <c r="A34" t="s">
        <v>5796</v>
      </c>
      <c r="B34" s="233">
        <v>103</v>
      </c>
      <c r="C34" s="551">
        <v>0.14000000000000001</v>
      </c>
      <c r="D34" s="552">
        <v>1</v>
      </c>
    </row>
    <row r="35" spans="1:4">
      <c r="A35" t="s">
        <v>5797</v>
      </c>
      <c r="B35" s="233">
        <v>108</v>
      </c>
      <c r="C35" s="551">
        <v>0.14000000000000001</v>
      </c>
      <c r="D35" s="552">
        <v>1</v>
      </c>
    </row>
    <row r="36" spans="1:4">
      <c r="A36" t="s">
        <v>3131</v>
      </c>
      <c r="B36" s="233">
        <v>116</v>
      </c>
      <c r="C36" s="551">
        <v>0.78</v>
      </c>
      <c r="D36" s="552">
        <v>1</v>
      </c>
    </row>
    <row r="37" spans="1:4">
      <c r="A37" t="s">
        <v>6970</v>
      </c>
      <c r="B37">
        <v>120</v>
      </c>
      <c r="C37" s="551">
        <v>0.78</v>
      </c>
      <c r="D37" s="552">
        <v>1</v>
      </c>
    </row>
    <row r="38" spans="1:4">
      <c r="A38" t="s">
        <v>4710</v>
      </c>
      <c r="B38" s="233">
        <v>122</v>
      </c>
      <c r="C38" s="551">
        <v>0.7</v>
      </c>
      <c r="D38" s="552">
        <v>1</v>
      </c>
    </row>
    <row r="39" spans="1:4">
      <c r="A39" t="s">
        <v>4505</v>
      </c>
      <c r="B39" s="233">
        <v>125</v>
      </c>
      <c r="C39" s="551">
        <v>0.7</v>
      </c>
      <c r="D39" s="552">
        <v>1</v>
      </c>
    </row>
    <row r="40" spans="1:4">
      <c r="A40" t="s">
        <v>5798</v>
      </c>
      <c r="B40" s="233">
        <v>135</v>
      </c>
      <c r="C40" s="551">
        <v>0.74</v>
      </c>
      <c r="D40" s="552">
        <v>1</v>
      </c>
    </row>
    <row r="41" spans="1:4">
      <c r="A41" t="s">
        <v>5799</v>
      </c>
      <c r="B41" s="233">
        <v>136</v>
      </c>
      <c r="C41" s="551">
        <v>0.74</v>
      </c>
      <c r="D41" s="552">
        <v>1</v>
      </c>
    </row>
    <row r="42" spans="1:4">
      <c r="A42" t="s">
        <v>1154</v>
      </c>
      <c r="B42" s="233">
        <v>137</v>
      </c>
      <c r="C42" s="551">
        <v>0.74</v>
      </c>
      <c r="D42" s="552">
        <v>1</v>
      </c>
    </row>
    <row r="43" spans="1:4">
      <c r="A43" t="s">
        <v>2379</v>
      </c>
      <c r="B43" s="233">
        <v>149</v>
      </c>
      <c r="C43" s="551">
        <v>0.75</v>
      </c>
      <c r="D43" s="552">
        <v>1</v>
      </c>
    </row>
    <row r="44" spans="1:4">
      <c r="A44" t="s">
        <v>414</v>
      </c>
      <c r="B44" s="233">
        <v>156</v>
      </c>
      <c r="C44" s="551">
        <v>0.83</v>
      </c>
      <c r="D44" s="552">
        <v>1</v>
      </c>
    </row>
    <row r="45" spans="1:4">
      <c r="A45" t="s">
        <v>5800</v>
      </c>
      <c r="B45" s="233">
        <v>157</v>
      </c>
      <c r="C45" s="551">
        <v>0.77</v>
      </c>
      <c r="D45" s="552">
        <v>1</v>
      </c>
    </row>
    <row r="46" spans="1:4">
      <c r="A46" t="s">
        <v>5801</v>
      </c>
      <c r="B46" s="233">
        <v>161</v>
      </c>
      <c r="C46" s="551">
        <v>0.7</v>
      </c>
      <c r="D46" s="552">
        <v>1</v>
      </c>
    </row>
    <row r="47" spans="1:4">
      <c r="A47" t="s">
        <v>6971</v>
      </c>
      <c r="B47">
        <v>169</v>
      </c>
      <c r="C47" s="551">
        <v>0.13</v>
      </c>
      <c r="D47" s="552">
        <v>1</v>
      </c>
    </row>
    <row r="48" spans="1:4">
      <c r="A48" t="s">
        <v>5802</v>
      </c>
      <c r="B48" s="233">
        <v>176</v>
      </c>
      <c r="C48" s="551">
        <v>0.1</v>
      </c>
      <c r="D48" s="552">
        <v>1</v>
      </c>
    </row>
    <row r="49" spans="1:4">
      <c r="A49" t="s">
        <v>5803</v>
      </c>
      <c r="B49" s="233">
        <v>181</v>
      </c>
      <c r="C49" s="551">
        <v>0.1</v>
      </c>
      <c r="D49" s="552">
        <v>1</v>
      </c>
    </row>
    <row r="50" spans="1:4">
      <c r="A50" t="s">
        <v>5804</v>
      </c>
      <c r="B50" s="233">
        <v>187</v>
      </c>
      <c r="C50" s="551">
        <v>0.11</v>
      </c>
      <c r="D50" s="552">
        <v>1</v>
      </c>
    </row>
    <row r="51" spans="1:4">
      <c r="A51" t="s">
        <v>5805</v>
      </c>
      <c r="B51" s="233">
        <v>191</v>
      </c>
      <c r="C51" s="551">
        <v>0.11</v>
      </c>
      <c r="D51" s="552">
        <v>1</v>
      </c>
    </row>
    <row r="52" spans="1:4">
      <c r="A52" t="s">
        <v>5806</v>
      </c>
      <c r="B52" s="233">
        <v>195</v>
      </c>
      <c r="C52" s="551">
        <v>0.11</v>
      </c>
      <c r="D52" s="552">
        <v>1</v>
      </c>
    </row>
    <row r="53" spans="1:4">
      <c r="A53" t="s">
        <v>5807</v>
      </c>
      <c r="B53" s="233">
        <v>197</v>
      </c>
      <c r="C53" s="551">
        <v>0.11</v>
      </c>
      <c r="D53" s="552">
        <v>1</v>
      </c>
    </row>
    <row r="54" spans="1:4">
      <c r="A54" t="s">
        <v>567</v>
      </c>
      <c r="B54" s="233">
        <v>201</v>
      </c>
      <c r="C54" s="551">
        <v>0.11</v>
      </c>
      <c r="D54" s="552">
        <v>1</v>
      </c>
    </row>
    <row r="55" spans="1:4">
      <c r="A55" t="s">
        <v>5808</v>
      </c>
      <c r="B55" s="233">
        <v>203</v>
      </c>
      <c r="C55" s="551">
        <v>0.1</v>
      </c>
      <c r="D55" s="552">
        <v>1</v>
      </c>
    </row>
    <row r="56" spans="1:4">
      <c r="A56" t="s">
        <v>1146</v>
      </c>
      <c r="B56" s="233">
        <v>205</v>
      </c>
      <c r="C56" s="551">
        <v>0.1</v>
      </c>
      <c r="D56" s="552">
        <v>1</v>
      </c>
    </row>
    <row r="57" spans="1:4">
      <c r="A57" t="s">
        <v>3128</v>
      </c>
      <c r="B57" s="233">
        <v>210</v>
      </c>
      <c r="C57" s="551">
        <v>0.15</v>
      </c>
      <c r="D57" s="552">
        <v>1</v>
      </c>
    </row>
    <row r="58" spans="1:4">
      <c r="A58" t="s">
        <v>4905</v>
      </c>
      <c r="B58" s="233">
        <v>211</v>
      </c>
      <c r="C58" s="551">
        <v>0.1</v>
      </c>
      <c r="D58" s="552">
        <v>1</v>
      </c>
    </row>
    <row r="59" spans="1:4">
      <c r="A59" t="s">
        <v>5809</v>
      </c>
      <c r="B59" s="233">
        <v>216</v>
      </c>
      <c r="C59" s="551">
        <v>0.05</v>
      </c>
      <c r="D59" s="552">
        <v>1</v>
      </c>
    </row>
    <row r="60" spans="1:4">
      <c r="A60" t="s">
        <v>5810</v>
      </c>
      <c r="B60" s="233">
        <v>217</v>
      </c>
      <c r="C60" s="551">
        <v>0.05</v>
      </c>
      <c r="D60" s="552">
        <v>1</v>
      </c>
    </row>
    <row r="61" spans="1:4">
      <c r="A61" t="s">
        <v>3744</v>
      </c>
      <c r="B61" s="233">
        <v>220</v>
      </c>
      <c r="C61" s="551">
        <v>0.08</v>
      </c>
      <c r="D61" s="552">
        <v>1</v>
      </c>
    </row>
    <row r="62" spans="1:4">
      <c r="A62" t="s">
        <v>5811</v>
      </c>
      <c r="B62" s="233">
        <v>221</v>
      </c>
      <c r="C62" s="551">
        <v>0.04</v>
      </c>
      <c r="D62" s="552">
        <v>1</v>
      </c>
    </row>
    <row r="63" spans="1:4">
      <c r="A63" t="s">
        <v>5812</v>
      </c>
      <c r="B63" s="233">
        <v>222</v>
      </c>
      <c r="C63" s="551">
        <v>0.04</v>
      </c>
      <c r="D63" s="552">
        <v>1</v>
      </c>
    </row>
    <row r="64" spans="1:4">
      <c r="A64" t="s">
        <v>5105</v>
      </c>
      <c r="B64" s="233">
        <v>223</v>
      </c>
      <c r="C64" s="551">
        <v>0.05</v>
      </c>
      <c r="D64" s="552">
        <v>1</v>
      </c>
    </row>
    <row r="65" spans="1:4">
      <c r="A65" t="s">
        <v>563</v>
      </c>
      <c r="B65" s="233">
        <v>224</v>
      </c>
      <c r="C65" s="551">
        <v>0.05</v>
      </c>
      <c r="D65" s="552">
        <v>1</v>
      </c>
    </row>
    <row r="66" spans="1:4">
      <c r="A66" t="s">
        <v>5813</v>
      </c>
      <c r="B66" s="233">
        <v>225</v>
      </c>
      <c r="C66" s="551">
        <v>0.06</v>
      </c>
      <c r="D66" s="552">
        <v>1</v>
      </c>
    </row>
    <row r="67" spans="1:4">
      <c r="A67" t="s">
        <v>5814</v>
      </c>
      <c r="B67" s="233">
        <v>226</v>
      </c>
      <c r="C67" s="551">
        <v>0.05</v>
      </c>
      <c r="D67" s="552">
        <v>1</v>
      </c>
    </row>
    <row r="68" spans="1:4">
      <c r="A68" t="s">
        <v>5815</v>
      </c>
      <c r="B68" s="233">
        <v>234</v>
      </c>
      <c r="C68" s="551">
        <v>0.05</v>
      </c>
      <c r="D68" s="552">
        <v>1</v>
      </c>
    </row>
    <row r="69" spans="1:4">
      <c r="A69" t="s">
        <v>3905</v>
      </c>
      <c r="B69" s="233">
        <v>236</v>
      </c>
      <c r="C69" s="551">
        <v>0.1</v>
      </c>
      <c r="D69" s="552">
        <v>1</v>
      </c>
    </row>
    <row r="70" spans="1:4">
      <c r="A70" t="s">
        <v>6972</v>
      </c>
      <c r="B70">
        <v>238</v>
      </c>
      <c r="C70" s="551">
        <v>0.1</v>
      </c>
      <c r="D70" s="552">
        <v>1</v>
      </c>
    </row>
    <row r="71" spans="1:4">
      <c r="A71" t="s">
        <v>5816</v>
      </c>
      <c r="B71" s="233">
        <v>242</v>
      </c>
      <c r="C71" s="551">
        <v>0.06</v>
      </c>
      <c r="D71" s="552">
        <v>1</v>
      </c>
    </row>
    <row r="72" spans="1:4">
      <c r="A72" t="s">
        <v>6973</v>
      </c>
      <c r="B72">
        <v>245</v>
      </c>
      <c r="C72" s="551">
        <v>0.05</v>
      </c>
      <c r="D72" s="552">
        <v>1</v>
      </c>
    </row>
    <row r="73" spans="1:4">
      <c r="A73" t="s">
        <v>882</v>
      </c>
      <c r="B73" s="233">
        <v>249</v>
      </c>
      <c r="C73" s="551">
        <v>0.4</v>
      </c>
      <c r="D73" s="552">
        <v>1</v>
      </c>
    </row>
    <row r="74" spans="1:4">
      <c r="A74" t="s">
        <v>6974</v>
      </c>
      <c r="B74">
        <v>253</v>
      </c>
      <c r="C74" s="551">
        <v>0.1</v>
      </c>
      <c r="D74" s="552">
        <v>1</v>
      </c>
    </row>
    <row r="75" spans="1:4">
      <c r="A75" t="s">
        <v>5817</v>
      </c>
      <c r="B75" s="233">
        <v>254</v>
      </c>
      <c r="C75" s="551">
        <v>0.6</v>
      </c>
      <c r="D75" s="552">
        <v>1</v>
      </c>
    </row>
    <row r="76" spans="1:4">
      <c r="A76" t="s">
        <v>6975</v>
      </c>
      <c r="B76">
        <v>259</v>
      </c>
      <c r="C76" s="551">
        <v>0.1</v>
      </c>
      <c r="D76" s="552">
        <v>1</v>
      </c>
    </row>
    <row r="77" spans="1:4">
      <c r="A77" t="s">
        <v>3734</v>
      </c>
      <c r="B77" s="233">
        <v>260</v>
      </c>
      <c r="C77" s="551">
        <v>0.6</v>
      </c>
      <c r="D77" s="552">
        <v>1</v>
      </c>
    </row>
    <row r="78" spans="1:4">
      <c r="A78" t="s">
        <v>3911</v>
      </c>
      <c r="B78" s="233">
        <v>263</v>
      </c>
      <c r="C78" s="551">
        <v>0.05</v>
      </c>
      <c r="D78" s="552">
        <v>1</v>
      </c>
    </row>
    <row r="79" spans="1:4">
      <c r="A79" t="s">
        <v>5818</v>
      </c>
      <c r="B79" s="233">
        <v>265</v>
      </c>
      <c r="C79" s="551">
        <v>0.8</v>
      </c>
      <c r="D79" s="552">
        <v>1</v>
      </c>
    </row>
    <row r="80" spans="1:4">
      <c r="A80" t="s">
        <v>4463</v>
      </c>
      <c r="B80" s="233">
        <v>267</v>
      </c>
      <c r="C80" s="551">
        <v>7.0000000000000007E-2</v>
      </c>
      <c r="D80" s="552">
        <v>1</v>
      </c>
    </row>
    <row r="81" spans="1:4">
      <c r="A81" t="s">
        <v>6976</v>
      </c>
      <c r="B81">
        <v>269</v>
      </c>
      <c r="C81" s="551">
        <v>0.1</v>
      </c>
      <c r="D81" s="552">
        <v>1</v>
      </c>
    </row>
    <row r="82" spans="1:4">
      <c r="A82" t="s">
        <v>2491</v>
      </c>
      <c r="B82" s="233">
        <v>270</v>
      </c>
      <c r="C82" s="551">
        <v>0.12</v>
      </c>
      <c r="D82" s="552">
        <v>1</v>
      </c>
    </row>
    <row r="83" spans="1:4">
      <c r="A83" t="s">
        <v>6977</v>
      </c>
      <c r="B83">
        <v>272</v>
      </c>
      <c r="C83" s="551">
        <v>0.1</v>
      </c>
      <c r="D83" s="552">
        <v>1</v>
      </c>
    </row>
    <row r="84" spans="1:4">
      <c r="A84" t="s">
        <v>3560</v>
      </c>
      <c r="B84" s="233">
        <v>275</v>
      </c>
      <c r="C84" s="551">
        <v>0.05</v>
      </c>
      <c r="D84" s="552">
        <v>1</v>
      </c>
    </row>
    <row r="85" spans="1:4">
      <c r="A85" t="s">
        <v>5819</v>
      </c>
      <c r="B85" s="233">
        <v>277</v>
      </c>
      <c r="C85" s="551">
        <v>0.05</v>
      </c>
      <c r="D85" s="552">
        <v>1</v>
      </c>
    </row>
    <row r="86" spans="1:4">
      <c r="A86" t="s">
        <v>5820</v>
      </c>
      <c r="B86" s="233">
        <v>280</v>
      </c>
      <c r="C86" s="551">
        <v>0.05</v>
      </c>
      <c r="D86" s="552">
        <v>1</v>
      </c>
    </row>
    <row r="87" spans="1:4">
      <c r="A87" s="24" t="s">
        <v>6978</v>
      </c>
      <c r="B87" s="392">
        <v>282</v>
      </c>
      <c r="C87" s="551">
        <v>0.1</v>
      </c>
      <c r="D87" s="552">
        <v>1</v>
      </c>
    </row>
    <row r="88" spans="1:4">
      <c r="A88" t="s">
        <v>5821</v>
      </c>
      <c r="B88" s="233">
        <v>289</v>
      </c>
      <c r="C88" s="551">
        <v>0.06</v>
      </c>
      <c r="D88" s="552">
        <v>1</v>
      </c>
    </row>
    <row r="89" spans="1:4">
      <c r="A89" s="24" t="s">
        <v>6979</v>
      </c>
      <c r="B89" s="392">
        <v>291</v>
      </c>
      <c r="C89" s="551">
        <v>0.1</v>
      </c>
      <c r="D89" s="552">
        <v>1</v>
      </c>
    </row>
    <row r="90" spans="1:4">
      <c r="A90" t="s">
        <v>5822</v>
      </c>
      <c r="B90" s="233">
        <v>292</v>
      </c>
      <c r="C90" s="551">
        <v>0.1</v>
      </c>
      <c r="D90" s="552">
        <v>1</v>
      </c>
    </row>
    <row r="91" spans="1:4">
      <c r="A91" t="s">
        <v>6980</v>
      </c>
      <c r="B91">
        <v>294</v>
      </c>
      <c r="C91" s="551">
        <v>0.1</v>
      </c>
      <c r="D91" s="552">
        <v>1</v>
      </c>
    </row>
    <row r="92" spans="1:4">
      <c r="A92" t="s">
        <v>5823</v>
      </c>
      <c r="B92" s="233">
        <v>296</v>
      </c>
      <c r="C92" s="551">
        <v>0.05</v>
      </c>
      <c r="D92" s="552">
        <v>1</v>
      </c>
    </row>
    <row r="93" spans="1:4">
      <c r="A93" t="s">
        <v>2772</v>
      </c>
      <c r="B93" s="233">
        <v>299</v>
      </c>
      <c r="C93" s="551">
        <v>0.1</v>
      </c>
      <c r="D93" s="552">
        <v>1</v>
      </c>
    </row>
    <row r="94" spans="1:4">
      <c r="A94" t="s">
        <v>5824</v>
      </c>
      <c r="B94" s="233">
        <v>305</v>
      </c>
      <c r="C94" s="551">
        <v>0.1</v>
      </c>
      <c r="D94" s="552">
        <v>1</v>
      </c>
    </row>
    <row r="95" spans="1:4">
      <c r="A95" t="s">
        <v>5825</v>
      </c>
      <c r="B95" s="233">
        <v>310</v>
      </c>
      <c r="C95" s="551">
        <v>0.5</v>
      </c>
      <c r="D95" s="552">
        <v>1</v>
      </c>
    </row>
    <row r="96" spans="1:4">
      <c r="A96" t="s">
        <v>6981</v>
      </c>
      <c r="B96">
        <v>314</v>
      </c>
      <c r="C96" s="551">
        <v>0.1</v>
      </c>
      <c r="D96" s="552">
        <v>1</v>
      </c>
    </row>
    <row r="97" spans="1:4">
      <c r="A97" t="s">
        <v>2033</v>
      </c>
      <c r="B97" s="233">
        <v>328</v>
      </c>
      <c r="C97" s="551">
        <v>0.1</v>
      </c>
      <c r="D97" s="552">
        <v>1</v>
      </c>
    </row>
    <row r="98" spans="1:4">
      <c r="A98" t="s">
        <v>6982</v>
      </c>
      <c r="B98">
        <v>332</v>
      </c>
      <c r="C98" s="551">
        <v>0.1</v>
      </c>
      <c r="D98" s="552">
        <v>1</v>
      </c>
    </row>
    <row r="99" spans="1:4">
      <c r="A99" t="s">
        <v>259</v>
      </c>
      <c r="B99" s="233">
        <v>333</v>
      </c>
      <c r="C99" s="551">
        <v>0.1</v>
      </c>
      <c r="D99" s="552">
        <v>1</v>
      </c>
    </row>
    <row r="100" spans="1:4">
      <c r="A100" t="s">
        <v>6983</v>
      </c>
      <c r="B100">
        <v>335</v>
      </c>
      <c r="C100" s="551">
        <v>0.1</v>
      </c>
      <c r="D100" s="552">
        <v>1</v>
      </c>
    </row>
    <row r="101" spans="1:4">
      <c r="A101" t="s">
        <v>4029</v>
      </c>
      <c r="B101" s="233">
        <v>336</v>
      </c>
      <c r="C101" s="551">
        <v>0.05</v>
      </c>
      <c r="D101" s="552">
        <v>1</v>
      </c>
    </row>
    <row r="102" spans="1:4">
      <c r="A102" s="24" t="s">
        <v>6984</v>
      </c>
      <c r="B102" s="392">
        <v>338</v>
      </c>
      <c r="C102" s="551">
        <v>0.1</v>
      </c>
      <c r="D102" s="552">
        <v>1</v>
      </c>
    </row>
    <row r="103" spans="1:4">
      <c r="A103" t="s">
        <v>5826</v>
      </c>
      <c r="B103" s="233">
        <v>339</v>
      </c>
      <c r="C103" s="551">
        <v>0.1</v>
      </c>
      <c r="D103" s="552">
        <v>1</v>
      </c>
    </row>
    <row r="104" spans="1:4">
      <c r="A104" t="s">
        <v>5827</v>
      </c>
      <c r="B104" s="233">
        <v>358</v>
      </c>
      <c r="C104" s="551">
        <v>0.92</v>
      </c>
      <c r="D104" s="552">
        <v>1</v>
      </c>
    </row>
    <row r="105" spans="1:4">
      <c r="A105" t="s">
        <v>2080</v>
      </c>
      <c r="B105" s="233">
        <v>366</v>
      </c>
      <c r="C105" s="551">
        <v>0.85</v>
      </c>
      <c r="D105" s="552">
        <v>1</v>
      </c>
    </row>
    <row r="106" spans="1:4">
      <c r="A106" t="s">
        <v>2082</v>
      </c>
      <c r="B106" s="233">
        <v>367</v>
      </c>
      <c r="C106" s="551">
        <v>0.92</v>
      </c>
      <c r="D106" s="552">
        <v>1</v>
      </c>
    </row>
    <row r="107" spans="1:4">
      <c r="A107" t="s">
        <v>5828</v>
      </c>
      <c r="B107" s="233">
        <v>372</v>
      </c>
      <c r="C107" s="551">
        <v>0.95</v>
      </c>
      <c r="D107" s="552">
        <v>1</v>
      </c>
    </row>
    <row r="108" spans="1:4">
      <c r="A108" t="s">
        <v>3906</v>
      </c>
      <c r="B108" s="233">
        <v>373</v>
      </c>
      <c r="C108" s="551">
        <v>0.9</v>
      </c>
      <c r="D108" s="552">
        <v>1</v>
      </c>
    </row>
    <row r="109" spans="1:4">
      <c r="A109" t="s">
        <v>4422</v>
      </c>
      <c r="B109" s="233">
        <v>388</v>
      </c>
      <c r="C109" s="551">
        <v>0.94</v>
      </c>
      <c r="D109" s="552">
        <v>1</v>
      </c>
    </row>
    <row r="110" spans="1:4">
      <c r="A110" t="s">
        <v>5829</v>
      </c>
      <c r="B110" s="233">
        <v>393</v>
      </c>
      <c r="C110" s="551">
        <v>0.91</v>
      </c>
      <c r="D110" s="552">
        <v>1</v>
      </c>
    </row>
    <row r="111" spans="1:4">
      <c r="A111" t="s">
        <v>5830</v>
      </c>
      <c r="B111" s="233">
        <v>394</v>
      </c>
      <c r="C111" s="551">
        <v>0.91</v>
      </c>
      <c r="D111" s="552">
        <v>1</v>
      </c>
    </row>
    <row r="112" spans="1:4">
      <c r="A112" t="s">
        <v>5831</v>
      </c>
      <c r="B112" s="233">
        <v>397</v>
      </c>
      <c r="C112" s="551">
        <v>0.95</v>
      </c>
      <c r="D112" s="552">
        <v>1</v>
      </c>
    </row>
    <row r="113" spans="1:4">
      <c r="A113" t="s">
        <v>5832</v>
      </c>
      <c r="B113" s="233">
        <v>399</v>
      </c>
      <c r="C113" s="551">
        <v>0.92</v>
      </c>
      <c r="D113" s="552">
        <v>1</v>
      </c>
    </row>
    <row r="114" spans="1:4">
      <c r="A114" t="s">
        <v>5833</v>
      </c>
      <c r="B114" s="233">
        <v>401</v>
      </c>
      <c r="C114" s="551">
        <v>0.8</v>
      </c>
      <c r="D114" s="552">
        <v>1</v>
      </c>
    </row>
    <row r="115" spans="1:4">
      <c r="A115" t="s">
        <v>5834</v>
      </c>
      <c r="B115" s="233">
        <v>402</v>
      </c>
      <c r="C115" s="551">
        <v>0.89</v>
      </c>
      <c r="D115" s="552">
        <v>1</v>
      </c>
    </row>
    <row r="116" spans="1:4">
      <c r="A116" t="s">
        <v>5835</v>
      </c>
      <c r="B116" s="233">
        <v>403</v>
      </c>
      <c r="C116" s="551">
        <v>0.89</v>
      </c>
      <c r="D116" s="552">
        <v>1</v>
      </c>
    </row>
    <row r="117" spans="1:4">
      <c r="A117" t="s">
        <v>5063</v>
      </c>
      <c r="B117" s="233">
        <v>406</v>
      </c>
      <c r="C117" s="551">
        <v>0.61</v>
      </c>
      <c r="D117" s="552">
        <v>1</v>
      </c>
    </row>
    <row r="118" spans="1:4">
      <c r="A118" t="s">
        <v>5836</v>
      </c>
      <c r="B118" s="233">
        <v>407</v>
      </c>
      <c r="C118" s="551">
        <v>0.85</v>
      </c>
      <c r="D118" s="552">
        <v>1</v>
      </c>
    </row>
    <row r="119" spans="1:4">
      <c r="A119" t="s">
        <v>5837</v>
      </c>
      <c r="B119" s="233">
        <v>414</v>
      </c>
      <c r="C119" s="551">
        <v>0.8</v>
      </c>
      <c r="D119" s="552">
        <v>1</v>
      </c>
    </row>
    <row r="120" spans="1:4">
      <c r="A120" t="s">
        <v>5838</v>
      </c>
      <c r="B120" s="233">
        <v>417</v>
      </c>
      <c r="C120" s="551">
        <v>0.78</v>
      </c>
      <c r="D120" s="552">
        <v>1</v>
      </c>
    </row>
    <row r="121" spans="1:4">
      <c r="A121" t="s">
        <v>5839</v>
      </c>
      <c r="B121" s="233">
        <v>420</v>
      </c>
      <c r="C121" s="551">
        <v>0.8</v>
      </c>
      <c r="D121" s="552">
        <v>1</v>
      </c>
    </row>
    <row r="122" spans="1:4">
      <c r="A122" t="s">
        <v>5840</v>
      </c>
      <c r="B122" s="233">
        <v>423</v>
      </c>
      <c r="C122" s="551">
        <v>0.8</v>
      </c>
      <c r="D122" s="552">
        <v>1</v>
      </c>
    </row>
    <row r="123" spans="1:4">
      <c r="A123" t="s">
        <v>5841</v>
      </c>
      <c r="B123" s="233">
        <v>426</v>
      </c>
      <c r="C123" s="551">
        <v>0.88</v>
      </c>
      <c r="D123" s="552">
        <v>1</v>
      </c>
    </row>
    <row r="124" spans="1:4">
      <c r="A124" t="s">
        <v>795</v>
      </c>
      <c r="B124" s="233">
        <v>430</v>
      </c>
      <c r="C124" s="551">
        <v>0.89</v>
      </c>
      <c r="D124" s="552">
        <v>1</v>
      </c>
    </row>
    <row r="125" spans="1:4">
      <c r="A125" t="s">
        <v>5842</v>
      </c>
      <c r="B125" s="233">
        <v>446</v>
      </c>
      <c r="C125" s="551">
        <v>0.72</v>
      </c>
      <c r="D125" s="552">
        <v>1</v>
      </c>
    </row>
    <row r="126" spans="1:4">
      <c r="A126" t="s">
        <v>5843</v>
      </c>
      <c r="B126" s="233">
        <v>449</v>
      </c>
      <c r="C126" s="551">
        <v>0.9</v>
      </c>
      <c r="D126" s="552">
        <v>1</v>
      </c>
    </row>
    <row r="127" spans="1:4">
      <c r="A127" t="s">
        <v>5844</v>
      </c>
      <c r="B127" s="233">
        <v>459</v>
      </c>
      <c r="C127" s="551">
        <v>0.9</v>
      </c>
      <c r="D127" s="552">
        <v>1</v>
      </c>
    </row>
    <row r="128" spans="1:4">
      <c r="A128" t="s">
        <v>5440</v>
      </c>
      <c r="B128" s="233">
        <v>461</v>
      </c>
      <c r="C128" s="551">
        <v>0.7</v>
      </c>
      <c r="D128" s="552">
        <v>1</v>
      </c>
    </row>
    <row r="129" spans="1:4">
      <c r="A129" t="s">
        <v>5845</v>
      </c>
      <c r="B129" s="233">
        <v>463</v>
      </c>
      <c r="C129" s="551">
        <v>0.95</v>
      </c>
      <c r="D129" s="552">
        <v>1</v>
      </c>
    </row>
    <row r="130" spans="1:4">
      <c r="A130" t="s">
        <v>614</v>
      </c>
      <c r="B130" s="233">
        <v>486</v>
      </c>
      <c r="C130" s="551">
        <v>0.75</v>
      </c>
      <c r="D130" s="552">
        <v>1</v>
      </c>
    </row>
    <row r="131" spans="1:4">
      <c r="A131" t="s">
        <v>5106</v>
      </c>
      <c r="B131" s="233">
        <v>489</v>
      </c>
      <c r="C131" s="551">
        <v>0.66</v>
      </c>
      <c r="D131" s="552">
        <v>1</v>
      </c>
    </row>
    <row r="132" spans="1:4">
      <c r="A132" t="s">
        <v>3096</v>
      </c>
      <c r="B132" s="233">
        <v>490</v>
      </c>
      <c r="C132" s="551">
        <v>0.86</v>
      </c>
      <c r="D132" s="552">
        <v>1</v>
      </c>
    </row>
    <row r="133" spans="1:4">
      <c r="A133" t="s">
        <v>5846</v>
      </c>
      <c r="B133" s="233">
        <v>495</v>
      </c>
      <c r="C133" s="551">
        <v>0.87</v>
      </c>
      <c r="D133" s="552">
        <v>1</v>
      </c>
    </row>
    <row r="134" spans="1:4">
      <c r="A134" t="s">
        <v>5847</v>
      </c>
      <c r="B134" s="233">
        <v>497</v>
      </c>
      <c r="C134" s="551">
        <v>0.87</v>
      </c>
      <c r="D134" s="552">
        <v>1</v>
      </c>
    </row>
    <row r="135" spans="1:4">
      <c r="A135" t="s">
        <v>5848</v>
      </c>
      <c r="B135" s="233">
        <v>507</v>
      </c>
      <c r="C135" s="551">
        <v>0.88</v>
      </c>
      <c r="D135" s="552">
        <v>1</v>
      </c>
    </row>
    <row r="136" spans="1:4">
      <c r="A136" t="s">
        <v>5849</v>
      </c>
      <c r="B136" s="233">
        <v>512</v>
      </c>
      <c r="C136" s="551">
        <v>0.86</v>
      </c>
      <c r="D136" s="552">
        <v>1</v>
      </c>
    </row>
    <row r="137" spans="1:4">
      <c r="A137" t="s">
        <v>774</v>
      </c>
      <c r="B137" s="233">
        <v>515</v>
      </c>
      <c r="C137" s="551">
        <v>0.85</v>
      </c>
      <c r="D137" s="552">
        <v>1</v>
      </c>
    </row>
    <row r="138" spans="1:4">
      <c r="A138" t="s">
        <v>2500</v>
      </c>
      <c r="B138" s="233">
        <v>521</v>
      </c>
      <c r="C138" s="551">
        <v>0.83</v>
      </c>
      <c r="D138" s="552">
        <v>1</v>
      </c>
    </row>
    <row r="139" spans="1:4">
      <c r="A139" t="s">
        <v>480</v>
      </c>
      <c r="B139" s="233">
        <v>523</v>
      </c>
      <c r="C139" s="551">
        <v>0.84</v>
      </c>
      <c r="D139" s="552">
        <v>1</v>
      </c>
    </row>
    <row r="140" spans="1:4">
      <c r="A140" t="s">
        <v>2831</v>
      </c>
      <c r="B140" s="233">
        <v>526</v>
      </c>
      <c r="C140" s="551">
        <v>0.85</v>
      </c>
      <c r="D140" s="552">
        <v>1</v>
      </c>
    </row>
    <row r="141" spans="1:4">
      <c r="A141" t="s">
        <v>5850</v>
      </c>
      <c r="B141" s="233">
        <v>530</v>
      </c>
      <c r="C141" s="551">
        <v>0.9</v>
      </c>
      <c r="D141" s="552">
        <v>1</v>
      </c>
    </row>
    <row r="142" spans="1:4">
      <c r="A142" t="s">
        <v>3742</v>
      </c>
      <c r="B142" s="233">
        <v>531</v>
      </c>
      <c r="C142" s="551">
        <v>0.8</v>
      </c>
      <c r="D142" s="552">
        <v>1</v>
      </c>
    </row>
    <row r="143" spans="1:4">
      <c r="A143" t="s">
        <v>5851</v>
      </c>
      <c r="B143" s="233">
        <v>534</v>
      </c>
      <c r="C143" s="551">
        <v>0.89</v>
      </c>
      <c r="D143" s="552">
        <v>1</v>
      </c>
    </row>
    <row r="144" spans="1:4">
      <c r="A144" t="s">
        <v>5852</v>
      </c>
      <c r="B144" s="233">
        <v>536</v>
      </c>
      <c r="C144" s="551">
        <v>0.81</v>
      </c>
      <c r="D144" s="552">
        <v>1</v>
      </c>
    </row>
    <row r="145" spans="1:4">
      <c r="A145" t="s">
        <v>5853</v>
      </c>
      <c r="B145" s="233">
        <v>541</v>
      </c>
      <c r="C145" s="551">
        <v>0.89</v>
      </c>
      <c r="D145" s="552">
        <v>1</v>
      </c>
    </row>
    <row r="146" spans="1:4">
      <c r="A146" s="13" t="s">
        <v>6875</v>
      </c>
      <c r="B146" s="233">
        <v>542</v>
      </c>
      <c r="C146" s="551">
        <v>0.84</v>
      </c>
      <c r="D146" s="552">
        <v>1</v>
      </c>
    </row>
    <row r="147" spans="1:4">
      <c r="A147" t="s">
        <v>519</v>
      </c>
      <c r="B147" s="233">
        <v>544</v>
      </c>
      <c r="C147" s="551">
        <v>0.9</v>
      </c>
      <c r="D147" s="552">
        <v>1</v>
      </c>
    </row>
    <row r="148" spans="1:4">
      <c r="A148" t="s">
        <v>3598</v>
      </c>
      <c r="B148" s="233">
        <v>547</v>
      </c>
      <c r="C148" s="551">
        <v>0.84</v>
      </c>
      <c r="D148" s="552">
        <v>1</v>
      </c>
    </row>
    <row r="149" spans="1:4">
      <c r="A149" t="s">
        <v>5067</v>
      </c>
      <c r="B149" s="233">
        <v>549</v>
      </c>
      <c r="C149" s="551">
        <v>0.89</v>
      </c>
      <c r="D149" s="552">
        <v>1</v>
      </c>
    </row>
    <row r="150" spans="1:4">
      <c r="A150" t="s">
        <v>807</v>
      </c>
      <c r="B150" s="233">
        <v>550</v>
      </c>
      <c r="C150" s="551">
        <v>0.84</v>
      </c>
      <c r="D150" s="552">
        <v>1</v>
      </c>
    </row>
    <row r="151" spans="1:4">
      <c r="A151" t="s">
        <v>3256</v>
      </c>
      <c r="B151" s="233">
        <v>552</v>
      </c>
      <c r="C151" s="551">
        <v>0.83</v>
      </c>
      <c r="D151" s="552">
        <v>1</v>
      </c>
    </row>
    <row r="152" spans="1:4">
      <c r="A152" t="s">
        <v>577</v>
      </c>
      <c r="B152" s="233">
        <v>554</v>
      </c>
      <c r="C152" s="551">
        <v>0.88</v>
      </c>
      <c r="D152" s="552">
        <v>1</v>
      </c>
    </row>
    <row r="153" spans="1:4">
      <c r="A153" t="s">
        <v>5854</v>
      </c>
      <c r="B153" s="233">
        <v>558</v>
      </c>
      <c r="C153" s="551">
        <v>0.85</v>
      </c>
      <c r="D153" s="552">
        <v>1</v>
      </c>
    </row>
    <row r="154" spans="1:4">
      <c r="A154" t="s">
        <v>4775</v>
      </c>
      <c r="B154" s="233">
        <v>560</v>
      </c>
      <c r="C154" s="551">
        <v>0.81</v>
      </c>
      <c r="D154" s="552">
        <v>1</v>
      </c>
    </row>
    <row r="155" spans="1:4">
      <c r="A155" t="s">
        <v>1149</v>
      </c>
      <c r="B155" s="233">
        <v>567</v>
      </c>
      <c r="C155" s="551">
        <v>0.93</v>
      </c>
      <c r="D155" s="552">
        <v>1</v>
      </c>
    </row>
    <row r="156" spans="1:4">
      <c r="A156" t="s">
        <v>5855</v>
      </c>
      <c r="B156" s="233">
        <v>568</v>
      </c>
      <c r="C156" s="551">
        <v>0.9</v>
      </c>
      <c r="D156" s="552">
        <v>1</v>
      </c>
    </row>
    <row r="157" spans="1:4">
      <c r="A157" t="s">
        <v>813</v>
      </c>
      <c r="B157" s="233">
        <v>569</v>
      </c>
      <c r="C157" s="551">
        <v>0.77</v>
      </c>
      <c r="D157" s="552">
        <v>1</v>
      </c>
    </row>
    <row r="158" spans="1:4">
      <c r="A158" t="s">
        <v>5856</v>
      </c>
      <c r="B158" s="233">
        <v>571</v>
      </c>
      <c r="C158" s="551">
        <v>0.82</v>
      </c>
      <c r="D158" s="552">
        <v>1</v>
      </c>
    </row>
    <row r="159" spans="1:4">
      <c r="A159" t="s">
        <v>2340</v>
      </c>
      <c r="B159" s="233">
        <v>572</v>
      </c>
      <c r="C159" s="551">
        <v>0.74</v>
      </c>
      <c r="D159" s="552">
        <v>1</v>
      </c>
    </row>
    <row r="160" spans="1:4">
      <c r="A160" t="s">
        <v>5104</v>
      </c>
      <c r="B160" s="233">
        <v>574</v>
      </c>
      <c r="C160" s="551">
        <v>0.85</v>
      </c>
      <c r="D160" s="552">
        <v>1</v>
      </c>
    </row>
    <row r="161" spans="1:4">
      <c r="A161" t="s">
        <v>809</v>
      </c>
      <c r="B161" s="233">
        <v>577</v>
      </c>
      <c r="C161" s="551">
        <v>0.22</v>
      </c>
      <c r="D161" s="552">
        <v>1</v>
      </c>
    </row>
    <row r="162" spans="1:4">
      <c r="A162" t="s">
        <v>5100</v>
      </c>
      <c r="B162" s="233">
        <v>587</v>
      </c>
      <c r="C162" s="551">
        <v>0.78</v>
      </c>
      <c r="D162" s="552">
        <v>1</v>
      </c>
    </row>
    <row r="163" spans="1:4">
      <c r="A163" t="s">
        <v>4503</v>
      </c>
      <c r="B163" s="233">
        <v>591</v>
      </c>
      <c r="C163" s="551">
        <v>0.86</v>
      </c>
      <c r="D163" s="552">
        <v>1</v>
      </c>
    </row>
    <row r="164" spans="1:4">
      <c r="A164" t="s">
        <v>5857</v>
      </c>
      <c r="B164" s="233">
        <v>592</v>
      </c>
      <c r="C164" s="551">
        <v>0.9</v>
      </c>
      <c r="D164" s="552">
        <v>1</v>
      </c>
    </row>
    <row r="165" spans="1:4">
      <c r="A165" t="s">
        <v>928</v>
      </c>
      <c r="B165" s="233">
        <v>600</v>
      </c>
      <c r="C165" s="551">
        <v>0.89</v>
      </c>
      <c r="D165" s="552">
        <v>1</v>
      </c>
    </row>
    <row r="166" spans="1:4">
      <c r="A166" t="s">
        <v>5858</v>
      </c>
      <c r="B166" s="233">
        <v>603</v>
      </c>
      <c r="C166" s="551">
        <v>0.85</v>
      </c>
      <c r="D166" s="552">
        <v>1</v>
      </c>
    </row>
    <row r="167" spans="1:4">
      <c r="A167" t="s">
        <v>5859</v>
      </c>
      <c r="B167" s="233">
        <v>619</v>
      </c>
      <c r="C167" s="551">
        <v>0.85</v>
      </c>
      <c r="D167" s="552">
        <v>1</v>
      </c>
    </row>
    <row r="168" spans="1:4">
      <c r="A168" s="13" t="s">
        <v>6985</v>
      </c>
      <c r="B168" s="13">
        <v>629</v>
      </c>
      <c r="C168" s="551">
        <v>0.13</v>
      </c>
      <c r="D168" s="552">
        <v>1</v>
      </c>
    </row>
    <row r="169" spans="1:4">
      <c r="A169" t="s">
        <v>6986</v>
      </c>
      <c r="B169">
        <v>635</v>
      </c>
      <c r="C169" s="551">
        <v>0.14000000000000001</v>
      </c>
      <c r="D169" s="552">
        <v>1</v>
      </c>
    </row>
    <row r="170" spans="1:4">
      <c r="A170" t="s">
        <v>5860</v>
      </c>
      <c r="B170" s="233">
        <v>636</v>
      </c>
      <c r="C170" s="551">
        <v>0.8</v>
      </c>
      <c r="D170" s="552">
        <v>1</v>
      </c>
    </row>
    <row r="171" spans="1:4">
      <c r="A171" t="s">
        <v>5861</v>
      </c>
      <c r="B171" s="233">
        <v>637</v>
      </c>
      <c r="C171" s="551">
        <v>0.8</v>
      </c>
      <c r="D171" s="552">
        <v>1</v>
      </c>
    </row>
    <row r="172" spans="1:4">
      <c r="A172" t="s">
        <v>5862</v>
      </c>
      <c r="B172" s="233">
        <v>638</v>
      </c>
      <c r="C172" s="551">
        <v>0.84</v>
      </c>
      <c r="D172" s="552">
        <v>1</v>
      </c>
    </row>
    <row r="173" spans="1:4">
      <c r="A173" t="s">
        <v>5863</v>
      </c>
      <c r="B173" s="233">
        <v>639</v>
      </c>
      <c r="C173" s="551">
        <v>0.8</v>
      </c>
      <c r="D173" s="552">
        <v>1</v>
      </c>
    </row>
    <row r="174" spans="1:4">
      <c r="A174" t="s">
        <v>5864</v>
      </c>
      <c r="B174" s="233">
        <v>640</v>
      </c>
      <c r="C174" s="551">
        <v>0.8</v>
      </c>
      <c r="D174" s="552">
        <v>1</v>
      </c>
    </row>
    <row r="175" spans="1:4">
      <c r="A175" t="s">
        <v>5865</v>
      </c>
      <c r="B175" s="233">
        <v>641</v>
      </c>
      <c r="C175" s="551">
        <v>0.8</v>
      </c>
      <c r="D175" s="552">
        <v>1</v>
      </c>
    </row>
    <row r="176" spans="1:4">
      <c r="A176" t="s">
        <v>5866</v>
      </c>
      <c r="B176" s="233">
        <v>642</v>
      </c>
      <c r="C176" s="551">
        <v>0.8</v>
      </c>
      <c r="D176" s="552">
        <v>1</v>
      </c>
    </row>
    <row r="177" spans="1:4">
      <c r="A177" t="s">
        <v>5867</v>
      </c>
      <c r="B177" s="233">
        <v>643</v>
      </c>
      <c r="C177" s="551">
        <v>0.8</v>
      </c>
      <c r="D177" s="552">
        <v>1</v>
      </c>
    </row>
    <row r="178" spans="1:4">
      <c r="A178" t="s">
        <v>5868</v>
      </c>
      <c r="B178" s="233">
        <v>644</v>
      </c>
      <c r="C178" s="551">
        <v>0.92</v>
      </c>
      <c r="D178" s="552">
        <v>1</v>
      </c>
    </row>
    <row r="179" spans="1:4">
      <c r="A179" t="s">
        <v>5869</v>
      </c>
      <c r="B179" s="233">
        <v>645</v>
      </c>
      <c r="C179" s="551">
        <v>0.8</v>
      </c>
      <c r="D179" s="552">
        <v>1</v>
      </c>
    </row>
    <row r="180" spans="1:4">
      <c r="A180" t="s">
        <v>2342</v>
      </c>
      <c r="B180" s="233">
        <v>646</v>
      </c>
      <c r="C180" s="551">
        <v>0.88</v>
      </c>
      <c r="D180" s="552">
        <v>1</v>
      </c>
    </row>
    <row r="181" spans="1:4">
      <c r="A181" t="s">
        <v>3499</v>
      </c>
      <c r="B181" s="233">
        <v>647</v>
      </c>
      <c r="C181" s="551">
        <v>0.88</v>
      </c>
      <c r="D181" s="552">
        <v>1</v>
      </c>
    </row>
    <row r="182" spans="1:4">
      <c r="A182" t="s">
        <v>5870</v>
      </c>
      <c r="B182" s="233">
        <v>648</v>
      </c>
      <c r="C182" s="551">
        <v>0.89</v>
      </c>
      <c r="D182" s="552">
        <v>1</v>
      </c>
    </row>
    <row r="183" spans="1:4">
      <c r="A183" t="s">
        <v>3552</v>
      </c>
      <c r="B183" s="233">
        <v>649</v>
      </c>
      <c r="C183" s="551">
        <v>0.88</v>
      </c>
      <c r="D183" s="552">
        <v>1</v>
      </c>
    </row>
    <row r="184" spans="1:4">
      <c r="A184" t="s">
        <v>6987</v>
      </c>
      <c r="B184">
        <v>650</v>
      </c>
      <c r="C184" s="551">
        <v>0.88</v>
      </c>
      <c r="D184" s="552">
        <v>1</v>
      </c>
    </row>
    <row r="185" spans="1:4">
      <c r="A185" t="s">
        <v>5871</v>
      </c>
      <c r="B185" s="233">
        <v>651</v>
      </c>
      <c r="C185" s="551">
        <v>0.8</v>
      </c>
      <c r="D185" s="552">
        <v>1</v>
      </c>
    </row>
    <row r="186" spans="1:4">
      <c r="A186" t="s">
        <v>6988</v>
      </c>
      <c r="B186">
        <v>652</v>
      </c>
      <c r="C186" s="551">
        <v>0.14000000000000001</v>
      </c>
      <c r="D186" s="552">
        <v>1</v>
      </c>
    </row>
    <row r="187" spans="1:4">
      <c r="A187" t="s">
        <v>6989</v>
      </c>
      <c r="B187">
        <v>653</v>
      </c>
      <c r="C187" s="551">
        <v>0.25</v>
      </c>
      <c r="D187" s="552">
        <v>1</v>
      </c>
    </row>
    <row r="188" spans="1:4">
      <c r="A188" t="s">
        <v>6990</v>
      </c>
      <c r="B188">
        <v>654</v>
      </c>
      <c r="C188" s="551">
        <v>0.6</v>
      </c>
      <c r="D188" s="552">
        <v>1</v>
      </c>
    </row>
    <row r="189" spans="1:4">
      <c r="A189" t="s">
        <v>5872</v>
      </c>
      <c r="B189" s="233">
        <v>655</v>
      </c>
      <c r="C189" s="551">
        <v>0.88</v>
      </c>
      <c r="D189" s="552">
        <v>1</v>
      </c>
    </row>
    <row r="190" spans="1:4">
      <c r="A190" t="s">
        <v>5873</v>
      </c>
      <c r="B190" s="233">
        <v>656</v>
      </c>
      <c r="C190" s="551">
        <v>0.1</v>
      </c>
      <c r="D190" s="552">
        <v>1</v>
      </c>
    </row>
    <row r="191" spans="1:4">
      <c r="A191" t="s">
        <v>4677</v>
      </c>
      <c r="B191" s="233">
        <v>661</v>
      </c>
      <c r="C191" s="551">
        <v>0.1</v>
      </c>
      <c r="D191" s="552">
        <v>1</v>
      </c>
    </row>
    <row r="192" spans="1:4">
      <c r="A192" t="s">
        <v>4420</v>
      </c>
      <c r="B192" s="233">
        <v>667</v>
      </c>
      <c r="C192" s="551">
        <v>0.1</v>
      </c>
      <c r="D192" s="552">
        <v>1</v>
      </c>
    </row>
    <row r="193" spans="1:4">
      <c r="A193" t="s">
        <v>1267</v>
      </c>
      <c r="B193" s="233">
        <v>671</v>
      </c>
      <c r="C193" s="551">
        <v>0.1</v>
      </c>
      <c r="D193" s="552">
        <v>1</v>
      </c>
    </row>
    <row r="194" spans="1:4">
      <c r="A194" t="s">
        <v>5874</v>
      </c>
      <c r="B194" s="233">
        <v>674</v>
      </c>
      <c r="C194" s="551">
        <v>0.1</v>
      </c>
      <c r="D194" s="552">
        <v>1</v>
      </c>
    </row>
    <row r="195" spans="1:4">
      <c r="A195" s="13" t="s">
        <v>5874</v>
      </c>
      <c r="B195" s="13">
        <v>674</v>
      </c>
      <c r="C195" s="551">
        <v>0.1</v>
      </c>
      <c r="D195" s="552">
        <v>1</v>
      </c>
    </row>
    <row r="196" spans="1:4">
      <c r="A196" t="s">
        <v>3643</v>
      </c>
      <c r="B196" s="233">
        <v>677</v>
      </c>
      <c r="C196" s="551">
        <v>0.8</v>
      </c>
      <c r="D196" s="552">
        <v>1</v>
      </c>
    </row>
    <row r="197" spans="1:4">
      <c r="A197" t="s">
        <v>5875</v>
      </c>
      <c r="B197" s="233">
        <v>687</v>
      </c>
      <c r="C197" s="551">
        <v>0.93</v>
      </c>
      <c r="D197" s="552">
        <v>1</v>
      </c>
    </row>
    <row r="198" spans="1:4">
      <c r="A198" t="s">
        <v>5876</v>
      </c>
      <c r="B198" s="233">
        <v>689</v>
      </c>
      <c r="C198" s="551">
        <v>0.8</v>
      </c>
      <c r="D198" s="552">
        <v>1</v>
      </c>
    </row>
    <row r="199" spans="1:4">
      <c r="A199" t="s">
        <v>4425</v>
      </c>
      <c r="B199" s="233">
        <v>692</v>
      </c>
      <c r="C199" s="551">
        <v>0.05</v>
      </c>
      <c r="D199" s="552">
        <v>1</v>
      </c>
    </row>
    <row r="200" spans="1:4">
      <c r="A200" t="s">
        <v>5877</v>
      </c>
      <c r="B200" s="233">
        <v>693</v>
      </c>
      <c r="C200" s="551">
        <v>0.05</v>
      </c>
      <c r="D200" s="552">
        <v>1</v>
      </c>
    </row>
    <row r="201" spans="1:4">
      <c r="A201" t="s">
        <v>5878</v>
      </c>
      <c r="B201" s="233">
        <v>698</v>
      </c>
      <c r="C201" s="551">
        <v>0.05</v>
      </c>
      <c r="D201" s="552">
        <v>1</v>
      </c>
    </row>
    <row r="202" spans="1:4">
      <c r="A202" t="s">
        <v>5878</v>
      </c>
      <c r="B202">
        <v>698</v>
      </c>
      <c r="C202" s="551">
        <v>0.05</v>
      </c>
      <c r="D202" s="552">
        <v>1</v>
      </c>
    </row>
    <row r="203" spans="1:4">
      <c r="A203" t="s">
        <v>5879</v>
      </c>
      <c r="B203" s="233">
        <v>702</v>
      </c>
      <c r="C203" s="551">
        <v>0.05</v>
      </c>
      <c r="D203" s="552">
        <v>1</v>
      </c>
    </row>
    <row r="204" spans="1:4">
      <c r="A204" t="s">
        <v>5880</v>
      </c>
      <c r="B204" s="233">
        <v>711</v>
      </c>
      <c r="C204" s="551">
        <v>0.05</v>
      </c>
      <c r="D204" s="552">
        <v>1</v>
      </c>
    </row>
    <row r="205" spans="1:4">
      <c r="A205" t="s">
        <v>5065</v>
      </c>
      <c r="B205" s="233">
        <v>720</v>
      </c>
      <c r="C205" s="551">
        <v>0.87</v>
      </c>
      <c r="D205" s="552">
        <v>1</v>
      </c>
    </row>
    <row r="206" spans="1:4">
      <c r="A206" t="s">
        <v>5881</v>
      </c>
      <c r="B206" s="233">
        <v>723</v>
      </c>
      <c r="C206" s="551">
        <v>0.05</v>
      </c>
      <c r="D206" s="552">
        <v>1</v>
      </c>
    </row>
    <row r="207" spans="1:4">
      <c r="A207" t="s">
        <v>2857</v>
      </c>
      <c r="B207" s="233">
        <v>748</v>
      </c>
      <c r="C207" s="551">
        <v>0.8</v>
      </c>
      <c r="D207" s="552">
        <v>1</v>
      </c>
    </row>
    <row r="208" spans="1:4">
      <c r="A208" t="s">
        <v>5882</v>
      </c>
      <c r="B208" s="233">
        <v>754</v>
      </c>
      <c r="C208" s="551">
        <v>0.05</v>
      </c>
      <c r="D208" s="552">
        <v>1</v>
      </c>
    </row>
    <row r="209" spans="1:4">
      <c r="A209" t="s">
        <v>5883</v>
      </c>
      <c r="B209" s="233">
        <v>773</v>
      </c>
      <c r="C209" s="551">
        <v>0.1</v>
      </c>
      <c r="D209" s="552">
        <v>1</v>
      </c>
    </row>
    <row r="210" spans="1:4">
      <c r="A210" t="s">
        <v>5884</v>
      </c>
      <c r="B210" s="233">
        <v>777</v>
      </c>
      <c r="C210" s="551">
        <v>0.1</v>
      </c>
      <c r="D210" s="552">
        <v>1</v>
      </c>
    </row>
    <row r="211" spans="1:4">
      <c r="A211" t="s">
        <v>804</v>
      </c>
      <c r="B211" s="233">
        <v>780</v>
      </c>
      <c r="C211" s="551">
        <v>0.13</v>
      </c>
      <c r="D211" s="552">
        <v>1</v>
      </c>
    </row>
    <row r="212" spans="1:4">
      <c r="A212" t="s">
        <v>5885</v>
      </c>
      <c r="B212" s="233">
        <v>782</v>
      </c>
      <c r="C212" s="551">
        <v>0.13</v>
      </c>
      <c r="D212" s="552">
        <v>1</v>
      </c>
    </row>
    <row r="213" spans="1:4">
      <c r="A213" t="s">
        <v>3596</v>
      </c>
      <c r="B213" s="233">
        <v>788</v>
      </c>
      <c r="C213" s="551">
        <v>0.1</v>
      </c>
      <c r="D213" s="552">
        <v>1</v>
      </c>
    </row>
    <row r="214" spans="1:4">
      <c r="A214" t="s">
        <v>662</v>
      </c>
      <c r="B214" s="233">
        <v>789</v>
      </c>
      <c r="C214" s="551">
        <v>0.08</v>
      </c>
      <c r="D214" s="552">
        <v>1</v>
      </c>
    </row>
    <row r="215" spans="1:4">
      <c r="A215" t="s">
        <v>5886</v>
      </c>
      <c r="B215" s="233">
        <v>800</v>
      </c>
      <c r="C215" s="551">
        <v>0.1</v>
      </c>
      <c r="D215" s="552">
        <v>1</v>
      </c>
    </row>
    <row r="216" spans="1:4">
      <c r="A216" t="s">
        <v>5887</v>
      </c>
      <c r="B216" s="233">
        <v>809</v>
      </c>
      <c r="C216" s="551">
        <v>0.1</v>
      </c>
      <c r="D216" s="552">
        <v>1</v>
      </c>
    </row>
    <row r="217" spans="1:4">
      <c r="A217" t="s">
        <v>5888</v>
      </c>
      <c r="B217" s="233">
        <v>821</v>
      </c>
      <c r="C217" s="551">
        <v>0.1</v>
      </c>
      <c r="D217" s="552">
        <v>1</v>
      </c>
    </row>
    <row r="218" spans="1:4">
      <c r="A218" t="s">
        <v>5889</v>
      </c>
      <c r="B218" s="233">
        <v>826</v>
      </c>
      <c r="C218" s="551">
        <v>0.1</v>
      </c>
      <c r="D218" s="552">
        <v>1</v>
      </c>
    </row>
    <row r="219" spans="1:4">
      <c r="A219" t="s">
        <v>5890</v>
      </c>
      <c r="B219" s="233">
        <v>836</v>
      </c>
      <c r="C219" s="551">
        <v>0.65</v>
      </c>
      <c r="D219" s="552">
        <v>1</v>
      </c>
    </row>
    <row r="220" spans="1:4">
      <c r="A220" t="s">
        <v>5891</v>
      </c>
      <c r="B220" s="233">
        <v>839</v>
      </c>
      <c r="C220" s="551">
        <v>0.65</v>
      </c>
      <c r="D220" s="552">
        <v>1</v>
      </c>
    </row>
    <row r="221" spans="1:4">
      <c r="A221" t="s">
        <v>6991</v>
      </c>
      <c r="B221">
        <v>845</v>
      </c>
      <c r="C221" s="551">
        <v>0.1</v>
      </c>
      <c r="D221" s="552">
        <v>1</v>
      </c>
    </row>
    <row r="222" spans="1:4">
      <c r="A222" t="s">
        <v>6992</v>
      </c>
      <c r="B222">
        <v>846</v>
      </c>
      <c r="C222" s="551">
        <v>0.1</v>
      </c>
      <c r="D222" s="552">
        <v>1</v>
      </c>
    </row>
    <row r="223" spans="1:4">
      <c r="A223" t="s">
        <v>6993</v>
      </c>
      <c r="B223">
        <v>850</v>
      </c>
      <c r="C223" s="551">
        <v>0.1</v>
      </c>
      <c r="D223" s="552">
        <v>1</v>
      </c>
    </row>
    <row r="224" spans="1:4">
      <c r="A224" t="s">
        <v>3541</v>
      </c>
      <c r="B224">
        <v>853</v>
      </c>
      <c r="C224" s="551">
        <v>0</v>
      </c>
      <c r="D224" s="552">
        <v>1</v>
      </c>
    </row>
    <row r="225" spans="1:4">
      <c r="A225" s="24" t="s">
        <v>4884</v>
      </c>
      <c r="B225" s="392">
        <v>858</v>
      </c>
      <c r="C225" s="551">
        <v>0.14000000000000001</v>
      </c>
      <c r="D225" s="552">
        <v>1</v>
      </c>
    </row>
    <row r="226" spans="1:4">
      <c r="A226" t="s">
        <v>4886</v>
      </c>
      <c r="B226">
        <v>859</v>
      </c>
      <c r="C226" s="551">
        <v>0.14000000000000001</v>
      </c>
      <c r="D226" s="552">
        <v>1</v>
      </c>
    </row>
    <row r="227" spans="1:4">
      <c r="A227" t="s">
        <v>6994</v>
      </c>
      <c r="B227">
        <v>862</v>
      </c>
      <c r="C227" s="551">
        <v>0.1</v>
      </c>
      <c r="D227" s="552">
        <v>1</v>
      </c>
    </row>
    <row r="228" spans="1:4">
      <c r="A228" t="s">
        <v>6995</v>
      </c>
      <c r="B228">
        <v>2511</v>
      </c>
      <c r="C228" s="551">
        <v>0.14000000000000001</v>
      </c>
      <c r="D228" s="552">
        <v>1</v>
      </c>
    </row>
    <row r="229" spans="1:4">
      <c r="A229" t="s">
        <v>6996</v>
      </c>
      <c r="B229">
        <v>2513</v>
      </c>
      <c r="C229" s="551">
        <v>0.14000000000000001</v>
      </c>
      <c r="D229" s="552">
        <v>1</v>
      </c>
    </row>
    <row r="230" spans="1:4">
      <c r="A230" t="s">
        <v>6997</v>
      </c>
      <c r="B230">
        <v>2514</v>
      </c>
      <c r="C230" s="551">
        <v>0.14000000000000001</v>
      </c>
      <c r="D230" s="552">
        <v>1</v>
      </c>
    </row>
    <row r="231" spans="1:4">
      <c r="A231" t="s">
        <v>6998</v>
      </c>
      <c r="B231">
        <v>2515</v>
      </c>
      <c r="C231" s="551">
        <v>0.14000000000000001</v>
      </c>
      <c r="D231" s="552">
        <v>1</v>
      </c>
    </row>
    <row r="232" spans="1:4">
      <c r="A232" t="s">
        <v>792</v>
      </c>
      <c r="B232">
        <v>2516</v>
      </c>
      <c r="C232" s="551">
        <v>0.14000000000000001</v>
      </c>
      <c r="D232" s="552">
        <v>1</v>
      </c>
    </row>
    <row r="233" spans="1:4">
      <c r="A233" t="s">
        <v>6999</v>
      </c>
      <c r="B233">
        <v>2517</v>
      </c>
      <c r="C233" s="551">
        <v>0.12</v>
      </c>
      <c r="D233" s="552">
        <v>1</v>
      </c>
    </row>
    <row r="234" spans="1:4">
      <c r="A234" t="s">
        <v>7000</v>
      </c>
      <c r="B234">
        <v>2518</v>
      </c>
      <c r="C234" s="551">
        <v>0.11</v>
      </c>
      <c r="D234" s="552">
        <v>1</v>
      </c>
    </row>
    <row r="235" spans="1:4">
      <c r="A235" t="s">
        <v>4676</v>
      </c>
      <c r="B235">
        <v>2520</v>
      </c>
      <c r="C235" s="551">
        <v>0.14000000000000001</v>
      </c>
      <c r="D235" s="552">
        <v>1</v>
      </c>
    </row>
    <row r="236" spans="1:4">
      <c r="A236" t="s">
        <v>7001</v>
      </c>
      <c r="B236">
        <v>2531</v>
      </c>
      <c r="C236" s="551">
        <v>0.78</v>
      </c>
      <c r="D236" s="552">
        <v>1</v>
      </c>
    </row>
    <row r="237" spans="1:4">
      <c r="A237" t="s">
        <v>7002</v>
      </c>
      <c r="B237">
        <v>2532</v>
      </c>
      <c r="C237" s="551">
        <v>0.7</v>
      </c>
      <c r="D237" s="552">
        <v>1</v>
      </c>
    </row>
    <row r="238" spans="1:4">
      <c r="A238" t="s">
        <v>4710</v>
      </c>
      <c r="B238">
        <v>2533</v>
      </c>
      <c r="C238" s="551">
        <v>0.7</v>
      </c>
      <c r="D238" s="552">
        <v>1</v>
      </c>
    </row>
    <row r="239" spans="1:4">
      <c r="A239" t="s">
        <v>4704</v>
      </c>
      <c r="B239">
        <v>2534</v>
      </c>
      <c r="C239" s="551">
        <v>0.75</v>
      </c>
      <c r="D239" s="552">
        <v>1</v>
      </c>
    </row>
    <row r="240" spans="1:4">
      <c r="A240" t="s">
        <v>1154</v>
      </c>
      <c r="B240">
        <v>2535</v>
      </c>
      <c r="C240" s="551">
        <v>0.74</v>
      </c>
      <c r="D240" s="552">
        <v>1</v>
      </c>
    </row>
    <row r="241" spans="1:4">
      <c r="A241" t="s">
        <v>414</v>
      </c>
      <c r="B241">
        <v>2536</v>
      </c>
      <c r="C241" s="551">
        <v>0.83</v>
      </c>
      <c r="D241" s="552">
        <v>1</v>
      </c>
    </row>
    <row r="242" spans="1:4">
      <c r="A242" t="s">
        <v>4709</v>
      </c>
      <c r="B242">
        <v>2537</v>
      </c>
      <c r="C242" s="551">
        <v>0.77</v>
      </c>
      <c r="D242" s="552">
        <v>1</v>
      </c>
    </row>
    <row r="243" spans="1:4">
      <c r="A243" t="s">
        <v>7003</v>
      </c>
      <c r="B243">
        <v>2541</v>
      </c>
      <c r="C243" s="551">
        <v>0</v>
      </c>
      <c r="D243" s="552">
        <v>1</v>
      </c>
    </row>
    <row r="244" spans="1:4">
      <c r="A244" t="s">
        <v>4708</v>
      </c>
      <c r="B244">
        <v>2542</v>
      </c>
      <c r="C244" s="551">
        <v>0</v>
      </c>
      <c r="D244" s="552">
        <v>1</v>
      </c>
    </row>
    <row r="245" spans="1:4">
      <c r="A245" t="s">
        <v>4711</v>
      </c>
      <c r="B245">
        <v>2543</v>
      </c>
      <c r="C245" s="551">
        <v>0</v>
      </c>
      <c r="D245" s="552">
        <v>1</v>
      </c>
    </row>
    <row r="246" spans="1:4">
      <c r="A246" s="210" t="s">
        <v>771</v>
      </c>
      <c r="B246">
        <v>2544</v>
      </c>
      <c r="C246" s="551">
        <v>0.24</v>
      </c>
      <c r="D246" s="552">
        <v>1</v>
      </c>
    </row>
    <row r="247" spans="1:4">
      <c r="A247" t="s">
        <v>4672</v>
      </c>
      <c r="B247">
        <v>2546</v>
      </c>
      <c r="C247" s="551">
        <v>0.8</v>
      </c>
      <c r="D247" s="552">
        <v>1</v>
      </c>
    </row>
    <row r="248" spans="1:4">
      <c r="A248" t="s">
        <v>4465</v>
      </c>
      <c r="B248">
        <v>2547</v>
      </c>
      <c r="C248" s="551">
        <v>0.78</v>
      </c>
      <c r="D248" s="552">
        <v>1</v>
      </c>
    </row>
    <row r="249" spans="1:4">
      <c r="A249" t="s">
        <v>7004</v>
      </c>
      <c r="B249">
        <v>2549</v>
      </c>
      <c r="C249" s="551">
        <v>0.1</v>
      </c>
      <c r="D249" s="552">
        <v>1</v>
      </c>
    </row>
    <row r="250" spans="1:4">
      <c r="A250" t="s">
        <v>4707</v>
      </c>
      <c r="B250">
        <v>2555</v>
      </c>
      <c r="C250" s="551">
        <v>0.1</v>
      </c>
      <c r="D250" s="552">
        <v>1</v>
      </c>
    </row>
    <row r="251" spans="1:4">
      <c r="A251" t="s">
        <v>4688</v>
      </c>
      <c r="B251">
        <v>2556</v>
      </c>
      <c r="C251" s="551">
        <v>0.1</v>
      </c>
      <c r="D251" s="552">
        <v>1</v>
      </c>
    </row>
    <row r="252" spans="1:4">
      <c r="A252" t="s">
        <v>3774</v>
      </c>
      <c r="B252">
        <v>2557</v>
      </c>
      <c r="C252" s="551">
        <v>7.0000000000000007E-2</v>
      </c>
      <c r="D252" s="552">
        <v>1</v>
      </c>
    </row>
    <row r="253" spans="1:4">
      <c r="A253" t="s">
        <v>4702</v>
      </c>
      <c r="B253">
        <v>2558</v>
      </c>
      <c r="C253" s="551">
        <v>0.14000000000000001</v>
      </c>
      <c r="D253" s="552">
        <v>1</v>
      </c>
    </row>
    <row r="254" spans="1:4">
      <c r="A254" t="s">
        <v>887</v>
      </c>
      <c r="B254">
        <v>2559</v>
      </c>
      <c r="C254" s="551">
        <v>0.1</v>
      </c>
      <c r="D254" s="552">
        <v>1</v>
      </c>
    </row>
    <row r="255" spans="1:4">
      <c r="A255" t="s">
        <v>4679</v>
      </c>
      <c r="B255">
        <v>2560</v>
      </c>
      <c r="C255" s="551">
        <v>0.1</v>
      </c>
      <c r="D255" s="552">
        <v>1</v>
      </c>
    </row>
    <row r="256" spans="1:4">
      <c r="A256" t="s">
        <v>2680</v>
      </c>
      <c r="B256">
        <v>2561</v>
      </c>
      <c r="C256" s="551">
        <v>0.1</v>
      </c>
      <c r="D256" s="552">
        <v>1</v>
      </c>
    </row>
    <row r="257" spans="1:4">
      <c r="A257" t="s">
        <v>3101</v>
      </c>
      <c r="B257">
        <v>2562</v>
      </c>
      <c r="C257" s="551">
        <v>0.1</v>
      </c>
      <c r="D257" s="552">
        <v>1</v>
      </c>
    </row>
    <row r="258" spans="1:4">
      <c r="A258" t="s">
        <v>4694</v>
      </c>
      <c r="B258">
        <v>2570</v>
      </c>
      <c r="C258" s="551">
        <v>0.1</v>
      </c>
      <c r="D258" s="552">
        <v>1</v>
      </c>
    </row>
    <row r="259" spans="1:4">
      <c r="A259" t="s">
        <v>4706</v>
      </c>
      <c r="B259">
        <v>2571</v>
      </c>
      <c r="C259" s="551">
        <v>0.01</v>
      </c>
      <c r="D259" s="552">
        <v>1</v>
      </c>
    </row>
    <row r="260" spans="1:4">
      <c r="A260" t="s">
        <v>4687</v>
      </c>
      <c r="B260">
        <v>2572</v>
      </c>
      <c r="C260" s="551">
        <v>0.1</v>
      </c>
      <c r="D260" s="552">
        <v>1</v>
      </c>
    </row>
    <row r="261" spans="1:4">
      <c r="A261" s="403" t="s">
        <v>7522</v>
      </c>
      <c r="B261">
        <v>2573</v>
      </c>
      <c r="C261" s="551">
        <v>0</v>
      </c>
      <c r="D261" s="552">
        <v>1</v>
      </c>
    </row>
    <row r="262" spans="1:4">
      <c r="A262" t="s">
        <v>4701</v>
      </c>
      <c r="B262">
        <v>2574</v>
      </c>
      <c r="C262" s="551">
        <v>0.01</v>
      </c>
      <c r="D262" s="552">
        <v>1</v>
      </c>
    </row>
    <row r="263" spans="1:4">
      <c r="A263" s="403" t="s">
        <v>7523</v>
      </c>
      <c r="B263">
        <v>2575</v>
      </c>
      <c r="C263" s="551">
        <v>0.1</v>
      </c>
      <c r="D263" s="552">
        <v>1</v>
      </c>
    </row>
    <row r="264" spans="1:4">
      <c r="A264" t="s">
        <v>4698</v>
      </c>
      <c r="B264">
        <v>2576</v>
      </c>
      <c r="C264" s="551">
        <v>0.1</v>
      </c>
      <c r="D264" s="552">
        <v>1</v>
      </c>
    </row>
    <row r="265" spans="1:4">
      <c r="A265" t="s">
        <v>4697</v>
      </c>
      <c r="B265">
        <v>2577</v>
      </c>
      <c r="C265" s="551">
        <v>0.01</v>
      </c>
      <c r="D265" s="552">
        <v>1</v>
      </c>
    </row>
    <row r="266" spans="1:4">
      <c r="A266" t="s">
        <v>4678</v>
      </c>
      <c r="B266">
        <v>2578</v>
      </c>
      <c r="C266" s="551">
        <v>0.1</v>
      </c>
      <c r="D266" s="552">
        <v>1</v>
      </c>
    </row>
    <row r="267" spans="1:4">
      <c r="A267" t="s">
        <v>4705</v>
      </c>
      <c r="B267">
        <v>2579</v>
      </c>
      <c r="C267" s="551">
        <v>0.01</v>
      </c>
      <c r="D267" s="552">
        <v>1</v>
      </c>
    </row>
    <row r="268" spans="1:4">
      <c r="A268" s="13" t="s">
        <v>7524</v>
      </c>
      <c r="B268">
        <v>2580</v>
      </c>
      <c r="C268" s="551">
        <v>0.01</v>
      </c>
      <c r="D268" s="552">
        <v>1</v>
      </c>
    </row>
    <row r="269" spans="1:4">
      <c r="A269" t="s">
        <v>4693</v>
      </c>
      <c r="B269">
        <v>2586</v>
      </c>
      <c r="C269" s="551">
        <v>0.1</v>
      </c>
      <c r="D269" s="552">
        <v>1</v>
      </c>
    </row>
    <row r="270" spans="1:4">
      <c r="A270" s="403" t="s">
        <v>7525</v>
      </c>
      <c r="B270">
        <v>2590</v>
      </c>
      <c r="C270" s="551">
        <v>0.1</v>
      </c>
      <c r="D270" s="552">
        <v>1</v>
      </c>
    </row>
    <row r="271" spans="1:4">
      <c r="A271" s="403" t="s">
        <v>7526</v>
      </c>
      <c r="B271">
        <v>2591</v>
      </c>
      <c r="C271" s="551">
        <v>0.1</v>
      </c>
      <c r="D271" s="552">
        <v>1</v>
      </c>
    </row>
    <row r="272" spans="1:4">
      <c r="A272" s="403" t="s">
        <v>7527</v>
      </c>
      <c r="B272">
        <v>2592</v>
      </c>
      <c r="C272" s="551">
        <v>0.1</v>
      </c>
      <c r="D272" s="552">
        <v>1</v>
      </c>
    </row>
    <row r="273" spans="1:4">
      <c r="A273" s="403" t="s">
        <v>7528</v>
      </c>
      <c r="B273">
        <v>2593</v>
      </c>
      <c r="C273" s="551">
        <v>0.1</v>
      </c>
      <c r="D273" s="552">
        <v>1</v>
      </c>
    </row>
    <row r="274" spans="1:4">
      <c r="A274" s="403" t="s">
        <v>7529</v>
      </c>
      <c r="B274">
        <v>2594</v>
      </c>
      <c r="C274" s="551">
        <v>0.1</v>
      </c>
      <c r="D274" s="552">
        <v>1</v>
      </c>
    </row>
    <row r="275" spans="1:4">
      <c r="A275" s="403" t="s">
        <v>7530</v>
      </c>
      <c r="B275">
        <v>2595</v>
      </c>
      <c r="C275" s="551">
        <v>0.1</v>
      </c>
      <c r="D275" s="552">
        <v>1</v>
      </c>
    </row>
    <row r="276" spans="1:4">
      <c r="A276" s="403" t="s">
        <v>7531</v>
      </c>
      <c r="B276">
        <v>2596</v>
      </c>
      <c r="C276" s="551">
        <v>0.1</v>
      </c>
      <c r="D276" s="552">
        <v>1</v>
      </c>
    </row>
    <row r="277" spans="1:4">
      <c r="A277" s="403" t="s">
        <v>7532</v>
      </c>
      <c r="B277">
        <v>2597</v>
      </c>
      <c r="C277" s="551">
        <v>0.1</v>
      </c>
      <c r="D277" s="552">
        <v>1</v>
      </c>
    </row>
    <row r="278" spans="1:4">
      <c r="A278" s="403" t="s">
        <v>7533</v>
      </c>
      <c r="B278">
        <v>2598</v>
      </c>
      <c r="C278" s="551">
        <v>0.1</v>
      </c>
      <c r="D278" s="552">
        <v>1</v>
      </c>
    </row>
    <row r="279" spans="1:4">
      <c r="A279" s="403" t="s">
        <v>7534</v>
      </c>
      <c r="B279">
        <v>2600</v>
      </c>
      <c r="C279" s="551">
        <v>0.1</v>
      </c>
      <c r="D279" s="552">
        <v>1</v>
      </c>
    </row>
    <row r="280" spans="1:4">
      <c r="A280" t="s">
        <v>7005</v>
      </c>
      <c r="B280">
        <v>2601</v>
      </c>
      <c r="C280" s="551">
        <v>0.94</v>
      </c>
      <c r="D280" s="552">
        <v>1</v>
      </c>
    </row>
    <row r="281" spans="1:4">
      <c r="A281" t="s">
        <v>4695</v>
      </c>
      <c r="B281">
        <v>2602</v>
      </c>
      <c r="C281" s="551">
        <v>0.89</v>
      </c>
      <c r="D281" s="552">
        <v>1</v>
      </c>
    </row>
    <row r="282" spans="1:4">
      <c r="A282" t="s">
        <v>4712</v>
      </c>
      <c r="B282">
        <v>2605</v>
      </c>
      <c r="C282" s="551">
        <v>0.95</v>
      </c>
      <c r="D282" s="552">
        <v>1</v>
      </c>
    </row>
    <row r="283" spans="1:4">
      <c r="A283" t="s">
        <v>4696</v>
      </c>
      <c r="B283">
        <v>2611</v>
      </c>
      <c r="C283" s="551">
        <v>0.85</v>
      </c>
      <c r="D283" s="552">
        <v>1</v>
      </c>
    </row>
    <row r="284" spans="1:4">
      <c r="A284" s="403" t="s">
        <v>7535</v>
      </c>
      <c r="B284">
        <v>2613</v>
      </c>
      <c r="C284" s="551">
        <v>0.85</v>
      </c>
      <c r="D284" s="552">
        <v>1</v>
      </c>
    </row>
    <row r="285" spans="1:4">
      <c r="A285" t="s">
        <v>614</v>
      </c>
      <c r="B285">
        <v>2615</v>
      </c>
      <c r="C285" s="551">
        <v>0.75</v>
      </c>
      <c r="D285" s="552">
        <v>1</v>
      </c>
    </row>
    <row r="286" spans="1:4">
      <c r="A286" t="s">
        <v>5106</v>
      </c>
      <c r="B286">
        <v>2616</v>
      </c>
      <c r="C286" s="551">
        <v>0.66</v>
      </c>
      <c r="D286" s="552">
        <v>1</v>
      </c>
    </row>
    <row r="287" spans="1:4">
      <c r="A287" t="s">
        <v>7006</v>
      </c>
      <c r="B287">
        <v>2617</v>
      </c>
      <c r="C287" s="551">
        <v>0.85</v>
      </c>
      <c r="D287" s="552">
        <v>1</v>
      </c>
    </row>
    <row r="288" spans="1:4">
      <c r="A288" t="s">
        <v>809</v>
      </c>
      <c r="B288">
        <v>2619</v>
      </c>
      <c r="C288" s="551">
        <v>0.22</v>
      </c>
      <c r="D288" s="552">
        <v>1</v>
      </c>
    </row>
    <row r="289" spans="1:4">
      <c r="A289" s="403" t="s">
        <v>7536</v>
      </c>
      <c r="B289">
        <v>2620</v>
      </c>
      <c r="C289" s="551">
        <v>0.81</v>
      </c>
      <c r="D289" s="552">
        <v>1</v>
      </c>
    </row>
    <row r="290" spans="1:4">
      <c r="A290" t="s">
        <v>4686</v>
      </c>
      <c r="B290">
        <v>2625</v>
      </c>
      <c r="C290" s="551">
        <v>0.85</v>
      </c>
      <c r="D290" s="552">
        <v>1</v>
      </c>
    </row>
    <row r="291" spans="1:4">
      <c r="A291" t="s">
        <v>7007</v>
      </c>
      <c r="B291">
        <v>2633</v>
      </c>
      <c r="C291" s="551">
        <v>0.4</v>
      </c>
      <c r="D291" s="552">
        <v>1</v>
      </c>
    </row>
    <row r="292" spans="1:4">
      <c r="A292" s="403" t="s">
        <v>7537</v>
      </c>
      <c r="B292">
        <v>2635</v>
      </c>
      <c r="C292" s="551">
        <v>0.15</v>
      </c>
      <c r="D292" s="552">
        <v>1</v>
      </c>
    </row>
    <row r="293" spans="1:4">
      <c r="A293" s="403" t="s">
        <v>2516</v>
      </c>
      <c r="B293">
        <v>2642</v>
      </c>
      <c r="C293" s="551">
        <v>0.05</v>
      </c>
      <c r="D293" s="552">
        <v>1</v>
      </c>
    </row>
    <row r="294" spans="1:4">
      <c r="A294" s="405" t="s">
        <v>886</v>
      </c>
      <c r="B294">
        <v>2661</v>
      </c>
      <c r="C294" s="551">
        <v>0.1</v>
      </c>
      <c r="D294" s="552">
        <v>1</v>
      </c>
    </row>
    <row r="295" spans="1:4">
      <c r="A295" s="405" t="s">
        <v>7538</v>
      </c>
      <c r="B295">
        <v>2664</v>
      </c>
      <c r="C295" s="551">
        <v>0.1</v>
      </c>
      <c r="D295" s="552">
        <v>1</v>
      </c>
    </row>
    <row r="296" spans="1:4">
      <c r="A296" t="s">
        <v>4673</v>
      </c>
      <c r="B296">
        <v>2731</v>
      </c>
      <c r="C296" s="551">
        <v>0.55000000000000004</v>
      </c>
      <c r="D296" s="552">
        <v>1</v>
      </c>
    </row>
    <row r="297" spans="1:4">
      <c r="A297" t="s">
        <v>4692</v>
      </c>
      <c r="B297">
        <v>2732</v>
      </c>
      <c r="C297" s="551">
        <v>0.5</v>
      </c>
      <c r="D297" s="552">
        <v>1</v>
      </c>
    </row>
    <row r="298" spans="1:4">
      <c r="A298" s="14" t="s">
        <v>4700</v>
      </c>
      <c r="B298">
        <v>2734</v>
      </c>
      <c r="C298" s="551">
        <v>0.5</v>
      </c>
      <c r="D298" s="552">
        <v>1</v>
      </c>
    </row>
    <row r="299" spans="1:4">
      <c r="A299" t="s">
        <v>4690</v>
      </c>
      <c r="B299">
        <v>2735</v>
      </c>
      <c r="C299" s="551">
        <v>0.5</v>
      </c>
      <c r="D299" s="552">
        <v>1</v>
      </c>
    </row>
    <row r="300" spans="1:4">
      <c r="A300" t="s">
        <v>7008</v>
      </c>
      <c r="B300">
        <v>2736</v>
      </c>
      <c r="C300" s="551">
        <v>0.5</v>
      </c>
      <c r="D300" s="552">
        <v>1</v>
      </c>
    </row>
    <row r="301" spans="1:4">
      <c r="A301" t="s">
        <v>4682</v>
      </c>
      <c r="B301">
        <v>2737</v>
      </c>
      <c r="C301" s="551">
        <v>0</v>
      </c>
      <c r="D301" s="552">
        <v>1</v>
      </c>
    </row>
    <row r="302" spans="1:4">
      <c r="A302" t="s">
        <v>4674</v>
      </c>
      <c r="B302">
        <v>2740</v>
      </c>
      <c r="C302" s="551">
        <v>0.155</v>
      </c>
      <c r="D302" s="552">
        <v>1</v>
      </c>
    </row>
    <row r="303" spans="1:4">
      <c r="A303" s="403" t="s">
        <v>7543</v>
      </c>
      <c r="B303">
        <v>2741</v>
      </c>
      <c r="C303" s="551">
        <v>0.4</v>
      </c>
      <c r="D303" s="552">
        <v>1</v>
      </c>
    </row>
    <row r="304" spans="1:4">
      <c r="A304" s="403" t="s">
        <v>7541</v>
      </c>
      <c r="B304">
        <v>2742</v>
      </c>
      <c r="C304" s="551">
        <v>0.93</v>
      </c>
      <c r="D304" s="552">
        <v>1</v>
      </c>
    </row>
    <row r="305" spans="1:4">
      <c r="A305" t="s">
        <v>2402</v>
      </c>
      <c r="B305">
        <v>2744</v>
      </c>
      <c r="C305" s="551">
        <v>0.73</v>
      </c>
      <c r="D305" s="552">
        <v>1</v>
      </c>
    </row>
    <row r="306" spans="1:4">
      <c r="A306" s="403" t="s">
        <v>7544</v>
      </c>
      <c r="B306">
        <v>2745</v>
      </c>
      <c r="C306" s="551">
        <v>0.17</v>
      </c>
      <c r="D306" s="552">
        <v>1</v>
      </c>
    </row>
    <row r="307" spans="1:4">
      <c r="A307" s="403" t="s">
        <v>7545</v>
      </c>
      <c r="B307">
        <v>2748</v>
      </c>
      <c r="C307" s="551">
        <v>0.2</v>
      </c>
      <c r="D307" s="552">
        <v>1</v>
      </c>
    </row>
    <row r="308" spans="1:4">
      <c r="A308" s="403" t="s">
        <v>7542</v>
      </c>
      <c r="B308">
        <v>2749</v>
      </c>
      <c r="C308" s="551">
        <v>0.5</v>
      </c>
      <c r="D308" s="552">
        <v>1</v>
      </c>
    </row>
    <row r="309" spans="1:4">
      <c r="A309" t="s">
        <v>4685</v>
      </c>
      <c r="B309">
        <v>2761</v>
      </c>
      <c r="C309" s="551">
        <v>0.74</v>
      </c>
      <c r="D309" s="552">
        <v>1</v>
      </c>
    </row>
    <row r="310" spans="1:4">
      <c r="A310" t="s">
        <v>4681</v>
      </c>
      <c r="B310">
        <v>2762</v>
      </c>
      <c r="C310" s="551">
        <v>0.78</v>
      </c>
      <c r="D310" s="552">
        <v>1</v>
      </c>
    </row>
    <row r="311" spans="1:4">
      <c r="A311" t="s">
        <v>4699</v>
      </c>
      <c r="B311">
        <v>2763</v>
      </c>
      <c r="C311" s="551">
        <v>0.71</v>
      </c>
      <c r="D311" s="552">
        <v>1</v>
      </c>
    </row>
    <row r="312" spans="1:4">
      <c r="A312" t="s">
        <v>4689</v>
      </c>
      <c r="B312">
        <v>2764</v>
      </c>
      <c r="C312" s="551">
        <v>0.71</v>
      </c>
      <c r="D312" s="552">
        <v>1</v>
      </c>
    </row>
    <row r="313" spans="1:4">
      <c r="A313" t="s">
        <v>4680</v>
      </c>
      <c r="B313">
        <v>2765</v>
      </c>
      <c r="C313" s="551">
        <v>0.73</v>
      </c>
      <c r="D313" s="552">
        <v>1</v>
      </c>
    </row>
    <row r="314" spans="1:4">
      <c r="A314" t="s">
        <v>4675</v>
      </c>
      <c r="B314">
        <v>2766</v>
      </c>
      <c r="C314" s="551">
        <v>0.78</v>
      </c>
      <c r="D314" s="552">
        <v>1</v>
      </c>
    </row>
    <row r="315" spans="1:4">
      <c r="A315" t="s">
        <v>4691</v>
      </c>
      <c r="B315">
        <v>2767</v>
      </c>
      <c r="C315" s="551">
        <v>0.82</v>
      </c>
      <c r="D315" s="552">
        <v>1</v>
      </c>
    </row>
    <row r="316" spans="1:4">
      <c r="A316" t="s">
        <v>4671</v>
      </c>
      <c r="B316">
        <v>2775</v>
      </c>
      <c r="C316" s="551">
        <v>0.9</v>
      </c>
      <c r="D316" s="552">
        <v>1</v>
      </c>
    </row>
    <row r="317" spans="1:4">
      <c r="A317" t="s">
        <v>4683</v>
      </c>
      <c r="B317">
        <v>2781</v>
      </c>
      <c r="C317" s="551">
        <v>0</v>
      </c>
      <c r="D317" s="552">
        <v>1</v>
      </c>
    </row>
    <row r="318" spans="1:4">
      <c r="A318" t="s">
        <v>4684</v>
      </c>
      <c r="B318">
        <v>2782</v>
      </c>
      <c r="C318" s="551">
        <v>0</v>
      </c>
      <c r="D318" s="552">
        <v>1</v>
      </c>
    </row>
    <row r="319" spans="1:4">
      <c r="A319" t="s">
        <v>4703</v>
      </c>
      <c r="B319">
        <v>2805</v>
      </c>
      <c r="C319" s="551">
        <v>0.14000000000000001</v>
      </c>
      <c r="D319" s="552">
        <v>1</v>
      </c>
    </row>
    <row r="320" spans="1:4">
      <c r="A320" s="403" t="s">
        <v>7539</v>
      </c>
      <c r="B320">
        <v>2815</v>
      </c>
      <c r="C320" s="551">
        <v>0</v>
      </c>
      <c r="D320" s="552">
        <v>1</v>
      </c>
    </row>
    <row r="321" spans="1:4">
      <c r="A321" s="403" t="s">
        <v>7540</v>
      </c>
      <c r="B321">
        <v>2820</v>
      </c>
      <c r="C321" s="551">
        <v>0.1</v>
      </c>
      <c r="D321" s="552">
        <v>1</v>
      </c>
    </row>
    <row r="322" spans="1:4">
      <c r="A322" t="s">
        <v>7009</v>
      </c>
      <c r="B322">
        <v>2848</v>
      </c>
      <c r="C322" s="551">
        <v>0.87</v>
      </c>
      <c r="D322" s="552">
        <v>1</v>
      </c>
    </row>
    <row r="323" spans="1:4">
      <c r="A323" s="406" t="s">
        <v>4467</v>
      </c>
      <c r="B323" s="362">
        <v>2855</v>
      </c>
      <c r="C323" s="553">
        <v>0.1</v>
      </c>
      <c r="D323" s="554">
        <v>1</v>
      </c>
    </row>
    <row r="324" spans="1:4">
      <c r="B324" s="253"/>
      <c r="C324" s="253"/>
      <c r="D324" s="253"/>
    </row>
    <row r="325" spans="1:4">
      <c r="B325" s="253"/>
      <c r="C325" s="253"/>
      <c r="D325" s="253"/>
    </row>
    <row r="326" spans="1:4">
      <c r="A326" s="393" t="s">
        <v>7010</v>
      </c>
      <c r="B326" s="253"/>
      <c r="C326" s="253"/>
      <c r="D326" s="253"/>
    </row>
    <row r="327" spans="1:4">
      <c r="A327" s="393" t="s">
        <v>7561</v>
      </c>
      <c r="B327" s="253"/>
      <c r="C327" s="253"/>
      <c r="D327" s="253"/>
    </row>
    <row r="328" spans="1:4">
      <c r="A328" s="273" t="s">
        <v>6164</v>
      </c>
    </row>
    <row r="329" spans="1:4">
      <c r="A329" s="273" t="s">
        <v>7594</v>
      </c>
    </row>
    <row r="330" spans="1:4" ht="14.5">
      <c r="A330" s="769" t="s">
        <v>7592</v>
      </c>
    </row>
    <row r="331" spans="1:4" ht="14.5">
      <c r="A331" s="769" t="s">
        <v>7593</v>
      </c>
    </row>
  </sheetData>
  <sortState xmlns:xlrd2="http://schemas.microsoft.com/office/spreadsheetml/2017/richdata2" ref="A6:D323">
    <sortCondition ref="B6:B323"/>
  </sortState>
  <hyperlinks>
    <hyperlink ref="D3" location="residue_supply_n!A1" display="residue_supply_n" xr:uid="{00000000-0004-0000-1300-000000000000}"/>
    <hyperlink ref="C3" location="crop_efp!A1" display="crop_efp" xr:uid="{00000000-0004-0000-1300-000001000000}"/>
    <hyperlink ref="E3" location="grass_supply_n!A1" tooltip="Go to grass_supply_n" display="grass_supply_n" xr:uid="{00000000-0004-0000-1300-000002000000}"/>
    <hyperlink ref="F3" location="market_feed_supply_n!A1" tooltip="Go to market_feed_supply_n" display="market_feed_supply_n" xr:uid="{00000000-0004-0000-1300-000003000000}"/>
    <hyperlink ref="G3" location="feed_intensity_w!A1" display="feed_intenstity_w" xr:uid="{00000000-0004-0000-1300-000004000000}"/>
  </hyperlinks>
  <pageMargins left="0.75" right="0.75" top="1" bottom="1" header="0.4921259845" footer="0.4921259845"/>
  <pageSetup orientation="portrait"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theme="7"/>
  </sheetPr>
  <dimension ref="A1:H12"/>
  <sheetViews>
    <sheetView zoomScaleNormal="100" workbookViewId="0">
      <selection activeCell="A65536" sqref="A65536"/>
    </sheetView>
  </sheetViews>
  <sheetFormatPr defaultColWidth="9.1796875" defaultRowHeight="12.5"/>
  <cols>
    <col min="1" max="1" width="50.7265625" style="36" customWidth="1"/>
    <col min="2" max="8" width="21.7265625" style="36" customWidth="1"/>
    <col min="9" max="16384" width="9.1796875" style="36"/>
  </cols>
  <sheetData>
    <row r="1" spans="1:8" ht="12.75" customHeight="1">
      <c r="B1" s="97"/>
      <c r="C1" s="97"/>
      <c r="D1" s="97"/>
      <c r="E1" s="97"/>
      <c r="F1" s="97"/>
      <c r="G1" s="97"/>
      <c r="H1" s="97"/>
    </row>
    <row r="2" spans="1:8" ht="12.75" customHeight="1">
      <c r="B2" s="37" t="s">
        <v>985</v>
      </c>
      <c r="C2" s="466" t="s">
        <v>4</v>
      </c>
      <c r="D2" s="466" t="s">
        <v>3</v>
      </c>
      <c r="E2" s="466" t="s">
        <v>1746</v>
      </c>
      <c r="F2" s="466" t="s">
        <v>2</v>
      </c>
      <c r="G2" s="466" t="s">
        <v>1750</v>
      </c>
      <c r="H2" s="466" t="s">
        <v>1751</v>
      </c>
    </row>
    <row r="3" spans="1:8" ht="12.75" customHeight="1">
      <c r="B3" s="37" t="s">
        <v>986</v>
      </c>
      <c r="C3" s="466" t="s">
        <v>1752</v>
      </c>
      <c r="D3" s="466" t="s">
        <v>1749</v>
      </c>
      <c r="E3" s="466"/>
      <c r="F3" s="466"/>
      <c r="G3" s="466"/>
      <c r="H3" s="466"/>
    </row>
    <row r="4" spans="1:8" ht="12.75" customHeight="1">
      <c r="H4" s="74"/>
    </row>
    <row r="5" spans="1:8" ht="13">
      <c r="A5" s="975" t="s">
        <v>6148</v>
      </c>
      <c r="B5" s="976" t="s">
        <v>4713</v>
      </c>
      <c r="C5" s="976" t="s">
        <v>9239</v>
      </c>
      <c r="D5" s="976" t="s">
        <v>2193</v>
      </c>
      <c r="E5" s="977" t="s">
        <v>2192</v>
      </c>
    </row>
    <row r="6" spans="1:8" ht="13">
      <c r="A6" s="978"/>
      <c r="B6" s="1088" t="s">
        <v>7571</v>
      </c>
      <c r="C6" s="1088" t="s">
        <v>720</v>
      </c>
      <c r="D6" s="1088" t="s">
        <v>720</v>
      </c>
      <c r="E6" s="1089" t="s">
        <v>720</v>
      </c>
    </row>
    <row r="7" spans="1:8">
      <c r="A7" s="98" t="s">
        <v>191</v>
      </c>
      <c r="B7" s="25">
        <f>market_feed_supply_n!H103</f>
        <v>26120319.120000001</v>
      </c>
      <c r="C7" s="25">
        <f>market_feed_supply_n!I103+market_feed_supply_n!J103-market_feed_supply_n!K103</f>
        <v>23831778.133073889</v>
      </c>
      <c r="D7" s="25">
        <f>market_feed_supply_n!L103+market_feed_supply_n!M103-market_feed_supply_n!N103</f>
        <v>552560.0973355996</v>
      </c>
      <c r="E7" s="23">
        <f>market_feed_supply_n!O103</f>
        <v>662720.3614070426</v>
      </c>
    </row>
    <row r="8" spans="1:8">
      <c r="A8" s="98" t="s">
        <v>2971</v>
      </c>
      <c r="B8" s="25">
        <f>residue_supply_n!G54</f>
        <v>3141615.4704556214</v>
      </c>
      <c r="C8" s="25">
        <v>0</v>
      </c>
      <c r="D8" s="106"/>
      <c r="E8" s="180"/>
    </row>
    <row r="9" spans="1:8">
      <c r="A9" s="98" t="s">
        <v>192</v>
      </c>
      <c r="B9" s="25">
        <f>grass_supply_n!H36</f>
        <v>363177.94300041196</v>
      </c>
      <c r="C9" s="25">
        <f>grass_supply_n!K36+grass_supply_n!L36-grass_supply_n!M36</f>
        <v>40815.633647909039</v>
      </c>
      <c r="D9" s="106"/>
      <c r="E9" s="180"/>
    </row>
    <row r="10" spans="1:8" ht="13">
      <c r="A10" s="99" t="s">
        <v>6147</v>
      </c>
      <c r="B10" s="25">
        <f>SUM(B7:B9)</f>
        <v>29625112.533456035</v>
      </c>
      <c r="C10" s="25">
        <f>SUM(C7:C9)*IF(B10&gt;B11,B11/B10,1)</f>
        <v>23872593.766721796</v>
      </c>
      <c r="D10" s="25">
        <f>D7+D12</f>
        <v>12973734.154959811</v>
      </c>
      <c r="E10" s="23">
        <f>E7</f>
        <v>662720.3614070426</v>
      </c>
    </row>
    <row r="11" spans="1:8">
      <c r="A11" s="210" t="s">
        <v>6155</v>
      </c>
      <c r="B11" s="25">
        <f>feed_demand_n!H22-feed_demand_n!K22</f>
        <v>75440923.162799999</v>
      </c>
      <c r="C11" s="106"/>
      <c r="D11" s="106"/>
      <c r="E11" s="180"/>
    </row>
    <row r="12" spans="1:8" ht="13">
      <c r="A12" s="77" t="s">
        <v>1064</v>
      </c>
      <c r="B12" s="26">
        <f>MAX(B11-B10,0)+feed_demand_n!K22</f>
        <v>46286364.979343966</v>
      </c>
      <c r="C12" s="179"/>
      <c r="D12" s="26">
        <f>MIN(B12*feed_intensity_w!K24,biocap!F4)</f>
        <v>12421174.057624212</v>
      </c>
      <c r="E12" s="189"/>
    </row>
  </sheetData>
  <phoneticPr fontId="5" type="noConversion"/>
  <hyperlinks>
    <hyperlink ref="C2" location="residue_supply_n!A1" tooltip="Go to residue_supply_n" display="residue_supply_n" xr:uid="{00000000-0004-0000-1400-000000000000}"/>
    <hyperlink ref="D2" location="grass_supply_n!A1" tooltip="Go to grass_supply_n" display="grass_supply_n" xr:uid="{00000000-0004-0000-1400-000001000000}"/>
    <hyperlink ref="E2" location="feed_demand_n!A1" tooltip="Go to feed_demand_n" display="feed_demand_n" xr:uid="{00000000-0004-0000-1400-000002000000}"/>
    <hyperlink ref="F2" location="market_feed_supply_n!A1" tooltip="Go to market_feed_supply_n" display="market_feed_supply_n" xr:uid="{00000000-0004-0000-1400-000003000000}"/>
    <hyperlink ref="C3" location="livestock_feed_ef_n!A1" tooltip="Go to livesstock_feed_ef_n" display="livestock_feed_ef_n" xr:uid="{00000000-0004-0000-1400-000004000000}"/>
    <hyperlink ref="G2" location="feed_intensity_w!A1" display="feed_intensity_w" xr:uid="{00000000-0004-0000-1400-000005000000}"/>
    <hyperlink ref="H2" location="biocap!A1" display="biocap" xr:uid="{00000000-0004-0000-1400-000006000000}"/>
    <hyperlink ref="D3" location="ef_grazing!A1" display="ef_grazing" xr:uid="{00000000-0004-0000-1400-000007000000}"/>
  </hyperlinks>
  <pageMargins left="0.75" right="0.75" top="1" bottom="1" header="0.5" footer="0.5"/>
  <pageSetup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4">
    <tabColor theme="7"/>
  </sheetPr>
  <dimension ref="A1:Q26"/>
  <sheetViews>
    <sheetView zoomScaleNormal="100" workbookViewId="0">
      <selection activeCell="A65536" sqref="A65536"/>
    </sheetView>
  </sheetViews>
  <sheetFormatPr defaultColWidth="9.1796875" defaultRowHeight="12.5"/>
  <cols>
    <col min="1" max="1" width="50.7265625" style="86" customWidth="1"/>
    <col min="2" max="2" width="14.81640625" style="86" customWidth="1"/>
    <col min="3" max="4" width="21.7265625" style="86" customWidth="1"/>
    <col min="5" max="18" width="21.7265625" style="36" customWidth="1"/>
    <col min="19" max="16384" width="9.1796875" style="36"/>
  </cols>
  <sheetData>
    <row r="1" spans="1:17" ht="12.75" customHeight="1">
      <c r="A1" s="36"/>
      <c r="B1" s="75"/>
      <c r="C1" s="75"/>
      <c r="D1" s="75"/>
      <c r="E1" s="75"/>
      <c r="F1" s="75"/>
      <c r="G1" s="75"/>
      <c r="H1" s="75"/>
      <c r="I1" s="75"/>
      <c r="J1" s="97"/>
      <c r="K1" s="97"/>
      <c r="L1" s="97"/>
      <c r="M1" s="97"/>
      <c r="N1" s="97"/>
      <c r="O1" s="97"/>
    </row>
    <row r="2" spans="1:17" ht="12.75" customHeight="1">
      <c r="A2" s="36"/>
      <c r="B2" s="37" t="s">
        <v>985</v>
      </c>
      <c r="C2" s="466" t="s">
        <v>1753</v>
      </c>
      <c r="D2" s="466" t="s">
        <v>1754</v>
      </c>
      <c r="E2" s="466" t="s">
        <v>1750</v>
      </c>
      <c r="F2" s="466" t="s">
        <v>1748</v>
      </c>
      <c r="G2" s="466" t="s">
        <v>4</v>
      </c>
      <c r="H2" s="466" t="s">
        <v>6150</v>
      </c>
      <c r="I2" s="272"/>
    </row>
    <row r="3" spans="1:17" ht="12.75" customHeight="1">
      <c r="A3" s="36"/>
      <c r="B3" s="37" t="s">
        <v>986</v>
      </c>
      <c r="C3" s="466" t="s">
        <v>1752</v>
      </c>
      <c r="D3" s="466" t="s">
        <v>5090</v>
      </c>
      <c r="E3" s="466"/>
      <c r="F3" s="466"/>
      <c r="G3" s="466"/>
      <c r="H3" s="466"/>
      <c r="I3" s="272"/>
    </row>
    <row r="4" spans="1:17" ht="12.75" customHeight="1">
      <c r="A4" s="36"/>
      <c r="B4" s="272"/>
      <c r="C4" s="272"/>
      <c r="D4" s="272"/>
      <c r="E4" s="272"/>
      <c r="F4" s="272"/>
      <c r="G4" s="272"/>
      <c r="H4" s="272"/>
      <c r="I4" s="272"/>
    </row>
    <row r="5" spans="1:17" s="90" customFormat="1" ht="13">
      <c r="A5" s="975" t="s">
        <v>1923</v>
      </c>
      <c r="B5" s="976" t="s">
        <v>1907</v>
      </c>
      <c r="C5" s="976" t="s">
        <v>1906</v>
      </c>
      <c r="D5" s="976" t="s">
        <v>190</v>
      </c>
      <c r="E5" s="976" t="s">
        <v>7560</v>
      </c>
      <c r="F5" s="928" t="s">
        <v>3080</v>
      </c>
      <c r="G5" s="976" t="s">
        <v>1256</v>
      </c>
      <c r="H5" s="976" t="s">
        <v>1255</v>
      </c>
      <c r="I5" s="976" t="s">
        <v>2942</v>
      </c>
      <c r="J5" s="976" t="s">
        <v>2943</v>
      </c>
      <c r="K5" s="976" t="s">
        <v>156</v>
      </c>
      <c r="L5" s="976" t="s">
        <v>5443</v>
      </c>
      <c r="M5" s="976" t="s">
        <v>5444</v>
      </c>
      <c r="N5" s="976" t="s">
        <v>2194</v>
      </c>
      <c r="O5" s="976" t="s">
        <v>6166</v>
      </c>
      <c r="P5" s="976" t="s">
        <v>6167</v>
      </c>
      <c r="Q5" s="977" t="s">
        <v>6168</v>
      </c>
    </row>
    <row r="6" spans="1:17" s="104" customFormat="1" ht="14.5">
      <c r="A6" s="1090" t="s">
        <v>542</v>
      </c>
      <c r="B6" s="1088" t="s">
        <v>542</v>
      </c>
      <c r="C6" s="1088" t="s">
        <v>542</v>
      </c>
      <c r="D6" s="1088" t="s">
        <v>542</v>
      </c>
      <c r="E6" s="1088" t="s">
        <v>542</v>
      </c>
      <c r="F6" s="1091" t="s">
        <v>3079</v>
      </c>
      <c r="G6" s="1092" t="s">
        <v>9240</v>
      </c>
      <c r="H6" s="1088" t="s">
        <v>9241</v>
      </c>
      <c r="I6" s="1088" t="s">
        <v>9241</v>
      </c>
      <c r="J6" s="1088" t="s">
        <v>9241</v>
      </c>
      <c r="K6" s="1088" t="s">
        <v>9241</v>
      </c>
      <c r="L6" s="1088" t="s">
        <v>9241</v>
      </c>
      <c r="M6" s="1088" t="s">
        <v>9241</v>
      </c>
      <c r="N6" s="1088" t="s">
        <v>9241</v>
      </c>
      <c r="O6" s="1093" t="s">
        <v>720</v>
      </c>
      <c r="P6" s="1088" t="s">
        <v>720</v>
      </c>
      <c r="Q6" s="1089" t="s">
        <v>720</v>
      </c>
    </row>
    <row r="7" spans="1:17">
      <c r="A7" s="459" t="s">
        <v>3253</v>
      </c>
      <c r="B7" s="402">
        <v>1107</v>
      </c>
      <c r="C7" s="460" t="s">
        <v>5002</v>
      </c>
      <c r="D7" s="460" t="s">
        <v>3253</v>
      </c>
      <c r="E7" s="403">
        <v>1107</v>
      </c>
      <c r="F7" s="456">
        <f t="shared" ref="F7:F20" si="0">VLOOKUP(B7,resourcestat_livestock,3,FALSE)</f>
        <v>0</v>
      </c>
      <c r="G7" s="461">
        <f>VLOOKUP(E7,constant_livestock_demand,MATCH(residue_supply_n!$C$56,livestock_demand_headings,0),FALSE)</f>
        <v>6</v>
      </c>
      <c r="H7" s="456">
        <f>IF(ISERROR(F7*G7*365/1000),0,(F7*G7*365/1000))</f>
        <v>0</v>
      </c>
      <c r="I7" s="462">
        <f>VLOOKUP(B7,feed_mix_w!$B$7:$E$27,4,FALSE)</f>
        <v>0.69</v>
      </c>
      <c r="J7" s="456">
        <f>IF(I7=0,H7,0)</f>
        <v>0</v>
      </c>
      <c r="K7" s="456">
        <f>IF(VLOOKUP(B7,feed_mix_w!$B$7:$E$27,4,FALSE)=1,H7,0)</f>
        <v>0</v>
      </c>
      <c r="L7" s="456">
        <f>VLOOKUP(B7,feed_mix_w!$B$7:$F$27,5,FALSE)*H7</f>
        <v>0</v>
      </c>
      <c r="M7" s="456">
        <f>VLOOKUP(B7,feed_mix_w!$B$7:$F$27,4,FALSE)*H7</f>
        <v>0</v>
      </c>
      <c r="N7" s="456">
        <f>VLOOKUP(B7,feed_mix_w!$B$7:$H$27,6,FALSE)*H7</f>
        <v>0</v>
      </c>
      <c r="O7" s="457">
        <f>IFERROR(L7*VLOOKUP($B7,livestock_intensity_w,7,FALSE)/VLOOKUP($B7,feed_mix_w!$B$7:$I$27,7,FALSE),0)</f>
        <v>0</v>
      </c>
      <c r="P7" s="456">
        <f>M7*feed_intensity_w!$K$24</f>
        <v>0</v>
      </c>
      <c r="Q7" s="458">
        <f>IFERROR(N7*VLOOKUP($B7,livestock_intensity_w,10,FALSE)/VLOOKUP($B7,feed_mix_w!$B$7:$Y$27,24,FALSE),0)</f>
        <v>0</v>
      </c>
    </row>
    <row r="8" spans="1:17">
      <c r="A8" s="463" t="s">
        <v>2157</v>
      </c>
      <c r="B8" s="402">
        <v>946</v>
      </c>
      <c r="C8" s="464" t="s">
        <v>2158</v>
      </c>
      <c r="D8" s="403" t="s">
        <v>4756</v>
      </c>
      <c r="E8" s="402">
        <v>866</v>
      </c>
      <c r="F8" s="457">
        <f t="shared" si="0"/>
        <v>0</v>
      </c>
      <c r="G8" s="465">
        <f>VLOOKUP(E8,constant_livestock_demand,MATCH(residue_supply_n!$C$56,livestock_demand_headings,0),FALSE)</f>
        <v>14.3</v>
      </c>
      <c r="H8" s="457">
        <f t="shared" ref="H8:H21" si="1">IF(ISERROR(F8*G8*365/1000),0,(F8*G8*365/1000))</f>
        <v>0</v>
      </c>
      <c r="I8" s="403">
        <f>VLOOKUP(B8,feed_mix_w!$B$7:$E$27,4,FALSE)</f>
        <v>0.69</v>
      </c>
      <c r="J8" s="457">
        <f t="shared" ref="J8:J21" si="2">IF(I8=0,H8,0)</f>
        <v>0</v>
      </c>
      <c r="K8" s="457">
        <f>IF(VLOOKUP(B8,feed_mix_w!$B$7:$E$27,4,FALSE)=1,H8,0)</f>
        <v>0</v>
      </c>
      <c r="L8" s="457">
        <f>VLOOKUP(B8,feed_mix_w!$B$7:$F$27,5,FALSE)*H8</f>
        <v>0</v>
      </c>
      <c r="M8" s="457">
        <f>VLOOKUP(B8,feed_mix_w!$B$7:$F$27,4,FALSE)*H8</f>
        <v>0</v>
      </c>
      <c r="N8" s="457">
        <f>VLOOKUP(B8,feed_mix_w!$B$7:$H$27,6,FALSE)*H8</f>
        <v>0</v>
      </c>
      <c r="O8" s="457">
        <f>IFERROR(L8*VLOOKUP($B8,livestock_intensity_w,7,FALSE)/VLOOKUP($B8,feed_mix_w!$B$7:$I$27,7,FALSE),0)</f>
        <v>0</v>
      </c>
      <c r="P8" s="457">
        <f>M8*feed_intensity_w!$K$24</f>
        <v>0</v>
      </c>
      <c r="Q8" s="458">
        <f>IFERROR(N8*VLOOKUP($B8,livestock_intensity_w,10,FALSE)/VLOOKUP($B8,feed_mix_w!$B$7:$Y$27,24,FALSE),0)</f>
        <v>0</v>
      </c>
    </row>
    <row r="9" spans="1:17">
      <c r="A9" s="463" t="s">
        <v>4903</v>
      </c>
      <c r="B9" s="402">
        <v>1126</v>
      </c>
      <c r="C9" s="464" t="s">
        <v>4904</v>
      </c>
      <c r="D9" s="464" t="s">
        <v>4903</v>
      </c>
      <c r="E9" s="403">
        <v>1126</v>
      </c>
      <c r="F9" s="457">
        <f t="shared" si="0"/>
        <v>0</v>
      </c>
      <c r="G9" s="465">
        <f>VLOOKUP(E9,constant_livestock_demand,MATCH(residue_supply_n!$C$56,livestock_demand_headings,0),FALSE)</f>
        <v>10</v>
      </c>
      <c r="H9" s="457">
        <f t="shared" si="1"/>
        <v>0</v>
      </c>
      <c r="I9" s="403">
        <f>VLOOKUP(B9,feed_mix_w!$B$7:$E$27,4,FALSE)</f>
        <v>0.69</v>
      </c>
      <c r="J9" s="457">
        <f t="shared" si="2"/>
        <v>0</v>
      </c>
      <c r="K9" s="457">
        <f>IF(VLOOKUP(B9,feed_mix_w!$B$7:$E$27,4,FALSE)=1,H9,0)</f>
        <v>0</v>
      </c>
      <c r="L9" s="457">
        <f>VLOOKUP(B9,feed_mix_w!$B$7:$F$27,5,FALSE)*H9</f>
        <v>0</v>
      </c>
      <c r="M9" s="457">
        <f>VLOOKUP(B9,feed_mix_w!$B$7:$F$27,4,FALSE)*H9</f>
        <v>0</v>
      </c>
      <c r="N9" s="457">
        <f>VLOOKUP(B9,feed_mix_w!$B$7:$H$27,6,FALSE)*H9</f>
        <v>0</v>
      </c>
      <c r="O9" s="457">
        <f>IFERROR(L9*VLOOKUP($B9,livestock_intensity_w,7,FALSE)/VLOOKUP($B9,feed_mix_w!$B$7:$I$27,7,FALSE),0)</f>
        <v>0</v>
      </c>
      <c r="P9" s="457">
        <f>M9*feed_intensity_w!$K$24</f>
        <v>0</v>
      </c>
      <c r="Q9" s="458">
        <f>IFERROR(N9*VLOOKUP($B9,livestock_intensity_w,10,FALSE)/VLOOKUP($B9,feed_mix_w!$B$7:$Y$27,24,FALSE),0)</f>
        <v>0</v>
      </c>
    </row>
    <row r="10" spans="1:17">
      <c r="A10" s="463" t="s">
        <v>4668</v>
      </c>
      <c r="B10" s="402">
        <v>866</v>
      </c>
      <c r="C10" s="464" t="s">
        <v>27</v>
      </c>
      <c r="D10" s="403" t="s">
        <v>4756</v>
      </c>
      <c r="E10" s="402">
        <v>866</v>
      </c>
      <c r="F10" s="457">
        <f t="shared" si="0"/>
        <v>11565000</v>
      </c>
      <c r="G10" s="465">
        <f>VLOOKUP(E10,constant_livestock_demand,MATCH(residue_supply_n!$C$56,livestock_demand_headings,0),FALSE)</f>
        <v>14.3</v>
      </c>
      <c r="H10" s="457">
        <f t="shared" si="1"/>
        <v>60363517.5</v>
      </c>
      <c r="I10" s="403">
        <f>VLOOKUP(B10,feed_mix_w!$B$7:$E$27,4,FALSE)</f>
        <v>0.69</v>
      </c>
      <c r="J10" s="457">
        <f t="shared" si="2"/>
        <v>0</v>
      </c>
      <c r="K10" s="457">
        <f>IF(VLOOKUP(B10,feed_mix_w!$B$7:$E$27,4,FALSE)=1,H10,0)</f>
        <v>0</v>
      </c>
      <c r="L10" s="457">
        <f>VLOOKUP(B10,feed_mix_w!$B$7:$F$27,5,FALSE)*H10</f>
        <v>18712690.425000004</v>
      </c>
      <c r="M10" s="457">
        <f>VLOOKUP(B10,feed_mix_w!$B$7:$F$27,4,FALSE)*H10</f>
        <v>41650827.074999996</v>
      </c>
      <c r="N10" s="457">
        <f>VLOOKUP(B10,feed_mix_w!$B$7:$H$27,6,FALSE)*H10</f>
        <v>0</v>
      </c>
      <c r="O10" s="457">
        <f>IFERROR(L10*VLOOKUP($B10,livestock_intensity_w,7,FALSE)/VLOOKUP($B10,feed_mix_w!$B$7:$I$27,7,FALSE),0)</f>
        <v>8704371.9103642683</v>
      </c>
      <c r="P10" s="457">
        <f>M10*feed_intensity_w!$K$24</f>
        <v>14518706.704424128</v>
      </c>
      <c r="Q10" s="458">
        <f>IFERROR(N10*VLOOKUP($B10,livestock_intensity_w,10,FALSE)/VLOOKUP($B10,feed_mix_w!$B$7:$Y$27,24,FALSE),0)</f>
        <v>0</v>
      </c>
    </row>
    <row r="11" spans="1:17">
      <c r="A11" s="463" t="s">
        <v>4551</v>
      </c>
      <c r="B11" s="402">
        <v>1057</v>
      </c>
      <c r="C11" s="464" t="s">
        <v>4552</v>
      </c>
      <c r="D11" s="464" t="s">
        <v>1254</v>
      </c>
      <c r="E11" s="402">
        <v>1057</v>
      </c>
      <c r="F11" s="457">
        <f t="shared" si="0"/>
        <v>170759008</v>
      </c>
      <c r="G11" s="465">
        <f>VLOOKUP(E11,constant_livestock_demand,MATCH(residue_supply_n!$C$56,livestock_demand_headings,0),FALSE)</f>
        <v>0.09</v>
      </c>
      <c r="H11" s="457">
        <f t="shared" si="1"/>
        <v>5609433.4127999991</v>
      </c>
      <c r="I11" s="403">
        <f>VLOOKUP(B11,feed_mix_w!$B$7:$E$27,4,FALSE)</f>
        <v>0</v>
      </c>
      <c r="J11" s="457">
        <f t="shared" si="2"/>
        <v>5609433.4127999991</v>
      </c>
      <c r="K11" s="457">
        <f>IF(VLOOKUP(B11,feed_mix_w!$B$7:$E$27,4,FALSE)=1,H11,0)</f>
        <v>0</v>
      </c>
      <c r="L11" s="457">
        <f>VLOOKUP(B11,feed_mix_w!$B$7:$F$27,5,FALSE)*H11</f>
        <v>5553339.0786719993</v>
      </c>
      <c r="M11" s="457">
        <f>VLOOKUP(B11,feed_mix_w!$B$7:$F$27,4,FALSE)*H11</f>
        <v>0</v>
      </c>
      <c r="N11" s="457">
        <f>VLOOKUP(B11,feed_mix_w!$B$7:$H$27,6,FALSE)*H11</f>
        <v>56094.334127999995</v>
      </c>
      <c r="O11" s="457">
        <f>IFERROR(L11*VLOOKUP($B11,livestock_intensity_w,7,FALSE)/VLOOKUP($B11,feed_mix_w!$B$7:$I$27,7,FALSE),0)</f>
        <v>2293112.9018088952</v>
      </c>
      <c r="P11" s="457">
        <f>M11*feed_intensity_w!$K$24</f>
        <v>0</v>
      </c>
      <c r="Q11" s="458">
        <f>IFERROR(N11*VLOOKUP($B11,livestock_intensity_w,10,FALSE)/VLOOKUP($B11,feed_mix_w!$B$7:$Y$27,24,FALSE),0)</f>
        <v>156816.64329443048</v>
      </c>
    </row>
    <row r="12" spans="1:17">
      <c r="A12" s="463" t="s">
        <v>3071</v>
      </c>
      <c r="B12" s="402">
        <v>1068</v>
      </c>
      <c r="C12" s="464" t="s">
        <v>3072</v>
      </c>
      <c r="D12" s="464" t="s">
        <v>1254</v>
      </c>
      <c r="E12" s="402">
        <v>1057</v>
      </c>
      <c r="F12" s="457">
        <f t="shared" si="0"/>
        <v>1514000</v>
      </c>
      <c r="G12" s="465">
        <f>VLOOKUP(E12,constant_livestock_demand,MATCH(residue_supply_n!$C$56,livestock_demand_headings,0),FALSE)</f>
        <v>0.09</v>
      </c>
      <c r="H12" s="457">
        <f t="shared" si="1"/>
        <v>49734.9</v>
      </c>
      <c r="I12" s="403">
        <f>VLOOKUP(B12,feed_mix_w!$B$7:$E$27,4,FALSE)</f>
        <v>0</v>
      </c>
      <c r="J12" s="457">
        <f t="shared" si="2"/>
        <v>49734.9</v>
      </c>
      <c r="K12" s="457">
        <f>IF(VLOOKUP(B12,feed_mix_w!$B$7:$E$27,4,FALSE)=1,H12,0)</f>
        <v>0</v>
      </c>
      <c r="L12" s="457">
        <f>VLOOKUP(B12,feed_mix_w!$B$7:$F$27,5,FALSE)*H12</f>
        <v>49237.550999999999</v>
      </c>
      <c r="M12" s="457">
        <f>VLOOKUP(B12,feed_mix_w!$B$7:$F$27,4,FALSE)*H12</f>
        <v>0</v>
      </c>
      <c r="N12" s="457">
        <f>VLOOKUP(B12,feed_mix_w!$B$7:$H$27,6,FALSE)*H12</f>
        <v>497.34900000000005</v>
      </c>
      <c r="O12" s="457">
        <f>IFERROR(L12*VLOOKUP($B12,livestock_intensity_w,7,FALSE)/VLOOKUP($B12,feed_mix_w!$B$7:$I$27,7,FALSE),0)</f>
        <v>20331.418962908636</v>
      </c>
      <c r="P12" s="457">
        <f>M12*feed_intensity_w!$K$24</f>
        <v>0</v>
      </c>
      <c r="Q12" s="458">
        <f>IFERROR(N12*VLOOKUP($B12,livestock_intensity_w,10,FALSE)/VLOOKUP($B12,feed_mix_w!$B$7:$Y$27,24,FALSE),0)</f>
        <v>1390.3828601989053</v>
      </c>
    </row>
    <row r="13" spans="1:17">
      <c r="A13" s="463" t="s">
        <v>3620</v>
      </c>
      <c r="B13" s="402">
        <v>1072</v>
      </c>
      <c r="C13" s="464" t="s">
        <v>3621</v>
      </c>
      <c r="D13" s="464" t="s">
        <v>1254</v>
      </c>
      <c r="E13" s="233">
        <v>1057</v>
      </c>
      <c r="F13" s="457">
        <f t="shared" si="0"/>
        <v>324000</v>
      </c>
      <c r="G13" s="465">
        <f>VLOOKUP(E13,constant_livestock_demand,MATCH(residue_supply_n!$C$56,livestock_demand_headings,0),FALSE)</f>
        <v>0.09</v>
      </c>
      <c r="H13" s="457">
        <f t="shared" si="1"/>
        <v>10643.4</v>
      </c>
      <c r="I13" s="403">
        <f>VLOOKUP(B13,feed_mix_w!$B$7:$E$27,4,FALSE)</f>
        <v>0</v>
      </c>
      <c r="J13" s="457">
        <f t="shared" si="2"/>
        <v>10643.4</v>
      </c>
      <c r="K13" s="457">
        <f>IF(VLOOKUP(B13,feed_mix_w!$B$7:$E$27,4,FALSE)=1,H13,0)</f>
        <v>0</v>
      </c>
      <c r="L13" s="457">
        <f>VLOOKUP(B13,feed_mix_w!$B$7:$F$27,5,FALSE)*H13</f>
        <v>10536.966</v>
      </c>
      <c r="M13" s="457">
        <f>VLOOKUP(B13,feed_mix_w!$B$7:$F$27,4,FALSE)*H13</f>
        <v>0</v>
      </c>
      <c r="N13" s="457">
        <f>VLOOKUP(B13,feed_mix_w!$B$7:$H$27,6,FALSE)*H13</f>
        <v>106.434</v>
      </c>
      <c r="O13" s="457">
        <f>IFERROR(L13*VLOOKUP($B13,livestock_intensity_w,7,FALSE)/VLOOKUP($B13,feed_mix_w!$B$7:$I$27,7,FALSE),0)</f>
        <v>4350.9773738324939</v>
      </c>
      <c r="P13" s="457">
        <f>M13*feed_intensity_w!$K$24</f>
        <v>0</v>
      </c>
      <c r="Q13" s="458">
        <f>IFERROR(N13*VLOOKUP($B13,livestock_intensity_w,10,FALSE)/VLOOKUP($B13,feed_mix_w!$B$7:$Y$27,24,FALSE),0)</f>
        <v>297.54560548510261</v>
      </c>
    </row>
    <row r="14" spans="1:17">
      <c r="A14" s="463" t="s">
        <v>406</v>
      </c>
      <c r="B14" s="402">
        <v>1016</v>
      </c>
      <c r="C14" s="464" t="s">
        <v>407</v>
      </c>
      <c r="D14" s="464" t="s">
        <v>4757</v>
      </c>
      <c r="E14" s="402">
        <v>976</v>
      </c>
      <c r="F14" s="457">
        <f t="shared" si="0"/>
        <v>30060</v>
      </c>
      <c r="G14" s="465">
        <f>VLOOKUP(E14,constant_livestock_demand,MATCH(residue_supply_n!$C$56,livestock_demand_headings,0),FALSE)</f>
        <v>1.5</v>
      </c>
      <c r="H14" s="457">
        <f t="shared" si="1"/>
        <v>16457.849999999999</v>
      </c>
      <c r="I14" s="403">
        <f>VLOOKUP(B14,feed_mix_w!$B$7:$E$27,4,FALSE)</f>
        <v>1</v>
      </c>
      <c r="J14" s="457">
        <f t="shared" si="2"/>
        <v>0</v>
      </c>
      <c r="K14" s="457">
        <f>IF(VLOOKUP(B14,feed_mix_w!$B$7:$E$27,4,FALSE)=1,H14,0)</f>
        <v>16457.849999999999</v>
      </c>
      <c r="L14" s="457">
        <f>VLOOKUP(B14,feed_mix_w!$B$7:$F$27,5,FALSE)*H14</f>
        <v>0</v>
      </c>
      <c r="M14" s="457">
        <f>VLOOKUP(B14,feed_mix_w!$B$7:$F$27,4,FALSE)*H14</f>
        <v>16457.849999999999</v>
      </c>
      <c r="N14" s="457">
        <f>VLOOKUP(B14,feed_mix_w!$B$7:$H$27,6,FALSE)*H14</f>
        <v>0</v>
      </c>
      <c r="O14" s="457">
        <f>IFERROR(L14*VLOOKUP($B14,livestock_intensity_w,7,FALSE)/VLOOKUP($B14,feed_mix_w!$B$7:$I$27,7,FALSE),0)</f>
        <v>0</v>
      </c>
      <c r="P14" s="457">
        <f>M14*feed_intensity_w!$K$24</f>
        <v>5736.9016155462896</v>
      </c>
      <c r="Q14" s="458">
        <f>IFERROR(N14*VLOOKUP($B14,livestock_intensity_w,10,FALSE)/VLOOKUP($B14,feed_mix_w!$B$7:$Y$27,24,FALSE),0)</f>
        <v>0</v>
      </c>
    </row>
    <row r="15" spans="1:17">
      <c r="A15" s="463" t="s">
        <v>2659</v>
      </c>
      <c r="B15" s="402">
        <v>1096</v>
      </c>
      <c r="C15" s="464" t="s">
        <v>2660</v>
      </c>
      <c r="D15" s="464" t="s">
        <v>2659</v>
      </c>
      <c r="E15" s="403">
        <v>1096</v>
      </c>
      <c r="F15" s="457">
        <f t="shared" si="0"/>
        <v>398286</v>
      </c>
      <c r="G15" s="465">
        <f>VLOOKUP(E15,constant_livestock_demand,MATCH(residue_supply_n!$C$56,livestock_demand_headings,0),FALSE)</f>
        <v>10</v>
      </c>
      <c r="H15" s="457">
        <f t="shared" si="1"/>
        <v>1453743.9</v>
      </c>
      <c r="I15" s="403">
        <f>VLOOKUP(B15,feed_mix_w!$B$7:$E$27,4,FALSE)</f>
        <v>0.69</v>
      </c>
      <c r="J15" s="457">
        <f t="shared" si="2"/>
        <v>0</v>
      </c>
      <c r="K15" s="457">
        <f>IF(VLOOKUP(B15,feed_mix_w!$B$7:$E$27,4,FALSE)=1,H15,0)</f>
        <v>0</v>
      </c>
      <c r="L15" s="457">
        <f>VLOOKUP(B15,feed_mix_w!$B$7:$F$27,5,FALSE)*H15</f>
        <v>450660.60900000005</v>
      </c>
      <c r="M15" s="457">
        <f>VLOOKUP(B15,feed_mix_w!$B$7:$F$27,4,FALSE)*H15</f>
        <v>1003083.2909999999</v>
      </c>
      <c r="N15" s="457">
        <f>VLOOKUP(B15,feed_mix_w!$B$7:$H$27,6,FALSE)*H15</f>
        <v>0</v>
      </c>
      <c r="O15" s="457">
        <f>IFERROR(L15*VLOOKUP($B15,livestock_intensity_w,7,FALSE)/VLOOKUP($B15,feed_mix_w!$B$7:$I$27,7,FALSE),0)</f>
        <v>209628.73093045648</v>
      </c>
      <c r="P15" s="457">
        <f>M15*feed_intensity_w!$K$24</f>
        <v>349656.25234556088</v>
      </c>
      <c r="Q15" s="458">
        <f>IFERROR(N15*VLOOKUP($B15,livestock_intensity_w,10,FALSE)/VLOOKUP($B15,feed_mix_w!$B$7:$Y$27,24,FALSE),0)</f>
        <v>0</v>
      </c>
    </row>
    <row r="16" spans="1:17">
      <c r="A16" s="463" t="s">
        <v>4998</v>
      </c>
      <c r="B16" s="402">
        <v>1110</v>
      </c>
      <c r="C16" s="464" t="s">
        <v>5003</v>
      </c>
      <c r="D16" s="464" t="s">
        <v>4998</v>
      </c>
      <c r="E16" s="403">
        <v>1110</v>
      </c>
      <c r="F16" s="457">
        <f t="shared" si="0"/>
        <v>4000</v>
      </c>
      <c r="G16" s="465">
        <f>VLOOKUP(E16,constant_livestock_demand,MATCH(residue_supply_n!$C$56,livestock_demand_headings,0),FALSE)</f>
        <v>6</v>
      </c>
      <c r="H16" s="457">
        <f t="shared" si="1"/>
        <v>8760</v>
      </c>
      <c r="I16" s="403">
        <f>VLOOKUP(B16,feed_mix_w!$B$7:$E$27,4,FALSE)</f>
        <v>0.69</v>
      </c>
      <c r="J16" s="457">
        <f t="shared" si="2"/>
        <v>0</v>
      </c>
      <c r="K16" s="457">
        <f>IF(VLOOKUP(B16,feed_mix_w!$B$7:$E$27,4,FALSE)=1,H16,0)</f>
        <v>0</v>
      </c>
      <c r="L16" s="457">
        <f>VLOOKUP(B16,feed_mix_w!$B$7:$F$27,5,FALSE)*H16</f>
        <v>2715.6000000000004</v>
      </c>
      <c r="M16" s="457">
        <f>VLOOKUP(B16,feed_mix_w!$B$7:$F$27,4,FALSE)*H16</f>
        <v>6044.4</v>
      </c>
      <c r="N16" s="457">
        <f>VLOOKUP(B16,feed_mix_w!$B$7:$H$27,6,FALSE)*H16</f>
        <v>0</v>
      </c>
      <c r="O16" s="457">
        <f>IFERROR(L16*VLOOKUP($B16,livestock_intensity_w,7,FALSE)/VLOOKUP($B16,feed_mix_w!$B$7:$I$27,7,FALSE),0)</f>
        <v>1263.1851338814206</v>
      </c>
      <c r="P16" s="457">
        <f>M16*feed_intensity_w!$K$24</f>
        <v>2106.9658627954441</v>
      </c>
      <c r="Q16" s="458">
        <f>IFERROR(N16*VLOOKUP($B16,livestock_intensity_w,10,FALSE)/VLOOKUP($B16,feed_mix_w!$B$7:$Y$27,24,FALSE),0)</f>
        <v>0</v>
      </c>
    </row>
    <row r="17" spans="1:17">
      <c r="A17" s="463" t="s">
        <v>2973</v>
      </c>
      <c r="B17" s="402">
        <v>1157</v>
      </c>
      <c r="C17" s="464" t="s">
        <v>2974</v>
      </c>
      <c r="D17" s="464" t="s">
        <v>2973</v>
      </c>
      <c r="E17" s="403">
        <v>1157</v>
      </c>
      <c r="F17" s="457">
        <f t="shared" si="0"/>
        <v>0</v>
      </c>
      <c r="G17" s="465">
        <f>VLOOKUP(E17,constant_livestock_demand,MATCH(residue_supply_n!$C$56,livestock_demand_headings,0),FALSE)</f>
        <v>10</v>
      </c>
      <c r="H17" s="457">
        <f t="shared" si="1"/>
        <v>0</v>
      </c>
      <c r="I17" s="403">
        <f>VLOOKUP(B17,feed_mix_w!$B$7:$E$27,4,FALSE)</f>
        <v>0.69</v>
      </c>
      <c r="J17" s="457">
        <f t="shared" si="2"/>
        <v>0</v>
      </c>
      <c r="K17" s="457">
        <f>IF(VLOOKUP(B17,feed_mix_w!$B$7:$E$27,4,FALSE)=1,H17,0)</f>
        <v>0</v>
      </c>
      <c r="L17" s="457">
        <f>VLOOKUP(B17,feed_mix_w!$B$7:$F$27,5,FALSE)*H17</f>
        <v>0</v>
      </c>
      <c r="M17" s="457">
        <f>VLOOKUP(B17,feed_mix_w!$B$7:$F$27,4,FALSE)*H17</f>
        <v>0</v>
      </c>
      <c r="N17" s="457">
        <f>VLOOKUP(B17,feed_mix_w!$B$7:$H$27,6,FALSE)*H17</f>
        <v>0</v>
      </c>
      <c r="O17" s="457">
        <f>IFERROR(L17*VLOOKUP($B17,livestock_intensity_w,7,FALSE)/VLOOKUP($B17,feed_mix_w!$B$7:$I$27,7,FALSE),0)</f>
        <v>0</v>
      </c>
      <c r="P17" s="457">
        <f>M17*feed_intensity_w!$K$24</f>
        <v>0</v>
      </c>
      <c r="Q17" s="458">
        <f>IFERROR(N17*VLOOKUP($B17,livestock_intensity_w,10,FALSE)/VLOOKUP($B17,feed_mix_w!$B$7:$Y$27,24,FALSE),0)</f>
        <v>0</v>
      </c>
    </row>
    <row r="18" spans="1:17">
      <c r="A18" s="463" t="s">
        <v>2975</v>
      </c>
      <c r="B18" s="402">
        <v>1150</v>
      </c>
      <c r="C18" s="464" t="s">
        <v>2976</v>
      </c>
      <c r="D18" s="464" t="s">
        <v>2975</v>
      </c>
      <c r="E18" s="403">
        <v>1150</v>
      </c>
      <c r="F18" s="457">
        <f t="shared" si="0"/>
        <v>0</v>
      </c>
      <c r="G18" s="465">
        <f>VLOOKUP(E18,constant_livestock_demand,MATCH(residue_supply_n!$C$56,livestock_demand_headings,0),FALSE)</f>
        <v>0.1</v>
      </c>
      <c r="H18" s="457">
        <f t="shared" si="1"/>
        <v>0</v>
      </c>
      <c r="I18" s="403">
        <f>VLOOKUP(B18,feed_mix_w!$B$7:$E$27,4,FALSE)</f>
        <v>0</v>
      </c>
      <c r="J18" s="457">
        <f t="shared" si="2"/>
        <v>0</v>
      </c>
      <c r="K18" s="457">
        <f>IF(VLOOKUP(B18,feed_mix_w!$B$7:$E$27,4,FALSE)=1,H18,0)</f>
        <v>0</v>
      </c>
      <c r="L18" s="457">
        <f>VLOOKUP(B18,feed_mix_w!$B$7:$F$27,5,FALSE)*H18</f>
        <v>0</v>
      </c>
      <c r="M18" s="457">
        <f>VLOOKUP(B18,feed_mix_w!$B$7:$F$27,4,FALSE)*H18</f>
        <v>0</v>
      </c>
      <c r="N18" s="457">
        <f>VLOOKUP(B18,feed_mix_w!$B$7:$H$27,6,FALSE)*H18</f>
        <v>0</v>
      </c>
      <c r="O18" s="457">
        <f>IFERROR(L18*VLOOKUP($B18,livestock_intensity_w,7,FALSE)/VLOOKUP($B18,feed_mix_w!$B$7:$I$27,7,FALSE),0)</f>
        <v>0</v>
      </c>
      <c r="P18" s="457">
        <f>M18*feed_intensity_w!$K$24</f>
        <v>0</v>
      </c>
      <c r="Q18" s="458">
        <f>IFERROR(N18*VLOOKUP($B18,livestock_intensity_w,10,FALSE)/VLOOKUP($B18,feed_mix_w!$B$7:$Y$27,24,FALSE),0)</f>
        <v>0</v>
      </c>
    </row>
    <row r="19" spans="1:17">
      <c r="A19" s="463" t="s">
        <v>1682</v>
      </c>
      <c r="B19" s="402">
        <v>1034</v>
      </c>
      <c r="C19" s="464" t="s">
        <v>3332</v>
      </c>
      <c r="D19" s="464" t="s">
        <v>1682</v>
      </c>
      <c r="E19" s="403">
        <v>1034</v>
      </c>
      <c r="F19" s="457">
        <f t="shared" si="0"/>
        <v>14170000</v>
      </c>
      <c r="G19" s="465">
        <f>VLOOKUP(E19,constant_livestock_demand,MATCH(residue_supply_n!$C$56,livestock_demand_headings,0),FALSE)</f>
        <v>1.5</v>
      </c>
      <c r="H19" s="457">
        <f t="shared" si="1"/>
        <v>7758075</v>
      </c>
      <c r="I19" s="403">
        <f>VLOOKUP(B19,feed_mix_w!$B$7:$E$27,4,FALSE)</f>
        <v>0</v>
      </c>
      <c r="J19" s="457">
        <f t="shared" si="2"/>
        <v>7758075</v>
      </c>
      <c r="K19" s="457">
        <f>IF(VLOOKUP(B19,feed_mix_w!$B$7:$E$27,4,FALSE)=1,H19,0)</f>
        <v>0</v>
      </c>
      <c r="L19" s="457">
        <f>VLOOKUP(B19,feed_mix_w!$B$7:$F$27,5,FALSE)*H19</f>
        <v>7680494.25</v>
      </c>
      <c r="M19" s="457">
        <f>VLOOKUP(B19,feed_mix_w!$B$7:$F$27,4,FALSE)*H19</f>
        <v>0</v>
      </c>
      <c r="N19" s="457">
        <f>VLOOKUP(B19,feed_mix_w!$B$7:$H$27,6,FALSE)*H19</f>
        <v>77580.75</v>
      </c>
      <c r="O19" s="457">
        <f>IFERROR(L19*VLOOKUP($B19,livestock_intensity_w,7,FALSE)/VLOOKUP($B19,feed_mix_w!$B$7:$I$27,7,FALSE),0)</f>
        <v>3029479.9667953034</v>
      </c>
      <c r="P19" s="457">
        <f>M19*feed_intensity_w!$K$24</f>
        <v>0</v>
      </c>
      <c r="Q19" s="458">
        <f>IFERROR(N19*VLOOKUP($B19,livestock_intensity_w,10,FALSE)/VLOOKUP($B19,feed_mix_w!$B$7:$Y$27,24,FALSE),0)</f>
        <v>216883.80811336951</v>
      </c>
    </row>
    <row r="20" spans="1:17">
      <c r="A20" s="463" t="s">
        <v>1867</v>
      </c>
      <c r="B20" s="402">
        <v>976</v>
      </c>
      <c r="C20" s="464" t="s">
        <v>1678</v>
      </c>
      <c r="D20" s="464" t="s">
        <v>4757</v>
      </c>
      <c r="E20" s="402">
        <v>976</v>
      </c>
      <c r="F20" s="457">
        <f t="shared" si="0"/>
        <v>829400</v>
      </c>
      <c r="G20" s="465">
        <f>VLOOKUP(E20,constant_livestock_demand,MATCH(residue_supply_n!$C$56,livestock_demand_headings,0),FALSE)</f>
        <v>1.5</v>
      </c>
      <c r="H20" s="457">
        <f t="shared" si="1"/>
        <v>454096.5</v>
      </c>
      <c r="I20" s="403">
        <f>VLOOKUP(B20,feed_mix_w!$B$7:$E$27,4,FALSE)</f>
        <v>1</v>
      </c>
      <c r="J20" s="457">
        <f t="shared" si="2"/>
        <v>0</v>
      </c>
      <c r="K20" s="457">
        <f>IF(VLOOKUP(B20,feed_mix_w!$B$7:$E$27,4,FALSE)=1,H20,0)</f>
        <v>454096.5</v>
      </c>
      <c r="L20" s="457">
        <f>VLOOKUP(B20,feed_mix_w!$B$7:$F$27,5,FALSE)*H20</f>
        <v>0</v>
      </c>
      <c r="M20" s="457">
        <f>VLOOKUP(B20,feed_mix_w!$B$7:$F$27,4,FALSE)*H20</f>
        <v>454096.5</v>
      </c>
      <c r="N20" s="457">
        <f>VLOOKUP(B20,feed_mix_w!$B$7:$H$27,6,FALSE)*H20</f>
        <v>0</v>
      </c>
      <c r="O20" s="457">
        <f>IFERROR(L20*VLOOKUP($B20,livestock_intensity_w,7,FALSE)/VLOOKUP($B20,feed_mix_w!$B$7:$I$27,7,FALSE),0)</f>
        <v>0</v>
      </c>
      <c r="P20" s="457">
        <f>M20*feed_intensity_w!$K$24</f>
        <v>158289.62740965048</v>
      </c>
      <c r="Q20" s="458">
        <f>IFERROR(N20*VLOOKUP($B20,livestock_intensity_w,10,FALSE)/VLOOKUP($B20,feed_mix_w!$B$7:$Y$27,24,FALSE),0)</f>
        <v>0</v>
      </c>
    </row>
    <row r="21" spans="1:17">
      <c r="A21" s="463" t="s">
        <v>4652</v>
      </c>
      <c r="B21" s="402">
        <v>1079</v>
      </c>
      <c r="C21" s="464" t="s">
        <v>4192</v>
      </c>
      <c r="D21" s="464" t="s">
        <v>1254</v>
      </c>
      <c r="E21" s="402">
        <v>1057</v>
      </c>
      <c r="F21" s="457">
        <f>VLOOKUP(B21,resourcestat_livestock,3,FALSE)</f>
        <v>5693000</v>
      </c>
      <c r="G21" s="465">
        <f>VLOOKUP(E21,constant_livestock_demand,MATCH(residue_supply_n!$C$56,livestock_demand_headings,0),FALSE)</f>
        <v>0.09</v>
      </c>
      <c r="H21" s="457">
        <f t="shared" si="1"/>
        <v>187015.05</v>
      </c>
      <c r="I21" s="403">
        <f>VLOOKUP(B21,feed_mix_w!$B$7:$E$27,4,FALSE)</f>
        <v>0</v>
      </c>
      <c r="J21" s="457">
        <f t="shared" si="2"/>
        <v>187015.05</v>
      </c>
      <c r="K21" s="457">
        <f>IF(VLOOKUP(B21,feed_mix_w!$B$7:$E$27,4,FALSE)=1,H21,0)</f>
        <v>0</v>
      </c>
      <c r="L21" s="457">
        <f>VLOOKUP(B21,feed_mix_w!$B$7:$F$27,5,FALSE)*H21</f>
        <v>185144.8995</v>
      </c>
      <c r="M21" s="457">
        <f>VLOOKUP(B21,feed_mix_w!$B$7:$F$27,4,FALSE)*H21</f>
        <v>0</v>
      </c>
      <c r="N21" s="457">
        <f>VLOOKUP(B21,feed_mix_w!$B$7:$H$27,6,FALSE)*H21</f>
        <v>1870.1505</v>
      </c>
      <c r="O21" s="457">
        <f>IFERROR(L21*VLOOKUP($B21,livestock_intensity_w,7,FALSE)/VLOOKUP($B21,feed_mix_w!$B$7:$I$27,7,FALSE),0)</f>
        <v>76450.969719840723</v>
      </c>
      <c r="P21" s="457">
        <f>M21*feed_intensity_w!$K$24</f>
        <v>0</v>
      </c>
      <c r="Q21" s="458">
        <f>IFERROR(N21*VLOOKUP($B21,livestock_intensity_w,10,FALSE)/VLOOKUP($B21,feed_mix_w!$B$7:$Y$27,24,FALSE),0)</f>
        <v>5228.1701605762</v>
      </c>
    </row>
    <row r="22" spans="1:17" s="105" customFormat="1" ht="13">
      <c r="A22" s="301" t="s">
        <v>4068</v>
      </c>
      <c r="B22" s="302"/>
      <c r="C22" s="302"/>
      <c r="D22" s="302"/>
      <c r="E22" s="302"/>
      <c r="F22" s="303"/>
      <c r="G22" s="304"/>
      <c r="H22" s="304">
        <f>SUM(H7:H21)</f>
        <v>75911477.512799993</v>
      </c>
      <c r="I22" s="304"/>
      <c r="J22" s="304">
        <f t="shared" ref="J22:P22" si="3">SUM(J7:J21)</f>
        <v>13614901.762800001</v>
      </c>
      <c r="K22" s="304">
        <f t="shared" si="3"/>
        <v>470554.35</v>
      </c>
      <c r="L22" s="304">
        <f t="shared" si="3"/>
        <v>32644819.379172005</v>
      </c>
      <c r="M22" s="304">
        <f t="shared" si="3"/>
        <v>43130509.115999997</v>
      </c>
      <c r="N22" s="304">
        <f t="shared" si="3"/>
        <v>136149.017628</v>
      </c>
      <c r="O22" s="304">
        <f t="shared" si="3"/>
        <v>14338990.061089387</v>
      </c>
      <c r="P22" s="304">
        <f t="shared" si="3"/>
        <v>15034496.451657681</v>
      </c>
      <c r="Q22" s="305">
        <f>SUM(Q7:Q21)</f>
        <v>380616.5500340602</v>
      </c>
    </row>
    <row r="25" spans="1:17">
      <c r="Q25" s="39"/>
    </row>
    <row r="26" spans="1:17">
      <c r="Q26" s="672"/>
    </row>
  </sheetData>
  <phoneticPr fontId="5" type="noConversion"/>
  <hyperlinks>
    <hyperlink ref="C2" location="feed_mix_w!A1" tooltip="Go to feed_mix_w" display="feed_mix_w" xr:uid="{00000000-0004-0000-1500-000000000000}"/>
    <hyperlink ref="D2" location="livestock_intensity_w" tooltip="Go to livestock_intensity_w" display="livestock_intensity_w" xr:uid="{00000000-0004-0000-1500-000001000000}"/>
    <hyperlink ref="E2" location="feed_intensity_w!A1" tooltip="Go to feed_intensity_w" display="feed_intensity_w" xr:uid="{00000000-0004-0000-1500-000002000000}"/>
    <hyperlink ref="F2" location="resourcestat_livestock" tooltip="Go to resourcestat_livestock_n" display="resourcestat_livestock_n" xr:uid="{00000000-0004-0000-1500-000003000000}"/>
    <hyperlink ref="C3" location="livestock_feed_ef_n!A1" tooltip="Go to livestock_feed_ef_n" display="livestock_feed_ef_n" xr:uid="{00000000-0004-0000-1500-000004000000}"/>
    <hyperlink ref="D3" location="livestock_feed_balance!A1" tooltip="Go to livestock_feed_balance_n" display="livestock_feed_balance" xr:uid="{00000000-0004-0000-1500-000005000000}"/>
    <hyperlink ref="H2" location="constant_livestock_demand" display="constant_livestock_demand" xr:uid="{00000000-0004-0000-1500-000006000000}"/>
    <hyperlink ref="G2" location="residue_supply_n!A1" display="residue_supply_n" xr:uid="{00000000-0004-0000-1500-000007000000}"/>
  </hyperlinks>
  <pageMargins left="0.75" right="0.75" top="1" bottom="1" header="0.5" footer="0.5"/>
  <pageSetup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1">
    <tabColor theme="7"/>
  </sheetPr>
  <dimension ref="A1:O103"/>
  <sheetViews>
    <sheetView zoomScaleNormal="100" workbookViewId="0">
      <pane xSplit="3" ySplit="6" topLeftCell="D7" activePane="bottomRight" state="frozen"/>
      <selection activeCell="A28" sqref="A28"/>
      <selection pane="topRight" activeCell="A28" sqref="A28"/>
      <selection pane="bottomLeft" activeCell="A28" sqref="A28"/>
      <selection pane="bottomRight" activeCell="A65536" sqref="A65536"/>
    </sheetView>
  </sheetViews>
  <sheetFormatPr defaultColWidth="9.1796875" defaultRowHeight="12.5"/>
  <cols>
    <col min="1" max="1" width="27.81640625" style="86" customWidth="1"/>
    <col min="2" max="2" width="10.1796875" style="86" customWidth="1"/>
    <col min="3" max="3" width="13.54296875" style="86" customWidth="1"/>
    <col min="4" max="4" width="14.7265625" style="86" customWidth="1"/>
    <col min="5" max="6" width="13.54296875" style="86" customWidth="1"/>
    <col min="7" max="7" width="17" style="36" customWidth="1"/>
    <col min="8" max="15" width="16.7265625" style="36" customWidth="1"/>
    <col min="16" max="16" width="12.81640625" style="36" customWidth="1"/>
    <col min="17" max="17" width="20.1796875" style="36" customWidth="1"/>
    <col min="18" max="18" width="6.453125" style="36" customWidth="1"/>
    <col min="19" max="16384" width="9.1796875" style="36"/>
  </cols>
  <sheetData>
    <row r="1" spans="1:15" ht="12.75" customHeight="1">
      <c r="A1" s="36"/>
      <c r="B1" s="75"/>
      <c r="C1" s="75"/>
      <c r="D1" s="75"/>
      <c r="E1" s="466"/>
      <c r="F1" s="466"/>
      <c r="G1" s="466"/>
      <c r="H1" s="466"/>
      <c r="I1" s="466"/>
      <c r="J1" s="466"/>
      <c r="K1" s="75"/>
      <c r="L1" s="75"/>
      <c r="M1" s="75"/>
      <c r="N1" s="75"/>
      <c r="O1" s="75"/>
    </row>
    <row r="2" spans="1:15" ht="12.75" customHeight="1">
      <c r="A2" s="36"/>
      <c r="B2" s="36"/>
      <c r="C2" s="36"/>
      <c r="D2" s="420" t="s">
        <v>985</v>
      </c>
      <c r="E2" s="466" t="s">
        <v>2004</v>
      </c>
      <c r="F2" s="466" t="s">
        <v>6145</v>
      </c>
      <c r="G2" s="466" t="s">
        <v>2005</v>
      </c>
      <c r="H2" s="466" t="s">
        <v>8829</v>
      </c>
      <c r="I2" s="466" t="s">
        <v>1754</v>
      </c>
      <c r="J2" s="466" t="s">
        <v>6865</v>
      </c>
    </row>
    <row r="3" spans="1:15" ht="12.75" customHeight="1">
      <c r="A3" s="36"/>
      <c r="B3" s="36"/>
      <c r="C3" s="36"/>
      <c r="D3" s="420" t="s">
        <v>986</v>
      </c>
      <c r="E3" s="466" t="s">
        <v>8828</v>
      </c>
      <c r="F3" s="466"/>
      <c r="G3" s="466"/>
      <c r="H3" s="466"/>
      <c r="I3" s="466"/>
      <c r="J3" s="466"/>
    </row>
    <row r="4" spans="1:15" ht="12.75" customHeight="1">
      <c r="A4" s="36"/>
      <c r="B4" s="36"/>
      <c r="C4" s="36"/>
      <c r="D4" s="36"/>
      <c r="E4" s="36"/>
      <c r="F4" s="36"/>
      <c r="H4" s="74"/>
      <c r="I4" s="125"/>
    </row>
    <row r="5" spans="1:15" s="90" customFormat="1" ht="15">
      <c r="A5" s="975" t="s">
        <v>190</v>
      </c>
      <c r="B5" s="976" t="s">
        <v>1907</v>
      </c>
      <c r="C5" s="976" t="s">
        <v>7013</v>
      </c>
      <c r="D5" s="976" t="s">
        <v>1925</v>
      </c>
      <c r="E5" s="976" t="s">
        <v>5396</v>
      </c>
      <c r="F5" s="976" t="s">
        <v>1005</v>
      </c>
      <c r="G5" s="976" t="s">
        <v>5445</v>
      </c>
      <c r="H5" s="976" t="s">
        <v>7012</v>
      </c>
      <c r="I5" s="742" t="s">
        <v>7519</v>
      </c>
      <c r="J5" s="742" t="s">
        <v>7520</v>
      </c>
      <c r="K5" s="742" t="s">
        <v>7521</v>
      </c>
      <c r="L5" s="976" t="s">
        <v>7550</v>
      </c>
      <c r="M5" s="976" t="s">
        <v>7551</v>
      </c>
      <c r="N5" s="976" t="s">
        <v>7552</v>
      </c>
      <c r="O5" s="1095" t="s">
        <v>2983</v>
      </c>
    </row>
    <row r="6" spans="1:15" s="455" customFormat="1" ht="14.5">
      <c r="A6" s="1094" t="s">
        <v>542</v>
      </c>
      <c r="B6" s="1092" t="s">
        <v>542</v>
      </c>
      <c r="C6" s="1092" t="s">
        <v>542</v>
      </c>
      <c r="D6" s="1092" t="s">
        <v>9219</v>
      </c>
      <c r="E6" s="1092" t="s">
        <v>9219</v>
      </c>
      <c r="F6" s="1092" t="s">
        <v>9219</v>
      </c>
      <c r="G6" s="1092" t="s">
        <v>9219</v>
      </c>
      <c r="H6" s="1092" t="s">
        <v>9241</v>
      </c>
      <c r="I6" s="1071" t="s">
        <v>720</v>
      </c>
      <c r="J6" s="1071" t="s">
        <v>720</v>
      </c>
      <c r="K6" s="1071" t="s">
        <v>720</v>
      </c>
      <c r="L6" s="1092" t="s">
        <v>720</v>
      </c>
      <c r="M6" s="1092" t="s">
        <v>720</v>
      </c>
      <c r="N6" s="1092" t="s">
        <v>720</v>
      </c>
      <c r="O6" s="1096" t="s">
        <v>720</v>
      </c>
    </row>
    <row r="7" spans="1:15">
      <c r="A7" s="17" t="s">
        <v>6995</v>
      </c>
      <c r="B7" s="349">
        <v>2511</v>
      </c>
      <c r="C7" s="452">
        <v>15</v>
      </c>
      <c r="D7" s="514">
        <v>37529600</v>
      </c>
      <c r="E7" s="514">
        <v>817569</v>
      </c>
      <c r="F7" s="514">
        <v>20704500</v>
      </c>
      <c r="G7" s="514">
        <v>3731000</v>
      </c>
      <c r="H7" s="27">
        <f t="shared" ref="H7:H38" si="0">G7*(1-VLOOKUP(B7,constant_crop_factor,2,FALSE))</f>
        <v>3208660</v>
      </c>
      <c r="I7" s="27">
        <f>IFERROR(IF(D7+E7-F7&lt;=G7,G7,D7*G7/(D7+E7-F7))/VLOOKUP(C7,crop_efi_efe!$B$7:$F$426,5,FALSE)*eqf!$B$7*VLOOKUP("Crop Land",iyf,2,FALSE),0)</f>
        <v>7522646.4966728184</v>
      </c>
      <c r="J7" s="27">
        <f>IFERROR(IF(D7+E7-F7&lt;=G7,0,E7*G7/(D7+E7-F7))/VLOOKUP(C7,crop_efi_efe!$B$7:$F$426,5,FALSE)*eqf!$B$7*VLOOKUP("Crop Land",iyf,2,FALSE),0)</f>
        <v>163878.18078632065</v>
      </c>
      <c r="K7" s="27">
        <f>IFERROR(IF(D7+E7-F7&lt;=G7,0,F7*G7/(D7+E7-F7))/VLOOKUP(C7,crop_efi_efe!$B$7:$F$426,5,FALSE)*eqf!$B$7*VLOOKUP("Crop Land",iyf,2,FALSE),0)</f>
        <v>4150127.7495726673</v>
      </c>
      <c r="L7" s="18"/>
      <c r="M7" s="18"/>
      <c r="N7" s="18"/>
      <c r="O7" s="247"/>
    </row>
    <row r="8" spans="1:15">
      <c r="A8" s="14" t="s">
        <v>6996</v>
      </c>
      <c r="B8" s="350">
        <v>2513</v>
      </c>
      <c r="C8" s="453">
        <v>44</v>
      </c>
      <c r="D8" s="515">
        <v>10237100</v>
      </c>
      <c r="E8" s="515">
        <v>172566</v>
      </c>
      <c r="F8" s="515">
        <v>2004840</v>
      </c>
      <c r="G8" s="515">
        <v>7313330</v>
      </c>
      <c r="H8" s="25">
        <f t="shared" si="0"/>
        <v>6289463.7999999998</v>
      </c>
      <c r="I8" s="25">
        <f>IFERROR(IF(D8+E8-F8&lt;=G8,G8,D8*G8/(D8+E8-F8))/VLOOKUP(C8,crop_efi_efe!$B$7:$F$426,5,FALSE)*eqf!$B$7*VLOOKUP("Crop Land",iyf,2,FALSE),0)</f>
        <v>8443045.7949106209</v>
      </c>
      <c r="J8" s="25">
        <f>IFERROR(IF(D8+E8-F8&lt;=G8,0,E8*G8/(D8+E8-F8))/VLOOKUP(C8,crop_efi_efe!$B$7:$F$426,5,FALSE)*eqf!$B$7*VLOOKUP("Crop Land",iyf,2,FALSE),0)</f>
        <v>142323.767536172</v>
      </c>
      <c r="K8" s="25">
        <f>IFERROR(IF(D8+E8-F8&lt;=G8,0,F8*G8/(D8+E8-F8))/VLOOKUP(C8,crop_efi_efe!$B$7:$F$426,5,FALSE)*eqf!$B$7*VLOOKUP("Crop Land",iyf,2,FALSE),0)</f>
        <v>1653491.3140897921</v>
      </c>
      <c r="L8"/>
      <c r="M8"/>
      <c r="N8"/>
      <c r="O8" s="421"/>
    </row>
    <row r="9" spans="1:15">
      <c r="A9" s="14" t="s">
        <v>6997</v>
      </c>
      <c r="B9" s="350">
        <v>2514</v>
      </c>
      <c r="C9" s="453">
        <v>56</v>
      </c>
      <c r="D9" s="515">
        <v>14193800</v>
      </c>
      <c r="E9" s="515">
        <v>1034540</v>
      </c>
      <c r="F9" s="515">
        <v>1945480</v>
      </c>
      <c r="G9" s="515">
        <v>10722600</v>
      </c>
      <c r="H9" s="25">
        <f t="shared" si="0"/>
        <v>9221436</v>
      </c>
      <c r="I9" s="25">
        <f>IFERROR(IF(D9+E9-F9&lt;=G9,G9,D9*G9/(D9+E9-F9))/VLOOKUP(C9,crop_efi_efe!$B$7:$F$426,5,FALSE)*eqf!$B$7*VLOOKUP("Crop Land",iyf,2,FALSE),0)</f>
        <v>5489830.3614265695</v>
      </c>
      <c r="J9" s="25">
        <f>IFERROR(IF(D9+E9-F9&lt;=G9,0,E9*G9/(D9+E9-F9))/VLOOKUP(C9,crop_efi_efe!$B$7:$F$426,5,FALSE)*eqf!$B$7*VLOOKUP("Crop Land",iyf,2,FALSE),0)</f>
        <v>400135.9116029705</v>
      </c>
      <c r="K9" s="25">
        <f>IFERROR(IF(D9+E9-F9&lt;=G9,0,F9*G9/(D9+E9-F9))/VLOOKUP(C9,crop_efi_efe!$B$7:$F$426,5,FALSE)*eqf!$B$7*VLOOKUP("Crop Land",iyf,2,FALSE),0)</f>
        <v>752466.22973045707</v>
      </c>
      <c r="L9"/>
      <c r="M9"/>
      <c r="N9"/>
      <c r="O9" s="89"/>
    </row>
    <row r="10" spans="1:15">
      <c r="A10" s="14" t="s">
        <v>6998</v>
      </c>
      <c r="B10" s="350">
        <v>2515</v>
      </c>
      <c r="C10" s="453">
        <v>71</v>
      </c>
      <c r="D10" s="515">
        <v>222900</v>
      </c>
      <c r="E10" s="515">
        <v>9770</v>
      </c>
      <c r="F10" s="515">
        <v>164578</v>
      </c>
      <c r="G10" s="515">
        <v>6157</v>
      </c>
      <c r="H10" s="25">
        <f t="shared" si="0"/>
        <v>5295.0199999999995</v>
      </c>
      <c r="I10" s="25">
        <f>IFERROR(IF(D10+E10-F10&lt;=G10,G10,D10*G10/(D10+E10-F10))/VLOOKUP(C10,crop_efi_efe!$B$7:$F$426,5,FALSE)*eqf!$B$7*VLOOKUP("Crop Land",iyf,2,FALSE),0)</f>
        <v>19103.761483394825</v>
      </c>
      <c r="J10" s="25">
        <f>IFERROR(IF(D10+E10-F10&lt;=G10,0,E10*G10/(D10+E10-F10))/VLOOKUP(C10,crop_efi_efe!$B$7:$F$426,5,FALSE)*eqf!$B$7*VLOOKUP("Crop Land",iyf,2,FALSE),0)</f>
        <v>837.34297753596888</v>
      </c>
      <c r="K10" s="25">
        <f>IFERROR(IF(D10+E10-F10&lt;=G10,0,F10*G10/(D10+E10-F10))/VLOOKUP(C10,crop_efi_efe!$B$7:$F$426,5,FALSE)*eqf!$B$7*VLOOKUP("Crop Land",iyf,2,FALSE),0)</f>
        <v>14105.243864576734</v>
      </c>
      <c r="L10"/>
      <c r="M10"/>
      <c r="N10"/>
      <c r="O10" s="89"/>
    </row>
    <row r="11" spans="1:15">
      <c r="A11" s="14" t="s">
        <v>792</v>
      </c>
      <c r="B11" s="350">
        <v>2516</v>
      </c>
      <c r="C11" s="453">
        <v>75</v>
      </c>
      <c r="D11" s="515">
        <v>3905600</v>
      </c>
      <c r="E11" s="515">
        <v>46831</v>
      </c>
      <c r="F11" s="515">
        <v>1728460</v>
      </c>
      <c r="G11" s="515">
        <v>2108150</v>
      </c>
      <c r="H11" s="25">
        <f t="shared" si="0"/>
        <v>1813009</v>
      </c>
      <c r="I11" s="25">
        <f>IFERROR(IF(D11+E11-F11&lt;=G11,G11,D11*G11/(D11+E11-F11))/VLOOKUP(C11,crop_efi_efe!$B$7:$F$426,5,FALSE)*eqf!$B$7*VLOOKUP("Crop Land",iyf,2,FALSE),0)</f>
        <v>3509101.308262012</v>
      </c>
      <c r="J11" s="25">
        <f>IFERROR(IF(D11+E11-F11&lt;=G11,0,E11*G11/(D11+E11-F11))/VLOOKUP(C11,crop_efi_efe!$B$7:$F$426,5,FALSE)*eqf!$B$7*VLOOKUP("Crop Land",iyf,2,FALSE),0)</f>
        <v>42076.690743347572</v>
      </c>
      <c r="K11" s="25">
        <f>IFERROR(IF(D11+E11-F11&lt;=G11,0,F11*G11/(D11+E11-F11))/VLOOKUP(C11,crop_efi_efe!$B$7:$F$426,5,FALSE)*eqf!$B$7*VLOOKUP("Crop Land",iyf,2,FALSE),0)</f>
        <v>1552985.77613646</v>
      </c>
      <c r="L11"/>
      <c r="M11"/>
      <c r="N11"/>
      <c r="O11" s="89"/>
    </row>
    <row r="12" spans="1:15">
      <c r="A12" s="14" t="s">
        <v>6999</v>
      </c>
      <c r="B12" s="350">
        <v>2517</v>
      </c>
      <c r="C12" s="453">
        <v>79</v>
      </c>
      <c r="D12" s="515"/>
      <c r="E12" s="515">
        <v>10215</v>
      </c>
      <c r="F12" s="515">
        <v>4819</v>
      </c>
      <c r="G12" s="515">
        <v>5396</v>
      </c>
      <c r="H12" s="25">
        <f t="shared" si="0"/>
        <v>4748.4800000000005</v>
      </c>
      <c r="I12" s="25">
        <f>IFERROR(IF(D12+E12-F12&lt;=G12,G12,D12*G12/(D12+E12-F12))/VLOOKUP(C12,crop_efi_efe!$B$7:$F$426,5,FALSE)*eqf!$B$7*VLOOKUP("Crop Land",iyf,2,FALSE),0)</f>
        <v>5114.5531554209065</v>
      </c>
      <c r="J12" s="25">
        <f>IFERROR(IF(D12+E12-F12&lt;=G12,0,E12*G12/(D12+E12-F12))/VLOOKUP(C12,crop_efi_efe!$B$7:$F$426,5,FALSE)*eqf!$B$7*VLOOKUP("Crop Land",iyf,2,FALSE),0)</f>
        <v>0</v>
      </c>
      <c r="K12" s="25">
        <f>IFERROR(IF(D12+E12-F12&lt;=G12,0,F12*G12/(D12+E12-F12))/VLOOKUP(C12,crop_efi_efe!$B$7:$F$426,5,FALSE)*eqf!$B$7*VLOOKUP("Crop Land",iyf,2,FALSE),0)</f>
        <v>0</v>
      </c>
      <c r="L12"/>
      <c r="M12"/>
      <c r="N12"/>
      <c r="O12" s="89"/>
    </row>
    <row r="13" spans="1:15">
      <c r="A13" s="14" t="s">
        <v>7000</v>
      </c>
      <c r="B13" s="350">
        <v>2518</v>
      </c>
      <c r="C13" s="453">
        <v>83</v>
      </c>
      <c r="D13" s="515"/>
      <c r="E13" s="515">
        <v>5313</v>
      </c>
      <c r="F13" s="515">
        <v>44121</v>
      </c>
      <c r="G13" s="515">
        <v>1192</v>
      </c>
      <c r="H13" s="25">
        <f t="shared" si="0"/>
        <v>1060.8800000000001</v>
      </c>
      <c r="I13" s="25">
        <f>IFERROR(IF(D13+E13-F13&lt;=G13,G13,D13*G13/(D13+E13-F13))/VLOOKUP(C13,crop_efi_efe!$B$7:$F$426,5,FALSE)*eqf!$B$7*VLOOKUP("Crop Land",iyf,2,FALSE),0)</f>
        <v>1129.8271610937213</v>
      </c>
      <c r="J13" s="25">
        <f>IFERROR(IF(D13+E13-F13&lt;=G13,0,E13*G13/(D13+E13-F13))/VLOOKUP(C13,crop_efi_efe!$B$7:$F$426,5,FALSE)*eqf!$B$7*VLOOKUP("Crop Land",iyf,2,FALSE),0)</f>
        <v>0</v>
      </c>
      <c r="K13" s="25">
        <f>IFERROR(IF(D13+E13-F13&lt;=G13,0,F13*G13/(D13+E13-F13))/VLOOKUP(C13,crop_efi_efe!$B$7:$F$426,5,FALSE)*eqf!$B$7*VLOOKUP("Crop Land",iyf,2,FALSE),0)</f>
        <v>0</v>
      </c>
      <c r="L13"/>
      <c r="M13"/>
      <c r="N13"/>
      <c r="O13" s="89"/>
    </row>
    <row r="14" spans="1:15">
      <c r="A14" s="14" t="s">
        <v>4676</v>
      </c>
      <c r="B14" s="350">
        <v>2520</v>
      </c>
      <c r="C14" s="453">
        <v>108</v>
      </c>
      <c r="D14" s="515">
        <v>316300</v>
      </c>
      <c r="E14" s="515">
        <v>45597</v>
      </c>
      <c r="F14" s="515">
        <v>508845</v>
      </c>
      <c r="G14" s="515">
        <v>17878</v>
      </c>
      <c r="H14" s="25">
        <f t="shared" si="0"/>
        <v>15375.08</v>
      </c>
      <c r="I14" s="25">
        <f>IFERROR(IF(D14+E14-F14&lt;=G14,G14,D14*G14/(D14+E14-F14))/VLOOKUP(C14,crop_efi_efe!$B$7:$F$426,5,FALSE)*eqf!$B$7*VLOOKUP("Crop Land",iyf,2,FALSE),0)</f>
        <v>16945.511733249623</v>
      </c>
      <c r="J14" s="25">
        <f>IFERROR(IF(D14+E14-F14&lt;=G14,0,E14*G14/(D14+E14-F14))/VLOOKUP(C14,crop_efi_efe!$B$7:$F$426,5,FALSE)*eqf!$B$7*VLOOKUP("Crop Land",iyf,2,FALSE),0)</f>
        <v>0</v>
      </c>
      <c r="K14" s="25">
        <f>IFERROR(IF(D14+E14-F14&lt;=G14,0,F14*G14/(D14+E14-F14))/VLOOKUP(C14,crop_efi_efe!$B$7:$F$426,5,FALSE)*eqf!$B$7*VLOOKUP("Crop Land",iyf,2,FALSE),0)</f>
        <v>0</v>
      </c>
      <c r="L14"/>
      <c r="M14"/>
      <c r="N14"/>
      <c r="O14" s="89"/>
    </row>
    <row r="15" spans="1:15">
      <c r="A15" s="14" t="s">
        <v>7001</v>
      </c>
      <c r="B15" s="350">
        <v>2531</v>
      </c>
      <c r="C15" s="453">
        <v>116</v>
      </c>
      <c r="D15" s="515">
        <v>4620000</v>
      </c>
      <c r="E15" s="515">
        <v>577965</v>
      </c>
      <c r="F15" s="515">
        <v>2176080</v>
      </c>
      <c r="G15" s="515"/>
      <c r="H15" s="25">
        <f t="shared" si="0"/>
        <v>0</v>
      </c>
      <c r="I15" s="25">
        <f>IFERROR(IF(D15+E15-F15&lt;=G15,G15,D15*G15/(D15+E15-F15))/VLOOKUP(C15,crop_efi_efe!$B$7:$F$426,5,FALSE)*eqf!$B$7*VLOOKUP("Crop Land",iyf,2,FALSE),0)</f>
        <v>0</v>
      </c>
      <c r="J15" s="25">
        <f>IFERROR(IF(D15+E15-F15&lt;=G15,0,E15*G15/(D15+E15-F15))/VLOOKUP(C15,crop_efi_efe!$B$7:$F$426,5,FALSE)*eqf!$B$7*VLOOKUP("Crop Land",iyf,2,FALSE),0)</f>
        <v>0</v>
      </c>
      <c r="K15" s="25">
        <f>IFERROR(IF(D15+E15-F15&lt;=G15,0,F15*G15/(D15+E15-F15))/VLOOKUP(C15,crop_efi_efe!$B$7:$F$426,5,FALSE)*eqf!$B$7*VLOOKUP("Crop Land",iyf,2,FALSE),0)</f>
        <v>0</v>
      </c>
      <c r="L15"/>
      <c r="M15"/>
      <c r="N15"/>
      <c r="O15" s="89"/>
    </row>
    <row r="16" spans="1:15">
      <c r="A16" s="14" t="s">
        <v>7002</v>
      </c>
      <c r="B16" s="350">
        <v>2532</v>
      </c>
      <c r="C16" s="453">
        <v>125</v>
      </c>
      <c r="D16" s="515"/>
      <c r="E16" s="515">
        <v>46281</v>
      </c>
      <c r="F16" s="515">
        <v>327</v>
      </c>
      <c r="G16" s="515">
        <v>8411</v>
      </c>
      <c r="H16" s="25">
        <f t="shared" si="0"/>
        <v>2523.3000000000002</v>
      </c>
      <c r="I16" s="25">
        <f>IFERROR(IF(D16+E16-F16&lt;=G16,G16,D16*G16/(D16+E16-F16))/VLOOKUP(C16,crop_efi_efe!$B$7:$F$426,5,FALSE)*eqf!$B$7*VLOOKUP("Crop Land",iyf,2,FALSE),0)</f>
        <v>0</v>
      </c>
      <c r="J16" s="25">
        <f>IFERROR(IF(D16+E16-F16&lt;=G16,0,E16*G16/(D16+E16-F16))/VLOOKUP(C16,crop_efi_efe!$B$7:$F$426,5,FALSE)*eqf!$B$7*VLOOKUP("Crop Land",iyf,2,FALSE),0)</f>
        <v>2103.0149165355087</v>
      </c>
      <c r="K16" s="25">
        <f>IFERROR(IF(D16+E16-F16&lt;=G16,0,F16*G16/(D16+E16-F16))/VLOOKUP(C16,crop_efi_efe!$B$7:$F$426,5,FALSE)*eqf!$B$7*VLOOKUP("Crop Land",iyf,2,FALSE),0)</f>
        <v>14.858924347077878</v>
      </c>
      <c r="L16"/>
      <c r="M16"/>
      <c r="N16"/>
      <c r="O16" s="89"/>
    </row>
    <row r="17" spans="1:15">
      <c r="A17" s="14" t="s">
        <v>4710</v>
      </c>
      <c r="B17" s="350">
        <v>2533</v>
      </c>
      <c r="C17" s="453">
        <v>122</v>
      </c>
      <c r="D17" s="515"/>
      <c r="E17" s="515">
        <v>50619</v>
      </c>
      <c r="F17" s="515">
        <v>552</v>
      </c>
      <c r="G17" s="515"/>
      <c r="H17" s="25">
        <f t="shared" si="0"/>
        <v>0</v>
      </c>
      <c r="I17" s="25">
        <f>IFERROR(IF(D17+E17-F17&lt;=G17,G17,D17*G17/(D17+E17-F17))/VLOOKUP(C17,crop_efi_efe!$B$7:$F$426,5,FALSE)*eqf!$B$7*VLOOKUP("Crop Land",iyf,2,FALSE),0)</f>
        <v>0</v>
      </c>
      <c r="J17" s="25">
        <f>IFERROR(IF(D17+E17-F17&lt;=G17,0,E17*G17/(D17+E17-F17))/VLOOKUP(C17,crop_efi_efe!$B$7:$F$426,5,FALSE)*eqf!$B$7*VLOOKUP("Crop Land",iyf,2,FALSE),0)</f>
        <v>0</v>
      </c>
      <c r="K17" s="25">
        <f>IFERROR(IF(D17+E17-F17&lt;=G17,0,F17*G17/(D17+E17-F17))/VLOOKUP(C17,crop_efi_efe!$B$7:$F$426,5,FALSE)*eqf!$B$7*VLOOKUP("Crop Land",iyf,2,FALSE),0)</f>
        <v>0</v>
      </c>
      <c r="L17"/>
      <c r="M17"/>
      <c r="N17"/>
      <c r="O17" s="89"/>
    </row>
    <row r="18" spans="1:15">
      <c r="A18" s="14" t="s">
        <v>4704</v>
      </c>
      <c r="B18" s="350">
        <v>2534</v>
      </c>
      <c r="C18" s="453">
        <v>149</v>
      </c>
      <c r="D18" s="515"/>
      <c r="E18" s="515">
        <v>7287</v>
      </c>
      <c r="F18" s="515">
        <v>42</v>
      </c>
      <c r="G18" s="515"/>
      <c r="H18" s="25">
        <f t="shared" si="0"/>
        <v>0</v>
      </c>
      <c r="I18" s="25">
        <f>IFERROR(IF(D18+E18-F18&lt;=G18,G18,D18*G18/(D18+E18-F18))/VLOOKUP(C18,crop_efi_efe!$B$7:$F$426,5,FALSE)*eqf!$B$7*VLOOKUP("Crop Land",iyf,2,FALSE),0)</f>
        <v>0</v>
      </c>
      <c r="J18" s="25">
        <f>IFERROR(IF(D18+E18-F18&lt;=G18,0,E18*G18/(D18+E18-F18))/VLOOKUP(C18,crop_efi_efe!$B$7:$F$426,5,FALSE)*eqf!$B$7*VLOOKUP("Crop Land",iyf,2,FALSE),0)</f>
        <v>0</v>
      </c>
      <c r="K18" s="25">
        <f>IFERROR(IF(D18+E18-F18&lt;=G18,0,F18*G18/(D18+E18-F18))/VLOOKUP(C18,crop_efi_efe!$B$7:$F$426,5,FALSE)*eqf!$B$7*VLOOKUP("Crop Land",iyf,2,FALSE),0)</f>
        <v>0</v>
      </c>
      <c r="L18"/>
      <c r="M18"/>
      <c r="N18"/>
      <c r="O18" s="89"/>
    </row>
    <row r="19" spans="1:15">
      <c r="A19" s="14" t="s">
        <v>1154</v>
      </c>
      <c r="B19" s="350">
        <v>2535</v>
      </c>
      <c r="C19" s="453">
        <v>137</v>
      </c>
      <c r="D19" s="515"/>
      <c r="E19" s="515">
        <v>15769</v>
      </c>
      <c r="F19" s="515"/>
      <c r="G19" s="515"/>
      <c r="H19" s="25">
        <f t="shared" si="0"/>
        <v>0</v>
      </c>
      <c r="I19" s="25">
        <f>IFERROR(IF(D19+E19-F19&lt;=G19,G19,D19*G19/(D19+E19-F19))/VLOOKUP(C19,crop_efi_efe!$B$7:$F$426,5,FALSE)*eqf!$B$7*VLOOKUP("Crop Land",iyf,2,FALSE),0)</f>
        <v>0</v>
      </c>
      <c r="J19" s="25">
        <f>IFERROR(IF(D19+E19-F19&lt;=G19,0,E19*G19/(D19+E19-F19))/VLOOKUP(C19,crop_efi_efe!$B$7:$F$426,5,FALSE)*eqf!$B$7*VLOOKUP("Crop Land",iyf,2,FALSE),0)</f>
        <v>0</v>
      </c>
      <c r="K19" s="25">
        <f>IFERROR(IF(D19+E19-F19&lt;=G19,0,F19*G19/(D19+E19-F19))/VLOOKUP(C19,crop_efi_efe!$B$7:$F$426,5,FALSE)*eqf!$B$7*VLOOKUP("Crop Land",iyf,2,FALSE),0)</f>
        <v>0</v>
      </c>
      <c r="L19"/>
      <c r="M19"/>
      <c r="N19"/>
      <c r="O19" s="89"/>
    </row>
    <row r="20" spans="1:15">
      <c r="A20" s="14" t="s">
        <v>414</v>
      </c>
      <c r="B20" s="350">
        <v>2536</v>
      </c>
      <c r="C20" s="453">
        <v>156</v>
      </c>
      <c r="D20" s="515"/>
      <c r="E20" s="515">
        <v>733</v>
      </c>
      <c r="F20" s="515">
        <v>0</v>
      </c>
      <c r="G20" s="515"/>
      <c r="H20" s="25">
        <f t="shared" si="0"/>
        <v>0</v>
      </c>
      <c r="I20" s="25">
        <f>IFERROR(IF(D20+E20-F20&lt;=G20,G20,D20*G20/(D20+E20-F20))/VLOOKUP(C20,crop_efi_efe!$B$7:$F$426,5,FALSE)*eqf!$B$7*VLOOKUP("Crop Land",iyf,2,FALSE),0)</f>
        <v>0</v>
      </c>
      <c r="J20" s="25">
        <f>IFERROR(IF(D20+E20-F20&lt;=G20,0,E20*G20/(D20+E20-F20))/VLOOKUP(C20,crop_efi_efe!$B$7:$F$426,5,FALSE)*eqf!$B$7*VLOOKUP("Crop Land",iyf,2,FALSE),0)</f>
        <v>0</v>
      </c>
      <c r="K20" s="25">
        <f>IFERROR(IF(D20+E20-F20&lt;=G20,0,F20*G20/(D20+E20-F20))/VLOOKUP(C20,crop_efi_efe!$B$7:$F$426,5,FALSE)*eqf!$B$7*VLOOKUP("Crop Land",iyf,2,FALSE),0)</f>
        <v>0</v>
      </c>
      <c r="L20"/>
      <c r="M20"/>
      <c r="N20"/>
      <c r="O20" s="89"/>
    </row>
    <row r="21" spans="1:15">
      <c r="A21" s="14" t="s">
        <v>4709</v>
      </c>
      <c r="B21" s="350">
        <v>2537</v>
      </c>
      <c r="C21" s="453">
        <v>157</v>
      </c>
      <c r="D21" s="515">
        <v>598700</v>
      </c>
      <c r="E21" s="515">
        <v>0</v>
      </c>
      <c r="F21" s="515">
        <v>63245</v>
      </c>
      <c r="G21" s="515">
        <v>11974</v>
      </c>
      <c r="H21" s="25">
        <f t="shared" si="0"/>
        <v>2754.02</v>
      </c>
      <c r="I21" s="25">
        <f>IFERROR(IF(D21+E21-F21&lt;=G21,G21,D21*G21/(D21+E21-F21))/VLOOKUP(C21,crop_efi_efe!$B$7:$F$426,5,FALSE)*eqf!$B$7*VLOOKUP("Crop Land",iyf,2,FALSE),0)</f>
        <v>642.59930933402768</v>
      </c>
      <c r="J21" s="25">
        <f>IFERROR(IF(D21+E21-F21&lt;=G21,0,E21*G21/(D21+E21-F21))/VLOOKUP(C21,crop_efi_efe!$B$7:$F$426,5,FALSE)*eqf!$B$7*VLOOKUP("Crop Land",iyf,2,FALSE),0)</f>
        <v>0</v>
      </c>
      <c r="K21" s="25">
        <f>IFERROR(IF(D21+E21-F21&lt;=G21,0,F21*G21/(D21+E21-F21))/VLOOKUP(C21,crop_efi_efe!$B$7:$F$426,5,FALSE)*eqf!$B$7*VLOOKUP("Crop Land",iyf,2,FALSE),0)</f>
        <v>67.882400732972414</v>
      </c>
      <c r="L21"/>
      <c r="M21"/>
      <c r="N21"/>
      <c r="O21" s="89"/>
    </row>
    <row r="22" spans="1:15">
      <c r="A22" s="14" t="s">
        <v>7003</v>
      </c>
      <c r="B22" s="350">
        <v>2541</v>
      </c>
      <c r="C22" s="453">
        <v>163</v>
      </c>
      <c r="D22" s="515"/>
      <c r="E22" s="515"/>
      <c r="F22" s="515"/>
      <c r="G22" s="515"/>
      <c r="H22" s="25">
        <f t="shared" si="0"/>
        <v>0</v>
      </c>
      <c r="I22" s="25">
        <f>IFERROR(IF(D22+E22-F22&lt;=G22,G22,D22*G22/(D22+E22-F22))/VLOOKUP(C22,crop_efi_efe!$B$7:$F$426,5,FALSE)*eqf!$B$7*VLOOKUP("Crop Land",iyf,2,FALSE),0)</f>
        <v>0</v>
      </c>
      <c r="J22" s="25">
        <f>IFERROR(IF(D22+E22-F22&lt;=G22,0,E22*G22/(D22+E22-F22))/VLOOKUP(C22,crop_efi_efe!$B$7:$F$426,5,FALSE)*eqf!$B$7*VLOOKUP("Crop Land",iyf,2,FALSE),0)</f>
        <v>0</v>
      </c>
      <c r="K22" s="25">
        <f>IFERROR(IF(D22+E22-F22&lt;=G22,0,F22*G22/(D22+E22-F22))/VLOOKUP(C22,crop_efi_efe!$B$7:$F$426,5,FALSE)*eqf!$B$7*VLOOKUP("Crop Land",iyf,2,FALSE),0)</f>
        <v>0</v>
      </c>
      <c r="L22"/>
      <c r="M22"/>
      <c r="N22"/>
      <c r="O22" s="89"/>
    </row>
    <row r="23" spans="1:15">
      <c r="A23" s="14" t="s">
        <v>4708</v>
      </c>
      <c r="B23" s="350">
        <v>2542</v>
      </c>
      <c r="C23" s="453">
        <v>162</v>
      </c>
      <c r="D23" s="515">
        <v>106000</v>
      </c>
      <c r="E23" s="515">
        <v>1235780</v>
      </c>
      <c r="F23" s="515">
        <v>205880</v>
      </c>
      <c r="G23" s="515"/>
      <c r="H23" s="25">
        <f t="shared" si="0"/>
        <v>0</v>
      </c>
      <c r="I23" s="25">
        <f>IFERROR(IF(D23+E23-F23&lt;=G23,G23,D23*G23/(D23+E23-F23))/VLOOKUP(C23,crop_efi_efe!$B$7:$F$426,5,FALSE)*eqf!$B$7*VLOOKUP("Crop Land",iyf,2,FALSE),0)</f>
        <v>0</v>
      </c>
      <c r="J23" s="25">
        <f>IFERROR(IF(D23+E23-F23&lt;=G23,0,E23*G23/(D23+E23-F23))/VLOOKUP(C23,crop_efi_efe!$B$7:$F$426,5,FALSE)*eqf!$B$7*VLOOKUP("Crop Land",iyf,2,FALSE),0)</f>
        <v>0</v>
      </c>
      <c r="K23" s="25">
        <f>IFERROR(IF(D23+E23-F23&lt;=G23,0,F23*G23/(D23+E23-F23))/VLOOKUP(C23,crop_efi_efe!$B$7:$F$426,5,FALSE)*eqf!$B$7*VLOOKUP("Crop Land",iyf,2,FALSE),0)</f>
        <v>0</v>
      </c>
      <c r="L23"/>
      <c r="M23"/>
      <c r="N23"/>
      <c r="O23" s="89"/>
    </row>
    <row r="24" spans="1:15">
      <c r="A24" s="14" t="s">
        <v>4711</v>
      </c>
      <c r="B24" s="350">
        <v>2543</v>
      </c>
      <c r="C24" s="453">
        <v>167</v>
      </c>
      <c r="D24" s="515">
        <v>395845</v>
      </c>
      <c r="E24" s="515">
        <v>459100</v>
      </c>
      <c r="F24" s="515">
        <v>316225</v>
      </c>
      <c r="G24" s="515"/>
      <c r="H24" s="25">
        <f t="shared" si="0"/>
        <v>0</v>
      </c>
      <c r="I24" s="25">
        <f>IFERROR(IF(D24+E24-F24&lt;=G24,G24,D24*G24/(D24+E24-F24))/VLOOKUP(C24,crop_efi_efe!$B$7:$F$426,5,FALSE)*eqf!$B$7*VLOOKUP("Crop Land",iyf,2,FALSE),0)</f>
        <v>0</v>
      </c>
      <c r="J24" s="25">
        <f>IFERROR(IF(D24+E24-F24&lt;=G24,0,E24*G24/(D24+E24-F24))/VLOOKUP(C24,crop_efi_efe!$B$7:$F$426,5,FALSE)*eqf!$B$7*VLOOKUP("Crop Land",iyf,2,FALSE),0)</f>
        <v>0</v>
      </c>
      <c r="K24" s="25">
        <f>IFERROR(IF(D24+E24-F24&lt;=G24,0,F24*G24/(D24+E24-F24))/VLOOKUP(C24,crop_efi_efe!$B$7:$F$426,5,FALSE)*eqf!$B$7*VLOOKUP("Crop Land",iyf,2,FALSE),0)</f>
        <v>0</v>
      </c>
      <c r="L24"/>
      <c r="M24"/>
      <c r="N24"/>
      <c r="O24" s="421"/>
    </row>
    <row r="25" spans="1:15">
      <c r="A25" s="210" t="s">
        <v>771</v>
      </c>
      <c r="B25" s="350">
        <v>2544</v>
      </c>
      <c r="C25" s="453">
        <v>165</v>
      </c>
      <c r="D25" s="515">
        <v>15000</v>
      </c>
      <c r="E25" s="515">
        <v>158566</v>
      </c>
      <c r="F25" s="515">
        <v>10176</v>
      </c>
      <c r="G25" s="515">
        <v>63390</v>
      </c>
      <c r="H25" s="25">
        <f t="shared" si="0"/>
        <v>48176.4</v>
      </c>
      <c r="I25" s="25">
        <f>IFERROR(IF(D25+E25-F25&lt;=G25,G25,D25*G25/(D25+E25-F25))/VLOOKUP(C25,crop_efi_efe!$B$7:$F$426,5,FALSE)*eqf!$B$7*VLOOKUP("Crop Land",iyf,2,FALSE),0)</f>
        <v>305.80643822534171</v>
      </c>
      <c r="J25" s="25">
        <f>IFERROR(IF(D25+E25-F25&lt;=G25,0,E25*G25/(D25+E25-F25))/VLOOKUP(C25,crop_efi_efe!$B$7:$F$426,5,FALSE)*eqf!$B$7*VLOOKUP("Crop Land",iyf,2,FALSE),0)</f>
        <v>3232.7002455759689</v>
      </c>
      <c r="K25" s="25">
        <f>IFERROR(IF(D25+E25-F25&lt;=G25,0,F25*G25/(D25+E25-F25))/VLOOKUP(C25,crop_efi_efe!$B$7:$F$426,5,FALSE)*eqf!$B$7*VLOOKUP("Crop Land",iyf,2,FALSE),0)</f>
        <v>207.45908769207182</v>
      </c>
      <c r="L25"/>
      <c r="M25"/>
      <c r="N25"/>
      <c r="O25" s="421"/>
    </row>
    <row r="26" spans="1:15">
      <c r="A26" s="14" t="s">
        <v>4672</v>
      </c>
      <c r="B26" s="350">
        <v>2546</v>
      </c>
      <c r="C26" s="453">
        <v>176</v>
      </c>
      <c r="D26" s="515">
        <v>205900</v>
      </c>
      <c r="E26" s="515">
        <v>70133</v>
      </c>
      <c r="F26" s="515">
        <v>294371</v>
      </c>
      <c r="G26" s="515"/>
      <c r="H26" s="25">
        <f t="shared" si="0"/>
        <v>0</v>
      </c>
      <c r="I26" s="25">
        <f>IFERROR(IF(D26+E26-F26&lt;=G26,G26,D26*G26/(D26+E26-F26))/VLOOKUP(C26,crop_efi_efe!$B$7:$F$426,5,FALSE)*eqf!$B$7*VLOOKUP("Crop Land",iyf,2,FALSE),0)</f>
        <v>0</v>
      </c>
      <c r="J26" s="25">
        <f>IFERROR(IF(D26+E26-F26&lt;=G26,0,E26*G26/(D26+E26-F26))/VLOOKUP(C26,crop_efi_efe!$B$7:$F$426,5,FALSE)*eqf!$B$7*VLOOKUP("Crop Land",iyf,2,FALSE),0)</f>
        <v>0</v>
      </c>
      <c r="K26" s="25">
        <f>IFERROR(IF(D26+E26-F26&lt;=G26,0,F26*G26/(D26+E26-F26))/VLOOKUP(C26,crop_efi_efe!$B$7:$F$426,5,FALSE)*eqf!$B$7*VLOOKUP("Crop Land",iyf,2,FALSE),0)</f>
        <v>0</v>
      </c>
      <c r="L26"/>
      <c r="M26"/>
      <c r="N26"/>
      <c r="O26" s="89"/>
    </row>
    <row r="27" spans="1:15">
      <c r="A27" s="14" t="s">
        <v>4465</v>
      </c>
      <c r="B27" s="350">
        <v>2547</v>
      </c>
      <c r="C27" s="453">
        <v>187</v>
      </c>
      <c r="D27" s="515">
        <v>3960800</v>
      </c>
      <c r="E27" s="515">
        <v>27691</v>
      </c>
      <c r="F27" s="515">
        <v>2849710</v>
      </c>
      <c r="G27" s="515">
        <v>139703</v>
      </c>
      <c r="H27" s="25">
        <f t="shared" si="0"/>
        <v>30734.659999999996</v>
      </c>
      <c r="I27" s="25">
        <f>IFERROR(IF(D27+E27-F27&lt;=G27,G27,D27*G27/(D27+E27-F27))/VLOOKUP(C27,crop_efi_efe!$B$7:$F$426,5,FALSE)*eqf!$B$7*VLOOKUP("Crop Land",iyf,2,FALSE),0)</f>
        <v>737932.16809883667</v>
      </c>
      <c r="J27" s="25">
        <f>IFERROR(IF(D27+E27-F27&lt;=G27,0,E27*G27/(D27+E27-F27))/VLOOKUP(C27,crop_efi_efe!$B$7:$F$426,5,FALSE)*eqf!$B$7*VLOOKUP("Crop Land",iyf,2,FALSE),0)</f>
        <v>5159.0788898265218</v>
      </c>
      <c r="K27" s="25">
        <f>IFERROR(IF(D27+E27-F27&lt;=G27,0,F27*G27/(D27+E27-F27))/VLOOKUP(C27,crop_efi_efe!$B$7:$F$426,5,FALSE)*eqf!$B$7*VLOOKUP("Crop Land",iyf,2,FALSE),0)</f>
        <v>530926.24690793175</v>
      </c>
      <c r="L27"/>
      <c r="M27"/>
      <c r="N27"/>
      <c r="O27" s="89"/>
    </row>
    <row r="28" spans="1:15">
      <c r="A28" s="14" t="s">
        <v>7004</v>
      </c>
      <c r="B28" s="350">
        <v>2549</v>
      </c>
      <c r="C28" s="453">
        <v>211</v>
      </c>
      <c r="D28" s="515">
        <v>2342200</v>
      </c>
      <c r="E28" s="515">
        <v>24432</v>
      </c>
      <c r="F28" s="515">
        <v>1865750</v>
      </c>
      <c r="G28" s="515">
        <v>13809</v>
      </c>
      <c r="H28" s="25">
        <f t="shared" si="0"/>
        <v>12428.1</v>
      </c>
      <c r="I28" s="25">
        <f>IFERROR(IF(D28+E28-F28&lt;=G28,G28,D28*G28/(D28+E28-F28))/VLOOKUP(C28,crop_efi_efe!$B$7:$F$426,5,FALSE)*eqf!$B$7*VLOOKUP("Crop Land",iyf,2,FALSE),0)</f>
        <v>229391.06642429318</v>
      </c>
      <c r="J28" s="25">
        <f>IFERROR(IF(D28+E28-F28&lt;=G28,0,E28*G28/(D28+E28-F28))/VLOOKUP(C28,crop_efi_efe!$B$7:$F$426,5,FALSE)*eqf!$B$7*VLOOKUP("Crop Land",iyf,2,FALSE),0)</f>
        <v>2392.8283386894077</v>
      </c>
      <c r="K28" s="25">
        <f>IFERROR(IF(D28+E28-F28&lt;=G28,0,F28*G28/(D28+E28-F28))/VLOOKUP(C28,crop_efi_efe!$B$7:$F$426,5,FALSE)*eqf!$B$7*VLOOKUP("Crop Land",iyf,2,FALSE),0)</f>
        <v>182728.36742426991</v>
      </c>
      <c r="L28"/>
      <c r="M28"/>
      <c r="N28"/>
      <c r="O28" s="89"/>
    </row>
    <row r="29" spans="1:15">
      <c r="A29" s="14" t="s">
        <v>4707</v>
      </c>
      <c r="B29" s="350">
        <v>2555</v>
      </c>
      <c r="C29" s="453">
        <v>236</v>
      </c>
      <c r="D29" s="515">
        <v>5358900</v>
      </c>
      <c r="E29" s="515">
        <v>239978</v>
      </c>
      <c r="F29" s="515">
        <v>3292660</v>
      </c>
      <c r="G29" s="515">
        <v>467425</v>
      </c>
      <c r="H29" s="25">
        <f t="shared" si="0"/>
        <v>420682.5</v>
      </c>
      <c r="I29" s="25">
        <f>IFERROR(IF(D29+E29-F29&lt;=G29,G29,D29*G29/(D29+E29-F29))/VLOOKUP(C29,crop_efi_efe!$B$7:$F$426,5,FALSE)*eqf!$B$7*VLOOKUP("Crop Land",iyf,2,FALSE),0)</f>
        <v>1070287.0119022266</v>
      </c>
      <c r="J29" s="25">
        <f>IFERROR(IF(D29+E29-F29&lt;=G29,0,E29*G29/(D29+E29-F29))/VLOOKUP(C29,crop_efi_efe!$B$7:$F$426,5,FALSE)*eqf!$B$7*VLOOKUP("Crop Land",iyf,2,FALSE),0)</f>
        <v>47928.742193784645</v>
      </c>
      <c r="K29" s="25">
        <f>IFERROR(IF(D29+E29-F29&lt;=G29,0,F29*G29/(D29+E29-F29))/VLOOKUP(C29,crop_efi_efe!$B$7:$F$426,5,FALSE)*eqf!$B$7*VLOOKUP("Crop Land",iyf,2,FALSE),0)</f>
        <v>657614.66581014486</v>
      </c>
      <c r="L29"/>
      <c r="M29"/>
      <c r="N29"/>
      <c r="O29" s="89"/>
    </row>
    <row r="30" spans="1:15">
      <c r="A30" s="14" t="s">
        <v>4688</v>
      </c>
      <c r="B30" s="350">
        <v>2556</v>
      </c>
      <c r="C30" s="453">
        <v>243</v>
      </c>
      <c r="D30" s="515"/>
      <c r="E30" s="515">
        <v>120167</v>
      </c>
      <c r="F30" s="515">
        <v>19247</v>
      </c>
      <c r="G30" s="515"/>
      <c r="H30" s="25">
        <f t="shared" si="0"/>
        <v>0</v>
      </c>
      <c r="I30" s="25">
        <f>IFERROR(IF(D30+E30-F30&lt;=G30,G30,D30*G30/(D30+E30-F30))/VLOOKUP(C30,crop_efi_efe!$B$7:$F$426,5,FALSE)*eqf!$B$7*VLOOKUP("Crop Land",iyf,2,FALSE),0)</f>
        <v>0</v>
      </c>
      <c r="J30" s="25">
        <f>IFERROR(IF(D30+E30-F30&lt;=G30,0,E30*G30/(D30+E30-F30))/VLOOKUP(C30,crop_efi_efe!$B$7:$F$426,5,FALSE)*eqf!$B$7*VLOOKUP("Crop Land",iyf,2,FALSE),0)</f>
        <v>0</v>
      </c>
      <c r="K30" s="25">
        <f>IFERROR(IF(D30+E30-F30&lt;=G30,0,F30*G30/(D30+E30-F30))/VLOOKUP(C30,crop_efi_efe!$B$7:$F$426,5,FALSE)*eqf!$B$7*VLOOKUP("Crop Land",iyf,2,FALSE),0)</f>
        <v>0</v>
      </c>
      <c r="L30"/>
      <c r="M30"/>
      <c r="N30"/>
      <c r="O30" s="89"/>
    </row>
    <row r="31" spans="1:15">
      <c r="A31" s="14" t="s">
        <v>3774</v>
      </c>
      <c r="B31" s="350">
        <v>2557</v>
      </c>
      <c r="C31" s="453">
        <v>267</v>
      </c>
      <c r="D31" s="515">
        <v>51900</v>
      </c>
      <c r="E31" s="515">
        <v>23452</v>
      </c>
      <c r="F31" s="515">
        <v>48160</v>
      </c>
      <c r="G31" s="515">
        <v>3124</v>
      </c>
      <c r="H31" s="25">
        <f t="shared" si="0"/>
        <v>2905.3199999999997</v>
      </c>
      <c r="I31" s="25">
        <f>IFERROR(IF(D31+E31-F31&lt;=G31,G31,D31*G31/(D31+E31-F31))/VLOOKUP(C31,crop_efi_efe!$B$7:$F$426,5,FALSE)*eqf!$B$7*VLOOKUP("Crop Land",iyf,2,FALSE),0)</f>
        <v>8429.7898802979744</v>
      </c>
      <c r="J31" s="25">
        <f>IFERROR(IF(D31+E31-F31&lt;=G31,0,E31*G31/(D31+E31-F31))/VLOOKUP(C31,crop_efi_efe!$B$7:$F$426,5,FALSE)*eqf!$B$7*VLOOKUP("Crop Land",iyf,2,FALSE),0)</f>
        <v>3809.1605447542993</v>
      </c>
      <c r="K31" s="25">
        <f>IFERROR(IF(D31+E31-F31&lt;=G31,0,F31*G31/(D31+E31-F31))/VLOOKUP(C31,crop_efi_efe!$B$7:$F$426,5,FALSE)*eqf!$B$7*VLOOKUP("Crop Land",iyf,2,FALSE),0)</f>
        <v>7822.3252530857517</v>
      </c>
      <c r="L31"/>
      <c r="M31"/>
      <c r="N31"/>
      <c r="O31" s="89"/>
    </row>
    <row r="32" spans="1:15">
      <c r="A32" s="14" t="s">
        <v>4702</v>
      </c>
      <c r="B32" s="350">
        <v>2558</v>
      </c>
      <c r="C32" s="453">
        <v>292</v>
      </c>
      <c r="D32" s="515">
        <v>18109300</v>
      </c>
      <c r="E32" s="515">
        <v>103400</v>
      </c>
      <c r="F32" s="515">
        <v>7134800</v>
      </c>
      <c r="G32" s="515">
        <v>738826</v>
      </c>
      <c r="H32" s="25">
        <f t="shared" si="0"/>
        <v>635390.36</v>
      </c>
      <c r="I32" s="25">
        <f>IFERROR(IF(D32+E32-F32&lt;=G32,G32,D32*G32/(D32+E32-F32))/VLOOKUP(C32,crop_efi_efe!$B$7:$F$426,5,FALSE)*eqf!$B$7*VLOOKUP("Crop Land",iyf,2,FALSE),0)</f>
        <v>4448238.3974462328</v>
      </c>
      <c r="J32" s="25">
        <f>IFERROR(IF(D32+E32-F32&lt;=G32,0,E32*G32/(D32+E32-F32))/VLOOKUP(C32,crop_efi_efe!$B$7:$F$426,5,FALSE)*eqf!$B$7*VLOOKUP("Crop Land",iyf,2,FALSE),0)</f>
        <v>25398.433417964272</v>
      </c>
      <c r="K32" s="25">
        <f>IFERROR(IF(D32+E32-F32&lt;=G32,0,F32*G32/(D32+E32-F32))/VLOOKUP(C32,crop_efi_efe!$B$7:$F$426,5,FALSE)*eqf!$B$7*VLOOKUP("Crop Land",iyf,2,FALSE),0)</f>
        <v>1752541.0324032062</v>
      </c>
      <c r="L32"/>
      <c r="M32"/>
      <c r="N32"/>
      <c r="O32" s="89"/>
    </row>
    <row r="33" spans="1:15">
      <c r="A33" s="14" t="s">
        <v>887</v>
      </c>
      <c r="B33" s="350">
        <v>2559</v>
      </c>
      <c r="C33" s="453">
        <v>328</v>
      </c>
      <c r="D33" s="515"/>
      <c r="E33" s="515">
        <v>10029</v>
      </c>
      <c r="F33" s="515">
        <v>25</v>
      </c>
      <c r="G33" s="515"/>
      <c r="H33" s="25">
        <f t="shared" si="0"/>
        <v>0</v>
      </c>
      <c r="I33" s="25">
        <f>IFERROR(IF(D33+E33-F33&lt;=G33,G33,D33*G33/(D33+E33-F33))/VLOOKUP(C33,crop_efi_efe!$B$7:$F$426,5,FALSE)*eqf!$B$7*VLOOKUP("Crop Land",iyf,2,FALSE),0)</f>
        <v>0</v>
      </c>
      <c r="J33" s="25">
        <f>IFERROR(IF(D33+E33-F33&lt;=G33,0,E33*G33/(D33+E33-F33))/VLOOKUP(C33,crop_efi_efe!$B$7:$F$426,5,FALSE)*eqf!$B$7*VLOOKUP("Crop Land",iyf,2,FALSE),0)</f>
        <v>0</v>
      </c>
      <c r="K33" s="25">
        <f>IFERROR(IF(D33+E33-F33&lt;=G33,0,F33*G33/(D33+E33-F33))/VLOOKUP(C33,crop_efi_efe!$B$7:$F$426,5,FALSE)*eqf!$B$7*VLOOKUP("Crop Land",iyf,2,FALSE),0)</f>
        <v>0</v>
      </c>
      <c r="L33"/>
      <c r="M33"/>
      <c r="N33"/>
      <c r="O33" s="89"/>
    </row>
    <row r="34" spans="1:15">
      <c r="A34" s="14" t="s">
        <v>4679</v>
      </c>
      <c r="B34" s="350">
        <v>2560</v>
      </c>
      <c r="C34" s="453">
        <v>249</v>
      </c>
      <c r="D34" s="515"/>
      <c r="E34" s="515">
        <v>53459</v>
      </c>
      <c r="F34" s="515">
        <v>5609</v>
      </c>
      <c r="G34" s="515"/>
      <c r="H34" s="25">
        <f t="shared" si="0"/>
        <v>0</v>
      </c>
      <c r="I34" s="25">
        <f>IFERROR(IF(D34+E34-F34&lt;=G34,G34,D34*G34/(D34+E34-F34))/VLOOKUP(C34,crop_efi_efe!$B$7:$F$426,5,FALSE)*eqf!$B$7*VLOOKUP("Crop Land",iyf,2,FALSE),0)</f>
        <v>0</v>
      </c>
      <c r="J34" s="25">
        <f>IFERROR(IF(D34+E34-F34&lt;=G34,0,E34*G34/(D34+E34-F34))/VLOOKUP(C34,crop_efi_efe!$B$7:$F$426,5,FALSE)*eqf!$B$7*VLOOKUP("Crop Land",iyf,2,FALSE),0)</f>
        <v>0</v>
      </c>
      <c r="K34" s="25">
        <f>IFERROR(IF(D34+E34-F34&lt;=G34,0,F34*G34/(D34+E34-F34))/VLOOKUP(C34,crop_efi_efe!$B$7:$F$426,5,FALSE)*eqf!$B$7*VLOOKUP("Crop Land",iyf,2,FALSE),0)</f>
        <v>0</v>
      </c>
      <c r="L34"/>
      <c r="M34"/>
      <c r="N34"/>
      <c r="O34" s="89"/>
    </row>
    <row r="35" spans="1:15">
      <c r="A35" s="14" t="s">
        <v>2680</v>
      </c>
      <c r="B35" s="350">
        <v>2561</v>
      </c>
      <c r="C35" s="453">
        <v>289</v>
      </c>
      <c r="D35" s="515"/>
      <c r="E35" s="515">
        <v>6460</v>
      </c>
      <c r="F35" s="515">
        <v>264</v>
      </c>
      <c r="G35" s="515"/>
      <c r="H35" s="25">
        <f t="shared" si="0"/>
        <v>0</v>
      </c>
      <c r="I35" s="25">
        <f>IFERROR(IF(D35+E35-F35&lt;=G35,G35,D35*G35/(D35+E35-F35))/VLOOKUP(C35,crop_efi_efe!$B$7:$F$426,5,FALSE)*eqf!$B$7*VLOOKUP("Crop Land",iyf,2,FALSE),0)</f>
        <v>0</v>
      </c>
      <c r="J35" s="25">
        <f>IFERROR(IF(D35+E35-F35&lt;=G35,0,E35*G35/(D35+E35-F35))/VLOOKUP(C35,crop_efi_efe!$B$7:$F$426,5,FALSE)*eqf!$B$7*VLOOKUP("Crop Land",iyf,2,FALSE),0)</f>
        <v>0</v>
      </c>
      <c r="K35" s="25">
        <f>IFERROR(IF(D35+E35-F35&lt;=G35,0,F35*G35/(D35+E35-F35))/VLOOKUP(C35,crop_efi_efe!$B$7:$F$426,5,FALSE)*eqf!$B$7*VLOOKUP("Crop Land",iyf,2,FALSE),0)</f>
        <v>0</v>
      </c>
      <c r="L35"/>
      <c r="M35"/>
      <c r="N35"/>
      <c r="O35" s="89"/>
    </row>
    <row r="36" spans="1:15">
      <c r="A36" s="14" t="s">
        <v>3101</v>
      </c>
      <c r="B36" s="350">
        <v>2562</v>
      </c>
      <c r="C36" s="453">
        <v>256</v>
      </c>
      <c r="D36" s="515"/>
      <c r="E36" s="515">
        <v>68</v>
      </c>
      <c r="F36" s="515">
        <v>8</v>
      </c>
      <c r="G36" s="515"/>
      <c r="H36" s="25">
        <f t="shared" si="0"/>
        <v>0</v>
      </c>
      <c r="I36" s="25">
        <f>IFERROR(IF(D36+E36-F36&lt;=G36,G36,D36*G36/(D36+E36-F36))/VLOOKUP(C36,crop_efi_efe!$B$7:$F$426,5,FALSE)*eqf!$B$7*VLOOKUP("Crop Land",iyf,2,FALSE),0)</f>
        <v>0</v>
      </c>
      <c r="J36" s="25">
        <f>IFERROR(IF(D36+E36-F36&lt;=G36,0,E36*G36/(D36+E36-F36))/VLOOKUP(C36,crop_efi_efe!$B$7:$F$426,5,FALSE)*eqf!$B$7*VLOOKUP("Crop Land",iyf,2,FALSE),0)</f>
        <v>0</v>
      </c>
      <c r="K36" s="25">
        <f>IFERROR(IF(D36+E36-F36&lt;=G36,0,F36*G36/(D36+E36-F36))/VLOOKUP(C36,crop_efi_efe!$B$7:$F$426,5,FALSE)*eqf!$B$7*VLOOKUP("Crop Land",iyf,2,FALSE),0)</f>
        <v>0</v>
      </c>
      <c r="L36"/>
      <c r="M36"/>
      <c r="N36"/>
      <c r="O36" s="421"/>
    </row>
    <row r="37" spans="1:15">
      <c r="A37" s="14" t="s">
        <v>4694</v>
      </c>
      <c r="B37" s="350">
        <v>2570</v>
      </c>
      <c r="C37" s="453">
        <v>339</v>
      </c>
      <c r="D37" s="515">
        <v>754400</v>
      </c>
      <c r="E37" s="515">
        <v>73862</v>
      </c>
      <c r="F37" s="515">
        <v>707465</v>
      </c>
      <c r="G37" s="515"/>
      <c r="H37" s="25">
        <f t="shared" si="0"/>
        <v>0</v>
      </c>
      <c r="I37" s="25">
        <f>IFERROR(IF(D37+E37-F37&lt;=G37,G37,D37*G37/(D37+E37-F37))/VLOOKUP(C37,crop_efi_efe!$B$7:$F$426,5,FALSE)*eqf!$B$7*VLOOKUP("Crop Land",iyf,2,FALSE),0)</f>
        <v>0</v>
      </c>
      <c r="J37" s="25">
        <f>IFERROR(IF(D37+E37-F37&lt;=G37,0,E37*G37/(D37+E37-F37))/VLOOKUP(C37,crop_efi_efe!$B$7:$F$426,5,FALSE)*eqf!$B$7*VLOOKUP("Crop Land",iyf,2,FALSE),0)</f>
        <v>0</v>
      </c>
      <c r="K37" s="25">
        <f>IFERROR(IF(D37+E37-F37&lt;=G37,0,F37*G37/(D37+E37-F37))/VLOOKUP(C37,crop_efi_efe!$B$7:$F$426,5,FALSE)*eqf!$B$7*VLOOKUP("Crop Land",iyf,2,FALSE),0)</f>
        <v>0</v>
      </c>
      <c r="L37"/>
      <c r="M37"/>
      <c r="N37"/>
      <c r="O37" s="89"/>
    </row>
    <row r="38" spans="1:15">
      <c r="A38" s="14" t="s">
        <v>4706</v>
      </c>
      <c r="B38" s="350">
        <v>2571</v>
      </c>
      <c r="C38" s="453">
        <v>237</v>
      </c>
      <c r="D38" s="515">
        <v>294700</v>
      </c>
      <c r="E38" s="515">
        <v>58926</v>
      </c>
      <c r="F38" s="515">
        <v>109547</v>
      </c>
      <c r="G38" s="515"/>
      <c r="H38" s="25">
        <f t="shared" si="0"/>
        <v>0</v>
      </c>
      <c r="I38" s="25">
        <f>IFERROR(IF(D38+E38-F38&lt;=G38,G38,D38*G38/(D38+E38-F38))/VLOOKUP(C38,crop_efi_efe!$B$7:$F$426,5,FALSE)*eqf!$B$7*VLOOKUP("Crop Land",iyf,2,FALSE),0)</f>
        <v>0</v>
      </c>
      <c r="J38" s="25">
        <f>IFERROR(IF(D38+E38-F38&lt;=G38,0,E38*G38/(D38+E38-F38))/VLOOKUP(C38,crop_efi_efe!$B$7:$F$426,5,FALSE)*eqf!$B$7*VLOOKUP("Crop Land",iyf,2,FALSE),0)</f>
        <v>0</v>
      </c>
      <c r="K38" s="25">
        <f>IFERROR(IF(D38+E38-F38&lt;=G38,0,F38*G38/(D38+E38-F38))/VLOOKUP(C38,crop_efi_efe!$B$7:$F$426,5,FALSE)*eqf!$B$7*VLOOKUP("Crop Land",iyf,2,FALSE),0)</f>
        <v>0</v>
      </c>
      <c r="L38"/>
      <c r="M38"/>
      <c r="N38"/>
      <c r="O38" s="89"/>
    </row>
    <row r="39" spans="1:15">
      <c r="A39" s="14" t="s">
        <v>4687</v>
      </c>
      <c r="B39" s="350">
        <v>2572</v>
      </c>
      <c r="C39" s="453">
        <v>244</v>
      </c>
      <c r="D39" s="515"/>
      <c r="E39" s="515">
        <v>2172</v>
      </c>
      <c r="F39" s="515">
        <v>10</v>
      </c>
      <c r="G39" s="515"/>
      <c r="H39" s="25">
        <f t="shared" ref="H39:H70" si="1">G39*(1-VLOOKUP(B39,constant_crop_factor,2,FALSE))</f>
        <v>0</v>
      </c>
      <c r="I39" s="25">
        <f>IFERROR(IF(D39+E39-F39&lt;=G39,G39,D39*G39/(D39+E39-F39))/VLOOKUP(C39,crop_efi_efe!$B$7:$F$426,5,FALSE)*eqf!$B$7*VLOOKUP("Crop Land",iyf,2,FALSE),0)</f>
        <v>0</v>
      </c>
      <c r="J39" s="25">
        <f>IFERROR(IF(D39+E39-F39&lt;=G39,0,E39*G39/(D39+E39-F39))/VLOOKUP(C39,crop_efi_efe!$B$7:$F$426,5,FALSE)*eqf!$B$7*VLOOKUP("Crop Land",iyf,2,FALSE),0)</f>
        <v>0</v>
      </c>
      <c r="K39" s="25">
        <f>IFERROR(IF(D39+E39-F39&lt;=G39,0,F39*G39/(D39+E39-F39))/VLOOKUP(C39,crop_efi_efe!$B$7:$F$426,5,FALSE)*eqf!$B$7*VLOOKUP("Crop Land",iyf,2,FALSE),0)</f>
        <v>0</v>
      </c>
      <c r="L39"/>
      <c r="M39"/>
      <c r="N39"/>
      <c r="O39" s="89"/>
    </row>
    <row r="40" spans="1:15">
      <c r="A40" t="s">
        <v>7522</v>
      </c>
      <c r="B40" s="350">
        <v>2573</v>
      </c>
      <c r="C40" s="453">
        <v>268</v>
      </c>
      <c r="D40" s="515">
        <v>22400</v>
      </c>
      <c r="E40" s="515">
        <v>20127</v>
      </c>
      <c r="F40" s="515">
        <v>4004</v>
      </c>
      <c r="G40" s="515"/>
      <c r="H40" s="25">
        <f t="shared" si="1"/>
        <v>0</v>
      </c>
      <c r="I40" s="25">
        <f>IFERROR(IF(D40+E40-F40&lt;=G40,G40,D40*G40/(D40+E40-F40))/VLOOKUP(C40,crop_efi_efe!$B$7:$F$426,5,FALSE)*eqf!$B$7*VLOOKUP("Crop Land",iyf,2,FALSE),0)</f>
        <v>0</v>
      </c>
      <c r="J40" s="25">
        <f>IFERROR(IF(D40+E40-F40&lt;=G40,0,E40*G40/(D40+E40-F40))/VLOOKUP(C40,crop_efi_efe!$B$7:$F$426,5,FALSE)*eqf!$B$7*VLOOKUP("Crop Land",iyf,2,FALSE),0)</f>
        <v>0</v>
      </c>
      <c r="K40" s="25">
        <f>IFERROR(IF(D40+E40-F40&lt;=G40,0,F40*G40/(D40+E40-F40))/VLOOKUP(C40,crop_efi_efe!$B$7:$F$426,5,FALSE)*eqf!$B$7*VLOOKUP("Crop Land",iyf,2,FALSE),0)</f>
        <v>0</v>
      </c>
      <c r="L40"/>
      <c r="M40"/>
      <c r="N40"/>
      <c r="O40" s="421"/>
    </row>
    <row r="41" spans="1:15">
      <c r="A41" s="14" t="s">
        <v>4701</v>
      </c>
      <c r="B41" s="350">
        <v>2574</v>
      </c>
      <c r="C41" s="453">
        <v>271</v>
      </c>
      <c r="D41" s="515">
        <v>2825800</v>
      </c>
      <c r="E41" s="515">
        <v>103582</v>
      </c>
      <c r="F41" s="515">
        <v>2291570</v>
      </c>
      <c r="G41" s="515"/>
      <c r="H41" s="25">
        <f t="shared" si="1"/>
        <v>0</v>
      </c>
      <c r="I41" s="25">
        <f>IFERROR(IF(D41+E41-F41&lt;=G41,G41,D41*G41/(D41+E41-F41))/VLOOKUP(C41,crop_efi_efe!$B$7:$F$426,5,FALSE)*eqf!$B$7*VLOOKUP("Crop Land",iyf,2,FALSE),0)</f>
        <v>0</v>
      </c>
      <c r="J41" s="25">
        <f>IFERROR(IF(D41+E41-F41&lt;=G41,0,E41*G41/(D41+E41-F41))/VLOOKUP(C41,crop_efi_efe!$B$7:$F$426,5,FALSE)*eqf!$B$7*VLOOKUP("Crop Land",iyf,2,FALSE),0)</f>
        <v>0</v>
      </c>
      <c r="K41" s="25">
        <f>IFERROR(IF(D41+E41-F41&lt;=G41,0,F41*G41/(D41+E41-F41))/VLOOKUP(C41,crop_efi_efe!$B$7:$F$426,5,FALSE)*eqf!$B$7*VLOOKUP("Crop Land",iyf,2,FALSE),0)</f>
        <v>0</v>
      </c>
      <c r="L41"/>
      <c r="M41"/>
      <c r="N41"/>
      <c r="O41" s="89"/>
    </row>
    <row r="42" spans="1:15">
      <c r="A42" t="s">
        <v>7523</v>
      </c>
      <c r="B42" s="350">
        <v>2575</v>
      </c>
      <c r="C42" s="453">
        <v>331</v>
      </c>
      <c r="D42" s="515"/>
      <c r="E42" s="515">
        <v>14399</v>
      </c>
      <c r="F42" s="515">
        <v>315</v>
      </c>
      <c r="G42" s="515"/>
      <c r="H42" s="25">
        <f t="shared" si="1"/>
        <v>0</v>
      </c>
      <c r="I42" s="25">
        <f>IFERROR(IF(D42+E42-F42&lt;=G42,G42,D42*G42/(D42+E42-F42))/VLOOKUP(C42,crop_efi_efe!$B$7:$F$426,5,FALSE)*eqf!$B$7*VLOOKUP("Crop Land",iyf,2,FALSE),0)</f>
        <v>0</v>
      </c>
      <c r="J42" s="25">
        <f>IFERROR(IF(D42+E42-F42&lt;=G42,0,E42*G42/(D42+E42-F42))/VLOOKUP(C42,crop_efi_efe!$B$7:$F$426,5,FALSE)*eqf!$B$7*VLOOKUP("Crop Land",iyf,2,FALSE),0)</f>
        <v>0</v>
      </c>
      <c r="K42" s="25">
        <f>IFERROR(IF(D42+E42-F42&lt;=G42,0,F42*G42/(D42+E42-F42))/VLOOKUP(C42,crop_efi_efe!$B$7:$F$426,5,FALSE)*eqf!$B$7*VLOOKUP("Crop Land",iyf,2,FALSE),0)</f>
        <v>0</v>
      </c>
      <c r="L42"/>
      <c r="M42"/>
      <c r="N42"/>
      <c r="O42" s="421"/>
    </row>
    <row r="43" spans="1:15">
      <c r="A43" s="14" t="s">
        <v>4698</v>
      </c>
      <c r="B43" s="350">
        <v>2576</v>
      </c>
      <c r="C43" s="453">
        <v>258</v>
      </c>
      <c r="D43" s="515"/>
      <c r="E43" s="515">
        <v>5438</v>
      </c>
      <c r="F43" s="515">
        <v>111</v>
      </c>
      <c r="G43" s="515"/>
      <c r="H43" s="25">
        <f t="shared" si="1"/>
        <v>0</v>
      </c>
      <c r="I43" s="25">
        <f>IFERROR(IF(D43+E43-F43&lt;=G43,G43,D43*G43/(D43+E43-F43))/VLOOKUP(C43,crop_efi_efe!$B$7:$F$426,5,FALSE)*eqf!$B$7*VLOOKUP("Crop Land",iyf,2,FALSE),0)</f>
        <v>0</v>
      </c>
      <c r="J43" s="25">
        <f>IFERROR(IF(D43+E43-F43&lt;=G43,0,E43*G43/(D43+E43-F43))/VLOOKUP(C43,crop_efi_efe!$B$7:$F$426,5,FALSE)*eqf!$B$7*VLOOKUP("Crop Land",iyf,2,FALSE),0)</f>
        <v>0</v>
      </c>
      <c r="K43" s="25">
        <f>IFERROR(IF(D43+E43-F43&lt;=G43,0,F43*G43/(D43+E43-F43))/VLOOKUP(C43,crop_efi_efe!$B$7:$F$426,5,FALSE)*eqf!$B$7*VLOOKUP("Crop Land",iyf,2,FALSE),0)</f>
        <v>0</v>
      </c>
      <c r="L43"/>
      <c r="M43"/>
      <c r="N43"/>
      <c r="O43" s="421"/>
    </row>
    <row r="44" spans="1:15">
      <c r="A44" s="14" t="s">
        <v>4697</v>
      </c>
      <c r="B44" s="350">
        <v>2577</v>
      </c>
      <c r="C44" s="453">
        <v>257</v>
      </c>
      <c r="D44" s="515"/>
      <c r="E44" s="515">
        <v>118825</v>
      </c>
      <c r="F44" s="515">
        <v>46265</v>
      </c>
      <c r="G44" s="515"/>
      <c r="H44" s="25">
        <f t="shared" si="1"/>
        <v>0</v>
      </c>
      <c r="I44" s="25">
        <f>IFERROR(IF(D44+E44-F44&lt;=G44,G44,D44*G44/(D44+E44-F44))/VLOOKUP(C44,crop_efi_efe!$B$7:$F$426,5,FALSE)*eqf!$B$7*VLOOKUP("Crop Land",iyf,2,FALSE),0)</f>
        <v>0</v>
      </c>
      <c r="J44" s="25">
        <f>IFERROR(IF(D44+E44-F44&lt;=G44,0,E44*G44/(D44+E44-F44))/VLOOKUP(C44,crop_efi_efe!$B$7:$F$426,5,FALSE)*eqf!$B$7*VLOOKUP("Crop Land",iyf,2,FALSE),0)</f>
        <v>0</v>
      </c>
      <c r="K44" s="25">
        <f>IFERROR(IF(D44+E44-F44&lt;=G44,0,F44*G44/(D44+E44-F44))/VLOOKUP(C44,crop_efi_efe!$B$7:$F$426,5,FALSE)*eqf!$B$7*VLOOKUP("Crop Land",iyf,2,FALSE),0)</f>
        <v>0</v>
      </c>
      <c r="L44"/>
      <c r="M44"/>
      <c r="N44"/>
      <c r="O44" s="89"/>
    </row>
    <row r="45" spans="1:15">
      <c r="A45" s="14" t="s">
        <v>4678</v>
      </c>
      <c r="B45" s="350">
        <v>2578</v>
      </c>
      <c r="C45" s="453">
        <v>252</v>
      </c>
      <c r="D45" s="515"/>
      <c r="E45" s="515">
        <v>20898</v>
      </c>
      <c r="F45" s="515">
        <v>4589</v>
      </c>
      <c r="G45" s="515"/>
      <c r="H45" s="25">
        <f t="shared" si="1"/>
        <v>0</v>
      </c>
      <c r="I45" s="25">
        <f>IFERROR(IF(D45+E45-F45&lt;=G45,G45,D45*G45/(D45+E45-F45))/VLOOKUP(C45,crop_efi_efe!$B$7:$F$426,5,FALSE)*eqf!$B$7*VLOOKUP("Crop Land",iyf,2,FALSE),0)</f>
        <v>0</v>
      </c>
      <c r="J45" s="25">
        <f>IFERROR(IF(D45+E45-F45&lt;=G45,0,E45*G45/(D45+E45-F45))/VLOOKUP(C45,crop_efi_efe!$B$7:$F$426,5,FALSE)*eqf!$B$7*VLOOKUP("Crop Land",iyf,2,FALSE),0)</f>
        <v>0</v>
      </c>
      <c r="K45" s="25">
        <f>IFERROR(IF(D45+E45-F45&lt;=G45,0,F45*G45/(D45+E45-F45))/VLOOKUP(C45,crop_efi_efe!$B$7:$F$426,5,FALSE)*eqf!$B$7*VLOOKUP("Crop Land",iyf,2,FALSE),0)</f>
        <v>0</v>
      </c>
      <c r="L45"/>
      <c r="M45"/>
      <c r="N45"/>
      <c r="O45" s="89"/>
    </row>
    <row r="46" spans="1:15">
      <c r="A46" s="14" t="s">
        <v>4705</v>
      </c>
      <c r="B46" s="350">
        <v>2579</v>
      </c>
      <c r="C46" s="453">
        <v>289</v>
      </c>
      <c r="D46" s="515"/>
      <c r="E46" s="515">
        <v>2003</v>
      </c>
      <c r="F46" s="515">
        <v>54</v>
      </c>
      <c r="G46" s="515"/>
      <c r="H46" s="25">
        <f t="shared" si="1"/>
        <v>0</v>
      </c>
      <c r="I46" s="25">
        <f>IFERROR(IF(D46+E46-F46&lt;=G46,G46,D46*G46/(D46+E46-F46))/VLOOKUP(C46,crop_efi_efe!$B$7:$F$426,5,FALSE)*eqf!$B$7*VLOOKUP("Crop Land",iyf,2,FALSE),0)</f>
        <v>0</v>
      </c>
      <c r="J46" s="25">
        <f>IFERROR(IF(D46+E46-F46&lt;=G46,0,E46*G46/(D46+E46-F46))/VLOOKUP(C46,crop_efi_efe!$B$7:$F$426,5,FALSE)*eqf!$B$7*VLOOKUP("Crop Land",iyf,2,FALSE),0)</f>
        <v>0</v>
      </c>
      <c r="K46" s="25">
        <f>IFERROR(IF(D46+E46-F46&lt;=G46,0,F46*G46/(D46+E46-F46))/VLOOKUP(C46,crop_efi_efe!$B$7:$F$426,5,FALSE)*eqf!$B$7*VLOOKUP("Crop Land",iyf,2,FALSE),0)</f>
        <v>0</v>
      </c>
      <c r="L46"/>
      <c r="M46"/>
      <c r="N46"/>
      <c r="O46" s="89"/>
    </row>
    <row r="47" spans="1:15">
      <c r="A47" s="210" t="s">
        <v>7524</v>
      </c>
      <c r="B47" s="350">
        <v>2580</v>
      </c>
      <c r="C47" s="453">
        <v>261</v>
      </c>
      <c r="D47" s="515"/>
      <c r="E47" s="515">
        <v>37454</v>
      </c>
      <c r="F47" s="515">
        <v>750</v>
      </c>
      <c r="G47" s="515"/>
      <c r="H47" s="25">
        <f t="shared" si="1"/>
        <v>0</v>
      </c>
      <c r="I47" s="25">
        <f>IFERROR(IF(D47+E47-F47&lt;=G47,G47,D47*G47/(D47+E47-F47))/VLOOKUP(C47,crop_efi_efe!$B$7:$F$426,5,FALSE)*eqf!$B$7*VLOOKUP("Crop Land",iyf,2,FALSE),0)</f>
        <v>0</v>
      </c>
      <c r="J47" s="25">
        <f>IFERROR(IF(D47+E47-F47&lt;=G47,0,E47*G47/(D47+E47-F47))/VLOOKUP(C47,crop_efi_efe!$B$7:$F$426,5,FALSE)*eqf!$B$7*VLOOKUP("Crop Land",iyf,2,FALSE),0)</f>
        <v>0</v>
      </c>
      <c r="K47" s="25">
        <f>IFERROR(IF(D47+E47-F47&lt;=G47,0,F47*G47/(D47+E47-F47))/VLOOKUP(C47,crop_efi_efe!$B$7:$F$426,5,FALSE)*eqf!$B$7*VLOOKUP("Crop Land",iyf,2,FALSE),0)</f>
        <v>0</v>
      </c>
      <c r="L47"/>
      <c r="M47"/>
      <c r="N47"/>
      <c r="O47" s="421"/>
    </row>
    <row r="48" spans="1:15">
      <c r="A48" s="14" t="s">
        <v>4693</v>
      </c>
      <c r="B48" s="350">
        <v>2586</v>
      </c>
      <c r="C48" s="453">
        <v>254</v>
      </c>
      <c r="D48" s="515">
        <v>41754</v>
      </c>
      <c r="E48" s="515">
        <v>55455</v>
      </c>
      <c r="F48" s="515">
        <v>59600</v>
      </c>
      <c r="G48" s="515"/>
      <c r="H48" s="25">
        <f t="shared" si="1"/>
        <v>0</v>
      </c>
      <c r="I48" s="25">
        <f>IFERROR(IF(D48+E48-F48&lt;=G48,G48,D48*G48/(D48+E48-F48))/VLOOKUP(C48,crop_efi_efe!$B$7:$F$426,5,FALSE)*eqf!$B$7*VLOOKUP("Crop Land",iyf,2,FALSE),0)</f>
        <v>0</v>
      </c>
      <c r="J48" s="25">
        <f>IFERROR(IF(D48+E48-F48&lt;=G48,0,E48*G48/(D48+E48-F48))/VLOOKUP(C48,crop_efi_efe!$B$7:$F$426,5,FALSE)*eqf!$B$7*VLOOKUP("Crop Land",iyf,2,FALSE),0)</f>
        <v>0</v>
      </c>
      <c r="K48" s="25">
        <f>IFERROR(IF(D48+E48-F48&lt;=G48,0,F48*G48/(D48+E48-F48))/VLOOKUP(C48,crop_efi_efe!$B$7:$F$426,5,FALSE)*eqf!$B$7*VLOOKUP("Crop Land",iyf,2,FALSE),0)</f>
        <v>0</v>
      </c>
      <c r="L48"/>
      <c r="M48"/>
      <c r="N48"/>
      <c r="O48" s="89"/>
    </row>
    <row r="49" spans="1:15">
      <c r="A49" t="s">
        <v>7525</v>
      </c>
      <c r="B49" s="350">
        <v>2590</v>
      </c>
      <c r="C49" s="453">
        <v>238</v>
      </c>
      <c r="D49" s="515">
        <v>1244000</v>
      </c>
      <c r="E49" s="515">
        <v>877517</v>
      </c>
      <c r="F49" s="515">
        <v>116898</v>
      </c>
      <c r="G49" s="515">
        <v>2004620</v>
      </c>
      <c r="H49" s="25">
        <f t="shared" si="1"/>
        <v>1804158</v>
      </c>
      <c r="I49" s="25">
        <f>IFERROR(IF(D49+E49-F49&lt;=G49,G49,D49*G49/(D49+E49-F49))/VLOOKUP(C49,crop_efi_efe!$B$7:$F$426,5,FALSE)*eqf!$B$7*VLOOKUP("Crop Land",iyf,2,FALSE),0)</f>
        <v>1516242.541854436</v>
      </c>
      <c r="J49" s="25">
        <f>IFERROR(IF(D49+E49-F49&lt;=G49,0,E49*G49/(D49+E49-F49))/VLOOKUP(C49,crop_efi_efe!$B$7:$F$426,5,FALSE)*eqf!$B$7*VLOOKUP("Crop Land",iyf,2,FALSE),0)</f>
        <v>0</v>
      </c>
      <c r="K49" s="25">
        <f>IFERROR(IF(D49+E49-F49&lt;=G49,0,F49*G49/(D49+E49-F49))/VLOOKUP(C49,crop_efi_efe!$B$7:$F$426,5,FALSE)*eqf!$B$7*VLOOKUP("Crop Land",iyf,2,FALSE),0)</f>
        <v>0</v>
      </c>
      <c r="L49"/>
      <c r="M49"/>
      <c r="N49"/>
      <c r="O49" s="421"/>
    </row>
    <row r="50" spans="1:15">
      <c r="A50" t="s">
        <v>7526</v>
      </c>
      <c r="B50" s="350">
        <v>2591</v>
      </c>
      <c r="C50" s="453">
        <v>245</v>
      </c>
      <c r="D50" s="515"/>
      <c r="E50" s="515">
        <v>2156</v>
      </c>
      <c r="F50" s="515">
        <v>1</v>
      </c>
      <c r="G50" s="515">
        <v>2155</v>
      </c>
      <c r="H50" s="25">
        <f t="shared" si="1"/>
        <v>1939.5</v>
      </c>
      <c r="I50" s="25">
        <f>IFERROR(IF(D50+E50-F50&lt;=G50,G50,D50*G50/(D50+E50-F50))/VLOOKUP(C50,crop_efi_efe!$B$7:$F$426,5,FALSE)*eqf!$B$7*VLOOKUP("Crop Land",iyf,2,FALSE),0)</f>
        <v>1910.8026677502228</v>
      </c>
      <c r="J50" s="25">
        <f>IFERROR(IF(D50+E50-F50&lt;=G50,0,E50*G50/(D50+E50-F50))/VLOOKUP(C50,crop_efi_efe!$B$7:$F$426,5,FALSE)*eqf!$B$7*VLOOKUP("Crop Land",iyf,2,FALSE),0)</f>
        <v>0</v>
      </c>
      <c r="K50" s="25">
        <f>IFERROR(IF(D50+E50-F50&lt;=G50,0,F50*G50/(D50+E50-F50))/VLOOKUP(C50,crop_efi_efe!$B$7:$F$426,5,FALSE)*eqf!$B$7*VLOOKUP("Crop Land",iyf,2,FALSE),0)</f>
        <v>0</v>
      </c>
      <c r="L50"/>
      <c r="M50"/>
      <c r="N50"/>
      <c r="O50" s="421"/>
    </row>
    <row r="51" spans="1:15">
      <c r="A51" t="s">
        <v>7527</v>
      </c>
      <c r="B51" s="350">
        <v>2592</v>
      </c>
      <c r="C51" s="453">
        <v>269</v>
      </c>
      <c r="D51" s="515">
        <v>19000</v>
      </c>
      <c r="E51" s="515">
        <v>2216</v>
      </c>
      <c r="F51" s="515">
        <v>624</v>
      </c>
      <c r="G51" s="515">
        <v>20592</v>
      </c>
      <c r="H51" s="25">
        <f t="shared" si="1"/>
        <v>18532.8</v>
      </c>
      <c r="I51" s="25">
        <f>IFERROR(IF(D51+E51-F51&lt;=G51,G51,D51*G51/(D51+E51-F51))/VLOOKUP(C51,crop_efi_efe!$B$7:$F$426,5,FALSE)*eqf!$B$7*VLOOKUP("Crop Land",iyf,2,FALSE),0)</f>
        <v>10282.48818996079</v>
      </c>
      <c r="J51" s="25">
        <f>IFERROR(IF(D51+E51-F51&lt;=G51,0,E51*G51/(D51+E51-F51))/VLOOKUP(C51,crop_efi_efe!$B$7:$F$426,5,FALSE)*eqf!$B$7*VLOOKUP("Crop Land",iyf,2,FALSE),0)</f>
        <v>0</v>
      </c>
      <c r="K51" s="25">
        <f>IFERROR(IF(D51+E51-F51&lt;=G51,0,F51*G51/(D51+E51-F51))/VLOOKUP(C51,crop_efi_efe!$B$7:$F$426,5,FALSE)*eqf!$B$7*VLOOKUP("Crop Land",iyf,2,FALSE),0)</f>
        <v>0</v>
      </c>
      <c r="L51"/>
      <c r="M51"/>
      <c r="N51"/>
      <c r="O51" s="421"/>
    </row>
    <row r="52" spans="1:15">
      <c r="A52" t="s">
        <v>7528</v>
      </c>
      <c r="B52" s="350">
        <v>2593</v>
      </c>
      <c r="C52" s="453">
        <v>272</v>
      </c>
      <c r="D52" s="515">
        <v>3807600</v>
      </c>
      <c r="E52" s="515">
        <v>11566</v>
      </c>
      <c r="F52" s="515">
        <v>3295660</v>
      </c>
      <c r="G52" s="515">
        <v>523504</v>
      </c>
      <c r="H52" s="25">
        <f t="shared" si="1"/>
        <v>471153.60000000003</v>
      </c>
      <c r="I52" s="25">
        <f>IFERROR(IF(D52+E52-F52&lt;=G52,G52,D52*G52/(D52+E52-F52))/VLOOKUP(C52,crop_efi_efe!$B$7:$F$426,5,FALSE)*eqf!$B$7*VLOOKUP("Crop Land",iyf,2,FALSE),0)</f>
        <v>2080313.0090762249</v>
      </c>
      <c r="J52" s="25">
        <f>IFERROR(IF(D52+E52-F52&lt;=G52,0,E52*G52/(D52+E52-F52))/VLOOKUP(C52,crop_efi_efe!$B$7:$F$426,5,FALSE)*eqf!$B$7*VLOOKUP("Crop Land",iyf,2,FALSE),0)</f>
        <v>6319.1775036704539</v>
      </c>
      <c r="K52" s="25">
        <f>IFERROR(IF(D52+E52-F52&lt;=G52,0,F52*G52/(D52+E52-F52))/VLOOKUP(C52,crop_efi_efe!$B$7:$F$426,5,FALSE)*eqf!$B$7*VLOOKUP("Crop Land",iyf,2,FALSE),0)</f>
        <v>1800610.4557968671</v>
      </c>
      <c r="L52"/>
      <c r="M52"/>
      <c r="N52"/>
      <c r="O52" s="421"/>
    </row>
    <row r="53" spans="1:15">
      <c r="A53" t="s">
        <v>7529</v>
      </c>
      <c r="B53" s="350">
        <v>2594</v>
      </c>
      <c r="C53" s="453">
        <v>332</v>
      </c>
      <c r="D53" s="515"/>
      <c r="E53" s="515">
        <v>4745</v>
      </c>
      <c r="F53" s="515">
        <v>137</v>
      </c>
      <c r="G53" s="515">
        <v>4608</v>
      </c>
      <c r="H53" s="25">
        <f t="shared" si="1"/>
        <v>4147.2</v>
      </c>
      <c r="I53" s="25">
        <f>IFERROR(IF(D53+E53-F53&lt;=G53,G53,D53*G53/(D53+E53-F53))/VLOOKUP(C53,crop_efi_efe!$B$7:$F$426,5,FALSE)*eqf!$B$7*VLOOKUP("Crop Land",iyf,2,FALSE),0)</f>
        <v>979.90568295371929</v>
      </c>
      <c r="J53" s="25">
        <f>IFERROR(IF(D53+E53-F53&lt;=G53,0,E53*G53/(D53+E53-F53))/VLOOKUP(C53,crop_efi_efe!$B$7:$F$426,5,FALSE)*eqf!$B$7*VLOOKUP("Crop Land",iyf,2,FALSE),0)</f>
        <v>0</v>
      </c>
      <c r="K53" s="25">
        <f>IFERROR(IF(D53+E53-F53&lt;=G53,0,F53*G53/(D53+E53-F53))/VLOOKUP(C53,crop_efi_efe!$B$7:$F$426,5,FALSE)*eqf!$B$7*VLOOKUP("Crop Land",iyf,2,FALSE),0)</f>
        <v>0</v>
      </c>
      <c r="L53"/>
      <c r="M53"/>
      <c r="N53"/>
      <c r="O53" s="421"/>
    </row>
    <row r="54" spans="1:15">
      <c r="A54" t="s">
        <v>7530</v>
      </c>
      <c r="B54" s="350">
        <v>2595</v>
      </c>
      <c r="C54" s="453">
        <v>259</v>
      </c>
      <c r="D54" s="515"/>
      <c r="E54" s="515">
        <v>14</v>
      </c>
      <c r="F54" s="515">
        <v>119</v>
      </c>
      <c r="G54" s="515">
        <v>0</v>
      </c>
      <c r="H54" s="25">
        <f t="shared" si="1"/>
        <v>0</v>
      </c>
      <c r="I54" s="25">
        <f>IFERROR(IF(D54+E54-F54&lt;=G54,G54,D54*G54/(D54+E54-F54))/VLOOKUP(C54,crop_efi_efe!$B$7:$F$426,5,FALSE)*eqf!$B$7*VLOOKUP("Crop Land",iyf,2,FALSE),0)</f>
        <v>0</v>
      </c>
      <c r="J54" s="25">
        <f>IFERROR(IF(D54+E54-F54&lt;=G54,0,E54*G54/(D54+E54-F54))/VLOOKUP(C54,crop_efi_efe!$B$7:$F$426,5,FALSE)*eqf!$B$7*VLOOKUP("Crop Land",iyf,2,FALSE),0)</f>
        <v>0</v>
      </c>
      <c r="K54" s="25">
        <f>IFERROR(IF(D54+E54-F54&lt;=G54,0,F54*G54/(D54+E54-F54))/VLOOKUP(C54,crop_efi_efe!$B$7:$F$426,5,FALSE)*eqf!$B$7*VLOOKUP("Crop Land",iyf,2,FALSE),0)</f>
        <v>0</v>
      </c>
      <c r="L54"/>
      <c r="M54"/>
      <c r="N54"/>
      <c r="O54" s="421"/>
    </row>
    <row r="55" spans="1:15">
      <c r="A55" t="s">
        <v>7531</v>
      </c>
      <c r="B55" s="350">
        <v>2596</v>
      </c>
      <c r="C55" s="453">
        <v>253</v>
      </c>
      <c r="D55" s="515"/>
      <c r="E55" s="515">
        <v>59</v>
      </c>
      <c r="F55" s="515">
        <v>3</v>
      </c>
      <c r="G55" s="515">
        <v>56</v>
      </c>
      <c r="H55" s="25">
        <f t="shared" si="1"/>
        <v>50.4</v>
      </c>
      <c r="I55" s="25">
        <f>IFERROR(IF(D55+E55-F55&lt;=G55,G55,D55*G55/(D55+E55-F55))/VLOOKUP(C55,crop_efi_efe!$B$7:$F$426,5,FALSE)*eqf!$B$7*VLOOKUP("Crop Land",iyf,2,FALSE),0)</f>
        <v>25.420955570567543</v>
      </c>
      <c r="J55" s="25">
        <f>IFERROR(IF(D55+E55-F55&lt;=G55,0,E55*G55/(D55+E55-F55))/VLOOKUP(C55,crop_efi_efe!$B$7:$F$426,5,FALSE)*eqf!$B$7*VLOOKUP("Crop Land",iyf,2,FALSE),0)</f>
        <v>0</v>
      </c>
      <c r="K55" s="25">
        <f>IFERROR(IF(D55+E55-F55&lt;=G55,0,F55*G55/(D55+E55-F55))/VLOOKUP(C55,crop_efi_efe!$B$7:$F$426,5,FALSE)*eqf!$B$7*VLOOKUP("Crop Land",iyf,2,FALSE),0)</f>
        <v>0</v>
      </c>
      <c r="L55"/>
      <c r="M55"/>
      <c r="N55"/>
      <c r="O55" s="421"/>
    </row>
    <row r="56" spans="1:15">
      <c r="A56" t="s">
        <v>7532</v>
      </c>
      <c r="B56" s="350">
        <v>2597</v>
      </c>
      <c r="C56" s="453">
        <v>291</v>
      </c>
      <c r="D56" s="515"/>
      <c r="E56" s="515"/>
      <c r="F56" s="515"/>
      <c r="G56" s="515"/>
      <c r="H56" s="25">
        <f t="shared" si="1"/>
        <v>0</v>
      </c>
      <c r="I56" s="25">
        <f>IFERROR(IF(D56+E56-F56&lt;=G56,G56,D56*G56/(D56+E56-F56))/VLOOKUP(C56,crop_efi_efe!$B$7:$F$426,5,FALSE)*eqf!$B$7*VLOOKUP("Crop Land",iyf,2,FALSE),0)</f>
        <v>0</v>
      </c>
      <c r="J56" s="25">
        <f>IFERROR(IF(D56+E56-F56&lt;=G56,0,E56*G56/(D56+E56-F56))/VLOOKUP(C56,crop_efi_efe!$B$7:$F$426,5,FALSE)*eqf!$B$7*VLOOKUP("Crop Land",iyf,2,FALSE),0)</f>
        <v>0</v>
      </c>
      <c r="K56" s="25">
        <f>IFERROR(IF(D56+E56-F56&lt;=G56,0,F56*G56/(D56+E56-F56))/VLOOKUP(C56,crop_efi_efe!$B$7:$F$426,5,FALSE)*eqf!$B$7*VLOOKUP("Crop Land",iyf,2,FALSE),0)</f>
        <v>0</v>
      </c>
      <c r="L56"/>
      <c r="M56"/>
      <c r="N56"/>
      <c r="O56" s="421"/>
    </row>
    <row r="57" spans="1:15">
      <c r="A57" t="s">
        <v>7533</v>
      </c>
      <c r="B57" s="350">
        <v>2598</v>
      </c>
      <c r="C57" s="453">
        <v>282</v>
      </c>
      <c r="D57" s="515">
        <v>86200</v>
      </c>
      <c r="E57" s="515">
        <v>11007</v>
      </c>
      <c r="F57" s="515">
        <v>15983</v>
      </c>
      <c r="G57" s="515">
        <v>86797</v>
      </c>
      <c r="H57" s="25">
        <f t="shared" si="1"/>
        <v>78117.3</v>
      </c>
      <c r="I57" s="25">
        <f>IFERROR(IF(D57+E57-F57&lt;=G57,G57,D57*G57/(D57+E57-F57))/VLOOKUP(C57,crop_efi_efe!$B$7:$F$426,5,FALSE)*eqf!$B$7*VLOOKUP("Crop Land",iyf,2,FALSE),0)</f>
        <v>353009.77017638343</v>
      </c>
      <c r="J57" s="25">
        <f>IFERROR(IF(D57+E57-F57&lt;=G57,0,E57*G57/(D57+E57-F57))/VLOOKUP(C57,crop_efi_efe!$B$7:$F$426,5,FALSE)*eqf!$B$7*VLOOKUP("Crop Land",iyf,2,FALSE),0)</f>
        <v>0</v>
      </c>
      <c r="K57" s="25">
        <f>IFERROR(IF(D57+E57-F57&lt;=G57,0,F57*G57/(D57+E57-F57))/VLOOKUP(C57,crop_efi_efe!$B$7:$F$426,5,FALSE)*eqf!$B$7*VLOOKUP("Crop Land",iyf,2,FALSE),0)</f>
        <v>0</v>
      </c>
      <c r="L57"/>
      <c r="M57"/>
      <c r="N57"/>
      <c r="O57" s="421"/>
    </row>
    <row r="58" spans="1:15">
      <c r="A58" t="s">
        <v>7534</v>
      </c>
      <c r="B58" s="350">
        <v>2600</v>
      </c>
      <c r="C58" s="453">
        <v>59</v>
      </c>
      <c r="D58" s="515">
        <v>1689840</v>
      </c>
      <c r="E58" s="515">
        <v>430398</v>
      </c>
      <c r="F58" s="515">
        <v>211203</v>
      </c>
      <c r="G58" s="515">
        <v>1955260</v>
      </c>
      <c r="H58" s="25">
        <f t="shared" si="1"/>
        <v>1759734</v>
      </c>
      <c r="I58" s="25">
        <f>IFERROR(IF(D58+E58-F58&lt;=G58,G58,D58*G58/(D58+E58-F58))/VLOOKUP(C58,crop_efi_efe!$B$7:$F$426,5,FALSE)*eqf!$B$7*VLOOKUP("Crop Land",iyf,2,FALSE),0)</f>
        <v>576416.69007747737</v>
      </c>
      <c r="J58" s="25">
        <f>IFERROR(IF(D58+E58-F58&lt;=G58,0,E58*G58/(D58+E58-F58))/VLOOKUP(C58,crop_efi_efe!$B$7:$F$426,5,FALSE)*eqf!$B$7*VLOOKUP("Crop Land",iyf,2,FALSE),0)</f>
        <v>0</v>
      </c>
      <c r="K58" s="25">
        <f>IFERROR(IF(D58+E58-F58&lt;=G58,0,F58*G58/(D58+E58-F58))/VLOOKUP(C58,crop_efi_efe!$B$7:$F$426,5,FALSE)*eqf!$B$7*VLOOKUP("Crop Land",iyf,2,FALSE),0)</f>
        <v>0</v>
      </c>
      <c r="L58"/>
      <c r="M58"/>
      <c r="N58"/>
      <c r="O58" s="421"/>
    </row>
    <row r="59" spans="1:15">
      <c r="A59" s="14" t="s">
        <v>7005</v>
      </c>
      <c r="B59" s="350">
        <v>2601</v>
      </c>
      <c r="C59" s="453">
        <v>388</v>
      </c>
      <c r="D59" s="515">
        <v>396232</v>
      </c>
      <c r="E59" s="515">
        <v>499640</v>
      </c>
      <c r="F59" s="515">
        <v>201620</v>
      </c>
      <c r="G59" s="515"/>
      <c r="H59" s="25">
        <f t="shared" si="1"/>
        <v>0</v>
      </c>
      <c r="I59" s="25">
        <f>IFERROR(IF(D59+E59-F59&lt;=G59,G59,D59*G59/(D59+E59-F59))/VLOOKUP(C59,crop_efi_efe!$B$7:$F$426,5,FALSE)*eqf!$B$7*VLOOKUP("Crop Land",iyf,2,FALSE),0)</f>
        <v>0</v>
      </c>
      <c r="J59" s="25">
        <f>IFERROR(IF(D59+E59-F59&lt;=G59,0,E59*G59/(D59+E59-F59))/VLOOKUP(C59,crop_efi_efe!$B$7:$F$426,5,FALSE)*eqf!$B$7*VLOOKUP("Crop Land",iyf,2,FALSE),0)</f>
        <v>0</v>
      </c>
      <c r="K59" s="25">
        <f>IFERROR(IF(D59+E59-F59&lt;=G59,0,F59*G59/(D59+E59-F59))/VLOOKUP(C59,crop_efi_efe!$B$7:$F$426,5,FALSE)*eqf!$B$7*VLOOKUP("Crop Land",iyf,2,FALSE),0)</f>
        <v>0</v>
      </c>
      <c r="L59"/>
      <c r="M59"/>
      <c r="N59"/>
      <c r="O59" s="89"/>
    </row>
    <row r="60" spans="1:15">
      <c r="A60" s="14" t="s">
        <v>4695</v>
      </c>
      <c r="B60" s="350">
        <v>2602</v>
      </c>
      <c r="C60" s="453">
        <v>403</v>
      </c>
      <c r="D60" s="515">
        <v>194725</v>
      </c>
      <c r="E60" s="515">
        <v>186070</v>
      </c>
      <c r="F60" s="515">
        <v>50591</v>
      </c>
      <c r="G60" s="515"/>
      <c r="H60" s="25">
        <f t="shared" si="1"/>
        <v>0</v>
      </c>
      <c r="I60" s="25">
        <f>IFERROR(IF(D60+E60-F60&lt;=G60,G60,D60*G60/(D60+E60-F60))/VLOOKUP(C60,crop_efi_efe!$B$7:$F$426,5,FALSE)*eqf!$B$7*VLOOKUP("Crop Land",iyf,2,FALSE),0)</f>
        <v>0</v>
      </c>
      <c r="J60" s="25">
        <f>IFERROR(IF(D60+E60-F60&lt;=G60,0,E60*G60/(D60+E60-F60))/VLOOKUP(C60,crop_efi_efe!$B$7:$F$426,5,FALSE)*eqf!$B$7*VLOOKUP("Crop Land",iyf,2,FALSE),0)</f>
        <v>0</v>
      </c>
      <c r="K60" s="25">
        <f>IFERROR(IF(D60+E60-F60&lt;=G60,0,F60*G60/(D60+E60-F60))/VLOOKUP(C60,crop_efi_efe!$B$7:$F$426,5,FALSE)*eqf!$B$7*VLOOKUP("Crop Land",iyf,2,FALSE),0)</f>
        <v>0</v>
      </c>
      <c r="L60"/>
      <c r="M60"/>
      <c r="N60"/>
      <c r="O60" s="89"/>
    </row>
    <row r="61" spans="1:15">
      <c r="A61" s="14" t="s">
        <v>4712</v>
      </c>
      <c r="B61" s="350">
        <v>2605</v>
      </c>
      <c r="C61" s="453">
        <v>463</v>
      </c>
      <c r="D61" s="515">
        <v>1631020</v>
      </c>
      <c r="E61" s="515">
        <v>2123450</v>
      </c>
      <c r="F61" s="515">
        <v>727939</v>
      </c>
      <c r="G61" s="515"/>
      <c r="H61" s="25">
        <f t="shared" si="1"/>
        <v>0</v>
      </c>
      <c r="I61" s="25">
        <f>IFERROR(IF(D61+E61-F61&lt;=G61,G61,D61*G61/(D61+E61-F61))/VLOOKUP(C61,crop_efi_efe!$B$7:$F$426,5,FALSE)*eqf!$B$7*VLOOKUP("Crop Land",iyf,2,FALSE),0)</f>
        <v>0</v>
      </c>
      <c r="J61" s="25">
        <f>IFERROR(IF(D61+E61-F61&lt;=G61,0,E61*G61/(D61+E61-F61))/VLOOKUP(C61,crop_efi_efe!$B$7:$F$426,5,FALSE)*eqf!$B$7*VLOOKUP("Crop Land",iyf,2,FALSE),0)</f>
        <v>0</v>
      </c>
      <c r="K61" s="25">
        <f>IFERROR(IF(D61+E61-F61&lt;=G61,0,F61*G61/(D61+E61-F61))/VLOOKUP(C61,crop_efi_efe!$B$7:$F$426,5,FALSE)*eqf!$B$7*VLOOKUP("Crop Land",iyf,2,FALSE),0)</f>
        <v>0</v>
      </c>
      <c r="L61"/>
      <c r="M61"/>
      <c r="N61"/>
      <c r="O61" s="89"/>
    </row>
    <row r="62" spans="1:15">
      <c r="A62" s="14" t="s">
        <v>4696</v>
      </c>
      <c r="B62" s="350">
        <v>2611</v>
      </c>
      <c r="C62" s="453">
        <v>490</v>
      </c>
      <c r="D62" s="515"/>
      <c r="E62" s="515">
        <v>1751280</v>
      </c>
      <c r="F62" s="515">
        <v>207030</v>
      </c>
      <c r="G62" s="515"/>
      <c r="H62" s="25">
        <f t="shared" si="1"/>
        <v>0</v>
      </c>
      <c r="I62" s="25">
        <f>IFERROR(IF(D62+E62-F62&lt;=G62,G62,D62*G62/(D62+E62-F62))/VLOOKUP(C62,crop_efi_efe!$B$7:$F$426,5,FALSE)*eqf!$B$7*VLOOKUP("Crop Land",iyf,2,FALSE),0)</f>
        <v>0</v>
      </c>
      <c r="J62" s="25">
        <f>IFERROR(IF(D62+E62-F62&lt;=G62,0,E62*G62/(D62+E62-F62))/VLOOKUP(C62,crop_efi_efe!$B$7:$F$426,5,FALSE)*eqf!$B$7*VLOOKUP("Crop Land",iyf,2,FALSE),0)</f>
        <v>0</v>
      </c>
      <c r="K62" s="25">
        <f>IFERROR(IF(D62+E62-F62&lt;=G62,0,F62*G62/(D62+E62-F62))/VLOOKUP(C62,crop_efi_efe!$B$7:$F$426,5,FALSE)*eqf!$B$7*VLOOKUP("Crop Land",iyf,2,FALSE),0)</f>
        <v>0</v>
      </c>
      <c r="L62"/>
      <c r="M62"/>
      <c r="N62"/>
      <c r="O62" s="89"/>
    </row>
    <row r="63" spans="1:15">
      <c r="A63" t="s">
        <v>7535</v>
      </c>
      <c r="B63" s="350">
        <v>2613</v>
      </c>
      <c r="C63" s="453">
        <v>509</v>
      </c>
      <c r="D63" s="515"/>
      <c r="E63" s="515">
        <v>74443</v>
      </c>
      <c r="F63" s="515">
        <v>1430</v>
      </c>
      <c r="G63" s="515"/>
      <c r="H63" s="25">
        <f t="shared" si="1"/>
        <v>0</v>
      </c>
      <c r="I63" s="25">
        <f>IFERROR(IF(D63+E63-F63&lt;=G63,G63,D63*G63/(D63+E63-F63))/VLOOKUP(C63,crop_efi_efe!$B$7:$F$426,5,FALSE)*eqf!$B$7*VLOOKUP("Crop Land",iyf,2,FALSE),0)</f>
        <v>0</v>
      </c>
      <c r="J63" s="25">
        <f>IFERROR(IF(D63+E63-F63&lt;=G63,0,E63*G63/(D63+E63-F63))/VLOOKUP(C63,crop_efi_efe!$B$7:$F$426,5,FALSE)*eqf!$B$7*VLOOKUP("Crop Land",iyf,2,FALSE),0)</f>
        <v>0</v>
      </c>
      <c r="K63" s="25">
        <f>IFERROR(IF(D63+E63-F63&lt;=G63,0,F63*G63/(D63+E63-F63))/VLOOKUP(C63,crop_efi_efe!$B$7:$F$426,5,FALSE)*eqf!$B$7*VLOOKUP("Crop Land",iyf,2,FALSE),0)</f>
        <v>0</v>
      </c>
      <c r="L63"/>
      <c r="M63"/>
      <c r="N63"/>
      <c r="O63" s="421"/>
    </row>
    <row r="64" spans="1:15">
      <c r="A64" s="14" t="s">
        <v>614</v>
      </c>
      <c r="B64" s="350">
        <v>2615</v>
      </c>
      <c r="C64" s="453">
        <v>486</v>
      </c>
      <c r="D64" s="515"/>
      <c r="E64" s="515">
        <v>542503</v>
      </c>
      <c r="F64" s="515">
        <v>56</v>
      </c>
      <c r="G64" s="515"/>
      <c r="H64" s="25">
        <f t="shared" si="1"/>
        <v>0</v>
      </c>
      <c r="I64" s="25">
        <f>IFERROR(IF(D64+E64-F64&lt;=G64,G64,D64*G64/(D64+E64-F64))/VLOOKUP(C64,crop_efi_efe!$B$7:$F$426,5,FALSE)*eqf!$B$7*VLOOKUP("Crop Land",iyf,2,FALSE),0)</f>
        <v>0</v>
      </c>
      <c r="J64" s="25">
        <f>IFERROR(IF(D64+E64-F64&lt;=G64,0,E64*G64/(D64+E64-F64))/VLOOKUP(C64,crop_efi_efe!$B$7:$F$426,5,FALSE)*eqf!$B$7*VLOOKUP("Crop Land",iyf,2,FALSE),0)</f>
        <v>0</v>
      </c>
      <c r="K64" s="25">
        <f>IFERROR(IF(D64+E64-F64&lt;=G64,0,F64*G64/(D64+E64-F64))/VLOOKUP(C64,crop_efi_efe!$B$7:$F$426,5,FALSE)*eqf!$B$7*VLOOKUP("Crop Land",iyf,2,FALSE),0)</f>
        <v>0</v>
      </c>
      <c r="L64"/>
      <c r="M64"/>
      <c r="N64"/>
      <c r="O64" s="89"/>
    </row>
    <row r="65" spans="1:15">
      <c r="A65" s="14" t="s">
        <v>5106</v>
      </c>
      <c r="B65" s="350">
        <v>2616</v>
      </c>
      <c r="C65" s="453">
        <v>489</v>
      </c>
      <c r="D65" s="515"/>
      <c r="E65" s="515">
        <v>15071</v>
      </c>
      <c r="F65" s="515"/>
      <c r="G65" s="515"/>
      <c r="H65" s="25">
        <f t="shared" si="1"/>
        <v>0</v>
      </c>
      <c r="I65" s="25">
        <f>IFERROR(IF(D65+E65-F65&lt;=G65,G65,D65*G65/(D65+E65-F65))/VLOOKUP(C65,crop_efi_efe!$B$7:$F$426,5,FALSE)*eqf!$B$7*VLOOKUP("Crop Land",iyf,2,FALSE),0)</f>
        <v>0</v>
      </c>
      <c r="J65" s="25">
        <f>IFERROR(IF(D65+E65-F65&lt;=G65,0,E65*G65/(D65+E65-F65))/VLOOKUP(C65,crop_efi_efe!$B$7:$F$426,5,FALSE)*eqf!$B$7*VLOOKUP("Crop Land",iyf,2,FALSE),0)</f>
        <v>0</v>
      </c>
      <c r="K65" s="25">
        <f>IFERROR(IF(D65+E65-F65&lt;=G65,0,F65*G65/(D65+E65-F65))/VLOOKUP(C65,crop_efi_efe!$B$7:$F$426,5,FALSE)*eqf!$B$7*VLOOKUP("Crop Land",iyf,2,FALSE),0)</f>
        <v>0</v>
      </c>
      <c r="L65"/>
      <c r="M65"/>
      <c r="N65"/>
      <c r="O65" s="89"/>
    </row>
    <row r="66" spans="1:15">
      <c r="A66" s="14" t="s">
        <v>7006</v>
      </c>
      <c r="B66" s="350">
        <v>2617</v>
      </c>
      <c r="C66" s="453">
        <v>515</v>
      </c>
      <c r="D66" s="515">
        <v>426257</v>
      </c>
      <c r="E66" s="515">
        <v>400326</v>
      </c>
      <c r="F66" s="515">
        <v>62069</v>
      </c>
      <c r="G66" s="515"/>
      <c r="H66" s="25">
        <f t="shared" si="1"/>
        <v>0</v>
      </c>
      <c r="I66" s="25">
        <f>IFERROR(IF(D66+E66-F66&lt;=G66,G66,D66*G66/(D66+E66-F66))/VLOOKUP(C66,crop_efi_efe!$B$7:$F$426,5,FALSE)*eqf!$B$7*VLOOKUP("Crop Land",iyf,2,FALSE),0)</f>
        <v>0</v>
      </c>
      <c r="J66" s="25">
        <f>IFERROR(IF(D66+E66-F66&lt;=G66,0,E66*G66/(D66+E66-F66))/VLOOKUP(C66,crop_efi_efe!$B$7:$F$426,5,FALSE)*eqf!$B$7*VLOOKUP("Crop Land",iyf,2,FALSE),0)</f>
        <v>0</v>
      </c>
      <c r="K66" s="25">
        <f>IFERROR(IF(D66+E66-F66&lt;=G66,0,F66*G66/(D66+E66-F66))/VLOOKUP(C66,crop_efi_efe!$B$7:$F$426,5,FALSE)*eqf!$B$7*VLOOKUP("Crop Land",iyf,2,FALSE),0)</f>
        <v>0</v>
      </c>
      <c r="L66"/>
      <c r="M66"/>
      <c r="N66"/>
      <c r="O66" s="89"/>
    </row>
    <row r="67" spans="1:15">
      <c r="A67" s="14" t="s">
        <v>809</v>
      </c>
      <c r="B67" s="350">
        <v>2619</v>
      </c>
      <c r="C67" s="453">
        <v>577</v>
      </c>
      <c r="D67" s="515"/>
      <c r="E67" s="515">
        <v>9793</v>
      </c>
      <c r="F67" s="515">
        <v>212</v>
      </c>
      <c r="G67" s="515"/>
      <c r="H67" s="25">
        <f t="shared" si="1"/>
        <v>0</v>
      </c>
      <c r="I67" s="25">
        <f>IFERROR(IF(D67+E67-F67&lt;=G67,G67,D67*G67/(D67+E67-F67))/VLOOKUP(C67,crop_efi_efe!$B$7:$F$426,5,FALSE)*eqf!$B$7*VLOOKUP("Crop Land",iyf,2,FALSE),0)</f>
        <v>0</v>
      </c>
      <c r="J67" s="25">
        <f>IFERROR(IF(D67+E67-F67&lt;=G67,0,E67*G67/(D67+E67-F67))/VLOOKUP(C67,crop_efi_efe!$B$7:$F$426,5,FALSE)*eqf!$B$7*VLOOKUP("Crop Land",iyf,2,FALSE),0)</f>
        <v>0</v>
      </c>
      <c r="K67" s="25">
        <f>IFERROR(IF(D67+E67-F67&lt;=G67,0,F67*G67/(D67+E67-F67))/VLOOKUP(C67,crop_efi_efe!$B$7:$F$426,5,FALSE)*eqf!$B$7*VLOOKUP("Crop Land",iyf,2,FALSE),0)</f>
        <v>0</v>
      </c>
      <c r="L67"/>
      <c r="M67"/>
      <c r="N67"/>
      <c r="O67" s="89"/>
    </row>
    <row r="68" spans="1:15">
      <c r="A68" t="s">
        <v>7536</v>
      </c>
      <c r="B68" s="350">
        <v>2620</v>
      </c>
      <c r="C68" s="453">
        <v>560</v>
      </c>
      <c r="D68" s="515">
        <v>113221</v>
      </c>
      <c r="E68" s="515">
        <v>331151</v>
      </c>
      <c r="F68" s="515">
        <v>14893</v>
      </c>
      <c r="G68" s="515"/>
      <c r="H68" s="25">
        <f t="shared" si="1"/>
        <v>0</v>
      </c>
      <c r="I68" s="25">
        <f>IFERROR(IF(D68+E68-F68&lt;=G68,G68,D68*G68/(D68+E68-F68))/VLOOKUP(C68,crop_efi_efe!$B$7:$F$426,5,FALSE)*eqf!$B$7*VLOOKUP("Crop Land",iyf,2,FALSE),0)</f>
        <v>0</v>
      </c>
      <c r="J68" s="25">
        <f>IFERROR(IF(D68+E68-F68&lt;=G68,0,E68*G68/(D68+E68-F68))/VLOOKUP(C68,crop_efi_efe!$B$7:$F$426,5,FALSE)*eqf!$B$7*VLOOKUP("Crop Land",iyf,2,FALSE),0)</f>
        <v>0</v>
      </c>
      <c r="K68" s="25">
        <f>IFERROR(IF(D68+E68-F68&lt;=G68,0,F68*G68/(D68+E68-F68))/VLOOKUP(C68,crop_efi_efe!$B$7:$F$426,5,FALSE)*eqf!$B$7*VLOOKUP("Crop Land",iyf,2,FALSE),0)</f>
        <v>0</v>
      </c>
      <c r="L68"/>
      <c r="M68"/>
      <c r="N68"/>
      <c r="O68" s="421"/>
    </row>
    <row r="69" spans="1:15">
      <c r="A69" s="14" t="s">
        <v>4686</v>
      </c>
      <c r="B69" s="350">
        <v>2625</v>
      </c>
      <c r="C69" s="453">
        <v>619</v>
      </c>
      <c r="D69" s="515">
        <v>362023</v>
      </c>
      <c r="E69" s="515">
        <v>1216460</v>
      </c>
      <c r="F69" s="515">
        <v>387030</v>
      </c>
      <c r="G69" s="515"/>
      <c r="H69" s="25">
        <f t="shared" si="1"/>
        <v>0</v>
      </c>
      <c r="I69" s="25">
        <f>IFERROR(IF(D69+E69-F69&lt;=G69,G69,D69*G69/(D69+E69-F69))/VLOOKUP(C69,crop_efi_efe!$B$7:$F$426,5,FALSE)*eqf!$B$7*VLOOKUP("Crop Land",iyf,2,FALSE),0)</f>
        <v>0</v>
      </c>
      <c r="J69" s="25">
        <f>IFERROR(IF(D69+E69-F69&lt;=G69,0,E69*G69/(D69+E69-F69))/VLOOKUP(C69,crop_efi_efe!$B$7:$F$426,5,FALSE)*eqf!$B$7*VLOOKUP("Crop Land",iyf,2,FALSE),0)</f>
        <v>0</v>
      </c>
      <c r="K69" s="25">
        <f>IFERROR(IF(D69+E69-F69&lt;=G69,0,F69*G69/(D69+E69-F69))/VLOOKUP(C69,crop_efi_efe!$B$7:$F$426,5,FALSE)*eqf!$B$7*VLOOKUP("Crop Land",iyf,2,FALSE),0)</f>
        <v>0</v>
      </c>
      <c r="L69"/>
      <c r="M69"/>
      <c r="N69"/>
      <c r="O69" s="89"/>
    </row>
    <row r="70" spans="1:15">
      <c r="A70" s="14" t="s">
        <v>7007</v>
      </c>
      <c r="B70" s="350">
        <v>2633</v>
      </c>
      <c r="C70" s="453">
        <v>661</v>
      </c>
      <c r="D70" s="515"/>
      <c r="E70" s="515">
        <v>245269</v>
      </c>
      <c r="F70" s="515">
        <v>168098</v>
      </c>
      <c r="G70" s="515"/>
      <c r="H70" s="25">
        <f t="shared" si="1"/>
        <v>0</v>
      </c>
      <c r="I70" s="25">
        <f>IFERROR(IF(D70+E70-F70&lt;=G70,G70,D70*G70/(D70+E70-F70))/VLOOKUP(C70,crop_efi_efe!$B$7:$F$426,5,FALSE)*eqf!$B$7*VLOOKUP("Crop Land",iyf,2,FALSE),0)</f>
        <v>0</v>
      </c>
      <c r="J70" s="25">
        <f>IFERROR(IF(D70+E70-F70&lt;=G70,0,E70*G70/(D70+E70-F70))/VLOOKUP(C70,crop_efi_efe!$B$7:$F$426,5,FALSE)*eqf!$B$7*VLOOKUP("Crop Land",iyf,2,FALSE),0)</f>
        <v>0</v>
      </c>
      <c r="K70" s="25">
        <f>IFERROR(IF(D70+E70-F70&lt;=G70,0,F70*G70/(D70+E70-F70))/VLOOKUP(C70,crop_efi_efe!$B$7:$F$426,5,FALSE)*eqf!$B$7*VLOOKUP("Crop Land",iyf,2,FALSE),0)</f>
        <v>0</v>
      </c>
      <c r="L70"/>
      <c r="M70"/>
      <c r="N70"/>
      <c r="O70" s="89"/>
    </row>
    <row r="71" spans="1:15">
      <c r="A71" t="s">
        <v>7537</v>
      </c>
      <c r="B71" s="350">
        <v>2635</v>
      </c>
      <c r="C71" s="453">
        <v>661</v>
      </c>
      <c r="D71" s="515"/>
      <c r="E71" s="515">
        <v>26554</v>
      </c>
      <c r="F71" s="515">
        <v>60619</v>
      </c>
      <c r="G71" s="515"/>
      <c r="H71" s="25">
        <f t="shared" ref="H71:H102" si="2">G71*(1-VLOOKUP(B71,constant_crop_factor,2,FALSE))</f>
        <v>0</v>
      </c>
      <c r="I71" s="25">
        <f>IFERROR(IF(D71+E71-F71&lt;=G71,G71,D71*G71/(D71+E71-F71))/VLOOKUP(C71,crop_efi_efe!$B$7:$F$426,5,FALSE)*eqf!$B$7*VLOOKUP("Crop Land",iyf,2,FALSE),0)</f>
        <v>0</v>
      </c>
      <c r="J71" s="25">
        <f>IFERROR(IF(D71+E71-F71&lt;=G71,0,E71*G71/(D71+E71-F71))/VLOOKUP(C71,crop_efi_efe!$B$7:$F$426,5,FALSE)*eqf!$B$7*VLOOKUP("Crop Land",iyf,2,FALSE),0)</f>
        <v>0</v>
      </c>
      <c r="K71" s="25">
        <f>IFERROR(IF(D71+E71-F71&lt;=G71,0,F71*G71/(D71+E71-F71))/VLOOKUP(C71,crop_efi_efe!$B$7:$F$426,5,FALSE)*eqf!$B$7*VLOOKUP("Crop Land",iyf,2,FALSE),0)</f>
        <v>0</v>
      </c>
      <c r="L71"/>
      <c r="M71"/>
      <c r="N71"/>
      <c r="O71" s="421"/>
    </row>
    <row r="72" spans="1:15">
      <c r="A72" t="s">
        <v>2516</v>
      </c>
      <c r="B72" s="350">
        <v>2642</v>
      </c>
      <c r="C72" s="453">
        <v>698</v>
      </c>
      <c r="D72" s="515"/>
      <c r="E72" s="515">
        <v>255</v>
      </c>
      <c r="F72" s="515">
        <v>14</v>
      </c>
      <c r="G72" s="515"/>
      <c r="H72" s="25">
        <f t="shared" si="2"/>
        <v>0</v>
      </c>
      <c r="I72" s="25">
        <f>IFERROR(IF(D72+E72-F72&lt;=G72,G72,D72*G72/(D72+E72-F72))/VLOOKUP(C72,crop_efi_efe!$B$7:$F$426,5,FALSE)*eqf!$B$7*VLOOKUP("Crop Land",iyf,2,FALSE),0)</f>
        <v>0</v>
      </c>
      <c r="J72" s="25">
        <f>IFERROR(IF(D72+E72-F72&lt;=G72,0,E72*G72/(D72+E72-F72))/VLOOKUP(C72,crop_efi_efe!$B$7:$F$426,5,FALSE)*eqf!$B$7*VLOOKUP("Crop Land",iyf,2,FALSE),0)</f>
        <v>0</v>
      </c>
      <c r="K72" s="25">
        <f>IFERROR(IF(D72+E72-F72&lt;=G72,0,F72*G72/(D72+E72-F72))/VLOOKUP(C72,crop_efi_efe!$B$7:$F$426,5,FALSE)*eqf!$B$7*VLOOKUP("Crop Land",iyf,2,FALSE),0)</f>
        <v>0</v>
      </c>
      <c r="L72"/>
      <c r="M72"/>
      <c r="N72"/>
      <c r="O72" s="421"/>
    </row>
    <row r="73" spans="1:15">
      <c r="A73" t="s">
        <v>886</v>
      </c>
      <c r="B73" s="350">
        <v>2661</v>
      </c>
      <c r="C73" s="454">
        <v>767</v>
      </c>
      <c r="D73" s="515"/>
      <c r="E73" s="515">
        <v>705</v>
      </c>
      <c r="F73" s="515">
        <v>1</v>
      </c>
      <c r="G73" s="515"/>
      <c r="H73" s="25">
        <f t="shared" si="2"/>
        <v>0</v>
      </c>
      <c r="I73" s="25">
        <f>IFERROR(IF(D73+E73-F73&lt;=G73,G73,D73*G73/(D73+E73-F73))/VLOOKUP(C73,crop_efi_efe!$B$7:$F$426,5,FALSE)*eqf!$B$7*VLOOKUP("Crop Land",iyf,2,FALSE),0)</f>
        <v>0</v>
      </c>
      <c r="J73" s="25">
        <f>IFERROR(IF(D73+E73-F73&lt;=G73,0,E73*G73/(D73+E73-F73))/VLOOKUP(C73,crop_efi_efe!$B$7:$F$426,5,FALSE)*eqf!$B$7*VLOOKUP("Crop Land",iyf,2,FALSE),0)</f>
        <v>0</v>
      </c>
      <c r="K73" s="25">
        <f>IFERROR(IF(D73+E73-F73&lt;=G73,0,F73*G73/(D73+E73-F73))/VLOOKUP(C73,crop_efi_efe!$B$7:$F$426,5,FALSE)*eqf!$B$7*VLOOKUP("Crop Land",iyf,2,FALSE),0)</f>
        <v>0</v>
      </c>
      <c r="L73"/>
      <c r="M73"/>
      <c r="N73"/>
      <c r="O73" s="421"/>
    </row>
    <row r="74" spans="1:15">
      <c r="A74" t="s">
        <v>7538</v>
      </c>
      <c r="B74" s="350">
        <v>2664</v>
      </c>
      <c r="C74" s="454">
        <v>771</v>
      </c>
      <c r="D74" s="515"/>
      <c r="E74" s="515">
        <v>466</v>
      </c>
      <c r="F74" s="515">
        <v>14001</v>
      </c>
      <c r="G74" s="515"/>
      <c r="H74" s="25">
        <f t="shared" si="2"/>
        <v>0</v>
      </c>
      <c r="I74" s="25">
        <f>IFERROR(IF(D74+E74-F74&lt;=G74,G74,D74*G74/(D74+E74-F74))/VLOOKUP(C74,crop_efi_efe!$B$7:$F$426,5,FALSE)*eqf!$B$7*VLOOKUP("Crop Land",iyf,2,FALSE),0)</f>
        <v>0</v>
      </c>
      <c r="J74" s="25">
        <f>IFERROR(IF(D74+E74-F74&lt;=G74,0,E74*G74/(D74+E74-F74))/VLOOKUP(C74,crop_efi_efe!$B$7:$F$426,5,FALSE)*eqf!$B$7*VLOOKUP("Crop Land",iyf,2,FALSE),0)</f>
        <v>0</v>
      </c>
      <c r="K74" s="25">
        <f>IFERROR(IF(D74+E74-F74&lt;=G74,0,F74*G74/(D74+E74-F74))/VLOOKUP(C74,crop_efi_efe!$B$7:$F$426,5,FALSE)*eqf!$B$7*VLOOKUP("Crop Land",iyf,2,FALSE),0)</f>
        <v>0</v>
      </c>
      <c r="L74"/>
      <c r="M74"/>
      <c r="N74"/>
      <c r="O74" s="421"/>
    </row>
    <row r="75" spans="1:15">
      <c r="A75" s="14" t="s">
        <v>4703</v>
      </c>
      <c r="B75" s="350">
        <v>2805</v>
      </c>
      <c r="C75" s="453">
        <v>31</v>
      </c>
      <c r="D75" s="515"/>
      <c r="E75" s="515">
        <v>635673</v>
      </c>
      <c r="F75" s="515">
        <v>139944</v>
      </c>
      <c r="G75" s="515"/>
      <c r="H75" s="25">
        <f t="shared" si="2"/>
        <v>0</v>
      </c>
      <c r="I75" s="25">
        <f>IFERROR(IF(D75+E75-F75&lt;=G75,G75,D75*G75/(D75+E75-F75))/VLOOKUP(C75,crop_efi_efe!$B$7:$F$426,5,FALSE)*eqf!$B$7*VLOOKUP("Crop Land",iyf,2,FALSE),0)</f>
        <v>0</v>
      </c>
      <c r="J75" s="25">
        <f>IFERROR(IF(D75+E75-F75&lt;=G75,0,E75*G75/(D75+E75-F75))/VLOOKUP(C75,crop_efi_efe!$B$7:$F$426,5,FALSE)*eqf!$B$7*VLOOKUP("Crop Land",iyf,2,FALSE),0)</f>
        <v>0</v>
      </c>
      <c r="K75" s="25">
        <f>IFERROR(IF(D75+E75-F75&lt;=G75,0,F75*G75/(D75+E75-F75))/VLOOKUP(C75,crop_efi_efe!$B$7:$F$426,5,FALSE)*eqf!$B$7*VLOOKUP("Crop Land",iyf,2,FALSE),0)</f>
        <v>0</v>
      </c>
      <c r="L75"/>
      <c r="M75"/>
      <c r="N75"/>
      <c r="O75" s="89"/>
    </row>
    <row r="76" spans="1:15">
      <c r="A76" t="s">
        <v>7539</v>
      </c>
      <c r="B76" s="350">
        <v>2815</v>
      </c>
      <c r="C76" s="453">
        <v>149</v>
      </c>
      <c r="D76" s="515">
        <v>924000</v>
      </c>
      <c r="E76" s="515">
        <v>148019</v>
      </c>
      <c r="F76" s="515">
        <v>435467</v>
      </c>
      <c r="G76" s="515">
        <v>2523</v>
      </c>
      <c r="H76" s="25">
        <f t="shared" si="2"/>
        <v>2523</v>
      </c>
      <c r="I76" s="25">
        <f>IFERROR(IF(D76+E76-F76&lt;=G76,G76,D76*G76/(D76+E76-F76))/VLOOKUP(C76,crop_efi_efe!$B$7:$F$426,5,FALSE)*eqf!$B$7*VLOOKUP("Crop Land",iyf,2,FALSE),0)</f>
        <v>823.95166661018106</v>
      </c>
      <c r="J76" s="25">
        <f>IFERROR(IF(D76+E76-F76&lt;=G76,0,E76*G76/(D76+E76-F76))/VLOOKUP(C76,crop_efi_efe!$B$7:$F$426,5,FALSE)*eqf!$B$7*VLOOKUP("Crop Land",iyf,2,FALSE),0)</f>
        <v>131.99188499997013</v>
      </c>
      <c r="K76" s="25">
        <f>IFERROR(IF(D76+E76-F76&lt;=G76,0,F76*G76/(D76+E76-F76))/VLOOKUP(C76,crop_efi_efe!$B$7:$F$426,5,FALSE)*eqf!$B$7*VLOOKUP("Crop Land",iyf,2,FALSE),0)</f>
        <v>388.31575801270105</v>
      </c>
      <c r="L76"/>
      <c r="M76"/>
      <c r="N76"/>
      <c r="O76" s="421"/>
    </row>
    <row r="77" spans="1:15">
      <c r="A77" t="s">
        <v>7540</v>
      </c>
      <c r="B77" s="350">
        <v>2820</v>
      </c>
      <c r="C77" s="454">
        <v>243</v>
      </c>
      <c r="D77" s="515"/>
      <c r="E77" s="515">
        <v>171667</v>
      </c>
      <c r="F77" s="515">
        <v>27495</v>
      </c>
      <c r="G77" s="515"/>
      <c r="H77" s="25">
        <f t="shared" si="2"/>
        <v>0</v>
      </c>
      <c r="I77" s="25">
        <f>IFERROR(IF(D77+E77-F77&lt;=G77,G77,D77*G77/(D77+E77-F77))/VLOOKUP(C77,crop_efi_efe!$B$7:$F$426,5,FALSE)*eqf!$B$7*VLOOKUP("Crop Land",iyf,2,FALSE),0)</f>
        <v>0</v>
      </c>
      <c r="J77" s="25">
        <f>IFERROR(IF(D77+E77-F77&lt;=G77,0,E77*G77/(D77+E77-F77))/VLOOKUP(C77,crop_efi_efe!$B$7:$F$426,5,FALSE)*eqf!$B$7*VLOOKUP("Crop Land",iyf,2,FALSE),0)</f>
        <v>0</v>
      </c>
      <c r="K77" s="25">
        <f>IFERROR(IF(D77+E77-F77&lt;=G77,0,F77*G77/(D77+E77-F77))/VLOOKUP(C77,crop_efi_efe!$B$7:$F$426,5,FALSE)*eqf!$B$7*VLOOKUP("Crop Land",iyf,2,FALSE),0)</f>
        <v>0</v>
      </c>
      <c r="L77"/>
      <c r="M77"/>
      <c r="N77"/>
      <c r="O77" s="421"/>
    </row>
    <row r="78" spans="1:15">
      <c r="A78" s="14" t="s">
        <v>4673</v>
      </c>
      <c r="B78" s="350">
        <v>2731</v>
      </c>
      <c r="C78" s="350"/>
      <c r="D78" s="515">
        <v>1055720</v>
      </c>
      <c r="E78" s="515">
        <v>320066</v>
      </c>
      <c r="F78" s="515">
        <v>311461</v>
      </c>
      <c r="G78" s="515"/>
      <c r="H78" s="25">
        <f t="shared" si="2"/>
        <v>0</v>
      </c>
      <c r="I78" s="394"/>
      <c r="J78" s="394"/>
      <c r="K78" s="394"/>
      <c r="L78" s="25">
        <f>IFERROR(IF(D78+E78-F78&lt;G78,G78,G78*D78/(D78+E78-F78))*AVERAGEIF(livestock_efi_efe!$T$7:$T$172,market_feed_supply_n!B78,livestock_efi_efe!$N$7:$N$172)*(grazing_efp!$D$12/feed_demand_n!$P$22),0)</f>
        <v>0</v>
      </c>
      <c r="M78" s="25">
        <f>IFERROR(IF(D78+E78-F78&lt;G78,0,G78*E78/(D78+E78-F78))*AVERAGEIF(livestock_efi_efe!$T$7:$T$172,market_feed_supply_n!B78,livestock_efi_efe!$N$7:$N$172),0)</f>
        <v>0</v>
      </c>
      <c r="N78" s="25">
        <f>IFERROR(IF(D78+E78-F78&lt;G78,0,G78*(F78/(D78+E78-F78)))*(L78+M78)/(G78*(D78+E78)/(D78+E78-F78)),0)</f>
        <v>0</v>
      </c>
      <c r="O78" s="89"/>
    </row>
    <row r="79" spans="1:15">
      <c r="A79" s="14" t="s">
        <v>4692</v>
      </c>
      <c r="B79" s="350">
        <v>2732</v>
      </c>
      <c r="C79" s="350"/>
      <c r="D79" s="515">
        <v>17310</v>
      </c>
      <c r="E79" s="515">
        <v>19186</v>
      </c>
      <c r="F79" s="515">
        <v>506</v>
      </c>
      <c r="G79" s="515">
        <v>1982</v>
      </c>
      <c r="H79" s="25">
        <f t="shared" si="2"/>
        <v>991</v>
      </c>
      <c r="I79" s="394"/>
      <c r="J79" s="394"/>
      <c r="K79" s="394"/>
      <c r="L79" s="25">
        <f>IFERROR(IF(D79+E79-F79&lt;G79,G79,G79*D79/(D79+E79-F79))*AVERAGEIF(livestock_efi_efe!$T$7:$T$172,market_feed_supply_n!B79,livestock_efi_efe!$N$7:$N$172)*(grazing_efp!$D$12/feed_demand_n!$P$22),0)</f>
        <v>12117.50766702156</v>
      </c>
      <c r="M79" s="25">
        <f>IFERROR(IF(D79+E79-F79&lt;G79,0,G79*E79/(D79+E79-F79))*AVERAGEIF(livestock_efi_efe!$T$7:$T$172,market_feed_supply_n!B79,livestock_efi_efe!$N$7:$N$172),0)</f>
        <v>16256.494999034572</v>
      </c>
      <c r="N79" s="25">
        <f t="shared" ref="N79:N91" si="3">IFERROR(IF(D79+E79-F79&lt;G79,0,G79*(F79/(D79+E79-F79)))*(L79+M79)/(G79*(D79+E79)/(D79+E79-F79)),0)</f>
        <v>393.3922991293403</v>
      </c>
      <c r="O79" s="89"/>
    </row>
    <row r="80" spans="1:15">
      <c r="A80" s="14" t="s">
        <v>4700</v>
      </c>
      <c r="B80" s="350">
        <v>2734</v>
      </c>
      <c r="C80" s="350"/>
      <c r="D80" s="515">
        <v>1254210</v>
      </c>
      <c r="E80" s="515">
        <v>226145</v>
      </c>
      <c r="F80" s="515">
        <v>189860</v>
      </c>
      <c r="G80" s="515"/>
      <c r="H80" s="25">
        <f t="shared" si="2"/>
        <v>0</v>
      </c>
      <c r="I80" s="394"/>
      <c r="J80" s="394"/>
      <c r="K80" s="394"/>
      <c r="L80" s="25">
        <f>IFERROR(IF(D80+E80-F80&lt;G80,G80,G80*D80/(D80+E80-F80))*AVERAGEIF(livestock_efi_efe!$T$7:$T$172,market_feed_supply_n!B80,livestock_efi_efe!$N$7:$N$172)*(grazing_efp!$D$12/feed_demand_n!$P$22),0)</f>
        <v>0</v>
      </c>
      <c r="M80" s="25">
        <f>IFERROR(IF(D80+E80-F80&lt;G80,0,G80*E80/(D80+E80-F80))*AVERAGEIF(livestock_efi_efe!$T$7:$T$172,market_feed_supply_n!B80,livestock_efi_efe!$N$7:$N$172),0)</f>
        <v>0</v>
      </c>
      <c r="N80" s="25">
        <f t="shared" si="3"/>
        <v>0</v>
      </c>
      <c r="O80" s="89"/>
    </row>
    <row r="81" spans="1:15">
      <c r="A81" s="14" t="s">
        <v>4690</v>
      </c>
      <c r="B81" s="350">
        <v>2735</v>
      </c>
      <c r="C81" s="350"/>
      <c r="D81" s="515">
        <v>31500</v>
      </c>
      <c r="E81" s="515">
        <v>1834</v>
      </c>
      <c r="F81" s="515">
        <v>18586</v>
      </c>
      <c r="G81" s="515">
        <v>13986</v>
      </c>
      <c r="H81" s="25">
        <f t="shared" si="2"/>
        <v>6993</v>
      </c>
      <c r="I81" s="394"/>
      <c r="J81" s="394"/>
      <c r="K81" s="394"/>
      <c r="L81" s="25">
        <f>IFERROR(IF(D81+E81-F81&lt;G81,G81,G81*D81/(D81+E81-F81))*AVERAGEIF(livestock_efi_efe!$T$7:$T$172,market_feed_supply_n!B81,livestock_efi_efe!$N$7:$N$172)*(grazing_efp!$D$12/feed_demand_n!$P$22),0)</f>
        <v>658460.6813278175</v>
      </c>
      <c r="M81" s="25">
        <f>IFERROR(IF(D81+E81-F81&lt;G81,0,G81*E81/(D81+E81-F81))*AVERAGEIF(livestock_efi_efe!$T$7:$T$172,market_feed_supply_n!B81,livestock_efi_efe!$N$7:$N$172),0)</f>
        <v>46402.872305626624</v>
      </c>
      <c r="N81" s="25">
        <f t="shared" si="3"/>
        <v>393009.96003573504</v>
      </c>
      <c r="O81" s="89"/>
    </row>
    <row r="82" spans="1:15">
      <c r="A82" s="14" t="s">
        <v>7008</v>
      </c>
      <c r="B82" s="350">
        <v>2736</v>
      </c>
      <c r="C82" s="350"/>
      <c r="D82" s="515">
        <v>182391</v>
      </c>
      <c r="E82" s="515">
        <v>29668</v>
      </c>
      <c r="F82" s="515">
        <v>179222</v>
      </c>
      <c r="G82" s="515">
        <v>2670</v>
      </c>
      <c r="H82" s="25">
        <f t="shared" si="2"/>
        <v>1335</v>
      </c>
      <c r="I82" s="394"/>
      <c r="J82" s="394"/>
      <c r="K82" s="394"/>
      <c r="L82" s="25">
        <f>IFERROR(IF(D82+E82-F82&lt;G82,G82,G82*D82/(D82+E82-F82))*AVERAGEIF(livestock_efi_efe!$T$7:$T$172,market_feed_supply_n!B82,livestock_efi_efe!$N$7:$N$172)*(grazing_efp!$D$12/feed_demand_n!$P$22),0)</f>
        <v>79812.013837606282</v>
      </c>
      <c r="M82" s="25">
        <f>IFERROR(IF(D82+E82-F82&lt;G82,0,G82*E82/(D82+E82-F82))*AVERAGEIF(livestock_efi_efe!$T$7:$T$172,market_feed_supply_n!B82,livestock_efi_efe!$N$7:$N$172),0)</f>
        <v>15713.733174952184</v>
      </c>
      <c r="N82" s="25">
        <f t="shared" si="3"/>
        <v>80733.736512408097</v>
      </c>
      <c r="O82" s="89"/>
    </row>
    <row r="83" spans="1:15">
      <c r="A83" s="14" t="s">
        <v>4682</v>
      </c>
      <c r="B83" s="350">
        <v>2737</v>
      </c>
      <c r="C83" s="350"/>
      <c r="D83" s="515">
        <v>749779</v>
      </c>
      <c r="E83" s="515">
        <v>122878</v>
      </c>
      <c r="F83" s="515">
        <v>350698</v>
      </c>
      <c r="G83" s="515"/>
      <c r="H83" s="25">
        <f t="shared" si="2"/>
        <v>0</v>
      </c>
      <c r="I83" s="394"/>
      <c r="J83" s="394"/>
      <c r="K83" s="394"/>
      <c r="L83" s="25">
        <f>IFERROR(IF(D83+E83-F83&lt;G83,G83,G83*D83/(D83+E83-F83))*AVERAGEIF(livestock_efi_efe!$T$7:$T$172,market_feed_supply_n!B83,livestock_efi_efe!$N$7:$N$172)*(grazing_efp!$D$12/feed_demand_n!$P$22),0)</f>
        <v>0</v>
      </c>
      <c r="M83" s="25">
        <f>IFERROR(IF(D83+E83-F83&lt;G83,0,G83*E83/(D83+E83-F83))*AVERAGEIF(livestock_efi_efe!$T$7:$T$172,market_feed_supply_n!B83,livestock_efi_efe!$N$7:$N$172),0)</f>
        <v>0</v>
      </c>
      <c r="N83" s="25">
        <f t="shared" si="3"/>
        <v>0</v>
      </c>
      <c r="O83" s="89"/>
    </row>
    <row r="84" spans="1:15">
      <c r="A84" s="14" t="s">
        <v>4674</v>
      </c>
      <c r="B84" s="350">
        <v>2740</v>
      </c>
      <c r="C84" s="350"/>
      <c r="D84" s="515">
        <v>92990</v>
      </c>
      <c r="E84" s="515">
        <v>6381</v>
      </c>
      <c r="F84" s="515">
        <v>4312</v>
      </c>
      <c r="G84" s="515"/>
      <c r="H84" s="25">
        <f t="shared" si="2"/>
        <v>0</v>
      </c>
      <c r="I84" s="394"/>
      <c r="J84" s="394"/>
      <c r="K84" s="394"/>
      <c r="L84" s="25">
        <f>IFERROR(IF(D84+E84-F84&lt;G84,G84,G84*D84/(D84+E84-F84))*AVERAGEIF(livestock_efi_efe!$T$7:$T$172,market_feed_supply_n!B84,livestock_efi_efe!$N$7:$N$172)*(grazing_efp!$D$12/feed_demand_n!$P$22),0)</f>
        <v>0</v>
      </c>
      <c r="M84" s="25">
        <f>IFERROR(IF(D84+E84-F84&lt;G84,0,G84*E84/(D84+E84-F84))*AVERAGEIF(livestock_efi_efe!$T$7:$T$172,market_feed_supply_n!B84,livestock_efi_efe!$N$7:$N$172),0)</f>
        <v>0</v>
      </c>
      <c r="N84" s="25">
        <f t="shared" si="3"/>
        <v>0</v>
      </c>
      <c r="O84" s="89"/>
    </row>
    <row r="85" spans="1:15">
      <c r="A85" t="s">
        <v>7543</v>
      </c>
      <c r="B85" s="350">
        <v>2741</v>
      </c>
      <c r="C85" s="350"/>
      <c r="D85" s="515">
        <v>407260</v>
      </c>
      <c r="E85" s="515">
        <v>25442</v>
      </c>
      <c r="F85" s="515">
        <v>11966</v>
      </c>
      <c r="G85" s="515"/>
      <c r="H85" s="25">
        <f t="shared" si="2"/>
        <v>0</v>
      </c>
      <c r="I85" s="394"/>
      <c r="J85" s="394"/>
      <c r="K85" s="394"/>
      <c r="L85" s="25">
        <f>IFERROR(IF(D85+E85-F85&lt;G85,G85,G85*D85/(D85+E85-F85))*AVERAGEIF(livestock_efi_efe!$T$7:$T$172,market_feed_supply_n!B85,livestock_efi_efe!$N$7:$N$172)*(grazing_efp!$D$12/feed_demand_n!$P$22),0)</f>
        <v>0</v>
      </c>
      <c r="M85" s="25">
        <f>IFERROR(IF(D85+E85-F85&lt;G85,0,G85*E85/(D85+E85-F85))*AVERAGEIF(livestock_efi_efe!$T$7:$T$172,market_feed_supply_n!B85,livestock_efi_efe!$N$7:$N$172),0)</f>
        <v>0</v>
      </c>
      <c r="N85" s="25">
        <f t="shared" si="3"/>
        <v>0</v>
      </c>
      <c r="O85" s="421"/>
    </row>
    <row r="86" spans="1:15">
      <c r="A86" t="s">
        <v>7541</v>
      </c>
      <c r="B86" s="350">
        <v>2742</v>
      </c>
      <c r="C86" s="350"/>
      <c r="D86" s="515">
        <v>2884700</v>
      </c>
      <c r="E86" s="515">
        <v>1168610</v>
      </c>
      <c r="F86" s="515">
        <v>390444</v>
      </c>
      <c r="G86" s="515">
        <v>690581</v>
      </c>
      <c r="H86" s="25">
        <f t="shared" si="2"/>
        <v>48340.669999999969</v>
      </c>
      <c r="I86" s="394"/>
      <c r="J86" s="394"/>
      <c r="K86" s="394"/>
      <c r="L86" s="25">
        <f>IFERROR(IF(D86+E86-F86&lt;G86,G86,G86*D86/(D86+E86-F86))*AVERAGEIF(livestock_efi_efe!$T$7:$T$172,market_feed_supply_n!B86,livestock_efi_efe!$N$7:$N$172)*(grazing_efp!$D$12/feed_demand_n!$P$22),0)</f>
        <v>25577.090877007911</v>
      </c>
      <c r="M86" s="25">
        <f>IFERROR(IF(D86+E86-F86&lt;G86,0,G86*E86/(D86+E86-F86))*AVERAGEIF(livestock_efi_efe!$T$7:$T$172,market_feed_supply_n!B86,livestock_efi_efe!$N$7:$N$172),0)</f>
        <v>12541.408953727136</v>
      </c>
      <c r="N86" s="25">
        <f t="shared" si="3"/>
        <v>3671.8483283813766</v>
      </c>
      <c r="O86" s="421"/>
    </row>
    <row r="87" spans="1:15">
      <c r="A87" s="14" t="s">
        <v>2402</v>
      </c>
      <c r="B87" s="350">
        <v>2744</v>
      </c>
      <c r="C87" s="350"/>
      <c r="D87" s="515">
        <v>473000</v>
      </c>
      <c r="E87" s="515">
        <v>43836</v>
      </c>
      <c r="F87" s="515">
        <v>11352</v>
      </c>
      <c r="G87" s="515"/>
      <c r="H87" s="25">
        <f t="shared" si="2"/>
        <v>0</v>
      </c>
      <c r="I87" s="394"/>
      <c r="J87" s="394"/>
      <c r="K87" s="394"/>
      <c r="L87" s="25">
        <f>IFERROR(IF(D87+E87-F87&lt;G87,G87,G87*D87/(D87+E87-F87))*AVERAGEIF(livestock_efi_efe!$T$7:$T$172,market_feed_supply_n!B87,livestock_efi_efe!$N$7:$N$172)*(grazing_efp!$D$12/feed_demand_n!$P$22),0)</f>
        <v>0</v>
      </c>
      <c r="M87" s="25">
        <f>IFERROR(IF(D87+E87-F87&lt;G87,0,G87*E87/(D87+E87-F87))*AVERAGEIF(livestock_efi_efe!$T$7:$T$172,market_feed_supply_n!B87,livestock_efi_efe!$N$7:$N$172),0)</f>
        <v>0</v>
      </c>
      <c r="N87" s="25">
        <f t="shared" si="3"/>
        <v>0</v>
      </c>
      <c r="O87" s="23"/>
    </row>
    <row r="88" spans="1:15">
      <c r="A88" s="14" t="s">
        <v>7009</v>
      </c>
      <c r="B88" s="350">
        <v>2848</v>
      </c>
      <c r="C88" s="350"/>
      <c r="D88" s="515">
        <v>8394000</v>
      </c>
      <c r="E88" s="515">
        <v>747156</v>
      </c>
      <c r="F88" s="515">
        <v>318385</v>
      </c>
      <c r="G88" s="515">
        <v>547773</v>
      </c>
      <c r="H88" s="25">
        <f t="shared" si="2"/>
        <v>71210.490000000005</v>
      </c>
      <c r="I88" s="394"/>
      <c r="J88" s="394"/>
      <c r="K88" s="394"/>
      <c r="L88" s="25">
        <f>IFERROR(IF(D88+E88-F88&lt;G88,G88,G88*D88/(D88+E88-F88))*AVERAGEIF(livestock_efi_efe!$T$7:$T$172,market_feed_supply_n!B88,livestock_efi_efe!$N$7:$N$172)*(grazing_efp!$D$12/feed_demand_n!$P$22),0)</f>
        <v>152912.48013584476</v>
      </c>
      <c r="M88" s="25">
        <f>IFERROR(IF(D88+E88-F88&lt;G88,0,G88*E88/(D88+E88-F88))*AVERAGEIF(livestock_efi_efe!$T$7:$T$172,market_feed_supply_n!B88,livestock_efi_efe!$N$7:$N$172),0)</f>
        <v>16474.471644631314</v>
      </c>
      <c r="N88" s="25">
        <f t="shared" si="3"/>
        <v>5899.7204120164752</v>
      </c>
      <c r="O88" s="89"/>
    </row>
    <row r="89" spans="1:15">
      <c r="A89" t="s">
        <v>7544</v>
      </c>
      <c r="B89" s="350">
        <v>2745</v>
      </c>
      <c r="C89" s="350"/>
      <c r="D89" s="515">
        <v>34685</v>
      </c>
      <c r="E89" s="515">
        <v>5495</v>
      </c>
      <c r="F89" s="515">
        <v>12287</v>
      </c>
      <c r="G89" s="515"/>
      <c r="H89" s="25">
        <f t="shared" si="2"/>
        <v>0</v>
      </c>
      <c r="I89" s="394"/>
      <c r="J89" s="394"/>
      <c r="K89" s="394"/>
      <c r="L89" s="25">
        <f>IFERROR(IF(D89+E89-F89&lt;G89,G89,G89*D89/(D89+E89-F89))*AVERAGEIF(livestock_efi_efe!$T$7:$T$172,market_feed_supply_n!B89,livestock_efi_efe!$N$7:$N$172)*(grazing_efp!$D$12/feed_demand_n!$P$22),0)</f>
        <v>0</v>
      </c>
      <c r="M89" s="25">
        <f>IFERROR(IF(D89+E89-F89&lt;G89,0,G89*E89/(D89+E89-F89))*AVERAGEIF(livestock_efi_efe!$T$7:$T$172,market_feed_supply_n!B89,livestock_efi_efe!$N$7:$N$172),0)</f>
        <v>0</v>
      </c>
      <c r="N89" s="25">
        <f t="shared" si="3"/>
        <v>0</v>
      </c>
      <c r="O89" s="421"/>
    </row>
    <row r="90" spans="1:15">
      <c r="A90" t="s">
        <v>7545</v>
      </c>
      <c r="B90" s="350">
        <v>2748</v>
      </c>
      <c r="C90" s="350"/>
      <c r="D90" s="515">
        <v>83284</v>
      </c>
      <c r="E90" s="515">
        <v>2231</v>
      </c>
      <c r="F90" s="515">
        <v>68070</v>
      </c>
      <c r="G90" s="515"/>
      <c r="H90" s="25">
        <f t="shared" si="2"/>
        <v>0</v>
      </c>
      <c r="I90" s="394"/>
      <c r="J90" s="394"/>
      <c r="K90" s="394"/>
      <c r="L90" s="25">
        <f>IFERROR(IF(D90+E90-F90&lt;G90,G90,G90*D90/(D90+E90-F90))*AVERAGEIF(livestock_efi_efe!$T$7:$T$172,market_feed_supply_n!B90,livestock_efi_efe!$N$7:$N$172)*(grazing_efp!$D$12/feed_demand_n!$P$22),0)</f>
        <v>0</v>
      </c>
      <c r="M90" s="25">
        <f>IFERROR(IF(D90+E90-F90&lt;G90,0,G90*E90/(D90+E90-F90))*AVERAGEIF(livestock_efi_efe!$T$7:$T$172,market_feed_supply_n!B90,livestock_efi_efe!$N$7:$N$172),0)</f>
        <v>0</v>
      </c>
      <c r="N90" s="25">
        <f t="shared" si="3"/>
        <v>0</v>
      </c>
      <c r="O90" s="421"/>
    </row>
    <row r="91" spans="1:15">
      <c r="A91" t="s">
        <v>7542</v>
      </c>
      <c r="B91" s="350">
        <v>2749</v>
      </c>
      <c r="C91" s="350"/>
      <c r="D91" s="515"/>
      <c r="E91" s="515">
        <v>46199</v>
      </c>
      <c r="F91" s="515">
        <v>72370</v>
      </c>
      <c r="G91" s="515">
        <v>0</v>
      </c>
      <c r="H91" s="25">
        <f t="shared" si="2"/>
        <v>0</v>
      </c>
      <c r="I91" s="394"/>
      <c r="J91" s="394"/>
      <c r="K91" s="394"/>
      <c r="L91" s="25">
        <f>IFERROR(IF(D91+E91-F91&lt;G91,G91,G91*D91/(D91+E91-F91))*AVERAGEIF(livestock_efi_efe!$T$7:$T$172,market_feed_supply_n!B91,livestock_efi_efe!$N$7:$N$172)*(grazing_efp!$D$12/feed_demand_n!$P$22),0)</f>
        <v>0</v>
      </c>
      <c r="M91" s="25">
        <f>IFERROR(IF(D91+E91-F91&lt;G91,0,G91*E91/(D91+E91-F91))*AVERAGEIF(livestock_efi_efe!$T$7:$T$172,market_feed_supply_n!B91,livestock_efi_efe!$N$7:$N$172),0)</f>
        <v>0</v>
      </c>
      <c r="N91" s="25">
        <f t="shared" si="3"/>
        <v>0</v>
      </c>
      <c r="O91" s="421"/>
    </row>
    <row r="92" spans="1:15">
      <c r="A92" s="14" t="s">
        <v>4685</v>
      </c>
      <c r="B92" s="350">
        <v>2761</v>
      </c>
      <c r="C92" s="350"/>
      <c r="D92" s="515">
        <v>178587</v>
      </c>
      <c r="E92" s="515">
        <v>143829</v>
      </c>
      <c r="F92" s="515">
        <v>143636</v>
      </c>
      <c r="G92" s="515"/>
      <c r="H92" s="25">
        <f t="shared" si="2"/>
        <v>0</v>
      </c>
      <c r="I92" s="394"/>
      <c r="J92" s="394"/>
      <c r="K92" s="394"/>
      <c r="L92"/>
      <c r="M92"/>
      <c r="N92"/>
      <c r="O92" s="23">
        <f>G92/(AVERAGEIF(fish_efp!$O$7:$O$2327,market_feed_supply_n!A92,fish_efp!$F$7:$F$2327))*eqf!B$10*VLOOKUP("Marine Fishing Grounds",iyf,2)</f>
        <v>0</v>
      </c>
    </row>
    <row r="93" spans="1:15">
      <c r="A93" s="14" t="s">
        <v>4681</v>
      </c>
      <c r="B93" s="350">
        <v>2762</v>
      </c>
      <c r="C93" s="350"/>
      <c r="D93" s="515">
        <v>169849</v>
      </c>
      <c r="E93" s="515">
        <v>138700</v>
      </c>
      <c r="F93" s="515">
        <v>139376</v>
      </c>
      <c r="G93" s="515"/>
      <c r="H93" s="25">
        <f t="shared" si="2"/>
        <v>0</v>
      </c>
      <c r="I93" s="394"/>
      <c r="J93" s="394"/>
      <c r="K93" s="394"/>
      <c r="L93"/>
      <c r="M93"/>
      <c r="N93"/>
      <c r="O93" s="23">
        <f>G93/(AVERAGEIF(fish_efp!$O$7:$O$2327,market_feed_supply_n!A93,fish_efp!$F$7:$F$2327))*eqf!B$10*VLOOKUP("Marine Fishing Grounds",iyf,2)</f>
        <v>0</v>
      </c>
    </row>
    <row r="94" spans="1:15">
      <c r="A94" s="14" t="s">
        <v>4699</v>
      </c>
      <c r="B94" s="350">
        <v>2763</v>
      </c>
      <c r="C94" s="350"/>
      <c r="D94" s="515">
        <v>184724</v>
      </c>
      <c r="E94" s="515">
        <v>349197</v>
      </c>
      <c r="F94" s="515">
        <v>146247</v>
      </c>
      <c r="G94" s="515">
        <v>228615</v>
      </c>
      <c r="H94" s="25">
        <f t="shared" si="2"/>
        <v>66298.350000000006</v>
      </c>
      <c r="I94" s="394"/>
      <c r="J94" s="394"/>
      <c r="K94" s="394"/>
      <c r="L94"/>
      <c r="M94"/>
      <c r="N94"/>
      <c r="O94" s="23">
        <f>G94/(AVERAGEIF(fish_efp!$O$7:$O$2327,market_feed_supply_n!A94,fish_efp!$F$7:$F$2327))*eqf!B$10*VLOOKUP("Marine Fishing Grounds",iyf,2)</f>
        <v>346533.16087622778</v>
      </c>
    </row>
    <row r="95" spans="1:15">
      <c r="A95" s="14" t="s">
        <v>4689</v>
      </c>
      <c r="B95" s="350">
        <v>2764</v>
      </c>
      <c r="C95" s="350"/>
      <c r="D95" s="515">
        <v>2767</v>
      </c>
      <c r="E95" s="515">
        <v>7527</v>
      </c>
      <c r="F95" s="515">
        <v>4952</v>
      </c>
      <c r="G95" s="515"/>
      <c r="H95" s="25">
        <f t="shared" si="2"/>
        <v>0</v>
      </c>
      <c r="I95" s="394"/>
      <c r="J95" s="394"/>
      <c r="K95" s="394"/>
      <c r="L95"/>
      <c r="M95"/>
      <c r="N95"/>
      <c r="O95" s="23">
        <f>G95/(AVERAGEIF(fish_efp!$O$7:$O$2327,market_feed_supply_n!A95,fish_efp!$F$7:$F$2327))*eqf!B$10*VLOOKUP("Marine Fishing Grounds",iyf,2)</f>
        <v>0</v>
      </c>
    </row>
    <row r="96" spans="1:15">
      <c r="A96" s="14" t="s">
        <v>4680</v>
      </c>
      <c r="B96" s="350">
        <v>2765</v>
      </c>
      <c r="C96" s="350"/>
      <c r="D96" s="515">
        <v>330270</v>
      </c>
      <c r="E96" s="515">
        <v>151475</v>
      </c>
      <c r="F96" s="515">
        <v>310400</v>
      </c>
      <c r="G96" s="515">
        <v>3465</v>
      </c>
      <c r="H96" s="25">
        <f t="shared" si="2"/>
        <v>935.55000000000007</v>
      </c>
      <c r="I96" s="394"/>
      <c r="J96" s="394"/>
      <c r="K96" s="394"/>
      <c r="L96"/>
      <c r="M96"/>
      <c r="N96"/>
      <c r="O96" s="23">
        <f>G96/(AVERAGEIF(fish_efp!$O$7:$O$2327,market_feed_supply_n!A96,fish_efp!$F$7:$F$2327))*eqf!B$10*VLOOKUP("Marine Fishing Grounds",iyf,2)</f>
        <v>922.7721338954558</v>
      </c>
    </row>
    <row r="97" spans="1:15">
      <c r="A97" s="14" t="s">
        <v>4675</v>
      </c>
      <c r="B97" s="350">
        <v>2766</v>
      </c>
      <c r="C97" s="350"/>
      <c r="D97" s="515">
        <v>45</v>
      </c>
      <c r="E97" s="515">
        <v>15832</v>
      </c>
      <c r="F97" s="515">
        <v>233</v>
      </c>
      <c r="G97" s="515">
        <v>13502</v>
      </c>
      <c r="H97" s="25">
        <f t="shared" si="2"/>
        <v>2970.4399999999996</v>
      </c>
      <c r="I97" s="394"/>
      <c r="J97" s="394"/>
      <c r="K97" s="394"/>
      <c r="L97"/>
      <c r="M97"/>
      <c r="N97"/>
      <c r="O97" s="23">
        <f>G97/(AVERAGEIF(fish_efp!$O$7:$O$2327,market_feed_supply_n!A97,fish_efp!$F$7:$F$2327))*eqf!B$10*VLOOKUP("Marine Fishing Grounds",iyf,2)</f>
        <v>8923.9543735369862</v>
      </c>
    </row>
    <row r="98" spans="1:15">
      <c r="A98" s="14" t="s">
        <v>4691</v>
      </c>
      <c r="B98" s="350">
        <v>2767</v>
      </c>
      <c r="C98" s="350"/>
      <c r="D98" s="515">
        <v>148668</v>
      </c>
      <c r="E98" s="515">
        <v>59653</v>
      </c>
      <c r="F98" s="515">
        <v>80374</v>
      </c>
      <c r="G98" s="515"/>
      <c r="H98" s="25">
        <f t="shared" si="2"/>
        <v>0</v>
      </c>
      <c r="I98" s="394"/>
      <c r="J98" s="394"/>
      <c r="K98" s="394"/>
      <c r="L98"/>
      <c r="M98"/>
      <c r="N98"/>
      <c r="O98" s="23">
        <f>G98/(AVERAGEIF(fish_efp!$O$7:$O$2327,market_feed_supply_n!A98,fish_efp!$F$7:$F$2327))*eqf!B$10*VLOOKUP("Marine Fishing Grounds",iyf,2)</f>
        <v>0</v>
      </c>
    </row>
    <row r="99" spans="1:15">
      <c r="A99" s="14" t="s">
        <v>4671</v>
      </c>
      <c r="B99" s="350">
        <v>2775</v>
      </c>
      <c r="C99" s="350"/>
      <c r="D99" s="515">
        <v>14842</v>
      </c>
      <c r="E99" s="515">
        <v>1948</v>
      </c>
      <c r="F99" s="515">
        <v>6131</v>
      </c>
      <c r="G99" s="515"/>
      <c r="H99" s="25">
        <f t="shared" si="2"/>
        <v>0</v>
      </c>
      <c r="I99" s="394"/>
      <c r="J99" s="394"/>
      <c r="K99" s="394"/>
      <c r="L99"/>
      <c r="M99"/>
      <c r="N99"/>
      <c r="O99" s="23">
        <f>G99/(AVERAGEIF(fish_efp!$O$7:$O$2327,market_feed_supply_n!A99,fish_efp!$F$7:$F$2327))*eqf!B$10*VLOOKUP("Marine Fishing Grounds",iyf,2)</f>
        <v>0</v>
      </c>
    </row>
    <row r="100" spans="1:15">
      <c r="A100" s="14" t="s">
        <v>4683</v>
      </c>
      <c r="B100" s="350">
        <v>2781</v>
      </c>
      <c r="C100" s="395"/>
      <c r="D100" s="515">
        <v>6120</v>
      </c>
      <c r="E100" s="515">
        <v>34016</v>
      </c>
      <c r="F100" s="515">
        <v>4985</v>
      </c>
      <c r="G100" s="515">
        <v>34950</v>
      </c>
      <c r="H100" s="25">
        <f t="shared" si="2"/>
        <v>34950</v>
      </c>
      <c r="I100" s="394"/>
      <c r="J100" s="394"/>
      <c r="K100" s="394"/>
      <c r="L100"/>
      <c r="M100"/>
      <c r="N100"/>
      <c r="O100" s="23">
        <f>G100/(VLOOKUP(A100,fish_commodity_yield_n!$D$7:$F$322,3,FALSE))*eqf!B$10*VLOOKUP("Marine Fishing Grounds",iyf,2)</f>
        <v>110225.91934385817</v>
      </c>
    </row>
    <row r="101" spans="1:15">
      <c r="A101" s="14" t="s">
        <v>4684</v>
      </c>
      <c r="B101" s="350">
        <v>2782</v>
      </c>
      <c r="C101" s="395"/>
      <c r="D101" s="515">
        <v>102</v>
      </c>
      <c r="E101" s="515">
        <v>542</v>
      </c>
      <c r="F101" s="515">
        <v>102</v>
      </c>
      <c r="G101" s="515">
        <v>542</v>
      </c>
      <c r="H101" s="25">
        <f t="shared" si="2"/>
        <v>542</v>
      </c>
      <c r="I101" s="394"/>
      <c r="J101" s="394"/>
      <c r="K101" s="394"/>
      <c r="L101"/>
      <c r="M101"/>
      <c r="N101"/>
      <c r="O101" s="23">
        <f>G101/(VLOOKUP(A101,fish_commodity_yield_n!$D$7:$F$322,3,FALSE))*eqf!B$10*VLOOKUP("Marine Fishing Grounds",iyf,2)</f>
        <v>10639.481024203724</v>
      </c>
    </row>
    <row r="102" spans="1:15">
      <c r="A102" s="14" t="s">
        <v>4467</v>
      </c>
      <c r="B102" s="350">
        <v>2855</v>
      </c>
      <c r="C102" s="395"/>
      <c r="D102" s="516">
        <v>26400</v>
      </c>
      <c r="E102" s="516">
        <v>24945</v>
      </c>
      <c r="F102" s="516">
        <v>19550</v>
      </c>
      <c r="G102" s="516">
        <v>34171</v>
      </c>
      <c r="H102" s="25">
        <f t="shared" si="2"/>
        <v>30753.9</v>
      </c>
      <c r="I102" s="394"/>
      <c r="J102" s="394"/>
      <c r="K102" s="394"/>
      <c r="L102"/>
      <c r="M102"/>
      <c r="N102"/>
      <c r="O102" s="23">
        <f>IF(D102+E102-F102&lt;=G102, G102*fish_feed_group_yield_n!C21,D102*(G102/(D102+E102-F102))*fish_feed_group_yield_n!C21+E102*(G102/(D102+E102-F102))*fish_feed_group_yield_w!C21-F102*(G102/(D102+E102-F102))*(fish_feed_group_yield_n!C21*D102+fish_feed_group_yield_w!C21*E102)/(D102+E102))</f>
        <v>185475.07365532059</v>
      </c>
    </row>
    <row r="103" spans="1:15" ht="13">
      <c r="A103" s="184" t="s">
        <v>4068</v>
      </c>
      <c r="B103" s="22"/>
      <c r="C103" s="22"/>
      <c r="D103" s="22"/>
      <c r="E103" s="22"/>
      <c r="F103" s="22"/>
      <c r="G103" s="232">
        <f t="shared" ref="G103:N103" si="4">SUM(G7:G102)</f>
        <v>31524717</v>
      </c>
      <c r="H103" s="232">
        <f t="shared" si="4"/>
        <v>26120319.120000001</v>
      </c>
      <c r="I103" s="232">
        <f t="shared" si="4"/>
        <v>36042149.034651987</v>
      </c>
      <c r="J103" s="232">
        <f t="shared" si="4"/>
        <v>845727.02158214781</v>
      </c>
      <c r="K103" s="232">
        <f t="shared" si="4"/>
        <v>13056097.923160246</v>
      </c>
      <c r="L103" s="232">
        <f t="shared" si="4"/>
        <v>928879.7738452981</v>
      </c>
      <c r="M103" s="232">
        <f t="shared" si="4"/>
        <v>107388.98107797182</v>
      </c>
      <c r="N103" s="232">
        <f t="shared" si="4"/>
        <v>483708.65758767031</v>
      </c>
      <c r="O103" s="306">
        <f>SUM(O7:O102)</f>
        <v>662720.3614070426</v>
      </c>
    </row>
  </sheetData>
  <sortState xmlns:xlrd2="http://schemas.microsoft.com/office/spreadsheetml/2017/richdata2" ref="A7:H74">
    <sortCondition ref="B7:B74"/>
  </sortState>
  <phoneticPr fontId="5" type="noConversion"/>
  <hyperlinks>
    <hyperlink ref="G2" location="crop_efp!A1" tooltip="Go to crop_trade_yield_w" display="crop_efp" xr:uid="{00000000-0004-0000-1600-000000000000}"/>
    <hyperlink ref="I2" location="livestock_intensity_w" display="livestock_intensity_w" xr:uid="{00000000-0004-0000-1600-000001000000}"/>
    <hyperlink ref="E2" location="eqf!A1" display="eqf" xr:uid="{00000000-0004-0000-1600-000002000000}"/>
    <hyperlink ref="E3" location="grazing_efp!A1" display="grazing_efp" xr:uid="{00000000-0004-0000-1600-000003000000}"/>
    <hyperlink ref="F2" location="iyf" display="iyf" xr:uid="{00000000-0004-0000-1600-000004000000}"/>
    <hyperlink ref="H2" location="fish_efp!A1" display="fish_efp" xr:uid="{00000000-0004-0000-1600-000005000000}"/>
    <hyperlink ref="J2" location="constant_crop_factor" display="constant_crop_factor" xr:uid="{00000000-0004-0000-1600-000006000000}"/>
  </hyperlinks>
  <pageMargins left="0.75" right="0.75" top="1" bottom="1" header="0.5" footer="0.5"/>
  <pageSetup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2">
    <tabColor theme="7"/>
    <pageSetUpPr autoPageBreaks="0"/>
  </sheetPr>
  <dimension ref="A1:M36"/>
  <sheetViews>
    <sheetView zoomScaleNormal="100" workbookViewId="0">
      <pane ySplit="6" topLeftCell="A7" activePane="bottomLeft" state="frozen"/>
      <selection pane="bottomLeft" activeCell="A65536" sqref="A65536"/>
    </sheetView>
  </sheetViews>
  <sheetFormatPr defaultColWidth="9.1796875" defaultRowHeight="12.75" customHeight="1"/>
  <cols>
    <col min="1" max="1" width="32.453125" style="86" customWidth="1"/>
    <col min="2" max="3" width="14.81640625" style="86" customWidth="1"/>
    <col min="4" max="8" width="19.1796875" style="36" customWidth="1"/>
    <col min="9" max="9" width="13.7265625" style="36" customWidth="1"/>
    <col min="10" max="10" width="13.1796875" style="36" customWidth="1"/>
    <col min="11" max="11" width="16.54296875" style="36" customWidth="1"/>
    <col min="12" max="13" width="21.7265625" style="36" customWidth="1"/>
    <col min="14" max="16384" width="9.1796875" style="36"/>
  </cols>
  <sheetData>
    <row r="1" spans="1:13" ht="12.75" customHeight="1">
      <c r="A1" s="36"/>
      <c r="B1" s="97"/>
      <c r="C1" s="97"/>
      <c r="D1" s="97"/>
      <c r="E1" s="97"/>
      <c r="F1" s="97"/>
      <c r="G1" s="97"/>
      <c r="H1" s="97"/>
      <c r="I1" s="97"/>
      <c r="J1" s="97"/>
      <c r="K1" s="97"/>
      <c r="L1" s="97"/>
      <c r="M1" s="97"/>
    </row>
    <row r="2" spans="1:13" ht="12.75" customHeight="1">
      <c r="A2" s="36"/>
      <c r="C2" s="37" t="s">
        <v>985</v>
      </c>
      <c r="D2" s="466" t="s">
        <v>2005</v>
      </c>
      <c r="E2" s="466" t="s">
        <v>8825</v>
      </c>
      <c r="F2" s="466" t="s">
        <v>2004</v>
      </c>
      <c r="G2" s="466" t="s">
        <v>6865</v>
      </c>
    </row>
    <row r="3" spans="1:13" ht="12.75" customHeight="1">
      <c r="A3" s="36"/>
      <c r="C3" s="37" t="s">
        <v>986</v>
      </c>
      <c r="D3" s="466" t="s">
        <v>8828</v>
      </c>
      <c r="E3" s="466"/>
      <c r="F3" s="466"/>
      <c r="G3" s="466"/>
      <c r="H3" s="466"/>
      <c r="I3" s="466"/>
    </row>
    <row r="4" spans="1:13" ht="12.75" customHeight="1">
      <c r="A4" s="36"/>
      <c r="B4" s="36"/>
      <c r="C4" s="36"/>
      <c r="K4" s="74"/>
    </row>
    <row r="5" spans="1:13" s="86" customFormat="1" ht="15">
      <c r="A5" s="975" t="s">
        <v>1923</v>
      </c>
      <c r="B5" s="976" t="s">
        <v>1907</v>
      </c>
      <c r="C5" s="976" t="s">
        <v>1906</v>
      </c>
      <c r="D5" s="976" t="s">
        <v>1925</v>
      </c>
      <c r="E5" s="976" t="s">
        <v>5396</v>
      </c>
      <c r="F5" s="976" t="s">
        <v>1005</v>
      </c>
      <c r="G5" s="976" t="s">
        <v>4669</v>
      </c>
      <c r="H5" s="976" t="s">
        <v>7011</v>
      </c>
      <c r="I5" s="976" t="s">
        <v>6022</v>
      </c>
      <c r="J5" s="976" t="s">
        <v>1771</v>
      </c>
      <c r="K5" s="976" t="s">
        <v>3841</v>
      </c>
      <c r="L5" s="976" t="s">
        <v>3840</v>
      </c>
      <c r="M5" s="977" t="s">
        <v>3842</v>
      </c>
    </row>
    <row r="6" spans="1:13" s="86" customFormat="1" ht="14.5">
      <c r="A6" s="1090" t="s">
        <v>542</v>
      </c>
      <c r="B6" s="1088" t="s">
        <v>542</v>
      </c>
      <c r="C6" s="1088" t="s">
        <v>542</v>
      </c>
      <c r="D6" s="1088" t="s">
        <v>9219</v>
      </c>
      <c r="E6" s="1088" t="s">
        <v>9219</v>
      </c>
      <c r="F6" s="1088" t="s">
        <v>9219</v>
      </c>
      <c r="G6" s="1088" t="s">
        <v>9219</v>
      </c>
      <c r="H6" s="1088" t="s">
        <v>9241</v>
      </c>
      <c r="I6" s="1093" t="s">
        <v>542</v>
      </c>
      <c r="J6" s="1093" t="s">
        <v>6918</v>
      </c>
      <c r="K6" s="1088" t="s">
        <v>720</v>
      </c>
      <c r="L6" s="1088" t="s">
        <v>720</v>
      </c>
      <c r="M6" s="1089" t="s">
        <v>720</v>
      </c>
    </row>
    <row r="7" spans="1:13" ht="12.5">
      <c r="A7" s="24" t="s">
        <v>6970</v>
      </c>
      <c r="B7" s="233">
        <v>120</v>
      </c>
      <c r="C7" s="396"/>
      <c r="D7" s="25">
        <f t="shared" ref="D7:D35" si="0">IFERROR(VLOOKUP(B7,crop_efp,3,FALSE), 0)</f>
        <v>0</v>
      </c>
      <c r="E7" s="25">
        <f t="shared" ref="E7:E16" si="1">IFERROR(VLOOKUP(B7,crop_trade,3,FALSE),0)</f>
        <v>0</v>
      </c>
      <c r="F7" s="25">
        <f t="shared" ref="F7:F16" si="2">IFERROR(VLOOKUP(B7,crop_trade,4,FALSE),0)</f>
        <v>0</v>
      </c>
      <c r="G7" s="25">
        <f t="shared" ref="G7:G35" si="3">IF(COUNTRY="World",D7,MAX(0,D7+E7-F7))</f>
        <v>0</v>
      </c>
      <c r="H7" s="25">
        <f t="shared" ref="H7:H35" si="4">G7*(1-IFERROR(VLOOKUP(B7,constant_crop_factor,2,FALSE),0))</f>
        <v>0</v>
      </c>
      <c r="I7" s="87">
        <f t="shared" ref="I7:I35" si="5">VLOOKUP("crop land",iyf,2,FALSE)</f>
        <v>1</v>
      </c>
      <c r="J7" s="87">
        <f>eqf!$B$7</f>
        <v>2.4993969139811365</v>
      </c>
      <c r="K7" s="25">
        <f>IFERROR(D7/IFERROR(VLOOKUP(B7, crop_efp, 4, FALSE),VLOOKUP(B7,crop_efi_efe!B$7:F$426,11,FALSE))*J7*I7,0)</f>
        <v>0</v>
      </c>
      <c r="L7" s="25">
        <f>IFERROR(E7/IFERROR(VLOOKUP(B7,crop_efi_efe!$B$7:$F$426,5,FALSE),(VLOOKUP(B7, crop_efp, 4, FALSE)))*J7*I7,0)</f>
        <v>0</v>
      </c>
      <c r="M7" s="23">
        <f>IFERROR(F7/IFERROR(VLOOKUP($B7,crop_efi_efe!$B$7:$F$426,5,FALSE),(VLOOKUP($B7, crop_efp, 4, FALSE)))*J7*I7,0)</f>
        <v>0</v>
      </c>
    </row>
    <row r="8" spans="1:13" ht="12.5">
      <c r="A8" s="24" t="s">
        <v>6971</v>
      </c>
      <c r="B8" s="233">
        <v>169</v>
      </c>
      <c r="C8" s="396"/>
      <c r="D8" s="25">
        <f t="shared" si="0"/>
        <v>0</v>
      </c>
      <c r="E8" s="25">
        <f t="shared" si="1"/>
        <v>42565</v>
      </c>
      <c r="F8" s="25">
        <f t="shared" si="2"/>
        <v>8689</v>
      </c>
      <c r="G8" s="25">
        <f t="shared" si="3"/>
        <v>33876</v>
      </c>
      <c r="H8" s="25">
        <f t="shared" si="4"/>
        <v>29472.12</v>
      </c>
      <c r="I8" s="87">
        <f t="shared" si="5"/>
        <v>1</v>
      </c>
      <c r="J8" s="87">
        <f>eqf!$B$7</f>
        <v>2.4993969139811365</v>
      </c>
      <c r="K8" s="25">
        <f>IFERROR(D8/IFERROR(VLOOKUP(B8,crop_efp, 4, FALSE),VLOOKUP(B8,crop_efi_efe!B$7:F$426,11,FALSE))*J8*I8,0)</f>
        <v>0</v>
      </c>
      <c r="L8" s="25">
        <f>IFERROR(E8/IFERROR(VLOOKUP(B8,crop_efi_efe!B$7:F$426,5,FALSE),(VLOOKUP(B8, crop_efp, 4, FALSE)))*J8*I8,0)</f>
        <v>29185.646537263972</v>
      </c>
      <c r="M8" s="23">
        <f>IFERROR(F8/IFERROR(VLOOKUP($B8,crop_efi_efe!$B$7:$F$426,5,FALSE),(VLOOKUP($B8, crop_efp, 4, FALSE)))*J8*I8,0)</f>
        <v>5957.8076532899486</v>
      </c>
    </row>
    <row r="9" spans="1:13" ht="12.5">
      <c r="A9" s="24" t="s">
        <v>6986</v>
      </c>
      <c r="B9" s="233">
        <v>635</v>
      </c>
      <c r="C9" s="396"/>
      <c r="D9" s="25">
        <f t="shared" si="0"/>
        <v>0</v>
      </c>
      <c r="E9" s="25">
        <f t="shared" si="1"/>
        <v>106775</v>
      </c>
      <c r="F9" s="25">
        <f t="shared" si="2"/>
        <v>30277</v>
      </c>
      <c r="G9" s="25">
        <f t="shared" si="3"/>
        <v>76498</v>
      </c>
      <c r="H9" s="25">
        <f t="shared" si="4"/>
        <v>65788.28</v>
      </c>
      <c r="I9" s="87">
        <f t="shared" si="5"/>
        <v>1</v>
      </c>
      <c r="J9" s="87">
        <f>eqf!$B$7</f>
        <v>2.4993969139811365</v>
      </c>
      <c r="K9" s="25">
        <f>IFERROR(D9/IFERROR(VLOOKUP(B9,crop_efp, 4, FALSE),VLOOKUP(B9,crop_efi_efe!B$7:F$426,11,FALSE))*J9*I9,0)</f>
        <v>0</v>
      </c>
      <c r="L9" s="25">
        <f>IFERROR(E9/IFERROR(VLOOKUP(B9,crop_efi_efe!B$7:F$426,5,FALSE),(VLOOKUP(B9, crop_efp, 4, FALSE)))*J9*I9,0)</f>
        <v>0</v>
      </c>
      <c r="M9" s="23">
        <f>IFERROR(F9/IFERROR(VLOOKUP($B9,crop_efi_efe!$B$7:$F$426,5,FALSE),(VLOOKUP($B9, crop_efp, 4, FALSE)))*J9*I9,0)</f>
        <v>0</v>
      </c>
    </row>
    <row r="10" spans="1:13" ht="12.5">
      <c r="A10" s="84" t="s">
        <v>1128</v>
      </c>
      <c r="B10" s="233">
        <v>636</v>
      </c>
      <c r="C10" s="396" t="s">
        <v>1129</v>
      </c>
      <c r="D10" s="25">
        <f t="shared" si="0"/>
        <v>0</v>
      </c>
      <c r="E10" s="25">
        <f t="shared" si="1"/>
        <v>0</v>
      </c>
      <c r="F10" s="25">
        <f t="shared" si="2"/>
        <v>0</v>
      </c>
      <c r="G10" s="25">
        <f t="shared" si="3"/>
        <v>0</v>
      </c>
      <c r="H10" s="25">
        <f t="shared" si="4"/>
        <v>0</v>
      </c>
      <c r="I10" s="87">
        <f t="shared" si="5"/>
        <v>1</v>
      </c>
      <c r="J10" s="87">
        <f>eqf!$B$7</f>
        <v>2.4993969139811365</v>
      </c>
      <c r="K10" s="25">
        <f>IFERROR(D10/IFERROR(VLOOKUP(B10,crop_efp, 4, FALSE),VLOOKUP(B10,crop_efi_efe!B$7:F$426,11,FALSE))*J10*I10,0)</f>
        <v>0</v>
      </c>
      <c r="L10" s="25">
        <f>IFERROR(E10/IFERROR(VLOOKUP(B10,crop_efi_efe!B$7:F$426,5,FALSE),(VLOOKUP(B10, crop_efp, 4, FALSE)))*J10*I10,0)</f>
        <v>0</v>
      </c>
      <c r="M10" s="23">
        <f>IFERROR(F10/IFERROR(VLOOKUP($B10,crop_efi_efe!$B$7:$F$426,5,FALSE),(VLOOKUP($B10, crop_efp, 4, FALSE)))*J10*I10,0)</f>
        <v>0</v>
      </c>
    </row>
    <row r="11" spans="1:13" ht="12.5">
      <c r="A11" s="84" t="s">
        <v>2682</v>
      </c>
      <c r="B11" s="233">
        <v>637</v>
      </c>
      <c r="C11" s="396" t="s">
        <v>3900</v>
      </c>
      <c r="D11" s="25">
        <f t="shared" si="0"/>
        <v>0</v>
      </c>
      <c r="E11" s="25">
        <f t="shared" si="1"/>
        <v>0</v>
      </c>
      <c r="F11" s="25">
        <f t="shared" si="2"/>
        <v>0</v>
      </c>
      <c r="G11" s="25">
        <f t="shared" si="3"/>
        <v>0</v>
      </c>
      <c r="H11" s="25">
        <f t="shared" si="4"/>
        <v>0</v>
      </c>
      <c r="I11" s="87">
        <f t="shared" si="5"/>
        <v>1</v>
      </c>
      <c r="J11" s="87">
        <f>eqf!$B$7</f>
        <v>2.4993969139811365</v>
      </c>
      <c r="K11" s="25">
        <f>IFERROR(D11/IFERROR(VLOOKUP(B11,crop_efp, 4, FALSE),VLOOKUP(B11,crop_efi_efe!B$7:F$426,11,FALSE))*J11*I11,0)</f>
        <v>0</v>
      </c>
      <c r="L11" s="25">
        <f>IFERROR(E11/IFERROR(VLOOKUP(B11,crop_efi_efe!B$7:F$426,5,FALSE),(VLOOKUP(B11, crop_efp, 4, FALSE)))*J11*I11,0)</f>
        <v>0</v>
      </c>
      <c r="M11" s="23">
        <f>IFERROR(F11/IFERROR(VLOOKUP($B11,crop_efi_efe!$B$7:$F$426,5,FALSE),(VLOOKUP($B11, crop_efp, 4, FALSE)))*J11*I11,0)</f>
        <v>0</v>
      </c>
    </row>
    <row r="12" spans="1:13" ht="12.5">
      <c r="A12" s="84" t="s">
        <v>5395</v>
      </c>
      <c r="B12" s="233">
        <v>638</v>
      </c>
      <c r="C12" s="396" t="s">
        <v>2174</v>
      </c>
      <c r="D12" s="25">
        <f t="shared" si="0"/>
        <v>0</v>
      </c>
      <c r="E12" s="25">
        <f t="shared" si="1"/>
        <v>0</v>
      </c>
      <c r="F12" s="25">
        <f t="shared" si="2"/>
        <v>0</v>
      </c>
      <c r="G12" s="25">
        <f t="shared" si="3"/>
        <v>0</v>
      </c>
      <c r="H12" s="25">
        <f t="shared" si="4"/>
        <v>0</v>
      </c>
      <c r="I12" s="87">
        <f t="shared" si="5"/>
        <v>1</v>
      </c>
      <c r="J12" s="87">
        <f>eqf!$B$7</f>
        <v>2.4993969139811365</v>
      </c>
      <c r="K12" s="25">
        <f>IFERROR(D12/IFERROR(VLOOKUP(B12,crop_efp, 4, FALSE),VLOOKUP(B12,crop_efi_efe!B$7:F$426,11,FALSE))*J12*I12,0)</f>
        <v>0</v>
      </c>
      <c r="L12" s="25">
        <f>IFERROR(E12/IFERROR(VLOOKUP(B12,crop_efi_efe!B$7:F$426,5,FALSE),(VLOOKUP(B12, crop_efp, 4, FALSE)))*J12*I12,0)</f>
        <v>0</v>
      </c>
      <c r="M12" s="23">
        <f>IFERROR(F12/IFERROR(VLOOKUP($B12,crop_efi_efe!$B$7:$F$426,5,FALSE),(VLOOKUP($B12, crop_efp, 4, FALSE)))*J12*I12,0)</f>
        <v>0</v>
      </c>
    </row>
    <row r="13" spans="1:13" ht="12.5">
      <c r="A13" s="84" t="s">
        <v>410</v>
      </c>
      <c r="B13" s="233">
        <v>639</v>
      </c>
      <c r="C13" s="396" t="s">
        <v>411</v>
      </c>
      <c r="D13" s="25">
        <f t="shared" si="0"/>
        <v>0</v>
      </c>
      <c r="E13" s="25">
        <f t="shared" si="1"/>
        <v>0</v>
      </c>
      <c r="F13" s="25">
        <f t="shared" si="2"/>
        <v>0</v>
      </c>
      <c r="G13" s="25">
        <f t="shared" si="3"/>
        <v>0</v>
      </c>
      <c r="H13" s="25">
        <f t="shared" si="4"/>
        <v>0</v>
      </c>
      <c r="I13" s="87">
        <f t="shared" si="5"/>
        <v>1</v>
      </c>
      <c r="J13" s="87">
        <f>eqf!$B$7</f>
        <v>2.4993969139811365</v>
      </c>
      <c r="K13" s="25">
        <f>IFERROR(D13/IFERROR(VLOOKUP(B13, crop_efp, 4, FALSE),VLOOKUP(B13,crop_efi_efe!B$7:F$426,11,FALSE))*J13*I13,0)</f>
        <v>0</v>
      </c>
      <c r="L13" s="25">
        <f>IFERROR(E13/IFERROR(VLOOKUP(B13,crop_efi_efe!B$7:F$426,5,FALSE),(VLOOKUP(B13, crop_efp, 4, FALSE)))*J13*I13,0)</f>
        <v>0</v>
      </c>
      <c r="M13" s="23">
        <f>IFERROR(F13/IFERROR(VLOOKUP($B13,crop_efi_efe!$B$7:$F$426,5,FALSE),(VLOOKUP($B13, crop_efp, 4, FALSE)))*J13*I13,0)</f>
        <v>0</v>
      </c>
    </row>
    <row r="14" spans="1:13" ht="12.5">
      <c r="A14" s="84" t="s">
        <v>2514</v>
      </c>
      <c r="B14" s="233">
        <v>640</v>
      </c>
      <c r="C14" s="396" t="s">
        <v>2515</v>
      </c>
      <c r="D14" s="25">
        <f t="shared" si="0"/>
        <v>0</v>
      </c>
      <c r="E14" s="25">
        <f t="shared" si="1"/>
        <v>0</v>
      </c>
      <c r="F14" s="25">
        <f t="shared" si="2"/>
        <v>0</v>
      </c>
      <c r="G14" s="25">
        <f t="shared" si="3"/>
        <v>0</v>
      </c>
      <c r="H14" s="25">
        <f t="shared" si="4"/>
        <v>0</v>
      </c>
      <c r="I14" s="87">
        <f t="shared" si="5"/>
        <v>1</v>
      </c>
      <c r="J14" s="87">
        <f>eqf!$B$7</f>
        <v>2.4993969139811365</v>
      </c>
      <c r="K14" s="25">
        <f>IFERROR(D14/IFERROR(VLOOKUP(B14,crop_efp, 4, FALSE),VLOOKUP(B14,crop_efi_efe!B$7:F$426,11,FALSE))*J14*I14,0)</f>
        <v>0</v>
      </c>
      <c r="L14" s="25">
        <f>IFERROR(E14/IFERROR(VLOOKUP(B14,crop_efi_efe!B$7:F$426,5,FALSE),(VLOOKUP(B14, crop_efp, 4, FALSE)))*J14*I14,0)</f>
        <v>0</v>
      </c>
      <c r="M14" s="23">
        <f>IFERROR(F14/IFERROR(VLOOKUP($B14,crop_efi_efe!$B$7:$F$426,5,FALSE),(VLOOKUP($B14, crop_efp, 4, FALSE)))*J14*I14,0)</f>
        <v>0</v>
      </c>
    </row>
    <row r="15" spans="1:13" ht="12.5">
      <c r="A15" s="84" t="s">
        <v>2308</v>
      </c>
      <c r="B15" s="233">
        <v>641</v>
      </c>
      <c r="C15" s="396" t="s">
        <v>2648</v>
      </c>
      <c r="D15" s="25">
        <f t="shared" si="0"/>
        <v>0</v>
      </c>
      <c r="E15" s="25">
        <f t="shared" si="1"/>
        <v>0</v>
      </c>
      <c r="F15" s="25">
        <f t="shared" si="2"/>
        <v>0</v>
      </c>
      <c r="G15" s="25">
        <f t="shared" si="3"/>
        <v>0</v>
      </c>
      <c r="H15" s="25">
        <f t="shared" si="4"/>
        <v>0</v>
      </c>
      <c r="I15" s="87">
        <f t="shared" si="5"/>
        <v>1</v>
      </c>
      <c r="J15" s="87">
        <f>eqf!$B$7</f>
        <v>2.4993969139811365</v>
      </c>
      <c r="K15" s="25">
        <f>IFERROR(D15/IFERROR(VLOOKUP(B15,crop_efp, 4, FALSE),VLOOKUP(B15,crop_efi_efe!B$7:F$426,11,FALSE))*J15*I15,0)</f>
        <v>0</v>
      </c>
      <c r="L15" s="25">
        <f>IFERROR(E15/IFERROR(VLOOKUP(B15,crop_efi_efe!B$7:F$426,5,FALSE),(VLOOKUP(B15, crop_efp, 4, FALSE)))*J15*I15,0)</f>
        <v>0</v>
      </c>
      <c r="M15" s="23">
        <f>IFERROR(F15/IFERROR(VLOOKUP($B15,crop_efi_efe!$B$7:$F$426,5,FALSE),(VLOOKUP($B15, crop_efp, 4, FALSE)))*J15*I15,0)</f>
        <v>0</v>
      </c>
    </row>
    <row r="16" spans="1:13" ht="12.5">
      <c r="A16" t="s">
        <v>6883</v>
      </c>
      <c r="B16">
        <v>642</v>
      </c>
      <c r="C16" s="396"/>
      <c r="D16" s="25">
        <f t="shared" si="0"/>
        <v>0</v>
      </c>
      <c r="E16" s="25">
        <f t="shared" si="1"/>
        <v>0</v>
      </c>
      <c r="F16" s="25">
        <f t="shared" si="2"/>
        <v>0</v>
      </c>
      <c r="G16" s="25">
        <f t="shared" si="3"/>
        <v>0</v>
      </c>
      <c r="H16" s="25">
        <f t="shared" si="4"/>
        <v>0</v>
      </c>
      <c r="I16" s="87">
        <f t="shared" si="5"/>
        <v>1</v>
      </c>
      <c r="J16" s="87">
        <f>eqf!$B$7</f>
        <v>2.4993969139811365</v>
      </c>
      <c r="K16" s="25">
        <f>IFERROR(D16/IFERROR(VLOOKUP(B16,crop_efp, 4, FALSE),VLOOKUP(B16,crop_efi_efe!B$7:F$426,11,FALSE))*J16*I16,0)</f>
        <v>0</v>
      </c>
      <c r="L16" s="25">
        <f>IFERROR(E16/IFERROR(VLOOKUP(B16,crop_efi_efe!B$7:F$426,5,FALSE),(VLOOKUP(B16, crop_efp, 4, FALSE)))*J16*I16,0)</f>
        <v>0</v>
      </c>
      <c r="M16" s="23">
        <f>IFERROR(F16/IFERROR(VLOOKUP($B16,crop_efi_efe!$B$7:$F$426,5,FALSE),(VLOOKUP($B16, crop_efp, 4, FALSE)))*J16*I16,0)</f>
        <v>0</v>
      </c>
    </row>
    <row r="17" spans="1:13" ht="12.5">
      <c r="A17" s="84" t="s">
        <v>3735</v>
      </c>
      <c r="B17" s="233">
        <v>643</v>
      </c>
      <c r="C17" s="396" t="s">
        <v>3736</v>
      </c>
      <c r="D17" s="25">
        <f t="shared" si="0"/>
        <v>0</v>
      </c>
      <c r="E17" s="25">
        <f t="shared" ref="E17:E35" si="6">IFERROR(VLOOKUP(B17,crop_trade,3,FALSE),0)</f>
        <v>0</v>
      </c>
      <c r="F17" s="25">
        <f t="shared" ref="F17:F35" si="7">IFERROR(VLOOKUP(B17,crop_trade,4,FALSE),0)</f>
        <v>0</v>
      </c>
      <c r="G17" s="25">
        <f t="shared" si="3"/>
        <v>0</v>
      </c>
      <c r="H17" s="25">
        <f t="shared" si="4"/>
        <v>0</v>
      </c>
      <c r="I17" s="87">
        <f t="shared" si="5"/>
        <v>1</v>
      </c>
      <c r="J17" s="87">
        <f>eqf!$B$7</f>
        <v>2.4993969139811365</v>
      </c>
      <c r="K17" s="25">
        <f>IFERROR(D17/IFERROR(VLOOKUP(B17,crop_efp, 4, FALSE),VLOOKUP(B17,crop_efi_efe!B$7:F$426,11,FALSE))*J17*I17,0)</f>
        <v>0</v>
      </c>
      <c r="L17" s="25">
        <f>IFERROR(E17/IFERROR(VLOOKUP(B17,crop_efi_efe!B$7:F$426,5,FALSE),(VLOOKUP(B17, crop_efp, 4, FALSE)))*J17*I17,0)</f>
        <v>0</v>
      </c>
      <c r="M17" s="23">
        <f>IFERROR(F17/IFERROR(VLOOKUP($B17,crop_efi_efe!$B$7:$F$426,5,FALSE),(VLOOKUP($B17, crop_efp, 4, FALSE)))*J17*I17,0)</f>
        <v>0</v>
      </c>
    </row>
    <row r="18" spans="1:13" ht="12.5">
      <c r="A18" s="84" t="s">
        <v>6870</v>
      </c>
      <c r="B18" s="233">
        <v>644</v>
      </c>
      <c r="C18" s="396"/>
      <c r="D18" s="25">
        <f t="shared" si="0"/>
        <v>0</v>
      </c>
      <c r="E18" s="25">
        <f t="shared" si="6"/>
        <v>0</v>
      </c>
      <c r="F18" s="25">
        <f t="shared" si="7"/>
        <v>0</v>
      </c>
      <c r="G18" s="25">
        <f t="shared" si="3"/>
        <v>0</v>
      </c>
      <c r="H18" s="25">
        <f t="shared" si="4"/>
        <v>0</v>
      </c>
      <c r="I18" s="87">
        <f t="shared" si="5"/>
        <v>1</v>
      </c>
      <c r="J18" s="87">
        <f>eqf!$B$7</f>
        <v>2.4993969139811365</v>
      </c>
      <c r="K18" s="25">
        <f>IFERROR(D18/IFERROR(VLOOKUP(B18,crop_efp, 4, FALSE),VLOOKUP(B18,crop_efi_efe!B$7:F$426,11,FALSE))*J18*I18,0)</f>
        <v>0</v>
      </c>
      <c r="L18" s="25">
        <f>IFERROR(E18/IFERROR(VLOOKUP(B18,crop_efi_efe!B$7:F$426,5,FALSE),(VLOOKUP(B18, crop_efp, 4, FALSE)))*J18*I18,0)</f>
        <v>0</v>
      </c>
      <c r="M18" s="23">
        <f>IFERROR(F18/IFERROR(VLOOKUP($B18,crop_efi_efe!$B$7:$F$426,5,FALSE),(VLOOKUP($B18, crop_efp, 4, FALSE)))*J18*I18,0)</f>
        <v>0</v>
      </c>
    </row>
    <row r="19" spans="1:13" ht="12.5">
      <c r="A19" s="84" t="s">
        <v>7562</v>
      </c>
      <c r="B19" s="233">
        <v>645</v>
      </c>
      <c r="C19" s="396"/>
      <c r="D19" s="25">
        <f t="shared" si="0"/>
        <v>0</v>
      </c>
      <c r="E19" s="25">
        <f t="shared" si="6"/>
        <v>0</v>
      </c>
      <c r="F19" s="25">
        <f t="shared" si="7"/>
        <v>0</v>
      </c>
      <c r="G19" s="25">
        <f t="shared" si="3"/>
        <v>0</v>
      </c>
      <c r="H19" s="25">
        <f t="shared" si="4"/>
        <v>0</v>
      </c>
      <c r="I19" s="87">
        <f t="shared" si="5"/>
        <v>1</v>
      </c>
      <c r="J19" s="87">
        <f>eqf!$B$7</f>
        <v>2.4993969139811365</v>
      </c>
      <c r="K19" s="25">
        <f>IFERROR(D19/IFERROR(VLOOKUP(B19,crop_efp, 4, FALSE),VLOOKUP(B19,crop_efi_efe!B$7:F$426,11,FALSE))*J19*I19,0)</f>
        <v>0</v>
      </c>
      <c r="L19" s="25">
        <f>IFERROR(E19/IFERROR(VLOOKUP(B19,crop_efi_efe!B$7:F$426,5,FALSE),(VLOOKUP(B19, crop_efp, 4, FALSE)))*J19*I19,0)</f>
        <v>0</v>
      </c>
      <c r="M19" s="23">
        <f>IFERROR(F19/IFERROR(VLOOKUP($B19,crop_efi_efe!$B$7:$F$426,5,FALSE),(VLOOKUP($B19, crop_efp, 4, FALSE)))*J19*I19,0)</f>
        <v>0</v>
      </c>
    </row>
    <row r="20" spans="1:13" ht="12.5">
      <c r="A20" s="84" t="s">
        <v>6881</v>
      </c>
      <c r="B20" s="233">
        <v>646</v>
      </c>
      <c r="C20" s="396"/>
      <c r="D20" s="25">
        <f t="shared" si="0"/>
        <v>0</v>
      </c>
      <c r="E20" s="25">
        <f t="shared" si="6"/>
        <v>0</v>
      </c>
      <c r="F20" s="25">
        <f t="shared" si="7"/>
        <v>0</v>
      </c>
      <c r="G20" s="25">
        <f t="shared" si="3"/>
        <v>0</v>
      </c>
      <c r="H20" s="25">
        <f t="shared" si="4"/>
        <v>0</v>
      </c>
      <c r="I20" s="87">
        <f t="shared" si="5"/>
        <v>1</v>
      </c>
      <c r="J20" s="87">
        <f>eqf!$B$7</f>
        <v>2.4993969139811365</v>
      </c>
      <c r="K20" s="25">
        <f>IFERROR(D20/IFERROR(VLOOKUP(B20,crop_efp, 4, FALSE),VLOOKUP(B20,crop_efi_efe!B$7:F$426,11,FALSE))*J20*I20,0)</f>
        <v>0</v>
      </c>
      <c r="L20" s="25">
        <f>IFERROR(E20/IFERROR(VLOOKUP(B20,crop_efi_efe!B$7:F$426,5,FALSE),(VLOOKUP(B20, crop_efp, 4, FALSE)))*J20*I20,0)</f>
        <v>0</v>
      </c>
      <c r="M20" s="23">
        <f>IFERROR(F20/IFERROR(VLOOKUP($B20,crop_efi_efe!$B$7:$F$426,5,FALSE),(VLOOKUP($B20, crop_efp, 4, FALSE)))*J20*I20,0)</f>
        <v>0</v>
      </c>
    </row>
    <row r="21" spans="1:13" ht="12.5">
      <c r="A21" s="84" t="s">
        <v>6869</v>
      </c>
      <c r="B21" s="233">
        <v>647</v>
      </c>
      <c r="C21" s="396"/>
      <c r="D21" s="25">
        <f t="shared" si="0"/>
        <v>0</v>
      </c>
      <c r="E21" s="25">
        <f t="shared" si="6"/>
        <v>0</v>
      </c>
      <c r="F21" s="25">
        <f t="shared" si="7"/>
        <v>0</v>
      </c>
      <c r="G21" s="25">
        <f t="shared" si="3"/>
        <v>0</v>
      </c>
      <c r="H21" s="25">
        <f t="shared" si="4"/>
        <v>0</v>
      </c>
      <c r="I21" s="87">
        <f t="shared" si="5"/>
        <v>1</v>
      </c>
      <c r="J21" s="87">
        <f>eqf!$B$7</f>
        <v>2.4993969139811365</v>
      </c>
      <c r="K21" s="25">
        <f>IFERROR(D21/IFERROR(VLOOKUP(B21,crop_efp, 4, FALSE),VLOOKUP(B21,crop_efi_efe!B$7:F$426,11,FALSE))*J21*I21,0)</f>
        <v>0</v>
      </c>
      <c r="L21" s="25">
        <f>IFERROR(E21/IFERROR(VLOOKUP(B21,crop_efi_efe!B$7:F$426,5,FALSE),(VLOOKUP(B21, crop_efp, 4, FALSE)))*J21*I21,0)</f>
        <v>0</v>
      </c>
      <c r="M21" s="23">
        <f>IFERROR(F21/IFERROR(VLOOKUP($B21,crop_efi_efe!$B$7:$F$426,5,FALSE),(VLOOKUP($B21, crop_efp, 4, FALSE)))*J21*I21,0)</f>
        <v>0</v>
      </c>
    </row>
    <row r="22" spans="1:13" ht="12.5">
      <c r="A22" s="84" t="s">
        <v>6871</v>
      </c>
      <c r="B22" s="233">
        <v>648</v>
      </c>
      <c r="C22" s="396"/>
      <c r="D22" s="25">
        <f t="shared" si="0"/>
        <v>0</v>
      </c>
      <c r="E22" s="25">
        <f t="shared" si="6"/>
        <v>0</v>
      </c>
      <c r="F22" s="25">
        <f t="shared" si="7"/>
        <v>0</v>
      </c>
      <c r="G22" s="25">
        <f t="shared" si="3"/>
        <v>0</v>
      </c>
      <c r="H22" s="25">
        <f t="shared" si="4"/>
        <v>0</v>
      </c>
      <c r="I22" s="87">
        <f t="shared" si="5"/>
        <v>1</v>
      </c>
      <c r="J22" s="87">
        <f>eqf!$B$7</f>
        <v>2.4993969139811365</v>
      </c>
      <c r="K22" s="25">
        <f>IFERROR(D22/IFERROR(VLOOKUP(B22,crop_efp, 4, FALSE),VLOOKUP(B22,crop_efi_efe!B$7:F$426,11,FALSE))*J22*I22,0)</f>
        <v>0</v>
      </c>
      <c r="L22" s="25">
        <f>IFERROR(E22/IFERROR(VLOOKUP(B22,crop_efi_efe!B$7:F$426,5,FALSE),(VLOOKUP(B22, crop_efp, 4, FALSE)))*J22*I22,0)</f>
        <v>0</v>
      </c>
      <c r="M22" s="23">
        <f>IFERROR(F22/IFERROR(VLOOKUP($B22,crop_efi_efe!$B$7:$F$426,5,FALSE),(VLOOKUP($B22, crop_efp, 4, FALSE)))*J22*I22,0)</f>
        <v>0</v>
      </c>
    </row>
    <row r="23" spans="1:13" ht="12.5">
      <c r="A23" s="84" t="s">
        <v>6879</v>
      </c>
      <c r="B23" s="233">
        <v>649</v>
      </c>
      <c r="C23" s="396"/>
      <c r="D23" s="25">
        <f t="shared" si="0"/>
        <v>0</v>
      </c>
      <c r="E23" s="25">
        <f t="shared" si="6"/>
        <v>0</v>
      </c>
      <c r="F23" s="25">
        <f t="shared" si="7"/>
        <v>0</v>
      </c>
      <c r="G23" s="25">
        <f t="shared" si="3"/>
        <v>0</v>
      </c>
      <c r="H23" s="25">
        <f t="shared" si="4"/>
        <v>0</v>
      </c>
      <c r="I23" s="87">
        <f t="shared" si="5"/>
        <v>1</v>
      </c>
      <c r="J23" s="87">
        <f>eqf!$B$7</f>
        <v>2.4993969139811365</v>
      </c>
      <c r="K23" s="25">
        <f>IFERROR(D23/IFERROR(VLOOKUP(B23,crop_efp, 4, FALSE),VLOOKUP(B23,crop_efi_efe!B$7:F$426,11,FALSE))*J23*I23,0)</f>
        <v>0</v>
      </c>
      <c r="L23" s="25">
        <f>IFERROR(E23/IFERROR(VLOOKUP(B23,crop_efi_efe!B$7:F$426,5,FALSE),(VLOOKUP(B23, crop_efp, 4, FALSE)))*J23*I23,0)</f>
        <v>0</v>
      </c>
      <c r="M23" s="23">
        <f>IFERROR(F23/IFERROR(VLOOKUP($B23,crop_efi_efe!$B$7:$F$426,5,FALSE),(VLOOKUP($B23, crop_efp, 4, FALSE)))*J23*I23,0)</f>
        <v>0</v>
      </c>
    </row>
    <row r="24" spans="1:13" ht="12.5">
      <c r="A24" s="84" t="s">
        <v>4670</v>
      </c>
      <c r="B24" s="233">
        <v>651</v>
      </c>
      <c r="C24" s="396" t="s">
        <v>814</v>
      </c>
      <c r="D24" s="25">
        <f t="shared" si="0"/>
        <v>0</v>
      </c>
      <c r="E24" s="25">
        <f t="shared" si="6"/>
        <v>82817</v>
      </c>
      <c r="F24" s="25">
        <f t="shared" si="7"/>
        <v>8344</v>
      </c>
      <c r="G24" s="25">
        <f t="shared" si="3"/>
        <v>74473</v>
      </c>
      <c r="H24" s="25">
        <f t="shared" si="4"/>
        <v>14894.599999999997</v>
      </c>
      <c r="I24" s="87">
        <f t="shared" si="5"/>
        <v>1</v>
      </c>
      <c r="J24" s="87">
        <f>eqf!$B$7</f>
        <v>2.4993969139811365</v>
      </c>
      <c r="K24" s="25">
        <f>IFERROR(D24/IFERROR(VLOOKUP(B24,crop_efp, 4, FALSE),VLOOKUP(B24,crop_efi_efe!B$7:F$426,11,FALSE))*J24*I24,0)</f>
        <v>0</v>
      </c>
      <c r="L24" s="25">
        <f>IFERROR(E24/IFERROR(VLOOKUP(B24,crop_efi_efe!B$7:F$426,5,FALSE),(VLOOKUP(B24, crop_efp, 4, FALSE)))*J24*I24,0)</f>
        <v>0</v>
      </c>
      <c r="M24" s="23">
        <f>IFERROR(F24/IFERROR(VLOOKUP($B24,crop_efi_efe!$B$7:$F$426,5,FALSE),(VLOOKUP($B24, crop_efp, 4, FALSE)))*J24*I24,0)</f>
        <v>0</v>
      </c>
    </row>
    <row r="25" spans="1:13" ht="12.5">
      <c r="A25" s="84" t="s">
        <v>6988</v>
      </c>
      <c r="B25" s="233">
        <v>652</v>
      </c>
      <c r="C25" s="396"/>
      <c r="D25" s="25">
        <f t="shared" si="0"/>
        <v>0</v>
      </c>
      <c r="E25" s="25">
        <f t="shared" si="6"/>
        <v>4913</v>
      </c>
      <c r="F25" s="25">
        <f t="shared" si="7"/>
        <v>39811</v>
      </c>
      <c r="G25" s="25">
        <f t="shared" si="3"/>
        <v>0</v>
      </c>
      <c r="H25" s="25">
        <f t="shared" si="4"/>
        <v>0</v>
      </c>
      <c r="I25" s="87">
        <f t="shared" si="5"/>
        <v>1</v>
      </c>
      <c r="J25" s="87">
        <f>eqf!$B$7</f>
        <v>2.4993969139811365</v>
      </c>
      <c r="K25" s="25">
        <f>IFERROR(D25/IFERROR(VLOOKUP(B25,crop_efp, 4, FALSE),VLOOKUP(B25,crop_efi_efe!B$7:F$426,11,FALSE))*J25*I25,0)</f>
        <v>0</v>
      </c>
      <c r="L25" s="25">
        <f>IFERROR(E25/IFERROR(VLOOKUP(B25,crop_efi_efe!B$7:F$426,5,FALSE),(VLOOKUP(B25, crop_efp, 4, FALSE)))*J25*I25,0)</f>
        <v>0</v>
      </c>
      <c r="M25" s="23">
        <f>IFERROR(F25/IFERROR(VLOOKUP($B25,crop_efi_efe!$B$7:$F$426,5,FALSE),(VLOOKUP($B25, crop_efp, 4, FALSE)))*J25*I25,0)</f>
        <v>0</v>
      </c>
    </row>
    <row r="26" spans="1:13" ht="12.5">
      <c r="A26" s="84" t="s">
        <v>6989</v>
      </c>
      <c r="B26" s="233">
        <v>653</v>
      </c>
      <c r="C26" s="396"/>
      <c r="D26" s="25">
        <f t="shared" si="0"/>
        <v>0</v>
      </c>
      <c r="E26" s="25">
        <f t="shared" si="6"/>
        <v>7022</v>
      </c>
      <c r="F26" s="25">
        <f t="shared" si="7"/>
        <v>120.87599945068359</v>
      </c>
      <c r="G26" s="25">
        <f t="shared" si="3"/>
        <v>6901.1240005493164</v>
      </c>
      <c r="H26" s="25">
        <f t="shared" si="4"/>
        <v>5175.8430004119873</v>
      </c>
      <c r="I26" s="87">
        <f t="shared" si="5"/>
        <v>1</v>
      </c>
      <c r="J26" s="87">
        <f>eqf!$B$7</f>
        <v>2.4993969139811365</v>
      </c>
      <c r="K26" s="25">
        <f>IFERROR(D26/IFERROR(VLOOKUP(B26,crop_efp, 4, FALSE),VLOOKUP(B26,crop_efi_efe!B$7:F$426,11,FALSE))*J26*I26,0)</f>
        <v>0</v>
      </c>
      <c r="L26" s="25">
        <f>IFERROR(E26/IFERROR(VLOOKUP(B26,crop_efi_efe!B$7:F$426,5,FALSE),(VLOOKUP(B26, crop_efp, 4, FALSE)))*J26*I26,0)</f>
        <v>0</v>
      </c>
      <c r="M26" s="23">
        <f>IFERROR(F26/IFERROR(VLOOKUP($B26,crop_efi_efe!$B$7:$F$426,5,FALSE),(VLOOKUP($B26, crop_efp, 4, FALSE)))*J26*I26,0)</f>
        <v>0</v>
      </c>
    </row>
    <row r="27" spans="1:13" ht="12.5">
      <c r="A27" t="s">
        <v>6990</v>
      </c>
      <c r="B27" s="233">
        <v>654</v>
      </c>
      <c r="C27" s="396"/>
      <c r="D27" s="25">
        <f t="shared" si="0"/>
        <v>0</v>
      </c>
      <c r="E27" s="25">
        <f t="shared" si="6"/>
        <v>660154</v>
      </c>
      <c r="F27" s="25">
        <f t="shared" si="7"/>
        <v>437866</v>
      </c>
      <c r="G27" s="25">
        <f t="shared" si="3"/>
        <v>222288</v>
      </c>
      <c r="H27" s="25">
        <f t="shared" si="4"/>
        <v>88915.200000000012</v>
      </c>
      <c r="I27" s="87">
        <f t="shared" si="5"/>
        <v>1</v>
      </c>
      <c r="J27" s="87">
        <f>eqf!$B$7</f>
        <v>2.4993969139811365</v>
      </c>
      <c r="K27" s="25">
        <f>IFERROR(D27/IFERROR(VLOOKUP(B27,crop_efp, 4, FALSE),VLOOKUP(B27,crop_efi_efe!B$7:F$426,11,FALSE))*J27*I27,0)</f>
        <v>0</v>
      </c>
      <c r="L27" s="25">
        <f>IFERROR(E27/IFERROR(VLOOKUP(B27,crop_efi_efe!B$7:F$426,5,FALSE),(VLOOKUP(B27, crop_efp, 4, FALSE)))*J27*I27,0)</f>
        <v>0</v>
      </c>
      <c r="M27" s="23">
        <f>IFERROR(F27/IFERROR(VLOOKUP($B27,crop_efi_efe!$B$7:$F$426,5,FALSE),(VLOOKUP($B27, crop_efp, 4, FALSE)))*J27*I27,0)</f>
        <v>0</v>
      </c>
    </row>
    <row r="28" spans="1:13" ht="12.5">
      <c r="A28" s="84" t="s">
        <v>6882</v>
      </c>
      <c r="B28" s="233">
        <v>655</v>
      </c>
      <c r="C28" s="396"/>
      <c r="D28" s="25">
        <f t="shared" si="0"/>
        <v>0</v>
      </c>
      <c r="E28" s="25">
        <f t="shared" si="6"/>
        <v>0</v>
      </c>
      <c r="F28" s="25">
        <f t="shared" si="7"/>
        <v>0</v>
      </c>
      <c r="G28" s="25">
        <f t="shared" si="3"/>
        <v>0</v>
      </c>
      <c r="H28" s="25">
        <f t="shared" si="4"/>
        <v>0</v>
      </c>
      <c r="I28" s="87">
        <f t="shared" si="5"/>
        <v>1</v>
      </c>
      <c r="J28" s="87">
        <f>eqf!$B$7</f>
        <v>2.4993969139811365</v>
      </c>
      <c r="K28" s="25">
        <f>IFERROR(D28/IFERROR(VLOOKUP(B28,crop_efp, 4, FALSE),VLOOKUP(B28,crop_efi_efe!B$7:F$426,11,FALSE))*J28*I28,0)</f>
        <v>0</v>
      </c>
      <c r="L28" s="25">
        <f>IFERROR(E28/IFERROR(VLOOKUP(B28,crop_efi_efe!B$7:F$426,5,FALSE),(VLOOKUP(B28, crop_efp, 4, FALSE)))*J28*I28,0)</f>
        <v>0</v>
      </c>
      <c r="M28" s="23">
        <f>IFERROR(F28/IFERROR(VLOOKUP($B28,crop_efi_efe!$B$7:$F$426,5,FALSE),(VLOOKUP($B28, crop_efp, 4, FALSE)))*J28*I28,0)</f>
        <v>0</v>
      </c>
    </row>
    <row r="29" spans="1:13" ht="12.5">
      <c r="A29" t="s">
        <v>6991</v>
      </c>
      <c r="B29" s="233">
        <v>845</v>
      </c>
      <c r="C29" s="396"/>
      <c r="D29" s="25">
        <f t="shared" si="0"/>
        <v>0</v>
      </c>
      <c r="E29" s="25">
        <f t="shared" si="6"/>
        <v>296115</v>
      </c>
      <c r="F29" s="25">
        <f t="shared" si="7"/>
        <v>122044</v>
      </c>
      <c r="G29" s="25">
        <f t="shared" si="3"/>
        <v>174071</v>
      </c>
      <c r="H29" s="25">
        <f t="shared" si="4"/>
        <v>156663.9</v>
      </c>
      <c r="I29" s="87">
        <f t="shared" si="5"/>
        <v>1</v>
      </c>
      <c r="J29" s="87">
        <f>eqf!$B$7</f>
        <v>2.4993969139811365</v>
      </c>
      <c r="K29" s="25">
        <f>IFERROR(D29/IFERROR(VLOOKUP(B29,crop_efp, 4, FALSE),VLOOKUP(B29,crop_efi_efe!B$7:F$426,11,FALSE))*J29*I29,0)</f>
        <v>0</v>
      </c>
      <c r="L29" s="25">
        <f>IFERROR(E29/IFERROR(VLOOKUP(B29,crop_efi_efe!B$7:F$426,5,FALSE),(VLOOKUP(B29, crop_efp, 4, FALSE)))*J29*I29,0)</f>
        <v>0</v>
      </c>
      <c r="M29" s="23">
        <f>IFERROR(F29/IFERROR(VLOOKUP($B29,crop_efi_efe!$B$7:$F$426,5,FALSE),(VLOOKUP($B29, crop_efp, 4, FALSE)))*J29*I29,0)</f>
        <v>0</v>
      </c>
    </row>
    <row r="30" spans="1:13" ht="12.5">
      <c r="A30" t="s">
        <v>6992</v>
      </c>
      <c r="B30" s="233">
        <v>846</v>
      </c>
      <c r="C30" s="396"/>
      <c r="D30" s="25">
        <f t="shared" si="0"/>
        <v>0</v>
      </c>
      <c r="E30" s="25">
        <f t="shared" si="6"/>
        <v>92183</v>
      </c>
      <c r="F30" s="25">
        <f t="shared" si="7"/>
        <v>89663</v>
      </c>
      <c r="G30" s="25">
        <f t="shared" si="3"/>
        <v>2520</v>
      </c>
      <c r="H30" s="25">
        <f t="shared" si="4"/>
        <v>2268</v>
      </c>
      <c r="I30" s="87">
        <f t="shared" si="5"/>
        <v>1</v>
      </c>
      <c r="J30" s="87">
        <f>eqf!$B$7</f>
        <v>2.4993969139811365</v>
      </c>
      <c r="K30" s="25">
        <f>IFERROR(D30/IFERROR(VLOOKUP(B30,crop_efp, 4, FALSE),VLOOKUP(B30,crop_efi_efe!B$7:F$426,11,FALSE))*J30*I30,0)</f>
        <v>0</v>
      </c>
      <c r="L30" s="25">
        <f>IFERROR(E30/IFERROR(VLOOKUP(B30,crop_efi_efe!B$7:F$426,5,FALSE),(VLOOKUP(B30, crop_efp, 4, FALSE)))*J30*I30,0)</f>
        <v>643371.30346183199</v>
      </c>
      <c r="M30" s="23">
        <f>IFERROR(F30/IFERROR(VLOOKUP($B30,crop_efi_efe!$B$7:$F$426,5,FALSE),(VLOOKUP($B30, crop_efp, 4, FALSE)))*J30*I30,0)</f>
        <v>625783.50869789696</v>
      </c>
    </row>
    <row r="31" spans="1:13" ht="12.5">
      <c r="A31" t="s">
        <v>6993</v>
      </c>
      <c r="B31" s="233">
        <v>850</v>
      </c>
      <c r="C31" s="396"/>
      <c r="D31" s="25">
        <f t="shared" si="0"/>
        <v>0</v>
      </c>
      <c r="E31" s="25">
        <f t="shared" si="6"/>
        <v>0</v>
      </c>
      <c r="F31" s="25">
        <f t="shared" si="7"/>
        <v>0</v>
      </c>
      <c r="G31" s="25">
        <f t="shared" si="3"/>
        <v>0</v>
      </c>
      <c r="H31" s="25">
        <f t="shared" si="4"/>
        <v>0</v>
      </c>
      <c r="I31" s="87">
        <f t="shared" si="5"/>
        <v>1</v>
      </c>
      <c r="J31" s="87">
        <f>eqf!$B$7</f>
        <v>2.4993969139811365</v>
      </c>
      <c r="K31" s="25">
        <f>IFERROR(D31/IFERROR(VLOOKUP(B31,crop_efp, 4, FALSE),VLOOKUP(B31,crop_efi_efe!B$7:F$426,11,FALSE))*J31*I31,0)</f>
        <v>0</v>
      </c>
      <c r="L31" s="25">
        <f>IFERROR(E31/IFERROR(VLOOKUP(B31,crop_efi_efe!B$7:F$426,5,FALSE),(VLOOKUP(B31, crop_efp, 4, FALSE)))*J31*I31,0)</f>
        <v>0</v>
      </c>
      <c r="M31" s="23">
        <f>IFERROR(F31/IFERROR(VLOOKUP($B31,crop_efi_efe!$B$7:$F$426,5,FALSE),(VLOOKUP($B31, crop_efp, 4, FALSE)))*J31*I31,0)</f>
        <v>0</v>
      </c>
    </row>
    <row r="32" spans="1:13" ht="12.5">
      <c r="A32" t="s">
        <v>3541</v>
      </c>
      <c r="B32" s="233">
        <v>853</v>
      </c>
      <c r="C32" s="396"/>
      <c r="D32" s="25">
        <f t="shared" si="0"/>
        <v>0</v>
      </c>
      <c r="E32" s="25">
        <f t="shared" si="6"/>
        <v>0</v>
      </c>
      <c r="F32" s="25">
        <f t="shared" si="7"/>
        <v>0</v>
      </c>
      <c r="G32" s="25">
        <f t="shared" si="3"/>
        <v>0</v>
      </c>
      <c r="H32" s="25">
        <f t="shared" si="4"/>
        <v>0</v>
      </c>
      <c r="I32" s="87">
        <f t="shared" si="5"/>
        <v>1</v>
      </c>
      <c r="J32" s="87">
        <f>eqf!$B$7</f>
        <v>2.4993969139811365</v>
      </c>
      <c r="K32" s="25">
        <f>IFERROR(D32/IFERROR(VLOOKUP(B32,crop_efp, 4, FALSE),VLOOKUP(B32,crop_efi_efe!B$7:F$426,11,FALSE))*J32*I32,0)</f>
        <v>0</v>
      </c>
      <c r="L32" s="25">
        <f>IFERROR(E32/IFERROR(VLOOKUP(B32,crop_efi_efe!B$7:F$426,5,FALSE),(VLOOKUP(B32, crop_efp, 4, FALSE)))*J32*I32,0)</f>
        <v>0</v>
      </c>
      <c r="M32" s="23">
        <f>IFERROR(F32/IFERROR(VLOOKUP($B32,crop_efi_efe!$B$7:$F$426,5,FALSE),(VLOOKUP($B32, crop_efp, 4, FALSE)))*J32*I32,0)</f>
        <v>0</v>
      </c>
    </row>
    <row r="33" spans="1:13" ht="12.5">
      <c r="A33" s="84" t="s">
        <v>4884</v>
      </c>
      <c r="B33" s="233">
        <v>858</v>
      </c>
      <c r="C33" s="396" t="s">
        <v>4885</v>
      </c>
      <c r="D33" s="25">
        <f t="shared" si="0"/>
        <v>0</v>
      </c>
      <c r="E33" s="25">
        <f t="shared" si="6"/>
        <v>0</v>
      </c>
      <c r="F33" s="25">
        <f t="shared" si="7"/>
        <v>0</v>
      </c>
      <c r="G33" s="25">
        <f t="shared" si="3"/>
        <v>0</v>
      </c>
      <c r="H33" s="25">
        <f t="shared" si="4"/>
        <v>0</v>
      </c>
      <c r="I33" s="87">
        <f t="shared" si="5"/>
        <v>1</v>
      </c>
      <c r="J33" s="87">
        <f>eqf!$B$7</f>
        <v>2.4993969139811365</v>
      </c>
      <c r="K33" s="25">
        <f>IFERROR(D33/IFERROR(VLOOKUP(B33,crop_efp, 4, FALSE),VLOOKUP(B33,crop_efi_efe!B$7:F$426,11,FALSE))*J33*I33,0)</f>
        <v>0</v>
      </c>
      <c r="L33" s="25">
        <f>IFERROR(E33/IFERROR(VLOOKUP(B33,crop_efi_efe!B$7:F$426,5,FALSE),(VLOOKUP(B33, crop_efp, 4, FALSE)))*J33*I33,0)</f>
        <v>0</v>
      </c>
      <c r="M33" s="23">
        <f>IFERROR(F33/IFERROR(VLOOKUP($B33,crop_efi_efe!$B$7:$F$426,5,FALSE),(VLOOKUP($B33, crop_efp, 4, FALSE)))*J33*I33,0)</f>
        <v>0</v>
      </c>
    </row>
    <row r="34" spans="1:13" ht="12.5">
      <c r="A34" s="84" t="s">
        <v>4886</v>
      </c>
      <c r="B34" s="233">
        <v>859</v>
      </c>
      <c r="C34" s="396" t="s">
        <v>4732</v>
      </c>
      <c r="D34" s="25">
        <f t="shared" si="0"/>
        <v>0</v>
      </c>
      <c r="E34" s="25">
        <f t="shared" si="6"/>
        <v>0</v>
      </c>
      <c r="F34" s="25">
        <f t="shared" si="7"/>
        <v>0</v>
      </c>
      <c r="G34" s="25">
        <f t="shared" si="3"/>
        <v>0</v>
      </c>
      <c r="H34" s="25">
        <f t="shared" si="4"/>
        <v>0</v>
      </c>
      <c r="I34" s="87">
        <f t="shared" si="5"/>
        <v>1</v>
      </c>
      <c r="J34" s="87">
        <f>eqf!$B$7</f>
        <v>2.4993969139811365</v>
      </c>
      <c r="K34" s="25">
        <f>IFERROR(D34/IFERROR(VLOOKUP(B34,crop_efp, 4, FALSE),VLOOKUP(B34,crop_efi_efe!B$7:F$426,11,FALSE))*J34*I34,0)</f>
        <v>0</v>
      </c>
      <c r="L34" s="25">
        <f>IFERROR(E34/IFERROR(VLOOKUP(B34,crop_efi_efe!B$7:F$426,5,FALSE),(VLOOKUP(B34, crop_efp, 4, FALSE)))*J34*I34,0)</f>
        <v>0</v>
      </c>
      <c r="M34" s="23">
        <f>IFERROR(F34/IFERROR(VLOOKUP($B34,crop_efi_efe!$B$7:$F$426,5,FALSE),(VLOOKUP($B34, crop_efp, 4, FALSE)))*J34*I34,0)</f>
        <v>0</v>
      </c>
    </row>
    <row r="35" spans="1:13" ht="12.5">
      <c r="A35" s="84" t="s">
        <v>6994</v>
      </c>
      <c r="B35" s="233">
        <v>862</v>
      </c>
      <c r="C35" s="396"/>
      <c r="D35" s="25">
        <f t="shared" si="0"/>
        <v>0</v>
      </c>
      <c r="E35" s="25">
        <f t="shared" si="6"/>
        <v>692</v>
      </c>
      <c r="F35" s="25">
        <f t="shared" si="7"/>
        <v>83179</v>
      </c>
      <c r="G35" s="25">
        <f t="shared" si="3"/>
        <v>0</v>
      </c>
      <c r="H35" s="25">
        <f t="shared" si="4"/>
        <v>0</v>
      </c>
      <c r="I35" s="87">
        <f t="shared" si="5"/>
        <v>1</v>
      </c>
      <c r="J35" s="87">
        <f>eqf!$B$7</f>
        <v>2.4993969139811365</v>
      </c>
      <c r="K35" s="25">
        <f>IFERROR(D35/IFERROR(VLOOKUP(B35, crop_efp, 4, FALSE),VLOOKUP(B35,crop_efi_efe!B$7:F$426,11,FALSE))*J35*I35,0)</f>
        <v>0</v>
      </c>
      <c r="L35" s="25">
        <f>IFERROR(E35/IFERROR(VLOOKUP(B35,crop_efi_efe!B$7:F$426,5,FALSE),(VLOOKUP(B35, crop_efp, 4, FALSE)))*J35*I35,0)</f>
        <v>0</v>
      </c>
      <c r="M35" s="23">
        <f>IFERROR(F35/IFERROR(VLOOKUP($B35,crop_efi_efe!$B$7:$F$426,5,FALSE),(VLOOKUP($B35, crop_efp, 4, FALSE)))*J35*I35,0)</f>
        <v>0</v>
      </c>
    </row>
    <row r="36" spans="1:13" s="105" customFormat="1" ht="12.75" customHeight="1">
      <c r="A36" s="102" t="s">
        <v>4068</v>
      </c>
      <c r="B36" s="20"/>
      <c r="C36" s="397"/>
      <c r="D36" s="107"/>
      <c r="E36" s="107"/>
      <c r="F36" s="107"/>
      <c r="G36" s="107">
        <f>SUM(G7:G35)</f>
        <v>590627.12400054932</v>
      </c>
      <c r="H36" s="107">
        <f>SUM(H7:H35)</f>
        <v>363177.94300041196</v>
      </c>
      <c r="I36" s="409"/>
      <c r="J36" s="352"/>
      <c r="K36" s="107">
        <f>SUM(K7:K35)</f>
        <v>0</v>
      </c>
      <c r="L36" s="107">
        <f>SUM(L7:L35)</f>
        <v>672556.94999909599</v>
      </c>
      <c r="M36" s="108">
        <f>SUM(M7:M35)</f>
        <v>631741.31635118695</v>
      </c>
    </row>
  </sheetData>
  <phoneticPr fontId="5" type="noConversion"/>
  <hyperlinks>
    <hyperlink ref="D2" location="crop_efp!A1" tooltip="Go to prodstat_crop_n" display="crop_efp" xr:uid="{00000000-0004-0000-1700-000000000000}"/>
    <hyperlink ref="E2" location="crop_efi_efe!A1" tooltip="Go to tradestat_n" display="crop_efi_efe" xr:uid="{00000000-0004-0000-1700-000001000000}"/>
    <hyperlink ref="F2" location="eqf!A1" tooltip="Go to eqf" display="eqf" xr:uid="{00000000-0004-0000-1700-000002000000}"/>
    <hyperlink ref="D3" location="grazing_efp!A1" tooltip="Go to livestock_feed_balance_n" display="grazing_efp" xr:uid="{00000000-0004-0000-1700-000003000000}"/>
    <hyperlink ref="G2" location="constant_crop_factor" display="constant_crop_factor" xr:uid="{00000000-0004-0000-1700-000004000000}"/>
  </hyperlinks>
  <pageMargins left="0.75" right="0.75" top="1" bottom="1" header="0.5" footer="0.5"/>
  <pageSetup orientation="portrait" verticalDpi="0"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9">
    <tabColor theme="7"/>
  </sheetPr>
  <dimension ref="A1:G56"/>
  <sheetViews>
    <sheetView zoomScaleNormal="100" workbookViewId="0">
      <selection activeCell="A65536" sqref="A65536"/>
    </sheetView>
  </sheetViews>
  <sheetFormatPr defaultColWidth="9.1796875" defaultRowHeight="12.5"/>
  <cols>
    <col min="1" max="1" width="50.7265625" style="36" customWidth="1"/>
    <col min="2" max="3" width="21.7265625" style="86" customWidth="1"/>
    <col min="4" max="4" width="21.7265625" style="36" customWidth="1"/>
    <col min="5" max="5" width="24.453125" style="36" bestFit="1" customWidth="1"/>
    <col min="6" max="7" width="21.7265625" style="36" customWidth="1"/>
    <col min="8" max="16384" width="9.1796875" style="36"/>
  </cols>
  <sheetData>
    <row r="1" spans="1:7" ht="12.75" customHeight="1">
      <c r="B1" s="97"/>
      <c r="C1" s="97"/>
      <c r="D1" s="97"/>
      <c r="E1" s="97"/>
      <c r="F1" s="97"/>
      <c r="G1" s="97"/>
    </row>
    <row r="2" spans="1:7" ht="12.75" customHeight="1">
      <c r="B2" s="37" t="s">
        <v>985</v>
      </c>
      <c r="C2" s="466" t="s">
        <v>2005</v>
      </c>
      <c r="D2" s="466" t="s">
        <v>6149</v>
      </c>
      <c r="E2" s="466" t="s">
        <v>6151</v>
      </c>
      <c r="F2" s="466" t="s">
        <v>6865</v>
      </c>
    </row>
    <row r="3" spans="1:7" ht="12.75" customHeight="1">
      <c r="B3" s="37" t="s">
        <v>986</v>
      </c>
      <c r="C3" s="466" t="s">
        <v>8828</v>
      </c>
      <c r="D3" s="466" t="s">
        <v>1746</v>
      </c>
      <c r="E3" s="466"/>
      <c r="F3" s="466"/>
    </row>
    <row r="4" spans="1:7" ht="12.75" customHeight="1">
      <c r="B4" s="36"/>
      <c r="C4" s="36"/>
    </row>
    <row r="5" spans="1:7" s="86" customFormat="1" ht="13">
      <c r="A5" s="982" t="s">
        <v>2970</v>
      </c>
      <c r="B5" s="976" t="s">
        <v>1907</v>
      </c>
      <c r="C5" s="976" t="s">
        <v>1906</v>
      </c>
      <c r="D5" s="976" t="s">
        <v>1925</v>
      </c>
      <c r="E5" s="976" t="s">
        <v>498</v>
      </c>
      <c r="F5" s="976" t="s">
        <v>7581</v>
      </c>
      <c r="G5" s="977" t="s">
        <v>7582</v>
      </c>
    </row>
    <row r="6" spans="1:7" s="86" customFormat="1" ht="14.5">
      <c r="A6" s="1104" t="s">
        <v>542</v>
      </c>
      <c r="B6" s="1092" t="s">
        <v>542</v>
      </c>
      <c r="C6" s="1092" t="s">
        <v>542</v>
      </c>
      <c r="D6" s="1092" t="s">
        <v>9219</v>
      </c>
      <c r="E6" s="1088" t="s">
        <v>9242</v>
      </c>
      <c r="F6" s="1088" t="s">
        <v>9243</v>
      </c>
      <c r="G6" s="1089" t="s">
        <v>9244</v>
      </c>
    </row>
    <row r="7" spans="1:7">
      <c r="A7" s="17" t="s">
        <v>353</v>
      </c>
      <c r="B7" s="234">
        <v>242</v>
      </c>
      <c r="C7" s="83" t="s">
        <v>1472</v>
      </c>
      <c r="D7" s="677">
        <f>VLOOKUP(B7,crop_efp,3,FALSE)*IFERROR(VLOOKUP(B7,constant_crop_factor,3,FALSE),1)</f>
        <v>0</v>
      </c>
      <c r="E7" s="109">
        <f>HLOOKUP($C$56,constant_livestock_residue,46,FALSE)</f>
        <v>4.2000000000000003E-2</v>
      </c>
      <c r="F7" s="677">
        <f>D7*E7</f>
        <v>0</v>
      </c>
      <c r="G7" s="679">
        <f>IFERROR(F7*(1-VLOOKUP(B7,constant_crop_factor!$B$6:$C$323,2,FALSE)),"")</f>
        <v>0</v>
      </c>
    </row>
    <row r="8" spans="1:7">
      <c r="A8" s="14" t="s">
        <v>2057</v>
      </c>
      <c r="B8" s="233">
        <v>56</v>
      </c>
      <c r="C8" s="24" t="s">
        <v>1001</v>
      </c>
      <c r="D8" s="678">
        <f>VLOOKUP(B8,crop_efp,3,FALSE)*IFERROR(VLOOKUP(B8,constant_crop_factor,3,FALSE),1)</f>
        <v>13884800</v>
      </c>
      <c r="E8" s="43">
        <f>HLOOKUP($C$56,constant_livestock_residue,37,FALSE)</f>
        <v>4.2000000000000003E-2</v>
      </c>
      <c r="F8" s="678">
        <f t="shared" ref="F8:F53" si="0">D8*E8</f>
        <v>583161.60000000009</v>
      </c>
      <c r="G8" s="680">
        <f>IFERROR(F8*(1-VLOOKUP(B8,constant_crop_factor!$B$6:$C$323,2,FALSE)),"")</f>
        <v>501518.97600000008</v>
      </c>
    </row>
    <row r="9" spans="1:7">
      <c r="A9" s="14" t="s">
        <v>2774</v>
      </c>
      <c r="B9" s="233">
        <v>79</v>
      </c>
      <c r="C9" s="24" t="s">
        <v>3926</v>
      </c>
      <c r="D9" s="678">
        <f>VLOOKUP(B9,crop_efp,3,FALSE)*IFERROR(VLOOKUP(B9,constant_crop_factor,3,FALSE),1)</f>
        <v>0</v>
      </c>
      <c r="E9" s="43">
        <f>HLOOKUP($C$56,constant_livestock_residue,38,FALSE)</f>
        <v>4.2000000000000003E-2</v>
      </c>
      <c r="F9" s="678">
        <f t="shared" si="0"/>
        <v>0</v>
      </c>
      <c r="G9" s="680">
        <f>IFERROR(F9*(1-VLOOKUP(B9,constant_crop_factor!$B$6:$C$323,2,FALSE)),"")</f>
        <v>0</v>
      </c>
    </row>
    <row r="10" spans="1:7">
      <c r="A10" s="14" t="s">
        <v>793</v>
      </c>
      <c r="B10" s="233">
        <v>254</v>
      </c>
      <c r="C10" s="24" t="s">
        <v>794</v>
      </c>
      <c r="D10" s="678">
        <f>VLOOKUP(B10,crop_efp,3,FALSE)*IFERROR(VLOOKUP(B10,constant_crop_factor,3,FALSE),1)</f>
        <v>0</v>
      </c>
      <c r="E10" s="43">
        <f>HLOOKUP($C$56,constant_livestock_residue,47,FALSE)</f>
        <v>8.5500000000000007E-2</v>
      </c>
      <c r="F10" s="678">
        <f t="shared" si="0"/>
        <v>0</v>
      </c>
      <c r="G10" s="680">
        <f>IFERROR(F10*(1-VLOOKUP(B10,constant_crop_factor!$B$6:$C$323,2,FALSE)),"")</f>
        <v>0</v>
      </c>
    </row>
    <row r="11" spans="1:7">
      <c r="A11" s="14" t="s">
        <v>4905</v>
      </c>
      <c r="B11" s="233"/>
      <c r="C11" s="24"/>
      <c r="D11" s="678"/>
      <c r="E11"/>
      <c r="F11" s="678"/>
      <c r="G11" s="680" t="str">
        <f>IFERROR(F11*(1-VLOOKUP(B11,constant_crop_factor!$B$6:$C$323,2,FALSE)),"")</f>
        <v/>
      </c>
    </row>
    <row r="12" spans="1:7" ht="13">
      <c r="A12" s="110" t="s">
        <v>612</v>
      </c>
      <c r="B12" s="348">
        <v>203</v>
      </c>
      <c r="C12" s="111" t="s">
        <v>613</v>
      </c>
      <c r="D12" s="678">
        <f t="shared" ref="D12:D22" si="1">VLOOKUP(B12,crop_efp,3,FALSE)*IFERROR(VLOOKUP(B12,constant_crop_factor,3,FALSE),1)</f>
        <v>0</v>
      </c>
      <c r="E12" s="43">
        <f t="shared" ref="E12:E22" si="2">HLOOKUP($C$56,constant_livestock_residue,44,FALSE)</f>
        <v>3.4999999999999996E-2</v>
      </c>
      <c r="F12" s="678">
        <f t="shared" si="0"/>
        <v>0</v>
      </c>
      <c r="G12" s="681">
        <f>IFERROR(F12*(1-VLOOKUP(B12,constant_crop_factor!$B$6:$C$323,2,FALSE)),"")</f>
        <v>0</v>
      </c>
    </row>
    <row r="13" spans="1:7" ht="13">
      <c r="A13" s="110" t="s">
        <v>1917</v>
      </c>
      <c r="B13" s="348">
        <v>176</v>
      </c>
      <c r="C13" s="111" t="s">
        <v>1918</v>
      </c>
      <c r="D13" s="678">
        <f t="shared" si="1"/>
        <v>341100</v>
      </c>
      <c r="E13" s="43">
        <f t="shared" si="2"/>
        <v>3.4999999999999996E-2</v>
      </c>
      <c r="F13" s="678">
        <f t="shared" si="0"/>
        <v>11938.499999999998</v>
      </c>
      <c r="G13" s="681">
        <f>IFERROR(F13*(1-VLOOKUP(B13,constant_crop_factor!$B$6:$C$323,2,FALSE)),"")</f>
        <v>10744.649999999998</v>
      </c>
    </row>
    <row r="14" spans="1:7" ht="13">
      <c r="A14" s="110" t="s">
        <v>3768</v>
      </c>
      <c r="B14" s="348">
        <v>181</v>
      </c>
      <c r="C14" s="111" t="s">
        <v>3769</v>
      </c>
      <c r="D14" s="678">
        <f t="shared" si="1"/>
        <v>0</v>
      </c>
      <c r="E14" s="43">
        <f t="shared" si="2"/>
        <v>3.4999999999999996E-2</v>
      </c>
      <c r="F14" s="678">
        <f t="shared" si="0"/>
        <v>0</v>
      </c>
      <c r="G14" s="681">
        <f>IFERROR(F14*(1-VLOOKUP(B14,constant_crop_factor!$B$6:$C$323,2,FALSE)),"")</f>
        <v>0</v>
      </c>
    </row>
    <row r="15" spans="1:7" ht="13">
      <c r="A15" s="110" t="s">
        <v>2507</v>
      </c>
      <c r="B15" s="348">
        <v>191</v>
      </c>
      <c r="C15" s="111" t="s">
        <v>1582</v>
      </c>
      <c r="D15" s="678">
        <f t="shared" si="1"/>
        <v>311300</v>
      </c>
      <c r="E15" s="43">
        <f t="shared" si="2"/>
        <v>3.4999999999999996E-2</v>
      </c>
      <c r="F15" s="678">
        <f t="shared" si="0"/>
        <v>10895.499999999998</v>
      </c>
      <c r="G15" s="681">
        <f>IFERROR(F15*(1-VLOOKUP(B15,constant_crop_factor!$B$6:$C$323,2,FALSE)),"")</f>
        <v>9696.994999999999</v>
      </c>
    </row>
    <row r="16" spans="1:7" ht="13">
      <c r="A16" s="110" t="s">
        <v>1075</v>
      </c>
      <c r="B16" s="348">
        <v>195</v>
      </c>
      <c r="C16" s="111" t="s">
        <v>1076</v>
      </c>
      <c r="D16" s="678">
        <f t="shared" si="1"/>
        <v>0</v>
      </c>
      <c r="E16" s="43">
        <f t="shared" si="2"/>
        <v>3.4999999999999996E-2</v>
      </c>
      <c r="F16" s="678">
        <f t="shared" si="0"/>
        <v>0</v>
      </c>
      <c r="G16" s="681">
        <f>IFERROR(F16*(1-VLOOKUP(B16,constant_crop_factor!$B$6:$C$323,2,FALSE)),"")</f>
        <v>0</v>
      </c>
    </row>
    <row r="17" spans="1:7" ht="13">
      <c r="A17" s="110" t="s">
        <v>567</v>
      </c>
      <c r="B17" s="348">
        <v>201</v>
      </c>
      <c r="C17" s="111" t="s">
        <v>568</v>
      </c>
      <c r="D17" s="678">
        <f t="shared" si="1"/>
        <v>2092140</v>
      </c>
      <c r="E17" s="43">
        <f t="shared" si="2"/>
        <v>3.4999999999999996E-2</v>
      </c>
      <c r="F17" s="678">
        <f t="shared" si="0"/>
        <v>73224.899999999994</v>
      </c>
      <c r="G17" s="681">
        <f>IFERROR(F17*(1-VLOOKUP(B17,constant_crop_factor!$B$6:$C$323,2,FALSE)),"")</f>
        <v>65170.160999999993</v>
      </c>
    </row>
    <row r="18" spans="1:7" ht="13">
      <c r="A18" s="110" t="s">
        <v>3128</v>
      </c>
      <c r="B18" s="348">
        <v>210</v>
      </c>
      <c r="C18" s="111" t="s">
        <v>3129</v>
      </c>
      <c r="D18" s="678">
        <f t="shared" si="1"/>
        <v>0</v>
      </c>
      <c r="E18" s="43">
        <f t="shared" si="2"/>
        <v>3.4999999999999996E-2</v>
      </c>
      <c r="F18" s="678">
        <f t="shared" si="0"/>
        <v>0</v>
      </c>
      <c r="G18" s="681">
        <f>IFERROR(F18*(1-VLOOKUP(B18,constant_crop_factor!$B$6:$C$323,2,FALSE)),"")</f>
        <v>0</v>
      </c>
    </row>
    <row r="19" spans="1:7" ht="13">
      <c r="A19" s="110" t="s">
        <v>5094</v>
      </c>
      <c r="B19" s="348">
        <v>187</v>
      </c>
      <c r="C19" s="111" t="s">
        <v>5095</v>
      </c>
      <c r="D19" s="678">
        <f t="shared" si="1"/>
        <v>3580700</v>
      </c>
      <c r="E19" s="43">
        <f t="shared" si="2"/>
        <v>3.4999999999999996E-2</v>
      </c>
      <c r="F19" s="678">
        <f t="shared" si="0"/>
        <v>125324.49999999999</v>
      </c>
      <c r="G19" s="681">
        <f>IFERROR(F19*(1-VLOOKUP(B19,constant_crop_factor!$B$6:$C$323,2,FALSE)),"")</f>
        <v>111538.80499999999</v>
      </c>
    </row>
    <row r="20" spans="1:7" ht="13">
      <c r="A20" s="110" t="s">
        <v>5102</v>
      </c>
      <c r="B20" s="348">
        <v>197</v>
      </c>
      <c r="C20" s="111" t="s">
        <v>5103</v>
      </c>
      <c r="D20" s="678">
        <f t="shared" si="1"/>
        <v>0</v>
      </c>
      <c r="E20" s="43">
        <f t="shared" si="2"/>
        <v>3.4999999999999996E-2</v>
      </c>
      <c r="F20" s="678">
        <f t="shared" si="0"/>
        <v>0</v>
      </c>
      <c r="G20" s="681">
        <f>IFERROR(F20*(1-VLOOKUP(B20,constant_crop_factor!$B$6:$C$323,2,FALSE)),"")</f>
        <v>0</v>
      </c>
    </row>
    <row r="21" spans="1:7" ht="13">
      <c r="A21" s="110" t="s">
        <v>101</v>
      </c>
      <c r="B21" s="348">
        <v>211</v>
      </c>
      <c r="C21" s="111" t="s">
        <v>477</v>
      </c>
      <c r="D21" s="678">
        <f t="shared" si="1"/>
        <v>0</v>
      </c>
      <c r="E21" s="43">
        <f t="shared" si="2"/>
        <v>3.4999999999999996E-2</v>
      </c>
      <c r="F21" s="678">
        <f t="shared" si="0"/>
        <v>0</v>
      </c>
      <c r="G21" s="681">
        <f>IFERROR(F21*(1-VLOOKUP(B21,constant_crop_factor!$B$6:$C$323,2,FALSE)),"")</f>
        <v>0</v>
      </c>
    </row>
    <row r="22" spans="1:7" ht="13">
      <c r="A22" s="110" t="s">
        <v>1146</v>
      </c>
      <c r="B22" s="348">
        <v>205</v>
      </c>
      <c r="C22" s="111" t="s">
        <v>1147</v>
      </c>
      <c r="D22" s="678">
        <f t="shared" si="1"/>
        <v>0</v>
      </c>
      <c r="E22" s="43">
        <f t="shared" si="2"/>
        <v>3.4999999999999996E-2</v>
      </c>
      <c r="F22" s="678">
        <f t="shared" si="0"/>
        <v>0</v>
      </c>
      <c r="G22" s="681">
        <f>IFERROR(F22*(1-VLOOKUP(B22,constant_crop_factor!$B$6:$C$323,2,FALSE)),"")</f>
        <v>0</v>
      </c>
    </row>
    <row r="23" spans="1:7">
      <c r="A23" s="14" t="s">
        <v>2491</v>
      </c>
      <c r="B23" s="233"/>
      <c r="C23" s="24"/>
      <c r="D23" s="678"/>
      <c r="E23"/>
      <c r="F23" s="678"/>
      <c r="G23" s="680" t="str">
        <f>IFERROR(F23*(1-VLOOKUP(B23,constant_crop_factor!$B$6:$C$323,2,FALSE)),"")</f>
        <v/>
      </c>
    </row>
    <row r="24" spans="1:7" ht="13">
      <c r="A24" s="110" t="s">
        <v>3739</v>
      </c>
      <c r="B24" s="348">
        <v>265</v>
      </c>
      <c r="C24" s="111" t="s">
        <v>5309</v>
      </c>
      <c r="D24" s="678">
        <f t="shared" ref="D24:D40" si="3">VLOOKUP(B24,crop_efp,3,FALSE)*IFERROR(VLOOKUP(B24,constant_crop_factor,3,FALSE),1)</f>
        <v>0</v>
      </c>
      <c r="E24" s="43">
        <f t="shared" ref="E24:E39" si="4">HLOOKUP($C$56,constant_livestock_residue,49,FALSE)</f>
        <v>6.649999999999999E-2</v>
      </c>
      <c r="F24" s="678">
        <f t="shared" si="0"/>
        <v>0</v>
      </c>
      <c r="G24" s="680">
        <f>IFERROR(F24*(1-VLOOKUP(B24,constant_crop_factor!$B$6:$C$323,2,FALSE)),"")</f>
        <v>0</v>
      </c>
    </row>
    <row r="25" spans="1:7" ht="13">
      <c r="A25" s="110" t="s">
        <v>882</v>
      </c>
      <c r="B25" s="348">
        <v>249</v>
      </c>
      <c r="C25" s="111" t="s">
        <v>3510</v>
      </c>
      <c r="D25" s="678">
        <f t="shared" si="3"/>
        <v>0</v>
      </c>
      <c r="E25" s="43">
        <f t="shared" si="4"/>
        <v>6.649999999999999E-2</v>
      </c>
      <c r="F25" s="678">
        <f t="shared" si="0"/>
        <v>0</v>
      </c>
      <c r="G25" s="680">
        <f>IFERROR(F25*(1-VLOOKUP(B25,constant_crop_factor!$B$6:$C$323,2,FALSE)),"")</f>
        <v>0</v>
      </c>
    </row>
    <row r="26" spans="1:7" ht="13">
      <c r="A26" s="110" t="s">
        <v>4029</v>
      </c>
      <c r="B26" s="348">
        <v>336</v>
      </c>
      <c r="C26" s="111" t="s">
        <v>68</v>
      </c>
      <c r="D26" s="678">
        <f t="shared" si="3"/>
        <v>0</v>
      </c>
      <c r="E26" s="43">
        <f t="shared" si="4"/>
        <v>6.649999999999999E-2</v>
      </c>
      <c r="F26" s="678">
        <f t="shared" si="0"/>
        <v>0</v>
      </c>
      <c r="G26" s="680">
        <f>IFERROR(F26*(1-VLOOKUP(B26,constant_crop_factor!$B$6:$C$323,2,FALSE)),"")</f>
        <v>0</v>
      </c>
    </row>
    <row r="27" spans="1:7" ht="13">
      <c r="A27" s="110" t="s">
        <v>3911</v>
      </c>
      <c r="B27" s="348">
        <v>263</v>
      </c>
      <c r="C27" s="111" t="s">
        <v>1421</v>
      </c>
      <c r="D27" s="678">
        <f t="shared" si="3"/>
        <v>0</v>
      </c>
      <c r="E27" s="43">
        <f t="shared" si="4"/>
        <v>6.649999999999999E-2</v>
      </c>
      <c r="F27" s="678">
        <f t="shared" si="0"/>
        <v>0</v>
      </c>
      <c r="G27" s="680">
        <f>IFERROR(F27*(1-VLOOKUP(B27,constant_crop_factor!$B$6:$C$323,2,FALSE)),"")</f>
        <v>0</v>
      </c>
    </row>
    <row r="28" spans="1:7" ht="13">
      <c r="A28" s="110" t="s">
        <v>259</v>
      </c>
      <c r="B28" s="348">
        <v>333</v>
      </c>
      <c r="C28" s="111" t="s">
        <v>1000</v>
      </c>
      <c r="D28" s="678">
        <f t="shared" si="3"/>
        <v>492400</v>
      </c>
      <c r="E28" s="43">
        <f t="shared" si="4"/>
        <v>6.649999999999999E-2</v>
      </c>
      <c r="F28" s="678">
        <f t="shared" si="0"/>
        <v>32744.599999999995</v>
      </c>
      <c r="G28" s="680">
        <f>IFERROR(F28*(1-VLOOKUP(B28,constant_crop_factor!$B$6:$C$323,2,FALSE)),"")</f>
        <v>29470.139999999996</v>
      </c>
    </row>
    <row r="29" spans="1:7" ht="13">
      <c r="A29" s="110" t="s">
        <v>2772</v>
      </c>
      <c r="B29" s="348">
        <v>299</v>
      </c>
      <c r="C29" s="111" t="s">
        <v>2773</v>
      </c>
      <c r="D29" s="678">
        <f t="shared" si="3"/>
        <v>0</v>
      </c>
      <c r="E29" s="43">
        <f t="shared" si="4"/>
        <v>6.649999999999999E-2</v>
      </c>
      <c r="F29" s="678">
        <f t="shared" si="0"/>
        <v>0</v>
      </c>
      <c r="G29" s="680">
        <f>IFERROR(F29*(1-VLOOKUP(B29,constant_crop_factor!$B$6:$C$323,2,FALSE)),"")</f>
        <v>0</v>
      </c>
    </row>
    <row r="30" spans="1:7" ht="13">
      <c r="A30" s="110" t="s">
        <v>787</v>
      </c>
      <c r="B30" s="348">
        <v>292</v>
      </c>
      <c r="C30" s="111" t="s">
        <v>788</v>
      </c>
      <c r="D30" s="678">
        <f t="shared" si="3"/>
        <v>173600</v>
      </c>
      <c r="E30" s="43">
        <f t="shared" si="4"/>
        <v>6.649999999999999E-2</v>
      </c>
      <c r="F30" s="678">
        <f t="shared" si="0"/>
        <v>11544.399999999998</v>
      </c>
      <c r="G30" s="680">
        <f>IFERROR(F30*(1-VLOOKUP(B30,constant_crop_factor!$B$6:$C$323,2,FALSE)),"")</f>
        <v>10389.959999999999</v>
      </c>
    </row>
    <row r="31" spans="1:7" ht="13">
      <c r="A31" s="110" t="s">
        <v>621</v>
      </c>
      <c r="B31" s="348">
        <v>339</v>
      </c>
      <c r="C31" s="111" t="s">
        <v>5377</v>
      </c>
      <c r="D31" s="678">
        <f t="shared" si="3"/>
        <v>26372</v>
      </c>
      <c r="E31" s="43">
        <f t="shared" si="4"/>
        <v>6.649999999999999E-2</v>
      </c>
      <c r="F31" s="678">
        <f t="shared" si="0"/>
        <v>1753.7379999999998</v>
      </c>
      <c r="G31" s="680">
        <f>IFERROR(F31*(1-VLOOKUP(B31,constant_crop_factor!$B$6:$C$323,2,FALSE)),"")</f>
        <v>1578.3642</v>
      </c>
    </row>
    <row r="32" spans="1:7" ht="13">
      <c r="A32" s="110" t="s">
        <v>3734</v>
      </c>
      <c r="B32" s="348">
        <v>260</v>
      </c>
      <c r="C32" s="111" t="s">
        <v>2855</v>
      </c>
      <c r="D32" s="678">
        <f t="shared" si="3"/>
        <v>0</v>
      </c>
      <c r="E32" s="43">
        <f t="shared" si="4"/>
        <v>6.649999999999999E-2</v>
      </c>
      <c r="F32" s="678">
        <f t="shared" si="0"/>
        <v>0</v>
      </c>
      <c r="G32" s="680">
        <f>IFERROR(F32*(1-VLOOKUP(B32,constant_crop_factor!$B$6:$C$323,2,FALSE)),"")</f>
        <v>0</v>
      </c>
    </row>
    <row r="33" spans="1:7" ht="13">
      <c r="A33" s="110" t="s">
        <v>3682</v>
      </c>
      <c r="B33" s="348">
        <v>296</v>
      </c>
      <c r="C33" s="111" t="s">
        <v>2215</v>
      </c>
      <c r="D33" s="678">
        <f t="shared" si="3"/>
        <v>0</v>
      </c>
      <c r="E33" s="43">
        <f t="shared" si="4"/>
        <v>6.649999999999999E-2</v>
      </c>
      <c r="F33" s="678">
        <f t="shared" si="0"/>
        <v>0</v>
      </c>
      <c r="G33" s="680">
        <f>IFERROR(F33*(1-VLOOKUP(B33,constant_crop_factor!$B$6:$C$323,2,FALSE)),"")</f>
        <v>0</v>
      </c>
    </row>
    <row r="34" spans="1:7" ht="13">
      <c r="A34" s="110" t="s">
        <v>5387</v>
      </c>
      <c r="B34" s="348">
        <v>270</v>
      </c>
      <c r="C34" s="111" t="s">
        <v>4521</v>
      </c>
      <c r="D34" s="678">
        <f t="shared" si="3"/>
        <v>20342600</v>
      </c>
      <c r="E34" s="43">
        <f t="shared" si="4"/>
        <v>6.649999999999999E-2</v>
      </c>
      <c r="F34" s="678">
        <f t="shared" si="0"/>
        <v>1352782.8999999997</v>
      </c>
      <c r="G34" s="680">
        <f>IFERROR(F34*(1-VLOOKUP(B34,constant_crop_factor!$B$6:$C$323,2,FALSE)),"")</f>
        <v>1190448.9519999998</v>
      </c>
    </row>
    <row r="35" spans="1:7" ht="13">
      <c r="A35" s="110" t="s">
        <v>5151</v>
      </c>
      <c r="B35" s="348">
        <v>280</v>
      </c>
      <c r="C35" s="111" t="s">
        <v>5152</v>
      </c>
      <c r="D35" s="678">
        <f t="shared" si="3"/>
        <v>0</v>
      </c>
      <c r="E35" s="43">
        <f t="shared" si="4"/>
        <v>6.649999999999999E-2</v>
      </c>
      <c r="F35" s="678">
        <f t="shared" si="0"/>
        <v>0</v>
      </c>
      <c r="G35" s="680">
        <f>IFERROR(F35*(1-VLOOKUP(B35,constant_crop_factor!$B$6:$C$323,2,FALSE)),"")</f>
        <v>0</v>
      </c>
    </row>
    <row r="36" spans="1:7" ht="13">
      <c r="A36" s="110" t="s">
        <v>1257</v>
      </c>
      <c r="B36" s="348">
        <v>328</v>
      </c>
      <c r="C36" s="111" t="s">
        <v>1258</v>
      </c>
      <c r="D36" s="678">
        <f t="shared" si="3"/>
        <v>0</v>
      </c>
      <c r="E36" s="43">
        <f t="shared" si="4"/>
        <v>6.649999999999999E-2</v>
      </c>
      <c r="F36" s="678">
        <f t="shared" si="0"/>
        <v>0</v>
      </c>
      <c r="G36" s="680">
        <f>IFERROR(F36*(1-VLOOKUP(B36,constant_crop_factor!$B$6:$C$323,2,FALSE)),"")</f>
        <v>0</v>
      </c>
    </row>
    <row r="37" spans="1:7" ht="13">
      <c r="A37" s="110" t="s">
        <v>2680</v>
      </c>
      <c r="B37" s="348">
        <v>289</v>
      </c>
      <c r="C37" s="111" t="s">
        <v>1973</v>
      </c>
      <c r="D37" s="678">
        <f t="shared" si="3"/>
        <v>0</v>
      </c>
      <c r="E37" s="43">
        <f t="shared" si="4"/>
        <v>6.649999999999999E-2</v>
      </c>
      <c r="F37" s="678">
        <f t="shared" si="0"/>
        <v>0</v>
      </c>
      <c r="G37" s="680">
        <f>IFERROR(F37*(1-VLOOKUP(B37,constant_crop_factor!$B$6:$C$323,2,FALSE)),"")</f>
        <v>0</v>
      </c>
    </row>
    <row r="38" spans="1:7" ht="13">
      <c r="A38" s="110" t="s">
        <v>3774</v>
      </c>
      <c r="B38" s="348">
        <v>267</v>
      </c>
      <c r="C38" s="111" t="s">
        <v>3551</v>
      </c>
      <c r="D38" s="678">
        <f t="shared" si="3"/>
        <v>57300</v>
      </c>
      <c r="E38" s="43">
        <f t="shared" si="4"/>
        <v>6.649999999999999E-2</v>
      </c>
      <c r="F38" s="678">
        <f t="shared" si="0"/>
        <v>3810.4499999999994</v>
      </c>
      <c r="G38" s="680">
        <f>IFERROR(F38*(1-VLOOKUP(B38,constant_crop_factor!$B$6:$C$323,2,FALSE)),"")</f>
        <v>3543.718499999999</v>
      </c>
    </row>
    <row r="39" spans="1:7" ht="13">
      <c r="A39" s="110" t="s">
        <v>3560</v>
      </c>
      <c r="B39" s="348">
        <v>275</v>
      </c>
      <c r="C39" s="111" t="s">
        <v>3561</v>
      </c>
      <c r="D39" s="678">
        <f t="shared" si="3"/>
        <v>0</v>
      </c>
      <c r="E39" s="43">
        <f t="shared" si="4"/>
        <v>6.649999999999999E-2</v>
      </c>
      <c r="F39" s="678">
        <f t="shared" si="0"/>
        <v>0</v>
      </c>
      <c r="G39" s="680">
        <f>IFERROR(F39*(1-VLOOKUP(B39,constant_crop_factor!$B$6:$C$323,2,FALSE)),"")</f>
        <v>0</v>
      </c>
    </row>
    <row r="40" spans="1:7">
      <c r="A40" s="14" t="s">
        <v>2167</v>
      </c>
      <c r="B40" s="233">
        <v>27</v>
      </c>
      <c r="C40" s="24" t="s">
        <v>1971</v>
      </c>
      <c r="D40" s="678">
        <f t="shared" si="3"/>
        <v>0</v>
      </c>
      <c r="E40" s="43">
        <f>HLOOKUP($C$56,constant_livestock_residue,36,FALSE)</f>
        <v>4.2000000000000003E-2</v>
      </c>
      <c r="F40" s="678">
        <f t="shared" si="0"/>
        <v>0</v>
      </c>
      <c r="G40" s="680">
        <f>IFERROR(F40*(1-VLOOKUP(B40,constant_crop_factor!$B$6:$C$323,2,FALSE)),"")</f>
        <v>0</v>
      </c>
    </row>
    <row r="41" spans="1:7">
      <c r="A41" s="14" t="s">
        <v>2379</v>
      </c>
      <c r="B41" s="233"/>
      <c r="C41" s="24"/>
      <c r="D41" s="678"/>
      <c r="E41"/>
      <c r="F41" s="678"/>
      <c r="G41" s="680" t="str">
        <f>IFERROR(F41*(1-VLOOKUP(B41,constant_crop_factor!$B$6:$C$323,2,FALSE)),"")</f>
        <v/>
      </c>
    </row>
    <row r="42" spans="1:7" ht="13">
      <c r="A42" s="110" t="s">
        <v>3131</v>
      </c>
      <c r="B42" s="348">
        <v>116</v>
      </c>
      <c r="C42" s="111" t="s">
        <v>1968</v>
      </c>
      <c r="D42" s="678">
        <f t="shared" ref="D42:D53" si="5">VLOOKUP(B42,crop_efp,3,FALSE)*IFERROR(VLOOKUP(B42,constant_crop_factor,3,FALSE),1)</f>
        <v>5204430</v>
      </c>
      <c r="E42" s="43">
        <f t="shared" ref="E42:E47" si="6">HLOOKUP($C$56,constant_livestock_residue,40,FALSE)</f>
        <v>0</v>
      </c>
      <c r="F42" s="678">
        <f t="shared" si="0"/>
        <v>0</v>
      </c>
      <c r="G42" s="680">
        <f>IFERROR(F42*(1-VLOOKUP(B42,constant_crop_factor!$B$6:$C$323,2,FALSE)),"")</f>
        <v>0</v>
      </c>
    </row>
    <row r="43" spans="1:7" ht="13">
      <c r="A43" s="110" t="s">
        <v>660</v>
      </c>
      <c r="B43" s="348">
        <v>149</v>
      </c>
      <c r="C43" s="111" t="s">
        <v>5393</v>
      </c>
      <c r="D43" s="678">
        <f t="shared" si="5"/>
        <v>0</v>
      </c>
      <c r="E43" s="43">
        <f t="shared" si="6"/>
        <v>0</v>
      </c>
      <c r="F43" s="678">
        <f t="shared" si="0"/>
        <v>0</v>
      </c>
      <c r="G43" s="680">
        <f>IFERROR(F43*(1-VLOOKUP(B43,constant_crop_factor!$B$6:$C$323,2,FALSE)),"")</f>
        <v>0</v>
      </c>
    </row>
    <row r="44" spans="1:7" ht="13">
      <c r="A44" s="110" t="s">
        <v>3775</v>
      </c>
      <c r="B44" s="348">
        <v>122</v>
      </c>
      <c r="C44" s="111" t="s">
        <v>3554</v>
      </c>
      <c r="D44" s="678">
        <f t="shared" si="5"/>
        <v>0</v>
      </c>
      <c r="E44" s="43">
        <f t="shared" si="6"/>
        <v>0</v>
      </c>
      <c r="F44" s="678">
        <f t="shared" si="0"/>
        <v>0</v>
      </c>
      <c r="G44" s="680">
        <f>IFERROR(F44*(1-VLOOKUP(B44,constant_crop_factor!$B$6:$C$323,2,FALSE)),"")</f>
        <v>0</v>
      </c>
    </row>
    <row r="45" spans="1:7" ht="13">
      <c r="A45" s="110" t="s">
        <v>729</v>
      </c>
      <c r="B45" s="348">
        <v>136</v>
      </c>
      <c r="C45" s="111" t="s">
        <v>4419</v>
      </c>
      <c r="D45" s="678">
        <f t="shared" si="5"/>
        <v>0</v>
      </c>
      <c r="E45" s="43">
        <f t="shared" si="6"/>
        <v>0</v>
      </c>
      <c r="F45" s="678">
        <f t="shared" si="0"/>
        <v>0</v>
      </c>
      <c r="G45" s="680">
        <f>IFERROR(F45*(1-VLOOKUP(B45,constant_crop_factor!$B$6:$C$323,2,FALSE)),"")</f>
        <v>0</v>
      </c>
    </row>
    <row r="46" spans="1:7" ht="13">
      <c r="A46" s="110" t="s">
        <v>1154</v>
      </c>
      <c r="B46" s="348">
        <v>137</v>
      </c>
      <c r="C46" s="111" t="s">
        <v>1155</v>
      </c>
      <c r="D46" s="678">
        <f t="shared" si="5"/>
        <v>0</v>
      </c>
      <c r="E46" s="43">
        <f t="shared" si="6"/>
        <v>0</v>
      </c>
      <c r="F46" s="678">
        <f t="shared" si="0"/>
        <v>0</v>
      </c>
      <c r="G46" s="680">
        <f>IFERROR(F46*(1-VLOOKUP(B46,constant_crop_factor!$B$6:$C$323,2,FALSE)),"")</f>
        <v>0</v>
      </c>
    </row>
    <row r="47" spans="1:7" ht="13">
      <c r="A47" s="110" t="s">
        <v>3792</v>
      </c>
      <c r="B47" s="348">
        <v>135</v>
      </c>
      <c r="C47" s="111" t="s">
        <v>539</v>
      </c>
      <c r="D47" s="678">
        <f t="shared" si="5"/>
        <v>0</v>
      </c>
      <c r="E47" s="43">
        <f t="shared" si="6"/>
        <v>0</v>
      </c>
      <c r="F47" s="678">
        <f t="shared" si="0"/>
        <v>0</v>
      </c>
      <c r="G47" s="680">
        <f>IFERROR(F47*(1-VLOOKUP(B47,constant_crop_factor!$B$6:$C$323,2,FALSE)),"")</f>
        <v>0</v>
      </c>
    </row>
    <row r="48" spans="1:7">
      <c r="A48" s="14" t="s">
        <v>2681</v>
      </c>
      <c r="B48" s="233">
        <v>83</v>
      </c>
      <c r="C48" s="24" t="s">
        <v>3930</v>
      </c>
      <c r="D48" s="678">
        <f t="shared" si="5"/>
        <v>0</v>
      </c>
      <c r="E48" s="43">
        <f>HLOOKUP($C$56,constant_livestock_residue,39,FALSE)</f>
        <v>4.2000000000000003E-2</v>
      </c>
      <c r="F48" s="678">
        <f t="shared" si="0"/>
        <v>0</v>
      </c>
      <c r="G48" s="680">
        <f>IFERROR(F48*(1-VLOOKUP(B48,constant_crop_factor!$B$6:$C$323,2,FALSE)),"")</f>
        <v>0</v>
      </c>
    </row>
    <row r="49" spans="1:7">
      <c r="A49" s="14" t="s">
        <v>3905</v>
      </c>
      <c r="B49" s="233">
        <v>236</v>
      </c>
      <c r="C49" s="24" t="s">
        <v>3931</v>
      </c>
      <c r="D49" s="678">
        <f t="shared" si="5"/>
        <v>7416600</v>
      </c>
      <c r="E49" s="43">
        <f>HLOOKUP($C$56,constant_livestock_residue,45,FALSE)</f>
        <v>0</v>
      </c>
      <c r="F49" s="678">
        <f t="shared" si="0"/>
        <v>0</v>
      </c>
      <c r="G49" s="680">
        <f>IFERROR(F49*(1-VLOOKUP(B49,constant_crop_factor!$B$6:$C$323,2,FALSE)),"")</f>
        <v>0</v>
      </c>
    </row>
    <row r="50" spans="1:7">
      <c r="A50" s="14" t="s">
        <v>2380</v>
      </c>
      <c r="B50" s="233">
        <v>157</v>
      </c>
      <c r="C50" s="112" t="s">
        <v>3548</v>
      </c>
      <c r="D50" s="678">
        <f t="shared" si="5"/>
        <v>1376700</v>
      </c>
      <c r="E50" s="43">
        <f>HLOOKUP($C$56,constant_livestock_residue,43,FALSE)</f>
        <v>0</v>
      </c>
      <c r="F50" s="678">
        <f t="shared" si="0"/>
        <v>0</v>
      </c>
      <c r="G50" s="680">
        <f>IFERROR(F50*(1-VLOOKUP(B50,constant_crop_factor!$B$6:$C$323,2,FALSE)),"")</f>
        <v>0</v>
      </c>
    </row>
    <row r="51" spans="1:7">
      <c r="A51" s="14" t="s">
        <v>1038</v>
      </c>
      <c r="B51" s="233">
        <v>156</v>
      </c>
      <c r="C51" s="112" t="s">
        <v>1039</v>
      </c>
      <c r="D51" s="678">
        <f t="shared" si="5"/>
        <v>0</v>
      </c>
      <c r="E51" s="43">
        <f>HLOOKUP($C$56,constant_livestock_residue,42,FALSE)</f>
        <v>3.15E-2</v>
      </c>
      <c r="F51" s="678">
        <f t="shared" si="0"/>
        <v>0</v>
      </c>
      <c r="G51" s="680">
        <f>IFERROR(F51*(1-VLOOKUP(B51,constant_crop_factor!$B$6:$C$323,2,FALSE)),"")</f>
        <v>0</v>
      </c>
    </row>
    <row r="52" spans="1:7" s="105" customFormat="1" ht="13">
      <c r="A52" s="14" t="s">
        <v>2166</v>
      </c>
      <c r="B52" s="233">
        <v>15</v>
      </c>
      <c r="C52" t="s">
        <v>4053</v>
      </c>
      <c r="D52" s="678">
        <f t="shared" si="5"/>
        <v>33430640.884707134</v>
      </c>
      <c r="E52" s="43">
        <f>HLOOKUP($C$56,constant_livestock_residue,35,FALSE)</f>
        <v>4.2000000000000003E-2</v>
      </c>
      <c r="F52" s="678">
        <f t="shared" si="0"/>
        <v>1404086.9171576998</v>
      </c>
      <c r="G52" s="680">
        <f>IFERROR(F52*(1-VLOOKUP(B52,constant_crop_factor!$B$6:$C$323,2,FALSE)),"")</f>
        <v>1207514.7487556217</v>
      </c>
    </row>
    <row r="53" spans="1:7" s="105" customFormat="1" ht="13">
      <c r="A53" s="14" t="s">
        <v>4505</v>
      </c>
      <c r="B53" s="233">
        <v>125</v>
      </c>
      <c r="C53" s="112" t="s">
        <v>5308</v>
      </c>
      <c r="D53" s="678">
        <f t="shared" si="5"/>
        <v>0</v>
      </c>
      <c r="E53" s="43">
        <f>HLOOKUP($C$56,constant_livestock_residue,35,FALSE)</f>
        <v>4.2000000000000003E-2</v>
      </c>
      <c r="F53" s="678">
        <f t="shared" si="0"/>
        <v>0</v>
      </c>
      <c r="G53" s="680">
        <f>IFERROR(F53*(1-VLOOKUP(B53,constant_crop_factor!$B$6:$C$323,2,FALSE)),"")</f>
        <v>0</v>
      </c>
    </row>
    <row r="54" spans="1:7" s="37" customFormat="1" ht="13">
      <c r="A54" s="113" t="s">
        <v>4068</v>
      </c>
      <c r="B54" s="347"/>
      <c r="C54" s="114"/>
      <c r="D54" s="115"/>
      <c r="E54" s="115"/>
      <c r="F54" s="115"/>
      <c r="G54" s="366">
        <f>SUM(G7:G53)</f>
        <v>3141615.4704556214</v>
      </c>
    </row>
    <row r="55" spans="1:7" ht="13" thickBot="1">
      <c r="B55" s="117"/>
    </row>
    <row r="56" spans="1:7" ht="13" thickBot="1">
      <c r="A56" s="15" t="s">
        <v>3940</v>
      </c>
      <c r="B56" s="52"/>
      <c r="C56" s="16" t="str">
        <f>VLOOKUP(country_code,constant_feed_region,2,FALSE)</f>
        <v>NAO</v>
      </c>
    </row>
  </sheetData>
  <phoneticPr fontId="5" type="noConversion"/>
  <hyperlinks>
    <hyperlink ref="C3" location="grazing_efp!A1" tooltip="Go to livestock_feed_balance_n" display="grazing_efp" xr:uid="{00000000-0004-0000-1800-000000000000}"/>
    <hyperlink ref="D3" location="feed_demand_n!A1" display="feed_demand_n" xr:uid="{00000000-0004-0000-1800-000001000000}"/>
    <hyperlink ref="F2" location="constant_crop_factor" display="constant_crop_factor" xr:uid="{00000000-0004-0000-1800-000002000000}"/>
    <hyperlink ref="E2" location="constant_feed_region" display="constant_feed_region" xr:uid="{00000000-0004-0000-1800-000003000000}"/>
    <hyperlink ref="D2" location="constant_livestock_residue" display="constant_livestock_residue" xr:uid="{00000000-0004-0000-1800-000004000000}"/>
    <hyperlink ref="C2" location="crop_efp!A1" tooltip="Go to prodstat_crop_n" display="crop_efp" xr:uid="{00000000-0004-0000-1800-000005000000}"/>
  </hyperlinks>
  <pageMargins left="0.75" right="0.75" top="1" bottom="1" header="0.5" footer="0.5"/>
  <pageSetup orientation="portrait" r:id="rId1"/>
  <headerFooter alignWithMargins="0"/>
  <ignoredErrors>
    <ignoredError sqref="B11 B23 B41" numberStoredAsText="1"/>
  </ignoredError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9">
    <tabColor theme="7"/>
    <pageSetUpPr autoPageBreaks="0"/>
  </sheetPr>
  <dimension ref="A1:E47"/>
  <sheetViews>
    <sheetView zoomScaleNormal="100" workbookViewId="0">
      <pane ySplit="6" topLeftCell="A7" activePane="bottomLeft" state="frozen"/>
      <selection pane="bottomLeft" activeCell="A65536" sqref="A65536"/>
    </sheetView>
  </sheetViews>
  <sheetFormatPr defaultColWidth="9.1796875" defaultRowHeight="12.75" customHeight="1"/>
  <cols>
    <col min="1" max="1" width="50.7265625" style="86" customWidth="1"/>
    <col min="2" max="2" width="14.81640625" style="86" customWidth="1"/>
    <col min="3" max="3" width="21.7265625" style="86" customWidth="1"/>
    <col min="4" max="4" width="21.7265625" style="36" customWidth="1"/>
    <col min="5" max="16384" width="9.1796875" style="36"/>
  </cols>
  <sheetData>
    <row r="1" spans="1:5" ht="12.75" customHeight="1">
      <c r="A1" s="36"/>
      <c r="B1" s="97"/>
      <c r="C1" s="97"/>
      <c r="D1" s="97"/>
    </row>
    <row r="2" spans="1:5" ht="12.75" customHeight="1">
      <c r="A2" s="36"/>
      <c r="B2" s="37" t="s">
        <v>985</v>
      </c>
      <c r="C2" s="96" t="s">
        <v>1745</v>
      </c>
    </row>
    <row r="3" spans="1:5" ht="12.75" customHeight="1">
      <c r="A3" s="36"/>
      <c r="B3" s="37" t="s">
        <v>986</v>
      </c>
      <c r="C3" s="466" t="s">
        <v>8827</v>
      </c>
      <c r="D3" s="466"/>
      <c r="E3" s="466"/>
    </row>
    <row r="4" spans="1:5" ht="12.75" customHeight="1">
      <c r="A4" s="36"/>
      <c r="B4" s="36"/>
      <c r="C4" s="36"/>
    </row>
    <row r="5" spans="1:5" s="86" customFormat="1" ht="13">
      <c r="A5" s="975" t="s">
        <v>1923</v>
      </c>
      <c r="B5" s="976" t="s">
        <v>1907</v>
      </c>
      <c r="C5" s="976" t="s">
        <v>1906</v>
      </c>
      <c r="D5" s="977" t="s">
        <v>1925</v>
      </c>
    </row>
    <row r="6" spans="1:5" s="86" customFormat="1" ht="14.5">
      <c r="A6" s="1090" t="s">
        <v>542</v>
      </c>
      <c r="B6" s="1088" t="s">
        <v>542</v>
      </c>
      <c r="C6" s="1088" t="s">
        <v>542</v>
      </c>
      <c r="D6" s="1089" t="s">
        <v>9219</v>
      </c>
    </row>
    <row r="7" spans="1:5" ht="12.5">
      <c r="A7" s="82" t="s">
        <v>1414</v>
      </c>
      <c r="B7" s="234">
        <v>1183</v>
      </c>
      <c r="C7" s="83" t="s">
        <v>3496</v>
      </c>
      <c r="D7" s="517">
        <v>399.66500854492188</v>
      </c>
    </row>
    <row r="8" spans="1:5" ht="12.5">
      <c r="A8" s="84" t="s">
        <v>3255</v>
      </c>
      <c r="B8" s="233">
        <v>1089</v>
      </c>
      <c r="C8" s="24" t="s">
        <v>4470</v>
      </c>
      <c r="D8" s="518"/>
    </row>
    <row r="9" spans="1:5" ht="12.5">
      <c r="A9" s="84" t="s">
        <v>4104</v>
      </c>
      <c r="B9" s="233">
        <v>957</v>
      </c>
      <c r="C9" s="24" t="s">
        <v>4105</v>
      </c>
      <c r="D9" s="518"/>
    </row>
    <row r="10" spans="1:5" ht="12.5">
      <c r="A10" s="84" t="s">
        <v>4471</v>
      </c>
      <c r="B10" s="233">
        <v>947</v>
      </c>
      <c r="C10" s="24" t="s">
        <v>4472</v>
      </c>
      <c r="D10" s="518"/>
    </row>
    <row r="11" spans="1:5" ht="12.5">
      <c r="A11" s="84" t="s">
        <v>4473</v>
      </c>
      <c r="B11" s="233">
        <v>951</v>
      </c>
      <c r="C11" s="24" t="s">
        <v>2812</v>
      </c>
      <c r="D11" s="518"/>
    </row>
    <row r="12" spans="1:5" ht="12.5">
      <c r="A12" s="84" t="s">
        <v>4475</v>
      </c>
      <c r="B12" s="233">
        <v>1127</v>
      </c>
      <c r="C12" s="24" t="s">
        <v>4476</v>
      </c>
      <c r="D12" s="518"/>
    </row>
    <row r="13" spans="1:5" ht="12.5">
      <c r="A13" s="84" t="s">
        <v>4477</v>
      </c>
      <c r="B13" s="233">
        <v>1130</v>
      </c>
      <c r="C13" s="24" t="s">
        <v>4478</v>
      </c>
      <c r="D13" s="518"/>
    </row>
    <row r="14" spans="1:5" ht="12.5">
      <c r="A14" s="84" t="s">
        <v>1845</v>
      </c>
      <c r="B14" s="233">
        <v>919</v>
      </c>
      <c r="C14" s="24" t="s">
        <v>9</v>
      </c>
      <c r="D14" s="518">
        <v>103434</v>
      </c>
    </row>
    <row r="15" spans="1:5" ht="12.5">
      <c r="A15" s="84" t="s">
        <v>4479</v>
      </c>
      <c r="B15" s="233">
        <v>867</v>
      </c>
      <c r="C15" s="24" t="s">
        <v>4480</v>
      </c>
      <c r="D15" s="518">
        <v>1231350</v>
      </c>
    </row>
    <row r="16" spans="1:5" ht="12.5">
      <c r="A16" s="84" t="s">
        <v>1829</v>
      </c>
      <c r="B16" s="233">
        <v>1058</v>
      </c>
      <c r="C16" s="24" t="s">
        <v>475</v>
      </c>
      <c r="D16" s="518">
        <v>1299880</v>
      </c>
    </row>
    <row r="17" spans="1:4" ht="12.5">
      <c r="A17" s="84" t="s">
        <v>5420</v>
      </c>
      <c r="B17" s="233">
        <v>882</v>
      </c>
      <c r="C17" s="24" t="s">
        <v>5421</v>
      </c>
      <c r="D17" s="518">
        <v>9218750</v>
      </c>
    </row>
    <row r="18" spans="1:4" ht="12.5">
      <c r="A18" s="84" t="s">
        <v>5422</v>
      </c>
      <c r="B18" s="233">
        <v>1069</v>
      </c>
      <c r="C18" s="24" t="s">
        <v>4640</v>
      </c>
      <c r="D18" s="518">
        <v>9075</v>
      </c>
    </row>
    <row r="19" spans="1:4" ht="12.5">
      <c r="A19" s="84" t="s">
        <v>4641</v>
      </c>
      <c r="B19" s="233">
        <v>1163</v>
      </c>
      <c r="C19" s="24" t="s">
        <v>2808</v>
      </c>
      <c r="D19" s="518"/>
    </row>
    <row r="20" spans="1:4" ht="12.5">
      <c r="A20" s="84" t="s">
        <v>2809</v>
      </c>
      <c r="B20" s="233">
        <v>1017</v>
      </c>
      <c r="C20" s="24" t="s">
        <v>2810</v>
      </c>
      <c r="D20" s="518"/>
    </row>
    <row r="21" spans="1:4" ht="12.5">
      <c r="A21" s="84" t="s">
        <v>2811</v>
      </c>
      <c r="B21" s="233">
        <v>1020</v>
      </c>
      <c r="C21" s="24" t="s">
        <v>4474</v>
      </c>
      <c r="D21" s="518"/>
    </row>
    <row r="22" spans="1:4" ht="12.5">
      <c r="A22" s="84" t="s">
        <v>10</v>
      </c>
      <c r="B22" s="233">
        <v>1025</v>
      </c>
      <c r="C22" s="24" t="s">
        <v>11</v>
      </c>
      <c r="D22" s="518"/>
    </row>
    <row r="23" spans="1:4" ht="12.5">
      <c r="A23" s="84" t="s">
        <v>5020</v>
      </c>
      <c r="B23" s="233">
        <v>1073</v>
      </c>
      <c r="C23" s="24" t="s">
        <v>5021</v>
      </c>
      <c r="D23" s="518">
        <v>905</v>
      </c>
    </row>
    <row r="24" spans="1:4" ht="12.5">
      <c r="A24" s="84" t="s">
        <v>5276</v>
      </c>
      <c r="B24" s="233">
        <v>1100</v>
      </c>
      <c r="C24" s="24" t="s">
        <v>5277</v>
      </c>
      <c r="D24" s="518"/>
    </row>
    <row r="25" spans="1:4" ht="12.5">
      <c r="A25" s="84" t="s">
        <v>5022</v>
      </c>
      <c r="B25" s="233">
        <v>1062</v>
      </c>
      <c r="C25" s="24" t="s">
        <v>5023</v>
      </c>
      <c r="D25" s="518">
        <v>570040</v>
      </c>
    </row>
    <row r="26" spans="1:4" ht="12.5">
      <c r="A26" s="84" t="s">
        <v>12</v>
      </c>
      <c r="B26" s="233">
        <v>1067</v>
      </c>
      <c r="C26" s="24" t="s">
        <v>5023</v>
      </c>
      <c r="D26" s="518"/>
    </row>
    <row r="27" spans="1:4" ht="12.5">
      <c r="A27" s="84" t="s">
        <v>5024</v>
      </c>
      <c r="B27" s="233">
        <v>1097</v>
      </c>
      <c r="C27" s="24" t="s">
        <v>5025</v>
      </c>
      <c r="D27" s="518">
        <v>21780</v>
      </c>
    </row>
    <row r="28" spans="1:4" ht="12.75" customHeight="1">
      <c r="A28" s="84" t="s">
        <v>4994</v>
      </c>
      <c r="B28" s="233">
        <v>1166</v>
      </c>
      <c r="C28" s="24" t="s">
        <v>13</v>
      </c>
      <c r="D28" s="518">
        <v>2727</v>
      </c>
    </row>
    <row r="29" spans="1:4" ht="12.75" customHeight="1">
      <c r="A29" s="84" t="s">
        <v>4995</v>
      </c>
      <c r="B29" s="233">
        <v>1108</v>
      </c>
      <c r="C29" s="24" t="s">
        <v>14</v>
      </c>
      <c r="D29" s="518"/>
    </row>
    <row r="30" spans="1:4" ht="12.75" customHeight="1">
      <c r="A30" s="84" t="s">
        <v>15</v>
      </c>
      <c r="B30" s="233">
        <v>1111</v>
      </c>
      <c r="C30" s="24" t="s">
        <v>16</v>
      </c>
      <c r="D30" s="518"/>
    </row>
    <row r="31" spans="1:4" ht="12.75" customHeight="1">
      <c r="A31" s="84" t="s">
        <v>17</v>
      </c>
      <c r="B31" s="233">
        <v>1151</v>
      </c>
      <c r="C31" s="24" t="s">
        <v>18</v>
      </c>
      <c r="D31" s="518"/>
    </row>
    <row r="32" spans="1:4" ht="12.75" customHeight="1">
      <c r="A32" s="84" t="s">
        <v>19</v>
      </c>
      <c r="B32" s="233">
        <v>1158</v>
      </c>
      <c r="C32" s="24" t="s">
        <v>20</v>
      </c>
      <c r="D32" s="518"/>
    </row>
    <row r="33" spans="1:4" ht="12.75" customHeight="1">
      <c r="A33" s="84" t="s">
        <v>772</v>
      </c>
      <c r="B33" s="233">
        <v>1182</v>
      </c>
      <c r="C33" s="24" t="s">
        <v>5019</v>
      </c>
      <c r="D33" s="518">
        <v>94996</v>
      </c>
    </row>
    <row r="34" spans="1:4" ht="12.75" customHeight="1">
      <c r="A34" s="84" t="s">
        <v>896</v>
      </c>
      <c r="B34" s="233">
        <v>1167</v>
      </c>
      <c r="C34" s="24" t="s">
        <v>21</v>
      </c>
      <c r="D34" s="518"/>
    </row>
    <row r="35" spans="1:4" ht="12.75" customHeight="1">
      <c r="A35" s="84" t="s">
        <v>3821</v>
      </c>
      <c r="B35" s="233">
        <v>1091</v>
      </c>
      <c r="C35" s="24" t="s">
        <v>3523</v>
      </c>
      <c r="D35" s="518"/>
    </row>
    <row r="36" spans="1:4" ht="12.75" customHeight="1">
      <c r="A36" s="84" t="s">
        <v>22</v>
      </c>
      <c r="B36" s="233">
        <v>1092</v>
      </c>
      <c r="C36" s="24" t="s">
        <v>3523</v>
      </c>
      <c r="D36" s="518"/>
    </row>
    <row r="37" spans="1:4" ht="12.75" customHeight="1">
      <c r="A37" s="84" t="s">
        <v>3524</v>
      </c>
      <c r="B37" s="233">
        <v>1035</v>
      </c>
      <c r="C37" s="24" t="s">
        <v>138</v>
      </c>
      <c r="D37" s="518">
        <v>2126060</v>
      </c>
    </row>
    <row r="38" spans="1:4" ht="12.75" customHeight="1">
      <c r="A38" s="84" t="s">
        <v>3910</v>
      </c>
      <c r="B38" s="233">
        <v>1141</v>
      </c>
      <c r="C38" s="24" t="s">
        <v>1969</v>
      </c>
      <c r="D38" s="518"/>
    </row>
    <row r="39" spans="1:4" ht="12.75" customHeight="1">
      <c r="A39" s="84" t="s">
        <v>1860</v>
      </c>
      <c r="B39" s="233">
        <v>977</v>
      </c>
      <c r="C39" s="24" t="s">
        <v>1861</v>
      </c>
      <c r="D39" s="518">
        <v>15840</v>
      </c>
    </row>
    <row r="40" spans="1:4" ht="12.75" customHeight="1">
      <c r="A40" s="84" t="s">
        <v>1862</v>
      </c>
      <c r="B40" s="233">
        <v>982</v>
      </c>
      <c r="C40" s="24" t="s">
        <v>1863</v>
      </c>
      <c r="D40" s="518"/>
    </row>
    <row r="41" spans="1:4" ht="12.75" customHeight="1">
      <c r="A41" s="84" t="s">
        <v>661</v>
      </c>
      <c r="B41" s="233">
        <v>995</v>
      </c>
      <c r="C41" s="24" t="s">
        <v>4999</v>
      </c>
      <c r="D41" s="518">
        <v>2249</v>
      </c>
    </row>
    <row r="42" spans="1:4" ht="12.75" customHeight="1">
      <c r="A42" s="84" t="s">
        <v>1864</v>
      </c>
      <c r="B42" s="233">
        <v>1185</v>
      </c>
      <c r="C42" s="24" t="s">
        <v>1974</v>
      </c>
      <c r="D42" s="518"/>
    </row>
    <row r="43" spans="1:4" ht="12.75" customHeight="1">
      <c r="A43" s="84" t="s">
        <v>2730</v>
      </c>
      <c r="B43" s="233">
        <v>1195</v>
      </c>
      <c r="C43" s="24" t="s">
        <v>2731</v>
      </c>
      <c r="D43" s="518"/>
    </row>
    <row r="44" spans="1:4" ht="12.75" customHeight="1">
      <c r="A44" s="84" t="s">
        <v>358</v>
      </c>
      <c r="B44" s="233">
        <v>999</v>
      </c>
      <c r="C44" s="24" t="s">
        <v>359</v>
      </c>
      <c r="D44" s="518"/>
    </row>
    <row r="45" spans="1:4" ht="12.75" customHeight="1">
      <c r="A45" s="84" t="s">
        <v>5000</v>
      </c>
      <c r="B45" s="233">
        <v>1176</v>
      </c>
      <c r="C45" s="24" t="s">
        <v>5001</v>
      </c>
      <c r="D45" s="518"/>
    </row>
    <row r="46" spans="1:4" ht="12.75" customHeight="1">
      <c r="A46" s="84" t="s">
        <v>1865</v>
      </c>
      <c r="B46" s="233">
        <v>1080</v>
      </c>
      <c r="C46" s="24" t="s">
        <v>1531</v>
      </c>
      <c r="D46" s="518">
        <v>168551</v>
      </c>
    </row>
    <row r="47" spans="1:4" ht="12.75" customHeight="1">
      <c r="A47" s="85" t="s">
        <v>1866</v>
      </c>
      <c r="B47" s="235">
        <v>987</v>
      </c>
      <c r="C47" s="59" t="s">
        <v>1068</v>
      </c>
      <c r="D47" s="519">
        <v>1222</v>
      </c>
    </row>
  </sheetData>
  <phoneticPr fontId="5" type="noConversion"/>
  <conditionalFormatting sqref="D7:D31">
    <cfRule type="cellIs" dxfId="15" priority="1" stopIfTrue="1" operator="equal">
      <formula>0</formula>
    </cfRule>
  </conditionalFormatting>
  <hyperlinks>
    <hyperlink ref="C3" location="livestock_intensity!A1" tooltip="Go to livestock_intensity_n_grazing" display="livestock_intensity" xr:uid="{00000000-0004-0000-1900-000000000000}"/>
  </hyperlinks>
  <pageMargins left="0.75" right="0.75" top="1" bottom="1" header="0.5" footer="0.5"/>
  <pageSetup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tabColor theme="7"/>
  </sheetPr>
  <dimension ref="A1:F22"/>
  <sheetViews>
    <sheetView zoomScaleNormal="100" workbookViewId="0">
      <selection activeCell="A65536" sqref="A65536"/>
    </sheetView>
  </sheetViews>
  <sheetFormatPr defaultColWidth="9.1796875" defaultRowHeight="12.5"/>
  <cols>
    <col min="1" max="1" width="50.7265625" style="86" customWidth="1"/>
    <col min="2" max="2" width="14.81640625" style="86" customWidth="1"/>
    <col min="3" max="3" width="21.7265625" style="86" customWidth="1"/>
    <col min="4" max="4" width="21.7265625" style="36" customWidth="1"/>
    <col min="5" max="5" width="21.7265625" style="125" customWidth="1"/>
    <col min="6" max="6" width="21.7265625" style="36" customWidth="1"/>
    <col min="7" max="16384" width="9.1796875" style="36"/>
  </cols>
  <sheetData>
    <row r="1" spans="1:6" ht="12.75" customHeight="1">
      <c r="A1" s="36"/>
      <c r="B1" s="97"/>
      <c r="C1" s="97"/>
      <c r="D1" s="97"/>
      <c r="E1" s="97"/>
      <c r="F1" s="97"/>
    </row>
    <row r="2" spans="1:6" ht="12.75" customHeight="1">
      <c r="A2" s="36"/>
      <c r="B2" s="37" t="s">
        <v>985</v>
      </c>
      <c r="C2" s="96" t="s">
        <v>1745</v>
      </c>
      <c r="D2" s="97"/>
      <c r="E2" s="97"/>
      <c r="F2" s="97"/>
    </row>
    <row r="3" spans="1:6" ht="12.75" customHeight="1">
      <c r="A3" s="36"/>
      <c r="B3" s="37" t="s">
        <v>986</v>
      </c>
      <c r="C3" s="466" t="s">
        <v>1746</v>
      </c>
      <c r="D3" s="466" t="s">
        <v>8827</v>
      </c>
      <c r="E3" s="466"/>
      <c r="F3" s="466"/>
    </row>
    <row r="4" spans="1:6" ht="12.75" customHeight="1">
      <c r="A4" s="36"/>
      <c r="B4" s="36"/>
      <c r="C4" s="36"/>
      <c r="E4" s="36"/>
    </row>
    <row r="5" spans="1:6" s="90" customFormat="1" ht="13">
      <c r="A5" s="975" t="s">
        <v>1923</v>
      </c>
      <c r="B5" s="976" t="s">
        <v>1907</v>
      </c>
      <c r="C5" s="976" t="s">
        <v>1906</v>
      </c>
      <c r="D5" s="977" t="s">
        <v>1069</v>
      </c>
      <c r="E5" s="168"/>
    </row>
    <row r="6" spans="1:6" s="90" customFormat="1" ht="13">
      <c r="A6" s="1090" t="s">
        <v>542</v>
      </c>
      <c r="B6" s="1088" t="s">
        <v>542</v>
      </c>
      <c r="C6" s="1088" t="s">
        <v>542</v>
      </c>
      <c r="D6" s="1089" t="s">
        <v>3079</v>
      </c>
      <c r="E6" s="169"/>
    </row>
    <row r="7" spans="1:6">
      <c r="A7" s="82" t="s">
        <v>3253</v>
      </c>
      <c r="B7" s="234">
        <v>1107</v>
      </c>
      <c r="C7" s="83" t="s">
        <v>5002</v>
      </c>
      <c r="D7" s="517"/>
      <c r="F7" s="39"/>
    </row>
    <row r="8" spans="1:6">
      <c r="A8" s="84" t="s">
        <v>1412</v>
      </c>
      <c r="B8" s="233">
        <v>1181</v>
      </c>
      <c r="C8" s="24" t="s">
        <v>1413</v>
      </c>
      <c r="D8" s="518">
        <v>707292</v>
      </c>
      <c r="F8" s="39"/>
    </row>
    <row r="9" spans="1:6">
      <c r="A9" s="84" t="s">
        <v>2157</v>
      </c>
      <c r="B9" s="233">
        <v>946</v>
      </c>
      <c r="C9" s="24" t="s">
        <v>2158</v>
      </c>
      <c r="D9" s="518"/>
      <c r="F9" s="39"/>
    </row>
    <row r="10" spans="1:6">
      <c r="A10" s="84" t="s">
        <v>4903</v>
      </c>
      <c r="B10" s="233">
        <v>1126</v>
      </c>
      <c r="C10" s="24" t="s">
        <v>4904</v>
      </c>
      <c r="D10" s="518"/>
      <c r="F10" s="39"/>
    </row>
    <row r="11" spans="1:6">
      <c r="A11" s="84" t="s">
        <v>4668</v>
      </c>
      <c r="B11" s="233">
        <v>866</v>
      </c>
      <c r="C11" s="24" t="s">
        <v>27</v>
      </c>
      <c r="D11" s="518">
        <v>11565000</v>
      </c>
      <c r="F11" s="39"/>
    </row>
    <row r="12" spans="1:6">
      <c r="A12" s="84" t="s">
        <v>4551</v>
      </c>
      <c r="B12" s="233">
        <v>1057</v>
      </c>
      <c r="C12" s="24" t="s">
        <v>4552</v>
      </c>
      <c r="D12" s="518">
        <v>170759008</v>
      </c>
      <c r="F12" s="39"/>
    </row>
    <row r="13" spans="1:6">
      <c r="A13" s="84" t="s">
        <v>3071</v>
      </c>
      <c r="B13" s="233">
        <v>1068</v>
      </c>
      <c r="C13" s="24" t="s">
        <v>3072</v>
      </c>
      <c r="D13" s="518">
        <v>1514000</v>
      </c>
      <c r="F13" s="39"/>
    </row>
    <row r="14" spans="1:6">
      <c r="A14" s="84" t="s">
        <v>3620</v>
      </c>
      <c r="B14" s="233">
        <v>1072</v>
      </c>
      <c r="C14" s="24" t="s">
        <v>3621</v>
      </c>
      <c r="D14" s="518">
        <v>324000</v>
      </c>
      <c r="F14" s="39"/>
    </row>
    <row r="15" spans="1:6">
      <c r="A15" s="84" t="s">
        <v>406</v>
      </c>
      <c r="B15" s="233">
        <v>1016</v>
      </c>
      <c r="C15" s="24" t="s">
        <v>407</v>
      </c>
      <c r="D15" s="518">
        <v>30060</v>
      </c>
      <c r="F15" s="39"/>
    </row>
    <row r="16" spans="1:6">
      <c r="A16" s="84" t="s">
        <v>2659</v>
      </c>
      <c r="B16" s="233">
        <v>1096</v>
      </c>
      <c r="C16" s="24" t="s">
        <v>2660</v>
      </c>
      <c r="D16" s="518">
        <v>398286</v>
      </c>
      <c r="F16" s="39"/>
    </row>
    <row r="17" spans="1:6">
      <c r="A17" s="84" t="s">
        <v>4998</v>
      </c>
      <c r="B17" s="233">
        <v>1110</v>
      </c>
      <c r="C17" s="24" t="s">
        <v>5003</v>
      </c>
      <c r="D17" s="518">
        <v>4000</v>
      </c>
      <c r="F17" s="39"/>
    </row>
    <row r="18" spans="1:6">
      <c r="A18" s="84" t="s">
        <v>2973</v>
      </c>
      <c r="B18" s="233">
        <v>1157</v>
      </c>
      <c r="C18" s="24" t="s">
        <v>2974</v>
      </c>
      <c r="D18" s="518"/>
      <c r="F18" s="39"/>
    </row>
    <row r="19" spans="1:6">
      <c r="A19" s="84" t="s">
        <v>2975</v>
      </c>
      <c r="B19" s="233">
        <v>1150</v>
      </c>
      <c r="C19" s="24" t="s">
        <v>2976</v>
      </c>
      <c r="D19" s="518"/>
      <c r="F19" s="39"/>
    </row>
    <row r="20" spans="1:6">
      <c r="A20" s="84" t="s">
        <v>1682</v>
      </c>
      <c r="B20" s="233">
        <v>1034</v>
      </c>
      <c r="C20" s="24" t="s">
        <v>3332</v>
      </c>
      <c r="D20" s="518">
        <v>14170000</v>
      </c>
    </row>
    <row r="21" spans="1:6">
      <c r="A21" s="84" t="s">
        <v>1867</v>
      </c>
      <c r="B21" s="233">
        <v>976</v>
      </c>
      <c r="C21" s="24" t="s">
        <v>1678</v>
      </c>
      <c r="D21" s="518">
        <v>829400</v>
      </c>
    </row>
    <row r="22" spans="1:6">
      <c r="A22" s="85" t="s">
        <v>4652</v>
      </c>
      <c r="B22" s="235">
        <v>1079</v>
      </c>
      <c r="C22" s="59" t="s">
        <v>4192</v>
      </c>
      <c r="D22" s="519">
        <v>5693000</v>
      </c>
    </row>
  </sheetData>
  <phoneticPr fontId="5" type="noConversion"/>
  <conditionalFormatting sqref="D7:D19">
    <cfRule type="cellIs" dxfId="14" priority="1" stopIfTrue="1" operator="equal">
      <formula>0</formula>
    </cfRule>
  </conditionalFormatting>
  <hyperlinks>
    <hyperlink ref="C3" location="feed_demand_n!A1" tooltip="Go to feed_demand_n" display="feed_demand_n" xr:uid="{00000000-0004-0000-1A00-000000000000}"/>
    <hyperlink ref="D3" location="livestock_intensity!A1" display="livestock_intensity" xr:uid="{00000000-0004-0000-1A00-000001000000}"/>
  </hyperlinks>
  <pageMargins left="0.75" right="0.75" top="1" bottom="1" header="0.5" footer="0.5"/>
  <pageSetup orientation="portrait" r:id="rId1"/>
  <headerFooter alignWithMargins="0"/>
  <ignoredErrors>
    <ignoredError sqref="C11:C21" numberStoredAsText="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5">
    <tabColor theme="7"/>
    <pageSetUpPr autoPageBreaks="0"/>
  </sheetPr>
  <dimension ref="A1:J43"/>
  <sheetViews>
    <sheetView zoomScaleNormal="100" workbookViewId="0">
      <selection activeCell="A65536" sqref="A65536"/>
    </sheetView>
  </sheetViews>
  <sheetFormatPr defaultColWidth="9.1796875" defaultRowHeight="12.75" customHeight="1"/>
  <cols>
    <col min="1" max="1" width="40.26953125" style="86" customWidth="1"/>
    <col min="2" max="2" width="8.453125" style="86" customWidth="1"/>
    <col min="3" max="3" width="14.81640625" style="36" customWidth="1"/>
    <col min="4" max="4" width="14.81640625" style="86" customWidth="1"/>
    <col min="5" max="6" width="19.26953125" style="36" customWidth="1"/>
    <col min="7" max="8" width="14.81640625" style="36" customWidth="1"/>
    <col min="9" max="9" width="25.7265625" style="36" bestFit="1" customWidth="1"/>
    <col min="10" max="10" width="22.453125" style="36" bestFit="1" customWidth="1"/>
    <col min="11" max="16384" width="9.1796875" style="36"/>
  </cols>
  <sheetData>
    <row r="1" spans="1:10" ht="12.75" customHeight="1">
      <c r="A1" s="36"/>
      <c r="B1" s="97"/>
      <c r="C1" s="97"/>
      <c r="D1" s="97"/>
      <c r="E1" s="97"/>
      <c r="F1" s="97"/>
      <c r="G1" s="97"/>
      <c r="H1" s="97"/>
      <c r="I1" s="97"/>
      <c r="J1" s="97"/>
    </row>
    <row r="2" spans="1:10" ht="12.75" customHeight="1">
      <c r="A2" s="36"/>
      <c r="C2" s="37" t="s">
        <v>985</v>
      </c>
      <c r="E2" s="96" t="s">
        <v>1745</v>
      </c>
      <c r="F2" s="97"/>
      <c r="G2" s="97"/>
      <c r="H2" s="97"/>
    </row>
    <row r="3" spans="1:10" ht="12.75" customHeight="1">
      <c r="A3" s="36"/>
      <c r="C3" s="37" t="s">
        <v>986</v>
      </c>
      <c r="E3" s="466" t="s">
        <v>1750</v>
      </c>
      <c r="F3" s="466" t="s">
        <v>8824</v>
      </c>
      <c r="G3" s="466" t="s">
        <v>8827</v>
      </c>
      <c r="I3" s="466"/>
      <c r="J3" s="466"/>
    </row>
    <row r="4" spans="1:10" ht="12.75" customHeight="1">
      <c r="A4" s="36"/>
      <c r="B4" s="36"/>
      <c r="D4" s="36"/>
      <c r="H4" s="74"/>
    </row>
    <row r="5" spans="1:10" ht="13">
      <c r="A5" s="1097" t="s">
        <v>1923</v>
      </c>
      <c r="B5" s="1098" t="s">
        <v>2532</v>
      </c>
      <c r="C5" s="1099" t="s">
        <v>2533</v>
      </c>
    </row>
    <row r="6" spans="1:10" ht="12.5">
      <c r="A6" s="82" t="s">
        <v>589</v>
      </c>
      <c r="B6" s="190" t="s">
        <v>542</v>
      </c>
      <c r="C6" s="520">
        <v>0.7</v>
      </c>
    </row>
    <row r="7" spans="1:10" ht="12.5">
      <c r="A7" s="85" t="s">
        <v>590</v>
      </c>
      <c r="B7" s="191" t="s">
        <v>542</v>
      </c>
      <c r="C7" s="776">
        <v>0.3</v>
      </c>
    </row>
    <row r="8" spans="1:10" ht="12.5">
      <c r="C8" s="86"/>
    </row>
    <row r="9" spans="1:10" ht="26">
      <c r="A9" s="1100" t="s">
        <v>1923</v>
      </c>
      <c r="B9" s="1101" t="s">
        <v>2532</v>
      </c>
      <c r="C9" s="1101" t="s">
        <v>8224</v>
      </c>
      <c r="D9" s="1101" t="s">
        <v>8225</v>
      </c>
      <c r="E9" s="1102" t="s">
        <v>8220</v>
      </c>
      <c r="F9" s="1102" t="s">
        <v>8221</v>
      </c>
      <c r="G9" s="1101" t="s">
        <v>8222</v>
      </c>
      <c r="H9" s="1103" t="s">
        <v>8223</v>
      </c>
    </row>
    <row r="10" spans="1:10" ht="12.75" customHeight="1">
      <c r="A10" s="14" t="s">
        <v>3253</v>
      </c>
      <c r="B10" s="116" t="s">
        <v>1755</v>
      </c>
      <c r="C10" s="787">
        <v>1107</v>
      </c>
      <c r="D10" s="788">
        <v>1108</v>
      </c>
      <c r="E10" s="781">
        <v>8.3899997174739838E-2</v>
      </c>
      <c r="F10" s="783"/>
      <c r="G10" s="783">
        <v>7.8876974336725358E-2</v>
      </c>
      <c r="H10" s="777">
        <v>6.7943182208022354E-2</v>
      </c>
    </row>
    <row r="11" spans="1:10" ht="12.75" customHeight="1">
      <c r="A11" s="14" t="s">
        <v>2157</v>
      </c>
      <c r="B11" s="116" t="s">
        <v>1755</v>
      </c>
      <c r="C11" s="788">
        <v>946</v>
      </c>
      <c r="D11" s="788">
        <v>947</v>
      </c>
      <c r="E11" s="782">
        <v>0.15510000288486481</v>
      </c>
      <c r="F11" s="784"/>
      <c r="G11" s="784">
        <v>0.10460300421416381</v>
      </c>
      <c r="H11" s="778">
        <v>0.26034198517188706</v>
      </c>
    </row>
    <row r="12" spans="1:10" ht="12.75" customHeight="1">
      <c r="A12" s="14" t="s">
        <v>4903</v>
      </c>
      <c r="B12" s="116" t="s">
        <v>1755</v>
      </c>
      <c r="C12" s="788">
        <v>1126</v>
      </c>
      <c r="D12" s="788">
        <v>1127</v>
      </c>
      <c r="E12" s="782">
        <v>0.21649999916553497</v>
      </c>
      <c r="F12" s="784"/>
      <c r="G12" s="784"/>
      <c r="H12" s="778"/>
    </row>
    <row r="13" spans="1:10" ht="12.75" customHeight="1">
      <c r="A13" s="14" t="s">
        <v>4668</v>
      </c>
      <c r="B13" s="116" t="s">
        <v>1755</v>
      </c>
      <c r="C13" s="788">
        <v>866</v>
      </c>
      <c r="D13" s="788">
        <v>867</v>
      </c>
      <c r="E13" s="782">
        <v>0.22779999673366547</v>
      </c>
      <c r="F13" s="784">
        <v>0.35539999604225159</v>
      </c>
      <c r="G13" s="784">
        <v>0.14231843124324217</v>
      </c>
      <c r="H13" s="778">
        <v>0.35421031350643956</v>
      </c>
    </row>
    <row r="14" spans="1:10" ht="12.75" customHeight="1">
      <c r="A14" s="14" t="s">
        <v>4551</v>
      </c>
      <c r="B14" s="116" t="s">
        <v>1755</v>
      </c>
      <c r="C14" s="788">
        <v>1057</v>
      </c>
      <c r="D14" s="788">
        <v>1058</v>
      </c>
      <c r="E14" s="782">
        <v>1.6292999498546124E-3</v>
      </c>
      <c r="F14" s="784">
        <v>1.7183000454679132E-3</v>
      </c>
      <c r="G14" s="784">
        <v>5.848421628091053E-4</v>
      </c>
      <c r="H14" s="778">
        <v>1.0740596039497266E-4</v>
      </c>
    </row>
    <row r="15" spans="1:10" ht="12.75" customHeight="1">
      <c r="A15" s="14" t="s">
        <v>3071</v>
      </c>
      <c r="B15" s="116" t="s">
        <v>1755</v>
      </c>
      <c r="C15" s="788">
        <v>1068</v>
      </c>
      <c r="D15" s="788">
        <v>1069</v>
      </c>
      <c r="E15" s="782">
        <v>1.4749000547453761E-3</v>
      </c>
      <c r="F15" s="784">
        <v>1.9767000339925289E-3</v>
      </c>
      <c r="G15" s="784">
        <v>5.7812029859238541E-4</v>
      </c>
      <c r="H15" s="778">
        <v>1.0617149351185047E-4</v>
      </c>
    </row>
    <row r="16" spans="1:10" ht="12.75" customHeight="1">
      <c r="A16" s="14" t="s">
        <v>3620</v>
      </c>
      <c r="B16" s="116" t="s">
        <v>1755</v>
      </c>
      <c r="C16" s="788">
        <v>1072</v>
      </c>
      <c r="D16" s="788">
        <v>1073</v>
      </c>
      <c r="E16" s="782">
        <v>3.8246999029070139E-3</v>
      </c>
      <c r="F16" s="784">
        <v>4.999999888241291E-3</v>
      </c>
      <c r="G16" s="784"/>
      <c r="H16" s="778"/>
    </row>
    <row r="17" spans="1:8" ht="12.75" customHeight="1">
      <c r="A17" s="14" t="s">
        <v>406</v>
      </c>
      <c r="B17" s="116" t="s">
        <v>1755</v>
      </c>
      <c r="C17" s="788">
        <v>1016</v>
      </c>
      <c r="D17" s="788">
        <v>1017</v>
      </c>
      <c r="E17" s="782">
        <v>1.2500000186264515E-2</v>
      </c>
      <c r="F17" s="784"/>
      <c r="G17" s="784">
        <v>3.1756122547406639E-2</v>
      </c>
      <c r="H17" s="778">
        <v>3.0741908737401073E-2</v>
      </c>
    </row>
    <row r="18" spans="1:8" ht="12.75" customHeight="1">
      <c r="A18" s="14" t="s">
        <v>2659</v>
      </c>
      <c r="B18" s="116" t="s">
        <v>1755</v>
      </c>
      <c r="C18" s="788">
        <v>1096</v>
      </c>
      <c r="D18" s="788">
        <v>1097</v>
      </c>
      <c r="E18" s="782">
        <v>0.15119999647140503</v>
      </c>
      <c r="F18" s="784">
        <v>0.21469999849796295</v>
      </c>
      <c r="G18" s="784">
        <v>0.15188038709634549</v>
      </c>
      <c r="H18" s="778">
        <v>0.13082698596245851</v>
      </c>
    </row>
    <row r="19" spans="1:8" ht="12.75" customHeight="1">
      <c r="A19" s="14" t="s">
        <v>4998</v>
      </c>
      <c r="B19" s="116" t="s">
        <v>1755</v>
      </c>
      <c r="C19" s="788">
        <v>1110</v>
      </c>
      <c r="D19" s="788">
        <v>1111</v>
      </c>
      <c r="E19" s="782">
        <v>0.11649999767541885</v>
      </c>
      <c r="F19" s="784"/>
      <c r="G19" s="784">
        <v>9.9318033348594972E-2</v>
      </c>
      <c r="H19" s="778">
        <v>8.5550736359877672E-2</v>
      </c>
    </row>
    <row r="20" spans="1:8" ht="12.75" customHeight="1">
      <c r="A20" s="14" t="s">
        <v>1682</v>
      </c>
      <c r="B20" s="116" t="s">
        <v>1755</v>
      </c>
      <c r="C20" s="788">
        <v>1034</v>
      </c>
      <c r="D20" s="788">
        <v>1035</v>
      </c>
      <c r="E20" s="782">
        <v>8.0899998545646667E-2</v>
      </c>
      <c r="F20" s="784">
        <v>9.8600000143051147E-2</v>
      </c>
      <c r="G20" s="784">
        <v>0.10885603991303863</v>
      </c>
      <c r="H20" s="778">
        <v>3.4556571684078718E-2</v>
      </c>
    </row>
    <row r="21" spans="1:8" ht="12.75" customHeight="1">
      <c r="A21" s="14" t="s">
        <v>1867</v>
      </c>
      <c r="B21" s="116" t="s">
        <v>1755</v>
      </c>
      <c r="C21" s="788">
        <v>976</v>
      </c>
      <c r="D21" s="788">
        <v>977</v>
      </c>
      <c r="E21" s="782">
        <v>1.6499999910593033E-2</v>
      </c>
      <c r="F21" s="784">
        <v>2.2500000894069672E-2</v>
      </c>
      <c r="G21" s="784">
        <v>3.9664561176701432E-2</v>
      </c>
      <c r="H21" s="778">
        <v>3.8397770948984972E-2</v>
      </c>
    </row>
    <row r="22" spans="1:8" ht="12.75" customHeight="1">
      <c r="A22" s="14" t="s">
        <v>4652</v>
      </c>
      <c r="B22" s="116" t="s">
        <v>1755</v>
      </c>
      <c r="C22" s="788">
        <v>1079</v>
      </c>
      <c r="D22" s="788">
        <v>1080</v>
      </c>
      <c r="E22" s="782">
        <v>9.3221999704837799E-3</v>
      </c>
      <c r="F22" s="784">
        <v>8.3218999207019806E-3</v>
      </c>
      <c r="G22" s="784">
        <v>3.0240267258573694E-3</v>
      </c>
      <c r="H22" s="778">
        <v>5.5536094249892675E-4</v>
      </c>
    </row>
    <row r="23" spans="1:8" ht="12.75" customHeight="1">
      <c r="A23" s="14" t="s">
        <v>3595</v>
      </c>
      <c r="B23" s="116" t="s">
        <v>1755</v>
      </c>
      <c r="C23" s="788">
        <v>1140</v>
      </c>
      <c r="D23" s="788">
        <v>1141</v>
      </c>
      <c r="E23" s="782">
        <v>1.3923000078648329E-3</v>
      </c>
      <c r="F23" s="784"/>
      <c r="G23" s="785"/>
      <c r="H23" s="779"/>
    </row>
    <row r="24" spans="1:8" ht="12.75" customHeight="1">
      <c r="A24" s="14" t="s">
        <v>2975</v>
      </c>
      <c r="B24" s="116" t="s">
        <v>1755</v>
      </c>
      <c r="C24" s="788">
        <v>1150</v>
      </c>
      <c r="D24" s="788">
        <v>1151</v>
      </c>
      <c r="E24" s="782">
        <v>2.6420000358484685E-4</v>
      </c>
      <c r="F24" s="785"/>
      <c r="G24" s="785"/>
      <c r="H24" s="779"/>
    </row>
    <row r="25" spans="1:8" ht="12.75" customHeight="1">
      <c r="A25" s="19" t="s">
        <v>2973</v>
      </c>
      <c r="B25" s="191" t="s">
        <v>1755</v>
      </c>
      <c r="C25" s="790">
        <v>1157</v>
      </c>
      <c r="D25" s="789">
        <v>1158</v>
      </c>
      <c r="E25" s="791">
        <v>3.4499999135732651E-2</v>
      </c>
      <c r="F25" s="786"/>
      <c r="G25" s="786"/>
      <c r="H25" s="780"/>
    </row>
    <row r="26" spans="1:8" ht="12.75" customHeight="1">
      <c r="A26" s="36"/>
      <c r="B26" s="36"/>
      <c r="D26" s="36"/>
    </row>
    <row r="27" spans="1:8" ht="12.75" customHeight="1">
      <c r="A27" s="36"/>
      <c r="B27" s="36"/>
      <c r="D27" s="36"/>
    </row>
    <row r="28" spans="1:8" ht="12.75" customHeight="1">
      <c r="A28" s="36"/>
      <c r="B28" s="36"/>
      <c r="D28" s="36"/>
    </row>
    <row r="29" spans="1:8" ht="12.75" customHeight="1">
      <c r="A29" s="36"/>
      <c r="B29" s="36"/>
      <c r="D29" s="36"/>
    </row>
    <row r="30" spans="1:8" ht="12.75" customHeight="1">
      <c r="A30" s="36"/>
      <c r="B30" s="36"/>
      <c r="D30" s="36"/>
    </row>
    <row r="31" spans="1:8" ht="12.75" customHeight="1">
      <c r="A31" s="36"/>
      <c r="B31" s="36"/>
      <c r="D31" s="36"/>
    </row>
    <row r="32" spans="1:8" ht="12.75" customHeight="1">
      <c r="A32" s="36"/>
      <c r="B32" s="36"/>
      <c r="D32" s="36"/>
    </row>
    <row r="33" s="36" customFormat="1" ht="12.75" customHeight="1"/>
    <row r="34" s="36" customFormat="1" ht="12.75" customHeight="1"/>
    <row r="35" s="36" customFormat="1" ht="12.75" customHeight="1"/>
    <row r="36" s="36" customFormat="1" ht="12.75" customHeight="1"/>
    <row r="37" s="36" customFormat="1" ht="12.75" customHeight="1"/>
    <row r="38" s="36" customFormat="1" ht="12.75" customHeight="1"/>
    <row r="39" s="36" customFormat="1" ht="12.75" customHeight="1"/>
    <row r="40" s="36" customFormat="1" ht="12.75" customHeight="1"/>
    <row r="41" s="36" customFormat="1" ht="12.75" customHeight="1"/>
    <row r="42" s="36" customFormat="1" ht="12.75" customHeight="1"/>
    <row r="43" s="36" customFormat="1" ht="12.75" customHeight="1"/>
  </sheetData>
  <phoneticPr fontId="5" type="noConversion"/>
  <hyperlinks>
    <hyperlink ref="E3" location="feed_intensity_w!A1" tooltip="Go to feed_intensity_w" display="feed_intensity_w" xr:uid="{00000000-0004-0000-1B00-000000000000}"/>
    <hyperlink ref="F3" location="livestock_efi_efe!A1" tooltip="Go to livestock_efi" display="livestock_efi_efe" xr:uid="{00000000-0004-0000-1B00-000001000000}"/>
    <hyperlink ref="G3" location="livestock_intensity!A1" tooltip="Go to livestock_intensity_n_crop" display="livestock_intensity" xr:uid="{00000000-0004-0000-1B00-000002000000}"/>
  </hyperlinks>
  <pageMargins left="0.75" right="0.75" top="1" bottom="1" header="0.5" footer="0.5"/>
  <headerFooter alignWithMargins="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79272-F1B4-4336-9EEA-E630CE56CA68}">
  <sheetPr>
    <tabColor theme="0"/>
  </sheetPr>
  <dimension ref="A1:G19"/>
  <sheetViews>
    <sheetView workbookViewId="0"/>
  </sheetViews>
  <sheetFormatPr defaultRowHeight="12.5"/>
  <cols>
    <col min="1" max="1" width="20.81640625" customWidth="1"/>
    <col min="2" max="3" width="18.453125" customWidth="1"/>
    <col min="4" max="7" width="35.453125" customWidth="1"/>
  </cols>
  <sheetData>
    <row r="1" spans="1:7">
      <c r="A1" t="s">
        <v>9199</v>
      </c>
    </row>
    <row r="3" spans="1:7">
      <c r="A3" t="str">
        <f>"Area and Biocapacity compared to Ecological Footprint of "&amp;COUNTRY&amp;" in "&amp;YEAR</f>
        <v>Area and Biocapacity compared to Ecological Footprint of Canada in 2018</v>
      </c>
    </row>
    <row r="5" spans="1:7" ht="25">
      <c r="B5" s="487" t="s">
        <v>9204</v>
      </c>
      <c r="C5" s="487" t="s">
        <v>9205</v>
      </c>
      <c r="D5" t="s">
        <v>9200</v>
      </c>
      <c r="E5" t="s">
        <v>9201</v>
      </c>
      <c r="F5" t="s">
        <v>9202</v>
      </c>
      <c r="G5" t="s">
        <v>9203</v>
      </c>
    </row>
    <row r="6" spans="1:7">
      <c r="A6" t="str">
        <f>summary!A7</f>
        <v>Crop</v>
      </c>
      <c r="B6" s="678">
        <f>biocap!$B3</f>
        <v>33135000</v>
      </c>
      <c r="C6" s="678">
        <f>biocap!$F3</f>
        <v>102005959.85502967</v>
      </c>
      <c r="D6" s="678">
        <f>summary!B7</f>
        <v>102005959.85502966</v>
      </c>
      <c r="E6" s="678">
        <f>summary!D7</f>
        <v>15922858.201156098</v>
      </c>
      <c r="F6" s="678">
        <f>summary!F7</f>
        <v>84814926.19354786</v>
      </c>
      <c r="G6" s="678">
        <f>summary!H7</f>
        <v>33113891.862637892</v>
      </c>
    </row>
    <row r="7" spans="1:7">
      <c r="A7" t="str">
        <f>summary!A8</f>
        <v>Grazing</v>
      </c>
      <c r="B7" s="678">
        <f>biocap!$B4</f>
        <v>25064000</v>
      </c>
      <c r="C7" s="678">
        <f>biocap!$F4</f>
        <v>12421174.057624212</v>
      </c>
      <c r="D7" s="678">
        <f>summary!B8</f>
        <v>12421174.057624212</v>
      </c>
      <c r="E7" s="678">
        <f>summary!D8</f>
        <v>4748035.2553544594</v>
      </c>
      <c r="F7" s="678">
        <f>summary!F8</f>
        <v>6466959.8228655066</v>
      </c>
      <c r="G7" s="678">
        <f>summary!H8</f>
        <v>10702249.490113163</v>
      </c>
    </row>
    <row r="8" spans="1:7">
      <c r="A8" t="str">
        <f>summary!A9</f>
        <v>Forest Products</v>
      </c>
      <c r="B8" s="678"/>
      <c r="C8" s="678"/>
      <c r="D8" s="678">
        <f>summary!B9</f>
        <v>108442633.66216043</v>
      </c>
      <c r="E8" s="678">
        <f>summary!D9</f>
        <v>14780478.788962139</v>
      </c>
      <c r="F8" s="678">
        <f>summary!F9</f>
        <v>72947217.185124502</v>
      </c>
      <c r="G8" s="678">
        <f>summary!H9</f>
        <v>50275895.265998065</v>
      </c>
    </row>
    <row r="9" spans="1:7">
      <c r="A9" t="str">
        <f>summary!A10</f>
        <v>Fish</v>
      </c>
      <c r="B9" s="678">
        <f>biocap!$B5+biocap!$B6</f>
        <v>345941900</v>
      </c>
      <c r="C9" s="678">
        <f>biocap!$F5+biocap!$F6</f>
        <v>119678101.57024458</v>
      </c>
      <c r="D9" s="678">
        <f>summary!B10</f>
        <v>6525288.7123265425</v>
      </c>
      <c r="E9" s="678">
        <f>summary!D10</f>
        <v>3725694.0386738656</v>
      </c>
      <c r="F9" s="678">
        <f>summary!F10</f>
        <v>4826505.4236819781</v>
      </c>
      <c r="G9" s="678">
        <f>summary!H10</f>
        <v>5424477.3273184299</v>
      </c>
    </row>
    <row r="10" spans="1:7">
      <c r="A10" t="str">
        <f>summary!A11</f>
        <v>Built-up</v>
      </c>
      <c r="B10" s="678">
        <f>biocap!$B8</f>
        <v>1089630.0048828125</v>
      </c>
      <c r="C10" s="678">
        <f>biocap!$F8</f>
        <v>3354421.443636999</v>
      </c>
      <c r="D10" s="678">
        <f>summary!B11</f>
        <v>3354421.443636999</v>
      </c>
      <c r="E10" s="678">
        <f>summary!D11</f>
        <v>0</v>
      </c>
      <c r="F10" s="678">
        <f>summary!F11</f>
        <v>0</v>
      </c>
      <c r="G10" s="678">
        <f>summary!H11</f>
        <v>3354421.443636999</v>
      </c>
    </row>
    <row r="11" spans="1:7">
      <c r="A11" t="str">
        <f>summary!A12</f>
        <v>Carbon</v>
      </c>
      <c r="B11" s="678"/>
      <c r="C11" s="678"/>
      <c r="D11" s="678">
        <f>summary!B12</f>
        <v>201920511.9389914</v>
      </c>
      <c r="E11" s="678">
        <f>summary!D12</f>
        <v>61309162.289826617</v>
      </c>
      <c r="F11" s="678">
        <f>summary!F12</f>
        <v>67092105.173670992</v>
      </c>
      <c r="G11" s="678">
        <f>summary!H12</f>
        <v>196137569.05514699</v>
      </c>
    </row>
    <row r="12" spans="1:7">
      <c r="A12" t="s">
        <v>9206</v>
      </c>
      <c r="B12" s="678">
        <f>biocap!$B7</f>
        <v>347002070</v>
      </c>
      <c r="C12" s="678">
        <f>biocap!$F7</f>
        <v>308894364.83521152</v>
      </c>
      <c r="D12" s="678"/>
      <c r="E12" s="678"/>
      <c r="F12" s="678"/>
      <c r="G12" s="678"/>
    </row>
    <row r="19" spans="1:1">
      <c r="A19" s="13"/>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8">
    <tabColor theme="7"/>
    <pageSetUpPr autoPageBreaks="0"/>
  </sheetPr>
  <dimension ref="A1:AS172"/>
  <sheetViews>
    <sheetView zoomScaleNormal="100" workbookViewId="0">
      <pane xSplit="2" ySplit="6" topLeftCell="C7" activePane="bottomRight" state="frozen"/>
      <selection activeCell="C7" sqref="C7"/>
      <selection pane="topRight" activeCell="C7" sqref="C7"/>
      <selection pane="bottomLeft" activeCell="C7" sqref="C7"/>
      <selection pane="bottomRight" activeCell="A65536" sqref="A65536"/>
    </sheetView>
  </sheetViews>
  <sheetFormatPr defaultColWidth="9.1796875" defaultRowHeight="12.75" customHeight="1"/>
  <cols>
    <col min="1" max="1" width="31.54296875" style="86" customWidth="1"/>
    <col min="2" max="2" width="14.81640625" style="86" customWidth="1"/>
    <col min="3" max="3" width="15.26953125" style="36" customWidth="1"/>
    <col min="4" max="4" width="17.54296875" style="36" customWidth="1"/>
    <col min="5" max="5" width="16" style="36" customWidth="1"/>
    <col min="6" max="6" width="15.81640625" style="36" customWidth="1"/>
    <col min="7" max="7" width="16.1796875" style="36" customWidth="1"/>
    <col min="8" max="8" width="18.54296875" style="36" customWidth="1"/>
    <col min="9" max="9" width="16.453125" style="36" customWidth="1"/>
    <col min="10" max="10" width="18.1796875" style="36" customWidth="1"/>
    <col min="11" max="11" width="19" style="36" customWidth="1"/>
    <col min="12" max="12" width="15.453125" style="36" customWidth="1"/>
    <col min="13" max="13" width="15.54296875" style="36" customWidth="1"/>
    <col min="14" max="14" width="15.7265625" style="36" customWidth="1"/>
    <col min="15" max="15" width="17.7265625" style="36" customWidth="1"/>
    <col min="16" max="16" width="16" style="36" customWidth="1"/>
    <col min="17" max="17" width="21.7265625" style="253" customWidth="1"/>
    <col min="18" max="18" width="21.7265625" style="36" customWidth="1"/>
    <col min="19" max="19" width="21.7265625" style="253" customWidth="1"/>
    <col min="20" max="21" width="21.7265625" style="36" customWidth="1"/>
    <col min="22" max="22" width="15.81640625" style="36" bestFit="1" customWidth="1"/>
    <col min="23" max="23" width="13.7265625" style="36" customWidth="1"/>
    <col min="24" max="24" width="13.54296875" style="36" customWidth="1"/>
    <col min="25" max="25" width="13.81640625" style="36" customWidth="1"/>
    <col min="26" max="26" width="14" style="36" customWidth="1"/>
    <col min="27" max="36" width="12.453125" style="36" customWidth="1"/>
    <col min="37" max="37" width="15.1796875" style="36" customWidth="1"/>
    <col min="38" max="38" width="15.7265625" style="36" customWidth="1"/>
    <col min="39" max="39" width="15.453125" style="36" customWidth="1"/>
    <col min="40" max="42" width="12.453125" style="36" customWidth="1"/>
    <col min="43" max="43" width="16.1796875" style="36" customWidth="1"/>
    <col min="44" max="44" width="12.453125" style="36" customWidth="1"/>
    <col min="45" max="45" width="13.26953125" style="36" customWidth="1"/>
    <col min="46" max="16384" width="9.1796875" style="36"/>
  </cols>
  <sheetData>
    <row r="1" spans="1:45" ht="12.75" customHeight="1">
      <c r="A1" s="36"/>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row>
    <row r="2" spans="1:45" ht="12.75" customHeight="1">
      <c r="A2" s="36"/>
      <c r="C2" s="37" t="s">
        <v>985</v>
      </c>
      <c r="D2" s="466" t="s">
        <v>1747</v>
      </c>
      <c r="E2" s="466" t="s">
        <v>6153</v>
      </c>
      <c r="G2" s="466"/>
      <c r="H2" s="466"/>
      <c r="I2" s="466"/>
      <c r="J2" s="466"/>
      <c r="Q2" s="36"/>
      <c r="S2" s="36"/>
    </row>
    <row r="3" spans="1:45" ht="12.75" customHeight="1">
      <c r="A3" s="36"/>
      <c r="C3" s="37" t="s">
        <v>986</v>
      </c>
      <c r="D3" s="466" t="s">
        <v>0</v>
      </c>
      <c r="E3" s="466" t="s">
        <v>1749</v>
      </c>
      <c r="F3" s="466" t="s">
        <v>1758</v>
      </c>
      <c r="G3" s="466" t="s">
        <v>8827</v>
      </c>
      <c r="H3" s="466"/>
      <c r="I3" s="466"/>
      <c r="J3" s="466"/>
      <c r="M3" s="75"/>
      <c r="N3" s="75"/>
      <c r="Q3" s="36"/>
      <c r="S3" s="36"/>
    </row>
    <row r="4" spans="1:45" ht="12.75" customHeight="1">
      <c r="A4" s="36"/>
      <c r="B4" s="36"/>
      <c r="Q4" s="36"/>
      <c r="S4" s="36"/>
    </row>
    <row r="5" spans="1:45" s="86" customFormat="1" ht="15">
      <c r="A5" s="975" t="s">
        <v>4460</v>
      </c>
      <c r="B5" s="976" t="s">
        <v>1907</v>
      </c>
      <c r="C5" s="928" t="s">
        <v>1906</v>
      </c>
      <c r="D5" s="976" t="s">
        <v>6908</v>
      </c>
      <c r="E5" s="976" t="s">
        <v>6907</v>
      </c>
      <c r="F5" s="976" t="s">
        <v>6908</v>
      </c>
      <c r="G5" s="976" t="s">
        <v>6907</v>
      </c>
      <c r="H5" s="742" t="s">
        <v>5446</v>
      </c>
      <c r="I5" s="742" t="s">
        <v>7578</v>
      </c>
      <c r="J5" s="742" t="s">
        <v>7579</v>
      </c>
      <c r="K5" s="1106" t="s">
        <v>4467</v>
      </c>
      <c r="L5" s="1106" t="s">
        <v>9246</v>
      </c>
      <c r="M5" s="1106" t="s">
        <v>9247</v>
      </c>
      <c r="N5" s="976" t="s">
        <v>4469</v>
      </c>
      <c r="O5" s="976" t="s">
        <v>7574</v>
      </c>
      <c r="P5" s="977" t="s">
        <v>3404</v>
      </c>
      <c r="Q5" s="756"/>
      <c r="R5" s="1108" t="s">
        <v>7575</v>
      </c>
      <c r="S5" s="1108" t="s">
        <v>7576</v>
      </c>
      <c r="T5" s="928" t="s">
        <v>3140</v>
      </c>
      <c r="U5" s="976" t="s">
        <v>2797</v>
      </c>
      <c r="V5" s="976" t="s">
        <v>4883</v>
      </c>
      <c r="W5" s="976" t="s">
        <v>3547</v>
      </c>
      <c r="X5" s="928" t="s">
        <v>6955</v>
      </c>
      <c r="Y5" s="976" t="s">
        <v>6954</v>
      </c>
      <c r="Z5" s="976" t="s">
        <v>5253</v>
      </c>
      <c r="AA5" s="976" t="s">
        <v>591</v>
      </c>
      <c r="AB5" s="976" t="s">
        <v>2057</v>
      </c>
      <c r="AC5" s="976" t="s">
        <v>3905</v>
      </c>
      <c r="AD5" s="976" t="s">
        <v>4461</v>
      </c>
      <c r="AE5" s="976" t="s">
        <v>1151</v>
      </c>
      <c r="AF5" s="976" t="s">
        <v>615</v>
      </c>
      <c r="AG5" s="976" t="s">
        <v>4505</v>
      </c>
      <c r="AH5" s="976" t="s">
        <v>2681</v>
      </c>
      <c r="AI5" s="976" t="s">
        <v>792</v>
      </c>
      <c r="AJ5" s="976" t="s">
        <v>5394</v>
      </c>
      <c r="AK5" s="976" t="s">
        <v>5387</v>
      </c>
      <c r="AL5" s="976" t="s">
        <v>4462</v>
      </c>
      <c r="AM5" s="976" t="s">
        <v>4463</v>
      </c>
      <c r="AN5" s="976" t="s">
        <v>4464</v>
      </c>
      <c r="AO5" s="976" t="s">
        <v>5096</v>
      </c>
      <c r="AP5" s="976" t="s">
        <v>4466</v>
      </c>
      <c r="AQ5" s="976" t="s">
        <v>4468</v>
      </c>
      <c r="AR5" s="976" t="s">
        <v>1536</v>
      </c>
      <c r="AS5" s="977" t="s">
        <v>1546</v>
      </c>
    </row>
    <row r="6" spans="1:45" s="86" customFormat="1" ht="14.5">
      <c r="A6" s="1094" t="s">
        <v>542</v>
      </c>
      <c r="B6" s="1092" t="s">
        <v>542</v>
      </c>
      <c r="C6" s="1115" t="s">
        <v>542</v>
      </c>
      <c r="D6" s="1092" t="s">
        <v>6953</v>
      </c>
      <c r="E6" s="1092" t="s">
        <v>6953</v>
      </c>
      <c r="F6" s="1092" t="s">
        <v>2977</v>
      </c>
      <c r="G6" s="1088" t="s">
        <v>2977</v>
      </c>
      <c r="H6" s="1068" t="s">
        <v>9245</v>
      </c>
      <c r="I6" s="1068" t="s">
        <v>720</v>
      </c>
      <c r="J6" s="1068" t="s">
        <v>720</v>
      </c>
      <c r="K6" s="1107" t="s">
        <v>9245</v>
      </c>
      <c r="L6" s="1107" t="s">
        <v>720</v>
      </c>
      <c r="M6" s="1107" t="s">
        <v>720</v>
      </c>
      <c r="N6" s="1088" t="s">
        <v>9245</v>
      </c>
      <c r="O6" s="1088" t="s">
        <v>720</v>
      </c>
      <c r="P6" s="1089" t="s">
        <v>720</v>
      </c>
      <c r="Q6" s="757"/>
      <c r="R6" s="1109" t="s">
        <v>720</v>
      </c>
      <c r="S6" s="1109" t="s">
        <v>720</v>
      </c>
      <c r="T6" s="1105" t="s">
        <v>542</v>
      </c>
      <c r="U6" s="980" t="s">
        <v>542</v>
      </c>
      <c r="V6" s="980" t="s">
        <v>542</v>
      </c>
      <c r="W6" s="980" t="s">
        <v>542</v>
      </c>
      <c r="X6" s="1105" t="s">
        <v>1756</v>
      </c>
      <c r="Y6" s="979" t="s">
        <v>1755</v>
      </c>
      <c r="Z6" s="979" t="s">
        <v>1763</v>
      </c>
      <c r="AA6" s="979" t="s">
        <v>1757</v>
      </c>
      <c r="AB6" s="979" t="s">
        <v>1757</v>
      </c>
      <c r="AC6" s="979" t="s">
        <v>1757</v>
      </c>
      <c r="AD6" s="979" t="s">
        <v>1757</v>
      </c>
      <c r="AE6" s="979" t="s">
        <v>1757</v>
      </c>
      <c r="AF6" s="979" t="s">
        <v>1757</v>
      </c>
      <c r="AG6" s="979" t="s">
        <v>1757</v>
      </c>
      <c r="AH6" s="979" t="s">
        <v>1757</v>
      </c>
      <c r="AI6" s="979" t="s">
        <v>1757</v>
      </c>
      <c r="AJ6" s="979" t="s">
        <v>1757</v>
      </c>
      <c r="AK6" s="979" t="s">
        <v>1757</v>
      </c>
      <c r="AL6" s="979" t="s">
        <v>1757</v>
      </c>
      <c r="AM6" s="979" t="s">
        <v>1757</v>
      </c>
      <c r="AN6" s="979" t="s">
        <v>1757</v>
      </c>
      <c r="AO6" s="979" t="s">
        <v>1757</v>
      </c>
      <c r="AP6" s="979" t="s">
        <v>1757</v>
      </c>
      <c r="AQ6" s="979" t="s">
        <v>1757</v>
      </c>
      <c r="AR6" s="979" t="s">
        <v>1757</v>
      </c>
      <c r="AS6" s="981" t="s">
        <v>1757</v>
      </c>
    </row>
    <row r="7" spans="1:45" ht="12.5">
      <c r="A7" s="17" t="s">
        <v>1422</v>
      </c>
      <c r="B7" s="481">
        <v>173</v>
      </c>
      <c r="C7" s="83" t="s">
        <v>1557</v>
      </c>
      <c r="D7" s="521">
        <v>8231</v>
      </c>
      <c r="E7" s="521">
        <v>1873</v>
      </c>
      <c r="F7" s="27">
        <f t="shared" ref="F7:F38" si="0">D7*X7</f>
        <v>8231</v>
      </c>
      <c r="G7" s="25">
        <f t="shared" ref="G7:G38" si="1">E7*Y7</f>
        <v>1873</v>
      </c>
      <c r="H7" s="2">
        <f t="shared" ref="H7:H38" si="2">SUM(AB7:AP7)+AR7+AS7</f>
        <v>0.60751479884315751</v>
      </c>
      <c r="I7" s="27">
        <f t="shared" ref="I7:I38" si="3">IFERROR(F7*VLOOKUP(B7,livestock_intensity_w,7,FALSE),0)</f>
        <v>5000.4543092780295</v>
      </c>
      <c r="J7" s="699">
        <f>IFERROR(G7*VLOOKUP(W7,livestock_intensity!$B$7:$I$29,8,FALSE)/Z7,0)</f>
        <v>1037.6294179876695</v>
      </c>
      <c r="K7" s="2">
        <f>VLOOKUP($W7,feed_mix_n,MATCH(K$5,feed_mix_w!$B$5:$AC$5,0),FALSE)/$Z7*VLOOKUP(K$5,feed_intensity_w,11,FALSE)</f>
        <v>0</v>
      </c>
      <c r="L7" s="27">
        <f t="shared" ref="L7:L38" si="4">IFERROR(F7*VLOOKUP($B7,livestock_intensity_w,10,FALSE),0)</f>
        <v>0</v>
      </c>
      <c r="M7" s="27">
        <f>IFERROR(G7*VLOOKUP(W7,livestock_intensity!$B$7:$M$29,12,FALSE)/Z7,0)</f>
        <v>0</v>
      </c>
      <c r="N7" s="2">
        <f>VLOOKUP($W7,feed_mix_n,MATCH(N$5,feed_mix_w!$B$5:$AC$5,0),FALSE)/$Z7*VLOOKUP(N$5,feed_intensity_w,11,FALSE)</f>
        <v>1.1384478273315286</v>
      </c>
      <c r="O7" s="27">
        <f t="shared" ref="O7:O38" si="5">IFERROR(F7*VLOOKUP(B7,livestock_intensity_w,13,FALSE),0)</f>
        <v>9370.5640667658117</v>
      </c>
      <c r="P7" s="49">
        <f>IFERROR(G7*VLOOKUP(W7,livestock_intensity!$B$7:$Q$29,16,FALSE)/Z7,0)</f>
        <v>1012.168332256804</v>
      </c>
      <c r="Q7" s="758"/>
      <c r="R7" s="387">
        <f t="shared" ref="R7:R38" si="6">IFERROR(SUM(I7,L7,O7),0)</f>
        <v>14371.018376043841</v>
      </c>
      <c r="S7" s="331">
        <f t="shared" ref="S7:S38" si="7">IFERROR(SUM(J7,M7,P7),0)</f>
        <v>2049.7977502444737</v>
      </c>
      <c r="T7" s="738" t="s">
        <v>2738</v>
      </c>
      <c r="U7" s="555" t="s">
        <v>2796</v>
      </c>
      <c r="V7" s="556" t="str">
        <f>IFERROR(VLOOKUP(W7,constant_ag_extr!$D$7:$E$594,2,FALSE),"")</f>
        <v>Cow milk, whole, fresh</v>
      </c>
      <c r="W7" s="557">
        <f t="shared" ref="W7:W38" si="8">IFERROR(VLOOKUP(B7,constant_ag_extr,3,FALSE),"")</f>
        <v>882</v>
      </c>
      <c r="X7" s="2">
        <f>IFERROR(IF(VLOOKUP(B7,cnst_grazing!$C$10:$H$25,5,FALSE)="", IF(VLOOKUP(B7, cnst_grazing!$C$10:$H$25,3,FALSE)="", VLOOKUP(B7, cnst_grazing!$C$10:$H$25,4,FALSE),VLOOKUP(B7, cnst_grazing!$C$10:$H$25,3,FALSE)), VLOOKUP(B7,cnst_grazing!$C$10:$H$25,5,FALSE)),1)</f>
        <v>1</v>
      </c>
      <c r="Y7" s="2">
        <f>IFERROR(IF(VLOOKUP(B7,cnst_grazing!$C$10:$H$25,6,FALSE)="", IF(VLOOKUP(B7, cnst_grazing!$C$10:$H$25,4,FALSE)="", VLOOKUP(B7, cnst_grazing!$C$10:$H$25,3,FALSE),VLOOKUP(B7, cnst_grazing!$C$10:$H$25,4,FALSE)), VLOOKUP(B7,cnst_grazing!$C$10:$H$25,6,FALSE)),1)</f>
        <v>1</v>
      </c>
      <c r="Z7" s="400">
        <f t="shared" ref="Z7:Z38" si="9">IFERROR(VLOOKUP(B7,constant_ag_extr,14,FALSE),"-")</f>
        <v>0.31195464692471803</v>
      </c>
      <c r="AA7" s="2">
        <f t="shared" ref="AA7:AA38" si="10">H7+N7</f>
        <v>1.7459626261746861</v>
      </c>
      <c r="AB7" s="2">
        <f>VLOOKUP($W7,feed_mix_n,MATCH(AB$5,feed_mix_w!$B$5:$AC$5,0),FALSE)/$Z7*VLOOKUP(AB$5,feed_intensity_w,11,FALSE)</f>
        <v>0.13765706600122979</v>
      </c>
      <c r="AC7" s="2">
        <f>VLOOKUP($W7,feed_mix_n,MATCH(AC$5,feed_mix_w!$B$5:$AC$5,0),FALSE)/$Z7*VLOOKUP(AC$5,feed_intensity_w,11,FALSE)</f>
        <v>0.13526509587790819</v>
      </c>
      <c r="AD7" s="2">
        <f>VLOOKUP($W7,feed_mix_n,MATCH(AD$5,feed_mix_w!$B$5:$AC$5,0),FALSE)/$Z7*VLOOKUP(AD$5,feed_intensity_w,11,FALSE)</f>
        <v>0</v>
      </c>
      <c r="AE7" s="2">
        <f>VLOOKUP($W7,feed_mix_n,MATCH(AE$5,feed_mix_w!$B$5:$AC$5,0),FALSE)/$Z7*VLOOKUP(AE$5,feed_intensity_w,11,FALSE)</f>
        <v>0.1361609382657919</v>
      </c>
      <c r="AF7" s="2">
        <f>VLOOKUP($W7,feed_mix_n,MATCH(AF$5,feed_mix_w!$B$5:$AC$5,0),FALSE)/$Z7*VLOOKUP(AF$5,feed_intensity_w,11,FALSE)</f>
        <v>5.4464375306316759E-2</v>
      </c>
      <c r="AG7" s="2">
        <f>VLOOKUP($W7,feed_mix_n,MATCH(AG$5,feed_mix_w!$B$5:$AC$5,0),FALSE)/$Z7*VLOOKUP(AG$5,feed_intensity_w,11,FALSE)</f>
        <v>0</v>
      </c>
      <c r="AH7" s="2">
        <f>VLOOKUP($W7,feed_mix_n,MATCH(AH$5,feed_mix_w!$B$5:$AC$5,0),FALSE)/$Z7*VLOOKUP(AH$5,feed_intensity_w,11,FALSE)</f>
        <v>5.4464375306316759E-2</v>
      </c>
      <c r="AI7" s="2">
        <f>VLOOKUP($W7,feed_mix_n,MATCH(AI$5,feed_mix_w!$B$5:$AC$5,0),FALSE)/$Z7*VLOOKUP(AI$5,feed_intensity_w,11,FALSE)</f>
        <v>0</v>
      </c>
      <c r="AJ7" s="2">
        <f>VLOOKUP($W7,feed_mix_n,MATCH(AJ$5,feed_mix_w!$B$5:$AC$5,0),FALSE)/$Z7*VLOOKUP(AJ$5,feed_intensity_w,11,FALSE)</f>
        <v>0</v>
      </c>
      <c r="AK7" s="2">
        <f>VLOOKUP($W7,feed_mix_n,MATCH(AK$5,feed_mix_w!$B$5:$AC$5,0),FALSE)/$Z7*VLOOKUP(AK$5,feed_intensity_w,11,FALSE)</f>
        <v>0</v>
      </c>
      <c r="AL7" s="2">
        <f>VLOOKUP($W7,feed_mix_n,MATCH(AL$5,feed_mix_w!$B$5:$AC$5,0),FALSE)/$Z7*VLOOKUP(AL$5,feed_intensity_w,11,FALSE)</f>
        <v>0</v>
      </c>
      <c r="AM7" s="2">
        <f>VLOOKUP($W7,feed_mix_n,MATCH(AM$5,feed_mix_w!$B$5:$AC$5,0),FALSE)/$Z7*VLOOKUP(AM$5,feed_intensity_w,11,FALSE)</f>
        <v>3.7561402184231818E-2</v>
      </c>
      <c r="AN7" s="2">
        <f>VLOOKUP($W7,feed_mix_n,MATCH(AN$5,feed_mix_w!$B$5:$AC$5,0),FALSE)/$Z7*VLOOKUP(AN$5,feed_intensity_w,11,FALSE)</f>
        <v>0</v>
      </c>
      <c r="AO7" s="2">
        <f>VLOOKUP($W7,feed_mix_n,MATCH(AO$5,feed_mix_w!$B$5:$AC$5,0),FALSE)/$Z7*VLOOKUP(AO$5,feed_intensity_w,11,FALSE)</f>
        <v>0</v>
      </c>
      <c r="AP7" s="2">
        <f>VLOOKUP($W7,feed_mix_n,MATCH(AP$5,feed_mix_w!$B$5:$AC$5,0),FALSE)/$Z7*VLOOKUP(AP$5,feed_intensity_w,11,FALSE)</f>
        <v>0</v>
      </c>
      <c r="AQ7" s="2">
        <f>VLOOKUP($W7,feed_mix_n,MATCH(AQ$5,feed_mix_w!$B$5:$AC$5,0),FALSE)/$Z7*VLOOKUP(AQ$5,feed_intensity_w,11,FALSE)</f>
        <v>0</v>
      </c>
      <c r="AR7" s="55">
        <f>VLOOKUP($W7,feed_mix_n,MATCH(AR$5,feed_mix_w!$B$5:$AC$5,0),FALSE)/$Z7*VLOOKUP(AR$5,feed_intensity_w,11,FALSE)</f>
        <v>5.1941545901362365E-2</v>
      </c>
      <c r="AS7" s="56">
        <f>VLOOKUP($W7,feed_mix_n,MATCH(AS$5,feed_mix_w!$B$5:$AC$5,0),FALSE)/$Z7*VLOOKUP(AS$5,feed_intensity_w,11,FALSE)</f>
        <v>0</v>
      </c>
    </row>
    <row r="8" spans="1:45" ht="12.5">
      <c r="A8" s="14" t="s">
        <v>7115</v>
      </c>
      <c r="B8" s="482">
        <v>843</v>
      </c>
      <c r="C8" s="24"/>
      <c r="D8" s="513">
        <v>274160</v>
      </c>
      <c r="E8" s="513">
        <v>227030</v>
      </c>
      <c r="F8" s="25">
        <f t="shared" si="0"/>
        <v>274160</v>
      </c>
      <c r="G8" s="25">
        <f t="shared" si="1"/>
        <v>227030</v>
      </c>
      <c r="H8" s="2" t="e">
        <f t="shared" si="2"/>
        <v>#N/A</v>
      </c>
      <c r="I8" s="25">
        <f t="shared" si="3"/>
        <v>0</v>
      </c>
      <c r="J8" s="87">
        <f>IFERROR(G8*VLOOKUP(W8,livestock_intensity!$B$7:$I$29,8,FALSE)/Z8,0)</f>
        <v>0</v>
      </c>
      <c r="K8" s="2" t="e">
        <f>VLOOKUP($W8,feed_mix_n,MATCH(K$5,feed_mix_w!$B$5:$AC$5,0),FALSE)/$Z8*VLOOKUP(K$5,feed_intensity_w,11,FALSE)</f>
        <v>#N/A</v>
      </c>
      <c r="L8" s="25">
        <f t="shared" si="4"/>
        <v>0</v>
      </c>
      <c r="M8" s="25">
        <f>IFERROR(G8*VLOOKUP(W8,livestock_intensity!$B$7:$M$29,12,FALSE)/Z8,0)</f>
        <v>0</v>
      </c>
      <c r="N8" s="2" t="e">
        <f>VLOOKUP($W8,feed_mix_n,MATCH(N$5,feed_mix_w!$B$5:$AC$5,0),FALSE)/$Z8*VLOOKUP(N$5,feed_intensity_w,11,FALSE)</f>
        <v>#N/A</v>
      </c>
      <c r="O8" s="25">
        <f t="shared" si="5"/>
        <v>0</v>
      </c>
      <c r="P8" s="343">
        <f>IFERROR(G8*VLOOKUP(W8,livestock_intensity!$B$7:$Q$29,16,FALSE)/Z8,0)</f>
        <v>0</v>
      </c>
      <c r="Q8" s="758"/>
      <c r="R8" s="331">
        <f t="shared" si="6"/>
        <v>0</v>
      </c>
      <c r="S8" s="331">
        <f t="shared" si="7"/>
        <v>0</v>
      </c>
      <c r="T8" s="739" t="s">
        <v>2738</v>
      </c>
      <c r="U8" s="558"/>
      <c r="V8" s="559" t="str">
        <f>IFERROR(VLOOKUP(W8,constant_ag_extr!$D$7:$E$594,2,FALSE),"")</f>
        <v/>
      </c>
      <c r="W8" s="560">
        <f t="shared" si="8"/>
        <v>0</v>
      </c>
      <c r="X8" s="2">
        <f>IFERROR(IF(VLOOKUP(B8,cnst_grazing!$C$10:$H$25,5,FALSE)="", IF(VLOOKUP(B8, cnst_grazing!$C$10:$H$25,3,FALSE)="", VLOOKUP(B8, cnst_grazing!$C$10:$H$25,4,FALSE),VLOOKUP(B8, cnst_grazing!$C$10:$H$25,3,FALSE)), VLOOKUP(B8,cnst_grazing!$C$10:$H$25,5,FALSE)),1)</f>
        <v>1</v>
      </c>
      <c r="Y8" s="483">
        <f>IFERROR(IF(VLOOKUP(B8,cnst_grazing!$C$10:$H$25,6,FALSE)="", IF(VLOOKUP(B8, cnst_grazing!$C$10:$H$25,4,FALSE)="", VLOOKUP(B8, cnst_grazing!$C$10:$H$25,3,FALSE),VLOOKUP(B8, cnst_grazing!$C$10:$H$25,4,FALSE)), VLOOKUP(B8,cnst_grazing!$C$10:$H$25,6,FALSE)),1)</f>
        <v>1</v>
      </c>
      <c r="Z8" s="400">
        <f t="shared" si="9"/>
        <v>1</v>
      </c>
      <c r="AA8" s="2" t="e">
        <f t="shared" si="10"/>
        <v>#N/A</v>
      </c>
      <c r="AB8" s="2" t="e">
        <f>VLOOKUP($W8,feed_mix_n,MATCH(AB$5,feed_mix_w!$B$5:$AC$5,0),FALSE)/$Z8*VLOOKUP(AB$5,feed_intensity_w,11,FALSE)</f>
        <v>#N/A</v>
      </c>
      <c r="AC8" s="2" t="e">
        <f>VLOOKUP($W8,feed_mix_n,MATCH(AC$5,feed_mix_w!$B$5:$AC$5,0),FALSE)/$Z8*VLOOKUP(AC$5,feed_intensity_w,11,FALSE)</f>
        <v>#N/A</v>
      </c>
      <c r="AD8" s="2" t="e">
        <f>VLOOKUP($W8,feed_mix_n,MATCH(AD$5,feed_mix_w!$B$5:$AC$5,0),FALSE)/$Z8*VLOOKUP(AD$5,feed_intensity_w,11,FALSE)</f>
        <v>#N/A</v>
      </c>
      <c r="AE8" s="2" t="e">
        <f>VLOOKUP($W8,feed_mix_n,MATCH(AE$5,feed_mix_w!$B$5:$AC$5,0),FALSE)/$Z8*VLOOKUP(AE$5,feed_intensity_w,11,FALSE)</f>
        <v>#N/A</v>
      </c>
      <c r="AF8" s="2" t="e">
        <f>VLOOKUP($W8,feed_mix_n,MATCH(AF$5,feed_mix_w!$B$5:$AC$5,0),FALSE)/$Z8*VLOOKUP(AF$5,feed_intensity_w,11,FALSE)</f>
        <v>#N/A</v>
      </c>
      <c r="AG8" s="2" t="e">
        <f>VLOOKUP($W8,feed_mix_n,MATCH(AG$5,feed_mix_w!$B$5:$AC$5,0),FALSE)/$Z8*VLOOKUP(AG$5,feed_intensity_w,11,FALSE)</f>
        <v>#N/A</v>
      </c>
      <c r="AH8" s="2" t="e">
        <f>VLOOKUP($W8,feed_mix_n,MATCH(AH$5,feed_mix_w!$B$5:$AC$5,0),FALSE)/$Z8*VLOOKUP(AH$5,feed_intensity_w,11,FALSE)</f>
        <v>#N/A</v>
      </c>
      <c r="AI8" s="2" t="e">
        <f>VLOOKUP($W8,feed_mix_n,MATCH(AI$5,feed_mix_w!$B$5:$AC$5,0),FALSE)/$Z8*VLOOKUP(AI$5,feed_intensity_w,11,FALSE)</f>
        <v>#N/A</v>
      </c>
      <c r="AJ8" s="2" t="e">
        <f>VLOOKUP($W8,feed_mix_n,MATCH(AJ$5,feed_mix_w!$B$5:$AC$5,0),FALSE)/$Z8*VLOOKUP(AJ$5,feed_intensity_w,11,FALSE)</f>
        <v>#N/A</v>
      </c>
      <c r="AK8" s="2" t="e">
        <f>VLOOKUP($W8,feed_mix_n,MATCH(AK$5,feed_mix_w!$B$5:$AC$5,0),FALSE)/$Z8*VLOOKUP(AK$5,feed_intensity_w,11,FALSE)</f>
        <v>#N/A</v>
      </c>
      <c r="AL8" s="2" t="e">
        <f>VLOOKUP($W8,feed_mix_n,MATCH(AL$5,feed_mix_w!$B$5:$AC$5,0),FALSE)/$Z8*VLOOKUP(AL$5,feed_intensity_w,11,FALSE)</f>
        <v>#N/A</v>
      </c>
      <c r="AM8" s="2" t="e">
        <f>VLOOKUP($W8,feed_mix_n,MATCH(AM$5,feed_mix_w!$B$5:$AC$5,0),FALSE)/$Z8*VLOOKUP(AM$5,feed_intensity_w,11,FALSE)</f>
        <v>#N/A</v>
      </c>
      <c r="AN8" s="2" t="e">
        <f>VLOOKUP($W8,feed_mix_n,MATCH(AN$5,feed_mix_w!$B$5:$AC$5,0),FALSE)/$Z8*VLOOKUP(AN$5,feed_intensity_w,11,FALSE)</f>
        <v>#N/A</v>
      </c>
      <c r="AO8" s="2" t="e">
        <f>VLOOKUP($W8,feed_mix_n,MATCH(AO$5,feed_mix_w!$B$5:$AC$5,0),FALSE)/$Z8*VLOOKUP(AO$5,feed_intensity_w,11,FALSE)</f>
        <v>#N/A</v>
      </c>
      <c r="AP8" s="2" t="e">
        <f>VLOOKUP($W8,feed_mix_n,MATCH(AP$5,feed_mix_w!$B$5:$AC$5,0),FALSE)/$Z8*VLOOKUP(AP$5,feed_intensity_w,11,FALSE)</f>
        <v>#N/A</v>
      </c>
      <c r="AQ8" s="2" t="e">
        <f>VLOOKUP($W8,feed_mix_n,MATCH(AQ$5,feed_mix_w!$B$5:$AC$5,0),FALSE)/$Z8*VLOOKUP(AQ$5,feed_intensity_w,11,FALSE)</f>
        <v>#N/A</v>
      </c>
      <c r="AR8" s="2" t="e">
        <f>VLOOKUP($W8,feed_mix_n,MATCH(AR$5,feed_mix_w!$B$5:$AC$5,0),FALSE)/$Z8*VLOOKUP(AR$5,feed_intensity_w,11,FALSE)</f>
        <v>#N/A</v>
      </c>
      <c r="AS8" s="389" t="e">
        <f>VLOOKUP($W8,feed_mix_n,MATCH(AS$5,feed_mix_w!$B$5:$AC$5,0),FALSE)/$Z8*VLOOKUP(AS$5,feed_intensity_w,11,FALSE)</f>
        <v>#N/A</v>
      </c>
    </row>
    <row r="9" spans="1:45" ht="12.5">
      <c r="A9" s="14" t="s">
        <v>4668</v>
      </c>
      <c r="B9" s="482">
        <v>866</v>
      </c>
      <c r="C9" s="24" t="s">
        <v>27</v>
      </c>
      <c r="D9" s="513">
        <v>202160</v>
      </c>
      <c r="E9" s="513">
        <v>631211</v>
      </c>
      <c r="F9" s="25">
        <f t="shared" si="0"/>
        <v>28771.094060133837</v>
      </c>
      <c r="G9" s="25">
        <f t="shared" si="1"/>
        <v>223581.44619871321</v>
      </c>
      <c r="H9" s="2">
        <f>SUM(AB9:AP9)+AR9+AS9</f>
        <v>3.6242406865979433</v>
      </c>
      <c r="I9" s="25">
        <f t="shared" si="3"/>
        <v>104273.36969067347</v>
      </c>
      <c r="J9" s="87">
        <f>IFERROR(G9*VLOOKUP(W9,livestock_intensity!$B$7:$I$29,8,FALSE)/Z9,0)</f>
        <v>943999.32907914312</v>
      </c>
      <c r="K9" s="2">
        <f>VLOOKUP($W9,feed_mix_n,MATCH(K$5,feed_mix_w!$B$5:$AC$5,0),FALSE)/$Z9*VLOOKUP(K$5,feed_intensity_w,11,FALSE)</f>
        <v>0</v>
      </c>
      <c r="L9" s="25">
        <f t="shared" si="4"/>
        <v>0</v>
      </c>
      <c r="M9" s="25">
        <f>IFERROR(G9*VLOOKUP(W9,livestock_intensity!$B$7:$M$29,12,FALSE)/Z9,0)</f>
        <v>0</v>
      </c>
      <c r="N9" s="2">
        <f>VLOOKUP($W9,feed_mix_n,MATCH(N$5,feed_mix_w!$B$5:$AC$5,0),FALSE)/$Z9*VLOOKUP(N$5,feed_intensity_w,11,FALSE)</f>
        <v>8.923801964397434</v>
      </c>
      <c r="O9" s="25">
        <f t="shared" si="5"/>
        <v>256747.54569168569</v>
      </c>
      <c r="P9" s="343">
        <f>IFERROR(G9*VLOOKUP(W9,livestock_intensity!$B$7:$Q$29,16,FALSE)/Z9,0)</f>
        <v>1211438.044078514</v>
      </c>
      <c r="Q9" s="758"/>
      <c r="R9" s="331">
        <f t="shared" si="6"/>
        <v>361020.91538235918</v>
      </c>
      <c r="S9" s="331">
        <f t="shared" si="7"/>
        <v>2155437.3731576572</v>
      </c>
      <c r="T9" s="739" t="s">
        <v>2738</v>
      </c>
      <c r="U9" s="558" t="s">
        <v>413</v>
      </c>
      <c r="V9" s="559" t="str">
        <f>IFERROR(VLOOKUP(W9,constant_ag_extr!$D$7:$E$594,2,FALSE),"")</f>
        <v>Cattle</v>
      </c>
      <c r="W9" s="560">
        <f t="shared" si="8"/>
        <v>866</v>
      </c>
      <c r="X9" s="2">
        <f>IFERROR(IF(VLOOKUP(B9,cnst_grazing!$C$10:$H$25,5,FALSE)="", IF(VLOOKUP(B9, cnst_grazing!$C$10:$H$25,3,FALSE)="", VLOOKUP(B9, cnst_grazing!$C$10:$H$25,4,FALSE),VLOOKUP(B9, cnst_grazing!$C$10:$H$25,3,FALSE)), VLOOKUP(B9,cnst_grazing!$C$10:$H$25,5,FALSE)),1)</f>
        <v>0.14231843124324217</v>
      </c>
      <c r="Y9" s="2">
        <f>IFERROR(IF(VLOOKUP(B9,cnst_grazing!$C$10:$H$25,6,FALSE)="", IF(VLOOKUP(B9, cnst_grazing!$C$10:$H$25,4,FALSE)="", VLOOKUP(B9, cnst_grazing!$C$10:$H$25,3,FALSE),VLOOKUP(B9, cnst_grazing!$C$10:$H$25,4,FALSE)), VLOOKUP(B9,cnst_grazing!$C$10:$H$25,6,FALSE)),1)</f>
        <v>0.35421031350643956</v>
      </c>
      <c r="Z9" s="400">
        <f t="shared" si="9"/>
        <v>1</v>
      </c>
      <c r="AA9" s="2">
        <f t="shared" si="10"/>
        <v>12.548042650995377</v>
      </c>
      <c r="AB9" s="2">
        <f>VLOOKUP($W9,feed_mix_n,MATCH(AB$5,feed_mix_w!$B$5:$AC$5,0),FALSE)/$Z9*VLOOKUP(AB$5,feed_intensity_w,11,FALSE)</f>
        <v>1.0164817040794378</v>
      </c>
      <c r="AC9" s="2">
        <f>VLOOKUP($W9,feed_mix_n,MATCH(AC$5,feed_mix_w!$B$5:$AC$5,0),FALSE)/$Z9*VLOOKUP(AC$5,feed_intensity_w,11,FALSE)</f>
        <v>0.39952760625950373</v>
      </c>
      <c r="AD9" s="2">
        <f>VLOOKUP($W9,feed_mix_n,MATCH(AD$5,feed_mix_w!$B$5:$AC$5,0),FALSE)/$Z9*VLOOKUP(AD$5,feed_intensity_w,11,FALSE)</f>
        <v>0</v>
      </c>
      <c r="AE9" s="2">
        <f>VLOOKUP($W9,feed_mix_n,MATCH(AE$5,feed_mix_w!$B$5:$AC$5,0),FALSE)/$Z9*VLOOKUP(AE$5,feed_intensity_w,11,FALSE)</f>
        <v>0.80434724683863768</v>
      </c>
      <c r="AF9" s="2">
        <f>VLOOKUP($W9,feed_mix_n,MATCH(AF$5,feed_mix_w!$B$5:$AC$5,0),FALSE)/$Z9*VLOOKUP(AF$5,feed_intensity_w,11,FALSE)</f>
        <v>0.40217362341931884</v>
      </c>
      <c r="AG9" s="2">
        <f>VLOOKUP($W9,feed_mix_n,MATCH(AG$5,feed_mix_w!$B$5:$AC$5,0),FALSE)/$Z9*VLOOKUP(AG$5,feed_intensity_w,11,FALSE)</f>
        <v>0</v>
      </c>
      <c r="AH9" s="2">
        <f>VLOOKUP($W9,feed_mix_n,MATCH(AH$5,feed_mix_w!$B$5:$AC$5,0),FALSE)/$Z9*VLOOKUP(AH$5,feed_intensity_w,11,FALSE)</f>
        <v>0.40217362341931884</v>
      </c>
      <c r="AI9" s="2">
        <f>VLOOKUP($W9,feed_mix_n,MATCH(AI$5,feed_mix_w!$B$5:$AC$5,0),FALSE)/$Z9*VLOOKUP(AI$5,feed_intensity_w,11,FALSE)</f>
        <v>0</v>
      </c>
      <c r="AJ9" s="2">
        <f>VLOOKUP($W9,feed_mix_n,MATCH(AJ$5,feed_mix_w!$B$5:$AC$5,0),FALSE)/$Z9*VLOOKUP(AJ$5,feed_intensity_w,11,FALSE)</f>
        <v>0</v>
      </c>
      <c r="AK9" s="2">
        <f>VLOOKUP($W9,feed_mix_n,MATCH(AK$5,feed_mix_w!$B$5:$AC$5,0),FALSE)/$Z9*VLOOKUP(AK$5,feed_intensity_w,11,FALSE)</f>
        <v>0</v>
      </c>
      <c r="AL9" s="2">
        <f>VLOOKUP($W9,feed_mix_n,MATCH(AL$5,feed_mix_w!$B$5:$AC$5,0),FALSE)/$Z9*VLOOKUP(AL$5,feed_intensity_w,11,FALSE)</f>
        <v>0</v>
      </c>
      <c r="AM9" s="2">
        <f>VLOOKUP($W9,feed_mix_n,MATCH(AM$5,feed_mix_w!$B$5:$AC$5,0),FALSE)/$Z9*VLOOKUP(AM$5,feed_intensity_w,11,FALSE)</f>
        <v>0.27735937724765958</v>
      </c>
      <c r="AN9" s="2">
        <f>VLOOKUP($W9,feed_mix_n,MATCH(AN$5,feed_mix_w!$B$5:$AC$5,0),FALSE)/$Z9*VLOOKUP(AN$5,feed_intensity_w,11,FALSE)</f>
        <v>0</v>
      </c>
      <c r="AO9" s="2">
        <f>VLOOKUP($W9,feed_mix_n,MATCH(AO$5,feed_mix_w!$B$5:$AC$5,0),FALSE)/$Z9*VLOOKUP(AO$5,feed_intensity_w,11,FALSE)</f>
        <v>0</v>
      </c>
      <c r="AP9" s="2">
        <f>VLOOKUP($W9,feed_mix_n,MATCH(AP$5,feed_mix_w!$B$5:$AC$5,0),FALSE)/$Z9*VLOOKUP(AP$5,feed_intensity_w,11,FALSE)</f>
        <v>0</v>
      </c>
      <c r="AQ9" s="2">
        <f>VLOOKUP($W9,feed_mix_n,MATCH(AQ$5,feed_mix_w!$B$5:$AC$5,0),FALSE)/$Z9*VLOOKUP(AQ$5,feed_intensity_w,11,FALSE)</f>
        <v>0</v>
      </c>
      <c r="AR9" s="2">
        <f>VLOOKUP($W9,feed_mix_n,MATCH(AR$5,feed_mix_w!$B$5:$AC$5,0),FALSE)/$Z9*VLOOKUP(AR$5,feed_intensity_w,11,FALSE)</f>
        <v>0.32217750533406686</v>
      </c>
      <c r="AS9" s="389">
        <f>VLOOKUP($W9,feed_mix_n,MATCH(AS$5,feed_mix_w!$B$5:$AC$5,0),FALSE)/$Z9*VLOOKUP(AS$5,feed_intensity_w,11,FALSE)</f>
        <v>0</v>
      </c>
    </row>
    <row r="10" spans="1:45" ht="12.5">
      <c r="A10" s="14" t="s">
        <v>7116</v>
      </c>
      <c r="B10" s="482">
        <v>867</v>
      </c>
      <c r="C10" s="24" t="s">
        <v>4480</v>
      </c>
      <c r="D10" s="513">
        <v>10637</v>
      </c>
      <c r="E10" s="513">
        <v>36378</v>
      </c>
      <c r="F10" s="25">
        <f t="shared" si="0"/>
        <v>10637</v>
      </c>
      <c r="G10" s="25">
        <f t="shared" si="1"/>
        <v>36378</v>
      </c>
      <c r="H10" s="2">
        <f t="shared" si="2"/>
        <v>6.2243806208575148</v>
      </c>
      <c r="I10" s="25">
        <f t="shared" si="3"/>
        <v>66208.736664061391</v>
      </c>
      <c r="J10" s="87">
        <f>IFERROR(G10*VLOOKUP(W10,livestock_intensity!$B$7:$I$29,8,FALSE)/Z10,0)</f>
        <v>263787.28235245112</v>
      </c>
      <c r="K10" s="2">
        <f>VLOOKUP($W10,feed_mix_n,MATCH(K$5,feed_mix_w!$B$5:$AC$5,0),FALSE)/$Z10*VLOOKUP(K$5,feed_intensity_w,11,FALSE)</f>
        <v>0</v>
      </c>
      <c r="L10" s="25">
        <f t="shared" si="4"/>
        <v>0</v>
      </c>
      <c r="M10" s="25">
        <f>IFERROR(G10*VLOOKUP(W10,livestock_intensity!$B$7:$M$29,12,FALSE)/Z10,0)</f>
        <v>0</v>
      </c>
      <c r="N10" s="2">
        <f>VLOOKUP($W10,feed_mix_n,MATCH(N$5,feed_mix_w!$B$5:$AC$5,0),FALSE)/$Z10*VLOOKUP(N$5,feed_intensity_w,11,FALSE)</f>
        <v>15.326007518475704</v>
      </c>
      <c r="O10" s="25">
        <f t="shared" si="5"/>
        <v>163022.74197402605</v>
      </c>
      <c r="P10" s="343">
        <f>IFERROR(G10*VLOOKUP(W10,livestock_intensity!$B$7:$Q$29,16,FALSE)/Z10,0)</f>
        <v>338519.2547727421</v>
      </c>
      <c r="Q10" s="758"/>
      <c r="R10" s="331">
        <f t="shared" si="6"/>
        <v>229231.47863808746</v>
      </c>
      <c r="S10" s="331">
        <f t="shared" si="7"/>
        <v>602306.53712519328</v>
      </c>
      <c r="T10" s="739">
        <v>2731</v>
      </c>
      <c r="U10" s="558" t="s">
        <v>2796</v>
      </c>
      <c r="V10" s="559" t="str">
        <f>IFERROR(VLOOKUP(W10,constant_ag_extr!$D$7:$E$594,2,FALSE),"")</f>
        <v>Cattle</v>
      </c>
      <c r="W10" s="560">
        <f t="shared" si="8"/>
        <v>866</v>
      </c>
      <c r="X10" s="2">
        <f>IFERROR(IF(VLOOKUP(B10,cnst_grazing!$C$10:$H$25,5,FALSE)="", IF(VLOOKUP(B10, cnst_grazing!$C$10:$H$25,3,FALSE)="", VLOOKUP(B10, cnst_grazing!$C$10:$H$25,4,FALSE),VLOOKUP(B10, cnst_grazing!$C$10:$H$25,3,FALSE)), VLOOKUP(B10,cnst_grazing!$C$10:$H$25,5,FALSE)),1)</f>
        <v>1</v>
      </c>
      <c r="Y10" s="2">
        <f>IFERROR(IF(VLOOKUP(B10,cnst_grazing!$C$10:$H$25,6,FALSE)="", IF(VLOOKUP(B10, cnst_grazing!$C$10:$H$25,4,FALSE)="", VLOOKUP(B10, cnst_grazing!$C$10:$H$25,3,FALSE),VLOOKUP(B10, cnst_grazing!$C$10:$H$25,4,FALSE)), VLOOKUP(B10,cnst_grazing!$C$10:$H$25,6,FALSE)),1)</f>
        <v>1</v>
      </c>
      <c r="Z10" s="400">
        <f t="shared" si="9"/>
        <v>0.58226527382553306</v>
      </c>
      <c r="AA10" s="2">
        <f t="shared" si="10"/>
        <v>21.550388139333219</v>
      </c>
      <c r="AB10" s="2">
        <f>VLOOKUP($W10,feed_mix_n,MATCH(AB$5,feed_mix_w!$B$5:$AC$5,0),FALSE)/$Z10*VLOOKUP(AB$5,feed_intensity_w,11,FALSE)</f>
        <v>1.7457364362484911</v>
      </c>
      <c r="AC10" s="2">
        <f>VLOOKUP($W10,feed_mix_n,MATCH(AC$5,feed_mix_w!$B$5:$AC$5,0),FALSE)/$Z10*VLOOKUP(AC$5,feed_intensity_w,11,FALSE)</f>
        <v>0.68616080027334081</v>
      </c>
      <c r="AD10" s="2">
        <f>VLOOKUP($W10,feed_mix_n,MATCH(AD$5,feed_mix_w!$B$5:$AC$5,0),FALSE)/$Z10*VLOOKUP(AD$5,feed_intensity_w,11,FALSE)</f>
        <v>0</v>
      </c>
      <c r="AE10" s="2">
        <f>VLOOKUP($W10,feed_mix_n,MATCH(AE$5,feed_mix_w!$B$5:$AC$5,0),FALSE)/$Z10*VLOOKUP(AE$5,feed_intensity_w,11,FALSE)</f>
        <v>1.381410300418582</v>
      </c>
      <c r="AF10" s="2">
        <f>VLOOKUP($W10,feed_mix_n,MATCH(AF$5,feed_mix_w!$B$5:$AC$5,0),FALSE)/$Z10*VLOOKUP(AF$5,feed_intensity_w,11,FALSE)</f>
        <v>0.69070515020929102</v>
      </c>
      <c r="AG10" s="2">
        <f>VLOOKUP($W10,feed_mix_n,MATCH(AG$5,feed_mix_w!$B$5:$AC$5,0),FALSE)/$Z10*VLOOKUP(AG$5,feed_intensity_w,11,FALSE)</f>
        <v>0</v>
      </c>
      <c r="AH10" s="2">
        <f>VLOOKUP($W10,feed_mix_n,MATCH(AH$5,feed_mix_w!$B$5:$AC$5,0),FALSE)/$Z10*VLOOKUP(AH$5,feed_intensity_w,11,FALSE)</f>
        <v>0.69070515020929102</v>
      </c>
      <c r="AI10" s="2">
        <f>VLOOKUP($W10,feed_mix_n,MATCH(AI$5,feed_mix_w!$B$5:$AC$5,0),FALSE)/$Z10*VLOOKUP(AI$5,feed_intensity_w,11,FALSE)</f>
        <v>0</v>
      </c>
      <c r="AJ10" s="2">
        <f>VLOOKUP($W10,feed_mix_n,MATCH(AJ$5,feed_mix_w!$B$5:$AC$5,0),FALSE)/$Z10*VLOOKUP(AJ$5,feed_intensity_w,11,FALSE)</f>
        <v>0</v>
      </c>
      <c r="AK10" s="2">
        <f>VLOOKUP($W10,feed_mix_n,MATCH(AK$5,feed_mix_w!$B$5:$AC$5,0),FALSE)/$Z10*VLOOKUP(AK$5,feed_intensity_w,11,FALSE)</f>
        <v>0</v>
      </c>
      <c r="AL10" s="2">
        <f>VLOOKUP($W10,feed_mix_n,MATCH(AL$5,feed_mix_w!$B$5:$AC$5,0),FALSE)/$Z10*VLOOKUP(AL$5,feed_intensity_w,11,FALSE)</f>
        <v>0</v>
      </c>
      <c r="AM10" s="2">
        <f>VLOOKUP($W10,feed_mix_n,MATCH(AM$5,feed_mix_w!$B$5:$AC$5,0),FALSE)/$Z10*VLOOKUP(AM$5,feed_intensity_w,11,FALSE)</f>
        <v>0.47634538708685914</v>
      </c>
      <c r="AN10" s="2">
        <f>VLOOKUP($W10,feed_mix_n,MATCH(AN$5,feed_mix_w!$B$5:$AC$5,0),FALSE)/$Z10*VLOOKUP(AN$5,feed_intensity_w,11,FALSE)</f>
        <v>0</v>
      </c>
      <c r="AO10" s="2">
        <f>VLOOKUP($W10,feed_mix_n,MATCH(AO$5,feed_mix_w!$B$5:$AC$5,0),FALSE)/$Z10*VLOOKUP(AO$5,feed_intensity_w,11,FALSE)</f>
        <v>0</v>
      </c>
      <c r="AP10" s="2">
        <f>VLOOKUP($W10,feed_mix_n,MATCH(AP$5,feed_mix_w!$B$5:$AC$5,0),FALSE)/$Z10*VLOOKUP(AP$5,feed_intensity_w,11,FALSE)</f>
        <v>0</v>
      </c>
      <c r="AQ10" s="2">
        <f>VLOOKUP($W10,feed_mix_n,MATCH(AQ$5,feed_mix_w!$B$5:$AC$5,0),FALSE)/$Z10*VLOOKUP(AQ$5,feed_intensity_w,11,FALSE)</f>
        <v>0</v>
      </c>
      <c r="AR10" s="2">
        <f>VLOOKUP($W10,feed_mix_n,MATCH(AR$5,feed_mix_w!$B$5:$AC$5,0),FALSE)/$Z10*VLOOKUP(AR$5,feed_intensity_w,11,FALSE)</f>
        <v>0.55331739641166111</v>
      </c>
      <c r="AS10" s="389">
        <f>VLOOKUP($W10,feed_mix_n,MATCH(AS$5,feed_mix_w!$B$5:$AC$5,0),FALSE)/$Z10*VLOOKUP(AS$5,feed_intensity_w,11,FALSE)</f>
        <v>0</v>
      </c>
    </row>
    <row r="11" spans="1:45" ht="12.5">
      <c r="A11" s="14" t="s">
        <v>7117</v>
      </c>
      <c r="B11" s="482">
        <v>868</v>
      </c>
      <c r="C11" s="24" t="s">
        <v>674</v>
      </c>
      <c r="D11" s="513">
        <v>10754</v>
      </c>
      <c r="E11" s="513">
        <v>41572</v>
      </c>
      <c r="F11" s="25">
        <f t="shared" si="0"/>
        <v>10754</v>
      </c>
      <c r="G11" s="25">
        <f t="shared" si="1"/>
        <v>41572</v>
      </c>
      <c r="H11" s="2">
        <f t="shared" si="2"/>
        <v>3.8101755146796723</v>
      </c>
      <c r="I11" s="25">
        <f t="shared" si="3"/>
        <v>40974.627484865196</v>
      </c>
      <c r="J11" s="87">
        <f>IFERROR(G11*VLOOKUP(W11,livestock_intensity!$B$7:$I$29,8,FALSE)/Z11,0)</f>
        <v>184529.07022785384</v>
      </c>
      <c r="K11" s="2">
        <f>VLOOKUP($W11,feed_mix_n,MATCH(K$5,feed_mix_w!$B$5:$AC$5,0),FALSE)/$Z11*VLOOKUP(K$5,feed_intensity_w,11,FALSE)</f>
        <v>0</v>
      </c>
      <c r="L11" s="25">
        <f t="shared" si="4"/>
        <v>0</v>
      </c>
      <c r="M11" s="25">
        <f>IFERROR(G11*VLOOKUP(W11,livestock_intensity!$B$7:$M$29,12,FALSE)/Z11,0)</f>
        <v>0</v>
      </c>
      <c r="N11" s="2">
        <f>VLOOKUP($W11,feed_mix_n,MATCH(N$5,feed_mix_w!$B$5:$AC$5,0),FALSE)/$Z11*VLOOKUP(N$5,feed_intensity_w,11,FALSE)</f>
        <v>9.3816207815144494</v>
      </c>
      <c r="O11" s="25">
        <f t="shared" si="5"/>
        <v>100889.94988440639</v>
      </c>
      <c r="P11" s="343">
        <f>IFERROR(G11*VLOOKUP(W11,livestock_intensity!$B$7:$Q$29,16,FALSE)/Z11,0)</f>
        <v>236806.88007535264</v>
      </c>
      <c r="Q11" s="758"/>
      <c r="R11" s="331">
        <f t="shared" si="6"/>
        <v>141864.5773692716</v>
      </c>
      <c r="S11" s="331">
        <f t="shared" si="7"/>
        <v>421335.95030320645</v>
      </c>
      <c r="T11" s="739">
        <v>2736</v>
      </c>
      <c r="U11" s="558" t="s">
        <v>2796</v>
      </c>
      <c r="V11" s="559" t="str">
        <f>IFERROR(VLOOKUP(W11,constant_ag_extr!$D$7:$E$594,2,FALSE),"")</f>
        <v>Cattle</v>
      </c>
      <c r="W11" s="560">
        <f t="shared" si="8"/>
        <v>866</v>
      </c>
      <c r="X11" s="2">
        <f>IFERROR(IF(VLOOKUP(B11,cnst_grazing!$C$10:$H$25,5,FALSE)="", IF(VLOOKUP(B11, cnst_grazing!$C$10:$H$25,3,FALSE)="", VLOOKUP(B11, cnst_grazing!$C$10:$H$25,4,FALSE),VLOOKUP(B11, cnst_grazing!$C$10:$H$25,3,FALSE)), VLOOKUP(B11,cnst_grazing!$C$10:$H$25,5,FALSE)),1)</f>
        <v>1</v>
      </c>
      <c r="Y11" s="2">
        <f>IFERROR(IF(VLOOKUP(B11,cnst_grazing!$C$10:$H$25,6,FALSE)="", IF(VLOOKUP(B11, cnst_grazing!$C$10:$H$25,4,FALSE)="", VLOOKUP(B11, cnst_grazing!$C$10:$H$25,3,FALSE),VLOOKUP(B11, cnst_grazing!$C$10:$H$25,4,FALSE)), VLOOKUP(B11,cnst_grazing!$C$10:$H$25,6,FALSE)),1)</f>
        <v>1</v>
      </c>
      <c r="Z11" s="400">
        <f t="shared" si="9"/>
        <v>0.95120045589360191</v>
      </c>
      <c r="AA11" s="2">
        <f t="shared" si="10"/>
        <v>13.191796296194122</v>
      </c>
      <c r="AB11" s="2">
        <f>VLOOKUP($W11,feed_mix_n,MATCH(AB$5,feed_mix_w!$B$5:$AC$5,0),FALSE)/$Z11*VLOOKUP(AB$5,feed_intensity_w,11,FALSE)</f>
        <v>1.0686303794130416</v>
      </c>
      <c r="AC11" s="2">
        <f>VLOOKUP($W11,feed_mix_n,MATCH(AC$5,feed_mix_w!$B$5:$AC$5,0),FALSE)/$Z11*VLOOKUP(AC$5,feed_intensity_w,11,FALSE)</f>
        <v>0.42002461603550112</v>
      </c>
      <c r="AD11" s="2">
        <f>VLOOKUP($W11,feed_mix_n,MATCH(AD$5,feed_mix_w!$B$5:$AC$5,0),FALSE)/$Z11*VLOOKUP(AD$5,feed_intensity_w,11,FALSE)</f>
        <v>0</v>
      </c>
      <c r="AE11" s="2">
        <f>VLOOKUP($W11,feed_mix_n,MATCH(AE$5,feed_mix_w!$B$5:$AC$5,0),FALSE)/$Z11*VLOOKUP(AE$5,feed_intensity_w,11,FALSE)</f>
        <v>0.84561276422328513</v>
      </c>
      <c r="AF11" s="2">
        <f>VLOOKUP($W11,feed_mix_n,MATCH(AF$5,feed_mix_w!$B$5:$AC$5,0),FALSE)/$Z11*VLOOKUP(AF$5,feed_intensity_w,11,FALSE)</f>
        <v>0.42280638211164256</v>
      </c>
      <c r="AG11" s="2">
        <f>VLOOKUP($W11,feed_mix_n,MATCH(AG$5,feed_mix_w!$B$5:$AC$5,0),FALSE)/$Z11*VLOOKUP(AG$5,feed_intensity_w,11,FALSE)</f>
        <v>0</v>
      </c>
      <c r="AH11" s="2">
        <f>VLOOKUP($W11,feed_mix_n,MATCH(AH$5,feed_mix_w!$B$5:$AC$5,0),FALSE)/$Z11*VLOOKUP(AH$5,feed_intensity_w,11,FALSE)</f>
        <v>0.42280638211164256</v>
      </c>
      <c r="AI11" s="2">
        <f>VLOOKUP($W11,feed_mix_n,MATCH(AI$5,feed_mix_w!$B$5:$AC$5,0),FALSE)/$Z11*VLOOKUP(AI$5,feed_intensity_w,11,FALSE)</f>
        <v>0</v>
      </c>
      <c r="AJ11" s="2">
        <f>VLOOKUP($W11,feed_mix_n,MATCH(AJ$5,feed_mix_w!$B$5:$AC$5,0),FALSE)/$Z11*VLOOKUP(AJ$5,feed_intensity_w,11,FALSE)</f>
        <v>0</v>
      </c>
      <c r="AK11" s="2">
        <f>VLOOKUP($W11,feed_mix_n,MATCH(AK$5,feed_mix_w!$B$5:$AC$5,0),FALSE)/$Z11*VLOOKUP(AK$5,feed_intensity_w,11,FALSE)</f>
        <v>0</v>
      </c>
      <c r="AL11" s="2">
        <f>VLOOKUP($W11,feed_mix_n,MATCH(AL$5,feed_mix_w!$B$5:$AC$5,0),FALSE)/$Z11*VLOOKUP(AL$5,feed_intensity_w,11,FALSE)</f>
        <v>0</v>
      </c>
      <c r="AM11" s="2">
        <f>VLOOKUP($W11,feed_mix_n,MATCH(AM$5,feed_mix_w!$B$5:$AC$5,0),FALSE)/$Z11*VLOOKUP(AM$5,feed_intensity_w,11,FALSE)</f>
        <v>0.29158877661291205</v>
      </c>
      <c r="AN11" s="2">
        <f>VLOOKUP($W11,feed_mix_n,MATCH(AN$5,feed_mix_w!$B$5:$AC$5,0),FALSE)/$Z11*VLOOKUP(AN$5,feed_intensity_w,11,FALSE)</f>
        <v>0</v>
      </c>
      <c r="AO11" s="2">
        <f>VLOOKUP($W11,feed_mix_n,MATCH(AO$5,feed_mix_w!$B$5:$AC$5,0),FALSE)/$Z11*VLOOKUP(AO$5,feed_intensity_w,11,FALSE)</f>
        <v>0</v>
      </c>
      <c r="AP11" s="2">
        <f>VLOOKUP($W11,feed_mix_n,MATCH(AP$5,feed_mix_w!$B$5:$AC$5,0),FALSE)/$Z11*VLOOKUP(AP$5,feed_intensity_w,11,FALSE)</f>
        <v>0</v>
      </c>
      <c r="AQ11" s="2">
        <f>VLOOKUP($W11,feed_mix_n,MATCH(AQ$5,feed_mix_w!$B$5:$AC$5,0),FALSE)/$Z11*VLOOKUP(AQ$5,feed_intensity_w,11,FALSE)</f>
        <v>0</v>
      </c>
      <c r="AR11" s="2">
        <f>VLOOKUP($W11,feed_mix_n,MATCH(AR$5,feed_mix_w!$B$5:$AC$5,0),FALSE)/$Z11*VLOOKUP(AR$5,feed_intensity_w,11,FALSE)</f>
        <v>0.33870621417164731</v>
      </c>
      <c r="AS11" s="389">
        <f>VLOOKUP($W11,feed_mix_n,MATCH(AS$5,feed_mix_w!$B$5:$AC$5,0),FALSE)/$Z11*VLOOKUP(AS$5,feed_intensity_w,11,FALSE)</f>
        <v>0</v>
      </c>
    </row>
    <row r="12" spans="1:45" ht="12.5">
      <c r="A12" s="14" t="s">
        <v>7118</v>
      </c>
      <c r="B12" s="482">
        <v>869</v>
      </c>
      <c r="C12" s="24" t="s">
        <v>1202</v>
      </c>
      <c r="D12" s="513">
        <v>353</v>
      </c>
      <c r="E12" s="513">
        <v>226</v>
      </c>
      <c r="F12" s="25">
        <f t="shared" si="0"/>
        <v>353</v>
      </c>
      <c r="G12" s="25">
        <f t="shared" si="1"/>
        <v>226</v>
      </c>
      <c r="H12" s="2">
        <f t="shared" si="2"/>
        <v>1.3117576783534026</v>
      </c>
      <c r="I12" s="25">
        <f t="shared" si="3"/>
        <v>463.0504604587511</v>
      </c>
      <c r="J12" s="87">
        <f>IFERROR(G12*VLOOKUP(W12,livestock_intensity!$B$7:$I$29,8,FALSE)/Z12,0)</f>
        <v>345.36708677089501</v>
      </c>
      <c r="K12" s="2">
        <f>VLOOKUP($W12,feed_mix_n,MATCH(K$5,feed_mix_w!$B$5:$AC$5,0),FALSE)/$Z12*VLOOKUP(K$5,feed_intensity_w,11,FALSE)</f>
        <v>0</v>
      </c>
      <c r="L12" s="25">
        <f t="shared" si="4"/>
        <v>0</v>
      </c>
      <c r="M12" s="25">
        <f>IFERROR(G12*VLOOKUP(W12,livestock_intensity!$B$7:$M$29,12,FALSE)/Z12,0)</f>
        <v>0</v>
      </c>
      <c r="N12" s="2">
        <f>VLOOKUP($W12,feed_mix_n,MATCH(N$5,feed_mix_w!$B$5:$AC$5,0),FALSE)/$Z12*VLOOKUP(N$5,feed_intensity_w,11,FALSE)</f>
        <v>3.2298808934490912</v>
      </c>
      <c r="O12" s="25">
        <f t="shared" si="5"/>
        <v>1140.1479553875292</v>
      </c>
      <c r="P12" s="343">
        <f>IFERROR(G12*VLOOKUP(W12,livestock_intensity!$B$7:$Q$29,16,FALSE)/Z12,0)</f>
        <v>443.21093797276461</v>
      </c>
      <c r="Q12" s="758"/>
      <c r="R12" s="331">
        <f t="shared" si="6"/>
        <v>1603.1984158462803</v>
      </c>
      <c r="S12" s="331">
        <f t="shared" si="7"/>
        <v>788.57802474365963</v>
      </c>
      <c r="T12" s="739">
        <v>2737</v>
      </c>
      <c r="U12" s="558" t="s">
        <v>2796</v>
      </c>
      <c r="V12" s="559" t="str">
        <f>IFERROR(VLOOKUP(W12,constant_ag_extr!$D$7:$E$594,2,FALSE),"")</f>
        <v>Cattle</v>
      </c>
      <c r="W12" s="560">
        <f t="shared" si="8"/>
        <v>866</v>
      </c>
      <c r="X12" s="2">
        <f>IFERROR(IF(VLOOKUP(B12,cnst_grazing!$C$10:$H$25,5,FALSE)="", IF(VLOOKUP(B12, cnst_grazing!$C$10:$H$25,3,FALSE)="", VLOOKUP(B12, cnst_grazing!$C$10:$H$25,4,FALSE),VLOOKUP(B12, cnst_grazing!$C$10:$H$25,3,FALSE)), VLOOKUP(B12,cnst_grazing!$C$10:$H$25,5,FALSE)),1)</f>
        <v>1</v>
      </c>
      <c r="Y12" s="2">
        <f>IFERROR(IF(VLOOKUP(B12,cnst_grazing!$C$10:$H$25,6,FALSE)="", IF(VLOOKUP(B12, cnst_grazing!$C$10:$H$25,4,FALSE)="", VLOOKUP(B12, cnst_grazing!$C$10:$H$25,3,FALSE),VLOOKUP(B12, cnst_grazing!$C$10:$H$25,4,FALSE)), VLOOKUP(B12,cnst_grazing!$C$10:$H$25,6,FALSE)),1)</f>
        <v>1</v>
      </c>
      <c r="Z12" s="400">
        <f t="shared" si="9"/>
        <v>2.762888867665946</v>
      </c>
      <c r="AA12" s="2">
        <f t="shared" si="10"/>
        <v>4.5416385718024941</v>
      </c>
      <c r="AB12" s="2">
        <f>VLOOKUP($W12,feed_mix_n,MATCH(AB$5,feed_mix_w!$B$5:$AC$5,0),FALSE)/$Z12*VLOOKUP(AB$5,feed_intensity_w,11,FALSE)</f>
        <v>0.36790538916541693</v>
      </c>
      <c r="AC12" s="2">
        <f>VLOOKUP($W12,feed_mix_n,MATCH(AC$5,feed_mix_w!$B$5:$AC$5,0),FALSE)/$Z12*VLOOKUP(AC$5,feed_intensity_w,11,FALSE)</f>
        <v>0.14460502227764943</v>
      </c>
      <c r="AD12" s="2">
        <f>VLOOKUP($W12,feed_mix_n,MATCH(AD$5,feed_mix_w!$B$5:$AC$5,0),FALSE)/$Z12*VLOOKUP(AD$5,feed_intensity_w,11,FALSE)</f>
        <v>0</v>
      </c>
      <c r="AE12" s="2">
        <f>VLOOKUP($W12,feed_mix_n,MATCH(AE$5,feed_mix_w!$B$5:$AC$5,0),FALSE)/$Z12*VLOOKUP(AE$5,feed_intensity_w,11,FALSE)</f>
        <v>0.29112544346314589</v>
      </c>
      <c r="AF12" s="2">
        <f>VLOOKUP($W12,feed_mix_n,MATCH(AF$5,feed_mix_w!$B$5:$AC$5,0),FALSE)/$Z12*VLOOKUP(AF$5,feed_intensity_w,11,FALSE)</f>
        <v>0.14556272173157295</v>
      </c>
      <c r="AG12" s="2">
        <f>VLOOKUP($W12,feed_mix_n,MATCH(AG$5,feed_mix_w!$B$5:$AC$5,0),FALSE)/$Z12*VLOOKUP(AG$5,feed_intensity_w,11,FALSE)</f>
        <v>0</v>
      </c>
      <c r="AH12" s="2">
        <f>VLOOKUP($W12,feed_mix_n,MATCH(AH$5,feed_mix_w!$B$5:$AC$5,0),FALSE)/$Z12*VLOOKUP(AH$5,feed_intensity_w,11,FALSE)</f>
        <v>0.14556272173157295</v>
      </c>
      <c r="AI12" s="2">
        <f>VLOOKUP($W12,feed_mix_n,MATCH(AI$5,feed_mix_w!$B$5:$AC$5,0),FALSE)/$Z12*VLOOKUP(AI$5,feed_intensity_w,11,FALSE)</f>
        <v>0</v>
      </c>
      <c r="AJ12" s="2">
        <f>VLOOKUP($W12,feed_mix_n,MATCH(AJ$5,feed_mix_w!$B$5:$AC$5,0),FALSE)/$Z12*VLOOKUP(AJ$5,feed_intensity_w,11,FALSE)</f>
        <v>0</v>
      </c>
      <c r="AK12" s="2">
        <f>VLOOKUP($W12,feed_mix_n,MATCH(AK$5,feed_mix_w!$B$5:$AC$5,0),FALSE)/$Z12*VLOOKUP(AK$5,feed_intensity_w,11,FALSE)</f>
        <v>0</v>
      </c>
      <c r="AL12" s="2">
        <f>VLOOKUP($W12,feed_mix_n,MATCH(AL$5,feed_mix_w!$B$5:$AC$5,0),FALSE)/$Z12*VLOOKUP(AL$5,feed_intensity_w,11,FALSE)</f>
        <v>0</v>
      </c>
      <c r="AM12" s="2">
        <f>VLOOKUP($W12,feed_mix_n,MATCH(AM$5,feed_mix_w!$B$5:$AC$5,0),FALSE)/$Z12*VLOOKUP(AM$5,feed_intensity_w,11,FALSE)</f>
        <v>0.10038745332597084</v>
      </c>
      <c r="AN12" s="2">
        <f>VLOOKUP($W12,feed_mix_n,MATCH(AN$5,feed_mix_w!$B$5:$AC$5,0),FALSE)/$Z12*VLOOKUP(AN$5,feed_intensity_w,11,FALSE)</f>
        <v>0</v>
      </c>
      <c r="AO12" s="2">
        <f>VLOOKUP($W12,feed_mix_n,MATCH(AO$5,feed_mix_w!$B$5:$AC$5,0),FALSE)/$Z12*VLOOKUP(AO$5,feed_intensity_w,11,FALSE)</f>
        <v>0</v>
      </c>
      <c r="AP12" s="2">
        <f>VLOOKUP($W12,feed_mix_n,MATCH(AP$5,feed_mix_w!$B$5:$AC$5,0),FALSE)/$Z12*VLOOKUP(AP$5,feed_intensity_w,11,FALSE)</f>
        <v>0</v>
      </c>
      <c r="AQ12" s="2">
        <f>VLOOKUP($W12,feed_mix_n,MATCH(AQ$5,feed_mix_w!$B$5:$AC$5,0),FALSE)/$Z12*VLOOKUP(AQ$5,feed_intensity_w,11,FALSE)</f>
        <v>0</v>
      </c>
      <c r="AR12" s="2">
        <f>VLOOKUP($W12,feed_mix_n,MATCH(AR$5,feed_mix_w!$B$5:$AC$5,0),FALSE)/$Z12*VLOOKUP(AR$5,feed_intensity_w,11,FALSE)</f>
        <v>0.11660892665807381</v>
      </c>
      <c r="AS12" s="389">
        <f>VLOOKUP($W12,feed_mix_n,MATCH(AS$5,feed_mix_w!$B$5:$AC$5,0),FALSE)/$Z12*VLOOKUP(AS$5,feed_intensity_w,11,FALSE)</f>
        <v>0</v>
      </c>
    </row>
    <row r="13" spans="1:45" ht="12.5">
      <c r="A13" s="14" t="s">
        <v>7119</v>
      </c>
      <c r="B13" s="482">
        <v>870</v>
      </c>
      <c r="C13" s="24" t="s">
        <v>1564</v>
      </c>
      <c r="D13" s="513">
        <v>125725</v>
      </c>
      <c r="E13" s="513">
        <v>314825</v>
      </c>
      <c r="F13" s="25">
        <f t="shared" si="0"/>
        <v>125725</v>
      </c>
      <c r="G13" s="25">
        <f t="shared" si="1"/>
        <v>314825</v>
      </c>
      <c r="H13" s="2">
        <f t="shared" si="2"/>
        <v>8.3289198283271944</v>
      </c>
      <c r="I13" s="25">
        <f t="shared" si="3"/>
        <v>1047153.4454164365</v>
      </c>
      <c r="J13" s="87">
        <f>IFERROR(G13*VLOOKUP(W13,livestock_intensity!$B$7:$I$29,8,FALSE)/Z13,0)</f>
        <v>3054757.8312491747</v>
      </c>
      <c r="K13" s="2">
        <f>VLOOKUP($W13,feed_mix_n,MATCH(K$5,feed_mix_w!$B$5:$AC$5,0),FALSE)/$Z13*VLOOKUP(K$5,feed_intensity_w,11,FALSE)</f>
        <v>0</v>
      </c>
      <c r="L13" s="25">
        <f t="shared" si="4"/>
        <v>0</v>
      </c>
      <c r="M13" s="25">
        <f>IFERROR(G13*VLOOKUP(W13,livestock_intensity!$B$7:$M$29,12,FALSE)/Z13,0)</f>
        <v>0</v>
      </c>
      <c r="N13" s="2">
        <f>VLOOKUP($W13,feed_mix_n,MATCH(N$5,feed_mix_w!$B$5:$AC$5,0),FALSE)/$Z13*VLOOKUP(N$5,feed_intensity_w,11,FALSE)</f>
        <v>20.507918086175469</v>
      </c>
      <c r="O13" s="25">
        <f t="shared" si="5"/>
        <v>2578358.001384411</v>
      </c>
      <c r="P13" s="343">
        <f>IFERROR(G13*VLOOKUP(W13,livestock_intensity!$B$7:$Q$29,16,FALSE)/Z13,0)</f>
        <v>3920182.7143584425</v>
      </c>
      <c r="Q13" s="758"/>
      <c r="R13" s="331">
        <f t="shared" si="6"/>
        <v>3625511.4468008475</v>
      </c>
      <c r="S13" s="331">
        <f t="shared" si="7"/>
        <v>6974940.5456076171</v>
      </c>
      <c r="T13" s="739" t="s">
        <v>2738</v>
      </c>
      <c r="U13" s="558" t="s">
        <v>2796</v>
      </c>
      <c r="V13" s="559" t="str">
        <f>IFERROR(VLOOKUP(W13,constant_ag_extr!$D$7:$E$594,2,FALSE),"")</f>
        <v>Cattle</v>
      </c>
      <c r="W13" s="560">
        <f t="shared" si="8"/>
        <v>866</v>
      </c>
      <c r="X13" s="2">
        <f>IFERROR(IF(VLOOKUP(B13,cnst_grazing!$C$10:$H$25,5,FALSE)="", IF(VLOOKUP(B13, cnst_grazing!$C$10:$H$25,3,FALSE)="", VLOOKUP(B13, cnst_grazing!$C$10:$H$25,4,FALSE),VLOOKUP(B13, cnst_grazing!$C$10:$H$25,3,FALSE)), VLOOKUP(B13,cnst_grazing!$C$10:$H$25,5,FALSE)),1)</f>
        <v>1</v>
      </c>
      <c r="Y13" s="2">
        <f>IFERROR(IF(VLOOKUP(B13,cnst_grazing!$C$10:$H$25,6,FALSE)="", IF(VLOOKUP(B13, cnst_grazing!$C$10:$H$25,4,FALSE)="", VLOOKUP(B13, cnst_grazing!$C$10:$H$25,3,FALSE),VLOOKUP(B13, cnst_grazing!$C$10:$H$25,4,FALSE)), VLOOKUP(B13,cnst_grazing!$C$10:$H$25,6,FALSE)),1)</f>
        <v>1</v>
      </c>
      <c r="Z13" s="400">
        <f t="shared" si="9"/>
        <v>0.43513934115101777</v>
      </c>
      <c r="AA13" s="2">
        <f t="shared" si="10"/>
        <v>28.836837914502663</v>
      </c>
      <c r="AB13" s="2">
        <f>VLOOKUP($W13,feed_mix_n,MATCH(AB$5,feed_mix_w!$B$5:$AC$5,0),FALSE)/$Z13*VLOOKUP(AB$5,feed_intensity_w,11,FALSE)</f>
        <v>2.3359912744057354</v>
      </c>
      <c r="AC13" s="2">
        <f>VLOOKUP($W13,feed_mix_n,MATCH(AC$5,feed_mix_w!$B$5:$AC$5,0),FALSE)/$Z13*VLOOKUP(AC$5,feed_intensity_w,11,FALSE)</f>
        <v>0.91816015808335105</v>
      </c>
      <c r="AD13" s="2">
        <f>VLOOKUP($W13,feed_mix_n,MATCH(AD$5,feed_mix_w!$B$5:$AC$5,0),FALSE)/$Z13*VLOOKUP(AD$5,feed_intensity_w,11,FALSE)</f>
        <v>0</v>
      </c>
      <c r="AE13" s="2">
        <f>VLOOKUP($W13,feed_mix_n,MATCH(AE$5,feed_mix_w!$B$5:$AC$5,0),FALSE)/$Z13*VLOOKUP(AE$5,feed_intensity_w,11,FALSE)</f>
        <v>1.8484820166133495</v>
      </c>
      <c r="AF13" s="2">
        <f>VLOOKUP($W13,feed_mix_n,MATCH(AF$5,feed_mix_w!$B$5:$AC$5,0),FALSE)/$Z13*VLOOKUP(AF$5,feed_intensity_w,11,FALSE)</f>
        <v>0.92424100830667477</v>
      </c>
      <c r="AG13" s="2">
        <f>VLOOKUP($W13,feed_mix_n,MATCH(AG$5,feed_mix_w!$B$5:$AC$5,0),FALSE)/$Z13*VLOOKUP(AG$5,feed_intensity_w,11,FALSE)</f>
        <v>0</v>
      </c>
      <c r="AH13" s="2">
        <f>VLOOKUP($W13,feed_mix_n,MATCH(AH$5,feed_mix_w!$B$5:$AC$5,0),FALSE)/$Z13*VLOOKUP(AH$5,feed_intensity_w,11,FALSE)</f>
        <v>0.92424100830667477</v>
      </c>
      <c r="AI13" s="2">
        <f>VLOOKUP($W13,feed_mix_n,MATCH(AI$5,feed_mix_w!$B$5:$AC$5,0),FALSE)/$Z13*VLOOKUP(AI$5,feed_intensity_w,11,FALSE)</f>
        <v>0</v>
      </c>
      <c r="AJ13" s="2">
        <f>VLOOKUP($W13,feed_mix_n,MATCH(AJ$5,feed_mix_w!$B$5:$AC$5,0),FALSE)/$Z13*VLOOKUP(AJ$5,feed_intensity_w,11,FALSE)</f>
        <v>0</v>
      </c>
      <c r="AK13" s="2">
        <f>VLOOKUP($W13,feed_mix_n,MATCH(AK$5,feed_mix_w!$B$5:$AC$5,0),FALSE)/$Z13*VLOOKUP(AK$5,feed_intensity_w,11,FALSE)</f>
        <v>0</v>
      </c>
      <c r="AL13" s="2">
        <f>VLOOKUP($W13,feed_mix_n,MATCH(AL$5,feed_mix_w!$B$5:$AC$5,0),FALSE)/$Z13*VLOOKUP(AL$5,feed_intensity_w,11,FALSE)</f>
        <v>0</v>
      </c>
      <c r="AM13" s="2">
        <f>VLOOKUP($W13,feed_mix_n,MATCH(AM$5,feed_mix_w!$B$5:$AC$5,0),FALSE)/$Z13*VLOOKUP(AM$5,feed_intensity_w,11,FALSE)</f>
        <v>0.63740358781165762</v>
      </c>
      <c r="AN13" s="2">
        <f>VLOOKUP($W13,feed_mix_n,MATCH(AN$5,feed_mix_w!$B$5:$AC$5,0),FALSE)/$Z13*VLOOKUP(AN$5,feed_intensity_w,11,FALSE)</f>
        <v>0</v>
      </c>
      <c r="AO13" s="2">
        <f>VLOOKUP($W13,feed_mix_n,MATCH(AO$5,feed_mix_w!$B$5:$AC$5,0),FALSE)/$Z13*VLOOKUP(AO$5,feed_intensity_w,11,FALSE)</f>
        <v>0</v>
      </c>
      <c r="AP13" s="2">
        <f>VLOOKUP($W13,feed_mix_n,MATCH(AP$5,feed_mix_w!$B$5:$AC$5,0),FALSE)/$Z13*VLOOKUP(AP$5,feed_intensity_w,11,FALSE)</f>
        <v>0</v>
      </c>
      <c r="AQ13" s="2">
        <f>VLOOKUP($W13,feed_mix_n,MATCH(AQ$5,feed_mix_w!$B$5:$AC$5,0),FALSE)/$Z13*VLOOKUP(AQ$5,feed_intensity_w,11,FALSE)</f>
        <v>0</v>
      </c>
      <c r="AR13" s="2">
        <f>VLOOKUP($W13,feed_mix_n,MATCH(AR$5,feed_mix_w!$B$5:$AC$5,0),FALSE)/$Z13*VLOOKUP(AR$5,feed_intensity_w,11,FALSE)</f>
        <v>0.7404007747997513</v>
      </c>
      <c r="AS13" s="389">
        <f>VLOOKUP($W13,feed_mix_n,MATCH(AS$5,feed_mix_w!$B$5:$AC$5,0),FALSE)/$Z13*VLOOKUP(AS$5,feed_intensity_w,11,FALSE)</f>
        <v>0</v>
      </c>
    </row>
    <row r="14" spans="1:45" ht="12.5">
      <c r="A14" s="14" t="s">
        <v>5310</v>
      </c>
      <c r="B14" s="482">
        <v>871</v>
      </c>
      <c r="C14" s="24" t="s">
        <v>536</v>
      </c>
      <c r="D14" s="513"/>
      <c r="E14" s="513"/>
      <c r="F14" s="25">
        <f t="shared" si="0"/>
        <v>0</v>
      </c>
      <c r="G14" s="25">
        <f t="shared" si="1"/>
        <v>0</v>
      </c>
      <c r="H14" s="2">
        <f t="shared" si="2"/>
        <v>2.5903961895434122</v>
      </c>
      <c r="I14" s="25">
        <f t="shared" si="3"/>
        <v>0</v>
      </c>
      <c r="J14" s="87">
        <f>IFERROR(G14*VLOOKUP(W14,livestock_intensity!$B$7:$I$29,8,FALSE)/Z14,0)</f>
        <v>0</v>
      </c>
      <c r="K14" s="2">
        <f>VLOOKUP($W14,feed_mix_n,MATCH(K$5,feed_mix_w!$B$5:$AC$5,0),FALSE)/$Z14*VLOOKUP(K$5,feed_intensity_w,11,FALSE)</f>
        <v>0</v>
      </c>
      <c r="L14" s="25">
        <f t="shared" si="4"/>
        <v>0</v>
      </c>
      <c r="M14" s="25">
        <f>IFERROR(G14*VLOOKUP(W14,livestock_intensity!$B$7:$M$29,12,FALSE)/Z14,0)</f>
        <v>0</v>
      </c>
      <c r="N14" s="2">
        <f>VLOOKUP($W14,feed_mix_n,MATCH(N$5,feed_mix_w!$B$5:$AC$5,0),FALSE)/$Z14*VLOOKUP(N$5,feed_intensity_w,11,FALSE)</f>
        <v>6.3782139774260358</v>
      </c>
      <c r="O14" s="25">
        <f t="shared" si="5"/>
        <v>0</v>
      </c>
      <c r="P14" s="343">
        <f>IFERROR(G14*VLOOKUP(W14,livestock_intensity!$B$7:$Q$29,16,FALSE)/Z14,0)</f>
        <v>0</v>
      </c>
      <c r="Q14" s="758"/>
      <c r="R14" s="331">
        <f t="shared" si="6"/>
        <v>0</v>
      </c>
      <c r="S14" s="331">
        <f t="shared" si="7"/>
        <v>0</v>
      </c>
      <c r="T14" s="739">
        <v>2737</v>
      </c>
      <c r="U14" s="558" t="s">
        <v>2796</v>
      </c>
      <c r="V14" s="559" t="str">
        <f>IFERROR(VLOOKUP(W14,constant_ag_extr!$D$7:$E$594,2,FALSE),"")</f>
        <v>Cattle</v>
      </c>
      <c r="W14" s="560">
        <f t="shared" si="8"/>
        <v>866</v>
      </c>
      <c r="X14" s="2">
        <f>IFERROR(IF(VLOOKUP(B14,cnst_grazing!$C$10:$H$25,5,FALSE)="", IF(VLOOKUP(B14, cnst_grazing!$C$10:$H$25,3,FALSE)="", VLOOKUP(B14, cnst_grazing!$C$10:$H$25,4,FALSE),VLOOKUP(B14, cnst_grazing!$C$10:$H$25,3,FALSE)), VLOOKUP(B14,cnst_grazing!$C$10:$H$25,5,FALSE)),1)</f>
        <v>1</v>
      </c>
      <c r="Y14" s="2">
        <f>IFERROR(IF(VLOOKUP(B14,cnst_grazing!$C$10:$H$25,6,FALSE)="", IF(VLOOKUP(B14, cnst_grazing!$C$10:$H$25,4,FALSE)="", VLOOKUP(B14, cnst_grazing!$C$10:$H$25,3,FALSE),VLOOKUP(B14, cnst_grazing!$C$10:$H$25,4,FALSE)), VLOOKUP(B14,cnst_grazing!$C$10:$H$25,6,FALSE)),1)</f>
        <v>1</v>
      </c>
      <c r="Z14" s="400">
        <f t="shared" si="9"/>
        <v>1.3991067085520836</v>
      </c>
      <c r="AA14" s="2">
        <f t="shared" si="10"/>
        <v>8.968610166969448</v>
      </c>
      <c r="AB14" s="2">
        <f>VLOOKUP($W14,feed_mix_n,MATCH(AB$5,feed_mix_w!$B$5:$AC$5,0),FALSE)/$Z14*VLOOKUP(AB$5,feed_intensity_w,11,FALSE)</f>
        <v>0.72652192850349551</v>
      </c>
      <c r="AC14" s="2">
        <f>VLOOKUP($W14,feed_mix_n,MATCH(AC$5,feed_mix_w!$B$5:$AC$5,0),FALSE)/$Z14*VLOOKUP(AC$5,feed_intensity_w,11,FALSE)</f>
        <v>0.28555906695134742</v>
      </c>
      <c r="AD14" s="2">
        <f>VLOOKUP($W14,feed_mix_n,MATCH(AD$5,feed_mix_w!$B$5:$AC$5,0),FALSE)/$Z14*VLOOKUP(AD$5,feed_intensity_w,11,FALSE)</f>
        <v>0</v>
      </c>
      <c r="AE14" s="2">
        <f>VLOOKUP($W14,feed_mix_n,MATCH(AE$5,feed_mix_w!$B$5:$AC$5,0),FALSE)/$Z14*VLOOKUP(AE$5,feed_intensity_w,11,FALSE)</f>
        <v>0.57490057185920118</v>
      </c>
      <c r="AF14" s="2">
        <f>VLOOKUP($W14,feed_mix_n,MATCH(AF$5,feed_mix_w!$B$5:$AC$5,0),FALSE)/$Z14*VLOOKUP(AF$5,feed_intensity_w,11,FALSE)</f>
        <v>0.28745028592960059</v>
      </c>
      <c r="AG14" s="2">
        <f>VLOOKUP($W14,feed_mix_n,MATCH(AG$5,feed_mix_w!$B$5:$AC$5,0),FALSE)/$Z14*VLOOKUP(AG$5,feed_intensity_w,11,FALSE)</f>
        <v>0</v>
      </c>
      <c r="AH14" s="2">
        <f>VLOOKUP($W14,feed_mix_n,MATCH(AH$5,feed_mix_w!$B$5:$AC$5,0),FALSE)/$Z14*VLOOKUP(AH$5,feed_intensity_w,11,FALSE)</f>
        <v>0.28745028592960059</v>
      </c>
      <c r="AI14" s="2">
        <f>VLOOKUP($W14,feed_mix_n,MATCH(AI$5,feed_mix_w!$B$5:$AC$5,0),FALSE)/$Z14*VLOOKUP(AI$5,feed_intensity_w,11,FALSE)</f>
        <v>0</v>
      </c>
      <c r="AJ14" s="2">
        <f>VLOOKUP($W14,feed_mix_n,MATCH(AJ$5,feed_mix_w!$B$5:$AC$5,0),FALSE)/$Z14*VLOOKUP(AJ$5,feed_intensity_w,11,FALSE)</f>
        <v>0</v>
      </c>
      <c r="AK14" s="2">
        <f>VLOOKUP($W14,feed_mix_n,MATCH(AK$5,feed_mix_w!$B$5:$AC$5,0),FALSE)/$Z14*VLOOKUP(AK$5,feed_intensity_w,11,FALSE)</f>
        <v>0</v>
      </c>
      <c r="AL14" s="2">
        <f>VLOOKUP($W14,feed_mix_n,MATCH(AL$5,feed_mix_w!$B$5:$AC$5,0),FALSE)/$Z14*VLOOKUP(AL$5,feed_intensity_w,11,FALSE)</f>
        <v>0</v>
      </c>
      <c r="AM14" s="2">
        <f>VLOOKUP($W14,feed_mix_n,MATCH(AM$5,feed_mix_w!$B$5:$AC$5,0),FALSE)/$Z14*VLOOKUP(AM$5,feed_intensity_w,11,FALSE)</f>
        <v>0.19824033117151946</v>
      </c>
      <c r="AN14" s="2">
        <f>VLOOKUP($W14,feed_mix_n,MATCH(AN$5,feed_mix_w!$B$5:$AC$5,0),FALSE)/$Z14*VLOOKUP(AN$5,feed_intensity_w,11,FALSE)</f>
        <v>0</v>
      </c>
      <c r="AO14" s="2">
        <f>VLOOKUP($W14,feed_mix_n,MATCH(AO$5,feed_mix_w!$B$5:$AC$5,0),FALSE)/$Z14*VLOOKUP(AO$5,feed_intensity_w,11,FALSE)</f>
        <v>0</v>
      </c>
      <c r="AP14" s="2">
        <f>VLOOKUP($W14,feed_mix_n,MATCH(AP$5,feed_mix_w!$B$5:$AC$5,0),FALSE)/$Z14*VLOOKUP(AP$5,feed_intensity_w,11,FALSE)</f>
        <v>0</v>
      </c>
      <c r="AQ14" s="2">
        <f>VLOOKUP($W14,feed_mix_n,MATCH(AQ$5,feed_mix_w!$B$5:$AC$5,0),FALSE)/$Z14*VLOOKUP(AQ$5,feed_intensity_w,11,FALSE)</f>
        <v>0</v>
      </c>
      <c r="AR14" s="2">
        <f>VLOOKUP($W14,feed_mix_n,MATCH(AR$5,feed_mix_w!$B$5:$AC$5,0),FALSE)/$Z14*VLOOKUP(AR$5,feed_intensity_w,11,FALSE)</f>
        <v>0.23027371919864781</v>
      </c>
      <c r="AS14" s="389">
        <f>VLOOKUP($W14,feed_mix_n,MATCH(AS$5,feed_mix_w!$B$5:$AC$5,0),FALSE)/$Z14*VLOOKUP(AS$5,feed_intensity_w,11,FALSE)</f>
        <v>0</v>
      </c>
    </row>
    <row r="15" spans="1:45" ht="12.5">
      <c r="A15" s="14" t="s">
        <v>1894</v>
      </c>
      <c r="B15" s="482">
        <v>872</v>
      </c>
      <c r="C15" s="24">
        <v>210.2</v>
      </c>
      <c r="D15" s="513"/>
      <c r="E15" s="513"/>
      <c r="F15" s="25">
        <f t="shared" si="0"/>
        <v>0</v>
      </c>
      <c r="G15" s="25">
        <f t="shared" si="1"/>
        <v>0</v>
      </c>
      <c r="H15" s="2">
        <f t="shared" si="2"/>
        <v>13.531262219255471</v>
      </c>
      <c r="I15" s="25">
        <f t="shared" si="3"/>
        <v>0</v>
      </c>
      <c r="J15" s="87">
        <f>IFERROR(G15*VLOOKUP(W15,livestock_intensity!$B$7:$I$29,8,FALSE)/Z15,0)</f>
        <v>0</v>
      </c>
      <c r="K15" s="2">
        <f>VLOOKUP($W15,feed_mix_n,MATCH(K$5,feed_mix_w!$B$5:$AC$5,0),FALSE)/$Z15*VLOOKUP(K$5,feed_intensity_w,11,FALSE)</f>
        <v>0</v>
      </c>
      <c r="L15" s="25">
        <f t="shared" si="4"/>
        <v>0</v>
      </c>
      <c r="M15" s="25">
        <f>IFERROR(G15*VLOOKUP(W15,livestock_intensity!$B$7:$M$29,12,FALSE)/Z15,0)</f>
        <v>0</v>
      </c>
      <c r="N15" s="2">
        <f>VLOOKUP($W15,feed_mix_n,MATCH(N$5,feed_mix_w!$B$5:$AC$5,0),FALSE)/$Z15*VLOOKUP(N$5,feed_intensity_w,11,FALSE)</f>
        <v>33.317407648860225</v>
      </c>
      <c r="O15" s="25">
        <f t="shared" si="5"/>
        <v>0</v>
      </c>
      <c r="P15" s="343">
        <f>IFERROR(G15*VLOOKUP(W15,livestock_intensity!$B$7:$Q$29,16,FALSE)/Z15,0)</f>
        <v>0</v>
      </c>
      <c r="Q15" s="758"/>
      <c r="R15" s="331">
        <f t="shared" si="6"/>
        <v>0</v>
      </c>
      <c r="S15" s="331">
        <f t="shared" si="7"/>
        <v>0</v>
      </c>
      <c r="T15" s="739" t="s">
        <v>2738</v>
      </c>
      <c r="U15" s="558" t="s">
        <v>2796</v>
      </c>
      <c r="V15" s="559" t="str">
        <f>IFERROR(VLOOKUP(W15,constant_ag_extr!$D$7:$E$594,2,FALSE),"")</f>
        <v>Cattle</v>
      </c>
      <c r="W15" s="560">
        <f t="shared" si="8"/>
        <v>866</v>
      </c>
      <c r="X15" s="2">
        <f>IFERROR(IF(VLOOKUP(B15,cnst_grazing!$C$10:$H$25,5,FALSE)="", IF(VLOOKUP(B15, cnst_grazing!$C$10:$H$25,3,FALSE)="", VLOOKUP(B15, cnst_grazing!$C$10:$H$25,4,FALSE),VLOOKUP(B15, cnst_grazing!$C$10:$H$25,3,FALSE)), VLOOKUP(B15,cnst_grazing!$C$10:$H$25,5,FALSE)),1)</f>
        <v>1</v>
      </c>
      <c r="Y15" s="2">
        <f>IFERROR(IF(VLOOKUP(B15,cnst_grazing!$C$10:$H$25,6,FALSE)="", IF(VLOOKUP(B15, cnst_grazing!$C$10:$H$25,4,FALSE)="", VLOOKUP(B15, cnst_grazing!$C$10:$H$25,3,FALSE),VLOOKUP(B15, cnst_grazing!$C$10:$H$25,4,FALSE)), VLOOKUP(B15,cnst_grazing!$C$10:$H$25,6,FALSE)),1)</f>
        <v>1</v>
      </c>
      <c r="Z15" s="400">
        <f t="shared" si="9"/>
        <v>0.26784202595974521</v>
      </c>
      <c r="AA15" s="2">
        <f t="shared" si="10"/>
        <v>46.848669868115692</v>
      </c>
      <c r="AB15" s="2">
        <f>VLOOKUP($W15,feed_mix_n,MATCH(AB$5,feed_mix_w!$B$5:$AC$5,0),FALSE)/$Z15*VLOOKUP(AB$5,feed_intensity_w,11,FALSE)</f>
        <v>3.7950792092358498</v>
      </c>
      <c r="AC15" s="2">
        <f>VLOOKUP($W15,feed_mix_n,MATCH(AC$5,feed_mix_w!$B$5:$AC$5,0),FALSE)/$Z15*VLOOKUP(AC$5,feed_intensity_w,11,FALSE)</f>
        <v>1.4916539136376974</v>
      </c>
      <c r="AD15" s="2">
        <f>VLOOKUP($W15,feed_mix_n,MATCH(AD$5,feed_mix_w!$B$5:$AC$5,0),FALSE)/$Z15*VLOOKUP(AD$5,feed_intensity_w,11,FALSE)</f>
        <v>0</v>
      </c>
      <c r="AE15" s="2">
        <f>VLOOKUP($W15,feed_mix_n,MATCH(AE$5,feed_mix_w!$B$5:$AC$5,0),FALSE)/$Z15*VLOOKUP(AE$5,feed_intensity_w,11,FALSE)</f>
        <v>3.0030658704751785</v>
      </c>
      <c r="AF15" s="2">
        <f>VLOOKUP($W15,feed_mix_n,MATCH(AF$5,feed_mix_w!$B$5:$AC$5,0),FALSE)/$Z15*VLOOKUP(AF$5,feed_intensity_w,11,FALSE)</f>
        <v>1.5015329352375892</v>
      </c>
      <c r="AG15" s="2">
        <f>VLOOKUP($W15,feed_mix_n,MATCH(AG$5,feed_mix_w!$B$5:$AC$5,0),FALSE)/$Z15*VLOOKUP(AG$5,feed_intensity_w,11,FALSE)</f>
        <v>0</v>
      </c>
      <c r="AH15" s="2">
        <f>VLOOKUP($W15,feed_mix_n,MATCH(AH$5,feed_mix_w!$B$5:$AC$5,0),FALSE)/$Z15*VLOOKUP(AH$5,feed_intensity_w,11,FALSE)</f>
        <v>1.5015329352375892</v>
      </c>
      <c r="AI15" s="2">
        <f>VLOOKUP($W15,feed_mix_n,MATCH(AI$5,feed_mix_w!$B$5:$AC$5,0),FALSE)/$Z15*VLOOKUP(AI$5,feed_intensity_w,11,FALSE)</f>
        <v>0</v>
      </c>
      <c r="AJ15" s="2">
        <f>VLOOKUP($W15,feed_mix_n,MATCH(AJ$5,feed_mix_w!$B$5:$AC$5,0),FALSE)/$Z15*VLOOKUP(AJ$5,feed_intensity_w,11,FALSE)</f>
        <v>0</v>
      </c>
      <c r="AK15" s="2">
        <f>VLOOKUP($W15,feed_mix_n,MATCH(AK$5,feed_mix_w!$B$5:$AC$5,0),FALSE)/$Z15*VLOOKUP(AK$5,feed_intensity_w,11,FALSE)</f>
        <v>0</v>
      </c>
      <c r="AL15" s="2">
        <f>VLOOKUP($W15,feed_mix_n,MATCH(AL$5,feed_mix_w!$B$5:$AC$5,0),FALSE)/$Z15*VLOOKUP(AL$5,feed_intensity_w,11,FALSE)</f>
        <v>0</v>
      </c>
      <c r="AM15" s="2">
        <f>VLOOKUP($W15,feed_mix_n,MATCH(AM$5,feed_mix_w!$B$5:$AC$5,0),FALSE)/$Z15*VLOOKUP(AM$5,feed_intensity_w,11,FALSE)</f>
        <v>1.0355334501888243</v>
      </c>
      <c r="AN15" s="2">
        <f>VLOOKUP($W15,feed_mix_n,MATCH(AN$5,feed_mix_w!$B$5:$AC$5,0),FALSE)/$Z15*VLOOKUP(AN$5,feed_intensity_w,11,FALSE)</f>
        <v>0</v>
      </c>
      <c r="AO15" s="2">
        <f>VLOOKUP($W15,feed_mix_n,MATCH(AO$5,feed_mix_w!$B$5:$AC$5,0),FALSE)/$Z15*VLOOKUP(AO$5,feed_intensity_w,11,FALSE)</f>
        <v>0</v>
      </c>
      <c r="AP15" s="2">
        <f>VLOOKUP($W15,feed_mix_n,MATCH(AP$5,feed_mix_w!$B$5:$AC$5,0),FALSE)/$Z15*VLOOKUP(AP$5,feed_intensity_w,11,FALSE)</f>
        <v>0</v>
      </c>
      <c r="AQ15" s="2">
        <f>VLOOKUP($W15,feed_mix_n,MATCH(AQ$5,feed_mix_w!$B$5:$AC$5,0),FALSE)/$Z15*VLOOKUP(AQ$5,feed_intensity_w,11,FALSE)</f>
        <v>0</v>
      </c>
      <c r="AR15" s="2">
        <f>VLOOKUP($W15,feed_mix_n,MATCH(AR$5,feed_mix_w!$B$5:$AC$5,0),FALSE)/$Z15*VLOOKUP(AR$5,feed_intensity_w,11,FALSE)</f>
        <v>1.2028639052427414</v>
      </c>
      <c r="AS15" s="389">
        <f>VLOOKUP($W15,feed_mix_n,MATCH(AS$5,feed_mix_w!$B$5:$AC$5,0),FALSE)/$Z15*VLOOKUP(AS$5,feed_intensity_w,11,FALSE)</f>
        <v>0</v>
      </c>
    </row>
    <row r="16" spans="1:45" ht="12.5">
      <c r="A16" s="14" t="s">
        <v>1893</v>
      </c>
      <c r="B16" s="482">
        <v>873</v>
      </c>
      <c r="C16" s="24" t="s">
        <v>1562</v>
      </c>
      <c r="D16" s="513"/>
      <c r="E16" s="513"/>
      <c r="F16" s="25">
        <f t="shared" si="0"/>
        <v>0</v>
      </c>
      <c r="G16" s="25">
        <f t="shared" si="1"/>
        <v>0</v>
      </c>
      <c r="H16" s="2">
        <f t="shared" si="2"/>
        <v>31.121903104287583</v>
      </c>
      <c r="I16" s="25">
        <f t="shared" si="3"/>
        <v>0</v>
      </c>
      <c r="J16" s="87">
        <f>IFERROR(G16*VLOOKUP(W16,livestock_intensity!$B$7:$I$29,8,FALSE)/Z16,0)</f>
        <v>0</v>
      </c>
      <c r="K16" s="2">
        <f>VLOOKUP($W16,feed_mix_n,MATCH(K$5,feed_mix_w!$B$5:$AC$5,0),FALSE)/$Z16*VLOOKUP(K$5,feed_intensity_w,11,FALSE)</f>
        <v>0</v>
      </c>
      <c r="L16" s="25">
        <f t="shared" si="4"/>
        <v>0</v>
      </c>
      <c r="M16" s="25">
        <f>IFERROR(G16*VLOOKUP(W16,livestock_intensity!$B$7:$M$29,12,FALSE)/Z16,0)</f>
        <v>0</v>
      </c>
      <c r="N16" s="2">
        <f>VLOOKUP($W16,feed_mix_n,MATCH(N$5,feed_mix_w!$B$5:$AC$5,0),FALSE)/$Z16*VLOOKUP(N$5,feed_intensity_w,11,FALSE)</f>
        <v>76.630037592378514</v>
      </c>
      <c r="O16" s="25">
        <f t="shared" si="5"/>
        <v>0</v>
      </c>
      <c r="P16" s="343">
        <f>IFERROR(G16*VLOOKUP(W16,livestock_intensity!$B$7:$Q$29,16,FALSE)/Z16,0)</f>
        <v>0</v>
      </c>
      <c r="Q16" s="758"/>
      <c r="R16" s="331">
        <f t="shared" si="6"/>
        <v>0</v>
      </c>
      <c r="S16" s="331">
        <f t="shared" si="7"/>
        <v>0</v>
      </c>
      <c r="T16" s="739" t="s">
        <v>2738</v>
      </c>
      <c r="U16" s="558" t="s">
        <v>2796</v>
      </c>
      <c r="V16" s="559" t="str">
        <f>IFERROR(VLOOKUP(W16,constant_ag_extr!$D$7:$E$594,2,FALSE),"")</f>
        <v>Cattle</v>
      </c>
      <c r="W16" s="560">
        <f t="shared" si="8"/>
        <v>866</v>
      </c>
      <c r="X16" s="2">
        <f>IFERROR(IF(VLOOKUP(B16,cnst_grazing!$C$10:$H$25,5,FALSE)="", IF(VLOOKUP(B16, cnst_grazing!$C$10:$H$25,3,FALSE)="", VLOOKUP(B16, cnst_grazing!$C$10:$H$25,4,FALSE),VLOOKUP(B16, cnst_grazing!$C$10:$H$25,3,FALSE)), VLOOKUP(B16,cnst_grazing!$C$10:$H$25,5,FALSE)),1)</f>
        <v>1</v>
      </c>
      <c r="Y16" s="2">
        <f>IFERROR(IF(VLOOKUP(B16,cnst_grazing!$C$10:$H$25,6,FALSE)="", IF(VLOOKUP(B16, cnst_grazing!$C$10:$H$25,4,FALSE)="", VLOOKUP(B16, cnst_grazing!$C$10:$H$25,3,FALSE),VLOOKUP(B16, cnst_grazing!$C$10:$H$25,4,FALSE)), VLOOKUP(B16,cnst_grazing!$C$10:$H$25,6,FALSE)),1)</f>
        <v>1</v>
      </c>
      <c r="Z16" s="400">
        <f t="shared" si="9"/>
        <v>0.11645305476510662</v>
      </c>
      <c r="AA16" s="2">
        <f t="shared" si="10"/>
        <v>107.7519406966661</v>
      </c>
      <c r="AB16" s="2">
        <f>VLOOKUP($W16,feed_mix_n,MATCH(AB$5,feed_mix_w!$B$5:$AC$5,0),FALSE)/$Z16*VLOOKUP(AB$5,feed_intensity_w,11,FALSE)</f>
        <v>8.7286821812424549</v>
      </c>
      <c r="AC16" s="2">
        <f>VLOOKUP($W16,feed_mix_n,MATCH(AC$5,feed_mix_w!$B$5:$AC$5,0),FALSE)/$Z16*VLOOKUP(AC$5,feed_intensity_w,11,FALSE)</f>
        <v>3.4308040013667038</v>
      </c>
      <c r="AD16" s="2">
        <f>VLOOKUP($W16,feed_mix_n,MATCH(AD$5,feed_mix_w!$B$5:$AC$5,0),FALSE)/$Z16*VLOOKUP(AD$5,feed_intensity_w,11,FALSE)</f>
        <v>0</v>
      </c>
      <c r="AE16" s="2">
        <f>VLOOKUP($W16,feed_mix_n,MATCH(AE$5,feed_mix_w!$B$5:$AC$5,0),FALSE)/$Z16*VLOOKUP(AE$5,feed_intensity_w,11,FALSE)</f>
        <v>6.9070515020929104</v>
      </c>
      <c r="AF16" s="2">
        <f>VLOOKUP($W16,feed_mix_n,MATCH(AF$5,feed_mix_w!$B$5:$AC$5,0),FALSE)/$Z16*VLOOKUP(AF$5,feed_intensity_w,11,FALSE)</f>
        <v>3.4535257510464552</v>
      </c>
      <c r="AG16" s="2">
        <f>VLOOKUP($W16,feed_mix_n,MATCH(AG$5,feed_mix_w!$B$5:$AC$5,0),FALSE)/$Z16*VLOOKUP(AG$5,feed_intensity_w,11,FALSE)</f>
        <v>0</v>
      </c>
      <c r="AH16" s="2">
        <f>VLOOKUP($W16,feed_mix_n,MATCH(AH$5,feed_mix_w!$B$5:$AC$5,0),FALSE)/$Z16*VLOOKUP(AH$5,feed_intensity_w,11,FALSE)</f>
        <v>3.4535257510464552</v>
      </c>
      <c r="AI16" s="2">
        <f>VLOOKUP($W16,feed_mix_n,MATCH(AI$5,feed_mix_w!$B$5:$AC$5,0),FALSE)/$Z16*VLOOKUP(AI$5,feed_intensity_w,11,FALSE)</f>
        <v>0</v>
      </c>
      <c r="AJ16" s="2">
        <f>VLOOKUP($W16,feed_mix_n,MATCH(AJ$5,feed_mix_w!$B$5:$AC$5,0),FALSE)/$Z16*VLOOKUP(AJ$5,feed_intensity_w,11,FALSE)</f>
        <v>0</v>
      </c>
      <c r="AK16" s="2">
        <f>VLOOKUP($W16,feed_mix_n,MATCH(AK$5,feed_mix_w!$B$5:$AC$5,0),FALSE)/$Z16*VLOOKUP(AK$5,feed_intensity_w,11,FALSE)</f>
        <v>0</v>
      </c>
      <c r="AL16" s="2">
        <f>VLOOKUP($W16,feed_mix_n,MATCH(AL$5,feed_mix_w!$B$5:$AC$5,0),FALSE)/$Z16*VLOOKUP(AL$5,feed_intensity_w,11,FALSE)</f>
        <v>0</v>
      </c>
      <c r="AM16" s="2">
        <f>VLOOKUP($W16,feed_mix_n,MATCH(AM$5,feed_mix_w!$B$5:$AC$5,0),FALSE)/$Z16*VLOOKUP(AM$5,feed_intensity_w,11,FALSE)</f>
        <v>2.3817269354342958</v>
      </c>
      <c r="AN16" s="2">
        <f>VLOOKUP($W16,feed_mix_n,MATCH(AN$5,feed_mix_w!$B$5:$AC$5,0),FALSE)/$Z16*VLOOKUP(AN$5,feed_intensity_w,11,FALSE)</f>
        <v>0</v>
      </c>
      <c r="AO16" s="2">
        <f>VLOOKUP($W16,feed_mix_n,MATCH(AO$5,feed_mix_w!$B$5:$AC$5,0),FALSE)/$Z16*VLOOKUP(AO$5,feed_intensity_w,11,FALSE)</f>
        <v>0</v>
      </c>
      <c r="AP16" s="2">
        <f>VLOOKUP($W16,feed_mix_n,MATCH(AP$5,feed_mix_w!$B$5:$AC$5,0),FALSE)/$Z16*VLOOKUP(AP$5,feed_intensity_w,11,FALSE)</f>
        <v>0</v>
      </c>
      <c r="AQ16" s="2">
        <f>VLOOKUP($W16,feed_mix_n,MATCH(AQ$5,feed_mix_w!$B$5:$AC$5,0),FALSE)/$Z16*VLOOKUP(AQ$5,feed_intensity_w,11,FALSE)</f>
        <v>0</v>
      </c>
      <c r="AR16" s="2">
        <f>VLOOKUP($W16,feed_mix_n,MATCH(AR$5,feed_mix_w!$B$5:$AC$5,0),FALSE)/$Z16*VLOOKUP(AR$5,feed_intensity_w,11,FALSE)</f>
        <v>2.7665869820583056</v>
      </c>
      <c r="AS16" s="389">
        <f>VLOOKUP($W16,feed_mix_n,MATCH(AS$5,feed_mix_w!$B$5:$AC$5,0),FALSE)/$Z16*VLOOKUP(AS$5,feed_intensity_w,11,FALSE)</f>
        <v>0</v>
      </c>
    </row>
    <row r="17" spans="1:45" ht="12.5">
      <c r="A17" s="14" t="s">
        <v>7120</v>
      </c>
      <c r="B17" s="482">
        <v>874</v>
      </c>
      <c r="C17" s="24" t="s">
        <v>684</v>
      </c>
      <c r="D17" s="513">
        <v>17246</v>
      </c>
      <c r="E17" s="513"/>
      <c r="F17" s="25">
        <f t="shared" si="0"/>
        <v>17246</v>
      </c>
      <c r="G17" s="25">
        <f t="shared" si="1"/>
        <v>0</v>
      </c>
      <c r="H17" s="2">
        <f t="shared" si="2"/>
        <v>7.7804757760718957</v>
      </c>
      <c r="I17" s="25">
        <f t="shared" si="3"/>
        <v>134182.08523413591</v>
      </c>
      <c r="J17" s="87">
        <f>IFERROR(G17*VLOOKUP(W17,livestock_intensity!$B$7:$I$29,8,FALSE)/Z17,0)</f>
        <v>0</v>
      </c>
      <c r="K17" s="2">
        <f>VLOOKUP($W17,feed_mix_n,MATCH(K$5,feed_mix_w!$B$5:$AC$5,0),FALSE)/$Z17*VLOOKUP(K$5,feed_intensity_w,11,FALSE)</f>
        <v>0</v>
      </c>
      <c r="L17" s="25">
        <f t="shared" si="4"/>
        <v>0</v>
      </c>
      <c r="M17" s="25">
        <f>IFERROR(G17*VLOOKUP(W17,livestock_intensity!$B$7:$M$29,12,FALSE)/Z17,0)</f>
        <v>0</v>
      </c>
      <c r="N17" s="2">
        <f>VLOOKUP($W17,feed_mix_n,MATCH(N$5,feed_mix_w!$B$5:$AC$5,0),FALSE)/$Z17*VLOOKUP(N$5,feed_intensity_w,11,FALSE)</f>
        <v>19.157509398094628</v>
      </c>
      <c r="O17" s="25">
        <f t="shared" si="5"/>
        <v>330390.40707953996</v>
      </c>
      <c r="P17" s="343">
        <f>IFERROR(G17*VLOOKUP(W17,livestock_intensity!$B$7:$Q$29,16,FALSE)/Z17,0)</f>
        <v>0</v>
      </c>
      <c r="Q17" s="758"/>
      <c r="R17" s="331">
        <f t="shared" si="6"/>
        <v>464572.49231367587</v>
      </c>
      <c r="S17" s="331">
        <f t="shared" si="7"/>
        <v>0</v>
      </c>
      <c r="T17" s="739" t="s">
        <v>2738</v>
      </c>
      <c r="U17" s="558" t="s">
        <v>2796</v>
      </c>
      <c r="V17" s="559" t="str">
        <f>IFERROR(VLOOKUP(W17,constant_ag_extr!$D$7:$E$594,2,FALSE),"")</f>
        <v>Cattle</v>
      </c>
      <c r="W17" s="560">
        <f t="shared" si="8"/>
        <v>866</v>
      </c>
      <c r="X17" s="2">
        <f>IFERROR(IF(VLOOKUP(B17,cnst_grazing!$C$10:$H$25,5,FALSE)="", IF(VLOOKUP(B17, cnst_grazing!$C$10:$H$25,3,FALSE)="", VLOOKUP(B17, cnst_grazing!$C$10:$H$25,4,FALSE),VLOOKUP(B17, cnst_grazing!$C$10:$H$25,3,FALSE)), VLOOKUP(B17,cnst_grazing!$C$10:$H$25,5,FALSE)),1)</f>
        <v>1</v>
      </c>
      <c r="Y17" s="2">
        <f>IFERROR(IF(VLOOKUP(B17,cnst_grazing!$C$10:$H$25,6,FALSE)="", IF(VLOOKUP(B17, cnst_grazing!$C$10:$H$25,4,FALSE)="", VLOOKUP(B17, cnst_grazing!$C$10:$H$25,3,FALSE),VLOOKUP(B17, cnst_grazing!$C$10:$H$25,4,FALSE)), VLOOKUP(B17,cnst_grazing!$C$10:$H$25,6,FALSE)),1)</f>
        <v>1</v>
      </c>
      <c r="Z17" s="400">
        <f t="shared" si="9"/>
        <v>0.46581221906042647</v>
      </c>
      <c r="AA17" s="2">
        <f t="shared" si="10"/>
        <v>26.937985174166524</v>
      </c>
      <c r="AB17" s="2">
        <f>VLOOKUP($W17,feed_mix_n,MATCH(AB$5,feed_mix_w!$B$5:$AC$5,0),FALSE)/$Z17*VLOOKUP(AB$5,feed_intensity_w,11,FALSE)</f>
        <v>2.1821705453106137</v>
      </c>
      <c r="AC17" s="2">
        <f>VLOOKUP($W17,feed_mix_n,MATCH(AC$5,feed_mix_w!$B$5:$AC$5,0),FALSE)/$Z17*VLOOKUP(AC$5,feed_intensity_w,11,FALSE)</f>
        <v>0.85770100034167596</v>
      </c>
      <c r="AD17" s="2">
        <f>VLOOKUP($W17,feed_mix_n,MATCH(AD$5,feed_mix_w!$B$5:$AC$5,0),FALSE)/$Z17*VLOOKUP(AD$5,feed_intensity_w,11,FALSE)</f>
        <v>0</v>
      </c>
      <c r="AE17" s="2">
        <f>VLOOKUP($W17,feed_mix_n,MATCH(AE$5,feed_mix_w!$B$5:$AC$5,0),FALSE)/$Z17*VLOOKUP(AE$5,feed_intensity_w,11,FALSE)</f>
        <v>1.7267628755232276</v>
      </c>
      <c r="AF17" s="2">
        <f>VLOOKUP($W17,feed_mix_n,MATCH(AF$5,feed_mix_w!$B$5:$AC$5,0),FALSE)/$Z17*VLOOKUP(AF$5,feed_intensity_w,11,FALSE)</f>
        <v>0.8633814377616138</v>
      </c>
      <c r="AG17" s="2">
        <f>VLOOKUP($W17,feed_mix_n,MATCH(AG$5,feed_mix_w!$B$5:$AC$5,0),FALSE)/$Z17*VLOOKUP(AG$5,feed_intensity_w,11,FALSE)</f>
        <v>0</v>
      </c>
      <c r="AH17" s="2">
        <f>VLOOKUP($W17,feed_mix_n,MATCH(AH$5,feed_mix_w!$B$5:$AC$5,0),FALSE)/$Z17*VLOOKUP(AH$5,feed_intensity_w,11,FALSE)</f>
        <v>0.8633814377616138</v>
      </c>
      <c r="AI17" s="2">
        <f>VLOOKUP($W17,feed_mix_n,MATCH(AI$5,feed_mix_w!$B$5:$AC$5,0),FALSE)/$Z17*VLOOKUP(AI$5,feed_intensity_w,11,FALSE)</f>
        <v>0</v>
      </c>
      <c r="AJ17" s="2">
        <f>VLOOKUP($W17,feed_mix_n,MATCH(AJ$5,feed_mix_w!$B$5:$AC$5,0),FALSE)/$Z17*VLOOKUP(AJ$5,feed_intensity_w,11,FALSE)</f>
        <v>0</v>
      </c>
      <c r="AK17" s="2">
        <f>VLOOKUP($W17,feed_mix_n,MATCH(AK$5,feed_mix_w!$B$5:$AC$5,0),FALSE)/$Z17*VLOOKUP(AK$5,feed_intensity_w,11,FALSE)</f>
        <v>0</v>
      </c>
      <c r="AL17" s="2">
        <f>VLOOKUP($W17,feed_mix_n,MATCH(AL$5,feed_mix_w!$B$5:$AC$5,0),FALSE)/$Z17*VLOOKUP(AL$5,feed_intensity_w,11,FALSE)</f>
        <v>0</v>
      </c>
      <c r="AM17" s="2">
        <f>VLOOKUP($W17,feed_mix_n,MATCH(AM$5,feed_mix_w!$B$5:$AC$5,0),FALSE)/$Z17*VLOOKUP(AM$5,feed_intensity_w,11,FALSE)</f>
        <v>0.59543173385857395</v>
      </c>
      <c r="AN17" s="2">
        <f>VLOOKUP($W17,feed_mix_n,MATCH(AN$5,feed_mix_w!$B$5:$AC$5,0),FALSE)/$Z17*VLOOKUP(AN$5,feed_intensity_w,11,FALSE)</f>
        <v>0</v>
      </c>
      <c r="AO17" s="2">
        <f>VLOOKUP($W17,feed_mix_n,MATCH(AO$5,feed_mix_w!$B$5:$AC$5,0),FALSE)/$Z17*VLOOKUP(AO$5,feed_intensity_w,11,FALSE)</f>
        <v>0</v>
      </c>
      <c r="AP17" s="2">
        <f>VLOOKUP($W17,feed_mix_n,MATCH(AP$5,feed_mix_w!$B$5:$AC$5,0),FALSE)/$Z17*VLOOKUP(AP$5,feed_intensity_w,11,FALSE)</f>
        <v>0</v>
      </c>
      <c r="AQ17" s="2">
        <f>VLOOKUP($W17,feed_mix_n,MATCH(AQ$5,feed_mix_w!$B$5:$AC$5,0),FALSE)/$Z17*VLOOKUP(AQ$5,feed_intensity_w,11,FALSE)</f>
        <v>0</v>
      </c>
      <c r="AR17" s="2">
        <f>VLOOKUP($W17,feed_mix_n,MATCH(AR$5,feed_mix_w!$B$5:$AC$5,0),FALSE)/$Z17*VLOOKUP(AR$5,feed_intensity_w,11,FALSE)</f>
        <v>0.69164674551457639</v>
      </c>
      <c r="AS17" s="389">
        <f>VLOOKUP($W17,feed_mix_n,MATCH(AS$5,feed_mix_w!$B$5:$AC$5,0),FALSE)/$Z17*VLOOKUP(AS$5,feed_intensity_w,11,FALSE)</f>
        <v>0</v>
      </c>
    </row>
    <row r="18" spans="1:45" ht="12.5">
      <c r="A18" s="14" t="s">
        <v>7121</v>
      </c>
      <c r="B18" s="482">
        <v>875</v>
      </c>
      <c r="C18" s="24">
        <v>1602.5</v>
      </c>
      <c r="D18" s="513">
        <v>30274</v>
      </c>
      <c r="E18" s="513">
        <v>6370</v>
      </c>
      <c r="F18" s="25">
        <f t="shared" si="0"/>
        <v>30274</v>
      </c>
      <c r="G18" s="25">
        <f t="shared" si="1"/>
        <v>6370</v>
      </c>
      <c r="H18" s="2">
        <f t="shared" si="2"/>
        <v>10.373967701429194</v>
      </c>
      <c r="I18" s="25">
        <f t="shared" si="3"/>
        <v>314061.49819306744</v>
      </c>
      <c r="J18" s="87">
        <f>IFERROR(G18*VLOOKUP(W18,livestock_intensity!$B$7:$I$29,8,FALSE)/Z18,0)</f>
        <v>76984.486438008025</v>
      </c>
      <c r="K18" s="2">
        <f>VLOOKUP($W18,feed_mix_n,MATCH(K$5,feed_mix_w!$B$5:$AC$5,0),FALSE)/$Z18*VLOOKUP(K$5,feed_intensity_w,11,FALSE)</f>
        <v>0</v>
      </c>
      <c r="L18" s="25">
        <f t="shared" si="4"/>
        <v>0</v>
      </c>
      <c r="M18" s="25">
        <f>IFERROR(G18*VLOOKUP(W18,livestock_intensity!$B$7:$M$29,12,FALSE)/Z18,0)</f>
        <v>0</v>
      </c>
      <c r="N18" s="2">
        <f>VLOOKUP($W18,feed_mix_n,MATCH(N$5,feed_mix_w!$B$5:$AC$5,0),FALSE)/$Z18*VLOOKUP(N$5,feed_intensity_w,11,FALSE)</f>
        <v>25.543345864126174</v>
      </c>
      <c r="O18" s="25">
        <f t="shared" si="5"/>
        <v>773299.25269055576</v>
      </c>
      <c r="P18" s="343">
        <f>IFERROR(G18*VLOOKUP(W18,livestock_intensity!$B$7:$Q$29,16,FALSE)/Z18,0)</f>
        <v>98794.49359971995</v>
      </c>
      <c r="Q18" s="758"/>
      <c r="R18" s="331">
        <f t="shared" si="6"/>
        <v>1087360.7508836233</v>
      </c>
      <c r="S18" s="331">
        <f t="shared" si="7"/>
        <v>175778.98003772798</v>
      </c>
      <c r="T18" s="739" t="s">
        <v>2738</v>
      </c>
      <c r="U18" s="558" t="s">
        <v>2796</v>
      </c>
      <c r="V18" s="559" t="str">
        <f>IFERROR(VLOOKUP(W18,constant_ag_extr!$D$7:$E$594,2,FALSE),"")</f>
        <v>Cattle</v>
      </c>
      <c r="W18" s="560">
        <f t="shared" si="8"/>
        <v>866</v>
      </c>
      <c r="X18" s="2">
        <f>IFERROR(IF(VLOOKUP(B18,cnst_grazing!$C$10:$H$25,5,FALSE)="", IF(VLOOKUP(B18, cnst_grazing!$C$10:$H$25,3,FALSE)="", VLOOKUP(B18, cnst_grazing!$C$10:$H$25,4,FALSE),VLOOKUP(B18, cnst_grazing!$C$10:$H$25,3,FALSE)), VLOOKUP(B18,cnst_grazing!$C$10:$H$25,5,FALSE)),1)</f>
        <v>1</v>
      </c>
      <c r="Y18" s="2">
        <f>IFERROR(IF(VLOOKUP(B18,cnst_grazing!$C$10:$H$25,6,FALSE)="", IF(VLOOKUP(B18, cnst_grazing!$C$10:$H$25,4,FALSE)="", VLOOKUP(B18, cnst_grazing!$C$10:$H$25,3,FALSE),VLOOKUP(B18, cnst_grazing!$C$10:$H$25,4,FALSE)), VLOOKUP(B18,cnst_grazing!$C$10:$H$25,6,FALSE)),1)</f>
        <v>1</v>
      </c>
      <c r="Z18" s="400">
        <f t="shared" si="9"/>
        <v>0.34935916429531982</v>
      </c>
      <c r="AA18" s="2">
        <f t="shared" si="10"/>
        <v>35.917313565555368</v>
      </c>
      <c r="AB18" s="2">
        <f>VLOOKUP($W18,feed_mix_n,MATCH(AB$5,feed_mix_w!$B$5:$AC$5,0),FALSE)/$Z18*VLOOKUP(AB$5,feed_intensity_w,11,FALSE)</f>
        <v>2.9095607270808186</v>
      </c>
      <c r="AC18" s="2">
        <f>VLOOKUP($W18,feed_mix_n,MATCH(AC$5,feed_mix_w!$B$5:$AC$5,0),FALSE)/$Z18*VLOOKUP(AC$5,feed_intensity_w,11,FALSE)</f>
        <v>1.1436013337889015</v>
      </c>
      <c r="AD18" s="2">
        <f>VLOOKUP($W18,feed_mix_n,MATCH(AD$5,feed_mix_w!$B$5:$AC$5,0),FALSE)/$Z18*VLOOKUP(AD$5,feed_intensity_w,11,FALSE)</f>
        <v>0</v>
      </c>
      <c r="AE18" s="2">
        <f>VLOOKUP($W18,feed_mix_n,MATCH(AE$5,feed_mix_w!$B$5:$AC$5,0),FALSE)/$Z18*VLOOKUP(AE$5,feed_intensity_w,11,FALSE)</f>
        <v>2.3023505006976372</v>
      </c>
      <c r="AF18" s="2">
        <f>VLOOKUP($W18,feed_mix_n,MATCH(AF$5,feed_mix_w!$B$5:$AC$5,0),FALSE)/$Z18*VLOOKUP(AF$5,feed_intensity_w,11,FALSE)</f>
        <v>1.1511752503488186</v>
      </c>
      <c r="AG18" s="2">
        <f>VLOOKUP($W18,feed_mix_n,MATCH(AG$5,feed_mix_w!$B$5:$AC$5,0),FALSE)/$Z18*VLOOKUP(AG$5,feed_intensity_w,11,FALSE)</f>
        <v>0</v>
      </c>
      <c r="AH18" s="2">
        <f>VLOOKUP($W18,feed_mix_n,MATCH(AH$5,feed_mix_w!$B$5:$AC$5,0),FALSE)/$Z18*VLOOKUP(AH$5,feed_intensity_w,11,FALSE)</f>
        <v>1.1511752503488186</v>
      </c>
      <c r="AI18" s="2">
        <f>VLOOKUP($W18,feed_mix_n,MATCH(AI$5,feed_mix_w!$B$5:$AC$5,0),FALSE)/$Z18*VLOOKUP(AI$5,feed_intensity_w,11,FALSE)</f>
        <v>0</v>
      </c>
      <c r="AJ18" s="2">
        <f>VLOOKUP($W18,feed_mix_n,MATCH(AJ$5,feed_mix_w!$B$5:$AC$5,0),FALSE)/$Z18*VLOOKUP(AJ$5,feed_intensity_w,11,FALSE)</f>
        <v>0</v>
      </c>
      <c r="AK18" s="2">
        <f>VLOOKUP($W18,feed_mix_n,MATCH(AK$5,feed_mix_w!$B$5:$AC$5,0),FALSE)/$Z18*VLOOKUP(AK$5,feed_intensity_w,11,FALSE)</f>
        <v>0</v>
      </c>
      <c r="AL18" s="2">
        <f>VLOOKUP($W18,feed_mix_n,MATCH(AL$5,feed_mix_w!$B$5:$AC$5,0),FALSE)/$Z18*VLOOKUP(AL$5,feed_intensity_w,11,FALSE)</f>
        <v>0</v>
      </c>
      <c r="AM18" s="2">
        <f>VLOOKUP($W18,feed_mix_n,MATCH(AM$5,feed_mix_w!$B$5:$AC$5,0),FALSE)/$Z18*VLOOKUP(AM$5,feed_intensity_w,11,FALSE)</f>
        <v>0.79390897847809871</v>
      </c>
      <c r="AN18" s="2">
        <f>VLOOKUP($W18,feed_mix_n,MATCH(AN$5,feed_mix_w!$B$5:$AC$5,0),FALSE)/$Z18*VLOOKUP(AN$5,feed_intensity_w,11,FALSE)</f>
        <v>0</v>
      </c>
      <c r="AO18" s="2">
        <f>VLOOKUP($W18,feed_mix_n,MATCH(AO$5,feed_mix_w!$B$5:$AC$5,0),FALSE)/$Z18*VLOOKUP(AO$5,feed_intensity_w,11,FALSE)</f>
        <v>0</v>
      </c>
      <c r="AP18" s="2">
        <f>VLOOKUP($W18,feed_mix_n,MATCH(AP$5,feed_mix_w!$B$5:$AC$5,0),FALSE)/$Z18*VLOOKUP(AP$5,feed_intensity_w,11,FALSE)</f>
        <v>0</v>
      </c>
      <c r="AQ18" s="2">
        <f>VLOOKUP($W18,feed_mix_n,MATCH(AQ$5,feed_mix_w!$B$5:$AC$5,0),FALSE)/$Z18*VLOOKUP(AQ$5,feed_intensity_w,11,FALSE)</f>
        <v>0</v>
      </c>
      <c r="AR18" s="2">
        <f>VLOOKUP($W18,feed_mix_n,MATCH(AR$5,feed_mix_w!$B$5:$AC$5,0),FALSE)/$Z18*VLOOKUP(AR$5,feed_intensity_w,11,FALSE)</f>
        <v>0.92219566068610193</v>
      </c>
      <c r="AS18" s="389">
        <f>VLOOKUP($W18,feed_mix_n,MATCH(AS$5,feed_mix_w!$B$5:$AC$5,0),FALSE)/$Z18*VLOOKUP(AS$5,feed_intensity_w,11,FALSE)</f>
        <v>0</v>
      </c>
    </row>
    <row r="19" spans="1:45" ht="12.5">
      <c r="A19" s="14" t="s">
        <v>3835</v>
      </c>
      <c r="B19" s="482">
        <v>877</v>
      </c>
      <c r="C19" s="24">
        <v>1602.1</v>
      </c>
      <c r="D19" s="513"/>
      <c r="E19" s="513"/>
      <c r="F19" s="25">
        <f t="shared" si="0"/>
        <v>0</v>
      </c>
      <c r="G19" s="25">
        <f t="shared" si="1"/>
        <v>0</v>
      </c>
      <c r="H19" s="2">
        <f t="shared" si="2"/>
        <v>12.44876124171503</v>
      </c>
      <c r="I19" s="25">
        <f t="shared" si="3"/>
        <v>0</v>
      </c>
      <c r="J19" s="87">
        <f>IFERROR(G19*VLOOKUP(W19,livestock_intensity!$B$7:$I$29,8,FALSE)/Z19,0)</f>
        <v>0</v>
      </c>
      <c r="K19" s="2">
        <f>VLOOKUP($W19,feed_mix_n,MATCH(K$5,feed_mix_w!$B$5:$AC$5,0),FALSE)/$Z19*VLOOKUP(K$5,feed_intensity_w,11,FALSE)</f>
        <v>0</v>
      </c>
      <c r="L19" s="25">
        <f t="shared" si="4"/>
        <v>0</v>
      </c>
      <c r="M19" s="25">
        <f>IFERROR(G19*VLOOKUP(W19,livestock_intensity!$B$7:$M$29,12,FALSE)/Z19,0)</f>
        <v>0</v>
      </c>
      <c r="N19" s="2">
        <f>VLOOKUP($W19,feed_mix_n,MATCH(N$5,feed_mix_w!$B$5:$AC$5,0),FALSE)/$Z19*VLOOKUP(N$5,feed_intensity_w,11,FALSE)</f>
        <v>30.652015036951408</v>
      </c>
      <c r="O19" s="25">
        <f t="shared" si="5"/>
        <v>0</v>
      </c>
      <c r="P19" s="343">
        <f>IFERROR(G19*VLOOKUP(W19,livestock_intensity!$B$7:$Q$29,16,FALSE)/Z19,0)</f>
        <v>0</v>
      </c>
      <c r="Q19" s="758"/>
      <c r="R19" s="331">
        <f t="shared" si="6"/>
        <v>0</v>
      </c>
      <c r="S19" s="331">
        <f t="shared" si="7"/>
        <v>0</v>
      </c>
      <c r="T19" s="739" t="s">
        <v>2738</v>
      </c>
      <c r="U19" s="558" t="s">
        <v>2796</v>
      </c>
      <c r="V19" s="559" t="str">
        <f>IFERROR(VLOOKUP(W19,constant_ag_extr!$D$7:$E$594,2,FALSE),"")</f>
        <v>Cattle</v>
      </c>
      <c r="W19" s="560">
        <f t="shared" si="8"/>
        <v>866</v>
      </c>
      <c r="X19" s="2">
        <f>IFERROR(IF(VLOOKUP(B19,cnst_grazing!$C$10:$H$25,5,FALSE)="", IF(VLOOKUP(B19, cnst_grazing!$C$10:$H$25,3,FALSE)="", VLOOKUP(B19, cnst_grazing!$C$10:$H$25,4,FALSE),VLOOKUP(B19, cnst_grazing!$C$10:$H$25,3,FALSE)), VLOOKUP(B19,cnst_grazing!$C$10:$H$25,5,FALSE)),1)</f>
        <v>1</v>
      </c>
      <c r="Y19" s="2">
        <f>IFERROR(IF(VLOOKUP(B19,cnst_grazing!$C$10:$H$25,6,FALSE)="", IF(VLOOKUP(B19, cnst_grazing!$C$10:$H$25,4,FALSE)="", VLOOKUP(B19, cnst_grazing!$C$10:$H$25,3,FALSE),VLOOKUP(B19, cnst_grazing!$C$10:$H$25,4,FALSE)), VLOOKUP(B19,cnst_grazing!$C$10:$H$25,6,FALSE)),1)</f>
        <v>1</v>
      </c>
      <c r="Z19" s="400">
        <f t="shared" si="9"/>
        <v>0.29113263691276653</v>
      </c>
      <c r="AA19" s="2">
        <f t="shared" si="10"/>
        <v>43.100776278666437</v>
      </c>
      <c r="AB19" s="2">
        <f>VLOOKUP($W19,feed_mix_n,MATCH(AB$5,feed_mix_w!$B$5:$AC$5,0),FALSE)/$Z19*VLOOKUP(AB$5,feed_intensity_w,11,FALSE)</f>
        <v>3.4914728724969821</v>
      </c>
      <c r="AC19" s="2">
        <f>VLOOKUP($W19,feed_mix_n,MATCH(AC$5,feed_mix_w!$B$5:$AC$5,0),FALSE)/$Z19*VLOOKUP(AC$5,feed_intensity_w,11,FALSE)</f>
        <v>1.3723216005466816</v>
      </c>
      <c r="AD19" s="2">
        <f>VLOOKUP($W19,feed_mix_n,MATCH(AD$5,feed_mix_w!$B$5:$AC$5,0),FALSE)/$Z19*VLOOKUP(AD$5,feed_intensity_w,11,FALSE)</f>
        <v>0</v>
      </c>
      <c r="AE19" s="2">
        <f>VLOOKUP($W19,feed_mix_n,MATCH(AE$5,feed_mix_w!$B$5:$AC$5,0),FALSE)/$Z19*VLOOKUP(AE$5,feed_intensity_w,11,FALSE)</f>
        <v>2.7628206008371641</v>
      </c>
      <c r="AF19" s="2">
        <f>VLOOKUP($W19,feed_mix_n,MATCH(AF$5,feed_mix_w!$B$5:$AC$5,0),FALSE)/$Z19*VLOOKUP(AF$5,feed_intensity_w,11,FALSE)</f>
        <v>1.381410300418582</v>
      </c>
      <c r="AG19" s="2">
        <f>VLOOKUP($W19,feed_mix_n,MATCH(AG$5,feed_mix_w!$B$5:$AC$5,0),FALSE)/$Z19*VLOOKUP(AG$5,feed_intensity_w,11,FALSE)</f>
        <v>0</v>
      </c>
      <c r="AH19" s="2">
        <f>VLOOKUP($W19,feed_mix_n,MATCH(AH$5,feed_mix_w!$B$5:$AC$5,0),FALSE)/$Z19*VLOOKUP(AH$5,feed_intensity_w,11,FALSE)</f>
        <v>1.381410300418582</v>
      </c>
      <c r="AI19" s="2">
        <f>VLOOKUP($W19,feed_mix_n,MATCH(AI$5,feed_mix_w!$B$5:$AC$5,0),FALSE)/$Z19*VLOOKUP(AI$5,feed_intensity_w,11,FALSE)</f>
        <v>0</v>
      </c>
      <c r="AJ19" s="2">
        <f>VLOOKUP($W19,feed_mix_n,MATCH(AJ$5,feed_mix_w!$B$5:$AC$5,0),FALSE)/$Z19*VLOOKUP(AJ$5,feed_intensity_w,11,FALSE)</f>
        <v>0</v>
      </c>
      <c r="AK19" s="2">
        <f>VLOOKUP($W19,feed_mix_n,MATCH(AK$5,feed_mix_w!$B$5:$AC$5,0),FALSE)/$Z19*VLOOKUP(AK$5,feed_intensity_w,11,FALSE)</f>
        <v>0</v>
      </c>
      <c r="AL19" s="2">
        <f>VLOOKUP($W19,feed_mix_n,MATCH(AL$5,feed_mix_w!$B$5:$AC$5,0),FALSE)/$Z19*VLOOKUP(AL$5,feed_intensity_w,11,FALSE)</f>
        <v>0</v>
      </c>
      <c r="AM19" s="2">
        <f>VLOOKUP($W19,feed_mix_n,MATCH(AM$5,feed_mix_w!$B$5:$AC$5,0),FALSE)/$Z19*VLOOKUP(AM$5,feed_intensity_w,11,FALSE)</f>
        <v>0.95269077417371828</v>
      </c>
      <c r="AN19" s="2">
        <f>VLOOKUP($W19,feed_mix_n,MATCH(AN$5,feed_mix_w!$B$5:$AC$5,0),FALSE)/$Z19*VLOOKUP(AN$5,feed_intensity_w,11,FALSE)</f>
        <v>0</v>
      </c>
      <c r="AO19" s="2">
        <f>VLOOKUP($W19,feed_mix_n,MATCH(AO$5,feed_mix_w!$B$5:$AC$5,0),FALSE)/$Z19*VLOOKUP(AO$5,feed_intensity_w,11,FALSE)</f>
        <v>0</v>
      </c>
      <c r="AP19" s="2">
        <f>VLOOKUP($W19,feed_mix_n,MATCH(AP$5,feed_mix_w!$B$5:$AC$5,0),FALSE)/$Z19*VLOOKUP(AP$5,feed_intensity_w,11,FALSE)</f>
        <v>0</v>
      </c>
      <c r="AQ19" s="2">
        <f>VLOOKUP($W19,feed_mix_n,MATCH(AQ$5,feed_mix_w!$B$5:$AC$5,0),FALSE)/$Z19*VLOOKUP(AQ$5,feed_intensity_w,11,FALSE)</f>
        <v>0</v>
      </c>
      <c r="AR19" s="2">
        <f>VLOOKUP($W19,feed_mix_n,MATCH(AR$5,feed_mix_w!$B$5:$AC$5,0),FALSE)/$Z19*VLOOKUP(AR$5,feed_intensity_w,11,FALSE)</f>
        <v>1.1066347928233222</v>
      </c>
      <c r="AS19" s="389">
        <f>VLOOKUP($W19,feed_mix_n,MATCH(AS$5,feed_mix_w!$B$5:$AC$5,0),FALSE)/$Z19*VLOOKUP(AS$5,feed_intensity_w,11,FALSE)</f>
        <v>0</v>
      </c>
    </row>
    <row r="20" spans="1:45" ht="12.5">
      <c r="A20" s="14" t="s">
        <v>1332</v>
      </c>
      <c r="B20" s="482">
        <v>878</v>
      </c>
      <c r="C20" s="24" t="s">
        <v>1560</v>
      </c>
      <c r="D20" s="513"/>
      <c r="E20" s="513"/>
      <c r="F20" s="25">
        <f t="shared" si="0"/>
        <v>0</v>
      </c>
      <c r="G20" s="25">
        <f t="shared" si="1"/>
        <v>0</v>
      </c>
      <c r="H20" s="2">
        <f t="shared" si="2"/>
        <v>7.6203510293593446</v>
      </c>
      <c r="I20" s="25">
        <f t="shared" si="3"/>
        <v>0</v>
      </c>
      <c r="J20" s="87">
        <f>IFERROR(G20*VLOOKUP(W20,livestock_intensity!$B$7:$I$29,8,FALSE)/Z20,0)</f>
        <v>0</v>
      </c>
      <c r="K20" s="2">
        <f>VLOOKUP($W20,feed_mix_n,MATCH(K$5,feed_mix_w!$B$5:$AC$5,0),FALSE)/$Z20*VLOOKUP(K$5,feed_intensity_w,11,FALSE)</f>
        <v>0</v>
      </c>
      <c r="L20" s="25">
        <f t="shared" si="4"/>
        <v>0</v>
      </c>
      <c r="M20" s="25">
        <f>IFERROR(G20*VLOOKUP(W20,livestock_intensity!$B$7:$M$29,12,FALSE)/Z20,0)</f>
        <v>0</v>
      </c>
      <c r="N20" s="2">
        <f>VLOOKUP($W20,feed_mix_n,MATCH(N$5,feed_mix_w!$B$5:$AC$5,0),FALSE)/$Z20*VLOOKUP(N$5,feed_intensity_w,11,FALSE)</f>
        <v>18.763241563028899</v>
      </c>
      <c r="O20" s="25">
        <f t="shared" si="5"/>
        <v>0</v>
      </c>
      <c r="P20" s="343">
        <f>IFERROR(G20*VLOOKUP(W20,livestock_intensity!$B$7:$Q$29,16,FALSE)/Z20,0)</f>
        <v>0</v>
      </c>
      <c r="Q20" s="758"/>
      <c r="R20" s="331">
        <f t="shared" si="6"/>
        <v>0</v>
      </c>
      <c r="S20" s="331">
        <f t="shared" si="7"/>
        <v>0</v>
      </c>
      <c r="T20" s="739" t="s">
        <v>2738</v>
      </c>
      <c r="U20" s="558" t="s">
        <v>2796</v>
      </c>
      <c r="V20" s="559" t="str">
        <f>IFERROR(VLOOKUP(W20,constant_ag_extr!$D$7:$E$594,2,FALSE),"")</f>
        <v>Cattle</v>
      </c>
      <c r="W20" s="560">
        <f t="shared" si="8"/>
        <v>866</v>
      </c>
      <c r="X20" s="2">
        <f>IFERROR(IF(VLOOKUP(B20,cnst_grazing!$C$10:$H$25,5,FALSE)="", IF(VLOOKUP(B20, cnst_grazing!$C$10:$H$25,3,FALSE)="", VLOOKUP(B20, cnst_grazing!$C$10:$H$25,4,FALSE),VLOOKUP(B20, cnst_grazing!$C$10:$H$25,3,FALSE)), VLOOKUP(B20,cnst_grazing!$C$10:$H$25,5,FALSE)),1)</f>
        <v>1</v>
      </c>
      <c r="Y20" s="2">
        <f>IFERROR(IF(VLOOKUP(B20,cnst_grazing!$C$10:$H$25,6,FALSE)="", IF(VLOOKUP(B20, cnst_grazing!$C$10:$H$25,4,FALSE)="", VLOOKUP(B20, cnst_grazing!$C$10:$H$25,3,FALSE),VLOOKUP(B20, cnst_grazing!$C$10:$H$25,4,FALSE)), VLOOKUP(B20,cnst_grazing!$C$10:$H$25,6,FALSE)),1)</f>
        <v>1</v>
      </c>
      <c r="Z20" s="400">
        <f t="shared" si="9"/>
        <v>0.47560022794680096</v>
      </c>
      <c r="AA20" s="2">
        <f t="shared" si="10"/>
        <v>26.383592592388244</v>
      </c>
      <c r="AB20" s="2">
        <f>VLOOKUP($W20,feed_mix_n,MATCH(AB$5,feed_mix_w!$B$5:$AC$5,0),FALSE)/$Z20*VLOOKUP(AB$5,feed_intensity_w,11,FALSE)</f>
        <v>2.1372607588260832</v>
      </c>
      <c r="AC20" s="2">
        <f>VLOOKUP($W20,feed_mix_n,MATCH(AC$5,feed_mix_w!$B$5:$AC$5,0),FALSE)/$Z20*VLOOKUP(AC$5,feed_intensity_w,11,FALSE)</f>
        <v>0.84004923207100224</v>
      </c>
      <c r="AD20" s="2">
        <f>VLOOKUP($W20,feed_mix_n,MATCH(AD$5,feed_mix_w!$B$5:$AC$5,0),FALSE)/$Z20*VLOOKUP(AD$5,feed_intensity_w,11,FALSE)</f>
        <v>0</v>
      </c>
      <c r="AE20" s="2">
        <f>VLOOKUP($W20,feed_mix_n,MATCH(AE$5,feed_mix_w!$B$5:$AC$5,0),FALSE)/$Z20*VLOOKUP(AE$5,feed_intensity_w,11,FALSE)</f>
        <v>1.6912255284465703</v>
      </c>
      <c r="AF20" s="2">
        <f>VLOOKUP($W20,feed_mix_n,MATCH(AF$5,feed_mix_w!$B$5:$AC$5,0),FALSE)/$Z20*VLOOKUP(AF$5,feed_intensity_w,11,FALSE)</f>
        <v>0.84561276422328513</v>
      </c>
      <c r="AG20" s="2">
        <f>VLOOKUP($W20,feed_mix_n,MATCH(AG$5,feed_mix_w!$B$5:$AC$5,0),FALSE)/$Z20*VLOOKUP(AG$5,feed_intensity_w,11,FALSE)</f>
        <v>0</v>
      </c>
      <c r="AH20" s="2">
        <f>VLOOKUP($W20,feed_mix_n,MATCH(AH$5,feed_mix_w!$B$5:$AC$5,0),FALSE)/$Z20*VLOOKUP(AH$5,feed_intensity_w,11,FALSE)</f>
        <v>0.84561276422328513</v>
      </c>
      <c r="AI20" s="2">
        <f>VLOOKUP($W20,feed_mix_n,MATCH(AI$5,feed_mix_w!$B$5:$AC$5,0),FALSE)/$Z20*VLOOKUP(AI$5,feed_intensity_w,11,FALSE)</f>
        <v>0</v>
      </c>
      <c r="AJ20" s="2">
        <f>VLOOKUP($W20,feed_mix_n,MATCH(AJ$5,feed_mix_w!$B$5:$AC$5,0),FALSE)/$Z20*VLOOKUP(AJ$5,feed_intensity_w,11,FALSE)</f>
        <v>0</v>
      </c>
      <c r="AK20" s="2">
        <f>VLOOKUP($W20,feed_mix_n,MATCH(AK$5,feed_mix_w!$B$5:$AC$5,0),FALSE)/$Z20*VLOOKUP(AK$5,feed_intensity_w,11,FALSE)</f>
        <v>0</v>
      </c>
      <c r="AL20" s="2">
        <f>VLOOKUP($W20,feed_mix_n,MATCH(AL$5,feed_mix_w!$B$5:$AC$5,0),FALSE)/$Z20*VLOOKUP(AL$5,feed_intensity_w,11,FALSE)</f>
        <v>0</v>
      </c>
      <c r="AM20" s="2">
        <f>VLOOKUP($W20,feed_mix_n,MATCH(AM$5,feed_mix_w!$B$5:$AC$5,0),FALSE)/$Z20*VLOOKUP(AM$5,feed_intensity_w,11,FALSE)</f>
        <v>0.5831775532258241</v>
      </c>
      <c r="AN20" s="2">
        <f>VLOOKUP($W20,feed_mix_n,MATCH(AN$5,feed_mix_w!$B$5:$AC$5,0),FALSE)/$Z20*VLOOKUP(AN$5,feed_intensity_w,11,FALSE)</f>
        <v>0</v>
      </c>
      <c r="AO20" s="2">
        <f>VLOOKUP($W20,feed_mix_n,MATCH(AO$5,feed_mix_w!$B$5:$AC$5,0),FALSE)/$Z20*VLOOKUP(AO$5,feed_intensity_w,11,FALSE)</f>
        <v>0</v>
      </c>
      <c r="AP20" s="2">
        <f>VLOOKUP($W20,feed_mix_n,MATCH(AP$5,feed_mix_w!$B$5:$AC$5,0),FALSE)/$Z20*VLOOKUP(AP$5,feed_intensity_w,11,FALSE)</f>
        <v>0</v>
      </c>
      <c r="AQ20" s="2">
        <f>VLOOKUP($W20,feed_mix_n,MATCH(AQ$5,feed_mix_w!$B$5:$AC$5,0),FALSE)/$Z20*VLOOKUP(AQ$5,feed_intensity_w,11,FALSE)</f>
        <v>0</v>
      </c>
      <c r="AR20" s="2">
        <f>VLOOKUP($W20,feed_mix_n,MATCH(AR$5,feed_mix_w!$B$5:$AC$5,0),FALSE)/$Z20*VLOOKUP(AR$5,feed_intensity_w,11,FALSE)</f>
        <v>0.67741242834329463</v>
      </c>
      <c r="AS20" s="389">
        <f>VLOOKUP($W20,feed_mix_n,MATCH(AS$5,feed_mix_w!$B$5:$AC$5,0),FALSE)/$Z20*VLOOKUP(AS$5,feed_intensity_w,11,FALSE)</f>
        <v>0</v>
      </c>
    </row>
    <row r="21" spans="1:45" ht="12.5">
      <c r="A21" s="14" t="s">
        <v>7122</v>
      </c>
      <c r="B21" s="482">
        <v>882</v>
      </c>
      <c r="C21" s="24" t="s">
        <v>5421</v>
      </c>
      <c r="D21" s="513">
        <v>38971</v>
      </c>
      <c r="E21" s="513">
        <v>7029</v>
      </c>
      <c r="F21" s="25">
        <f t="shared" si="0"/>
        <v>38971</v>
      </c>
      <c r="G21" s="25">
        <f t="shared" si="1"/>
        <v>7029</v>
      </c>
      <c r="H21" s="2">
        <f t="shared" si="2"/>
        <v>0.18951706457465836</v>
      </c>
      <c r="I21" s="25">
        <f t="shared" si="3"/>
        <v>7385.6695235390107</v>
      </c>
      <c r="J21" s="87">
        <f>IFERROR(G21*VLOOKUP(W21,livestock_intensity!$B$7:$I$29,8,FALSE)/Z21,0)</f>
        <v>1214.7572543152128</v>
      </c>
      <c r="K21" s="2">
        <f>VLOOKUP($W21,feed_mix_n,MATCH(K$5,feed_mix_w!$B$5:$AC$5,0),FALSE)/$Z21*VLOOKUP(K$5,feed_intensity_w,11,FALSE)</f>
        <v>0</v>
      </c>
      <c r="L21" s="25">
        <f t="shared" si="4"/>
        <v>0</v>
      </c>
      <c r="M21" s="25">
        <f>IFERROR(G21*VLOOKUP(W21,livestock_intensity!$B$7:$M$29,12,FALSE)/Z21,0)</f>
        <v>0</v>
      </c>
      <c r="N21" s="2">
        <f>VLOOKUP($W21,feed_mix_n,MATCH(N$5,feed_mix_w!$B$5:$AC$5,0),FALSE)/$Z21*VLOOKUP(N$5,feed_intensity_w,11,FALSE)</f>
        <v>0.35514409001741942</v>
      </c>
      <c r="O21" s="25">
        <f t="shared" si="5"/>
        <v>13840.320332068852</v>
      </c>
      <c r="P21" s="343">
        <f>IFERROR(G21*VLOOKUP(W21,livestock_intensity!$B$7:$Q$29,16,FALSE)/Z21,0)</f>
        <v>1184.9498509608504</v>
      </c>
      <c r="Q21" s="758"/>
      <c r="R21" s="331">
        <f t="shared" si="6"/>
        <v>21225.989855607862</v>
      </c>
      <c r="S21" s="331">
        <f t="shared" si="7"/>
        <v>2399.707105276063</v>
      </c>
      <c r="T21" s="739">
        <v>2848</v>
      </c>
      <c r="U21" s="558" t="s">
        <v>413</v>
      </c>
      <c r="V21" s="559" t="str">
        <f>IFERROR(VLOOKUP(W21,constant_ag_extr!$D$7:$E$594,2,FALSE),"")</f>
        <v>Cow milk, whole, fresh</v>
      </c>
      <c r="W21" s="560">
        <f t="shared" si="8"/>
        <v>882</v>
      </c>
      <c r="X21" s="2">
        <f>IFERROR(IF(VLOOKUP(B21,cnst_grazing!$C$10:$H$25,5,FALSE)="", IF(VLOOKUP(B21, cnst_grazing!$C$10:$H$25,3,FALSE)="", VLOOKUP(B21, cnst_grazing!$C$10:$H$25,4,FALSE),VLOOKUP(B21, cnst_grazing!$C$10:$H$25,3,FALSE)), VLOOKUP(B21,cnst_grazing!$C$10:$H$25,5,FALSE)),1)</f>
        <v>1</v>
      </c>
      <c r="Y21" s="2">
        <f>IFERROR(IF(VLOOKUP(B21,cnst_grazing!$C$10:$H$25,6,FALSE)="", IF(VLOOKUP(B21, cnst_grazing!$C$10:$H$25,4,FALSE)="", VLOOKUP(B21, cnst_grazing!$C$10:$H$25,3,FALSE),VLOOKUP(B21, cnst_grazing!$C$10:$H$25,4,FALSE)), VLOOKUP(B21,cnst_grazing!$C$10:$H$25,6,FALSE)),1)</f>
        <v>1</v>
      </c>
      <c r="Z21" s="400">
        <f t="shared" si="9"/>
        <v>1</v>
      </c>
      <c r="AA21" s="2">
        <f t="shared" si="10"/>
        <v>0.54466115459207776</v>
      </c>
      <c r="AB21" s="2">
        <f>VLOOKUP($W21,feed_mix_n,MATCH(AB$5,feed_mix_w!$B$5:$AC$5,0),FALSE)/$Z21*VLOOKUP(AB$5,feed_intensity_w,11,FALSE)</f>
        <v>4.294276142110625E-2</v>
      </c>
      <c r="AC21" s="2">
        <f>VLOOKUP($W21,feed_mix_n,MATCH(AC$5,feed_mix_w!$B$5:$AC$5,0),FALSE)/$Z21*VLOOKUP(AC$5,feed_intensity_w,11,FALSE)</f>
        <v>4.2196575225830979E-2</v>
      </c>
      <c r="AD21" s="2">
        <f>VLOOKUP($W21,feed_mix_n,MATCH(AD$5,feed_mix_w!$B$5:$AC$5,0),FALSE)/$Z21*VLOOKUP(AD$5,feed_intensity_w,11,FALSE)</f>
        <v>0</v>
      </c>
      <c r="AE21" s="2">
        <f>VLOOKUP($W21,feed_mix_n,MATCH(AE$5,feed_mix_w!$B$5:$AC$5,0),FALSE)/$Z21*VLOOKUP(AE$5,feed_intensity_w,11,FALSE)</f>
        <v>4.2476037421643444E-2</v>
      </c>
      <c r="AF21" s="2">
        <f>VLOOKUP($W21,feed_mix_n,MATCH(AF$5,feed_mix_w!$B$5:$AC$5,0),FALSE)/$Z21*VLOOKUP(AF$5,feed_intensity_w,11,FALSE)</f>
        <v>1.6990414968657375E-2</v>
      </c>
      <c r="AG21" s="2">
        <f>VLOOKUP($W21,feed_mix_n,MATCH(AG$5,feed_mix_w!$B$5:$AC$5,0),FALSE)/$Z21*VLOOKUP(AG$5,feed_intensity_w,11,FALSE)</f>
        <v>0</v>
      </c>
      <c r="AH21" s="2">
        <f>VLOOKUP($W21,feed_mix_n,MATCH(AH$5,feed_mix_w!$B$5:$AC$5,0),FALSE)/$Z21*VLOOKUP(AH$5,feed_intensity_w,11,FALSE)</f>
        <v>1.6990414968657375E-2</v>
      </c>
      <c r="AI21" s="2">
        <f>VLOOKUP($W21,feed_mix_n,MATCH(AI$5,feed_mix_w!$B$5:$AC$5,0),FALSE)/$Z21*VLOOKUP(AI$5,feed_intensity_w,11,FALSE)</f>
        <v>0</v>
      </c>
      <c r="AJ21" s="2">
        <f>VLOOKUP($W21,feed_mix_n,MATCH(AJ$5,feed_mix_w!$B$5:$AC$5,0),FALSE)/$Z21*VLOOKUP(AJ$5,feed_intensity_w,11,FALSE)</f>
        <v>0</v>
      </c>
      <c r="AK21" s="2">
        <f>VLOOKUP($W21,feed_mix_n,MATCH(AK$5,feed_mix_w!$B$5:$AC$5,0),FALSE)/$Z21*VLOOKUP(AK$5,feed_intensity_w,11,FALSE)</f>
        <v>0</v>
      </c>
      <c r="AL21" s="2">
        <f>VLOOKUP($W21,feed_mix_n,MATCH(AL$5,feed_mix_w!$B$5:$AC$5,0),FALSE)/$Z21*VLOOKUP(AL$5,feed_intensity_w,11,FALSE)</f>
        <v>0</v>
      </c>
      <c r="AM21" s="2">
        <f>VLOOKUP($W21,feed_mix_n,MATCH(AM$5,feed_mix_w!$B$5:$AC$5,0),FALSE)/$Z21*VLOOKUP(AM$5,feed_intensity_w,11,FALSE)</f>
        <v>1.1717453956379369E-2</v>
      </c>
      <c r="AN21" s="2">
        <f>VLOOKUP($W21,feed_mix_n,MATCH(AN$5,feed_mix_w!$B$5:$AC$5,0),FALSE)/$Z21*VLOOKUP(AN$5,feed_intensity_w,11,FALSE)</f>
        <v>0</v>
      </c>
      <c r="AO21" s="2">
        <f>VLOOKUP($W21,feed_mix_n,MATCH(AO$5,feed_mix_w!$B$5:$AC$5,0),FALSE)/$Z21*VLOOKUP(AO$5,feed_intensity_w,11,FALSE)</f>
        <v>0</v>
      </c>
      <c r="AP21" s="2">
        <f>VLOOKUP($W21,feed_mix_n,MATCH(AP$5,feed_mix_w!$B$5:$AC$5,0),FALSE)/$Z21*VLOOKUP(AP$5,feed_intensity_w,11,FALSE)</f>
        <v>0</v>
      </c>
      <c r="AQ21" s="2">
        <f>VLOOKUP($W21,feed_mix_n,MATCH(AQ$5,feed_mix_w!$B$5:$AC$5,0),FALSE)/$Z21*VLOOKUP(AQ$5,feed_intensity_w,11,FALSE)</f>
        <v>0</v>
      </c>
      <c r="AR21" s="2">
        <f>VLOOKUP($W21,feed_mix_n,MATCH(AR$5,feed_mix_w!$B$5:$AC$5,0),FALSE)/$Z21*VLOOKUP(AR$5,feed_intensity_w,11,FALSE)</f>
        <v>1.6203406612383533E-2</v>
      </c>
      <c r="AS21" s="389">
        <f>VLOOKUP($W21,feed_mix_n,MATCH(AS$5,feed_mix_w!$B$5:$AC$5,0),FALSE)/$Z21*VLOOKUP(AS$5,feed_intensity_w,11,FALSE)</f>
        <v>0</v>
      </c>
    </row>
    <row r="22" spans="1:45" ht="12.5">
      <c r="A22" s="14" t="s">
        <v>7123</v>
      </c>
      <c r="B22" s="482">
        <v>885</v>
      </c>
      <c r="C22" s="24" t="s">
        <v>1197</v>
      </c>
      <c r="D22" s="513">
        <v>1600</v>
      </c>
      <c r="E22" s="513">
        <v>49</v>
      </c>
      <c r="F22" s="25">
        <f t="shared" si="0"/>
        <v>1600</v>
      </c>
      <c r="G22" s="25">
        <f t="shared" si="1"/>
        <v>49</v>
      </c>
      <c r="H22" s="2">
        <f t="shared" si="2"/>
        <v>0.53275759510537413</v>
      </c>
      <c r="I22" s="25">
        <f t="shared" si="3"/>
        <v>852.4121521685986</v>
      </c>
      <c r="J22" s="87">
        <f>IFERROR(G22*VLOOKUP(W22,livestock_intensity!$B$7:$I$29,8,FALSE)/Z22,0)</f>
        <v>23.805283988525257</v>
      </c>
      <c r="K22" s="2">
        <f>VLOOKUP($W22,feed_mix_n,MATCH(K$5,feed_mix_w!$B$5:$AC$5,0),FALSE)/$Z22*VLOOKUP(K$5,feed_intensity_w,11,FALSE)</f>
        <v>0</v>
      </c>
      <c r="L22" s="25">
        <f t="shared" si="4"/>
        <v>0</v>
      </c>
      <c r="M22" s="25">
        <f>IFERROR(G22*VLOOKUP(W22,livestock_intensity!$B$7:$M$29,12,FALSE)/Z22,0)</f>
        <v>0</v>
      </c>
      <c r="N22" s="2">
        <f>VLOOKUP($W22,feed_mix_n,MATCH(N$5,feed_mix_w!$B$5:$AC$5,0),FALSE)/$Z22*VLOOKUP(N$5,feed_intensity_w,11,FALSE)</f>
        <v>0.99835712281746103</v>
      </c>
      <c r="O22" s="25">
        <f t="shared" si="5"/>
        <v>1597.3713965079376</v>
      </c>
      <c r="P22" s="343">
        <f>IFERROR(G22*VLOOKUP(W22,livestock_intensity!$B$7:$Q$29,16,FALSE)/Z22,0)</f>
        <v>23.221156007983897</v>
      </c>
      <c r="Q22" s="758"/>
      <c r="R22" s="331">
        <f t="shared" si="6"/>
        <v>2449.7835486765362</v>
      </c>
      <c r="S22" s="331">
        <f t="shared" si="7"/>
        <v>47.026439996509154</v>
      </c>
      <c r="T22" s="739" t="s">
        <v>2738</v>
      </c>
      <c r="U22" s="558" t="s">
        <v>2796</v>
      </c>
      <c r="V22" s="559" t="str">
        <f>IFERROR(VLOOKUP(W22,constant_ag_extr!$D$7:$E$594,2,FALSE),"")</f>
        <v>Cow milk, whole, fresh</v>
      </c>
      <c r="W22" s="560">
        <f t="shared" si="8"/>
        <v>882</v>
      </c>
      <c r="X22" s="2">
        <f>IFERROR(IF(VLOOKUP(B22,cnst_grazing!$C$10:$H$25,5,FALSE)="", IF(VLOOKUP(B22, cnst_grazing!$C$10:$H$25,3,FALSE)="", VLOOKUP(B22, cnst_grazing!$C$10:$H$25,4,FALSE),VLOOKUP(B22, cnst_grazing!$C$10:$H$25,3,FALSE)), VLOOKUP(B22,cnst_grazing!$C$10:$H$25,5,FALSE)),1)</f>
        <v>1</v>
      </c>
      <c r="Y22" s="2">
        <f>IFERROR(IF(VLOOKUP(B22,cnst_grazing!$C$10:$H$25,6,FALSE)="", IF(VLOOKUP(B22, cnst_grazing!$C$10:$H$25,4,FALSE)="", VLOOKUP(B22, cnst_grazing!$C$10:$H$25,3,FALSE),VLOOKUP(B22, cnst_grazing!$C$10:$H$25,4,FALSE)), VLOOKUP(B22,cnst_grazing!$C$10:$H$25,6,FALSE)),1)</f>
        <v>1</v>
      </c>
      <c r="Z22" s="400">
        <f t="shared" si="9"/>
        <v>0.35572850826682961</v>
      </c>
      <c r="AA22" s="2">
        <f t="shared" si="10"/>
        <v>1.531114717922835</v>
      </c>
      <c r="AB22" s="2">
        <f>VLOOKUP($W22,feed_mix_n,MATCH(AB$5,feed_mix_w!$B$5:$AC$5,0),FALSE)/$Z22*VLOOKUP(AB$5,feed_intensity_w,11,FALSE)</f>
        <v>0.12071779579975403</v>
      </c>
      <c r="AC22" s="2">
        <f>VLOOKUP($W22,feed_mix_n,MATCH(AC$5,feed_mix_w!$B$5:$AC$5,0),FALSE)/$Z22*VLOOKUP(AC$5,feed_intensity_w,11,FALSE)</f>
        <v>0.11862016747384105</v>
      </c>
      <c r="AD22" s="2">
        <f>VLOOKUP($W22,feed_mix_n,MATCH(AD$5,feed_mix_w!$B$5:$AC$5,0),FALSE)/$Z22*VLOOKUP(AD$5,feed_intensity_w,11,FALSE)</f>
        <v>0</v>
      </c>
      <c r="AE22" s="2">
        <f>VLOOKUP($W22,feed_mix_n,MATCH(AE$5,feed_mix_w!$B$5:$AC$5,0),FALSE)/$Z22*VLOOKUP(AE$5,feed_intensity_w,11,FALSE)</f>
        <v>0.11940577275797769</v>
      </c>
      <c r="AF22" s="2">
        <f>VLOOKUP($W22,feed_mix_n,MATCH(AF$5,feed_mix_w!$B$5:$AC$5,0),FALSE)/$Z22*VLOOKUP(AF$5,feed_intensity_w,11,FALSE)</f>
        <v>4.7762309103191077E-2</v>
      </c>
      <c r="AG22" s="2">
        <f>VLOOKUP($W22,feed_mix_n,MATCH(AG$5,feed_mix_w!$B$5:$AC$5,0),FALSE)/$Z22*VLOOKUP(AG$5,feed_intensity_w,11,FALSE)</f>
        <v>0</v>
      </c>
      <c r="AH22" s="2">
        <f>VLOOKUP($W22,feed_mix_n,MATCH(AH$5,feed_mix_w!$B$5:$AC$5,0),FALSE)/$Z22*VLOOKUP(AH$5,feed_intensity_w,11,FALSE)</f>
        <v>4.7762309103191077E-2</v>
      </c>
      <c r="AI22" s="2">
        <f>VLOOKUP($W22,feed_mix_n,MATCH(AI$5,feed_mix_w!$B$5:$AC$5,0),FALSE)/$Z22*VLOOKUP(AI$5,feed_intensity_w,11,FALSE)</f>
        <v>0</v>
      </c>
      <c r="AJ22" s="2">
        <f>VLOOKUP($W22,feed_mix_n,MATCH(AJ$5,feed_mix_w!$B$5:$AC$5,0),FALSE)/$Z22*VLOOKUP(AJ$5,feed_intensity_w,11,FALSE)</f>
        <v>0</v>
      </c>
      <c r="AK22" s="2">
        <f>VLOOKUP($W22,feed_mix_n,MATCH(AK$5,feed_mix_w!$B$5:$AC$5,0),FALSE)/$Z22*VLOOKUP(AK$5,feed_intensity_w,11,FALSE)</f>
        <v>0</v>
      </c>
      <c r="AL22" s="2">
        <f>VLOOKUP($W22,feed_mix_n,MATCH(AL$5,feed_mix_w!$B$5:$AC$5,0),FALSE)/$Z22*VLOOKUP(AL$5,feed_intensity_w,11,FALSE)</f>
        <v>0</v>
      </c>
      <c r="AM22" s="2">
        <f>VLOOKUP($W22,feed_mix_n,MATCH(AM$5,feed_mix_w!$B$5:$AC$5,0),FALSE)/$Z22*VLOOKUP(AM$5,feed_intensity_w,11,FALSE)</f>
        <v>3.2939316596999259E-2</v>
      </c>
      <c r="AN22" s="2">
        <f>VLOOKUP($W22,feed_mix_n,MATCH(AN$5,feed_mix_w!$B$5:$AC$5,0),FALSE)/$Z22*VLOOKUP(AN$5,feed_intensity_w,11,FALSE)</f>
        <v>0</v>
      </c>
      <c r="AO22" s="2">
        <f>VLOOKUP($W22,feed_mix_n,MATCH(AO$5,feed_mix_w!$B$5:$AC$5,0),FALSE)/$Z22*VLOOKUP(AO$5,feed_intensity_w,11,FALSE)</f>
        <v>0</v>
      </c>
      <c r="AP22" s="2">
        <f>VLOOKUP($W22,feed_mix_n,MATCH(AP$5,feed_mix_w!$B$5:$AC$5,0),FALSE)/$Z22*VLOOKUP(AP$5,feed_intensity_w,11,FALSE)</f>
        <v>0</v>
      </c>
      <c r="AQ22" s="2">
        <f>VLOOKUP($W22,feed_mix_n,MATCH(AQ$5,feed_mix_w!$B$5:$AC$5,0),FALSE)/$Z22*VLOOKUP(AQ$5,feed_intensity_w,11,FALSE)</f>
        <v>0</v>
      </c>
      <c r="AR22" s="2">
        <f>VLOOKUP($W22,feed_mix_n,MATCH(AR$5,feed_mix_w!$B$5:$AC$5,0),FALSE)/$Z22*VLOOKUP(AR$5,feed_intensity_w,11,FALSE)</f>
        <v>4.5549924270419907E-2</v>
      </c>
      <c r="AS22" s="389">
        <f>VLOOKUP($W22,feed_mix_n,MATCH(AS$5,feed_mix_w!$B$5:$AC$5,0),FALSE)/$Z22*VLOOKUP(AS$5,feed_intensity_w,11,FALSE)</f>
        <v>0</v>
      </c>
    </row>
    <row r="23" spans="1:45" ht="12.5">
      <c r="A23" s="14" t="s">
        <v>7124</v>
      </c>
      <c r="B23" s="482">
        <v>886</v>
      </c>
      <c r="C23" s="24" t="s">
        <v>535</v>
      </c>
      <c r="D23" s="513">
        <v>16556</v>
      </c>
      <c r="E23" s="513">
        <v>606</v>
      </c>
      <c r="F23" s="25">
        <f t="shared" si="0"/>
        <v>16556</v>
      </c>
      <c r="G23" s="25">
        <f t="shared" si="1"/>
        <v>606</v>
      </c>
      <c r="H23" s="2">
        <f t="shared" si="2"/>
        <v>3.4457648104483334</v>
      </c>
      <c r="I23" s="25">
        <f t="shared" si="3"/>
        <v>57048.082201782607</v>
      </c>
      <c r="J23" s="87">
        <f>IFERROR(G23*VLOOKUP(W23,livestock_intensity!$B$7:$I$29,8,FALSE)/Z23,0)</f>
        <v>1904.1707629819807</v>
      </c>
      <c r="K23" s="2">
        <f>VLOOKUP($W23,feed_mix_n,MATCH(K$5,feed_mix_w!$B$5:$AC$5,0),FALSE)/$Z23*VLOOKUP(K$5,feed_intensity_w,11,FALSE)</f>
        <v>0</v>
      </c>
      <c r="L23" s="25">
        <f t="shared" si="4"/>
        <v>0</v>
      </c>
      <c r="M23" s="25">
        <f>IFERROR(G23*VLOOKUP(W23,livestock_intensity!$B$7:$M$29,12,FALSE)/Z23,0)</f>
        <v>0</v>
      </c>
      <c r="N23" s="2">
        <f>VLOOKUP($W23,feed_mix_n,MATCH(N$5,feed_mix_w!$B$5:$AC$5,0),FALSE)/$Z23*VLOOKUP(N$5,feed_intensity_w,11,FALSE)</f>
        <v>6.4571652730439899</v>
      </c>
      <c r="O23" s="25">
        <f t="shared" si="5"/>
        <v>106904.8282605163</v>
      </c>
      <c r="P23" s="343">
        <f>IFERROR(G23*VLOOKUP(W23,livestock_intensity!$B$7:$Q$29,16,FALSE)/Z23,0)</f>
        <v>1857.4467069731252</v>
      </c>
      <c r="Q23" s="758"/>
      <c r="R23" s="331">
        <f t="shared" si="6"/>
        <v>163952.9104622989</v>
      </c>
      <c r="S23" s="331">
        <f t="shared" si="7"/>
        <v>3761.6174699551057</v>
      </c>
      <c r="T23" s="739">
        <v>2740</v>
      </c>
      <c r="U23" s="558" t="s">
        <v>2796</v>
      </c>
      <c r="V23" s="559" t="str">
        <f>IFERROR(VLOOKUP(W23,constant_ag_extr!$D$7:$E$594,2,FALSE),"")</f>
        <v>Cow milk, whole, fresh</v>
      </c>
      <c r="W23" s="560">
        <f t="shared" si="8"/>
        <v>882</v>
      </c>
      <c r="X23" s="2">
        <f>IFERROR(IF(VLOOKUP(B23,cnst_grazing!$C$10:$H$25,5,FALSE)="", IF(VLOOKUP(B23, cnst_grazing!$C$10:$H$25,3,FALSE)="", VLOOKUP(B23, cnst_grazing!$C$10:$H$25,4,FALSE),VLOOKUP(B23, cnst_grazing!$C$10:$H$25,3,FALSE)), VLOOKUP(B23,cnst_grazing!$C$10:$H$25,5,FALSE)),1)</f>
        <v>1</v>
      </c>
      <c r="Y23" s="2">
        <f>IFERROR(IF(VLOOKUP(B23,cnst_grazing!$C$10:$H$25,6,FALSE)="", IF(VLOOKUP(B23, cnst_grazing!$C$10:$H$25,4,FALSE)="", VLOOKUP(B23, cnst_grazing!$C$10:$H$25,3,FALSE),VLOOKUP(B23, cnst_grazing!$C$10:$H$25,4,FALSE)), VLOOKUP(B23,cnst_grazing!$C$10:$H$25,6,FALSE)),1)</f>
        <v>1</v>
      </c>
      <c r="Z23" s="400">
        <f t="shared" si="9"/>
        <v>5.5E-2</v>
      </c>
      <c r="AA23" s="2">
        <f t="shared" si="10"/>
        <v>9.9029300834923237</v>
      </c>
      <c r="AB23" s="2">
        <f>VLOOKUP($W23,feed_mix_n,MATCH(AB$5,feed_mix_w!$B$5:$AC$5,0),FALSE)/$Z23*VLOOKUP(AB$5,feed_intensity_w,11,FALSE)</f>
        <v>0.78077748038375006</v>
      </c>
      <c r="AC23" s="2">
        <f>VLOOKUP($W23,feed_mix_n,MATCH(AC$5,feed_mix_w!$B$5:$AC$5,0),FALSE)/$Z23*VLOOKUP(AC$5,feed_intensity_w,11,FALSE)</f>
        <v>0.76721045865147242</v>
      </c>
      <c r="AD23" s="2">
        <f>VLOOKUP($W23,feed_mix_n,MATCH(AD$5,feed_mix_w!$B$5:$AC$5,0),FALSE)/$Z23*VLOOKUP(AD$5,feed_intensity_w,11,FALSE)</f>
        <v>0</v>
      </c>
      <c r="AE23" s="2">
        <f>VLOOKUP($W23,feed_mix_n,MATCH(AE$5,feed_mix_w!$B$5:$AC$5,0),FALSE)/$Z23*VLOOKUP(AE$5,feed_intensity_w,11,FALSE)</f>
        <v>0.77229158948442622</v>
      </c>
      <c r="AF23" s="2">
        <f>VLOOKUP($W23,feed_mix_n,MATCH(AF$5,feed_mix_w!$B$5:$AC$5,0),FALSE)/$Z23*VLOOKUP(AF$5,feed_intensity_w,11,FALSE)</f>
        <v>0.30891663579377043</v>
      </c>
      <c r="AG23" s="2">
        <f>VLOOKUP($W23,feed_mix_n,MATCH(AG$5,feed_mix_w!$B$5:$AC$5,0),FALSE)/$Z23*VLOOKUP(AG$5,feed_intensity_w,11,FALSE)</f>
        <v>0</v>
      </c>
      <c r="AH23" s="2">
        <f>VLOOKUP($W23,feed_mix_n,MATCH(AH$5,feed_mix_w!$B$5:$AC$5,0),FALSE)/$Z23*VLOOKUP(AH$5,feed_intensity_w,11,FALSE)</f>
        <v>0.30891663579377043</v>
      </c>
      <c r="AI23" s="2">
        <f>VLOOKUP($W23,feed_mix_n,MATCH(AI$5,feed_mix_w!$B$5:$AC$5,0),FALSE)/$Z23*VLOOKUP(AI$5,feed_intensity_w,11,FALSE)</f>
        <v>0</v>
      </c>
      <c r="AJ23" s="2">
        <f>VLOOKUP($W23,feed_mix_n,MATCH(AJ$5,feed_mix_w!$B$5:$AC$5,0),FALSE)/$Z23*VLOOKUP(AJ$5,feed_intensity_w,11,FALSE)</f>
        <v>0</v>
      </c>
      <c r="AK23" s="2">
        <f>VLOOKUP($W23,feed_mix_n,MATCH(AK$5,feed_mix_w!$B$5:$AC$5,0),FALSE)/$Z23*VLOOKUP(AK$5,feed_intensity_w,11,FALSE)</f>
        <v>0</v>
      </c>
      <c r="AL23" s="2">
        <f>VLOOKUP($W23,feed_mix_n,MATCH(AL$5,feed_mix_w!$B$5:$AC$5,0),FALSE)/$Z23*VLOOKUP(AL$5,feed_intensity_w,11,FALSE)</f>
        <v>0</v>
      </c>
      <c r="AM23" s="2">
        <f>VLOOKUP($W23,feed_mix_n,MATCH(AM$5,feed_mix_w!$B$5:$AC$5,0),FALSE)/$Z23*VLOOKUP(AM$5,feed_intensity_w,11,FALSE)</f>
        <v>0.21304461738871577</v>
      </c>
      <c r="AN23" s="2">
        <f>VLOOKUP($W23,feed_mix_n,MATCH(AN$5,feed_mix_w!$B$5:$AC$5,0),FALSE)/$Z23*VLOOKUP(AN$5,feed_intensity_w,11,FALSE)</f>
        <v>0</v>
      </c>
      <c r="AO23" s="2">
        <f>VLOOKUP($W23,feed_mix_n,MATCH(AO$5,feed_mix_w!$B$5:$AC$5,0),FALSE)/$Z23*VLOOKUP(AO$5,feed_intensity_w,11,FALSE)</f>
        <v>0</v>
      </c>
      <c r="AP23" s="2">
        <f>VLOOKUP($W23,feed_mix_n,MATCH(AP$5,feed_mix_w!$B$5:$AC$5,0),FALSE)/$Z23*VLOOKUP(AP$5,feed_intensity_w,11,FALSE)</f>
        <v>0</v>
      </c>
      <c r="AQ23" s="2">
        <f>VLOOKUP($W23,feed_mix_n,MATCH(AQ$5,feed_mix_w!$B$5:$AC$5,0),FALSE)/$Z23*VLOOKUP(AQ$5,feed_intensity_w,11,FALSE)</f>
        <v>0</v>
      </c>
      <c r="AR23" s="2">
        <f>VLOOKUP($W23,feed_mix_n,MATCH(AR$5,feed_mix_w!$B$5:$AC$5,0),FALSE)/$Z23*VLOOKUP(AR$5,feed_intensity_w,11,FALSE)</f>
        <v>0.29460739295242783</v>
      </c>
      <c r="AS23" s="389">
        <f>VLOOKUP($W23,feed_mix_n,MATCH(AS$5,feed_mix_w!$B$5:$AC$5,0),FALSE)/$Z23*VLOOKUP(AS$5,feed_intensity_w,11,FALSE)</f>
        <v>0</v>
      </c>
    </row>
    <row r="24" spans="1:45" ht="12.5">
      <c r="A24" s="14" t="s">
        <v>401</v>
      </c>
      <c r="B24" s="482">
        <v>887</v>
      </c>
      <c r="C24" s="24" t="s">
        <v>1210</v>
      </c>
      <c r="D24" s="513"/>
      <c r="E24" s="513"/>
      <c r="F24" s="25">
        <f t="shared" si="0"/>
        <v>0</v>
      </c>
      <c r="G24" s="25">
        <f t="shared" si="1"/>
        <v>0</v>
      </c>
      <c r="H24" s="2">
        <f t="shared" si="2"/>
        <v>0.39589186925200703</v>
      </c>
      <c r="I24" s="25">
        <f t="shared" si="3"/>
        <v>0</v>
      </c>
      <c r="J24" s="87">
        <f>IFERROR(G24*VLOOKUP(W24,livestock_intensity!$B$7:$I$29,8,FALSE)/Z24,0)</f>
        <v>0</v>
      </c>
      <c r="K24" s="2">
        <f>VLOOKUP($W24,feed_mix_n,MATCH(K$5,feed_mix_w!$B$5:$AC$5,0),FALSE)/$Z24*VLOOKUP(K$5,feed_intensity_w,11,FALSE)</f>
        <v>0</v>
      </c>
      <c r="L24" s="25">
        <f t="shared" si="4"/>
        <v>0</v>
      </c>
      <c r="M24" s="25">
        <f>IFERROR(G24*VLOOKUP(W24,livestock_intensity!$B$7:$M$29,12,FALSE)/Z24,0)</f>
        <v>0</v>
      </c>
      <c r="N24" s="2">
        <f>VLOOKUP($W24,feed_mix_n,MATCH(N$5,feed_mix_w!$B$5:$AC$5,0),FALSE)/$Z24*VLOOKUP(N$5,feed_intensity_w,11,FALSE)</f>
        <v>0.74187861639980068</v>
      </c>
      <c r="O24" s="25">
        <f t="shared" si="5"/>
        <v>0</v>
      </c>
      <c r="P24" s="343">
        <f>IFERROR(G24*VLOOKUP(W24,livestock_intensity!$B$7:$Q$29,16,FALSE)/Z24,0)</f>
        <v>0</v>
      </c>
      <c r="Q24" s="758"/>
      <c r="R24" s="331">
        <f t="shared" si="6"/>
        <v>0</v>
      </c>
      <c r="S24" s="331">
        <f t="shared" si="7"/>
        <v>0</v>
      </c>
      <c r="T24" s="739">
        <v>2740</v>
      </c>
      <c r="U24" s="558" t="s">
        <v>2796</v>
      </c>
      <c r="V24" s="559" t="str">
        <f>IFERROR(VLOOKUP(W24,constant_ag_extr!$D$7:$E$594,2,FALSE),"")</f>
        <v>Cow milk, whole, fresh</v>
      </c>
      <c r="W24" s="560">
        <f t="shared" si="8"/>
        <v>882</v>
      </c>
      <c r="X24" s="2">
        <f>IFERROR(IF(VLOOKUP(B24,cnst_grazing!$C$10:$H$25,5,FALSE)="", IF(VLOOKUP(B24, cnst_grazing!$C$10:$H$25,3,FALSE)="", VLOOKUP(B24, cnst_grazing!$C$10:$H$25,4,FALSE),VLOOKUP(B24, cnst_grazing!$C$10:$H$25,3,FALSE)), VLOOKUP(B24,cnst_grazing!$C$10:$H$25,5,FALSE)),1)</f>
        <v>1</v>
      </c>
      <c r="Y24" s="2">
        <f>IFERROR(IF(VLOOKUP(B24,cnst_grazing!$C$10:$H$25,6,FALSE)="", IF(VLOOKUP(B24, cnst_grazing!$C$10:$H$25,4,FALSE)="", VLOOKUP(B24, cnst_grazing!$C$10:$H$25,3,FALSE),VLOOKUP(B24, cnst_grazing!$C$10:$H$25,4,FALSE)), VLOOKUP(B24,cnst_grazing!$C$10:$H$25,6,FALSE)),1)</f>
        <v>1</v>
      </c>
      <c r="Z24" s="400">
        <f t="shared" si="9"/>
        <v>0.47870916099572702</v>
      </c>
      <c r="AA24" s="2">
        <f t="shared" si="10"/>
        <v>1.1377704856518078</v>
      </c>
      <c r="AB24" s="2">
        <f>VLOOKUP($W24,feed_mix_n,MATCH(AB$5,feed_mix_w!$B$5:$AC$5,0),FALSE)/$Z24*VLOOKUP(AB$5,feed_intensity_w,11,FALSE)</f>
        <v>8.9705326156249515E-2</v>
      </c>
      <c r="AC24" s="2">
        <f>VLOOKUP($W24,feed_mix_n,MATCH(AC$5,feed_mix_w!$B$5:$AC$5,0),FALSE)/$Z24*VLOOKUP(AC$5,feed_intensity_w,11,FALSE)</f>
        <v>8.8146579727158447E-2</v>
      </c>
      <c r="AD24" s="2">
        <f>VLOOKUP($W24,feed_mix_n,MATCH(AD$5,feed_mix_w!$B$5:$AC$5,0),FALSE)/$Z24*VLOOKUP(AD$5,feed_intensity_w,11,FALSE)</f>
        <v>0</v>
      </c>
      <c r="AE24" s="2">
        <f>VLOOKUP($W24,feed_mix_n,MATCH(AE$5,feed_mix_w!$B$5:$AC$5,0),FALSE)/$Z24*VLOOKUP(AE$5,feed_intensity_w,11,FALSE)</f>
        <v>8.8730362571905294E-2</v>
      </c>
      <c r="AF24" s="2">
        <f>VLOOKUP($W24,feed_mix_n,MATCH(AF$5,feed_mix_w!$B$5:$AC$5,0),FALSE)/$Z24*VLOOKUP(AF$5,feed_intensity_w,11,FALSE)</f>
        <v>3.5492145028762113E-2</v>
      </c>
      <c r="AG24" s="2">
        <f>VLOOKUP($W24,feed_mix_n,MATCH(AG$5,feed_mix_w!$B$5:$AC$5,0),FALSE)/$Z24*VLOOKUP(AG$5,feed_intensity_w,11,FALSE)</f>
        <v>0</v>
      </c>
      <c r="AH24" s="2">
        <f>VLOOKUP($W24,feed_mix_n,MATCH(AH$5,feed_mix_w!$B$5:$AC$5,0),FALSE)/$Z24*VLOOKUP(AH$5,feed_intensity_w,11,FALSE)</f>
        <v>3.5492145028762113E-2</v>
      </c>
      <c r="AI24" s="2">
        <f>VLOOKUP($W24,feed_mix_n,MATCH(AI$5,feed_mix_w!$B$5:$AC$5,0),FALSE)/$Z24*VLOOKUP(AI$5,feed_intensity_w,11,FALSE)</f>
        <v>0</v>
      </c>
      <c r="AJ24" s="2">
        <f>VLOOKUP($W24,feed_mix_n,MATCH(AJ$5,feed_mix_w!$B$5:$AC$5,0),FALSE)/$Z24*VLOOKUP(AJ$5,feed_intensity_w,11,FALSE)</f>
        <v>0</v>
      </c>
      <c r="AK24" s="2">
        <f>VLOOKUP($W24,feed_mix_n,MATCH(AK$5,feed_mix_w!$B$5:$AC$5,0),FALSE)/$Z24*VLOOKUP(AK$5,feed_intensity_w,11,FALSE)</f>
        <v>0</v>
      </c>
      <c r="AL24" s="2">
        <f>VLOOKUP($W24,feed_mix_n,MATCH(AL$5,feed_mix_w!$B$5:$AC$5,0),FALSE)/$Z24*VLOOKUP(AL$5,feed_intensity_w,11,FALSE)</f>
        <v>0</v>
      </c>
      <c r="AM24" s="2">
        <f>VLOOKUP($W24,feed_mix_n,MATCH(AM$5,feed_mix_w!$B$5:$AC$5,0),FALSE)/$Z24*VLOOKUP(AM$5,feed_intensity_w,11,FALSE)</f>
        <v>2.447718763519539E-2</v>
      </c>
      <c r="AN24" s="2">
        <f>VLOOKUP($W24,feed_mix_n,MATCH(AN$5,feed_mix_w!$B$5:$AC$5,0),FALSE)/$Z24*VLOOKUP(AN$5,feed_intensity_w,11,FALSE)</f>
        <v>0</v>
      </c>
      <c r="AO24" s="2">
        <f>VLOOKUP($W24,feed_mix_n,MATCH(AO$5,feed_mix_w!$B$5:$AC$5,0),FALSE)/$Z24*VLOOKUP(AO$5,feed_intensity_w,11,FALSE)</f>
        <v>0</v>
      </c>
      <c r="AP24" s="2">
        <f>VLOOKUP($W24,feed_mix_n,MATCH(AP$5,feed_mix_w!$B$5:$AC$5,0),FALSE)/$Z24*VLOOKUP(AP$5,feed_intensity_w,11,FALSE)</f>
        <v>0</v>
      </c>
      <c r="AQ24" s="2">
        <f>VLOOKUP($W24,feed_mix_n,MATCH(AQ$5,feed_mix_w!$B$5:$AC$5,0),FALSE)/$Z24*VLOOKUP(AQ$5,feed_intensity_w,11,FALSE)</f>
        <v>0</v>
      </c>
      <c r="AR24" s="2">
        <f>VLOOKUP($W24,feed_mix_n,MATCH(AR$5,feed_mix_w!$B$5:$AC$5,0),FALSE)/$Z24*VLOOKUP(AR$5,feed_intensity_w,11,FALSE)</f>
        <v>3.3848123103974115E-2</v>
      </c>
      <c r="AS24" s="389">
        <f>VLOOKUP($W24,feed_mix_n,MATCH(AS$5,feed_mix_w!$B$5:$AC$5,0),FALSE)/$Z24*VLOOKUP(AS$5,feed_intensity_w,11,FALSE)</f>
        <v>0</v>
      </c>
    </row>
    <row r="25" spans="1:45" ht="12.5">
      <c r="A25" s="14" t="s">
        <v>7125</v>
      </c>
      <c r="B25" s="482">
        <v>888</v>
      </c>
      <c r="C25" s="24" t="s">
        <v>1568</v>
      </c>
      <c r="D25" s="513">
        <v>26</v>
      </c>
      <c r="E25" s="513">
        <v>35</v>
      </c>
      <c r="F25" s="25">
        <f t="shared" si="0"/>
        <v>26</v>
      </c>
      <c r="G25" s="25">
        <f t="shared" si="1"/>
        <v>35</v>
      </c>
      <c r="H25" s="2">
        <f t="shared" si="2"/>
        <v>0.11785314549338945</v>
      </c>
      <c r="I25" s="25">
        <f t="shared" si="3"/>
        <v>3.0641817828281255</v>
      </c>
      <c r="J25" s="87">
        <f>IFERROR(G25*VLOOKUP(W25,livestock_intensity!$B$7:$I$29,8,FALSE)/Z25,0)</f>
        <v>3.761463566687822</v>
      </c>
      <c r="K25" s="2">
        <f>VLOOKUP($W25,feed_mix_n,MATCH(K$5,feed_mix_w!$B$5:$AC$5,0),FALSE)/$Z25*VLOOKUP(K$5,feed_intensity_w,11,FALSE)</f>
        <v>0</v>
      </c>
      <c r="L25" s="25">
        <f t="shared" si="4"/>
        <v>0</v>
      </c>
      <c r="M25" s="25">
        <f>IFERROR(G25*VLOOKUP(W25,livestock_intensity!$B$7:$M$29,12,FALSE)/Z25,0)</f>
        <v>0</v>
      </c>
      <c r="N25" s="2">
        <f>VLOOKUP($W25,feed_mix_n,MATCH(N$5,feed_mix_w!$B$5:$AC$5,0),FALSE)/$Z25*VLOOKUP(N$5,feed_intensity_w,11,FALSE)</f>
        <v>0.2208500232202153</v>
      </c>
      <c r="O25" s="25">
        <f t="shared" si="5"/>
        <v>5.7421006037255982</v>
      </c>
      <c r="P25" s="343">
        <f>IFERROR(G25*VLOOKUP(W25,livestock_intensity!$B$7:$Q$29,16,FALSE)/Z25,0)</f>
        <v>3.6691657340659405</v>
      </c>
      <c r="Q25" s="758"/>
      <c r="R25" s="331">
        <f t="shared" si="6"/>
        <v>8.8062823865537236</v>
      </c>
      <c r="S25" s="331">
        <f t="shared" si="7"/>
        <v>7.4306293007537629</v>
      </c>
      <c r="T25" s="739" t="s">
        <v>2738</v>
      </c>
      <c r="U25" s="558" t="s">
        <v>2796</v>
      </c>
      <c r="V25" s="559" t="str">
        <f>IFERROR(VLOOKUP(W25,constant_ag_extr!$D$7:$E$594,2,FALSE),"")</f>
        <v>Cow milk, whole, fresh</v>
      </c>
      <c r="W25" s="560">
        <f t="shared" si="8"/>
        <v>882</v>
      </c>
      <c r="X25" s="2">
        <f>IFERROR(IF(VLOOKUP(B25,cnst_grazing!$C$10:$H$25,5,FALSE)="", IF(VLOOKUP(B25, cnst_grazing!$C$10:$H$25,3,FALSE)="", VLOOKUP(B25, cnst_grazing!$C$10:$H$25,4,FALSE),VLOOKUP(B25, cnst_grazing!$C$10:$H$25,3,FALSE)), VLOOKUP(B25,cnst_grazing!$C$10:$H$25,5,FALSE)),1)</f>
        <v>1</v>
      </c>
      <c r="Y25" s="2">
        <f>IFERROR(IF(VLOOKUP(B25,cnst_grazing!$C$10:$H$25,6,FALSE)="", IF(VLOOKUP(B25, cnst_grazing!$C$10:$H$25,4,FALSE)="", VLOOKUP(B25, cnst_grazing!$C$10:$H$25,3,FALSE),VLOOKUP(B25, cnst_grazing!$C$10:$H$25,4,FALSE)), VLOOKUP(B25,cnst_grazing!$C$10:$H$25,6,FALSE)),1)</f>
        <v>1</v>
      </c>
      <c r="Z25" s="400">
        <f t="shared" si="9"/>
        <v>1.6080781194362657</v>
      </c>
      <c r="AA25" s="2">
        <f t="shared" si="10"/>
        <v>0.33870316871360473</v>
      </c>
      <c r="AB25" s="2">
        <f>VLOOKUP($W25,feed_mix_n,MATCH(AB$5,feed_mix_w!$B$5:$AC$5,0),FALSE)/$Z25*VLOOKUP(AB$5,feed_intensity_w,11,FALSE)</f>
        <v>2.6704400054992625E-2</v>
      </c>
      <c r="AC25" s="2">
        <f>VLOOKUP($W25,feed_mix_n,MATCH(AC$5,feed_mix_w!$B$5:$AC$5,0),FALSE)/$Z25*VLOOKUP(AC$5,feed_intensity_w,11,FALSE)</f>
        <v>2.6240376456725611E-2</v>
      </c>
      <c r="AD25" s="2">
        <f>VLOOKUP($W25,feed_mix_n,MATCH(AD$5,feed_mix_w!$B$5:$AC$5,0),FALSE)/$Z25*VLOOKUP(AD$5,feed_intensity_w,11,FALSE)</f>
        <v>0</v>
      </c>
      <c r="AE25" s="2">
        <f>VLOOKUP($W25,feed_mix_n,MATCH(AE$5,feed_mix_w!$B$5:$AC$5,0),FALSE)/$Z25*VLOOKUP(AE$5,feed_intensity_w,11,FALSE)</f>
        <v>2.641416291177074E-2</v>
      </c>
      <c r="AF25" s="2">
        <f>VLOOKUP($W25,feed_mix_n,MATCH(AF$5,feed_mix_w!$B$5:$AC$5,0),FALSE)/$Z25*VLOOKUP(AF$5,feed_intensity_w,11,FALSE)</f>
        <v>1.0565665164708294E-2</v>
      </c>
      <c r="AG25" s="2">
        <f>VLOOKUP($W25,feed_mix_n,MATCH(AG$5,feed_mix_w!$B$5:$AC$5,0),FALSE)/$Z25*VLOOKUP(AG$5,feed_intensity_w,11,FALSE)</f>
        <v>0</v>
      </c>
      <c r="AH25" s="2">
        <f>VLOOKUP($W25,feed_mix_n,MATCH(AH$5,feed_mix_w!$B$5:$AC$5,0),FALSE)/$Z25*VLOOKUP(AH$5,feed_intensity_w,11,FALSE)</f>
        <v>1.0565665164708294E-2</v>
      </c>
      <c r="AI25" s="2">
        <f>VLOOKUP($W25,feed_mix_n,MATCH(AI$5,feed_mix_w!$B$5:$AC$5,0),FALSE)/$Z25*VLOOKUP(AI$5,feed_intensity_w,11,FALSE)</f>
        <v>0</v>
      </c>
      <c r="AJ25" s="2">
        <f>VLOOKUP($W25,feed_mix_n,MATCH(AJ$5,feed_mix_w!$B$5:$AC$5,0),FALSE)/$Z25*VLOOKUP(AJ$5,feed_intensity_w,11,FALSE)</f>
        <v>0</v>
      </c>
      <c r="AK25" s="2">
        <f>VLOOKUP($W25,feed_mix_n,MATCH(AK$5,feed_mix_w!$B$5:$AC$5,0),FALSE)/$Z25*VLOOKUP(AK$5,feed_intensity_w,11,FALSE)</f>
        <v>0</v>
      </c>
      <c r="AL25" s="2">
        <f>VLOOKUP($W25,feed_mix_n,MATCH(AL$5,feed_mix_w!$B$5:$AC$5,0),FALSE)/$Z25*VLOOKUP(AL$5,feed_intensity_w,11,FALSE)</f>
        <v>0</v>
      </c>
      <c r="AM25" s="2">
        <f>VLOOKUP($W25,feed_mix_n,MATCH(AM$5,feed_mix_w!$B$5:$AC$5,0),FALSE)/$Z25*VLOOKUP(AM$5,feed_intensity_w,11,FALSE)</f>
        <v>7.2866198568058904E-3</v>
      </c>
      <c r="AN25" s="2">
        <f>VLOOKUP($W25,feed_mix_n,MATCH(AN$5,feed_mix_w!$B$5:$AC$5,0),FALSE)/$Z25*VLOOKUP(AN$5,feed_intensity_w,11,FALSE)</f>
        <v>0</v>
      </c>
      <c r="AO25" s="2">
        <f>VLOOKUP($W25,feed_mix_n,MATCH(AO$5,feed_mix_w!$B$5:$AC$5,0),FALSE)/$Z25*VLOOKUP(AO$5,feed_intensity_w,11,FALSE)</f>
        <v>0</v>
      </c>
      <c r="AP25" s="2">
        <f>VLOOKUP($W25,feed_mix_n,MATCH(AP$5,feed_mix_w!$B$5:$AC$5,0),FALSE)/$Z25*VLOOKUP(AP$5,feed_intensity_w,11,FALSE)</f>
        <v>0</v>
      </c>
      <c r="AQ25" s="2">
        <f>VLOOKUP($W25,feed_mix_n,MATCH(AQ$5,feed_mix_w!$B$5:$AC$5,0),FALSE)/$Z25*VLOOKUP(AQ$5,feed_intensity_w,11,FALSE)</f>
        <v>0</v>
      </c>
      <c r="AR25" s="2">
        <f>VLOOKUP($W25,feed_mix_n,MATCH(AR$5,feed_mix_w!$B$5:$AC$5,0),FALSE)/$Z25*VLOOKUP(AR$5,feed_intensity_w,11,FALSE)</f>
        <v>1.0076255883678003E-2</v>
      </c>
      <c r="AS25" s="389">
        <f>VLOOKUP($W25,feed_mix_n,MATCH(AS$5,feed_mix_w!$B$5:$AC$5,0),FALSE)/$Z25*VLOOKUP(AS$5,feed_intensity_w,11,FALSE)</f>
        <v>0</v>
      </c>
    </row>
    <row r="26" spans="1:45" ht="12.5">
      <c r="A26" s="14" t="s">
        <v>7126</v>
      </c>
      <c r="B26" s="482">
        <v>889</v>
      </c>
      <c r="C26" s="24" t="s">
        <v>1569</v>
      </c>
      <c r="D26" s="513">
        <v>5</v>
      </c>
      <c r="E26" s="513">
        <v>408</v>
      </c>
      <c r="F26" s="25">
        <f t="shared" si="0"/>
        <v>5</v>
      </c>
      <c r="G26" s="25">
        <f t="shared" si="1"/>
        <v>408</v>
      </c>
      <c r="H26" s="2">
        <f t="shared" si="2"/>
        <v>0.58312942946048718</v>
      </c>
      <c r="I26" s="25">
        <f t="shared" si="3"/>
        <v>2.9156471473024359</v>
      </c>
      <c r="J26" s="87">
        <f>IFERROR(G26*VLOOKUP(W26,livestock_intensity!$B$7:$I$29,8,FALSE)/Z26,0)</f>
        <v>216.95654694752804</v>
      </c>
      <c r="K26" s="2">
        <f>VLOOKUP($W26,feed_mix_n,MATCH(K$5,feed_mix_w!$B$5:$AC$5,0),FALSE)/$Z26*VLOOKUP(K$5,feed_intensity_w,11,FALSE)</f>
        <v>0</v>
      </c>
      <c r="L26" s="25">
        <f t="shared" si="4"/>
        <v>0</v>
      </c>
      <c r="M26" s="25">
        <f>IFERROR(G26*VLOOKUP(W26,livestock_intensity!$B$7:$M$29,12,FALSE)/Z26,0)</f>
        <v>0</v>
      </c>
      <c r="N26" s="2">
        <f>VLOOKUP($W26,feed_mix_n,MATCH(N$5,feed_mix_w!$B$5:$AC$5,0),FALSE)/$Z26*VLOOKUP(N$5,feed_intensity_w,11,FALSE)</f>
        <v>1.0927510462074443</v>
      </c>
      <c r="O26" s="25">
        <f t="shared" si="5"/>
        <v>5.4637552310372222</v>
      </c>
      <c r="P26" s="343">
        <f>IFERROR(G26*VLOOKUP(W26,livestock_intensity!$B$7:$Q$29,16,FALSE)/Z26,0)</f>
        <v>211.6329225919113</v>
      </c>
      <c r="Q26" s="758"/>
      <c r="R26" s="331">
        <f t="shared" si="6"/>
        <v>8.379402378339659</v>
      </c>
      <c r="S26" s="331">
        <f t="shared" si="7"/>
        <v>428.58946953943934</v>
      </c>
      <c r="T26" s="739" t="s">
        <v>2738</v>
      </c>
      <c r="U26" s="558" t="s">
        <v>2796</v>
      </c>
      <c r="V26" s="559" t="str">
        <f>IFERROR(VLOOKUP(W26,constant_ag_extr!$D$7:$E$594,2,FALSE),"")</f>
        <v>Cow milk, whole, fresh</v>
      </c>
      <c r="W26" s="560">
        <f t="shared" si="8"/>
        <v>882</v>
      </c>
      <c r="X26" s="2">
        <f>IFERROR(IF(VLOOKUP(B26,cnst_grazing!$C$10:$H$25,5,FALSE)="", IF(VLOOKUP(B26, cnst_grazing!$C$10:$H$25,3,FALSE)="", VLOOKUP(B26, cnst_grazing!$C$10:$H$25,4,FALSE),VLOOKUP(B26, cnst_grazing!$C$10:$H$25,3,FALSE)), VLOOKUP(B26,cnst_grazing!$C$10:$H$25,5,FALSE)),1)</f>
        <v>1</v>
      </c>
      <c r="Y26" s="2">
        <f>IFERROR(IF(VLOOKUP(B26,cnst_grazing!$C$10:$H$25,6,FALSE)="", IF(VLOOKUP(B26, cnst_grazing!$C$10:$H$25,4,FALSE)="", VLOOKUP(B26, cnst_grazing!$C$10:$H$25,3,FALSE),VLOOKUP(B26, cnst_grazing!$C$10:$H$25,4,FALSE)), VLOOKUP(B26,cnst_grazing!$C$10:$H$25,6,FALSE)),1)</f>
        <v>1</v>
      </c>
      <c r="Z26" s="400">
        <f t="shared" si="9"/>
        <v>0.32500000000000001</v>
      </c>
      <c r="AA26" s="2">
        <f t="shared" si="10"/>
        <v>1.6758804756679315</v>
      </c>
      <c r="AB26" s="2">
        <f>VLOOKUP($W26,feed_mix_n,MATCH(AB$5,feed_mix_w!$B$5:$AC$5,0),FALSE)/$Z26*VLOOKUP(AB$5,feed_intensity_w,11,FALSE)</f>
        <v>0.13213157360340386</v>
      </c>
      <c r="AC26" s="2">
        <f>VLOOKUP($W26,feed_mix_n,MATCH(AC$5,feed_mix_w!$B$5:$AC$5,0),FALSE)/$Z26*VLOOKUP(AC$5,feed_intensity_w,11,FALSE)</f>
        <v>0.12983561607947994</v>
      </c>
      <c r="AD26" s="2">
        <f>VLOOKUP($W26,feed_mix_n,MATCH(AD$5,feed_mix_w!$B$5:$AC$5,0),FALSE)/$Z26*VLOOKUP(AD$5,feed_intensity_w,11,FALSE)</f>
        <v>0</v>
      </c>
      <c r="AE26" s="2">
        <f>VLOOKUP($W26,feed_mix_n,MATCH(AE$5,feed_mix_w!$B$5:$AC$5,0),FALSE)/$Z26*VLOOKUP(AE$5,feed_intensity_w,11,FALSE)</f>
        <v>0.13069549975890291</v>
      </c>
      <c r="AF26" s="2">
        <f>VLOOKUP($W26,feed_mix_n,MATCH(AF$5,feed_mix_w!$B$5:$AC$5,0),FALSE)/$Z26*VLOOKUP(AF$5,feed_intensity_w,11,FALSE)</f>
        <v>5.2278199903561154E-2</v>
      </c>
      <c r="AG26" s="2">
        <f>VLOOKUP($W26,feed_mix_n,MATCH(AG$5,feed_mix_w!$B$5:$AC$5,0),FALSE)/$Z26*VLOOKUP(AG$5,feed_intensity_w,11,FALSE)</f>
        <v>0</v>
      </c>
      <c r="AH26" s="2">
        <f>VLOOKUP($W26,feed_mix_n,MATCH(AH$5,feed_mix_w!$B$5:$AC$5,0),FALSE)/$Z26*VLOOKUP(AH$5,feed_intensity_w,11,FALSE)</f>
        <v>5.2278199903561154E-2</v>
      </c>
      <c r="AI26" s="2">
        <f>VLOOKUP($W26,feed_mix_n,MATCH(AI$5,feed_mix_w!$B$5:$AC$5,0),FALSE)/$Z26*VLOOKUP(AI$5,feed_intensity_w,11,FALSE)</f>
        <v>0</v>
      </c>
      <c r="AJ26" s="2">
        <f>VLOOKUP($W26,feed_mix_n,MATCH(AJ$5,feed_mix_w!$B$5:$AC$5,0),FALSE)/$Z26*VLOOKUP(AJ$5,feed_intensity_w,11,FALSE)</f>
        <v>0</v>
      </c>
      <c r="AK26" s="2">
        <f>VLOOKUP($W26,feed_mix_n,MATCH(AK$5,feed_mix_w!$B$5:$AC$5,0),FALSE)/$Z26*VLOOKUP(AK$5,feed_intensity_w,11,FALSE)</f>
        <v>0</v>
      </c>
      <c r="AL26" s="2">
        <f>VLOOKUP($W26,feed_mix_n,MATCH(AL$5,feed_mix_w!$B$5:$AC$5,0),FALSE)/$Z26*VLOOKUP(AL$5,feed_intensity_w,11,FALSE)</f>
        <v>0</v>
      </c>
      <c r="AM26" s="2">
        <f>VLOOKUP($W26,feed_mix_n,MATCH(AM$5,feed_mix_w!$B$5:$AC$5,0),FALSE)/$Z26*VLOOKUP(AM$5,feed_intensity_w,11,FALSE)</f>
        <v>3.6053704481167285E-2</v>
      </c>
      <c r="AN26" s="2">
        <f>VLOOKUP($W26,feed_mix_n,MATCH(AN$5,feed_mix_w!$B$5:$AC$5,0),FALSE)/$Z26*VLOOKUP(AN$5,feed_intensity_w,11,FALSE)</f>
        <v>0</v>
      </c>
      <c r="AO26" s="2">
        <f>VLOOKUP($W26,feed_mix_n,MATCH(AO$5,feed_mix_w!$B$5:$AC$5,0),FALSE)/$Z26*VLOOKUP(AO$5,feed_intensity_w,11,FALSE)</f>
        <v>0</v>
      </c>
      <c r="AP26" s="2">
        <f>VLOOKUP($W26,feed_mix_n,MATCH(AP$5,feed_mix_w!$B$5:$AC$5,0),FALSE)/$Z26*VLOOKUP(AP$5,feed_intensity_w,11,FALSE)</f>
        <v>0</v>
      </c>
      <c r="AQ26" s="2">
        <f>VLOOKUP($W26,feed_mix_n,MATCH(AQ$5,feed_mix_w!$B$5:$AC$5,0),FALSE)/$Z26*VLOOKUP(AQ$5,feed_intensity_w,11,FALSE)</f>
        <v>0</v>
      </c>
      <c r="AR26" s="2">
        <f>VLOOKUP($W26,feed_mix_n,MATCH(AR$5,feed_mix_w!$B$5:$AC$5,0),FALSE)/$Z26*VLOOKUP(AR$5,feed_intensity_w,11,FALSE)</f>
        <v>4.9856635730410867E-2</v>
      </c>
      <c r="AS26" s="389">
        <f>VLOOKUP($W26,feed_mix_n,MATCH(AS$5,feed_mix_w!$B$5:$AC$5,0),FALSE)/$Z26*VLOOKUP(AS$5,feed_intensity_w,11,FALSE)</f>
        <v>0</v>
      </c>
    </row>
    <row r="27" spans="1:45" ht="12.5">
      <c r="A27" s="14" t="s">
        <v>7127</v>
      </c>
      <c r="B27" s="482">
        <v>890</v>
      </c>
      <c r="C27" s="24" t="s">
        <v>1212</v>
      </c>
      <c r="D27" s="513">
        <v>22508</v>
      </c>
      <c r="E27" s="513">
        <v>15275</v>
      </c>
      <c r="F27" s="25">
        <f t="shared" si="0"/>
        <v>22508</v>
      </c>
      <c r="G27" s="25">
        <f t="shared" si="1"/>
        <v>15275</v>
      </c>
      <c r="H27" s="2">
        <f t="shared" si="2"/>
        <v>9.3463815206639628E-2</v>
      </c>
      <c r="I27" s="25">
        <f t="shared" si="3"/>
        <v>2103.6835526710447</v>
      </c>
      <c r="J27" s="87">
        <f>IFERROR(G27*VLOOKUP(W27,livestock_intensity!$B$7:$I$29,8,FALSE)/Z27,0)</f>
        <v>1301.8842137058323</v>
      </c>
      <c r="K27" s="2">
        <f>VLOOKUP($W27,feed_mix_n,MATCH(K$5,feed_mix_w!$B$5:$AC$5,0),FALSE)/$Z27*VLOOKUP(K$5,feed_intensity_w,11,FALSE)</f>
        <v>0</v>
      </c>
      <c r="L27" s="25">
        <f t="shared" si="4"/>
        <v>0</v>
      </c>
      <c r="M27" s="25">
        <f>IFERROR(G27*VLOOKUP(W27,livestock_intensity!$B$7:$M$29,12,FALSE)/Z27,0)</f>
        <v>0</v>
      </c>
      <c r="N27" s="2">
        <f>VLOOKUP($W27,feed_mix_n,MATCH(N$5,feed_mix_w!$B$5:$AC$5,0),FALSE)/$Z27*VLOOKUP(N$5,feed_intensity_w,11,FALSE)</f>
        <v>0.17514581958946596</v>
      </c>
      <c r="O27" s="25">
        <f t="shared" si="5"/>
        <v>3942.1821073196998</v>
      </c>
      <c r="P27" s="343">
        <f>IFERROR(G27*VLOOKUP(W27,livestock_intensity!$B$7:$Q$29,16,FALSE)/Z27,0)</f>
        <v>1269.9389112672127</v>
      </c>
      <c r="Q27" s="758"/>
      <c r="R27" s="331">
        <f t="shared" si="6"/>
        <v>6045.8656599907445</v>
      </c>
      <c r="S27" s="331">
        <f t="shared" si="7"/>
        <v>2571.8231249730452</v>
      </c>
      <c r="T27" s="739" t="s">
        <v>2738</v>
      </c>
      <c r="U27" s="558" t="s">
        <v>2796</v>
      </c>
      <c r="V27" s="559" t="str">
        <f>IFERROR(VLOOKUP(W27,constant_ag_extr!$D$7:$E$594,2,FALSE),"")</f>
        <v>Cow milk, whole, fresh</v>
      </c>
      <c r="W27" s="560">
        <f t="shared" si="8"/>
        <v>882</v>
      </c>
      <c r="X27" s="2">
        <f>IFERROR(IF(VLOOKUP(B27,cnst_grazing!$C$10:$H$25,5,FALSE)="", IF(VLOOKUP(B27, cnst_grazing!$C$10:$H$25,3,FALSE)="", VLOOKUP(B27, cnst_grazing!$C$10:$H$25,4,FALSE),VLOOKUP(B27, cnst_grazing!$C$10:$H$25,3,FALSE)), VLOOKUP(B27,cnst_grazing!$C$10:$H$25,5,FALSE)),1)</f>
        <v>1</v>
      </c>
      <c r="Y27" s="2">
        <f>IFERROR(IF(VLOOKUP(B27,cnst_grazing!$C$10:$H$25,6,FALSE)="", IF(VLOOKUP(B27, cnst_grazing!$C$10:$H$25,4,FALSE)="", VLOOKUP(B27, cnst_grazing!$C$10:$H$25,3,FALSE),VLOOKUP(B27, cnst_grazing!$C$10:$H$25,4,FALSE)), VLOOKUP(B27,cnst_grazing!$C$10:$H$25,6,FALSE)),1)</f>
        <v>1</v>
      </c>
      <c r="Z27" s="400">
        <f t="shared" si="9"/>
        <v>2.0277052050106672</v>
      </c>
      <c r="AA27" s="2">
        <f t="shared" si="10"/>
        <v>0.26860963479610556</v>
      </c>
      <c r="AB27" s="2">
        <f>VLOOKUP($W27,feed_mix_n,MATCH(AB$5,feed_mix_w!$B$5:$AC$5,0),FALSE)/$Z27*VLOOKUP(AB$5,feed_intensity_w,11,FALSE)</f>
        <v>2.1178010154035355E-2</v>
      </c>
      <c r="AC27" s="2">
        <f>VLOOKUP($W27,feed_mix_n,MATCH(AC$5,feed_mix_w!$B$5:$AC$5,0),FALSE)/$Z27*VLOOKUP(AC$5,feed_intensity_w,11,FALSE)</f>
        <v>2.0810014750447414E-2</v>
      </c>
      <c r="AD27" s="2">
        <f>VLOOKUP($W27,feed_mix_n,MATCH(AD$5,feed_mix_w!$B$5:$AC$5,0),FALSE)/$Z27*VLOOKUP(AD$5,feed_intensity_w,11,FALSE)</f>
        <v>0</v>
      </c>
      <c r="AE27" s="2">
        <f>VLOOKUP($W27,feed_mix_n,MATCH(AE$5,feed_mix_w!$B$5:$AC$5,0),FALSE)/$Z27*VLOOKUP(AE$5,feed_intensity_w,11,FALSE)</f>
        <v>2.0947836656275677E-2</v>
      </c>
      <c r="AF27" s="2">
        <f>VLOOKUP($W27,feed_mix_n,MATCH(AF$5,feed_mix_w!$B$5:$AC$5,0),FALSE)/$Z27*VLOOKUP(AF$5,feed_intensity_w,11,FALSE)</f>
        <v>8.3791346625102705E-3</v>
      </c>
      <c r="AG27" s="2">
        <f>VLOOKUP($W27,feed_mix_n,MATCH(AG$5,feed_mix_w!$B$5:$AC$5,0),FALSE)/$Z27*VLOOKUP(AG$5,feed_intensity_w,11,FALSE)</f>
        <v>0</v>
      </c>
      <c r="AH27" s="2">
        <f>VLOOKUP($W27,feed_mix_n,MATCH(AH$5,feed_mix_w!$B$5:$AC$5,0),FALSE)/$Z27*VLOOKUP(AH$5,feed_intensity_w,11,FALSE)</f>
        <v>8.3791346625102705E-3</v>
      </c>
      <c r="AI27" s="2">
        <f>VLOOKUP($W27,feed_mix_n,MATCH(AI$5,feed_mix_w!$B$5:$AC$5,0),FALSE)/$Z27*VLOOKUP(AI$5,feed_intensity_w,11,FALSE)</f>
        <v>0</v>
      </c>
      <c r="AJ27" s="2">
        <f>VLOOKUP($W27,feed_mix_n,MATCH(AJ$5,feed_mix_w!$B$5:$AC$5,0),FALSE)/$Z27*VLOOKUP(AJ$5,feed_intensity_w,11,FALSE)</f>
        <v>0</v>
      </c>
      <c r="AK27" s="2">
        <f>VLOOKUP($W27,feed_mix_n,MATCH(AK$5,feed_mix_w!$B$5:$AC$5,0),FALSE)/$Z27*VLOOKUP(AK$5,feed_intensity_w,11,FALSE)</f>
        <v>0</v>
      </c>
      <c r="AL27" s="2">
        <f>VLOOKUP($W27,feed_mix_n,MATCH(AL$5,feed_mix_w!$B$5:$AC$5,0),FALSE)/$Z27*VLOOKUP(AL$5,feed_intensity_w,11,FALSE)</f>
        <v>0</v>
      </c>
      <c r="AM27" s="2">
        <f>VLOOKUP($W27,feed_mix_n,MATCH(AM$5,feed_mix_w!$B$5:$AC$5,0),FALSE)/$Z27*VLOOKUP(AM$5,feed_intensity_w,11,FALSE)</f>
        <v>5.7786772591125867E-3</v>
      </c>
      <c r="AN27" s="2">
        <f>VLOOKUP($W27,feed_mix_n,MATCH(AN$5,feed_mix_w!$B$5:$AC$5,0),FALSE)/$Z27*VLOOKUP(AN$5,feed_intensity_w,11,FALSE)</f>
        <v>0</v>
      </c>
      <c r="AO27" s="2">
        <f>VLOOKUP($W27,feed_mix_n,MATCH(AO$5,feed_mix_w!$B$5:$AC$5,0),FALSE)/$Z27*VLOOKUP(AO$5,feed_intensity_w,11,FALSE)</f>
        <v>0</v>
      </c>
      <c r="AP27" s="2">
        <f>VLOOKUP($W27,feed_mix_n,MATCH(AP$5,feed_mix_w!$B$5:$AC$5,0),FALSE)/$Z27*VLOOKUP(AP$5,feed_intensity_w,11,FALSE)</f>
        <v>0</v>
      </c>
      <c r="AQ27" s="2">
        <f>VLOOKUP($W27,feed_mix_n,MATCH(AQ$5,feed_mix_w!$B$5:$AC$5,0),FALSE)/$Z27*VLOOKUP(AQ$5,feed_intensity_w,11,FALSE)</f>
        <v>0</v>
      </c>
      <c r="AR27" s="2">
        <f>VLOOKUP($W27,feed_mix_n,MATCH(AR$5,feed_mix_w!$B$5:$AC$5,0),FALSE)/$Z27*VLOOKUP(AR$5,feed_intensity_w,11,FALSE)</f>
        <v>7.9910070617480559E-3</v>
      </c>
      <c r="AS27" s="389">
        <f>VLOOKUP($W27,feed_mix_n,MATCH(AS$5,feed_mix_w!$B$5:$AC$5,0),FALSE)/$Z27*VLOOKUP(AS$5,feed_intensity_w,11,FALSE)</f>
        <v>0</v>
      </c>
    </row>
    <row r="28" spans="1:45" ht="12.5">
      <c r="A28" s="14" t="s">
        <v>588</v>
      </c>
      <c r="B28" s="482">
        <v>891</v>
      </c>
      <c r="C28" s="24">
        <v>403.1</v>
      </c>
      <c r="D28" s="512"/>
      <c r="E28" s="513"/>
      <c r="F28" s="25">
        <f t="shared" si="0"/>
        <v>0</v>
      </c>
      <c r="G28" s="25">
        <f t="shared" si="1"/>
        <v>0</v>
      </c>
      <c r="H28" s="2">
        <f t="shared" si="2"/>
        <v>0.23689633071832289</v>
      </c>
      <c r="I28" s="25">
        <f t="shared" si="3"/>
        <v>0</v>
      </c>
      <c r="J28" s="87">
        <f>IFERROR(G28*VLOOKUP(W28,livestock_intensity!$B$7:$I$29,8,FALSE)/Z28,0)</f>
        <v>0</v>
      </c>
      <c r="K28" s="2">
        <f>VLOOKUP($W28,feed_mix_n,MATCH(K$5,feed_mix_w!$B$5:$AC$5,0),FALSE)/$Z28*VLOOKUP(K$5,feed_intensity_w,11,FALSE)</f>
        <v>0</v>
      </c>
      <c r="L28" s="25">
        <f t="shared" si="4"/>
        <v>0</v>
      </c>
      <c r="M28" s="25">
        <f>IFERROR(G28*VLOOKUP(W28,livestock_intensity!$B$7:$M$29,12,FALSE)/Z28,0)</f>
        <v>0</v>
      </c>
      <c r="N28" s="2">
        <f>VLOOKUP($W28,feed_mix_n,MATCH(N$5,feed_mix_w!$B$5:$AC$5,0),FALSE)/$Z28*VLOOKUP(N$5,feed_intensity_w,11,FALSE)</f>
        <v>0.44393011252177428</v>
      </c>
      <c r="O28" s="25">
        <f t="shared" si="5"/>
        <v>0</v>
      </c>
      <c r="P28" s="343">
        <f>IFERROR(G28*VLOOKUP(W28,livestock_intensity!$B$7:$Q$29,16,FALSE)/Z28,0)</f>
        <v>0</v>
      </c>
      <c r="Q28" s="758"/>
      <c r="R28" s="331">
        <f t="shared" si="6"/>
        <v>0</v>
      </c>
      <c r="S28" s="331">
        <f t="shared" si="7"/>
        <v>0</v>
      </c>
      <c r="T28" s="739" t="s">
        <v>2738</v>
      </c>
      <c r="U28" s="558" t="s">
        <v>2796</v>
      </c>
      <c r="V28" s="559" t="str">
        <f>IFERROR(VLOOKUP(W28,constant_ag_extr!$D$7:$E$594,2,FALSE),"")</f>
        <v>Cow milk, whole, fresh</v>
      </c>
      <c r="W28" s="560">
        <f t="shared" si="8"/>
        <v>882</v>
      </c>
      <c r="X28" s="2">
        <f>IFERROR(IF(VLOOKUP(B28,cnst_grazing!$C$10:$H$25,5,FALSE)="", IF(VLOOKUP(B28, cnst_grazing!$C$10:$H$25,3,FALSE)="", VLOOKUP(B28, cnst_grazing!$C$10:$H$25,4,FALSE),VLOOKUP(B28, cnst_grazing!$C$10:$H$25,3,FALSE)), VLOOKUP(B28,cnst_grazing!$C$10:$H$25,5,FALSE)),1)</f>
        <v>1</v>
      </c>
      <c r="Y28" s="2">
        <f>IFERROR(IF(VLOOKUP(B28,cnst_grazing!$C$10:$H$25,6,FALSE)="", IF(VLOOKUP(B28, cnst_grazing!$C$10:$H$25,4,FALSE)="", VLOOKUP(B28, cnst_grazing!$C$10:$H$25,3,FALSE),VLOOKUP(B28, cnst_grazing!$C$10:$H$25,4,FALSE)), VLOOKUP(B28,cnst_grazing!$C$10:$H$25,6,FALSE)),1)</f>
        <v>1</v>
      </c>
      <c r="Z28" s="400">
        <f t="shared" si="9"/>
        <v>0.8</v>
      </c>
      <c r="AA28" s="2">
        <f t="shared" si="10"/>
        <v>0.68082644324009722</v>
      </c>
      <c r="AB28" s="2">
        <f>VLOOKUP($W28,feed_mix_n,MATCH(AB$5,feed_mix_w!$B$5:$AC$5,0),FALSE)/$Z28*VLOOKUP(AB$5,feed_intensity_w,11,FALSE)</f>
        <v>5.3678451776382807E-2</v>
      </c>
      <c r="AC28" s="2">
        <f>VLOOKUP($W28,feed_mix_n,MATCH(AC$5,feed_mix_w!$B$5:$AC$5,0),FALSE)/$Z28*VLOOKUP(AC$5,feed_intensity_w,11,FALSE)</f>
        <v>5.2745719032288724E-2</v>
      </c>
      <c r="AD28" s="2">
        <f>VLOOKUP($W28,feed_mix_n,MATCH(AD$5,feed_mix_w!$B$5:$AC$5,0),FALSE)/$Z28*VLOOKUP(AD$5,feed_intensity_w,11,FALSE)</f>
        <v>0</v>
      </c>
      <c r="AE28" s="2">
        <f>VLOOKUP($W28,feed_mix_n,MATCH(AE$5,feed_mix_w!$B$5:$AC$5,0),FALSE)/$Z28*VLOOKUP(AE$5,feed_intensity_w,11,FALSE)</f>
        <v>5.3095046777054303E-2</v>
      </c>
      <c r="AF28" s="2">
        <f>VLOOKUP($W28,feed_mix_n,MATCH(AF$5,feed_mix_w!$B$5:$AC$5,0),FALSE)/$Z28*VLOOKUP(AF$5,feed_intensity_w,11,FALSE)</f>
        <v>2.1238018710821718E-2</v>
      </c>
      <c r="AG28" s="2">
        <f>VLOOKUP($W28,feed_mix_n,MATCH(AG$5,feed_mix_w!$B$5:$AC$5,0),FALSE)/$Z28*VLOOKUP(AG$5,feed_intensity_w,11,FALSE)</f>
        <v>0</v>
      </c>
      <c r="AH28" s="2">
        <f>VLOOKUP($W28,feed_mix_n,MATCH(AH$5,feed_mix_w!$B$5:$AC$5,0),FALSE)/$Z28*VLOOKUP(AH$5,feed_intensity_w,11,FALSE)</f>
        <v>2.1238018710821718E-2</v>
      </c>
      <c r="AI28" s="2">
        <f>VLOOKUP($W28,feed_mix_n,MATCH(AI$5,feed_mix_w!$B$5:$AC$5,0),FALSE)/$Z28*VLOOKUP(AI$5,feed_intensity_w,11,FALSE)</f>
        <v>0</v>
      </c>
      <c r="AJ28" s="2">
        <f>VLOOKUP($W28,feed_mix_n,MATCH(AJ$5,feed_mix_w!$B$5:$AC$5,0),FALSE)/$Z28*VLOOKUP(AJ$5,feed_intensity_w,11,FALSE)</f>
        <v>0</v>
      </c>
      <c r="AK28" s="2">
        <f>VLOOKUP($W28,feed_mix_n,MATCH(AK$5,feed_mix_w!$B$5:$AC$5,0),FALSE)/$Z28*VLOOKUP(AK$5,feed_intensity_w,11,FALSE)</f>
        <v>0</v>
      </c>
      <c r="AL28" s="2">
        <f>VLOOKUP($W28,feed_mix_n,MATCH(AL$5,feed_mix_w!$B$5:$AC$5,0),FALSE)/$Z28*VLOOKUP(AL$5,feed_intensity_w,11,FALSE)</f>
        <v>0</v>
      </c>
      <c r="AM28" s="2">
        <f>VLOOKUP($W28,feed_mix_n,MATCH(AM$5,feed_mix_w!$B$5:$AC$5,0),FALSE)/$Z28*VLOOKUP(AM$5,feed_intensity_w,11,FALSE)</f>
        <v>1.4646817445474209E-2</v>
      </c>
      <c r="AN28" s="2">
        <f>VLOOKUP($W28,feed_mix_n,MATCH(AN$5,feed_mix_w!$B$5:$AC$5,0),FALSE)/$Z28*VLOOKUP(AN$5,feed_intensity_w,11,FALSE)</f>
        <v>0</v>
      </c>
      <c r="AO28" s="2">
        <f>VLOOKUP($W28,feed_mix_n,MATCH(AO$5,feed_mix_w!$B$5:$AC$5,0),FALSE)/$Z28*VLOOKUP(AO$5,feed_intensity_w,11,FALSE)</f>
        <v>0</v>
      </c>
      <c r="AP28" s="2">
        <f>VLOOKUP($W28,feed_mix_n,MATCH(AP$5,feed_mix_w!$B$5:$AC$5,0),FALSE)/$Z28*VLOOKUP(AP$5,feed_intensity_w,11,FALSE)</f>
        <v>0</v>
      </c>
      <c r="AQ28" s="2">
        <f>VLOOKUP($W28,feed_mix_n,MATCH(AQ$5,feed_mix_w!$B$5:$AC$5,0),FALSE)/$Z28*VLOOKUP(AQ$5,feed_intensity_w,11,FALSE)</f>
        <v>0</v>
      </c>
      <c r="AR28" s="2">
        <f>VLOOKUP($W28,feed_mix_n,MATCH(AR$5,feed_mix_w!$B$5:$AC$5,0),FALSE)/$Z28*VLOOKUP(AR$5,feed_intensity_w,11,FALSE)</f>
        <v>2.0254258265479413E-2</v>
      </c>
      <c r="AS28" s="389">
        <f>VLOOKUP($W28,feed_mix_n,MATCH(AS$5,feed_mix_w!$B$5:$AC$5,0),FALSE)/$Z28*VLOOKUP(AS$5,feed_intensity_w,11,FALSE)</f>
        <v>0</v>
      </c>
    </row>
    <row r="29" spans="1:45" ht="12.5">
      <c r="A29" s="14" t="s">
        <v>7128</v>
      </c>
      <c r="B29" s="482">
        <v>892</v>
      </c>
      <c r="C29" s="24" t="s">
        <v>2141</v>
      </c>
      <c r="D29" s="513">
        <v>574</v>
      </c>
      <c r="E29" s="513">
        <v>9571</v>
      </c>
      <c r="F29" s="25">
        <f t="shared" si="0"/>
        <v>574</v>
      </c>
      <c r="G29" s="25">
        <f t="shared" si="1"/>
        <v>9571</v>
      </c>
      <c r="H29" s="2">
        <f t="shared" si="2"/>
        <v>0.23689633071832289</v>
      </c>
      <c r="I29" s="25">
        <f t="shared" si="3"/>
        <v>135.97849383231733</v>
      </c>
      <c r="J29" s="87">
        <f>IFERROR(G29*VLOOKUP(W29,livestock_intensity!$B$7:$I$29,8,FALSE)/Z29,0)</f>
        <v>2067.5845925897888</v>
      </c>
      <c r="K29" s="2">
        <f>VLOOKUP($W29,feed_mix_n,MATCH(K$5,feed_mix_w!$B$5:$AC$5,0),FALSE)/$Z29*VLOOKUP(K$5,feed_intensity_w,11,FALSE)</f>
        <v>0</v>
      </c>
      <c r="L29" s="25">
        <f t="shared" si="4"/>
        <v>0</v>
      </c>
      <c r="M29" s="25">
        <f>IFERROR(G29*VLOOKUP(W29,livestock_intensity!$B$7:$M$29,12,FALSE)/Z29,0)</f>
        <v>0</v>
      </c>
      <c r="N29" s="2">
        <f>VLOOKUP($W29,feed_mix_n,MATCH(N$5,feed_mix_w!$B$5:$AC$5,0),FALSE)/$Z29*VLOOKUP(N$5,feed_intensity_w,11,FALSE)</f>
        <v>0.44393011252177428</v>
      </c>
      <c r="O29" s="25">
        <f t="shared" si="5"/>
        <v>254.81588458749843</v>
      </c>
      <c r="P29" s="343">
        <f>IFERROR(G29*VLOOKUP(W29,livestock_intensity!$B$7:$Q$29,16,FALSE)/Z29,0)</f>
        <v>2016.8507297528631</v>
      </c>
      <c r="Q29" s="758"/>
      <c r="R29" s="331">
        <f t="shared" si="6"/>
        <v>390.79437841981576</v>
      </c>
      <c r="S29" s="331">
        <f t="shared" si="7"/>
        <v>4084.4353223426519</v>
      </c>
      <c r="T29" s="739" t="s">
        <v>2738</v>
      </c>
      <c r="U29" s="558" t="s">
        <v>2796</v>
      </c>
      <c r="V29" s="559" t="str">
        <f>IFERROR(VLOOKUP(W29,constant_ag_extr!$D$7:$E$594,2,FALSE),"")</f>
        <v>Cow milk, whole, fresh</v>
      </c>
      <c r="W29" s="560">
        <f t="shared" si="8"/>
        <v>882</v>
      </c>
      <c r="X29" s="2">
        <f>IFERROR(IF(VLOOKUP(B29,cnst_grazing!$C$10:$H$25,5,FALSE)="", IF(VLOOKUP(B29, cnst_grazing!$C$10:$H$25,3,FALSE)="", VLOOKUP(B29, cnst_grazing!$C$10:$H$25,4,FALSE),VLOOKUP(B29, cnst_grazing!$C$10:$H$25,3,FALSE)), VLOOKUP(B29,cnst_grazing!$C$10:$H$25,5,FALSE)),1)</f>
        <v>1</v>
      </c>
      <c r="Y29" s="2">
        <f>IFERROR(IF(VLOOKUP(B29,cnst_grazing!$C$10:$H$25,6,FALSE)="", IF(VLOOKUP(B29, cnst_grazing!$C$10:$H$25,4,FALSE)="", VLOOKUP(B29, cnst_grazing!$C$10:$H$25,3,FALSE),VLOOKUP(B29, cnst_grazing!$C$10:$H$25,4,FALSE)), VLOOKUP(B29,cnst_grazing!$C$10:$H$25,6,FALSE)),1)</f>
        <v>1</v>
      </c>
      <c r="Z29" s="400">
        <f t="shared" si="9"/>
        <v>0.8</v>
      </c>
      <c r="AA29" s="2">
        <f t="shared" si="10"/>
        <v>0.68082644324009722</v>
      </c>
      <c r="AB29" s="2">
        <f>VLOOKUP($W29,feed_mix_n,MATCH(AB$5,feed_mix_w!$B$5:$AC$5,0),FALSE)/$Z29*VLOOKUP(AB$5,feed_intensity_w,11,FALSE)</f>
        <v>5.3678451776382807E-2</v>
      </c>
      <c r="AC29" s="2">
        <f>VLOOKUP($W29,feed_mix_n,MATCH(AC$5,feed_mix_w!$B$5:$AC$5,0),FALSE)/$Z29*VLOOKUP(AC$5,feed_intensity_w,11,FALSE)</f>
        <v>5.2745719032288724E-2</v>
      </c>
      <c r="AD29" s="2">
        <f>VLOOKUP($W29,feed_mix_n,MATCH(AD$5,feed_mix_w!$B$5:$AC$5,0),FALSE)/$Z29*VLOOKUP(AD$5,feed_intensity_w,11,FALSE)</f>
        <v>0</v>
      </c>
      <c r="AE29" s="2">
        <f>VLOOKUP($W29,feed_mix_n,MATCH(AE$5,feed_mix_w!$B$5:$AC$5,0),FALSE)/$Z29*VLOOKUP(AE$5,feed_intensity_w,11,FALSE)</f>
        <v>5.3095046777054303E-2</v>
      </c>
      <c r="AF29" s="2">
        <f>VLOOKUP($W29,feed_mix_n,MATCH(AF$5,feed_mix_w!$B$5:$AC$5,0),FALSE)/$Z29*VLOOKUP(AF$5,feed_intensity_w,11,FALSE)</f>
        <v>2.1238018710821718E-2</v>
      </c>
      <c r="AG29" s="2">
        <f>VLOOKUP($W29,feed_mix_n,MATCH(AG$5,feed_mix_w!$B$5:$AC$5,0),FALSE)/$Z29*VLOOKUP(AG$5,feed_intensity_w,11,FALSE)</f>
        <v>0</v>
      </c>
      <c r="AH29" s="2">
        <f>VLOOKUP($W29,feed_mix_n,MATCH(AH$5,feed_mix_w!$B$5:$AC$5,0),FALSE)/$Z29*VLOOKUP(AH$5,feed_intensity_w,11,FALSE)</f>
        <v>2.1238018710821718E-2</v>
      </c>
      <c r="AI29" s="2">
        <f>VLOOKUP($W29,feed_mix_n,MATCH(AI$5,feed_mix_w!$B$5:$AC$5,0),FALSE)/$Z29*VLOOKUP(AI$5,feed_intensity_w,11,FALSE)</f>
        <v>0</v>
      </c>
      <c r="AJ29" s="2">
        <f>VLOOKUP($W29,feed_mix_n,MATCH(AJ$5,feed_mix_w!$B$5:$AC$5,0),FALSE)/$Z29*VLOOKUP(AJ$5,feed_intensity_w,11,FALSE)</f>
        <v>0</v>
      </c>
      <c r="AK29" s="2">
        <f>VLOOKUP($W29,feed_mix_n,MATCH(AK$5,feed_mix_w!$B$5:$AC$5,0),FALSE)/$Z29*VLOOKUP(AK$5,feed_intensity_w,11,FALSE)</f>
        <v>0</v>
      </c>
      <c r="AL29" s="2">
        <f>VLOOKUP($W29,feed_mix_n,MATCH(AL$5,feed_mix_w!$B$5:$AC$5,0),FALSE)/$Z29*VLOOKUP(AL$5,feed_intensity_w,11,FALSE)</f>
        <v>0</v>
      </c>
      <c r="AM29" s="2">
        <f>VLOOKUP($W29,feed_mix_n,MATCH(AM$5,feed_mix_w!$B$5:$AC$5,0),FALSE)/$Z29*VLOOKUP(AM$5,feed_intensity_w,11,FALSE)</f>
        <v>1.4646817445474209E-2</v>
      </c>
      <c r="AN29" s="2">
        <f>VLOOKUP($W29,feed_mix_n,MATCH(AN$5,feed_mix_w!$B$5:$AC$5,0),FALSE)/$Z29*VLOOKUP(AN$5,feed_intensity_w,11,FALSE)</f>
        <v>0</v>
      </c>
      <c r="AO29" s="2">
        <f>VLOOKUP($W29,feed_mix_n,MATCH(AO$5,feed_mix_w!$B$5:$AC$5,0),FALSE)/$Z29*VLOOKUP(AO$5,feed_intensity_w,11,FALSE)</f>
        <v>0</v>
      </c>
      <c r="AP29" s="2">
        <f>VLOOKUP($W29,feed_mix_n,MATCH(AP$5,feed_mix_w!$B$5:$AC$5,0),FALSE)/$Z29*VLOOKUP(AP$5,feed_intensity_w,11,FALSE)</f>
        <v>0</v>
      </c>
      <c r="AQ29" s="2">
        <f>VLOOKUP($W29,feed_mix_n,MATCH(AQ$5,feed_mix_w!$B$5:$AC$5,0),FALSE)/$Z29*VLOOKUP(AQ$5,feed_intensity_w,11,FALSE)</f>
        <v>0</v>
      </c>
      <c r="AR29" s="2">
        <f>VLOOKUP($W29,feed_mix_n,MATCH(AR$5,feed_mix_w!$B$5:$AC$5,0),FALSE)/$Z29*VLOOKUP(AR$5,feed_intensity_w,11,FALSE)</f>
        <v>2.0254258265479413E-2</v>
      </c>
      <c r="AS29" s="389">
        <f>VLOOKUP($W29,feed_mix_n,MATCH(AS$5,feed_mix_w!$B$5:$AC$5,0),FALSE)/$Z29*VLOOKUP(AS$5,feed_intensity_w,11,FALSE)</f>
        <v>0</v>
      </c>
    </row>
    <row r="30" spans="1:45" ht="12.5">
      <c r="A30" s="14" t="s">
        <v>7129</v>
      </c>
      <c r="B30" s="482">
        <v>893</v>
      </c>
      <c r="C30" s="24">
        <v>1006.2</v>
      </c>
      <c r="D30" s="513">
        <v>0</v>
      </c>
      <c r="E30" s="513">
        <v>669</v>
      </c>
      <c r="F30" s="25">
        <f t="shared" si="0"/>
        <v>0</v>
      </c>
      <c r="G30" s="25">
        <f t="shared" si="1"/>
        <v>669</v>
      </c>
      <c r="H30" s="2">
        <f t="shared" si="2"/>
        <v>0.18249728076565375</v>
      </c>
      <c r="I30" s="25">
        <f t="shared" si="3"/>
        <v>0</v>
      </c>
      <c r="J30" s="87">
        <f>IFERROR(G30*VLOOKUP(W30,livestock_intensity!$B$7:$I$29,8,FALSE)/Z30,0)</f>
        <v>111.33459984334607</v>
      </c>
      <c r="K30" s="2">
        <f>VLOOKUP($W30,feed_mix_n,MATCH(K$5,feed_mix_w!$B$5:$AC$5,0),FALSE)/$Z30*VLOOKUP(K$5,feed_intensity_w,11,FALSE)</f>
        <v>0</v>
      </c>
      <c r="L30" s="25">
        <f t="shared" si="4"/>
        <v>0</v>
      </c>
      <c r="M30" s="25">
        <f>IFERROR(G30*VLOOKUP(W30,livestock_intensity!$B$7:$M$29,12,FALSE)/Z30,0)</f>
        <v>0</v>
      </c>
      <c r="N30" s="2">
        <f>VLOOKUP($W30,feed_mix_n,MATCH(N$5,feed_mix_w!$B$5:$AC$5,0),FALSE)/$Z30*VLOOKUP(N$5,feed_intensity_w,11,FALSE)</f>
        <v>0.34198941849185954</v>
      </c>
      <c r="O30" s="25">
        <f t="shared" si="5"/>
        <v>0</v>
      </c>
      <c r="P30" s="343">
        <f>IFERROR(G30*VLOOKUP(W30,livestock_intensity!$B$7:$Q$29,16,FALSE)/Z30,0)</f>
        <v>108.60269985835862</v>
      </c>
      <c r="Q30" s="758"/>
      <c r="R30" s="331">
        <f t="shared" si="6"/>
        <v>0</v>
      </c>
      <c r="S30" s="331">
        <f t="shared" si="7"/>
        <v>219.93729970170469</v>
      </c>
      <c r="T30" s="739" t="s">
        <v>2738</v>
      </c>
      <c r="U30" s="558" t="s">
        <v>2796</v>
      </c>
      <c r="V30" s="559" t="str">
        <f>IFERROR(VLOOKUP(W30,constant_ag_extr!$D$7:$E$594,2,FALSE),"")</f>
        <v>Cow milk, whole, fresh</v>
      </c>
      <c r="W30" s="560">
        <f t="shared" si="8"/>
        <v>882</v>
      </c>
      <c r="X30" s="2">
        <f>IFERROR(IF(VLOOKUP(B30,cnst_grazing!$C$10:$H$25,5,FALSE)="", IF(VLOOKUP(B30, cnst_grazing!$C$10:$H$25,3,FALSE)="", VLOOKUP(B30, cnst_grazing!$C$10:$H$25,4,FALSE),VLOOKUP(B30, cnst_grazing!$C$10:$H$25,3,FALSE)), VLOOKUP(B30,cnst_grazing!$C$10:$H$25,5,FALSE)),1)</f>
        <v>1</v>
      </c>
      <c r="Y30" s="2">
        <f>IFERROR(IF(VLOOKUP(B30,cnst_grazing!$C$10:$H$25,6,FALSE)="", IF(VLOOKUP(B30, cnst_grazing!$C$10:$H$25,4,FALSE)="", VLOOKUP(B30, cnst_grazing!$C$10:$H$25,3,FALSE),VLOOKUP(B30, cnst_grazing!$C$10:$H$25,4,FALSE)), VLOOKUP(B30,cnst_grazing!$C$10:$H$25,6,FALSE)),1)</f>
        <v>1</v>
      </c>
      <c r="Z30" s="400">
        <f t="shared" si="9"/>
        <v>1.0384651419437791</v>
      </c>
      <c r="AA30" s="2">
        <f t="shared" si="10"/>
        <v>0.52448669925751323</v>
      </c>
      <c r="AB30" s="2">
        <f>VLOOKUP($W30,feed_mix_n,MATCH(AB$5,feed_mix_w!$B$5:$AC$5,0),FALSE)/$Z30*VLOOKUP(AB$5,feed_intensity_w,11,FALSE)</f>
        <v>4.135214528311159E-2</v>
      </c>
      <c r="AC30" s="2">
        <f>VLOOKUP($W30,feed_mix_n,MATCH(AC$5,feed_mix_w!$B$5:$AC$5,0),FALSE)/$Z30*VLOOKUP(AC$5,feed_intensity_w,11,FALSE)</f>
        <v>4.0633598106960281E-2</v>
      </c>
      <c r="AD30" s="2">
        <f>VLOOKUP($W30,feed_mix_n,MATCH(AD$5,feed_mix_w!$B$5:$AC$5,0),FALSE)/$Z30*VLOOKUP(AD$5,feed_intensity_w,11,FALSE)</f>
        <v>0</v>
      </c>
      <c r="AE30" s="2">
        <f>VLOOKUP($W30,feed_mix_n,MATCH(AE$5,feed_mix_w!$B$5:$AC$5,0),FALSE)/$Z30*VLOOKUP(AE$5,feed_intensity_w,11,FALSE)</f>
        <v>4.0902708917256107E-2</v>
      </c>
      <c r="AF30" s="2">
        <f>VLOOKUP($W30,feed_mix_n,MATCH(AF$5,feed_mix_w!$B$5:$AC$5,0),FALSE)/$Z30*VLOOKUP(AF$5,feed_intensity_w,11,FALSE)</f>
        <v>1.636108356690244E-2</v>
      </c>
      <c r="AG30" s="2">
        <f>VLOOKUP($W30,feed_mix_n,MATCH(AG$5,feed_mix_w!$B$5:$AC$5,0),FALSE)/$Z30*VLOOKUP(AG$5,feed_intensity_w,11,FALSE)</f>
        <v>0</v>
      </c>
      <c r="AH30" s="2">
        <f>VLOOKUP($W30,feed_mix_n,MATCH(AH$5,feed_mix_w!$B$5:$AC$5,0),FALSE)/$Z30*VLOOKUP(AH$5,feed_intensity_w,11,FALSE)</f>
        <v>1.636108356690244E-2</v>
      </c>
      <c r="AI30" s="2">
        <f>VLOOKUP($W30,feed_mix_n,MATCH(AI$5,feed_mix_w!$B$5:$AC$5,0),FALSE)/$Z30*VLOOKUP(AI$5,feed_intensity_w,11,FALSE)</f>
        <v>0</v>
      </c>
      <c r="AJ30" s="2">
        <f>VLOOKUP($W30,feed_mix_n,MATCH(AJ$5,feed_mix_w!$B$5:$AC$5,0),FALSE)/$Z30*VLOOKUP(AJ$5,feed_intensity_w,11,FALSE)</f>
        <v>0</v>
      </c>
      <c r="AK30" s="2">
        <f>VLOOKUP($W30,feed_mix_n,MATCH(AK$5,feed_mix_w!$B$5:$AC$5,0),FALSE)/$Z30*VLOOKUP(AK$5,feed_intensity_w,11,FALSE)</f>
        <v>0</v>
      </c>
      <c r="AL30" s="2">
        <f>VLOOKUP($W30,feed_mix_n,MATCH(AL$5,feed_mix_w!$B$5:$AC$5,0),FALSE)/$Z30*VLOOKUP(AL$5,feed_intensity_w,11,FALSE)</f>
        <v>0</v>
      </c>
      <c r="AM30" s="2">
        <f>VLOOKUP($W30,feed_mix_n,MATCH(AM$5,feed_mix_w!$B$5:$AC$5,0),FALSE)/$Z30*VLOOKUP(AM$5,feed_intensity_w,11,FALSE)</f>
        <v>1.1283435026472687E-2</v>
      </c>
      <c r="AN30" s="2">
        <f>VLOOKUP($W30,feed_mix_n,MATCH(AN$5,feed_mix_w!$B$5:$AC$5,0),FALSE)/$Z30*VLOOKUP(AN$5,feed_intensity_w,11,FALSE)</f>
        <v>0</v>
      </c>
      <c r="AO30" s="2">
        <f>VLOOKUP($W30,feed_mix_n,MATCH(AO$5,feed_mix_w!$B$5:$AC$5,0),FALSE)/$Z30*VLOOKUP(AO$5,feed_intensity_w,11,FALSE)</f>
        <v>0</v>
      </c>
      <c r="AP30" s="2">
        <f>VLOOKUP($W30,feed_mix_n,MATCH(AP$5,feed_mix_w!$B$5:$AC$5,0),FALSE)/$Z30*VLOOKUP(AP$5,feed_intensity_w,11,FALSE)</f>
        <v>0</v>
      </c>
      <c r="AQ30" s="2">
        <f>VLOOKUP($W30,feed_mix_n,MATCH(AQ$5,feed_mix_w!$B$5:$AC$5,0),FALSE)/$Z30*VLOOKUP(AQ$5,feed_intensity_w,11,FALSE)</f>
        <v>0</v>
      </c>
      <c r="AR30" s="2">
        <f>VLOOKUP($W30,feed_mix_n,MATCH(AR$5,feed_mix_w!$B$5:$AC$5,0),FALSE)/$Z30*VLOOKUP(AR$5,feed_intensity_w,11,FALSE)</f>
        <v>1.5603226298048199E-2</v>
      </c>
      <c r="AS30" s="389">
        <f>VLOOKUP($W30,feed_mix_n,MATCH(AS$5,feed_mix_w!$B$5:$AC$5,0),FALSE)/$Z30*VLOOKUP(AS$5,feed_intensity_w,11,FALSE)</f>
        <v>0</v>
      </c>
    </row>
    <row r="31" spans="1:45" ht="12.5">
      <c r="A31" s="14" t="s">
        <v>7130</v>
      </c>
      <c r="B31" s="482">
        <v>894</v>
      </c>
      <c r="C31" s="24" t="s">
        <v>1571</v>
      </c>
      <c r="D31" s="513">
        <v>939</v>
      </c>
      <c r="E31" s="513">
        <v>183</v>
      </c>
      <c r="F31" s="25">
        <f t="shared" si="0"/>
        <v>939</v>
      </c>
      <c r="G31" s="25">
        <f t="shared" si="1"/>
        <v>183</v>
      </c>
      <c r="H31" s="2">
        <f t="shared" si="2"/>
        <v>0.47379266143664578</v>
      </c>
      <c r="I31" s="25">
        <f t="shared" si="3"/>
        <v>444.89130908901041</v>
      </c>
      <c r="J31" s="87">
        <f>IFERROR(G31*VLOOKUP(W31,livestock_intensity!$B$7:$I$29,8,FALSE)/Z31,0)</f>
        <v>79.065506309462194</v>
      </c>
      <c r="K31" s="2">
        <f>VLOOKUP($W31,feed_mix_n,MATCH(K$5,feed_mix_w!$B$5:$AC$5,0),FALSE)/$Z31*VLOOKUP(K$5,feed_intensity_w,11,FALSE)</f>
        <v>0</v>
      </c>
      <c r="L31" s="25">
        <f t="shared" si="4"/>
        <v>0</v>
      </c>
      <c r="M31" s="25">
        <f>IFERROR(G31*VLOOKUP(W31,livestock_intensity!$B$7:$M$29,12,FALSE)/Z31,0)</f>
        <v>0</v>
      </c>
      <c r="N31" s="2">
        <f>VLOOKUP($W31,feed_mix_n,MATCH(N$5,feed_mix_w!$B$5:$AC$5,0),FALSE)/$Z31*VLOOKUP(N$5,feed_intensity_w,11,FALSE)</f>
        <v>0.88786022504354856</v>
      </c>
      <c r="O31" s="25">
        <f t="shared" si="5"/>
        <v>833.70075131589215</v>
      </c>
      <c r="P31" s="343">
        <f>IFERROR(G31*VLOOKUP(W31,livestock_intensity!$B$7:$Q$29,16,FALSE)/Z31,0)</f>
        <v>77.125417102658844</v>
      </c>
      <c r="Q31" s="758"/>
      <c r="R31" s="331">
        <f t="shared" si="6"/>
        <v>1278.5920604049024</v>
      </c>
      <c r="S31" s="331">
        <f t="shared" si="7"/>
        <v>156.19092341212104</v>
      </c>
      <c r="T31" s="739" t="s">
        <v>2738</v>
      </c>
      <c r="U31" s="558" t="s">
        <v>2796</v>
      </c>
      <c r="V31" s="559" t="str">
        <f>IFERROR(VLOOKUP(W31,constant_ag_extr!$D$7:$E$594,2,FALSE),"")</f>
        <v>Cow milk, whole, fresh</v>
      </c>
      <c r="W31" s="560">
        <f t="shared" si="8"/>
        <v>882</v>
      </c>
      <c r="X31" s="2">
        <f>IFERROR(IF(VLOOKUP(B31,cnst_grazing!$C$10:$H$25,5,FALSE)="", IF(VLOOKUP(B31, cnst_grazing!$C$10:$H$25,3,FALSE)="", VLOOKUP(B31, cnst_grazing!$C$10:$H$25,4,FALSE),VLOOKUP(B31, cnst_grazing!$C$10:$H$25,3,FALSE)), VLOOKUP(B31,cnst_grazing!$C$10:$H$25,5,FALSE)),1)</f>
        <v>1</v>
      </c>
      <c r="Y31" s="2">
        <f>IFERROR(IF(VLOOKUP(B31,cnst_grazing!$C$10:$H$25,6,FALSE)="", IF(VLOOKUP(B31, cnst_grazing!$C$10:$H$25,4,FALSE)="", VLOOKUP(B31, cnst_grazing!$C$10:$H$25,3,FALSE),VLOOKUP(B31, cnst_grazing!$C$10:$H$25,4,FALSE)), VLOOKUP(B31,cnst_grazing!$C$10:$H$25,6,FALSE)),1)</f>
        <v>1</v>
      </c>
      <c r="Z31" s="400">
        <f t="shared" si="9"/>
        <v>0.4</v>
      </c>
      <c r="AA31" s="2">
        <f t="shared" si="10"/>
        <v>1.3616528864801944</v>
      </c>
      <c r="AB31" s="2">
        <f>VLOOKUP($W31,feed_mix_n,MATCH(AB$5,feed_mix_w!$B$5:$AC$5,0),FALSE)/$Z31*VLOOKUP(AB$5,feed_intensity_w,11,FALSE)</f>
        <v>0.10735690355276561</v>
      </c>
      <c r="AC31" s="2">
        <f>VLOOKUP($W31,feed_mix_n,MATCH(AC$5,feed_mix_w!$B$5:$AC$5,0),FALSE)/$Z31*VLOOKUP(AC$5,feed_intensity_w,11,FALSE)</f>
        <v>0.10549143806457745</v>
      </c>
      <c r="AD31" s="2">
        <f>VLOOKUP($W31,feed_mix_n,MATCH(AD$5,feed_mix_w!$B$5:$AC$5,0),FALSE)/$Z31*VLOOKUP(AD$5,feed_intensity_w,11,FALSE)</f>
        <v>0</v>
      </c>
      <c r="AE31" s="2">
        <f>VLOOKUP($W31,feed_mix_n,MATCH(AE$5,feed_mix_w!$B$5:$AC$5,0),FALSE)/$Z31*VLOOKUP(AE$5,feed_intensity_w,11,FALSE)</f>
        <v>0.10619009355410861</v>
      </c>
      <c r="AF31" s="2">
        <f>VLOOKUP($W31,feed_mix_n,MATCH(AF$5,feed_mix_w!$B$5:$AC$5,0),FALSE)/$Z31*VLOOKUP(AF$5,feed_intensity_w,11,FALSE)</f>
        <v>4.2476037421643437E-2</v>
      </c>
      <c r="AG31" s="2">
        <f>VLOOKUP($W31,feed_mix_n,MATCH(AG$5,feed_mix_w!$B$5:$AC$5,0),FALSE)/$Z31*VLOOKUP(AG$5,feed_intensity_w,11,FALSE)</f>
        <v>0</v>
      </c>
      <c r="AH31" s="2">
        <f>VLOOKUP($W31,feed_mix_n,MATCH(AH$5,feed_mix_w!$B$5:$AC$5,0),FALSE)/$Z31*VLOOKUP(AH$5,feed_intensity_w,11,FALSE)</f>
        <v>4.2476037421643437E-2</v>
      </c>
      <c r="AI31" s="2">
        <f>VLOOKUP($W31,feed_mix_n,MATCH(AI$5,feed_mix_w!$B$5:$AC$5,0),FALSE)/$Z31*VLOOKUP(AI$5,feed_intensity_w,11,FALSE)</f>
        <v>0</v>
      </c>
      <c r="AJ31" s="2">
        <f>VLOOKUP($W31,feed_mix_n,MATCH(AJ$5,feed_mix_w!$B$5:$AC$5,0),FALSE)/$Z31*VLOOKUP(AJ$5,feed_intensity_w,11,FALSE)</f>
        <v>0</v>
      </c>
      <c r="AK31" s="2">
        <f>VLOOKUP($W31,feed_mix_n,MATCH(AK$5,feed_mix_w!$B$5:$AC$5,0),FALSE)/$Z31*VLOOKUP(AK$5,feed_intensity_w,11,FALSE)</f>
        <v>0</v>
      </c>
      <c r="AL31" s="2">
        <f>VLOOKUP($W31,feed_mix_n,MATCH(AL$5,feed_mix_w!$B$5:$AC$5,0),FALSE)/$Z31*VLOOKUP(AL$5,feed_intensity_w,11,FALSE)</f>
        <v>0</v>
      </c>
      <c r="AM31" s="2">
        <f>VLOOKUP($W31,feed_mix_n,MATCH(AM$5,feed_mix_w!$B$5:$AC$5,0),FALSE)/$Z31*VLOOKUP(AM$5,feed_intensity_w,11,FALSE)</f>
        <v>2.9293634890948418E-2</v>
      </c>
      <c r="AN31" s="2">
        <f>VLOOKUP($W31,feed_mix_n,MATCH(AN$5,feed_mix_w!$B$5:$AC$5,0),FALSE)/$Z31*VLOOKUP(AN$5,feed_intensity_w,11,FALSE)</f>
        <v>0</v>
      </c>
      <c r="AO31" s="2">
        <f>VLOOKUP($W31,feed_mix_n,MATCH(AO$5,feed_mix_w!$B$5:$AC$5,0),FALSE)/$Z31*VLOOKUP(AO$5,feed_intensity_w,11,FALSE)</f>
        <v>0</v>
      </c>
      <c r="AP31" s="2">
        <f>VLOOKUP($W31,feed_mix_n,MATCH(AP$5,feed_mix_w!$B$5:$AC$5,0),FALSE)/$Z31*VLOOKUP(AP$5,feed_intensity_w,11,FALSE)</f>
        <v>0</v>
      </c>
      <c r="AQ31" s="2">
        <f>VLOOKUP($W31,feed_mix_n,MATCH(AQ$5,feed_mix_w!$B$5:$AC$5,0),FALSE)/$Z31*VLOOKUP(AQ$5,feed_intensity_w,11,FALSE)</f>
        <v>0</v>
      </c>
      <c r="AR31" s="2">
        <f>VLOOKUP($W31,feed_mix_n,MATCH(AR$5,feed_mix_w!$B$5:$AC$5,0),FALSE)/$Z31*VLOOKUP(AR$5,feed_intensity_w,11,FALSE)</f>
        <v>4.0508516530958827E-2</v>
      </c>
      <c r="AS31" s="389">
        <f>VLOOKUP($W31,feed_mix_n,MATCH(AS$5,feed_mix_w!$B$5:$AC$5,0),FALSE)/$Z31*VLOOKUP(AS$5,feed_intensity_w,11,FALSE)</f>
        <v>0</v>
      </c>
    </row>
    <row r="32" spans="1:45" ht="12.5">
      <c r="A32" s="14" t="s">
        <v>3925</v>
      </c>
      <c r="B32" s="482">
        <v>895</v>
      </c>
      <c r="C32" s="24" t="s">
        <v>1567</v>
      </c>
      <c r="D32" s="513"/>
      <c r="E32" s="513"/>
      <c r="F32" s="25">
        <f t="shared" si="0"/>
        <v>0</v>
      </c>
      <c r="G32" s="25">
        <f t="shared" si="1"/>
        <v>0</v>
      </c>
      <c r="H32" s="2">
        <f t="shared" si="2"/>
        <v>0.29463286373347358</v>
      </c>
      <c r="I32" s="25">
        <f t="shared" si="3"/>
        <v>0</v>
      </c>
      <c r="J32" s="87">
        <f>IFERROR(G32*VLOOKUP(W32,livestock_intensity!$B$7:$I$29,8,FALSE)/Z32,0)</f>
        <v>0</v>
      </c>
      <c r="K32" s="2">
        <f>VLOOKUP($W32,feed_mix_n,MATCH(K$5,feed_mix_w!$B$5:$AC$5,0),FALSE)/$Z32*VLOOKUP(K$5,feed_intensity_w,11,FALSE)</f>
        <v>0</v>
      </c>
      <c r="L32" s="25">
        <f t="shared" si="4"/>
        <v>0</v>
      </c>
      <c r="M32" s="25">
        <f>IFERROR(G32*VLOOKUP(W32,livestock_intensity!$B$7:$M$29,12,FALSE)/Z32,0)</f>
        <v>0</v>
      </c>
      <c r="N32" s="2">
        <f>VLOOKUP($W32,feed_mix_n,MATCH(N$5,feed_mix_w!$B$5:$AC$5,0),FALSE)/$Z32*VLOOKUP(N$5,feed_intensity_w,11,FALSE)</f>
        <v>0.55212505805053813</v>
      </c>
      <c r="O32" s="25">
        <f t="shared" si="5"/>
        <v>0</v>
      </c>
      <c r="P32" s="343">
        <f>IFERROR(G32*VLOOKUP(W32,livestock_intensity!$B$7:$Q$29,16,FALSE)/Z32,0)</f>
        <v>0</v>
      </c>
      <c r="Q32" s="758"/>
      <c r="R32" s="331">
        <f t="shared" si="6"/>
        <v>0</v>
      </c>
      <c r="S32" s="331">
        <f t="shared" si="7"/>
        <v>0</v>
      </c>
      <c r="T32" s="739" t="s">
        <v>2738</v>
      </c>
      <c r="U32" s="558" t="s">
        <v>2796</v>
      </c>
      <c r="V32" s="559" t="str">
        <f>IFERROR(VLOOKUP(W32,constant_ag_extr!$D$7:$E$594,2,FALSE),"")</f>
        <v>Cow milk, whole, fresh</v>
      </c>
      <c r="W32" s="560">
        <f t="shared" si="8"/>
        <v>882</v>
      </c>
      <c r="X32" s="2">
        <f>IFERROR(IF(VLOOKUP(B32,cnst_grazing!$C$10:$H$25,5,FALSE)="", IF(VLOOKUP(B32, cnst_grazing!$C$10:$H$25,3,FALSE)="", VLOOKUP(B32, cnst_grazing!$C$10:$H$25,4,FALSE),VLOOKUP(B32, cnst_grazing!$C$10:$H$25,3,FALSE)), VLOOKUP(B32,cnst_grazing!$C$10:$H$25,5,FALSE)),1)</f>
        <v>1</v>
      </c>
      <c r="Y32" s="2">
        <f>IFERROR(IF(VLOOKUP(B32,cnst_grazing!$C$10:$H$25,6,FALSE)="", IF(VLOOKUP(B32, cnst_grazing!$C$10:$H$25,4,FALSE)="", VLOOKUP(B32, cnst_grazing!$C$10:$H$25,3,FALSE),VLOOKUP(B32, cnst_grazing!$C$10:$H$25,4,FALSE)), VLOOKUP(B32,cnst_grazing!$C$10:$H$25,6,FALSE)),1)</f>
        <v>1</v>
      </c>
      <c r="Z32" s="400">
        <f t="shared" si="9"/>
        <v>0.64323124777450635</v>
      </c>
      <c r="AA32" s="2">
        <f t="shared" si="10"/>
        <v>0.84675792178401177</v>
      </c>
      <c r="AB32" s="2">
        <f>VLOOKUP($W32,feed_mix_n,MATCH(AB$5,feed_mix_w!$B$5:$AC$5,0),FALSE)/$Z32*VLOOKUP(AB$5,feed_intensity_w,11,FALSE)</f>
        <v>6.6761000137481555E-2</v>
      </c>
      <c r="AC32" s="2">
        <f>VLOOKUP($W32,feed_mix_n,MATCH(AC$5,feed_mix_w!$B$5:$AC$5,0),FALSE)/$Z32*VLOOKUP(AC$5,feed_intensity_w,11,FALSE)</f>
        <v>6.5600941141814015E-2</v>
      </c>
      <c r="AD32" s="2">
        <f>VLOOKUP($W32,feed_mix_n,MATCH(AD$5,feed_mix_w!$B$5:$AC$5,0),FALSE)/$Z32*VLOOKUP(AD$5,feed_intensity_w,11,FALSE)</f>
        <v>0</v>
      </c>
      <c r="AE32" s="2">
        <f>VLOOKUP($W32,feed_mix_n,MATCH(AE$5,feed_mix_w!$B$5:$AC$5,0),FALSE)/$Z32*VLOOKUP(AE$5,feed_intensity_w,11,FALSE)</f>
        <v>6.6035407279426833E-2</v>
      </c>
      <c r="AF32" s="2">
        <f>VLOOKUP($W32,feed_mix_n,MATCH(AF$5,feed_mix_w!$B$5:$AC$5,0),FALSE)/$Z32*VLOOKUP(AF$5,feed_intensity_w,11,FALSE)</f>
        <v>2.641416291177073E-2</v>
      </c>
      <c r="AG32" s="2">
        <f>VLOOKUP($W32,feed_mix_n,MATCH(AG$5,feed_mix_w!$B$5:$AC$5,0),FALSE)/$Z32*VLOOKUP(AG$5,feed_intensity_w,11,FALSE)</f>
        <v>0</v>
      </c>
      <c r="AH32" s="2">
        <f>VLOOKUP($W32,feed_mix_n,MATCH(AH$5,feed_mix_w!$B$5:$AC$5,0),FALSE)/$Z32*VLOOKUP(AH$5,feed_intensity_w,11,FALSE)</f>
        <v>2.641416291177073E-2</v>
      </c>
      <c r="AI32" s="2">
        <f>VLOOKUP($W32,feed_mix_n,MATCH(AI$5,feed_mix_w!$B$5:$AC$5,0),FALSE)/$Z32*VLOOKUP(AI$5,feed_intensity_w,11,FALSE)</f>
        <v>0</v>
      </c>
      <c r="AJ32" s="2">
        <f>VLOOKUP($W32,feed_mix_n,MATCH(AJ$5,feed_mix_w!$B$5:$AC$5,0),FALSE)/$Z32*VLOOKUP(AJ$5,feed_intensity_w,11,FALSE)</f>
        <v>0</v>
      </c>
      <c r="AK32" s="2">
        <f>VLOOKUP($W32,feed_mix_n,MATCH(AK$5,feed_mix_w!$B$5:$AC$5,0),FALSE)/$Z32*VLOOKUP(AK$5,feed_intensity_w,11,FALSE)</f>
        <v>0</v>
      </c>
      <c r="AL32" s="2">
        <f>VLOOKUP($W32,feed_mix_n,MATCH(AL$5,feed_mix_w!$B$5:$AC$5,0),FALSE)/$Z32*VLOOKUP(AL$5,feed_intensity_w,11,FALSE)</f>
        <v>0</v>
      </c>
      <c r="AM32" s="2">
        <f>VLOOKUP($W32,feed_mix_n,MATCH(AM$5,feed_mix_w!$B$5:$AC$5,0),FALSE)/$Z32*VLOOKUP(AM$5,feed_intensity_w,11,FALSE)</f>
        <v>1.8216549642014725E-2</v>
      </c>
      <c r="AN32" s="2">
        <f>VLOOKUP($W32,feed_mix_n,MATCH(AN$5,feed_mix_w!$B$5:$AC$5,0),FALSE)/$Z32*VLOOKUP(AN$5,feed_intensity_w,11,FALSE)</f>
        <v>0</v>
      </c>
      <c r="AO32" s="2">
        <f>VLOOKUP($W32,feed_mix_n,MATCH(AO$5,feed_mix_w!$B$5:$AC$5,0),FALSE)/$Z32*VLOOKUP(AO$5,feed_intensity_w,11,FALSE)</f>
        <v>0</v>
      </c>
      <c r="AP32" s="2">
        <f>VLOOKUP($W32,feed_mix_n,MATCH(AP$5,feed_mix_w!$B$5:$AC$5,0),FALSE)/$Z32*VLOOKUP(AP$5,feed_intensity_w,11,FALSE)</f>
        <v>0</v>
      </c>
      <c r="AQ32" s="2">
        <f>VLOOKUP($W32,feed_mix_n,MATCH(AQ$5,feed_mix_w!$B$5:$AC$5,0),FALSE)/$Z32*VLOOKUP(AQ$5,feed_intensity_w,11,FALSE)</f>
        <v>0</v>
      </c>
      <c r="AR32" s="2">
        <f>VLOOKUP($W32,feed_mix_n,MATCH(AR$5,feed_mix_w!$B$5:$AC$5,0),FALSE)/$Z32*VLOOKUP(AR$5,feed_intensity_w,11,FALSE)</f>
        <v>2.5190639709195009E-2</v>
      </c>
      <c r="AS32" s="389">
        <f>VLOOKUP($W32,feed_mix_n,MATCH(AS$5,feed_mix_w!$B$5:$AC$5,0),FALSE)/$Z32*VLOOKUP(AS$5,feed_intensity_w,11,FALSE)</f>
        <v>0</v>
      </c>
    </row>
    <row r="33" spans="1:45" ht="12.5">
      <c r="A33" s="14" t="s">
        <v>3197</v>
      </c>
      <c r="B33" s="482">
        <v>896</v>
      </c>
      <c r="C33" s="24" t="s">
        <v>1565</v>
      </c>
      <c r="D33" s="513"/>
      <c r="E33" s="513"/>
      <c r="F33" s="25">
        <f t="shared" si="0"/>
        <v>0</v>
      </c>
      <c r="G33" s="25">
        <f t="shared" si="1"/>
        <v>0</v>
      </c>
      <c r="H33" s="2">
        <f t="shared" si="2"/>
        <v>0.32736984859274848</v>
      </c>
      <c r="I33" s="25">
        <f t="shared" si="3"/>
        <v>0</v>
      </c>
      <c r="J33" s="87">
        <f>IFERROR(G33*VLOOKUP(W33,livestock_intensity!$B$7:$I$29,8,FALSE)/Z33,0)</f>
        <v>0</v>
      </c>
      <c r="K33" s="2">
        <f>VLOOKUP($W33,feed_mix_n,MATCH(K$5,feed_mix_w!$B$5:$AC$5,0),FALSE)/$Z33*VLOOKUP(K$5,feed_intensity_w,11,FALSE)</f>
        <v>0</v>
      </c>
      <c r="L33" s="25">
        <f t="shared" si="4"/>
        <v>0</v>
      </c>
      <c r="M33" s="25">
        <f>IFERROR(G33*VLOOKUP(W33,livestock_intensity!$B$7:$M$29,12,FALSE)/Z33,0)</f>
        <v>0</v>
      </c>
      <c r="N33" s="2">
        <f>VLOOKUP($W33,feed_mix_n,MATCH(N$5,feed_mix_w!$B$5:$AC$5,0),FALSE)/$Z33*VLOOKUP(N$5,feed_intensity_w,11,FALSE)</f>
        <v>0.61347228672282028</v>
      </c>
      <c r="O33" s="25">
        <f t="shared" si="5"/>
        <v>0</v>
      </c>
      <c r="P33" s="343">
        <f>IFERROR(G33*VLOOKUP(W33,livestock_intensity!$B$7:$Q$29,16,FALSE)/Z33,0)</f>
        <v>0</v>
      </c>
      <c r="Q33" s="758"/>
      <c r="R33" s="331">
        <f t="shared" si="6"/>
        <v>0</v>
      </c>
      <c r="S33" s="331">
        <f t="shared" si="7"/>
        <v>0</v>
      </c>
      <c r="T33" s="739" t="s">
        <v>2738</v>
      </c>
      <c r="U33" s="558" t="s">
        <v>2796</v>
      </c>
      <c r="V33" s="559" t="str">
        <f>IFERROR(VLOOKUP(W33,constant_ag_extr!$D$7:$E$594,2,FALSE),"")</f>
        <v>Cow milk, whole, fresh</v>
      </c>
      <c r="W33" s="560">
        <f t="shared" si="8"/>
        <v>882</v>
      </c>
      <c r="X33" s="2">
        <f>IFERROR(IF(VLOOKUP(B33,cnst_grazing!$C$10:$H$25,5,FALSE)="", IF(VLOOKUP(B33, cnst_grazing!$C$10:$H$25,3,FALSE)="", VLOOKUP(B33, cnst_grazing!$C$10:$H$25,4,FALSE),VLOOKUP(B33, cnst_grazing!$C$10:$H$25,3,FALSE)), VLOOKUP(B33,cnst_grazing!$C$10:$H$25,5,FALSE)),1)</f>
        <v>1</v>
      </c>
      <c r="Y33" s="2">
        <f>IFERROR(IF(VLOOKUP(B33,cnst_grazing!$C$10:$H$25,6,FALSE)="", IF(VLOOKUP(B33, cnst_grazing!$C$10:$H$25,4,FALSE)="", VLOOKUP(B33, cnst_grazing!$C$10:$H$25,3,FALSE),VLOOKUP(B33, cnst_grazing!$C$10:$H$25,4,FALSE)), VLOOKUP(B33,cnst_grazing!$C$10:$H$25,6,FALSE)),1)</f>
        <v>1</v>
      </c>
      <c r="Z33" s="400">
        <f t="shared" si="9"/>
        <v>0.57890812299705563</v>
      </c>
      <c r="AA33" s="2">
        <f t="shared" si="10"/>
        <v>0.94084213531556871</v>
      </c>
      <c r="AB33" s="2">
        <f>VLOOKUP($W33,feed_mix_n,MATCH(AB$5,feed_mix_w!$B$5:$AC$5,0),FALSE)/$Z33*VLOOKUP(AB$5,feed_intensity_w,11,FALSE)</f>
        <v>7.417888904164617E-2</v>
      </c>
      <c r="AC33" s="2">
        <f>VLOOKUP($W33,feed_mix_n,MATCH(AC$5,feed_mix_w!$B$5:$AC$5,0),FALSE)/$Z33*VLOOKUP(AC$5,feed_intensity_w,11,FALSE)</f>
        <v>7.288993460201558E-2</v>
      </c>
      <c r="AD33" s="2">
        <f>VLOOKUP($W33,feed_mix_n,MATCH(AD$5,feed_mix_w!$B$5:$AC$5,0),FALSE)/$Z33*VLOOKUP(AD$5,feed_intensity_w,11,FALSE)</f>
        <v>0</v>
      </c>
      <c r="AE33" s="2">
        <f>VLOOKUP($W33,feed_mix_n,MATCH(AE$5,feed_mix_w!$B$5:$AC$5,0),FALSE)/$Z33*VLOOKUP(AE$5,feed_intensity_w,11,FALSE)</f>
        <v>7.337267475491871E-2</v>
      </c>
      <c r="AF33" s="2">
        <f>VLOOKUP($W33,feed_mix_n,MATCH(AF$5,feed_mix_w!$B$5:$AC$5,0),FALSE)/$Z33*VLOOKUP(AF$5,feed_intensity_w,11,FALSE)</f>
        <v>2.9349069901967485E-2</v>
      </c>
      <c r="AG33" s="2">
        <f>VLOOKUP($W33,feed_mix_n,MATCH(AG$5,feed_mix_w!$B$5:$AC$5,0),FALSE)/$Z33*VLOOKUP(AG$5,feed_intensity_w,11,FALSE)</f>
        <v>0</v>
      </c>
      <c r="AH33" s="2">
        <f>VLOOKUP($W33,feed_mix_n,MATCH(AH$5,feed_mix_w!$B$5:$AC$5,0),FALSE)/$Z33*VLOOKUP(AH$5,feed_intensity_w,11,FALSE)</f>
        <v>2.9349069901967485E-2</v>
      </c>
      <c r="AI33" s="2">
        <f>VLOOKUP($W33,feed_mix_n,MATCH(AI$5,feed_mix_w!$B$5:$AC$5,0),FALSE)/$Z33*VLOOKUP(AI$5,feed_intensity_w,11,FALSE)</f>
        <v>0</v>
      </c>
      <c r="AJ33" s="2">
        <f>VLOOKUP($W33,feed_mix_n,MATCH(AJ$5,feed_mix_w!$B$5:$AC$5,0),FALSE)/$Z33*VLOOKUP(AJ$5,feed_intensity_w,11,FALSE)</f>
        <v>0</v>
      </c>
      <c r="AK33" s="2">
        <f>VLOOKUP($W33,feed_mix_n,MATCH(AK$5,feed_mix_w!$B$5:$AC$5,0),FALSE)/$Z33*VLOOKUP(AK$5,feed_intensity_w,11,FALSE)</f>
        <v>0</v>
      </c>
      <c r="AL33" s="2">
        <f>VLOOKUP($W33,feed_mix_n,MATCH(AL$5,feed_mix_w!$B$5:$AC$5,0),FALSE)/$Z33*VLOOKUP(AL$5,feed_intensity_w,11,FALSE)</f>
        <v>0</v>
      </c>
      <c r="AM33" s="2">
        <f>VLOOKUP($W33,feed_mix_n,MATCH(AM$5,feed_mix_w!$B$5:$AC$5,0),FALSE)/$Z33*VLOOKUP(AM$5,feed_intensity_w,11,FALSE)</f>
        <v>2.0240610713349698E-2</v>
      </c>
      <c r="AN33" s="2">
        <f>VLOOKUP($W33,feed_mix_n,MATCH(AN$5,feed_mix_w!$B$5:$AC$5,0),FALSE)/$Z33*VLOOKUP(AN$5,feed_intensity_w,11,FALSE)</f>
        <v>0</v>
      </c>
      <c r="AO33" s="2">
        <f>VLOOKUP($W33,feed_mix_n,MATCH(AO$5,feed_mix_w!$B$5:$AC$5,0),FALSE)/$Z33*VLOOKUP(AO$5,feed_intensity_w,11,FALSE)</f>
        <v>0</v>
      </c>
      <c r="AP33" s="2">
        <f>VLOOKUP($W33,feed_mix_n,MATCH(AP$5,feed_mix_w!$B$5:$AC$5,0),FALSE)/$Z33*VLOOKUP(AP$5,feed_intensity_w,11,FALSE)</f>
        <v>0</v>
      </c>
      <c r="AQ33" s="2">
        <f>VLOOKUP($W33,feed_mix_n,MATCH(AQ$5,feed_mix_w!$B$5:$AC$5,0),FALSE)/$Z33*VLOOKUP(AQ$5,feed_intensity_w,11,FALSE)</f>
        <v>0</v>
      </c>
      <c r="AR33" s="2">
        <f>VLOOKUP($W33,feed_mix_n,MATCH(AR$5,feed_mix_w!$B$5:$AC$5,0),FALSE)/$Z33*VLOOKUP(AR$5,feed_intensity_w,11,FALSE)</f>
        <v>2.7989599676883345E-2</v>
      </c>
      <c r="AS33" s="389">
        <f>VLOOKUP($W33,feed_mix_n,MATCH(AS$5,feed_mix_w!$B$5:$AC$5,0),FALSE)/$Z33*VLOOKUP(AS$5,feed_intensity_w,11,FALSE)</f>
        <v>0</v>
      </c>
    </row>
    <row r="34" spans="1:45" ht="12.5">
      <c r="A34" s="14" t="s">
        <v>7131</v>
      </c>
      <c r="B34" s="482">
        <v>897</v>
      </c>
      <c r="C34" s="24" t="s">
        <v>1570</v>
      </c>
      <c r="D34" s="513">
        <v>1682</v>
      </c>
      <c r="E34" s="513">
        <v>689</v>
      </c>
      <c r="F34" s="25">
        <f t="shared" si="0"/>
        <v>1682</v>
      </c>
      <c r="G34" s="25">
        <f t="shared" si="1"/>
        <v>689</v>
      </c>
      <c r="H34" s="2">
        <f t="shared" si="2"/>
        <v>1.263447097164389</v>
      </c>
      <c r="I34" s="25">
        <f t="shared" si="3"/>
        <v>2125.1180174305023</v>
      </c>
      <c r="J34" s="87">
        <f>IFERROR(G34*VLOOKUP(W34,livestock_intensity!$B$7:$I$29,8,FALSE)/Z34,0)</f>
        <v>793.82344403962782</v>
      </c>
      <c r="K34" s="2">
        <f>VLOOKUP($W34,feed_mix_n,MATCH(K$5,feed_mix_w!$B$5:$AC$5,0),FALSE)/$Z34*VLOOKUP(K$5,feed_intensity_w,11,FALSE)</f>
        <v>0</v>
      </c>
      <c r="L34" s="25">
        <f t="shared" si="4"/>
        <v>0</v>
      </c>
      <c r="M34" s="25">
        <f>IFERROR(G34*VLOOKUP(W34,livestock_intensity!$B$7:$M$29,12,FALSE)/Z34,0)</f>
        <v>0</v>
      </c>
      <c r="N34" s="2">
        <f>VLOOKUP($W34,feed_mix_n,MATCH(N$5,feed_mix_w!$B$5:$AC$5,0),FALSE)/$Z34*VLOOKUP(N$5,feed_intensity_w,11,FALSE)</f>
        <v>2.367627266782796</v>
      </c>
      <c r="O34" s="25">
        <f t="shared" si="5"/>
        <v>3982.3490627286628</v>
      </c>
      <c r="P34" s="343">
        <f>IFERROR(G34*VLOOKUP(W34,livestock_intensity!$B$7:$Q$29,16,FALSE)/Z34,0)</f>
        <v>774.34480704891735</v>
      </c>
      <c r="Q34" s="758"/>
      <c r="R34" s="331">
        <f t="shared" si="6"/>
        <v>6107.4670801591656</v>
      </c>
      <c r="S34" s="331">
        <f t="shared" si="7"/>
        <v>1568.1682510885453</v>
      </c>
      <c r="T34" s="739" t="s">
        <v>2738</v>
      </c>
      <c r="U34" s="558" t="s">
        <v>2796</v>
      </c>
      <c r="V34" s="559" t="str">
        <f>IFERROR(VLOOKUP(W34,constant_ag_extr!$D$7:$E$594,2,FALSE),"")</f>
        <v>Cow milk, whole, fresh</v>
      </c>
      <c r="W34" s="560">
        <f t="shared" si="8"/>
        <v>882</v>
      </c>
      <c r="X34" s="2">
        <f>IFERROR(IF(VLOOKUP(B34,cnst_grazing!$C$10:$H$25,5,FALSE)="", IF(VLOOKUP(B34, cnst_grazing!$C$10:$H$25,3,FALSE)="", VLOOKUP(B34, cnst_grazing!$C$10:$H$25,4,FALSE),VLOOKUP(B34, cnst_grazing!$C$10:$H$25,3,FALSE)), VLOOKUP(B34,cnst_grazing!$C$10:$H$25,5,FALSE)),1)</f>
        <v>1</v>
      </c>
      <c r="Y34" s="2">
        <f>IFERROR(IF(VLOOKUP(B34,cnst_grazing!$C$10:$H$25,6,FALSE)="", IF(VLOOKUP(B34, cnst_grazing!$C$10:$H$25,4,FALSE)="", VLOOKUP(B34, cnst_grazing!$C$10:$H$25,3,FALSE),VLOOKUP(B34, cnst_grazing!$C$10:$H$25,4,FALSE)), VLOOKUP(B34,cnst_grazing!$C$10:$H$25,6,FALSE)),1)</f>
        <v>1</v>
      </c>
      <c r="Z34" s="400">
        <f t="shared" si="9"/>
        <v>0.15</v>
      </c>
      <c r="AA34" s="2">
        <f t="shared" si="10"/>
        <v>3.6310743639471852</v>
      </c>
      <c r="AB34" s="2">
        <f>VLOOKUP($W34,feed_mix_n,MATCH(AB$5,feed_mix_w!$B$5:$AC$5,0),FALSE)/$Z34*VLOOKUP(AB$5,feed_intensity_w,11,FALSE)</f>
        <v>0.28628507614070836</v>
      </c>
      <c r="AC34" s="2">
        <f>VLOOKUP($W34,feed_mix_n,MATCH(AC$5,feed_mix_w!$B$5:$AC$5,0),FALSE)/$Z34*VLOOKUP(AC$5,feed_intensity_w,11,FALSE)</f>
        <v>0.28131050150553988</v>
      </c>
      <c r="AD34" s="2">
        <f>VLOOKUP($W34,feed_mix_n,MATCH(AD$5,feed_mix_w!$B$5:$AC$5,0),FALSE)/$Z34*VLOOKUP(AD$5,feed_intensity_w,11,FALSE)</f>
        <v>0</v>
      </c>
      <c r="AE34" s="2">
        <f>VLOOKUP($W34,feed_mix_n,MATCH(AE$5,feed_mix_w!$B$5:$AC$5,0),FALSE)/$Z34*VLOOKUP(AE$5,feed_intensity_w,11,FALSE)</f>
        <v>0.28317358281095628</v>
      </c>
      <c r="AF34" s="2">
        <f>VLOOKUP($W34,feed_mix_n,MATCH(AF$5,feed_mix_w!$B$5:$AC$5,0),FALSE)/$Z34*VLOOKUP(AF$5,feed_intensity_w,11,FALSE)</f>
        <v>0.11326943312438251</v>
      </c>
      <c r="AG34" s="2">
        <f>VLOOKUP($W34,feed_mix_n,MATCH(AG$5,feed_mix_w!$B$5:$AC$5,0),FALSE)/$Z34*VLOOKUP(AG$5,feed_intensity_w,11,FALSE)</f>
        <v>0</v>
      </c>
      <c r="AH34" s="2">
        <f>VLOOKUP($W34,feed_mix_n,MATCH(AH$5,feed_mix_w!$B$5:$AC$5,0),FALSE)/$Z34*VLOOKUP(AH$5,feed_intensity_w,11,FALSE)</f>
        <v>0.11326943312438251</v>
      </c>
      <c r="AI34" s="2">
        <f>VLOOKUP($W34,feed_mix_n,MATCH(AI$5,feed_mix_w!$B$5:$AC$5,0),FALSE)/$Z34*VLOOKUP(AI$5,feed_intensity_w,11,FALSE)</f>
        <v>0</v>
      </c>
      <c r="AJ34" s="2">
        <f>VLOOKUP($W34,feed_mix_n,MATCH(AJ$5,feed_mix_w!$B$5:$AC$5,0),FALSE)/$Z34*VLOOKUP(AJ$5,feed_intensity_w,11,FALSE)</f>
        <v>0</v>
      </c>
      <c r="AK34" s="2">
        <f>VLOOKUP($W34,feed_mix_n,MATCH(AK$5,feed_mix_w!$B$5:$AC$5,0),FALSE)/$Z34*VLOOKUP(AK$5,feed_intensity_w,11,FALSE)</f>
        <v>0</v>
      </c>
      <c r="AL34" s="2">
        <f>VLOOKUP($W34,feed_mix_n,MATCH(AL$5,feed_mix_w!$B$5:$AC$5,0),FALSE)/$Z34*VLOOKUP(AL$5,feed_intensity_w,11,FALSE)</f>
        <v>0</v>
      </c>
      <c r="AM34" s="2">
        <f>VLOOKUP($W34,feed_mix_n,MATCH(AM$5,feed_mix_w!$B$5:$AC$5,0),FALSE)/$Z34*VLOOKUP(AM$5,feed_intensity_w,11,FALSE)</f>
        <v>7.8116359709195796E-2</v>
      </c>
      <c r="AN34" s="2">
        <f>VLOOKUP($W34,feed_mix_n,MATCH(AN$5,feed_mix_w!$B$5:$AC$5,0),FALSE)/$Z34*VLOOKUP(AN$5,feed_intensity_w,11,FALSE)</f>
        <v>0</v>
      </c>
      <c r="AO34" s="2">
        <f>VLOOKUP($W34,feed_mix_n,MATCH(AO$5,feed_mix_w!$B$5:$AC$5,0),FALSE)/$Z34*VLOOKUP(AO$5,feed_intensity_w,11,FALSE)</f>
        <v>0</v>
      </c>
      <c r="AP34" s="2">
        <f>VLOOKUP($W34,feed_mix_n,MATCH(AP$5,feed_mix_w!$B$5:$AC$5,0),FALSE)/$Z34*VLOOKUP(AP$5,feed_intensity_w,11,FALSE)</f>
        <v>0</v>
      </c>
      <c r="AQ34" s="2">
        <f>VLOOKUP($W34,feed_mix_n,MATCH(AQ$5,feed_mix_w!$B$5:$AC$5,0),FALSE)/$Z34*VLOOKUP(AQ$5,feed_intensity_w,11,FALSE)</f>
        <v>0</v>
      </c>
      <c r="AR34" s="2">
        <f>VLOOKUP($W34,feed_mix_n,MATCH(AR$5,feed_mix_w!$B$5:$AC$5,0),FALSE)/$Z34*VLOOKUP(AR$5,feed_intensity_w,11,FALSE)</f>
        <v>0.10802271074922354</v>
      </c>
      <c r="AS34" s="389">
        <f>VLOOKUP($W34,feed_mix_n,MATCH(AS$5,feed_mix_w!$B$5:$AC$5,0),FALSE)/$Z34*VLOOKUP(AS$5,feed_intensity_w,11,FALSE)</f>
        <v>0</v>
      </c>
    </row>
    <row r="35" spans="1:45" ht="12.5">
      <c r="A35" s="14" t="s">
        <v>7132</v>
      </c>
      <c r="B35" s="482">
        <v>898</v>
      </c>
      <c r="C35" s="24" t="s">
        <v>1566</v>
      </c>
      <c r="D35" s="513">
        <v>4420</v>
      </c>
      <c r="E35" s="513">
        <v>65856</v>
      </c>
      <c r="F35" s="25">
        <f t="shared" si="0"/>
        <v>4420</v>
      </c>
      <c r="G35" s="25">
        <f t="shared" si="1"/>
        <v>65856</v>
      </c>
      <c r="H35" s="2">
        <f t="shared" si="2"/>
        <v>1.1785314549338943</v>
      </c>
      <c r="I35" s="25">
        <f t="shared" si="3"/>
        <v>5209.1090308078128</v>
      </c>
      <c r="J35" s="87">
        <f>IFERROR(G35*VLOOKUP(W35,livestock_intensity!$B$7:$I$29,8,FALSE)/Z35,0)</f>
        <v>70775.698470798059</v>
      </c>
      <c r="K35" s="2">
        <f>VLOOKUP($W35,feed_mix_n,MATCH(K$5,feed_mix_w!$B$5:$AC$5,0),FALSE)/$Z35*VLOOKUP(K$5,feed_intensity_w,11,FALSE)</f>
        <v>0</v>
      </c>
      <c r="L35" s="25">
        <f t="shared" si="4"/>
        <v>0</v>
      </c>
      <c r="M35" s="25">
        <f>IFERROR(G35*VLOOKUP(W35,livestock_intensity!$B$7:$M$29,12,FALSE)/Z35,0)</f>
        <v>0</v>
      </c>
      <c r="N35" s="2">
        <f>VLOOKUP($W35,feed_mix_n,MATCH(N$5,feed_mix_w!$B$5:$AC$5,0),FALSE)/$Z35*VLOOKUP(N$5,feed_intensity_w,11,FALSE)</f>
        <v>2.2085002322021525</v>
      </c>
      <c r="O35" s="25">
        <f t="shared" si="5"/>
        <v>9761.571026333515</v>
      </c>
      <c r="P35" s="343">
        <f>IFERROR(G35*VLOOKUP(W35,livestock_intensity!$B$7:$Q$29,16,FALSE)/Z35,0)</f>
        <v>69039.022452184727</v>
      </c>
      <c r="Q35" s="758"/>
      <c r="R35" s="331">
        <f t="shared" si="6"/>
        <v>14970.680057141328</v>
      </c>
      <c r="S35" s="331">
        <f t="shared" si="7"/>
        <v>139814.72092298279</v>
      </c>
      <c r="T35" s="739" t="s">
        <v>2738</v>
      </c>
      <c r="U35" s="558" t="s">
        <v>2796</v>
      </c>
      <c r="V35" s="559" t="str">
        <f>IFERROR(VLOOKUP(W35,constant_ag_extr!$D$7:$E$594,2,FALSE),"")</f>
        <v>Cow milk, whole, fresh</v>
      </c>
      <c r="W35" s="560">
        <f t="shared" si="8"/>
        <v>882</v>
      </c>
      <c r="X35" s="2">
        <f>IFERROR(IF(VLOOKUP(B35,cnst_grazing!$C$10:$H$25,5,FALSE)="", IF(VLOOKUP(B35, cnst_grazing!$C$10:$H$25,3,FALSE)="", VLOOKUP(B35, cnst_grazing!$C$10:$H$25,4,FALSE),VLOOKUP(B35, cnst_grazing!$C$10:$H$25,3,FALSE)), VLOOKUP(B35,cnst_grazing!$C$10:$H$25,5,FALSE)),1)</f>
        <v>1</v>
      </c>
      <c r="Y35" s="2">
        <f>IFERROR(IF(VLOOKUP(B35,cnst_grazing!$C$10:$H$25,6,FALSE)="", IF(VLOOKUP(B35, cnst_grazing!$C$10:$H$25,4,FALSE)="", VLOOKUP(B35, cnst_grazing!$C$10:$H$25,3,FALSE),VLOOKUP(B35, cnst_grazing!$C$10:$H$25,4,FALSE)), VLOOKUP(B35,cnst_grazing!$C$10:$H$25,6,FALSE)),1)</f>
        <v>1</v>
      </c>
      <c r="Z35" s="400">
        <f t="shared" si="9"/>
        <v>0.16080781194362659</v>
      </c>
      <c r="AA35" s="2">
        <f t="shared" si="10"/>
        <v>3.3870316871360471</v>
      </c>
      <c r="AB35" s="2">
        <f>VLOOKUP($W35,feed_mix_n,MATCH(AB$5,feed_mix_w!$B$5:$AC$5,0),FALSE)/$Z35*VLOOKUP(AB$5,feed_intensity_w,11,FALSE)</f>
        <v>0.26704400054992622</v>
      </c>
      <c r="AC35" s="2">
        <f>VLOOKUP($W35,feed_mix_n,MATCH(AC$5,feed_mix_w!$B$5:$AC$5,0),FALSE)/$Z35*VLOOKUP(AC$5,feed_intensity_w,11,FALSE)</f>
        <v>0.26240376456725606</v>
      </c>
      <c r="AD35" s="2">
        <f>VLOOKUP($W35,feed_mix_n,MATCH(AD$5,feed_mix_w!$B$5:$AC$5,0),FALSE)/$Z35*VLOOKUP(AD$5,feed_intensity_w,11,FALSE)</f>
        <v>0</v>
      </c>
      <c r="AE35" s="2">
        <f>VLOOKUP($W35,feed_mix_n,MATCH(AE$5,feed_mix_w!$B$5:$AC$5,0),FALSE)/$Z35*VLOOKUP(AE$5,feed_intensity_w,11,FALSE)</f>
        <v>0.26414162911770733</v>
      </c>
      <c r="AF35" s="2">
        <f>VLOOKUP($W35,feed_mix_n,MATCH(AF$5,feed_mix_w!$B$5:$AC$5,0),FALSE)/$Z35*VLOOKUP(AF$5,feed_intensity_w,11,FALSE)</f>
        <v>0.10565665164708292</v>
      </c>
      <c r="AG35" s="2">
        <f>VLOOKUP($W35,feed_mix_n,MATCH(AG$5,feed_mix_w!$B$5:$AC$5,0),FALSE)/$Z35*VLOOKUP(AG$5,feed_intensity_w,11,FALSE)</f>
        <v>0</v>
      </c>
      <c r="AH35" s="2">
        <f>VLOOKUP($W35,feed_mix_n,MATCH(AH$5,feed_mix_w!$B$5:$AC$5,0),FALSE)/$Z35*VLOOKUP(AH$5,feed_intensity_w,11,FALSE)</f>
        <v>0.10565665164708292</v>
      </c>
      <c r="AI35" s="2">
        <f>VLOOKUP($W35,feed_mix_n,MATCH(AI$5,feed_mix_w!$B$5:$AC$5,0),FALSE)/$Z35*VLOOKUP(AI$5,feed_intensity_w,11,FALSE)</f>
        <v>0</v>
      </c>
      <c r="AJ35" s="2">
        <f>VLOOKUP($W35,feed_mix_n,MATCH(AJ$5,feed_mix_w!$B$5:$AC$5,0),FALSE)/$Z35*VLOOKUP(AJ$5,feed_intensity_w,11,FALSE)</f>
        <v>0</v>
      </c>
      <c r="AK35" s="2">
        <f>VLOOKUP($W35,feed_mix_n,MATCH(AK$5,feed_mix_w!$B$5:$AC$5,0),FALSE)/$Z35*VLOOKUP(AK$5,feed_intensity_w,11,FALSE)</f>
        <v>0</v>
      </c>
      <c r="AL35" s="2">
        <f>VLOOKUP($W35,feed_mix_n,MATCH(AL$5,feed_mix_w!$B$5:$AC$5,0),FALSE)/$Z35*VLOOKUP(AL$5,feed_intensity_w,11,FALSE)</f>
        <v>0</v>
      </c>
      <c r="AM35" s="2">
        <f>VLOOKUP($W35,feed_mix_n,MATCH(AM$5,feed_mix_w!$B$5:$AC$5,0),FALSE)/$Z35*VLOOKUP(AM$5,feed_intensity_w,11,FALSE)</f>
        <v>7.2866198568058899E-2</v>
      </c>
      <c r="AN35" s="2">
        <f>VLOOKUP($W35,feed_mix_n,MATCH(AN$5,feed_mix_w!$B$5:$AC$5,0),FALSE)/$Z35*VLOOKUP(AN$5,feed_intensity_w,11,FALSE)</f>
        <v>0</v>
      </c>
      <c r="AO35" s="2">
        <f>VLOOKUP($W35,feed_mix_n,MATCH(AO$5,feed_mix_w!$B$5:$AC$5,0),FALSE)/$Z35*VLOOKUP(AO$5,feed_intensity_w,11,FALSE)</f>
        <v>0</v>
      </c>
      <c r="AP35" s="2">
        <f>VLOOKUP($W35,feed_mix_n,MATCH(AP$5,feed_mix_w!$B$5:$AC$5,0),FALSE)/$Z35*VLOOKUP(AP$5,feed_intensity_w,11,FALSE)</f>
        <v>0</v>
      </c>
      <c r="AQ35" s="2">
        <f>VLOOKUP($W35,feed_mix_n,MATCH(AQ$5,feed_mix_w!$B$5:$AC$5,0),FALSE)/$Z35*VLOOKUP(AQ$5,feed_intensity_w,11,FALSE)</f>
        <v>0</v>
      </c>
      <c r="AR35" s="2">
        <f>VLOOKUP($W35,feed_mix_n,MATCH(AR$5,feed_mix_w!$B$5:$AC$5,0),FALSE)/$Z35*VLOOKUP(AR$5,feed_intensity_w,11,FALSE)</f>
        <v>0.10076255883678004</v>
      </c>
      <c r="AS35" s="389">
        <f>VLOOKUP($W35,feed_mix_n,MATCH(AS$5,feed_mix_w!$B$5:$AC$5,0),FALSE)/$Z35*VLOOKUP(AS$5,feed_intensity_w,11,FALSE)</f>
        <v>0</v>
      </c>
    </row>
    <row r="36" spans="1:45" ht="12.5">
      <c r="A36" s="14" t="s">
        <v>4996</v>
      </c>
      <c r="B36" s="482">
        <v>899</v>
      </c>
      <c r="C36" s="24" t="s">
        <v>1572</v>
      </c>
      <c r="D36" s="513"/>
      <c r="E36" s="513"/>
      <c r="F36" s="25">
        <f t="shared" si="0"/>
        <v>0</v>
      </c>
      <c r="G36" s="25">
        <f t="shared" si="1"/>
        <v>0</v>
      </c>
      <c r="H36" s="2">
        <f t="shared" si="2"/>
        <v>1.1785314549338943</v>
      </c>
      <c r="I36" s="25">
        <f t="shared" si="3"/>
        <v>0</v>
      </c>
      <c r="J36" s="87">
        <f>IFERROR(G36*VLOOKUP(W36,livestock_intensity!$B$7:$I$29,8,FALSE)/Z36,0)</f>
        <v>0</v>
      </c>
      <c r="K36" s="2">
        <f>VLOOKUP($W36,feed_mix_n,MATCH(K$5,feed_mix_w!$B$5:$AC$5,0),FALSE)/$Z36*VLOOKUP(K$5,feed_intensity_w,11,FALSE)</f>
        <v>0</v>
      </c>
      <c r="L36" s="25">
        <f t="shared" si="4"/>
        <v>0</v>
      </c>
      <c r="M36" s="25">
        <f>IFERROR(G36*VLOOKUP(W36,livestock_intensity!$B$7:$M$29,12,FALSE)/Z36,0)</f>
        <v>0</v>
      </c>
      <c r="N36" s="2">
        <f>VLOOKUP($W36,feed_mix_n,MATCH(N$5,feed_mix_w!$B$5:$AC$5,0),FALSE)/$Z36*VLOOKUP(N$5,feed_intensity_w,11,FALSE)</f>
        <v>2.2085002322021525</v>
      </c>
      <c r="O36" s="25">
        <f t="shared" si="5"/>
        <v>0</v>
      </c>
      <c r="P36" s="343">
        <f>IFERROR(G36*VLOOKUP(W36,livestock_intensity!$B$7:$Q$29,16,FALSE)/Z36,0)</f>
        <v>0</v>
      </c>
      <c r="Q36" s="758"/>
      <c r="R36" s="331">
        <f t="shared" si="6"/>
        <v>0</v>
      </c>
      <c r="S36" s="331">
        <f t="shared" si="7"/>
        <v>0</v>
      </c>
      <c r="T36" s="739" t="s">
        <v>2738</v>
      </c>
      <c r="U36" s="558" t="s">
        <v>2796</v>
      </c>
      <c r="V36" s="559" t="str">
        <f>IFERROR(VLOOKUP(W36,constant_ag_extr!$D$7:$E$594,2,FALSE),"")</f>
        <v>Cow milk, whole, fresh</v>
      </c>
      <c r="W36" s="560">
        <f t="shared" si="8"/>
        <v>882</v>
      </c>
      <c r="X36" s="2">
        <f>IFERROR(IF(VLOOKUP(B36,cnst_grazing!$C$10:$H$25,5,FALSE)="", IF(VLOOKUP(B36, cnst_grazing!$C$10:$H$25,3,FALSE)="", VLOOKUP(B36, cnst_grazing!$C$10:$H$25,4,FALSE),VLOOKUP(B36, cnst_grazing!$C$10:$H$25,3,FALSE)), VLOOKUP(B36,cnst_grazing!$C$10:$H$25,5,FALSE)),1)</f>
        <v>1</v>
      </c>
      <c r="Y36" s="2">
        <f>IFERROR(IF(VLOOKUP(B36,cnst_grazing!$C$10:$H$25,6,FALSE)="", IF(VLOOKUP(B36, cnst_grazing!$C$10:$H$25,4,FALSE)="", VLOOKUP(B36, cnst_grazing!$C$10:$H$25,3,FALSE),VLOOKUP(B36, cnst_grazing!$C$10:$H$25,4,FALSE)), VLOOKUP(B36,cnst_grazing!$C$10:$H$25,6,FALSE)),1)</f>
        <v>1</v>
      </c>
      <c r="Z36" s="400">
        <f t="shared" si="9"/>
        <v>0.16080781194362659</v>
      </c>
      <c r="AA36" s="2">
        <f t="shared" si="10"/>
        <v>3.3870316871360471</v>
      </c>
      <c r="AB36" s="2">
        <f>VLOOKUP($W36,feed_mix_n,MATCH(AB$5,feed_mix_w!$B$5:$AC$5,0),FALSE)/$Z36*VLOOKUP(AB$5,feed_intensity_w,11,FALSE)</f>
        <v>0.26704400054992622</v>
      </c>
      <c r="AC36" s="2">
        <f>VLOOKUP($W36,feed_mix_n,MATCH(AC$5,feed_mix_w!$B$5:$AC$5,0),FALSE)/$Z36*VLOOKUP(AC$5,feed_intensity_w,11,FALSE)</f>
        <v>0.26240376456725606</v>
      </c>
      <c r="AD36" s="2">
        <f>VLOOKUP($W36,feed_mix_n,MATCH(AD$5,feed_mix_w!$B$5:$AC$5,0),FALSE)/$Z36*VLOOKUP(AD$5,feed_intensity_w,11,FALSE)</f>
        <v>0</v>
      </c>
      <c r="AE36" s="2">
        <f>VLOOKUP($W36,feed_mix_n,MATCH(AE$5,feed_mix_w!$B$5:$AC$5,0),FALSE)/$Z36*VLOOKUP(AE$5,feed_intensity_w,11,FALSE)</f>
        <v>0.26414162911770733</v>
      </c>
      <c r="AF36" s="2">
        <f>VLOOKUP($W36,feed_mix_n,MATCH(AF$5,feed_mix_w!$B$5:$AC$5,0),FALSE)/$Z36*VLOOKUP(AF$5,feed_intensity_w,11,FALSE)</f>
        <v>0.10565665164708292</v>
      </c>
      <c r="AG36" s="2">
        <f>VLOOKUP($W36,feed_mix_n,MATCH(AG$5,feed_mix_w!$B$5:$AC$5,0),FALSE)/$Z36*VLOOKUP(AG$5,feed_intensity_w,11,FALSE)</f>
        <v>0</v>
      </c>
      <c r="AH36" s="2">
        <f>VLOOKUP($W36,feed_mix_n,MATCH(AH$5,feed_mix_w!$B$5:$AC$5,0),FALSE)/$Z36*VLOOKUP(AH$5,feed_intensity_w,11,FALSE)</f>
        <v>0.10565665164708292</v>
      </c>
      <c r="AI36" s="2">
        <f>VLOOKUP($W36,feed_mix_n,MATCH(AI$5,feed_mix_w!$B$5:$AC$5,0),FALSE)/$Z36*VLOOKUP(AI$5,feed_intensity_w,11,FALSE)</f>
        <v>0</v>
      </c>
      <c r="AJ36" s="2">
        <f>VLOOKUP($W36,feed_mix_n,MATCH(AJ$5,feed_mix_w!$B$5:$AC$5,0),FALSE)/$Z36*VLOOKUP(AJ$5,feed_intensity_w,11,FALSE)</f>
        <v>0</v>
      </c>
      <c r="AK36" s="2">
        <f>VLOOKUP($W36,feed_mix_n,MATCH(AK$5,feed_mix_w!$B$5:$AC$5,0),FALSE)/$Z36*VLOOKUP(AK$5,feed_intensity_w,11,FALSE)</f>
        <v>0</v>
      </c>
      <c r="AL36" s="2">
        <f>VLOOKUP($W36,feed_mix_n,MATCH(AL$5,feed_mix_w!$B$5:$AC$5,0),FALSE)/$Z36*VLOOKUP(AL$5,feed_intensity_w,11,FALSE)</f>
        <v>0</v>
      </c>
      <c r="AM36" s="2">
        <f>VLOOKUP($W36,feed_mix_n,MATCH(AM$5,feed_mix_w!$B$5:$AC$5,0),FALSE)/$Z36*VLOOKUP(AM$5,feed_intensity_w,11,FALSE)</f>
        <v>7.2866198568058899E-2</v>
      </c>
      <c r="AN36" s="2">
        <f>VLOOKUP($W36,feed_mix_n,MATCH(AN$5,feed_mix_w!$B$5:$AC$5,0),FALSE)/$Z36*VLOOKUP(AN$5,feed_intensity_w,11,FALSE)</f>
        <v>0</v>
      </c>
      <c r="AO36" s="2">
        <f>VLOOKUP($W36,feed_mix_n,MATCH(AO$5,feed_mix_w!$B$5:$AC$5,0),FALSE)/$Z36*VLOOKUP(AO$5,feed_intensity_w,11,FALSE)</f>
        <v>0</v>
      </c>
      <c r="AP36" s="2">
        <f>VLOOKUP($W36,feed_mix_n,MATCH(AP$5,feed_mix_w!$B$5:$AC$5,0),FALSE)/$Z36*VLOOKUP(AP$5,feed_intensity_w,11,FALSE)</f>
        <v>0</v>
      </c>
      <c r="AQ36" s="2">
        <f>VLOOKUP($W36,feed_mix_n,MATCH(AQ$5,feed_mix_w!$B$5:$AC$5,0),FALSE)/$Z36*VLOOKUP(AQ$5,feed_intensity_w,11,FALSE)</f>
        <v>0</v>
      </c>
      <c r="AR36" s="2">
        <f>VLOOKUP($W36,feed_mix_n,MATCH(AR$5,feed_mix_w!$B$5:$AC$5,0),FALSE)/$Z36*VLOOKUP(AR$5,feed_intensity_w,11,FALSE)</f>
        <v>0.10076255883678004</v>
      </c>
      <c r="AS36" s="389">
        <f>VLOOKUP($W36,feed_mix_n,MATCH(AS$5,feed_mix_w!$B$5:$AC$5,0),FALSE)/$Z36*VLOOKUP(AS$5,feed_intensity_w,11,FALSE)</f>
        <v>0</v>
      </c>
    </row>
    <row r="37" spans="1:45" ht="12.5">
      <c r="A37" s="14" t="s">
        <v>7133</v>
      </c>
      <c r="B37" s="482">
        <v>900</v>
      </c>
      <c r="C37" s="24" t="s">
        <v>1695</v>
      </c>
      <c r="D37" s="513">
        <v>7774</v>
      </c>
      <c r="E37" s="513">
        <v>52379</v>
      </c>
      <c r="F37" s="25">
        <f t="shared" si="0"/>
        <v>7774</v>
      </c>
      <c r="G37" s="25">
        <f t="shared" si="1"/>
        <v>52379</v>
      </c>
      <c r="H37" s="2">
        <f t="shared" si="2"/>
        <v>0.30375739942157876</v>
      </c>
      <c r="I37" s="25">
        <f t="shared" si="3"/>
        <v>2361.4100231033531</v>
      </c>
      <c r="J37" s="87">
        <f>IFERROR(G37*VLOOKUP(W37,livestock_intensity!$B$7:$I$29,8,FALSE)/Z37,0)</f>
        <v>14508.807070148465</v>
      </c>
      <c r="K37" s="2">
        <f>VLOOKUP($W37,feed_mix_n,MATCH(K$5,feed_mix_w!$B$5:$AC$5,0),FALSE)/$Z37*VLOOKUP(K$5,feed_intensity_w,11,FALSE)</f>
        <v>0</v>
      </c>
      <c r="L37" s="25">
        <f t="shared" si="4"/>
        <v>0</v>
      </c>
      <c r="M37" s="25">
        <f>IFERROR(G37*VLOOKUP(W37,livestock_intensity!$B$7:$M$29,12,FALSE)/Z37,0)</f>
        <v>0</v>
      </c>
      <c r="N37" s="2">
        <f>VLOOKUP($W37,feed_mix_n,MATCH(N$5,feed_mix_w!$B$5:$AC$5,0),FALSE)/$Z37*VLOOKUP(N$5,feed_intensity_w,11,FALSE)</f>
        <v>0.5692239136657643</v>
      </c>
      <c r="O37" s="25">
        <f t="shared" si="5"/>
        <v>4425.1467048376517</v>
      </c>
      <c r="P37" s="343">
        <f>IFERROR(G37*VLOOKUP(W37,livestock_intensity!$B$7:$Q$29,16,FALSE)/Z37,0)</f>
        <v>14152.793666652198</v>
      </c>
      <c r="Q37" s="758"/>
      <c r="R37" s="331">
        <f t="shared" si="6"/>
        <v>6786.5567279410043</v>
      </c>
      <c r="S37" s="331">
        <f t="shared" si="7"/>
        <v>28661.600736800661</v>
      </c>
      <c r="T37" s="739" t="s">
        <v>2738</v>
      </c>
      <c r="U37" s="558" t="s">
        <v>2796</v>
      </c>
      <c r="V37" s="559" t="str">
        <f>IFERROR(VLOOKUP(W37,constant_ag_extr!$D$7:$E$594,2,FALSE),"")</f>
        <v>Cow milk, whole, fresh</v>
      </c>
      <c r="W37" s="560">
        <f t="shared" si="8"/>
        <v>882</v>
      </c>
      <c r="X37" s="2">
        <f>IFERROR(IF(VLOOKUP(B37,cnst_grazing!$C$10:$H$25,5,FALSE)="", IF(VLOOKUP(B37, cnst_grazing!$C$10:$H$25,3,FALSE)="", VLOOKUP(B37, cnst_grazing!$C$10:$H$25,4,FALSE),VLOOKUP(B37, cnst_grazing!$C$10:$H$25,3,FALSE)), VLOOKUP(B37,cnst_grazing!$C$10:$H$25,5,FALSE)),1)</f>
        <v>1</v>
      </c>
      <c r="Y37" s="2">
        <f>IFERROR(IF(VLOOKUP(B37,cnst_grazing!$C$10:$H$25,6,FALSE)="", IF(VLOOKUP(B37, cnst_grazing!$C$10:$H$25,4,FALSE)="", VLOOKUP(B37, cnst_grazing!$C$10:$H$25,3,FALSE),VLOOKUP(B37, cnst_grazing!$C$10:$H$25,4,FALSE)), VLOOKUP(B37,cnst_grazing!$C$10:$H$25,6,FALSE)),1)</f>
        <v>1</v>
      </c>
      <c r="Z37" s="400">
        <f t="shared" si="9"/>
        <v>0.62390929384943605</v>
      </c>
      <c r="AA37" s="2">
        <f t="shared" si="10"/>
        <v>0.87298131308734306</v>
      </c>
      <c r="AB37" s="2">
        <f>VLOOKUP($W37,feed_mix_n,MATCH(AB$5,feed_mix_w!$B$5:$AC$5,0),FALSE)/$Z37*VLOOKUP(AB$5,feed_intensity_w,11,FALSE)</f>
        <v>6.8828533000614894E-2</v>
      </c>
      <c r="AC37" s="2">
        <f>VLOOKUP($W37,feed_mix_n,MATCH(AC$5,feed_mix_w!$B$5:$AC$5,0),FALSE)/$Z37*VLOOKUP(AC$5,feed_intensity_w,11,FALSE)</f>
        <v>6.7632547938954096E-2</v>
      </c>
      <c r="AD37" s="2">
        <f>VLOOKUP($W37,feed_mix_n,MATCH(AD$5,feed_mix_w!$B$5:$AC$5,0),FALSE)/$Z37*VLOOKUP(AD$5,feed_intensity_w,11,FALSE)</f>
        <v>0</v>
      </c>
      <c r="AE37" s="2">
        <f>VLOOKUP($W37,feed_mix_n,MATCH(AE$5,feed_mix_w!$B$5:$AC$5,0),FALSE)/$Z37*VLOOKUP(AE$5,feed_intensity_w,11,FALSE)</f>
        <v>6.8080469132895949E-2</v>
      </c>
      <c r="AF37" s="2">
        <f>VLOOKUP($W37,feed_mix_n,MATCH(AF$5,feed_mix_w!$B$5:$AC$5,0),FALSE)/$Z37*VLOOKUP(AF$5,feed_intensity_w,11,FALSE)</f>
        <v>2.723218765315838E-2</v>
      </c>
      <c r="AG37" s="2">
        <f>VLOOKUP($W37,feed_mix_n,MATCH(AG$5,feed_mix_w!$B$5:$AC$5,0),FALSE)/$Z37*VLOOKUP(AG$5,feed_intensity_w,11,FALSE)</f>
        <v>0</v>
      </c>
      <c r="AH37" s="2">
        <f>VLOOKUP($W37,feed_mix_n,MATCH(AH$5,feed_mix_w!$B$5:$AC$5,0),FALSE)/$Z37*VLOOKUP(AH$5,feed_intensity_w,11,FALSE)</f>
        <v>2.723218765315838E-2</v>
      </c>
      <c r="AI37" s="2">
        <f>VLOOKUP($W37,feed_mix_n,MATCH(AI$5,feed_mix_w!$B$5:$AC$5,0),FALSE)/$Z37*VLOOKUP(AI$5,feed_intensity_w,11,FALSE)</f>
        <v>0</v>
      </c>
      <c r="AJ37" s="2">
        <f>VLOOKUP($W37,feed_mix_n,MATCH(AJ$5,feed_mix_w!$B$5:$AC$5,0),FALSE)/$Z37*VLOOKUP(AJ$5,feed_intensity_w,11,FALSE)</f>
        <v>0</v>
      </c>
      <c r="AK37" s="2">
        <f>VLOOKUP($W37,feed_mix_n,MATCH(AK$5,feed_mix_w!$B$5:$AC$5,0),FALSE)/$Z37*VLOOKUP(AK$5,feed_intensity_w,11,FALSE)</f>
        <v>0</v>
      </c>
      <c r="AL37" s="2">
        <f>VLOOKUP($W37,feed_mix_n,MATCH(AL$5,feed_mix_w!$B$5:$AC$5,0),FALSE)/$Z37*VLOOKUP(AL$5,feed_intensity_w,11,FALSE)</f>
        <v>0</v>
      </c>
      <c r="AM37" s="2">
        <f>VLOOKUP($W37,feed_mix_n,MATCH(AM$5,feed_mix_w!$B$5:$AC$5,0),FALSE)/$Z37*VLOOKUP(AM$5,feed_intensity_w,11,FALSE)</f>
        <v>1.8780701092115909E-2</v>
      </c>
      <c r="AN37" s="2">
        <f>VLOOKUP($W37,feed_mix_n,MATCH(AN$5,feed_mix_w!$B$5:$AC$5,0),FALSE)/$Z37*VLOOKUP(AN$5,feed_intensity_w,11,FALSE)</f>
        <v>0</v>
      </c>
      <c r="AO37" s="2">
        <f>VLOOKUP($W37,feed_mix_n,MATCH(AO$5,feed_mix_w!$B$5:$AC$5,0),FALSE)/$Z37*VLOOKUP(AO$5,feed_intensity_w,11,FALSE)</f>
        <v>0</v>
      </c>
      <c r="AP37" s="2">
        <f>VLOOKUP($W37,feed_mix_n,MATCH(AP$5,feed_mix_w!$B$5:$AC$5,0),FALSE)/$Z37*VLOOKUP(AP$5,feed_intensity_w,11,FALSE)</f>
        <v>0</v>
      </c>
      <c r="AQ37" s="2">
        <f>VLOOKUP($W37,feed_mix_n,MATCH(AQ$5,feed_mix_w!$B$5:$AC$5,0),FALSE)/$Z37*VLOOKUP(AQ$5,feed_intensity_w,11,FALSE)</f>
        <v>0</v>
      </c>
      <c r="AR37" s="2">
        <f>VLOOKUP($W37,feed_mix_n,MATCH(AR$5,feed_mix_w!$B$5:$AC$5,0),FALSE)/$Z37*VLOOKUP(AR$5,feed_intensity_w,11,FALSE)</f>
        <v>2.5970772950681183E-2</v>
      </c>
      <c r="AS37" s="389">
        <f>VLOOKUP($W37,feed_mix_n,MATCH(AS$5,feed_mix_w!$B$5:$AC$5,0),FALSE)/$Z37*VLOOKUP(AS$5,feed_intensity_w,11,FALSE)</f>
        <v>0</v>
      </c>
    </row>
    <row r="38" spans="1:45" ht="12.5">
      <c r="A38" s="14" t="s">
        <v>7134</v>
      </c>
      <c r="B38" s="482">
        <v>901</v>
      </c>
      <c r="C38" s="24" t="s">
        <v>4550</v>
      </c>
      <c r="D38" s="513">
        <v>29200</v>
      </c>
      <c r="E38" s="513">
        <v>7286</v>
      </c>
      <c r="F38" s="25">
        <f t="shared" si="0"/>
        <v>29200</v>
      </c>
      <c r="G38" s="25">
        <f t="shared" si="1"/>
        <v>7286</v>
      </c>
      <c r="H38" s="2">
        <f t="shared" si="2"/>
        <v>1.263447097164389</v>
      </c>
      <c r="I38" s="25">
        <f t="shared" si="3"/>
        <v>36892.655237200161</v>
      </c>
      <c r="J38" s="87">
        <f>IFERROR(G38*VLOOKUP(W38,livestock_intensity!$B$7:$I$29,8,FALSE)/Z38,0)</f>
        <v>8394.4812964771099</v>
      </c>
      <c r="K38" s="2">
        <f>VLOOKUP($W38,feed_mix_n,MATCH(K$5,feed_mix_w!$B$5:$AC$5,0),FALSE)/$Z38*VLOOKUP(K$5,feed_intensity_w,11,FALSE)</f>
        <v>0</v>
      </c>
      <c r="L38" s="25">
        <f t="shared" si="4"/>
        <v>0</v>
      </c>
      <c r="M38" s="25">
        <f>IFERROR(G38*VLOOKUP(W38,livestock_intensity!$B$7:$M$29,12,FALSE)/Z38,0)</f>
        <v>0</v>
      </c>
      <c r="N38" s="2">
        <f>VLOOKUP($W38,feed_mix_n,MATCH(N$5,feed_mix_w!$B$5:$AC$5,0),FALSE)/$Z38*VLOOKUP(N$5,feed_intensity_w,11,FALSE)</f>
        <v>2.367627266782796</v>
      </c>
      <c r="O38" s="25">
        <f t="shared" si="5"/>
        <v>69134.716190057647</v>
      </c>
      <c r="P38" s="343">
        <f>IFERROR(G38*VLOOKUP(W38,livestock_intensity!$B$7:$Q$29,16,FALSE)/Z38,0)</f>
        <v>8188.4996577045167</v>
      </c>
      <c r="Q38" s="758"/>
      <c r="R38" s="331">
        <f t="shared" si="6"/>
        <v>106027.37142725781</v>
      </c>
      <c r="S38" s="331">
        <f t="shared" si="7"/>
        <v>16582.980954181628</v>
      </c>
      <c r="T38" s="739">
        <v>2741</v>
      </c>
      <c r="U38" s="558" t="s">
        <v>2796</v>
      </c>
      <c r="V38" s="559" t="str">
        <f>IFERROR(VLOOKUP(W38,constant_ag_extr!$D$7:$E$594,2,FALSE),"")</f>
        <v>Cow milk, whole, fresh</v>
      </c>
      <c r="W38" s="560">
        <f t="shared" si="8"/>
        <v>882</v>
      </c>
      <c r="X38" s="2">
        <f>IFERROR(IF(VLOOKUP(B38,cnst_grazing!$C$10:$H$25,5,FALSE)="", IF(VLOOKUP(B38, cnst_grazing!$C$10:$H$25,3,FALSE)="", VLOOKUP(B38, cnst_grazing!$C$10:$H$25,4,FALSE),VLOOKUP(B38, cnst_grazing!$C$10:$H$25,3,FALSE)), VLOOKUP(B38,cnst_grazing!$C$10:$H$25,5,FALSE)),1)</f>
        <v>1</v>
      </c>
      <c r="Y38" s="2">
        <f>IFERROR(IF(VLOOKUP(B38,cnst_grazing!$C$10:$H$25,6,FALSE)="", IF(VLOOKUP(B38, cnst_grazing!$C$10:$H$25,4,FALSE)="", VLOOKUP(B38, cnst_grazing!$C$10:$H$25,3,FALSE),VLOOKUP(B38, cnst_grazing!$C$10:$H$25,4,FALSE)), VLOOKUP(B38,cnst_grazing!$C$10:$H$25,6,FALSE)),1)</f>
        <v>1</v>
      </c>
      <c r="Z38" s="400">
        <f t="shared" si="9"/>
        <v>0.15</v>
      </c>
      <c r="AA38" s="2">
        <f t="shared" si="10"/>
        <v>3.6310743639471852</v>
      </c>
      <c r="AB38" s="2">
        <f>VLOOKUP($W38,feed_mix_n,MATCH(AB$5,feed_mix_w!$B$5:$AC$5,0),FALSE)/$Z38*VLOOKUP(AB$5,feed_intensity_w,11,FALSE)</f>
        <v>0.28628507614070836</v>
      </c>
      <c r="AC38" s="2">
        <f>VLOOKUP($W38,feed_mix_n,MATCH(AC$5,feed_mix_w!$B$5:$AC$5,0),FALSE)/$Z38*VLOOKUP(AC$5,feed_intensity_w,11,FALSE)</f>
        <v>0.28131050150553988</v>
      </c>
      <c r="AD38" s="2">
        <f>VLOOKUP($W38,feed_mix_n,MATCH(AD$5,feed_mix_w!$B$5:$AC$5,0),FALSE)/$Z38*VLOOKUP(AD$5,feed_intensity_w,11,FALSE)</f>
        <v>0</v>
      </c>
      <c r="AE38" s="2">
        <f>VLOOKUP($W38,feed_mix_n,MATCH(AE$5,feed_mix_w!$B$5:$AC$5,0),FALSE)/$Z38*VLOOKUP(AE$5,feed_intensity_w,11,FALSE)</f>
        <v>0.28317358281095628</v>
      </c>
      <c r="AF38" s="2">
        <f>VLOOKUP($W38,feed_mix_n,MATCH(AF$5,feed_mix_w!$B$5:$AC$5,0),FALSE)/$Z38*VLOOKUP(AF$5,feed_intensity_w,11,FALSE)</f>
        <v>0.11326943312438251</v>
      </c>
      <c r="AG38" s="2">
        <f>VLOOKUP($W38,feed_mix_n,MATCH(AG$5,feed_mix_w!$B$5:$AC$5,0),FALSE)/$Z38*VLOOKUP(AG$5,feed_intensity_w,11,FALSE)</f>
        <v>0</v>
      </c>
      <c r="AH38" s="2">
        <f>VLOOKUP($W38,feed_mix_n,MATCH(AH$5,feed_mix_w!$B$5:$AC$5,0),FALSE)/$Z38*VLOOKUP(AH$5,feed_intensity_w,11,FALSE)</f>
        <v>0.11326943312438251</v>
      </c>
      <c r="AI38" s="2">
        <f>VLOOKUP($W38,feed_mix_n,MATCH(AI$5,feed_mix_w!$B$5:$AC$5,0),FALSE)/$Z38*VLOOKUP(AI$5,feed_intensity_w,11,FALSE)</f>
        <v>0</v>
      </c>
      <c r="AJ38" s="2">
        <f>VLOOKUP($W38,feed_mix_n,MATCH(AJ$5,feed_mix_w!$B$5:$AC$5,0),FALSE)/$Z38*VLOOKUP(AJ$5,feed_intensity_w,11,FALSE)</f>
        <v>0</v>
      </c>
      <c r="AK38" s="2">
        <f>VLOOKUP($W38,feed_mix_n,MATCH(AK$5,feed_mix_w!$B$5:$AC$5,0),FALSE)/$Z38*VLOOKUP(AK$5,feed_intensity_w,11,FALSE)</f>
        <v>0</v>
      </c>
      <c r="AL38" s="2">
        <f>VLOOKUP($W38,feed_mix_n,MATCH(AL$5,feed_mix_w!$B$5:$AC$5,0),FALSE)/$Z38*VLOOKUP(AL$5,feed_intensity_w,11,FALSE)</f>
        <v>0</v>
      </c>
      <c r="AM38" s="2">
        <f>VLOOKUP($W38,feed_mix_n,MATCH(AM$5,feed_mix_w!$B$5:$AC$5,0),FALSE)/$Z38*VLOOKUP(AM$5,feed_intensity_w,11,FALSE)</f>
        <v>7.8116359709195796E-2</v>
      </c>
      <c r="AN38" s="2">
        <f>VLOOKUP($W38,feed_mix_n,MATCH(AN$5,feed_mix_w!$B$5:$AC$5,0),FALSE)/$Z38*VLOOKUP(AN$5,feed_intensity_w,11,FALSE)</f>
        <v>0</v>
      </c>
      <c r="AO38" s="2">
        <f>VLOOKUP($W38,feed_mix_n,MATCH(AO$5,feed_mix_w!$B$5:$AC$5,0),FALSE)/$Z38*VLOOKUP(AO$5,feed_intensity_w,11,FALSE)</f>
        <v>0</v>
      </c>
      <c r="AP38" s="2">
        <f>VLOOKUP($W38,feed_mix_n,MATCH(AP$5,feed_mix_w!$B$5:$AC$5,0),FALSE)/$Z38*VLOOKUP(AP$5,feed_intensity_w,11,FALSE)</f>
        <v>0</v>
      </c>
      <c r="AQ38" s="2">
        <f>VLOOKUP($W38,feed_mix_n,MATCH(AQ$5,feed_mix_w!$B$5:$AC$5,0),FALSE)/$Z38*VLOOKUP(AQ$5,feed_intensity_w,11,FALSE)</f>
        <v>0</v>
      </c>
      <c r="AR38" s="2">
        <f>VLOOKUP($W38,feed_mix_n,MATCH(AR$5,feed_mix_w!$B$5:$AC$5,0),FALSE)/$Z38*VLOOKUP(AR$5,feed_intensity_w,11,FALSE)</f>
        <v>0.10802271074922354</v>
      </c>
      <c r="AS38" s="389">
        <f>VLOOKUP($W38,feed_mix_n,MATCH(AS$5,feed_mix_w!$B$5:$AC$5,0),FALSE)/$Z38*VLOOKUP(AS$5,feed_intensity_w,11,FALSE)</f>
        <v>0</v>
      </c>
    </row>
    <row r="39" spans="1:45" ht="12.75" customHeight="1">
      <c r="A39" s="14" t="s">
        <v>5371</v>
      </c>
      <c r="B39" s="482">
        <v>903</v>
      </c>
      <c r="C39" s="24" t="s">
        <v>1211</v>
      </c>
      <c r="D39" s="513"/>
      <c r="E39" s="513"/>
      <c r="F39" s="25">
        <f t="shared" ref="F39:F70" si="11">D39*X39</f>
        <v>0</v>
      </c>
      <c r="G39" s="25">
        <f t="shared" ref="G39:G70" si="12">E39*Y39</f>
        <v>0</v>
      </c>
      <c r="H39" s="2">
        <f t="shared" ref="H39:H70" si="13">SUM(AB39:AP39)+AR39+AS39</f>
        <v>3.0375739942157882E-2</v>
      </c>
      <c r="I39" s="25">
        <f t="shared" ref="I39:I70" si="14">IFERROR(F39*VLOOKUP(B39,livestock_intensity_w,7,FALSE),0)</f>
        <v>0</v>
      </c>
      <c r="J39" s="87">
        <f>IFERROR(G39*VLOOKUP(W39,livestock_intensity!$B$7:$I$29,8,FALSE)/Z39,0)</f>
        <v>0</v>
      </c>
      <c r="K39" s="2">
        <f>VLOOKUP($W39,feed_mix_n,MATCH(K$5,feed_mix_w!$B$5:$AC$5,0),FALSE)/$Z39*VLOOKUP(K$5,feed_intensity_w,11,FALSE)</f>
        <v>0</v>
      </c>
      <c r="L39" s="25">
        <f t="shared" ref="L39:L70" si="15">IFERROR(F39*VLOOKUP($B39,livestock_intensity_w,10,FALSE),0)</f>
        <v>0</v>
      </c>
      <c r="M39" s="25">
        <f>IFERROR(G39*VLOOKUP(W39,livestock_intensity!$B$7:$M$29,12,FALSE)/Z39,0)</f>
        <v>0</v>
      </c>
      <c r="N39" s="2">
        <f>VLOOKUP($W39,feed_mix_n,MATCH(N$5,feed_mix_w!$B$5:$AC$5,0),FALSE)/$Z39*VLOOKUP(N$5,feed_intensity_w,11,FALSE)</f>
        <v>5.6922391366576446E-2</v>
      </c>
      <c r="O39" s="25">
        <f t="shared" ref="O39:O70" si="16">IFERROR(F39*VLOOKUP(B39,livestock_intensity_w,13,FALSE),0)</f>
        <v>0</v>
      </c>
      <c r="P39" s="343">
        <f>IFERROR(G39*VLOOKUP(W39,livestock_intensity!$B$7:$Q$29,16,FALSE)/Z39,0)</f>
        <v>0</v>
      </c>
      <c r="Q39" s="758"/>
      <c r="R39" s="331">
        <f t="shared" ref="R39:R70" si="17">IFERROR(SUM(I39,L39,O39),0)</f>
        <v>0</v>
      </c>
      <c r="S39" s="331">
        <f t="shared" ref="S39:S70" si="18">IFERROR(SUM(J39,M39,P39),0)</f>
        <v>0</v>
      </c>
      <c r="T39" s="739">
        <v>2742</v>
      </c>
      <c r="U39" s="558" t="s">
        <v>2796</v>
      </c>
      <c r="V39" s="559" t="str">
        <f>IFERROR(VLOOKUP(W39,constant_ag_extr!$D$7:$E$594,2,FALSE),"")</f>
        <v>Cow milk, whole, fresh</v>
      </c>
      <c r="W39" s="560">
        <f t="shared" ref="W39:W70" si="19">IFERROR(VLOOKUP(B39,constant_ag_extr,3,FALSE),"")</f>
        <v>882</v>
      </c>
      <c r="X39" s="2">
        <f>IFERROR(IF(VLOOKUP(B39,cnst_grazing!$C$10:$H$25,5,FALSE)="", IF(VLOOKUP(B39, cnst_grazing!$C$10:$H$25,3,FALSE)="", VLOOKUP(B39, cnst_grazing!$C$10:$H$25,4,FALSE),VLOOKUP(B39, cnst_grazing!$C$10:$H$25,3,FALSE)), VLOOKUP(B39,cnst_grazing!$C$10:$H$25,5,FALSE)),1)</f>
        <v>1</v>
      </c>
      <c r="Y39" s="2">
        <f>IFERROR(IF(VLOOKUP(B39,cnst_grazing!$C$10:$H$25,6,FALSE)="", IF(VLOOKUP(B39, cnst_grazing!$C$10:$H$25,4,FALSE)="", VLOOKUP(B39, cnst_grazing!$C$10:$H$25,3,FALSE),VLOOKUP(B39, cnst_grazing!$C$10:$H$25,4,FALSE)), VLOOKUP(B39,cnst_grazing!$C$10:$H$25,6,FALSE)),1)</f>
        <v>1</v>
      </c>
      <c r="Z39" s="400">
        <f t="shared" ref="Z39:Z70" si="20">IFERROR(VLOOKUP(B39,constant_ag_extr,14,FALSE),"-")</f>
        <v>6.2390929384943599</v>
      </c>
      <c r="AA39" s="2">
        <f t="shared" ref="AA39:AA70" si="21">H39+N39</f>
        <v>8.7298131308734331E-2</v>
      </c>
      <c r="AB39" s="2">
        <f>VLOOKUP($W39,feed_mix_n,MATCH(AB$5,feed_mix_w!$B$5:$AC$5,0),FALSE)/$Z39*VLOOKUP(AB$5,feed_intensity_w,11,FALSE)</f>
        <v>6.8828533000614908E-3</v>
      </c>
      <c r="AC39" s="2">
        <f>VLOOKUP($W39,feed_mix_n,MATCH(AC$5,feed_mix_w!$B$5:$AC$5,0),FALSE)/$Z39*VLOOKUP(AC$5,feed_intensity_w,11,FALSE)</f>
        <v>6.7632547938954101E-3</v>
      </c>
      <c r="AD39" s="2">
        <f>VLOOKUP($W39,feed_mix_n,MATCH(AD$5,feed_mix_w!$B$5:$AC$5,0),FALSE)/$Z39*VLOOKUP(AD$5,feed_intensity_w,11,FALSE)</f>
        <v>0</v>
      </c>
      <c r="AE39" s="2">
        <f>VLOOKUP($W39,feed_mix_n,MATCH(AE$5,feed_mix_w!$B$5:$AC$5,0),FALSE)/$Z39*VLOOKUP(AE$5,feed_intensity_w,11,FALSE)</f>
        <v>6.8080469132895957E-3</v>
      </c>
      <c r="AF39" s="2">
        <f>VLOOKUP($W39,feed_mix_n,MATCH(AF$5,feed_mix_w!$B$5:$AC$5,0),FALSE)/$Z39*VLOOKUP(AF$5,feed_intensity_w,11,FALSE)</f>
        <v>2.723218765315838E-3</v>
      </c>
      <c r="AG39" s="2">
        <f>VLOOKUP($W39,feed_mix_n,MATCH(AG$5,feed_mix_w!$B$5:$AC$5,0),FALSE)/$Z39*VLOOKUP(AG$5,feed_intensity_w,11,FALSE)</f>
        <v>0</v>
      </c>
      <c r="AH39" s="2">
        <f>VLOOKUP($W39,feed_mix_n,MATCH(AH$5,feed_mix_w!$B$5:$AC$5,0),FALSE)/$Z39*VLOOKUP(AH$5,feed_intensity_w,11,FALSE)</f>
        <v>2.723218765315838E-3</v>
      </c>
      <c r="AI39" s="2">
        <f>VLOOKUP($W39,feed_mix_n,MATCH(AI$5,feed_mix_w!$B$5:$AC$5,0),FALSE)/$Z39*VLOOKUP(AI$5,feed_intensity_w,11,FALSE)</f>
        <v>0</v>
      </c>
      <c r="AJ39" s="2">
        <f>VLOOKUP($W39,feed_mix_n,MATCH(AJ$5,feed_mix_w!$B$5:$AC$5,0),FALSE)/$Z39*VLOOKUP(AJ$5,feed_intensity_w,11,FALSE)</f>
        <v>0</v>
      </c>
      <c r="AK39" s="2">
        <f>VLOOKUP($W39,feed_mix_n,MATCH(AK$5,feed_mix_w!$B$5:$AC$5,0),FALSE)/$Z39*VLOOKUP(AK$5,feed_intensity_w,11,FALSE)</f>
        <v>0</v>
      </c>
      <c r="AL39" s="2">
        <f>VLOOKUP($W39,feed_mix_n,MATCH(AL$5,feed_mix_w!$B$5:$AC$5,0),FALSE)/$Z39*VLOOKUP(AL$5,feed_intensity_w,11,FALSE)</f>
        <v>0</v>
      </c>
      <c r="AM39" s="2">
        <f>VLOOKUP($W39,feed_mix_n,MATCH(AM$5,feed_mix_w!$B$5:$AC$5,0),FALSE)/$Z39*VLOOKUP(AM$5,feed_intensity_w,11,FALSE)</f>
        <v>1.8780701092115909E-3</v>
      </c>
      <c r="AN39" s="2">
        <f>VLOOKUP($W39,feed_mix_n,MATCH(AN$5,feed_mix_w!$B$5:$AC$5,0),FALSE)/$Z39*VLOOKUP(AN$5,feed_intensity_w,11,FALSE)</f>
        <v>0</v>
      </c>
      <c r="AO39" s="2">
        <f>VLOOKUP($W39,feed_mix_n,MATCH(AO$5,feed_mix_w!$B$5:$AC$5,0),FALSE)/$Z39*VLOOKUP(AO$5,feed_intensity_w,11,FALSE)</f>
        <v>0</v>
      </c>
      <c r="AP39" s="2">
        <f>VLOOKUP($W39,feed_mix_n,MATCH(AP$5,feed_mix_w!$B$5:$AC$5,0),FALSE)/$Z39*VLOOKUP(AP$5,feed_intensity_w,11,FALSE)</f>
        <v>0</v>
      </c>
      <c r="AQ39" s="2">
        <f>VLOOKUP($W39,feed_mix_n,MATCH(AQ$5,feed_mix_w!$B$5:$AC$5,0),FALSE)/$Z39*VLOOKUP(AQ$5,feed_intensity_w,11,FALSE)</f>
        <v>0</v>
      </c>
      <c r="AR39" s="2">
        <f>VLOOKUP($W39,feed_mix_n,MATCH(AR$5,feed_mix_w!$B$5:$AC$5,0),FALSE)/$Z39*VLOOKUP(AR$5,feed_intensity_w,11,FALSE)</f>
        <v>2.5970772950681185E-3</v>
      </c>
      <c r="AS39" s="389">
        <f>VLOOKUP($W39,feed_mix_n,MATCH(AS$5,feed_mix_w!$B$5:$AC$5,0),FALSE)/$Z39*VLOOKUP(AS$5,feed_intensity_w,11,FALSE)</f>
        <v>0</v>
      </c>
    </row>
    <row r="40" spans="1:45" ht="12.75" customHeight="1">
      <c r="A40" s="14" t="s">
        <v>4547</v>
      </c>
      <c r="B40" s="482">
        <v>904</v>
      </c>
      <c r="C40" s="24" t="s">
        <v>4548</v>
      </c>
      <c r="D40" s="513"/>
      <c r="E40" s="513"/>
      <c r="F40" s="25">
        <f t="shared" si="11"/>
        <v>0</v>
      </c>
      <c r="G40" s="25">
        <f t="shared" si="12"/>
        <v>0</v>
      </c>
      <c r="H40" s="2">
        <f t="shared" si="13"/>
        <v>0.51129870301419589</v>
      </c>
      <c r="I40" s="25">
        <f t="shared" si="14"/>
        <v>0</v>
      </c>
      <c r="J40" s="87">
        <f>IFERROR(G40*VLOOKUP(W40,livestock_intensity!$B$7:$I$29,8,FALSE)/Z40,0)</f>
        <v>0</v>
      </c>
      <c r="K40" s="2">
        <f>VLOOKUP($W40,feed_mix_n,MATCH(K$5,feed_mix_w!$B$5:$AC$5,0),FALSE)/$Z40*VLOOKUP(K$5,feed_intensity_w,11,FALSE)</f>
        <v>0</v>
      </c>
      <c r="L40" s="25">
        <f t="shared" si="15"/>
        <v>0</v>
      </c>
      <c r="M40" s="25">
        <f>IFERROR(G40*VLOOKUP(W40,livestock_intensity!$B$7:$M$29,12,FALSE)/Z40,0)</f>
        <v>0</v>
      </c>
      <c r="N40" s="2">
        <f>VLOOKUP($W40,feed_mix_n,MATCH(N$5,feed_mix_w!$B$5:$AC$5,0),FALSE)/$Z40*VLOOKUP(N$5,feed_intensity_w,11,FALSE)</f>
        <v>0.9581443919923629</v>
      </c>
      <c r="O40" s="25">
        <f t="shared" si="16"/>
        <v>0</v>
      </c>
      <c r="P40" s="343">
        <f>IFERROR(G40*VLOOKUP(W40,livestock_intensity!$B$7:$Q$29,16,FALSE)/Z40,0)</f>
        <v>0</v>
      </c>
      <c r="Q40" s="758"/>
      <c r="R40" s="331">
        <f t="shared" si="17"/>
        <v>0</v>
      </c>
      <c r="S40" s="331">
        <f t="shared" si="18"/>
        <v>0</v>
      </c>
      <c r="T40" s="739">
        <v>2741</v>
      </c>
      <c r="U40" s="558" t="s">
        <v>2796</v>
      </c>
      <c r="V40" s="559" t="str">
        <f>IFERROR(VLOOKUP(W40,constant_ag_extr!$D$7:$E$594,2,FALSE),"")</f>
        <v>Cow milk, whole, fresh</v>
      </c>
      <c r="W40" s="560">
        <f t="shared" si="19"/>
        <v>882</v>
      </c>
      <c r="X40" s="2">
        <f>IFERROR(IF(VLOOKUP(B40,cnst_grazing!$C$10:$H$25,5,FALSE)="", IF(VLOOKUP(B40, cnst_grazing!$C$10:$H$25,3,FALSE)="", VLOOKUP(B40, cnst_grazing!$C$10:$H$25,4,FALSE),VLOOKUP(B40, cnst_grazing!$C$10:$H$25,3,FALSE)), VLOOKUP(B40,cnst_grazing!$C$10:$H$25,5,FALSE)),1)</f>
        <v>1</v>
      </c>
      <c r="Y40" s="2">
        <f>IFERROR(IF(VLOOKUP(B40,cnst_grazing!$C$10:$H$25,6,FALSE)="", IF(VLOOKUP(B40, cnst_grazing!$C$10:$H$25,4,FALSE)="", VLOOKUP(B40, cnst_grazing!$C$10:$H$25,3,FALSE),VLOOKUP(B40, cnst_grazing!$C$10:$H$25,4,FALSE)), VLOOKUP(B40,cnst_grazing!$C$10:$H$25,6,FALSE)),1)</f>
        <v>1</v>
      </c>
      <c r="Z40" s="400">
        <f t="shared" si="20"/>
        <v>0.3706582149679275</v>
      </c>
      <c r="AA40" s="2">
        <f t="shared" si="21"/>
        <v>1.4694430950065587</v>
      </c>
      <c r="AB40" s="2">
        <f>VLOOKUP($W40,feed_mix_n,MATCH(AB$5,feed_mix_w!$B$5:$AC$5,0),FALSE)/$Z40*VLOOKUP(AB$5,feed_intensity_w,11,FALSE)</f>
        <v>0.11585541527744643</v>
      </c>
      <c r="AC40" s="2">
        <f>VLOOKUP($W40,feed_mix_n,MATCH(AC$5,feed_mix_w!$B$5:$AC$5,0),FALSE)/$Z40*VLOOKUP(AC$5,feed_intensity_w,11,FALSE)</f>
        <v>0.11384227712174728</v>
      </c>
      <c r="AD40" s="2">
        <f>VLOOKUP($W40,feed_mix_n,MATCH(AD$5,feed_mix_w!$B$5:$AC$5,0),FALSE)/$Z40*VLOOKUP(AD$5,feed_intensity_w,11,FALSE)</f>
        <v>0</v>
      </c>
      <c r="AE40" s="2">
        <f>VLOOKUP($W40,feed_mix_n,MATCH(AE$5,feed_mix_w!$B$5:$AC$5,0),FALSE)/$Z40*VLOOKUP(AE$5,feed_intensity_w,11,FALSE)</f>
        <v>0.11459623908596989</v>
      </c>
      <c r="AF40" s="2">
        <f>VLOOKUP($W40,feed_mix_n,MATCH(AF$5,feed_mix_w!$B$5:$AC$5,0),FALSE)/$Z40*VLOOKUP(AF$5,feed_intensity_w,11,FALSE)</f>
        <v>4.5838495634387952E-2</v>
      </c>
      <c r="AG40" s="2">
        <f>VLOOKUP($W40,feed_mix_n,MATCH(AG$5,feed_mix_w!$B$5:$AC$5,0),FALSE)/$Z40*VLOOKUP(AG$5,feed_intensity_w,11,FALSE)</f>
        <v>0</v>
      </c>
      <c r="AH40" s="2">
        <f>VLOOKUP($W40,feed_mix_n,MATCH(AH$5,feed_mix_w!$B$5:$AC$5,0),FALSE)/$Z40*VLOOKUP(AH$5,feed_intensity_w,11,FALSE)</f>
        <v>4.5838495634387952E-2</v>
      </c>
      <c r="AI40" s="2">
        <f>VLOOKUP($W40,feed_mix_n,MATCH(AI$5,feed_mix_w!$B$5:$AC$5,0),FALSE)/$Z40*VLOOKUP(AI$5,feed_intensity_w,11,FALSE)</f>
        <v>0</v>
      </c>
      <c r="AJ40" s="2">
        <f>VLOOKUP($W40,feed_mix_n,MATCH(AJ$5,feed_mix_w!$B$5:$AC$5,0),FALSE)/$Z40*VLOOKUP(AJ$5,feed_intensity_w,11,FALSE)</f>
        <v>0</v>
      </c>
      <c r="AK40" s="2">
        <f>VLOOKUP($W40,feed_mix_n,MATCH(AK$5,feed_mix_w!$B$5:$AC$5,0),FALSE)/$Z40*VLOOKUP(AK$5,feed_intensity_w,11,FALSE)</f>
        <v>0</v>
      </c>
      <c r="AL40" s="2">
        <f>VLOOKUP($W40,feed_mix_n,MATCH(AL$5,feed_mix_w!$B$5:$AC$5,0),FALSE)/$Z40*VLOOKUP(AL$5,feed_intensity_w,11,FALSE)</f>
        <v>0</v>
      </c>
      <c r="AM40" s="2">
        <f>VLOOKUP($W40,feed_mix_n,MATCH(AM$5,feed_mix_w!$B$5:$AC$5,0),FALSE)/$Z40*VLOOKUP(AM$5,feed_intensity_w,11,FALSE)</f>
        <v>3.1612557022089101E-2</v>
      </c>
      <c r="AN40" s="2">
        <f>VLOOKUP($W40,feed_mix_n,MATCH(AN$5,feed_mix_w!$B$5:$AC$5,0),FALSE)/$Z40*VLOOKUP(AN$5,feed_intensity_w,11,FALSE)</f>
        <v>0</v>
      </c>
      <c r="AO40" s="2">
        <f>VLOOKUP($W40,feed_mix_n,MATCH(AO$5,feed_mix_w!$B$5:$AC$5,0),FALSE)/$Z40*VLOOKUP(AO$5,feed_intensity_w,11,FALSE)</f>
        <v>0</v>
      </c>
      <c r="AP40" s="2">
        <f>VLOOKUP($W40,feed_mix_n,MATCH(AP$5,feed_mix_w!$B$5:$AC$5,0),FALSE)/$Z40*VLOOKUP(AP$5,feed_intensity_w,11,FALSE)</f>
        <v>0</v>
      </c>
      <c r="AQ40" s="2">
        <f>VLOOKUP($W40,feed_mix_n,MATCH(AQ$5,feed_mix_w!$B$5:$AC$5,0),FALSE)/$Z40*VLOOKUP(AQ$5,feed_intensity_w,11,FALSE)</f>
        <v>0</v>
      </c>
      <c r="AR40" s="2">
        <f>VLOOKUP($W40,feed_mix_n,MATCH(AR$5,feed_mix_w!$B$5:$AC$5,0),FALSE)/$Z40*VLOOKUP(AR$5,feed_intensity_w,11,FALSE)</f>
        <v>4.371522323816724E-2</v>
      </c>
      <c r="AS40" s="389">
        <f>VLOOKUP($W40,feed_mix_n,MATCH(AS$5,feed_mix_w!$B$5:$AC$5,0),FALSE)/$Z40*VLOOKUP(AS$5,feed_intensity_w,11,FALSE)</f>
        <v>0</v>
      </c>
    </row>
    <row r="41" spans="1:45" ht="12.75" customHeight="1">
      <c r="A41" s="14" t="s">
        <v>269</v>
      </c>
      <c r="B41" s="482">
        <v>905</v>
      </c>
      <c r="C41" s="24" t="s">
        <v>1694</v>
      </c>
      <c r="D41" s="513"/>
      <c r="E41" s="513"/>
      <c r="F41" s="25">
        <f t="shared" si="11"/>
        <v>0</v>
      </c>
      <c r="G41" s="25">
        <f t="shared" si="12"/>
        <v>0</v>
      </c>
      <c r="H41" s="2">
        <f t="shared" si="13"/>
        <v>0.20250493294771924</v>
      </c>
      <c r="I41" s="25">
        <f t="shared" si="14"/>
        <v>0</v>
      </c>
      <c r="J41" s="87">
        <f>IFERROR(G41*VLOOKUP(W41,livestock_intensity!$B$7:$I$29,8,FALSE)/Z41,0)</f>
        <v>0</v>
      </c>
      <c r="K41" s="2">
        <f>VLOOKUP($W41,feed_mix_n,MATCH(K$5,feed_mix_w!$B$5:$AC$5,0),FALSE)/$Z41*VLOOKUP(K$5,feed_intensity_w,11,FALSE)</f>
        <v>0</v>
      </c>
      <c r="L41" s="25">
        <f t="shared" si="15"/>
        <v>0</v>
      </c>
      <c r="M41" s="25">
        <f>IFERROR(G41*VLOOKUP(W41,livestock_intensity!$B$7:$M$29,12,FALSE)/Z41,0)</f>
        <v>0</v>
      </c>
      <c r="N41" s="2">
        <f>VLOOKUP($W41,feed_mix_n,MATCH(N$5,feed_mix_w!$B$5:$AC$5,0),FALSE)/$Z41*VLOOKUP(N$5,feed_intensity_w,11,FALSE)</f>
        <v>0.37948260911050963</v>
      </c>
      <c r="O41" s="25">
        <f t="shared" si="16"/>
        <v>0</v>
      </c>
      <c r="P41" s="343">
        <f>IFERROR(G41*VLOOKUP(W41,livestock_intensity!$B$7:$Q$29,16,FALSE)/Z41,0)</f>
        <v>0</v>
      </c>
      <c r="Q41" s="758"/>
      <c r="R41" s="331">
        <f t="shared" si="17"/>
        <v>0</v>
      </c>
      <c r="S41" s="331">
        <f t="shared" si="18"/>
        <v>0</v>
      </c>
      <c r="T41" s="739">
        <v>2741</v>
      </c>
      <c r="U41" s="558" t="s">
        <v>2796</v>
      </c>
      <c r="V41" s="559" t="str">
        <f>IFERROR(VLOOKUP(W41,constant_ag_extr!$D$7:$E$594,2,FALSE),"")</f>
        <v>Cow milk, whole, fresh</v>
      </c>
      <c r="W41" s="560">
        <f t="shared" si="19"/>
        <v>882</v>
      </c>
      <c r="X41" s="2">
        <f>IFERROR(IF(VLOOKUP(B41,cnst_grazing!$C$10:$H$25,5,FALSE)="", IF(VLOOKUP(B41, cnst_grazing!$C$10:$H$25,3,FALSE)="", VLOOKUP(B41, cnst_grazing!$C$10:$H$25,4,FALSE),VLOOKUP(B41, cnst_grazing!$C$10:$H$25,3,FALSE)), VLOOKUP(B41,cnst_grazing!$C$10:$H$25,5,FALSE)),1)</f>
        <v>1</v>
      </c>
      <c r="Y41" s="2">
        <f>IFERROR(IF(VLOOKUP(B41,cnst_grazing!$C$10:$H$25,6,FALSE)="", IF(VLOOKUP(B41, cnst_grazing!$C$10:$H$25,4,FALSE)="", VLOOKUP(B41, cnst_grazing!$C$10:$H$25,3,FALSE),VLOOKUP(B41, cnst_grazing!$C$10:$H$25,4,FALSE)), VLOOKUP(B41,cnst_grazing!$C$10:$H$25,6,FALSE)),1)</f>
        <v>1</v>
      </c>
      <c r="Z41" s="400">
        <f t="shared" si="20"/>
        <v>0.93586394077415391</v>
      </c>
      <c r="AA41" s="2">
        <f t="shared" si="21"/>
        <v>0.58198754205822889</v>
      </c>
      <c r="AB41" s="2">
        <f>VLOOKUP($W41,feed_mix_n,MATCH(AB$5,feed_mix_w!$B$5:$AC$5,0),FALSE)/$Z41*VLOOKUP(AB$5,feed_intensity_w,11,FALSE)</f>
        <v>4.588568866707661E-2</v>
      </c>
      <c r="AC41" s="2">
        <f>VLOOKUP($W41,feed_mix_n,MATCH(AC$5,feed_mix_w!$B$5:$AC$5,0),FALSE)/$Z41*VLOOKUP(AC$5,feed_intensity_w,11,FALSE)</f>
        <v>4.5088365292636073E-2</v>
      </c>
      <c r="AD41" s="2">
        <f>VLOOKUP($W41,feed_mix_n,MATCH(AD$5,feed_mix_w!$B$5:$AC$5,0),FALSE)/$Z41*VLOOKUP(AD$5,feed_intensity_w,11,FALSE)</f>
        <v>0</v>
      </c>
      <c r="AE41" s="2">
        <f>VLOOKUP($W41,feed_mix_n,MATCH(AE$5,feed_mix_w!$B$5:$AC$5,0),FALSE)/$Z41*VLOOKUP(AE$5,feed_intensity_w,11,FALSE)</f>
        <v>4.5386979421930644E-2</v>
      </c>
      <c r="AF41" s="2">
        <f>VLOOKUP($W41,feed_mix_n,MATCH(AF$5,feed_mix_w!$B$5:$AC$5,0),FALSE)/$Z41*VLOOKUP(AF$5,feed_intensity_w,11,FALSE)</f>
        <v>1.8154791768772258E-2</v>
      </c>
      <c r="AG41" s="2">
        <f>VLOOKUP($W41,feed_mix_n,MATCH(AG$5,feed_mix_w!$B$5:$AC$5,0),FALSE)/$Z41*VLOOKUP(AG$5,feed_intensity_w,11,FALSE)</f>
        <v>0</v>
      </c>
      <c r="AH41" s="2">
        <f>VLOOKUP($W41,feed_mix_n,MATCH(AH$5,feed_mix_w!$B$5:$AC$5,0),FALSE)/$Z41*VLOOKUP(AH$5,feed_intensity_w,11,FALSE)</f>
        <v>1.8154791768772258E-2</v>
      </c>
      <c r="AI41" s="2">
        <f>VLOOKUP($W41,feed_mix_n,MATCH(AI$5,feed_mix_w!$B$5:$AC$5,0),FALSE)/$Z41*VLOOKUP(AI$5,feed_intensity_w,11,FALSE)</f>
        <v>0</v>
      </c>
      <c r="AJ41" s="2">
        <f>VLOOKUP($W41,feed_mix_n,MATCH(AJ$5,feed_mix_w!$B$5:$AC$5,0),FALSE)/$Z41*VLOOKUP(AJ$5,feed_intensity_w,11,FALSE)</f>
        <v>0</v>
      </c>
      <c r="AK41" s="2">
        <f>VLOOKUP($W41,feed_mix_n,MATCH(AK$5,feed_mix_w!$B$5:$AC$5,0),FALSE)/$Z41*VLOOKUP(AK$5,feed_intensity_w,11,FALSE)</f>
        <v>0</v>
      </c>
      <c r="AL41" s="2">
        <f>VLOOKUP($W41,feed_mix_n,MATCH(AL$5,feed_mix_w!$B$5:$AC$5,0),FALSE)/$Z41*VLOOKUP(AL$5,feed_intensity_w,11,FALSE)</f>
        <v>0</v>
      </c>
      <c r="AM41" s="2">
        <f>VLOOKUP($W41,feed_mix_n,MATCH(AM$5,feed_mix_w!$B$5:$AC$5,0),FALSE)/$Z41*VLOOKUP(AM$5,feed_intensity_w,11,FALSE)</f>
        <v>1.2520467394743941E-2</v>
      </c>
      <c r="AN41" s="2">
        <f>VLOOKUP($W41,feed_mix_n,MATCH(AN$5,feed_mix_w!$B$5:$AC$5,0),FALSE)/$Z41*VLOOKUP(AN$5,feed_intensity_w,11,FALSE)</f>
        <v>0</v>
      </c>
      <c r="AO41" s="2">
        <f>VLOOKUP($W41,feed_mix_n,MATCH(AO$5,feed_mix_w!$B$5:$AC$5,0),FALSE)/$Z41*VLOOKUP(AO$5,feed_intensity_w,11,FALSE)</f>
        <v>0</v>
      </c>
      <c r="AP41" s="2">
        <f>VLOOKUP($W41,feed_mix_n,MATCH(AP$5,feed_mix_w!$B$5:$AC$5,0),FALSE)/$Z41*VLOOKUP(AP$5,feed_intensity_w,11,FALSE)</f>
        <v>0</v>
      </c>
      <c r="AQ41" s="2">
        <f>VLOOKUP($W41,feed_mix_n,MATCH(AQ$5,feed_mix_w!$B$5:$AC$5,0),FALSE)/$Z41*VLOOKUP(AQ$5,feed_intensity_w,11,FALSE)</f>
        <v>0</v>
      </c>
      <c r="AR41" s="2">
        <f>VLOOKUP($W41,feed_mix_n,MATCH(AR$5,feed_mix_w!$B$5:$AC$5,0),FALSE)/$Z41*VLOOKUP(AR$5,feed_intensity_w,11,FALSE)</f>
        <v>1.731384863378746E-2</v>
      </c>
      <c r="AS41" s="389">
        <f>VLOOKUP($W41,feed_mix_n,MATCH(AS$5,feed_mix_w!$B$5:$AC$5,0),FALSE)/$Z41*VLOOKUP(AS$5,feed_intensity_w,11,FALSE)</f>
        <v>0</v>
      </c>
    </row>
    <row r="42" spans="1:45" ht="12.75" customHeight="1">
      <c r="A42" s="14" t="s">
        <v>7135</v>
      </c>
      <c r="B42" s="482">
        <v>907</v>
      </c>
      <c r="C42" s="24" t="s">
        <v>682</v>
      </c>
      <c r="D42" s="513">
        <v>1049</v>
      </c>
      <c r="E42" s="513">
        <v>114</v>
      </c>
      <c r="F42" s="25">
        <f t="shared" si="11"/>
        <v>1049</v>
      </c>
      <c r="G42" s="25">
        <f t="shared" si="12"/>
        <v>114</v>
      </c>
      <c r="H42" s="2">
        <f t="shared" si="13"/>
        <v>1.3500328863181283</v>
      </c>
      <c r="I42" s="25">
        <f t="shared" si="14"/>
        <v>1416.1844977477167</v>
      </c>
      <c r="J42" s="87">
        <f>IFERROR(G42*VLOOKUP(W42,livestock_intensity!$B$7:$I$29,8,FALSE)/Z42,0)</f>
        <v>140.3449648817635</v>
      </c>
      <c r="K42" s="2">
        <f>VLOOKUP($W42,feed_mix_n,MATCH(K$5,feed_mix_w!$B$5:$AC$5,0),FALSE)/$Z42*VLOOKUP(K$5,feed_intensity_w,11,FALSE)</f>
        <v>0</v>
      </c>
      <c r="L42" s="25">
        <f t="shared" si="15"/>
        <v>0</v>
      </c>
      <c r="M42" s="25">
        <f>IFERROR(G42*VLOOKUP(W42,livestock_intensity!$B$7:$M$29,12,FALSE)/Z42,0)</f>
        <v>0</v>
      </c>
      <c r="N42" s="2">
        <f>VLOOKUP($W42,feed_mix_n,MATCH(N$5,feed_mix_w!$B$5:$AC$5,0),FALSE)/$Z42*VLOOKUP(N$5,feed_intensity_w,11,FALSE)</f>
        <v>2.5298840607367312</v>
      </c>
      <c r="O42" s="25">
        <f t="shared" si="16"/>
        <v>2653.848379712831</v>
      </c>
      <c r="P42" s="343">
        <f>IFERROR(G42*VLOOKUP(W42,livestock_intensity!$B$7:$Q$29,16,FALSE)/Z42,0)</f>
        <v>136.9012159663946</v>
      </c>
      <c r="Q42" s="758"/>
      <c r="R42" s="331">
        <f t="shared" si="17"/>
        <v>4070.0328774605478</v>
      </c>
      <c r="S42" s="331">
        <f t="shared" si="18"/>
        <v>277.24618084815813</v>
      </c>
      <c r="T42" s="739">
        <v>2741</v>
      </c>
      <c r="U42" s="558" t="s">
        <v>2796</v>
      </c>
      <c r="V42" s="559" t="str">
        <f>IFERROR(VLOOKUP(W42,constant_ag_extr!$D$7:$E$594,2,FALSE),"")</f>
        <v>Cow milk, whole, fresh</v>
      </c>
      <c r="W42" s="560">
        <f t="shared" si="19"/>
        <v>882</v>
      </c>
      <c r="X42" s="2">
        <f>IFERROR(IF(VLOOKUP(B42,cnst_grazing!$C$10:$H$25,5,FALSE)="", IF(VLOOKUP(B42, cnst_grazing!$C$10:$H$25,3,FALSE)="", VLOOKUP(B42, cnst_grazing!$C$10:$H$25,4,FALSE),VLOOKUP(B42, cnst_grazing!$C$10:$H$25,3,FALSE)), VLOOKUP(B42,cnst_grazing!$C$10:$H$25,5,FALSE)),1)</f>
        <v>1</v>
      </c>
      <c r="Y42" s="2">
        <f>IFERROR(IF(VLOOKUP(B42,cnst_grazing!$C$10:$H$25,6,FALSE)="", IF(VLOOKUP(B42, cnst_grazing!$C$10:$H$25,4,FALSE)="", VLOOKUP(B42, cnst_grazing!$C$10:$H$25,3,FALSE),VLOOKUP(B42, cnst_grazing!$C$10:$H$25,4,FALSE)), VLOOKUP(B42,cnst_grazing!$C$10:$H$25,6,FALSE)),1)</f>
        <v>1</v>
      </c>
      <c r="Z42" s="400">
        <f t="shared" si="20"/>
        <v>0.14037959111612308</v>
      </c>
      <c r="AA42" s="2">
        <f t="shared" si="21"/>
        <v>3.8799169470548596</v>
      </c>
      <c r="AB42" s="2">
        <f>VLOOKUP($W42,feed_mix_n,MATCH(AB$5,feed_mix_w!$B$5:$AC$5,0),FALSE)/$Z42*VLOOKUP(AB$5,feed_intensity_w,11,FALSE)</f>
        <v>0.3059045911138441</v>
      </c>
      <c r="AC42" s="2">
        <f>VLOOKUP($W42,feed_mix_n,MATCH(AC$5,feed_mix_w!$B$5:$AC$5,0),FALSE)/$Z42*VLOOKUP(AC$5,feed_intensity_w,11,FALSE)</f>
        <v>0.30058910195090716</v>
      </c>
      <c r="AD42" s="2">
        <f>VLOOKUP($W42,feed_mix_n,MATCH(AD$5,feed_mix_w!$B$5:$AC$5,0),FALSE)/$Z42*VLOOKUP(AD$5,feed_intensity_w,11,FALSE)</f>
        <v>0</v>
      </c>
      <c r="AE42" s="2">
        <f>VLOOKUP($W42,feed_mix_n,MATCH(AE$5,feed_mix_w!$B$5:$AC$5,0),FALSE)/$Z42*VLOOKUP(AE$5,feed_intensity_w,11,FALSE)</f>
        <v>0.30257986281287097</v>
      </c>
      <c r="AF42" s="2">
        <f>VLOOKUP($W42,feed_mix_n,MATCH(AF$5,feed_mix_w!$B$5:$AC$5,0),FALSE)/$Z42*VLOOKUP(AF$5,feed_intensity_w,11,FALSE)</f>
        <v>0.12103194512514838</v>
      </c>
      <c r="AG42" s="2">
        <f>VLOOKUP($W42,feed_mix_n,MATCH(AG$5,feed_mix_w!$B$5:$AC$5,0),FALSE)/$Z42*VLOOKUP(AG$5,feed_intensity_w,11,FALSE)</f>
        <v>0</v>
      </c>
      <c r="AH42" s="2">
        <f>VLOOKUP($W42,feed_mix_n,MATCH(AH$5,feed_mix_w!$B$5:$AC$5,0),FALSE)/$Z42*VLOOKUP(AH$5,feed_intensity_w,11,FALSE)</f>
        <v>0.12103194512514838</v>
      </c>
      <c r="AI42" s="2">
        <f>VLOOKUP($W42,feed_mix_n,MATCH(AI$5,feed_mix_w!$B$5:$AC$5,0),FALSE)/$Z42*VLOOKUP(AI$5,feed_intensity_w,11,FALSE)</f>
        <v>0</v>
      </c>
      <c r="AJ42" s="2">
        <f>VLOOKUP($W42,feed_mix_n,MATCH(AJ$5,feed_mix_w!$B$5:$AC$5,0),FALSE)/$Z42*VLOOKUP(AJ$5,feed_intensity_w,11,FALSE)</f>
        <v>0</v>
      </c>
      <c r="AK42" s="2">
        <f>VLOOKUP($W42,feed_mix_n,MATCH(AK$5,feed_mix_w!$B$5:$AC$5,0),FALSE)/$Z42*VLOOKUP(AK$5,feed_intensity_w,11,FALSE)</f>
        <v>0</v>
      </c>
      <c r="AL42" s="2">
        <f>VLOOKUP($W42,feed_mix_n,MATCH(AL$5,feed_mix_w!$B$5:$AC$5,0),FALSE)/$Z42*VLOOKUP(AL$5,feed_intensity_w,11,FALSE)</f>
        <v>0</v>
      </c>
      <c r="AM42" s="2">
        <f>VLOOKUP($W42,feed_mix_n,MATCH(AM$5,feed_mix_w!$B$5:$AC$5,0),FALSE)/$Z42*VLOOKUP(AM$5,feed_intensity_w,11,FALSE)</f>
        <v>8.3469782631626271E-2</v>
      </c>
      <c r="AN42" s="2">
        <f>VLOOKUP($W42,feed_mix_n,MATCH(AN$5,feed_mix_w!$B$5:$AC$5,0),FALSE)/$Z42*VLOOKUP(AN$5,feed_intensity_w,11,FALSE)</f>
        <v>0</v>
      </c>
      <c r="AO42" s="2">
        <f>VLOOKUP($W42,feed_mix_n,MATCH(AO$5,feed_mix_w!$B$5:$AC$5,0),FALSE)/$Z42*VLOOKUP(AO$5,feed_intensity_w,11,FALSE)</f>
        <v>0</v>
      </c>
      <c r="AP42" s="2">
        <f>VLOOKUP($W42,feed_mix_n,MATCH(AP$5,feed_mix_w!$B$5:$AC$5,0),FALSE)/$Z42*VLOOKUP(AP$5,feed_intensity_w,11,FALSE)</f>
        <v>0</v>
      </c>
      <c r="AQ42" s="2">
        <f>VLOOKUP($W42,feed_mix_n,MATCH(AQ$5,feed_mix_w!$B$5:$AC$5,0),FALSE)/$Z42*VLOOKUP(AQ$5,feed_intensity_w,11,FALSE)</f>
        <v>0</v>
      </c>
      <c r="AR42" s="2">
        <f>VLOOKUP($W42,feed_mix_n,MATCH(AR$5,feed_mix_w!$B$5:$AC$5,0),FALSE)/$Z42*VLOOKUP(AR$5,feed_intensity_w,11,FALSE)</f>
        <v>0.11542565755858306</v>
      </c>
      <c r="AS42" s="389">
        <f>VLOOKUP($W42,feed_mix_n,MATCH(AS$5,feed_mix_w!$B$5:$AC$5,0),FALSE)/$Z42*VLOOKUP(AS$5,feed_intensity_w,11,FALSE)</f>
        <v>0</v>
      </c>
    </row>
    <row r="43" spans="1:45" ht="12.75" customHeight="1">
      <c r="A43" s="14" t="s">
        <v>7136</v>
      </c>
      <c r="B43" s="482">
        <v>908</v>
      </c>
      <c r="C43" s="24" t="s">
        <v>1557</v>
      </c>
      <c r="D43" s="513"/>
      <c r="E43" s="513"/>
      <c r="F43" s="25">
        <f t="shared" si="11"/>
        <v>0</v>
      </c>
      <c r="G43" s="25">
        <f t="shared" si="12"/>
        <v>0</v>
      </c>
      <c r="H43" s="2">
        <f t="shared" si="13"/>
        <v>0.17677971824008415</v>
      </c>
      <c r="I43" s="25">
        <f t="shared" si="14"/>
        <v>0</v>
      </c>
      <c r="J43" s="87">
        <f>IFERROR(G43*VLOOKUP(W43,livestock_intensity!$B$7:$I$29,8,FALSE)/Z43,0)</f>
        <v>0</v>
      </c>
      <c r="K43" s="2">
        <f>VLOOKUP($W43,feed_mix_n,MATCH(K$5,feed_mix_w!$B$5:$AC$5,0),FALSE)/$Z43*VLOOKUP(K$5,feed_intensity_w,11,FALSE)</f>
        <v>0</v>
      </c>
      <c r="L43" s="25">
        <f t="shared" si="15"/>
        <v>0</v>
      </c>
      <c r="M43" s="25">
        <f>IFERROR(G43*VLOOKUP(W43,livestock_intensity!$B$7:$M$29,12,FALSE)/Z43,0)</f>
        <v>0</v>
      </c>
      <c r="N43" s="2">
        <f>VLOOKUP($W43,feed_mix_n,MATCH(N$5,feed_mix_w!$B$5:$AC$5,0),FALSE)/$Z43*VLOOKUP(N$5,feed_intensity_w,11,FALSE)</f>
        <v>0.33127503483032289</v>
      </c>
      <c r="O43" s="25">
        <f t="shared" si="16"/>
        <v>0</v>
      </c>
      <c r="P43" s="343">
        <f>IFERROR(G43*VLOOKUP(W43,livestock_intensity!$B$7:$Q$29,16,FALSE)/Z43,0)</f>
        <v>0</v>
      </c>
      <c r="Q43" s="758"/>
      <c r="R43" s="331">
        <f t="shared" si="17"/>
        <v>0</v>
      </c>
      <c r="S43" s="331">
        <f t="shared" si="18"/>
        <v>0</v>
      </c>
      <c r="T43" s="739" t="s">
        <v>2738</v>
      </c>
      <c r="U43" s="558" t="s">
        <v>2796</v>
      </c>
      <c r="V43" s="559" t="str">
        <f>IFERROR(VLOOKUP(W43,constant_ag_extr!$D$7:$E$594,2,FALSE),"")</f>
        <v>Cow milk, whole, fresh</v>
      </c>
      <c r="W43" s="560">
        <f t="shared" si="19"/>
        <v>882</v>
      </c>
      <c r="X43" s="2">
        <f>IFERROR(IF(VLOOKUP(B43,cnst_grazing!$C$10:$H$25,5,FALSE)="", IF(VLOOKUP(B43, cnst_grazing!$C$10:$H$25,3,FALSE)="", VLOOKUP(B43, cnst_grazing!$C$10:$H$25,4,FALSE),VLOOKUP(B43, cnst_grazing!$C$10:$H$25,3,FALSE)), VLOOKUP(B43,cnst_grazing!$C$10:$H$25,5,FALSE)),1)</f>
        <v>1</v>
      </c>
      <c r="Y43" s="2">
        <f>IFERROR(IF(VLOOKUP(B43,cnst_grazing!$C$10:$H$25,6,FALSE)="", IF(VLOOKUP(B43, cnst_grazing!$C$10:$H$25,4,FALSE)="", VLOOKUP(B43, cnst_grazing!$C$10:$H$25,3,FALSE),VLOOKUP(B43, cnst_grazing!$C$10:$H$25,4,FALSE)), VLOOKUP(B43,cnst_grazing!$C$10:$H$25,6,FALSE)),1)</f>
        <v>1</v>
      </c>
      <c r="Z43" s="400">
        <f t="shared" si="20"/>
        <v>1.0720520796241773</v>
      </c>
      <c r="AA43" s="2">
        <f t="shared" si="21"/>
        <v>0.50805475307040704</v>
      </c>
      <c r="AB43" s="2">
        <f>VLOOKUP($W43,feed_mix_n,MATCH(AB$5,feed_mix_w!$B$5:$AC$5,0),FALSE)/$Z43*VLOOKUP(AB$5,feed_intensity_w,11,FALSE)</f>
        <v>4.005660008248893E-2</v>
      </c>
      <c r="AC43" s="2">
        <f>VLOOKUP($W43,feed_mix_n,MATCH(AC$5,feed_mix_w!$B$5:$AC$5,0),FALSE)/$Z43*VLOOKUP(AC$5,feed_intensity_w,11,FALSE)</f>
        <v>3.936056468508841E-2</v>
      </c>
      <c r="AD43" s="2">
        <f>VLOOKUP($W43,feed_mix_n,MATCH(AD$5,feed_mix_w!$B$5:$AC$5,0),FALSE)/$Z43*VLOOKUP(AD$5,feed_intensity_w,11,FALSE)</f>
        <v>0</v>
      </c>
      <c r="AE43" s="2">
        <f>VLOOKUP($W43,feed_mix_n,MATCH(AE$5,feed_mix_w!$B$5:$AC$5,0),FALSE)/$Z43*VLOOKUP(AE$5,feed_intensity_w,11,FALSE)</f>
        <v>3.96212443676561E-2</v>
      </c>
      <c r="AF43" s="2">
        <f>VLOOKUP($W43,feed_mix_n,MATCH(AF$5,feed_mix_w!$B$5:$AC$5,0),FALSE)/$Z43*VLOOKUP(AF$5,feed_intensity_w,11,FALSE)</f>
        <v>1.5848497747062439E-2</v>
      </c>
      <c r="AG43" s="2">
        <f>VLOOKUP($W43,feed_mix_n,MATCH(AG$5,feed_mix_w!$B$5:$AC$5,0),FALSE)/$Z43*VLOOKUP(AG$5,feed_intensity_w,11,FALSE)</f>
        <v>0</v>
      </c>
      <c r="AH43" s="2">
        <f>VLOOKUP($W43,feed_mix_n,MATCH(AH$5,feed_mix_w!$B$5:$AC$5,0),FALSE)/$Z43*VLOOKUP(AH$5,feed_intensity_w,11,FALSE)</f>
        <v>1.5848497747062439E-2</v>
      </c>
      <c r="AI43" s="2">
        <f>VLOOKUP($W43,feed_mix_n,MATCH(AI$5,feed_mix_w!$B$5:$AC$5,0),FALSE)/$Z43*VLOOKUP(AI$5,feed_intensity_w,11,FALSE)</f>
        <v>0</v>
      </c>
      <c r="AJ43" s="2">
        <f>VLOOKUP($W43,feed_mix_n,MATCH(AJ$5,feed_mix_w!$B$5:$AC$5,0),FALSE)/$Z43*VLOOKUP(AJ$5,feed_intensity_w,11,FALSE)</f>
        <v>0</v>
      </c>
      <c r="AK43" s="2">
        <f>VLOOKUP($W43,feed_mix_n,MATCH(AK$5,feed_mix_w!$B$5:$AC$5,0),FALSE)/$Z43*VLOOKUP(AK$5,feed_intensity_w,11,FALSE)</f>
        <v>0</v>
      </c>
      <c r="AL43" s="2">
        <f>VLOOKUP($W43,feed_mix_n,MATCH(AL$5,feed_mix_w!$B$5:$AC$5,0),FALSE)/$Z43*VLOOKUP(AL$5,feed_intensity_w,11,FALSE)</f>
        <v>0</v>
      </c>
      <c r="AM43" s="2">
        <f>VLOOKUP($W43,feed_mix_n,MATCH(AM$5,feed_mix_w!$B$5:$AC$5,0),FALSE)/$Z43*VLOOKUP(AM$5,feed_intensity_w,11,FALSE)</f>
        <v>1.0929929785208835E-2</v>
      </c>
      <c r="AN43" s="2">
        <f>VLOOKUP($W43,feed_mix_n,MATCH(AN$5,feed_mix_w!$B$5:$AC$5,0),FALSE)/$Z43*VLOOKUP(AN$5,feed_intensity_w,11,FALSE)</f>
        <v>0</v>
      </c>
      <c r="AO43" s="2">
        <f>VLOOKUP($W43,feed_mix_n,MATCH(AO$5,feed_mix_w!$B$5:$AC$5,0),FALSE)/$Z43*VLOOKUP(AO$5,feed_intensity_w,11,FALSE)</f>
        <v>0</v>
      </c>
      <c r="AP43" s="2">
        <f>VLOOKUP($W43,feed_mix_n,MATCH(AP$5,feed_mix_w!$B$5:$AC$5,0),FALSE)/$Z43*VLOOKUP(AP$5,feed_intensity_w,11,FALSE)</f>
        <v>0</v>
      </c>
      <c r="AQ43" s="2">
        <f>VLOOKUP($W43,feed_mix_n,MATCH(AQ$5,feed_mix_w!$B$5:$AC$5,0),FALSE)/$Z43*VLOOKUP(AQ$5,feed_intensity_w,11,FALSE)</f>
        <v>0</v>
      </c>
      <c r="AR43" s="2">
        <f>VLOOKUP($W43,feed_mix_n,MATCH(AR$5,feed_mix_w!$B$5:$AC$5,0),FALSE)/$Z43*VLOOKUP(AR$5,feed_intensity_w,11,FALSE)</f>
        <v>1.5114383825517004E-2</v>
      </c>
      <c r="AS43" s="389">
        <f>VLOOKUP($W43,feed_mix_n,MATCH(AS$5,feed_mix_w!$B$5:$AC$5,0),FALSE)/$Z43*VLOOKUP(AS$5,feed_intensity_w,11,FALSE)</f>
        <v>0</v>
      </c>
    </row>
    <row r="44" spans="1:45" ht="12.75" customHeight="1">
      <c r="A44" s="14" t="s">
        <v>7137</v>
      </c>
      <c r="B44" s="482">
        <v>909</v>
      </c>
      <c r="C44" s="24">
        <v>404.9</v>
      </c>
      <c r="D44" s="513">
        <v>5811</v>
      </c>
      <c r="E44" s="513">
        <v>6986</v>
      </c>
      <c r="F44" s="25">
        <f t="shared" si="11"/>
        <v>5811</v>
      </c>
      <c r="G44" s="25">
        <f t="shared" si="12"/>
        <v>6986</v>
      </c>
      <c r="H44" s="2">
        <f t="shared" si="13"/>
        <v>0.18951706457465836</v>
      </c>
      <c r="I44" s="25">
        <f t="shared" si="14"/>
        <v>1101.2836622433397</v>
      </c>
      <c r="J44" s="87">
        <f>IFERROR(G44*VLOOKUP(W44,livestock_intensity!$B$7:$I$29,8,FALSE)/Z44,0)</f>
        <v>1207.3259608260173</v>
      </c>
      <c r="K44" s="2">
        <f>VLOOKUP($W44,feed_mix_n,MATCH(K$5,feed_mix_w!$B$5:$AC$5,0),FALSE)/$Z44*VLOOKUP(K$5,feed_intensity_w,11,FALSE)</f>
        <v>0</v>
      </c>
      <c r="L44" s="25">
        <f t="shared" si="15"/>
        <v>0</v>
      </c>
      <c r="M44" s="25">
        <f>IFERROR(G44*VLOOKUP(W44,livestock_intensity!$B$7:$M$29,12,FALSE)/Z44,0)</f>
        <v>0</v>
      </c>
      <c r="N44" s="2">
        <f>VLOOKUP($W44,feed_mix_n,MATCH(N$5,feed_mix_w!$B$5:$AC$5,0),FALSE)/$Z44*VLOOKUP(N$5,feed_intensity_w,11,FALSE)</f>
        <v>0.35514409001741942</v>
      </c>
      <c r="O44" s="25">
        <f t="shared" si="16"/>
        <v>2063.7423070912241</v>
      </c>
      <c r="P44" s="343">
        <f>IFERROR(G44*VLOOKUP(W44,livestock_intensity!$B$7:$Q$29,16,FALSE)/Z44,0)</f>
        <v>1177.7009046539338</v>
      </c>
      <c r="Q44" s="758"/>
      <c r="R44" s="331">
        <f t="shared" si="17"/>
        <v>3165.0259693345638</v>
      </c>
      <c r="S44" s="331">
        <f t="shared" si="18"/>
        <v>2385.0268654799511</v>
      </c>
      <c r="T44" s="739" t="s">
        <v>2738</v>
      </c>
      <c r="U44" s="558" t="s">
        <v>2796</v>
      </c>
      <c r="V44" s="559" t="str">
        <f>IFERROR(VLOOKUP(W44,constant_ag_extr!$D$7:$E$594,2,FALSE),"")</f>
        <v>Cow milk, whole, fresh</v>
      </c>
      <c r="W44" s="560">
        <f t="shared" si="19"/>
        <v>882</v>
      </c>
      <c r="X44" s="2">
        <f>IFERROR(IF(VLOOKUP(B44,cnst_grazing!$C$10:$H$25,5,FALSE)="", IF(VLOOKUP(B44, cnst_grazing!$C$10:$H$25,3,FALSE)="", VLOOKUP(B44, cnst_grazing!$C$10:$H$25,4,FALSE),VLOOKUP(B44, cnst_grazing!$C$10:$H$25,3,FALSE)), VLOOKUP(B44,cnst_grazing!$C$10:$H$25,5,FALSE)),1)</f>
        <v>1</v>
      </c>
      <c r="Y44" s="2">
        <f>IFERROR(IF(VLOOKUP(B44,cnst_grazing!$C$10:$H$25,6,FALSE)="", IF(VLOOKUP(B44, cnst_grazing!$C$10:$H$25,4,FALSE)="", VLOOKUP(B44, cnst_grazing!$C$10:$H$25,3,FALSE),VLOOKUP(B44, cnst_grazing!$C$10:$H$25,4,FALSE)), VLOOKUP(B44,cnst_grazing!$C$10:$H$25,6,FALSE)),1)</f>
        <v>1</v>
      </c>
      <c r="Z44" s="400">
        <f t="shared" si="20"/>
        <v>1</v>
      </c>
      <c r="AA44" s="2">
        <f t="shared" si="21"/>
        <v>0.54466115459207776</v>
      </c>
      <c r="AB44" s="2">
        <f>VLOOKUP($W44,feed_mix_n,MATCH(AB$5,feed_mix_w!$B$5:$AC$5,0),FALSE)/$Z44*VLOOKUP(AB$5,feed_intensity_w,11,FALSE)</f>
        <v>4.294276142110625E-2</v>
      </c>
      <c r="AC44" s="2">
        <f>VLOOKUP($W44,feed_mix_n,MATCH(AC$5,feed_mix_w!$B$5:$AC$5,0),FALSE)/$Z44*VLOOKUP(AC$5,feed_intensity_w,11,FALSE)</f>
        <v>4.2196575225830979E-2</v>
      </c>
      <c r="AD44" s="2">
        <f>VLOOKUP($W44,feed_mix_n,MATCH(AD$5,feed_mix_w!$B$5:$AC$5,0),FALSE)/$Z44*VLOOKUP(AD$5,feed_intensity_w,11,FALSE)</f>
        <v>0</v>
      </c>
      <c r="AE44" s="2">
        <f>VLOOKUP($W44,feed_mix_n,MATCH(AE$5,feed_mix_w!$B$5:$AC$5,0),FALSE)/$Z44*VLOOKUP(AE$5,feed_intensity_w,11,FALSE)</f>
        <v>4.2476037421643444E-2</v>
      </c>
      <c r="AF44" s="2">
        <f>VLOOKUP($W44,feed_mix_n,MATCH(AF$5,feed_mix_w!$B$5:$AC$5,0),FALSE)/$Z44*VLOOKUP(AF$5,feed_intensity_w,11,FALSE)</f>
        <v>1.6990414968657375E-2</v>
      </c>
      <c r="AG44" s="2">
        <f>VLOOKUP($W44,feed_mix_n,MATCH(AG$5,feed_mix_w!$B$5:$AC$5,0),FALSE)/$Z44*VLOOKUP(AG$5,feed_intensity_w,11,FALSE)</f>
        <v>0</v>
      </c>
      <c r="AH44" s="2">
        <f>VLOOKUP($W44,feed_mix_n,MATCH(AH$5,feed_mix_w!$B$5:$AC$5,0),FALSE)/$Z44*VLOOKUP(AH$5,feed_intensity_w,11,FALSE)</f>
        <v>1.6990414968657375E-2</v>
      </c>
      <c r="AI44" s="2">
        <f>VLOOKUP($W44,feed_mix_n,MATCH(AI$5,feed_mix_w!$B$5:$AC$5,0),FALSE)/$Z44*VLOOKUP(AI$5,feed_intensity_w,11,FALSE)</f>
        <v>0</v>
      </c>
      <c r="AJ44" s="2">
        <f>VLOOKUP($W44,feed_mix_n,MATCH(AJ$5,feed_mix_w!$B$5:$AC$5,0),FALSE)/$Z44*VLOOKUP(AJ$5,feed_intensity_w,11,FALSE)</f>
        <v>0</v>
      </c>
      <c r="AK44" s="2">
        <f>VLOOKUP($W44,feed_mix_n,MATCH(AK$5,feed_mix_w!$B$5:$AC$5,0),FALSE)/$Z44*VLOOKUP(AK$5,feed_intensity_w,11,FALSE)</f>
        <v>0</v>
      </c>
      <c r="AL44" s="2">
        <f>VLOOKUP($W44,feed_mix_n,MATCH(AL$5,feed_mix_w!$B$5:$AC$5,0),FALSE)/$Z44*VLOOKUP(AL$5,feed_intensity_w,11,FALSE)</f>
        <v>0</v>
      </c>
      <c r="AM44" s="2">
        <f>VLOOKUP($W44,feed_mix_n,MATCH(AM$5,feed_mix_w!$B$5:$AC$5,0),FALSE)/$Z44*VLOOKUP(AM$5,feed_intensity_w,11,FALSE)</f>
        <v>1.1717453956379369E-2</v>
      </c>
      <c r="AN44" s="2">
        <f>VLOOKUP($W44,feed_mix_n,MATCH(AN$5,feed_mix_w!$B$5:$AC$5,0),FALSE)/$Z44*VLOOKUP(AN$5,feed_intensity_w,11,FALSE)</f>
        <v>0</v>
      </c>
      <c r="AO44" s="2">
        <f>VLOOKUP($W44,feed_mix_n,MATCH(AO$5,feed_mix_w!$B$5:$AC$5,0),FALSE)/$Z44*VLOOKUP(AO$5,feed_intensity_w,11,FALSE)</f>
        <v>0</v>
      </c>
      <c r="AP44" s="2">
        <f>VLOOKUP($W44,feed_mix_n,MATCH(AP$5,feed_mix_w!$B$5:$AC$5,0),FALSE)/$Z44*VLOOKUP(AP$5,feed_intensity_w,11,FALSE)</f>
        <v>0</v>
      </c>
      <c r="AQ44" s="2">
        <f>VLOOKUP($W44,feed_mix_n,MATCH(AQ$5,feed_mix_w!$B$5:$AC$5,0),FALSE)/$Z44*VLOOKUP(AQ$5,feed_intensity_w,11,FALSE)</f>
        <v>0</v>
      </c>
      <c r="AR44" s="2">
        <f>VLOOKUP($W44,feed_mix_n,MATCH(AR$5,feed_mix_w!$B$5:$AC$5,0),FALSE)/$Z44*VLOOKUP(AR$5,feed_intensity_w,11,FALSE)</f>
        <v>1.6203406612383533E-2</v>
      </c>
      <c r="AS44" s="389">
        <f>VLOOKUP($W44,feed_mix_n,MATCH(AS$5,feed_mix_w!$B$5:$AC$5,0),FALSE)/$Z44*VLOOKUP(AS$5,feed_intensity_w,11,FALSE)</f>
        <v>0</v>
      </c>
    </row>
    <row r="45" spans="1:45" ht="12.75" customHeight="1">
      <c r="A45" s="14" t="s">
        <v>7138</v>
      </c>
      <c r="B45" s="482">
        <v>910</v>
      </c>
      <c r="C45" s="24">
        <v>2105</v>
      </c>
      <c r="D45" s="513">
        <v>9126</v>
      </c>
      <c r="E45" s="513">
        <v>3030</v>
      </c>
      <c r="F45" s="25">
        <f t="shared" si="11"/>
        <v>9126</v>
      </c>
      <c r="G45" s="25">
        <f t="shared" si="12"/>
        <v>3030</v>
      </c>
      <c r="H45" s="2">
        <f t="shared" si="13"/>
        <v>0.18951706457465836</v>
      </c>
      <c r="I45" s="25">
        <f t="shared" si="14"/>
        <v>1729.5327313083321</v>
      </c>
      <c r="J45" s="87">
        <f>IFERROR(G45*VLOOKUP(W45,livestock_intensity!$B$7:$I$29,8,FALSE)/Z45,0)</f>
        <v>523.64695982004469</v>
      </c>
      <c r="K45" s="2">
        <f>VLOOKUP($W45,feed_mix_n,MATCH(K$5,feed_mix_w!$B$5:$AC$5,0),FALSE)/$Z45*VLOOKUP(K$5,feed_intensity_w,11,FALSE)</f>
        <v>0</v>
      </c>
      <c r="L45" s="25">
        <f t="shared" si="15"/>
        <v>0</v>
      </c>
      <c r="M45" s="25">
        <f>IFERROR(G45*VLOOKUP(W45,livestock_intensity!$B$7:$M$29,12,FALSE)/Z45,0)</f>
        <v>0</v>
      </c>
      <c r="N45" s="2">
        <f>VLOOKUP($W45,feed_mix_n,MATCH(N$5,feed_mix_w!$B$5:$AC$5,0),FALSE)/$Z45*VLOOKUP(N$5,feed_intensity_w,11,FALSE)</f>
        <v>0.35514409001741942</v>
      </c>
      <c r="O45" s="25">
        <f t="shared" si="16"/>
        <v>3241.0449654989698</v>
      </c>
      <c r="P45" s="343">
        <f>IFERROR(G45*VLOOKUP(W45,livestock_intensity!$B$7:$Q$29,16,FALSE)/Z45,0)</f>
        <v>510.79784441760944</v>
      </c>
      <c r="Q45" s="758"/>
      <c r="R45" s="331">
        <f t="shared" si="17"/>
        <v>4970.5776968073023</v>
      </c>
      <c r="S45" s="331">
        <f t="shared" si="18"/>
        <v>1034.4448042376541</v>
      </c>
      <c r="T45" s="739" t="s">
        <v>2738</v>
      </c>
      <c r="U45" s="558" t="s">
        <v>2796</v>
      </c>
      <c r="V45" s="559" t="str">
        <f>IFERROR(VLOOKUP(W45,constant_ag_extr!$D$7:$E$594,2,FALSE),"")</f>
        <v>Cow milk, whole, fresh</v>
      </c>
      <c r="W45" s="560">
        <f t="shared" si="19"/>
        <v>882</v>
      </c>
      <c r="X45" s="2">
        <f>IFERROR(IF(VLOOKUP(B45,cnst_grazing!$C$10:$H$25,5,FALSE)="", IF(VLOOKUP(B45, cnst_grazing!$C$10:$H$25,3,FALSE)="", VLOOKUP(B45, cnst_grazing!$C$10:$H$25,4,FALSE),VLOOKUP(B45, cnst_grazing!$C$10:$H$25,3,FALSE)), VLOOKUP(B45,cnst_grazing!$C$10:$H$25,5,FALSE)),1)</f>
        <v>1</v>
      </c>
      <c r="Y45" s="2">
        <f>IFERROR(IF(VLOOKUP(B45,cnst_grazing!$C$10:$H$25,6,FALSE)="", IF(VLOOKUP(B45, cnst_grazing!$C$10:$H$25,4,FALSE)="", VLOOKUP(B45, cnst_grazing!$C$10:$H$25,3,FALSE),VLOOKUP(B45, cnst_grazing!$C$10:$H$25,4,FALSE)), VLOOKUP(B45,cnst_grazing!$C$10:$H$25,6,FALSE)),1)</f>
        <v>1</v>
      </c>
      <c r="Z45" s="400">
        <f t="shared" si="20"/>
        <v>1</v>
      </c>
      <c r="AA45" s="2">
        <f t="shared" si="21"/>
        <v>0.54466115459207776</v>
      </c>
      <c r="AB45" s="2">
        <f>VLOOKUP($W45,feed_mix_n,MATCH(AB$5,feed_mix_w!$B$5:$AC$5,0),FALSE)/$Z45*VLOOKUP(AB$5,feed_intensity_w,11,FALSE)</f>
        <v>4.294276142110625E-2</v>
      </c>
      <c r="AC45" s="2">
        <f>VLOOKUP($W45,feed_mix_n,MATCH(AC$5,feed_mix_w!$B$5:$AC$5,0),FALSE)/$Z45*VLOOKUP(AC$5,feed_intensity_w,11,FALSE)</f>
        <v>4.2196575225830979E-2</v>
      </c>
      <c r="AD45" s="2">
        <f>VLOOKUP($W45,feed_mix_n,MATCH(AD$5,feed_mix_w!$B$5:$AC$5,0),FALSE)/$Z45*VLOOKUP(AD$5,feed_intensity_w,11,FALSE)</f>
        <v>0</v>
      </c>
      <c r="AE45" s="2">
        <f>VLOOKUP($W45,feed_mix_n,MATCH(AE$5,feed_mix_w!$B$5:$AC$5,0),FALSE)/$Z45*VLOOKUP(AE$5,feed_intensity_w,11,FALSE)</f>
        <v>4.2476037421643444E-2</v>
      </c>
      <c r="AF45" s="2">
        <f>VLOOKUP($W45,feed_mix_n,MATCH(AF$5,feed_mix_w!$B$5:$AC$5,0),FALSE)/$Z45*VLOOKUP(AF$5,feed_intensity_w,11,FALSE)</f>
        <v>1.6990414968657375E-2</v>
      </c>
      <c r="AG45" s="2">
        <f>VLOOKUP($W45,feed_mix_n,MATCH(AG$5,feed_mix_w!$B$5:$AC$5,0),FALSE)/$Z45*VLOOKUP(AG$5,feed_intensity_w,11,FALSE)</f>
        <v>0</v>
      </c>
      <c r="AH45" s="2">
        <f>VLOOKUP($W45,feed_mix_n,MATCH(AH$5,feed_mix_w!$B$5:$AC$5,0),FALSE)/$Z45*VLOOKUP(AH$5,feed_intensity_w,11,FALSE)</f>
        <v>1.6990414968657375E-2</v>
      </c>
      <c r="AI45" s="2">
        <f>VLOOKUP($W45,feed_mix_n,MATCH(AI$5,feed_mix_w!$B$5:$AC$5,0),FALSE)/$Z45*VLOOKUP(AI$5,feed_intensity_w,11,FALSE)</f>
        <v>0</v>
      </c>
      <c r="AJ45" s="2">
        <f>VLOOKUP($W45,feed_mix_n,MATCH(AJ$5,feed_mix_w!$B$5:$AC$5,0),FALSE)/$Z45*VLOOKUP(AJ$5,feed_intensity_w,11,FALSE)</f>
        <v>0</v>
      </c>
      <c r="AK45" s="2">
        <f>VLOOKUP($W45,feed_mix_n,MATCH(AK$5,feed_mix_w!$B$5:$AC$5,0),FALSE)/$Z45*VLOOKUP(AK$5,feed_intensity_w,11,FALSE)</f>
        <v>0</v>
      </c>
      <c r="AL45" s="2">
        <f>VLOOKUP($W45,feed_mix_n,MATCH(AL$5,feed_mix_w!$B$5:$AC$5,0),FALSE)/$Z45*VLOOKUP(AL$5,feed_intensity_w,11,FALSE)</f>
        <v>0</v>
      </c>
      <c r="AM45" s="2">
        <f>VLOOKUP($W45,feed_mix_n,MATCH(AM$5,feed_mix_w!$B$5:$AC$5,0),FALSE)/$Z45*VLOOKUP(AM$5,feed_intensity_w,11,FALSE)</f>
        <v>1.1717453956379369E-2</v>
      </c>
      <c r="AN45" s="2">
        <f>VLOOKUP($W45,feed_mix_n,MATCH(AN$5,feed_mix_w!$B$5:$AC$5,0),FALSE)/$Z45*VLOOKUP(AN$5,feed_intensity_w,11,FALSE)</f>
        <v>0</v>
      </c>
      <c r="AO45" s="2">
        <f>VLOOKUP($W45,feed_mix_n,MATCH(AO$5,feed_mix_w!$B$5:$AC$5,0),FALSE)/$Z45*VLOOKUP(AO$5,feed_intensity_w,11,FALSE)</f>
        <v>0</v>
      </c>
      <c r="AP45" s="2">
        <f>VLOOKUP($W45,feed_mix_n,MATCH(AP$5,feed_mix_w!$B$5:$AC$5,0),FALSE)/$Z45*VLOOKUP(AP$5,feed_intensity_w,11,FALSE)</f>
        <v>0</v>
      </c>
      <c r="AQ45" s="2">
        <f>VLOOKUP($W45,feed_mix_n,MATCH(AQ$5,feed_mix_w!$B$5:$AC$5,0),FALSE)/$Z45*VLOOKUP(AQ$5,feed_intensity_w,11,FALSE)</f>
        <v>0</v>
      </c>
      <c r="AR45" s="2">
        <f>VLOOKUP($W45,feed_mix_n,MATCH(AR$5,feed_mix_w!$B$5:$AC$5,0),FALSE)/$Z45*VLOOKUP(AR$5,feed_intensity_w,11,FALSE)</f>
        <v>1.6203406612383533E-2</v>
      </c>
      <c r="AS45" s="389">
        <f>VLOOKUP($W45,feed_mix_n,MATCH(AS$5,feed_mix_w!$B$5:$AC$5,0),FALSE)/$Z45*VLOOKUP(AS$5,feed_intensity_w,11,FALSE)</f>
        <v>0</v>
      </c>
    </row>
    <row r="46" spans="1:45" ht="12.75" customHeight="1">
      <c r="A46" s="14" t="s">
        <v>7139</v>
      </c>
      <c r="B46" s="482">
        <v>919</v>
      </c>
      <c r="C46" s="24" t="s">
        <v>9</v>
      </c>
      <c r="D46" s="513"/>
      <c r="E46" s="513"/>
      <c r="F46" s="25">
        <f t="shared" si="11"/>
        <v>0</v>
      </c>
      <c r="G46" s="25">
        <f t="shared" si="12"/>
        <v>0</v>
      </c>
      <c r="H46" s="2">
        <f t="shared" si="13"/>
        <v>1.3582957895642602</v>
      </c>
      <c r="I46" s="25">
        <f t="shared" si="14"/>
        <v>0</v>
      </c>
      <c r="J46" s="87">
        <f>IFERROR(G46*VLOOKUP(W46,livestock_intensity!$B$7:$I$29,8,FALSE)/Z46,0)</f>
        <v>0</v>
      </c>
      <c r="K46" s="2">
        <f>VLOOKUP($W46,feed_mix_n,MATCH(K$5,feed_mix_w!$B$5:$AC$5,0),FALSE)/$Z46*VLOOKUP(K$5,feed_intensity_w,11,FALSE)</f>
        <v>0</v>
      </c>
      <c r="L46" s="25">
        <f t="shared" si="15"/>
        <v>0</v>
      </c>
      <c r="M46" s="25">
        <f>IFERROR(G46*VLOOKUP(W46,livestock_intensity!$B$7:$M$29,12,FALSE)/Z46,0)</f>
        <v>0</v>
      </c>
      <c r="N46" s="2">
        <f>VLOOKUP($W46,feed_mix_n,MATCH(N$5,feed_mix_w!$B$5:$AC$5,0),FALSE)/$Z46*VLOOKUP(N$5,feed_intensity_w,11,FALSE)</f>
        <v>3.3444695546763987</v>
      </c>
      <c r="O46" s="25">
        <f t="shared" si="16"/>
        <v>0</v>
      </c>
      <c r="P46" s="343">
        <f>IFERROR(G46*VLOOKUP(W46,livestock_intensity!$B$7:$Q$29,16,FALSE)/Z46,0)</f>
        <v>0</v>
      </c>
      <c r="Q46" s="758"/>
      <c r="R46" s="331">
        <f t="shared" si="17"/>
        <v>0</v>
      </c>
      <c r="S46" s="331">
        <f t="shared" si="18"/>
        <v>0</v>
      </c>
      <c r="T46" s="739">
        <v>2748</v>
      </c>
      <c r="U46" s="558" t="s">
        <v>2796</v>
      </c>
      <c r="V46" s="559" t="str">
        <f>IFERROR(VLOOKUP(W46,constant_ag_extr!$D$7:$E$594,2,FALSE),"")</f>
        <v>Cattle</v>
      </c>
      <c r="W46" s="560">
        <f t="shared" si="19"/>
        <v>866</v>
      </c>
      <c r="X46" s="2">
        <f>IFERROR(IF(VLOOKUP(B46,cnst_grazing!$C$10:$H$25,5,FALSE)="", IF(VLOOKUP(B46, cnst_grazing!$C$10:$H$25,3,FALSE)="", VLOOKUP(B46, cnst_grazing!$C$10:$H$25,4,FALSE),VLOOKUP(B46, cnst_grazing!$C$10:$H$25,3,FALSE)), VLOOKUP(B46,cnst_grazing!$C$10:$H$25,5,FALSE)),1)</f>
        <v>1</v>
      </c>
      <c r="Y46" s="2">
        <f>IFERROR(IF(VLOOKUP(B46,cnst_grazing!$C$10:$H$25,6,FALSE)="", IF(VLOOKUP(B46, cnst_grazing!$C$10:$H$25,4,FALSE)="", VLOOKUP(B46, cnst_grazing!$C$10:$H$25,3,FALSE),VLOOKUP(B46, cnst_grazing!$C$10:$H$25,4,FALSE)), VLOOKUP(B46,cnst_grazing!$C$10:$H$25,6,FALSE)),1)</f>
        <v>1</v>
      </c>
      <c r="Z46" s="400">
        <f t="shared" si="20"/>
        <v>2.6682264013794783</v>
      </c>
      <c r="AA46" s="2">
        <f t="shared" si="21"/>
        <v>4.7027653442406585</v>
      </c>
      <c r="AB46" s="2">
        <f>VLOOKUP($W46,feed_mix_n,MATCH(AB$5,feed_mix_w!$B$5:$AC$5,0),FALSE)/$Z46*VLOOKUP(AB$5,feed_intensity_w,11,FALSE)</f>
        <v>0.38095781660578532</v>
      </c>
      <c r="AC46" s="2">
        <f>VLOOKUP($W46,feed_mix_n,MATCH(AC$5,feed_mix_w!$B$5:$AC$5,0),FALSE)/$Z46*VLOOKUP(AC$5,feed_intensity_w,11,FALSE)</f>
        <v>0.14973527210919851</v>
      </c>
      <c r="AD46" s="2">
        <f>VLOOKUP($W46,feed_mix_n,MATCH(AD$5,feed_mix_w!$B$5:$AC$5,0),FALSE)/$Z46*VLOOKUP(AD$5,feed_intensity_w,11,FALSE)</f>
        <v>0</v>
      </c>
      <c r="AE46" s="2">
        <f>VLOOKUP($W46,feed_mix_n,MATCH(AE$5,feed_mix_w!$B$5:$AC$5,0),FALSE)/$Z46*VLOOKUP(AE$5,feed_intensity_w,11,FALSE)</f>
        <v>0.3014538970241763</v>
      </c>
      <c r="AF46" s="2">
        <f>VLOOKUP($W46,feed_mix_n,MATCH(AF$5,feed_mix_w!$B$5:$AC$5,0),FALSE)/$Z46*VLOOKUP(AF$5,feed_intensity_w,11,FALSE)</f>
        <v>0.15072694851208815</v>
      </c>
      <c r="AG46" s="2">
        <f>VLOOKUP($W46,feed_mix_n,MATCH(AG$5,feed_mix_w!$B$5:$AC$5,0),FALSE)/$Z46*VLOOKUP(AG$5,feed_intensity_w,11,FALSE)</f>
        <v>0</v>
      </c>
      <c r="AH46" s="2">
        <f>VLOOKUP($W46,feed_mix_n,MATCH(AH$5,feed_mix_w!$B$5:$AC$5,0),FALSE)/$Z46*VLOOKUP(AH$5,feed_intensity_w,11,FALSE)</f>
        <v>0.15072694851208815</v>
      </c>
      <c r="AI46" s="2">
        <f>VLOOKUP($W46,feed_mix_n,MATCH(AI$5,feed_mix_w!$B$5:$AC$5,0),FALSE)/$Z46*VLOOKUP(AI$5,feed_intensity_w,11,FALSE)</f>
        <v>0</v>
      </c>
      <c r="AJ46" s="2">
        <f>VLOOKUP($W46,feed_mix_n,MATCH(AJ$5,feed_mix_w!$B$5:$AC$5,0),FALSE)/$Z46*VLOOKUP(AJ$5,feed_intensity_w,11,FALSE)</f>
        <v>0</v>
      </c>
      <c r="AK46" s="2">
        <f>VLOOKUP($W46,feed_mix_n,MATCH(AK$5,feed_mix_w!$B$5:$AC$5,0),FALSE)/$Z46*VLOOKUP(AK$5,feed_intensity_w,11,FALSE)</f>
        <v>0</v>
      </c>
      <c r="AL46" s="2">
        <f>VLOOKUP($W46,feed_mix_n,MATCH(AL$5,feed_mix_w!$B$5:$AC$5,0),FALSE)/$Z46*VLOOKUP(AL$5,feed_intensity_w,11,FALSE)</f>
        <v>0</v>
      </c>
      <c r="AM46" s="2">
        <f>VLOOKUP($W46,feed_mix_n,MATCH(AM$5,feed_mix_w!$B$5:$AC$5,0),FALSE)/$Z46*VLOOKUP(AM$5,feed_intensity_w,11,FALSE)</f>
        <v>0.10394896666349762</v>
      </c>
      <c r="AN46" s="2">
        <f>VLOOKUP($W46,feed_mix_n,MATCH(AN$5,feed_mix_w!$B$5:$AC$5,0),FALSE)/$Z46*VLOOKUP(AN$5,feed_intensity_w,11,FALSE)</f>
        <v>0</v>
      </c>
      <c r="AO46" s="2">
        <f>VLOOKUP($W46,feed_mix_n,MATCH(AO$5,feed_mix_w!$B$5:$AC$5,0),FALSE)/$Z46*VLOOKUP(AO$5,feed_intensity_w,11,FALSE)</f>
        <v>0</v>
      </c>
      <c r="AP46" s="2">
        <f>VLOOKUP($W46,feed_mix_n,MATCH(AP$5,feed_mix_w!$B$5:$AC$5,0),FALSE)/$Z46*VLOOKUP(AP$5,feed_intensity_w,11,FALSE)</f>
        <v>0</v>
      </c>
      <c r="AQ46" s="2">
        <f>VLOOKUP($W46,feed_mix_n,MATCH(AQ$5,feed_mix_w!$B$5:$AC$5,0),FALSE)/$Z46*VLOOKUP(AQ$5,feed_intensity_w,11,FALSE)</f>
        <v>0</v>
      </c>
      <c r="AR46" s="2">
        <f>VLOOKUP($W46,feed_mix_n,MATCH(AR$5,feed_mix_w!$B$5:$AC$5,0),FALSE)/$Z46*VLOOKUP(AR$5,feed_intensity_w,11,FALSE)</f>
        <v>0.12074594013742629</v>
      </c>
      <c r="AS46" s="389">
        <f>VLOOKUP($W46,feed_mix_n,MATCH(AS$5,feed_mix_w!$B$5:$AC$5,0),FALSE)/$Z46*VLOOKUP(AS$5,feed_intensity_w,11,FALSE)</f>
        <v>0</v>
      </c>
    </row>
    <row r="47" spans="1:45" ht="12.75" customHeight="1">
      <c r="A47" s="14" t="s">
        <v>7140</v>
      </c>
      <c r="B47" s="482">
        <v>920</v>
      </c>
      <c r="C47" s="24" t="s">
        <v>1553</v>
      </c>
      <c r="D47" s="513">
        <v>972</v>
      </c>
      <c r="E47" s="513">
        <v>66380</v>
      </c>
      <c r="F47" s="25">
        <f t="shared" si="11"/>
        <v>972</v>
      </c>
      <c r="G47" s="25">
        <f t="shared" si="12"/>
        <v>66380</v>
      </c>
      <c r="H47" s="2">
        <f t="shared" si="13"/>
        <v>1.6978697369553255</v>
      </c>
      <c r="I47" s="25">
        <f t="shared" si="14"/>
        <v>1650.3293843205763</v>
      </c>
      <c r="J47" s="87">
        <f>IFERROR(G47*VLOOKUP(W47,livestock_intensity!$B$7:$I$29,8,FALSE)/Z47,0)</f>
        <v>131298.72495007672</v>
      </c>
      <c r="K47" s="2">
        <f>VLOOKUP($W47,feed_mix_n,MATCH(K$5,feed_mix_w!$B$5:$AC$5,0),FALSE)/$Z47*VLOOKUP(K$5,feed_intensity_w,11,FALSE)</f>
        <v>0</v>
      </c>
      <c r="L47" s="25">
        <f t="shared" si="15"/>
        <v>0</v>
      </c>
      <c r="M47" s="25">
        <f>IFERROR(G47*VLOOKUP(W47,livestock_intensity!$B$7:$M$29,12,FALSE)/Z47,0)</f>
        <v>0</v>
      </c>
      <c r="N47" s="2">
        <f>VLOOKUP($W47,feed_mix_n,MATCH(N$5,feed_mix_w!$B$5:$AC$5,0),FALSE)/$Z47*VLOOKUP(N$5,feed_intensity_w,11,FALSE)</f>
        <v>4.1805869433454994</v>
      </c>
      <c r="O47" s="25">
        <f t="shared" si="16"/>
        <v>4063.5305089318254</v>
      </c>
      <c r="P47" s="343">
        <f>IFERROR(G47*VLOOKUP(W47,livestock_intensity!$B$7:$Q$29,16,FALSE)/Z47,0)</f>
        <v>168496.16905838755</v>
      </c>
      <c r="Q47" s="758"/>
      <c r="R47" s="331">
        <f t="shared" si="17"/>
        <v>5713.8598932524019</v>
      </c>
      <c r="S47" s="331">
        <f t="shared" si="18"/>
        <v>299794.8940084643</v>
      </c>
      <c r="T47" s="739">
        <v>2748</v>
      </c>
      <c r="U47" s="558" t="s">
        <v>2796</v>
      </c>
      <c r="V47" s="559" t="str">
        <f>IFERROR(VLOOKUP(W47,constant_ag_extr!$D$7:$E$594,2,FALSE),"")</f>
        <v>Cattle</v>
      </c>
      <c r="W47" s="560">
        <f t="shared" si="19"/>
        <v>866</v>
      </c>
      <c r="X47" s="2">
        <f>IFERROR(IF(VLOOKUP(B47,cnst_grazing!$C$10:$H$25,5,FALSE)="", IF(VLOOKUP(B47, cnst_grazing!$C$10:$H$25,3,FALSE)="", VLOOKUP(B47, cnst_grazing!$C$10:$H$25,4,FALSE),VLOOKUP(B47, cnst_grazing!$C$10:$H$25,3,FALSE)), VLOOKUP(B47,cnst_grazing!$C$10:$H$25,5,FALSE)),1)</f>
        <v>1</v>
      </c>
      <c r="Y47" s="2">
        <f>IFERROR(IF(VLOOKUP(B47,cnst_grazing!$C$10:$H$25,6,FALSE)="", IF(VLOOKUP(B47, cnst_grazing!$C$10:$H$25,4,FALSE)="", VLOOKUP(B47, cnst_grazing!$C$10:$H$25,3,FALSE),VLOOKUP(B47, cnst_grazing!$C$10:$H$25,4,FALSE)), VLOOKUP(B47,cnst_grazing!$C$10:$H$25,6,FALSE)),1)</f>
        <v>1</v>
      </c>
      <c r="Z47" s="400">
        <f t="shared" si="20"/>
        <v>2.1345811211035826</v>
      </c>
      <c r="AA47" s="2">
        <f t="shared" si="21"/>
        <v>5.8784566803008254</v>
      </c>
      <c r="AB47" s="2">
        <f>VLOOKUP($W47,feed_mix_n,MATCH(AB$5,feed_mix_w!$B$5:$AC$5,0),FALSE)/$Z47*VLOOKUP(AB$5,feed_intensity_w,11,FALSE)</f>
        <v>0.47619727075723167</v>
      </c>
      <c r="AC47" s="2">
        <f>VLOOKUP($W47,feed_mix_n,MATCH(AC$5,feed_mix_w!$B$5:$AC$5,0),FALSE)/$Z47*VLOOKUP(AC$5,feed_intensity_w,11,FALSE)</f>
        <v>0.18716909013649816</v>
      </c>
      <c r="AD47" s="2">
        <f>VLOOKUP($W47,feed_mix_n,MATCH(AD$5,feed_mix_w!$B$5:$AC$5,0),FALSE)/$Z47*VLOOKUP(AD$5,feed_intensity_w,11,FALSE)</f>
        <v>0</v>
      </c>
      <c r="AE47" s="2">
        <f>VLOOKUP($W47,feed_mix_n,MATCH(AE$5,feed_mix_w!$B$5:$AC$5,0),FALSE)/$Z47*VLOOKUP(AE$5,feed_intensity_w,11,FALSE)</f>
        <v>0.37681737128022036</v>
      </c>
      <c r="AF47" s="2">
        <f>VLOOKUP($W47,feed_mix_n,MATCH(AF$5,feed_mix_w!$B$5:$AC$5,0),FALSE)/$Z47*VLOOKUP(AF$5,feed_intensity_w,11,FALSE)</f>
        <v>0.18840868564011018</v>
      </c>
      <c r="AG47" s="2">
        <f>VLOOKUP($W47,feed_mix_n,MATCH(AG$5,feed_mix_w!$B$5:$AC$5,0),FALSE)/$Z47*VLOOKUP(AG$5,feed_intensity_w,11,FALSE)</f>
        <v>0</v>
      </c>
      <c r="AH47" s="2">
        <f>VLOOKUP($W47,feed_mix_n,MATCH(AH$5,feed_mix_w!$B$5:$AC$5,0),FALSE)/$Z47*VLOOKUP(AH$5,feed_intensity_w,11,FALSE)</f>
        <v>0.18840868564011018</v>
      </c>
      <c r="AI47" s="2">
        <f>VLOOKUP($W47,feed_mix_n,MATCH(AI$5,feed_mix_w!$B$5:$AC$5,0),FALSE)/$Z47*VLOOKUP(AI$5,feed_intensity_w,11,FALSE)</f>
        <v>0</v>
      </c>
      <c r="AJ47" s="2">
        <f>VLOOKUP($W47,feed_mix_n,MATCH(AJ$5,feed_mix_w!$B$5:$AC$5,0),FALSE)/$Z47*VLOOKUP(AJ$5,feed_intensity_w,11,FALSE)</f>
        <v>0</v>
      </c>
      <c r="AK47" s="2">
        <f>VLOOKUP($W47,feed_mix_n,MATCH(AK$5,feed_mix_w!$B$5:$AC$5,0),FALSE)/$Z47*VLOOKUP(AK$5,feed_intensity_w,11,FALSE)</f>
        <v>0</v>
      </c>
      <c r="AL47" s="2">
        <f>VLOOKUP($W47,feed_mix_n,MATCH(AL$5,feed_mix_w!$B$5:$AC$5,0),FALSE)/$Z47*VLOOKUP(AL$5,feed_intensity_w,11,FALSE)</f>
        <v>0</v>
      </c>
      <c r="AM47" s="2">
        <f>VLOOKUP($W47,feed_mix_n,MATCH(AM$5,feed_mix_w!$B$5:$AC$5,0),FALSE)/$Z47*VLOOKUP(AM$5,feed_intensity_w,11,FALSE)</f>
        <v>0.12993620832937203</v>
      </c>
      <c r="AN47" s="2">
        <f>VLOOKUP($W47,feed_mix_n,MATCH(AN$5,feed_mix_w!$B$5:$AC$5,0),FALSE)/$Z47*VLOOKUP(AN$5,feed_intensity_w,11,FALSE)</f>
        <v>0</v>
      </c>
      <c r="AO47" s="2">
        <f>VLOOKUP($W47,feed_mix_n,MATCH(AO$5,feed_mix_w!$B$5:$AC$5,0),FALSE)/$Z47*VLOOKUP(AO$5,feed_intensity_w,11,FALSE)</f>
        <v>0</v>
      </c>
      <c r="AP47" s="2">
        <f>VLOOKUP($W47,feed_mix_n,MATCH(AP$5,feed_mix_w!$B$5:$AC$5,0),FALSE)/$Z47*VLOOKUP(AP$5,feed_intensity_w,11,FALSE)</f>
        <v>0</v>
      </c>
      <c r="AQ47" s="2">
        <f>VLOOKUP($W47,feed_mix_n,MATCH(AQ$5,feed_mix_w!$B$5:$AC$5,0),FALSE)/$Z47*VLOOKUP(AQ$5,feed_intensity_w,11,FALSE)</f>
        <v>0</v>
      </c>
      <c r="AR47" s="2">
        <f>VLOOKUP($W47,feed_mix_n,MATCH(AR$5,feed_mix_w!$B$5:$AC$5,0),FALSE)/$Z47*VLOOKUP(AR$5,feed_intensity_w,11,FALSE)</f>
        <v>0.15093242517178287</v>
      </c>
      <c r="AS47" s="389">
        <f>VLOOKUP($W47,feed_mix_n,MATCH(AS$5,feed_mix_w!$B$5:$AC$5,0),FALSE)/$Z47*VLOOKUP(AS$5,feed_intensity_w,11,FALSE)</f>
        <v>0</v>
      </c>
    </row>
    <row r="48" spans="1:45" ht="12.75" customHeight="1">
      <c r="A48" s="14" t="s">
        <v>3832</v>
      </c>
      <c r="B48" s="482">
        <v>921</v>
      </c>
      <c r="C48" s="24" t="s">
        <v>1556</v>
      </c>
      <c r="D48" s="513"/>
      <c r="E48" s="513"/>
      <c r="F48" s="25">
        <f t="shared" si="11"/>
        <v>0</v>
      </c>
      <c r="G48" s="25">
        <f t="shared" si="12"/>
        <v>0</v>
      </c>
      <c r="H48" s="2">
        <f t="shared" si="13"/>
        <v>3.395739473910651</v>
      </c>
      <c r="I48" s="25">
        <f t="shared" si="14"/>
        <v>0</v>
      </c>
      <c r="J48" s="87">
        <f>IFERROR(G48*VLOOKUP(W48,livestock_intensity!$B$7:$I$29,8,FALSE)/Z48,0)</f>
        <v>0</v>
      </c>
      <c r="K48" s="2">
        <f>VLOOKUP($W48,feed_mix_n,MATCH(K$5,feed_mix_w!$B$5:$AC$5,0),FALSE)/$Z48*VLOOKUP(K$5,feed_intensity_w,11,FALSE)</f>
        <v>0</v>
      </c>
      <c r="L48" s="25">
        <f t="shared" si="15"/>
        <v>0</v>
      </c>
      <c r="M48" s="25">
        <f>IFERROR(G48*VLOOKUP(W48,livestock_intensity!$B$7:$M$29,12,FALSE)/Z48,0)</f>
        <v>0</v>
      </c>
      <c r="N48" s="2">
        <f>VLOOKUP($W48,feed_mix_n,MATCH(N$5,feed_mix_w!$B$5:$AC$5,0),FALSE)/$Z48*VLOOKUP(N$5,feed_intensity_w,11,FALSE)</f>
        <v>8.3611738866909988</v>
      </c>
      <c r="O48" s="25">
        <f t="shared" si="16"/>
        <v>0</v>
      </c>
      <c r="P48" s="343">
        <f>IFERROR(G48*VLOOKUP(W48,livestock_intensity!$B$7:$Q$29,16,FALSE)/Z48,0)</f>
        <v>0</v>
      </c>
      <c r="Q48" s="758"/>
      <c r="R48" s="331">
        <f t="shared" si="17"/>
        <v>0</v>
      </c>
      <c r="S48" s="331">
        <f t="shared" si="18"/>
        <v>0</v>
      </c>
      <c r="T48" s="739">
        <v>2748</v>
      </c>
      <c r="U48" s="558" t="s">
        <v>2796</v>
      </c>
      <c r="V48" s="559" t="str">
        <f>IFERROR(VLOOKUP(W48,constant_ag_extr!$D$7:$E$594,2,FALSE),"")</f>
        <v>Cattle</v>
      </c>
      <c r="W48" s="560">
        <f t="shared" si="19"/>
        <v>866</v>
      </c>
      <c r="X48" s="2">
        <f>IFERROR(IF(VLOOKUP(B48,cnst_grazing!$C$10:$H$25,5,FALSE)="", IF(VLOOKUP(B48, cnst_grazing!$C$10:$H$25,3,FALSE)="", VLOOKUP(B48, cnst_grazing!$C$10:$H$25,4,FALSE),VLOOKUP(B48, cnst_grazing!$C$10:$H$25,3,FALSE)), VLOOKUP(B48,cnst_grazing!$C$10:$H$25,5,FALSE)),1)</f>
        <v>1</v>
      </c>
      <c r="Y48" s="2">
        <f>IFERROR(IF(VLOOKUP(B48,cnst_grazing!$C$10:$H$25,6,FALSE)="", IF(VLOOKUP(B48, cnst_grazing!$C$10:$H$25,4,FALSE)="", VLOOKUP(B48, cnst_grazing!$C$10:$H$25,3,FALSE),VLOOKUP(B48, cnst_grazing!$C$10:$H$25,4,FALSE)), VLOOKUP(B48,cnst_grazing!$C$10:$H$25,6,FALSE)),1)</f>
        <v>1</v>
      </c>
      <c r="Z48" s="400">
        <f t="shared" si="20"/>
        <v>1.0672905605517913</v>
      </c>
      <c r="AA48" s="2">
        <f t="shared" si="21"/>
        <v>11.756913360601651</v>
      </c>
      <c r="AB48" s="2">
        <f>VLOOKUP($W48,feed_mix_n,MATCH(AB$5,feed_mix_w!$B$5:$AC$5,0),FALSE)/$Z48*VLOOKUP(AB$5,feed_intensity_w,11,FALSE)</f>
        <v>0.95239454151446334</v>
      </c>
      <c r="AC48" s="2">
        <f>VLOOKUP($W48,feed_mix_n,MATCH(AC$5,feed_mix_w!$B$5:$AC$5,0),FALSE)/$Z48*VLOOKUP(AC$5,feed_intensity_w,11,FALSE)</f>
        <v>0.37433818027299631</v>
      </c>
      <c r="AD48" s="2">
        <f>VLOOKUP($W48,feed_mix_n,MATCH(AD$5,feed_mix_w!$B$5:$AC$5,0),FALSE)/$Z48*VLOOKUP(AD$5,feed_intensity_w,11,FALSE)</f>
        <v>0</v>
      </c>
      <c r="AE48" s="2">
        <f>VLOOKUP($W48,feed_mix_n,MATCH(AE$5,feed_mix_w!$B$5:$AC$5,0),FALSE)/$Z48*VLOOKUP(AE$5,feed_intensity_w,11,FALSE)</f>
        <v>0.75363474256044072</v>
      </c>
      <c r="AF48" s="2">
        <f>VLOOKUP($W48,feed_mix_n,MATCH(AF$5,feed_mix_w!$B$5:$AC$5,0),FALSE)/$Z48*VLOOKUP(AF$5,feed_intensity_w,11,FALSE)</f>
        <v>0.37681737128022036</v>
      </c>
      <c r="AG48" s="2">
        <f>VLOOKUP($W48,feed_mix_n,MATCH(AG$5,feed_mix_w!$B$5:$AC$5,0),FALSE)/$Z48*VLOOKUP(AG$5,feed_intensity_w,11,FALSE)</f>
        <v>0</v>
      </c>
      <c r="AH48" s="2">
        <f>VLOOKUP($W48,feed_mix_n,MATCH(AH$5,feed_mix_w!$B$5:$AC$5,0),FALSE)/$Z48*VLOOKUP(AH$5,feed_intensity_w,11,FALSE)</f>
        <v>0.37681737128022036</v>
      </c>
      <c r="AI48" s="2">
        <f>VLOOKUP($W48,feed_mix_n,MATCH(AI$5,feed_mix_w!$B$5:$AC$5,0),FALSE)/$Z48*VLOOKUP(AI$5,feed_intensity_w,11,FALSE)</f>
        <v>0</v>
      </c>
      <c r="AJ48" s="2">
        <f>VLOOKUP($W48,feed_mix_n,MATCH(AJ$5,feed_mix_w!$B$5:$AC$5,0),FALSE)/$Z48*VLOOKUP(AJ$5,feed_intensity_w,11,FALSE)</f>
        <v>0</v>
      </c>
      <c r="AK48" s="2">
        <f>VLOOKUP($W48,feed_mix_n,MATCH(AK$5,feed_mix_w!$B$5:$AC$5,0),FALSE)/$Z48*VLOOKUP(AK$5,feed_intensity_w,11,FALSE)</f>
        <v>0</v>
      </c>
      <c r="AL48" s="2">
        <f>VLOOKUP($W48,feed_mix_n,MATCH(AL$5,feed_mix_w!$B$5:$AC$5,0),FALSE)/$Z48*VLOOKUP(AL$5,feed_intensity_w,11,FALSE)</f>
        <v>0</v>
      </c>
      <c r="AM48" s="2">
        <f>VLOOKUP($W48,feed_mix_n,MATCH(AM$5,feed_mix_w!$B$5:$AC$5,0),FALSE)/$Z48*VLOOKUP(AM$5,feed_intensity_w,11,FALSE)</f>
        <v>0.25987241665874405</v>
      </c>
      <c r="AN48" s="2">
        <f>VLOOKUP($W48,feed_mix_n,MATCH(AN$5,feed_mix_w!$B$5:$AC$5,0),FALSE)/$Z48*VLOOKUP(AN$5,feed_intensity_w,11,FALSE)</f>
        <v>0</v>
      </c>
      <c r="AO48" s="2">
        <f>VLOOKUP($W48,feed_mix_n,MATCH(AO$5,feed_mix_w!$B$5:$AC$5,0),FALSE)/$Z48*VLOOKUP(AO$5,feed_intensity_w,11,FALSE)</f>
        <v>0</v>
      </c>
      <c r="AP48" s="2">
        <f>VLOOKUP($W48,feed_mix_n,MATCH(AP$5,feed_mix_w!$B$5:$AC$5,0),FALSE)/$Z48*VLOOKUP(AP$5,feed_intensity_w,11,FALSE)</f>
        <v>0</v>
      </c>
      <c r="AQ48" s="2">
        <f>VLOOKUP($W48,feed_mix_n,MATCH(AQ$5,feed_mix_w!$B$5:$AC$5,0),FALSE)/$Z48*VLOOKUP(AQ$5,feed_intensity_w,11,FALSE)</f>
        <v>0</v>
      </c>
      <c r="AR48" s="2">
        <f>VLOOKUP($W48,feed_mix_n,MATCH(AR$5,feed_mix_w!$B$5:$AC$5,0),FALSE)/$Z48*VLOOKUP(AR$5,feed_intensity_w,11,FALSE)</f>
        <v>0.30186485034356575</v>
      </c>
      <c r="AS48" s="389">
        <f>VLOOKUP($W48,feed_mix_n,MATCH(AS$5,feed_mix_w!$B$5:$AC$5,0),FALSE)/$Z48*VLOOKUP(AS$5,feed_intensity_w,11,FALSE)</f>
        <v>0</v>
      </c>
    </row>
    <row r="49" spans="1:45" ht="12.75" customHeight="1">
      <c r="A49" s="14" t="s">
        <v>293</v>
      </c>
      <c r="B49" s="482">
        <v>922</v>
      </c>
      <c r="C49" s="24" t="s">
        <v>1548</v>
      </c>
      <c r="D49" s="513"/>
      <c r="E49" s="513"/>
      <c r="F49" s="25">
        <f t="shared" si="11"/>
        <v>0</v>
      </c>
      <c r="G49" s="25">
        <f t="shared" si="12"/>
        <v>0</v>
      </c>
      <c r="H49" s="2">
        <f t="shared" si="13"/>
        <v>1.6978697369553255</v>
      </c>
      <c r="I49" s="25">
        <f t="shared" si="14"/>
        <v>0</v>
      </c>
      <c r="J49" s="87">
        <f>IFERROR(G49*VLOOKUP(W49,livestock_intensity!$B$7:$I$29,8,FALSE)/Z49,0)</f>
        <v>0</v>
      </c>
      <c r="K49" s="2">
        <f>VLOOKUP($W49,feed_mix_n,MATCH(K$5,feed_mix_w!$B$5:$AC$5,0),FALSE)/$Z49*VLOOKUP(K$5,feed_intensity_w,11,FALSE)</f>
        <v>0</v>
      </c>
      <c r="L49" s="25">
        <f t="shared" si="15"/>
        <v>0</v>
      </c>
      <c r="M49" s="25">
        <f>IFERROR(G49*VLOOKUP(W49,livestock_intensity!$B$7:$M$29,12,FALSE)/Z49,0)</f>
        <v>0</v>
      </c>
      <c r="N49" s="2">
        <f>VLOOKUP($W49,feed_mix_n,MATCH(N$5,feed_mix_w!$B$5:$AC$5,0),FALSE)/$Z49*VLOOKUP(N$5,feed_intensity_w,11,FALSE)</f>
        <v>4.1805869433454994</v>
      </c>
      <c r="O49" s="25">
        <f t="shared" si="16"/>
        <v>0</v>
      </c>
      <c r="P49" s="343">
        <f>IFERROR(G49*VLOOKUP(W49,livestock_intensity!$B$7:$Q$29,16,FALSE)/Z49,0)</f>
        <v>0</v>
      </c>
      <c r="Q49" s="758"/>
      <c r="R49" s="331">
        <f t="shared" si="17"/>
        <v>0</v>
      </c>
      <c r="S49" s="331">
        <f t="shared" si="18"/>
        <v>0</v>
      </c>
      <c r="T49" s="739">
        <v>2748</v>
      </c>
      <c r="U49" s="558" t="s">
        <v>2796</v>
      </c>
      <c r="V49" s="559" t="str">
        <f>IFERROR(VLOOKUP(W49,constant_ag_extr!$D$7:$E$594,2,FALSE),"")</f>
        <v>Cattle</v>
      </c>
      <c r="W49" s="560">
        <f t="shared" si="19"/>
        <v>866</v>
      </c>
      <c r="X49" s="2">
        <f>IFERROR(IF(VLOOKUP(B49,cnst_grazing!$C$10:$H$25,5,FALSE)="", IF(VLOOKUP(B49, cnst_grazing!$C$10:$H$25,3,FALSE)="", VLOOKUP(B49, cnst_grazing!$C$10:$H$25,4,FALSE),VLOOKUP(B49, cnst_grazing!$C$10:$H$25,3,FALSE)), VLOOKUP(B49,cnst_grazing!$C$10:$H$25,5,FALSE)),1)</f>
        <v>1</v>
      </c>
      <c r="Y49" s="2">
        <f>IFERROR(IF(VLOOKUP(B49,cnst_grazing!$C$10:$H$25,6,FALSE)="", IF(VLOOKUP(B49, cnst_grazing!$C$10:$H$25,4,FALSE)="", VLOOKUP(B49, cnst_grazing!$C$10:$H$25,3,FALSE),VLOOKUP(B49, cnst_grazing!$C$10:$H$25,4,FALSE)), VLOOKUP(B49,cnst_grazing!$C$10:$H$25,6,FALSE)),1)</f>
        <v>1</v>
      </c>
      <c r="Z49" s="400">
        <f t="shared" si="20"/>
        <v>2.1345811211035826</v>
      </c>
      <c r="AA49" s="2">
        <f t="shared" si="21"/>
        <v>5.8784566803008254</v>
      </c>
      <c r="AB49" s="2">
        <f>VLOOKUP($W49,feed_mix_n,MATCH(AB$5,feed_mix_w!$B$5:$AC$5,0),FALSE)/$Z49*VLOOKUP(AB$5,feed_intensity_w,11,FALSE)</f>
        <v>0.47619727075723167</v>
      </c>
      <c r="AC49" s="2">
        <f>VLOOKUP($W49,feed_mix_n,MATCH(AC$5,feed_mix_w!$B$5:$AC$5,0),FALSE)/$Z49*VLOOKUP(AC$5,feed_intensity_w,11,FALSE)</f>
        <v>0.18716909013649816</v>
      </c>
      <c r="AD49" s="2">
        <f>VLOOKUP($W49,feed_mix_n,MATCH(AD$5,feed_mix_w!$B$5:$AC$5,0),FALSE)/$Z49*VLOOKUP(AD$5,feed_intensity_w,11,FALSE)</f>
        <v>0</v>
      </c>
      <c r="AE49" s="2">
        <f>VLOOKUP($W49,feed_mix_n,MATCH(AE$5,feed_mix_w!$B$5:$AC$5,0),FALSE)/$Z49*VLOOKUP(AE$5,feed_intensity_w,11,FALSE)</f>
        <v>0.37681737128022036</v>
      </c>
      <c r="AF49" s="2">
        <f>VLOOKUP($W49,feed_mix_n,MATCH(AF$5,feed_mix_w!$B$5:$AC$5,0),FALSE)/$Z49*VLOOKUP(AF$5,feed_intensity_w,11,FALSE)</f>
        <v>0.18840868564011018</v>
      </c>
      <c r="AG49" s="2">
        <f>VLOOKUP($W49,feed_mix_n,MATCH(AG$5,feed_mix_w!$B$5:$AC$5,0),FALSE)/$Z49*VLOOKUP(AG$5,feed_intensity_w,11,FALSE)</f>
        <v>0</v>
      </c>
      <c r="AH49" s="2">
        <f>VLOOKUP($W49,feed_mix_n,MATCH(AH$5,feed_mix_w!$B$5:$AC$5,0),FALSE)/$Z49*VLOOKUP(AH$5,feed_intensity_w,11,FALSE)</f>
        <v>0.18840868564011018</v>
      </c>
      <c r="AI49" s="2">
        <f>VLOOKUP($W49,feed_mix_n,MATCH(AI$5,feed_mix_w!$B$5:$AC$5,0),FALSE)/$Z49*VLOOKUP(AI$5,feed_intensity_w,11,FALSE)</f>
        <v>0</v>
      </c>
      <c r="AJ49" s="2">
        <f>VLOOKUP($W49,feed_mix_n,MATCH(AJ$5,feed_mix_w!$B$5:$AC$5,0),FALSE)/$Z49*VLOOKUP(AJ$5,feed_intensity_w,11,FALSE)</f>
        <v>0</v>
      </c>
      <c r="AK49" s="2">
        <f>VLOOKUP($W49,feed_mix_n,MATCH(AK$5,feed_mix_w!$B$5:$AC$5,0),FALSE)/$Z49*VLOOKUP(AK$5,feed_intensity_w,11,FALSE)</f>
        <v>0</v>
      </c>
      <c r="AL49" s="2">
        <f>VLOOKUP($W49,feed_mix_n,MATCH(AL$5,feed_mix_w!$B$5:$AC$5,0),FALSE)/$Z49*VLOOKUP(AL$5,feed_intensity_w,11,FALSE)</f>
        <v>0</v>
      </c>
      <c r="AM49" s="2">
        <f>VLOOKUP($W49,feed_mix_n,MATCH(AM$5,feed_mix_w!$B$5:$AC$5,0),FALSE)/$Z49*VLOOKUP(AM$5,feed_intensity_w,11,FALSE)</f>
        <v>0.12993620832937203</v>
      </c>
      <c r="AN49" s="2">
        <f>VLOOKUP($W49,feed_mix_n,MATCH(AN$5,feed_mix_w!$B$5:$AC$5,0),FALSE)/$Z49*VLOOKUP(AN$5,feed_intensity_w,11,FALSE)</f>
        <v>0</v>
      </c>
      <c r="AO49" s="2">
        <f>VLOOKUP($W49,feed_mix_n,MATCH(AO$5,feed_mix_w!$B$5:$AC$5,0),FALSE)/$Z49*VLOOKUP(AO$5,feed_intensity_w,11,FALSE)</f>
        <v>0</v>
      </c>
      <c r="AP49" s="2">
        <f>VLOOKUP($W49,feed_mix_n,MATCH(AP$5,feed_mix_w!$B$5:$AC$5,0),FALSE)/$Z49*VLOOKUP(AP$5,feed_intensity_w,11,FALSE)</f>
        <v>0</v>
      </c>
      <c r="AQ49" s="2">
        <f>VLOOKUP($W49,feed_mix_n,MATCH(AQ$5,feed_mix_w!$B$5:$AC$5,0),FALSE)/$Z49*VLOOKUP(AQ$5,feed_intensity_w,11,FALSE)</f>
        <v>0</v>
      </c>
      <c r="AR49" s="2">
        <f>VLOOKUP($W49,feed_mix_n,MATCH(AR$5,feed_mix_w!$B$5:$AC$5,0),FALSE)/$Z49*VLOOKUP(AR$5,feed_intensity_w,11,FALSE)</f>
        <v>0.15093242517178287</v>
      </c>
      <c r="AS49" s="389">
        <f>VLOOKUP($W49,feed_mix_n,MATCH(AS$5,feed_mix_w!$B$5:$AC$5,0),FALSE)/$Z49*VLOOKUP(AS$5,feed_intensity_w,11,FALSE)</f>
        <v>0</v>
      </c>
    </row>
    <row r="50" spans="1:45" ht="12.75" customHeight="1">
      <c r="A50" s="14" t="s">
        <v>7141</v>
      </c>
      <c r="B50" s="482">
        <v>927</v>
      </c>
      <c r="C50" s="24"/>
      <c r="D50" s="513"/>
      <c r="E50" s="513"/>
      <c r="F50" s="25">
        <f t="shared" si="11"/>
        <v>0</v>
      </c>
      <c r="G50" s="25">
        <f t="shared" si="12"/>
        <v>0</v>
      </c>
      <c r="H50" s="2" t="e">
        <f t="shared" si="13"/>
        <v>#N/A</v>
      </c>
      <c r="I50" s="25">
        <f t="shared" si="14"/>
        <v>0</v>
      </c>
      <c r="J50" s="87">
        <f>IFERROR(G50*VLOOKUP(W50,livestock_intensity!$B$7:$I$29,8,FALSE)/Z50,0)</f>
        <v>0</v>
      </c>
      <c r="K50" s="2" t="e">
        <f>VLOOKUP($W50,feed_mix_n,MATCH(K$5,feed_mix_w!$B$5:$AC$5,0),FALSE)/$Z50*VLOOKUP(K$5,feed_intensity_w,11,FALSE)</f>
        <v>#N/A</v>
      </c>
      <c r="L50" s="25">
        <f t="shared" si="15"/>
        <v>0</v>
      </c>
      <c r="M50" s="25">
        <f>IFERROR(G50*VLOOKUP(W50,livestock_intensity!$B$7:$M$29,12,FALSE)/Z50,0)</f>
        <v>0</v>
      </c>
      <c r="N50" s="2" t="e">
        <f>VLOOKUP($W50,feed_mix_n,MATCH(N$5,feed_mix_w!$B$5:$AC$5,0),FALSE)/$Z50*VLOOKUP(N$5,feed_intensity_w,11,FALSE)</f>
        <v>#N/A</v>
      </c>
      <c r="O50" s="25">
        <f t="shared" si="16"/>
        <v>0</v>
      </c>
      <c r="P50" s="343">
        <f>IFERROR(G50*VLOOKUP(W50,livestock_intensity!$B$7:$Q$29,16,FALSE)/Z50,0)</f>
        <v>0</v>
      </c>
      <c r="Q50" s="758"/>
      <c r="R50" s="331">
        <f t="shared" si="17"/>
        <v>0</v>
      </c>
      <c r="S50" s="331">
        <f t="shared" si="18"/>
        <v>0</v>
      </c>
      <c r="T50" s="739" t="s">
        <v>2738</v>
      </c>
      <c r="U50" s="558"/>
      <c r="V50" s="559">
        <f>IFERROR(VLOOKUP(W50,constant_ag_extr!$D$7:$E$594,2,FALSE),"")</f>
        <v>0</v>
      </c>
      <c r="W50" s="560" t="str">
        <f t="shared" si="19"/>
        <v/>
      </c>
      <c r="X50" s="2">
        <f>IFERROR(IF(VLOOKUP(B50,cnst_grazing!$C$10:$H$25,5,FALSE)="", IF(VLOOKUP(B50, cnst_grazing!$C$10:$H$25,3,FALSE)="", VLOOKUP(B50, cnst_grazing!$C$10:$H$25,4,FALSE),VLOOKUP(B50, cnst_grazing!$C$10:$H$25,3,FALSE)), VLOOKUP(B50,cnst_grazing!$C$10:$H$25,5,FALSE)),1)</f>
        <v>1</v>
      </c>
      <c r="Y50" s="2">
        <f>IFERROR(IF(VLOOKUP(B50,cnst_grazing!$C$10:$H$25,6,FALSE)="", IF(VLOOKUP(B50, cnst_grazing!$C$10:$H$25,4,FALSE)="", VLOOKUP(B50, cnst_grazing!$C$10:$H$25,3,FALSE),VLOOKUP(B50, cnst_grazing!$C$10:$H$25,4,FALSE)), VLOOKUP(B50,cnst_grazing!$C$10:$H$25,6,FALSE)),1)</f>
        <v>1</v>
      </c>
      <c r="Z50" s="400" t="str">
        <f t="shared" si="20"/>
        <v>-</v>
      </c>
      <c r="AA50" s="2" t="e">
        <f t="shared" si="21"/>
        <v>#N/A</v>
      </c>
      <c r="AB50" s="2" t="e">
        <f>VLOOKUP($W50,feed_mix_n,MATCH(AB$5,feed_mix_w!$B$5:$AC$5,0),FALSE)/$Z50*VLOOKUP(AB$5,feed_intensity_w,11,FALSE)</f>
        <v>#N/A</v>
      </c>
      <c r="AC50" s="2" t="e">
        <f>VLOOKUP($W50,feed_mix_n,MATCH(AC$5,feed_mix_w!$B$5:$AC$5,0),FALSE)/$Z50*VLOOKUP(AC$5,feed_intensity_w,11,FALSE)</f>
        <v>#N/A</v>
      </c>
      <c r="AD50" s="2" t="e">
        <f>VLOOKUP($W50,feed_mix_n,MATCH(AD$5,feed_mix_w!$B$5:$AC$5,0),FALSE)/$Z50*VLOOKUP(AD$5,feed_intensity_w,11,FALSE)</f>
        <v>#N/A</v>
      </c>
      <c r="AE50" s="2" t="e">
        <f>VLOOKUP($W50,feed_mix_n,MATCH(AE$5,feed_mix_w!$B$5:$AC$5,0),FALSE)/$Z50*VLOOKUP(AE$5,feed_intensity_w,11,FALSE)</f>
        <v>#N/A</v>
      </c>
      <c r="AF50" s="2" t="e">
        <f>VLOOKUP($W50,feed_mix_n,MATCH(AF$5,feed_mix_w!$B$5:$AC$5,0),FALSE)/$Z50*VLOOKUP(AF$5,feed_intensity_w,11,FALSE)</f>
        <v>#N/A</v>
      </c>
      <c r="AG50" s="2" t="e">
        <f>VLOOKUP($W50,feed_mix_n,MATCH(AG$5,feed_mix_w!$B$5:$AC$5,0),FALSE)/$Z50*VLOOKUP(AG$5,feed_intensity_w,11,FALSE)</f>
        <v>#N/A</v>
      </c>
      <c r="AH50" s="2" t="e">
        <f>VLOOKUP($W50,feed_mix_n,MATCH(AH$5,feed_mix_w!$B$5:$AC$5,0),FALSE)/$Z50*VLOOKUP(AH$5,feed_intensity_w,11,FALSE)</f>
        <v>#N/A</v>
      </c>
      <c r="AI50" s="2" t="e">
        <f>VLOOKUP($W50,feed_mix_n,MATCH(AI$5,feed_mix_w!$B$5:$AC$5,0),FALSE)/$Z50*VLOOKUP(AI$5,feed_intensity_w,11,FALSE)</f>
        <v>#N/A</v>
      </c>
      <c r="AJ50" s="2" t="e">
        <f>VLOOKUP($W50,feed_mix_n,MATCH(AJ$5,feed_mix_w!$B$5:$AC$5,0),FALSE)/$Z50*VLOOKUP(AJ$5,feed_intensity_w,11,FALSE)</f>
        <v>#N/A</v>
      </c>
      <c r="AK50" s="2" t="e">
        <f>VLOOKUP($W50,feed_mix_n,MATCH(AK$5,feed_mix_w!$B$5:$AC$5,0),FALSE)/$Z50*VLOOKUP(AK$5,feed_intensity_w,11,FALSE)</f>
        <v>#N/A</v>
      </c>
      <c r="AL50" s="2" t="e">
        <f>VLOOKUP($W50,feed_mix_n,MATCH(AL$5,feed_mix_w!$B$5:$AC$5,0),FALSE)/$Z50*VLOOKUP(AL$5,feed_intensity_w,11,FALSE)</f>
        <v>#N/A</v>
      </c>
      <c r="AM50" s="2" t="e">
        <f>VLOOKUP($W50,feed_mix_n,MATCH(AM$5,feed_mix_w!$B$5:$AC$5,0),FALSE)/$Z50*VLOOKUP(AM$5,feed_intensity_w,11,FALSE)</f>
        <v>#N/A</v>
      </c>
      <c r="AN50" s="2" t="e">
        <f>VLOOKUP($W50,feed_mix_n,MATCH(AN$5,feed_mix_w!$B$5:$AC$5,0),FALSE)/$Z50*VLOOKUP(AN$5,feed_intensity_w,11,FALSE)</f>
        <v>#N/A</v>
      </c>
      <c r="AO50" s="2" t="e">
        <f>VLOOKUP($W50,feed_mix_n,MATCH(AO$5,feed_mix_w!$B$5:$AC$5,0),FALSE)/$Z50*VLOOKUP(AO$5,feed_intensity_w,11,FALSE)</f>
        <v>#N/A</v>
      </c>
      <c r="AP50" s="2" t="e">
        <f>VLOOKUP($W50,feed_mix_n,MATCH(AP$5,feed_mix_w!$B$5:$AC$5,0),FALSE)/$Z50*VLOOKUP(AP$5,feed_intensity_w,11,FALSE)</f>
        <v>#N/A</v>
      </c>
      <c r="AQ50" s="2" t="e">
        <f>VLOOKUP($W50,feed_mix_n,MATCH(AQ$5,feed_mix_w!$B$5:$AC$5,0),FALSE)/$Z50*VLOOKUP(AQ$5,feed_intensity_w,11,FALSE)</f>
        <v>#N/A</v>
      </c>
      <c r="AR50" s="2" t="e">
        <f>VLOOKUP($W50,feed_mix_n,MATCH(AR$5,feed_mix_w!$B$5:$AC$5,0),FALSE)/$Z50*VLOOKUP(AR$5,feed_intensity_w,11,FALSE)</f>
        <v>#N/A</v>
      </c>
      <c r="AS50" s="389" t="e">
        <f>VLOOKUP($W50,feed_mix_n,MATCH(AS$5,feed_mix_w!$B$5:$AC$5,0),FALSE)/$Z50*VLOOKUP(AS$5,feed_intensity_w,11,FALSE)</f>
        <v>#N/A</v>
      </c>
    </row>
    <row r="51" spans="1:45" ht="12.75" customHeight="1">
      <c r="A51" s="14" t="s">
        <v>7142</v>
      </c>
      <c r="B51" s="482">
        <v>928</v>
      </c>
      <c r="C51" s="24" t="s">
        <v>688</v>
      </c>
      <c r="D51" s="513">
        <v>0</v>
      </c>
      <c r="E51" s="513">
        <v>0</v>
      </c>
      <c r="F51" s="25">
        <f t="shared" si="11"/>
        <v>0</v>
      </c>
      <c r="G51" s="25">
        <f t="shared" si="12"/>
        <v>0</v>
      </c>
      <c r="H51" s="2">
        <f t="shared" si="13"/>
        <v>1.6978697369553255</v>
      </c>
      <c r="I51" s="25">
        <f t="shared" si="14"/>
        <v>0</v>
      </c>
      <c r="J51" s="87">
        <f>IFERROR(G51*VLOOKUP(W51,livestock_intensity!$B$7:$I$29,8,FALSE)/Z51,0)</f>
        <v>0</v>
      </c>
      <c r="K51" s="2">
        <f>VLOOKUP($W51,feed_mix_n,MATCH(K$5,feed_mix_w!$B$5:$AC$5,0),FALSE)/$Z51*VLOOKUP(K$5,feed_intensity_w,11,FALSE)</f>
        <v>0</v>
      </c>
      <c r="L51" s="25">
        <f t="shared" si="15"/>
        <v>0</v>
      </c>
      <c r="M51" s="25">
        <f>IFERROR(G51*VLOOKUP(W51,livestock_intensity!$B$7:$M$29,12,FALSE)/Z51,0)</f>
        <v>0</v>
      </c>
      <c r="N51" s="2">
        <f>VLOOKUP($W51,feed_mix_n,MATCH(N$5,feed_mix_w!$B$5:$AC$5,0),FALSE)/$Z51*VLOOKUP(N$5,feed_intensity_w,11,FALSE)</f>
        <v>4.1805869433454994</v>
      </c>
      <c r="O51" s="25">
        <f t="shared" si="16"/>
        <v>0</v>
      </c>
      <c r="P51" s="343">
        <f>IFERROR(G51*VLOOKUP(W51,livestock_intensity!$B$7:$Q$29,16,FALSE)/Z51,0)</f>
        <v>0</v>
      </c>
      <c r="Q51" s="758"/>
      <c r="R51" s="331">
        <f t="shared" si="17"/>
        <v>0</v>
      </c>
      <c r="S51" s="331">
        <f t="shared" si="18"/>
        <v>0</v>
      </c>
      <c r="T51" s="739">
        <v>2748</v>
      </c>
      <c r="U51" s="558" t="s">
        <v>2796</v>
      </c>
      <c r="V51" s="559" t="str">
        <f>IFERROR(VLOOKUP(W51,constant_ag_extr!$D$7:$E$594,2,FALSE),"")</f>
        <v>Cattle</v>
      </c>
      <c r="W51" s="560">
        <f t="shared" si="19"/>
        <v>866</v>
      </c>
      <c r="X51" s="2">
        <f>IFERROR(IF(VLOOKUP(B51,cnst_grazing!$C$10:$H$25,5,FALSE)="", IF(VLOOKUP(B51, cnst_grazing!$C$10:$H$25,3,FALSE)="", VLOOKUP(B51, cnst_grazing!$C$10:$H$25,4,FALSE),VLOOKUP(B51, cnst_grazing!$C$10:$H$25,3,FALSE)), VLOOKUP(B51,cnst_grazing!$C$10:$H$25,5,FALSE)),1)</f>
        <v>1</v>
      </c>
      <c r="Y51" s="2">
        <f>IFERROR(IF(VLOOKUP(B51,cnst_grazing!$C$10:$H$25,6,FALSE)="", IF(VLOOKUP(B51, cnst_grazing!$C$10:$H$25,4,FALSE)="", VLOOKUP(B51, cnst_grazing!$C$10:$H$25,3,FALSE),VLOOKUP(B51, cnst_grazing!$C$10:$H$25,4,FALSE)), VLOOKUP(B51,cnst_grazing!$C$10:$H$25,6,FALSE)),1)</f>
        <v>1</v>
      </c>
      <c r="Z51" s="400">
        <f t="shared" si="20"/>
        <v>2.1345811211035826</v>
      </c>
      <c r="AA51" s="2">
        <f t="shared" si="21"/>
        <v>5.8784566803008254</v>
      </c>
      <c r="AB51" s="2">
        <f>VLOOKUP($W51,feed_mix_n,MATCH(AB$5,feed_mix_w!$B$5:$AC$5,0),FALSE)/$Z51*VLOOKUP(AB$5,feed_intensity_w,11,FALSE)</f>
        <v>0.47619727075723167</v>
      </c>
      <c r="AC51" s="2">
        <f>VLOOKUP($W51,feed_mix_n,MATCH(AC$5,feed_mix_w!$B$5:$AC$5,0),FALSE)/$Z51*VLOOKUP(AC$5,feed_intensity_w,11,FALSE)</f>
        <v>0.18716909013649816</v>
      </c>
      <c r="AD51" s="2">
        <f>VLOOKUP($W51,feed_mix_n,MATCH(AD$5,feed_mix_w!$B$5:$AC$5,0),FALSE)/$Z51*VLOOKUP(AD$5,feed_intensity_w,11,FALSE)</f>
        <v>0</v>
      </c>
      <c r="AE51" s="2">
        <f>VLOOKUP($W51,feed_mix_n,MATCH(AE$5,feed_mix_w!$B$5:$AC$5,0),FALSE)/$Z51*VLOOKUP(AE$5,feed_intensity_w,11,FALSE)</f>
        <v>0.37681737128022036</v>
      </c>
      <c r="AF51" s="2">
        <f>VLOOKUP($W51,feed_mix_n,MATCH(AF$5,feed_mix_w!$B$5:$AC$5,0),FALSE)/$Z51*VLOOKUP(AF$5,feed_intensity_w,11,FALSE)</f>
        <v>0.18840868564011018</v>
      </c>
      <c r="AG51" s="2">
        <f>VLOOKUP($W51,feed_mix_n,MATCH(AG$5,feed_mix_w!$B$5:$AC$5,0),FALSE)/$Z51*VLOOKUP(AG$5,feed_intensity_w,11,FALSE)</f>
        <v>0</v>
      </c>
      <c r="AH51" s="2">
        <f>VLOOKUP($W51,feed_mix_n,MATCH(AH$5,feed_mix_w!$B$5:$AC$5,0),FALSE)/$Z51*VLOOKUP(AH$5,feed_intensity_w,11,FALSE)</f>
        <v>0.18840868564011018</v>
      </c>
      <c r="AI51" s="2">
        <f>VLOOKUP($W51,feed_mix_n,MATCH(AI$5,feed_mix_w!$B$5:$AC$5,0),FALSE)/$Z51*VLOOKUP(AI$5,feed_intensity_w,11,FALSE)</f>
        <v>0</v>
      </c>
      <c r="AJ51" s="2">
        <f>VLOOKUP($W51,feed_mix_n,MATCH(AJ$5,feed_mix_w!$B$5:$AC$5,0),FALSE)/$Z51*VLOOKUP(AJ$5,feed_intensity_w,11,FALSE)</f>
        <v>0</v>
      </c>
      <c r="AK51" s="2">
        <f>VLOOKUP($W51,feed_mix_n,MATCH(AK$5,feed_mix_w!$B$5:$AC$5,0),FALSE)/$Z51*VLOOKUP(AK$5,feed_intensity_w,11,FALSE)</f>
        <v>0</v>
      </c>
      <c r="AL51" s="2">
        <f>VLOOKUP($W51,feed_mix_n,MATCH(AL$5,feed_mix_w!$B$5:$AC$5,0),FALSE)/$Z51*VLOOKUP(AL$5,feed_intensity_w,11,FALSE)</f>
        <v>0</v>
      </c>
      <c r="AM51" s="2">
        <f>VLOOKUP($W51,feed_mix_n,MATCH(AM$5,feed_mix_w!$B$5:$AC$5,0),FALSE)/$Z51*VLOOKUP(AM$5,feed_intensity_w,11,FALSE)</f>
        <v>0.12993620832937203</v>
      </c>
      <c r="AN51" s="2">
        <f>VLOOKUP($W51,feed_mix_n,MATCH(AN$5,feed_mix_w!$B$5:$AC$5,0),FALSE)/$Z51*VLOOKUP(AN$5,feed_intensity_w,11,FALSE)</f>
        <v>0</v>
      </c>
      <c r="AO51" s="2">
        <f>VLOOKUP($W51,feed_mix_n,MATCH(AO$5,feed_mix_w!$B$5:$AC$5,0),FALSE)/$Z51*VLOOKUP(AO$5,feed_intensity_w,11,FALSE)</f>
        <v>0</v>
      </c>
      <c r="AP51" s="2">
        <f>VLOOKUP($W51,feed_mix_n,MATCH(AP$5,feed_mix_w!$B$5:$AC$5,0),FALSE)/$Z51*VLOOKUP(AP$5,feed_intensity_w,11,FALSE)</f>
        <v>0</v>
      </c>
      <c r="AQ51" s="2">
        <f>VLOOKUP($W51,feed_mix_n,MATCH(AQ$5,feed_mix_w!$B$5:$AC$5,0),FALSE)/$Z51*VLOOKUP(AQ$5,feed_intensity_w,11,FALSE)</f>
        <v>0</v>
      </c>
      <c r="AR51" s="2">
        <f>VLOOKUP($W51,feed_mix_n,MATCH(AR$5,feed_mix_w!$B$5:$AC$5,0),FALSE)/$Z51*VLOOKUP(AR$5,feed_intensity_w,11,FALSE)</f>
        <v>0.15093242517178287</v>
      </c>
      <c r="AS51" s="389">
        <f>VLOOKUP($W51,feed_mix_n,MATCH(AS$5,feed_mix_w!$B$5:$AC$5,0),FALSE)/$Z51*VLOOKUP(AS$5,feed_intensity_w,11,FALSE)</f>
        <v>0</v>
      </c>
    </row>
    <row r="52" spans="1:45" ht="12.75" customHeight="1">
      <c r="A52" s="14" t="s">
        <v>1495</v>
      </c>
      <c r="B52" s="482">
        <v>929</v>
      </c>
      <c r="C52" s="24" t="s">
        <v>690</v>
      </c>
      <c r="D52" s="513"/>
      <c r="E52" s="513"/>
      <c r="F52" s="25">
        <f t="shared" si="11"/>
        <v>0</v>
      </c>
      <c r="G52" s="25">
        <f t="shared" si="12"/>
        <v>0</v>
      </c>
      <c r="H52" s="2">
        <f t="shared" si="13"/>
        <v>3.395739473910651</v>
      </c>
      <c r="I52" s="25">
        <f t="shared" si="14"/>
        <v>0</v>
      </c>
      <c r="J52" s="87">
        <f>IFERROR(G52*VLOOKUP(W52,livestock_intensity!$B$7:$I$29,8,FALSE)/Z52,0)</f>
        <v>0</v>
      </c>
      <c r="K52" s="2">
        <f>VLOOKUP($W52,feed_mix_n,MATCH(K$5,feed_mix_w!$B$5:$AC$5,0),FALSE)/$Z52*VLOOKUP(K$5,feed_intensity_w,11,FALSE)</f>
        <v>0</v>
      </c>
      <c r="L52" s="25">
        <f t="shared" si="15"/>
        <v>0</v>
      </c>
      <c r="M52" s="25">
        <f>IFERROR(G52*VLOOKUP(W52,livestock_intensity!$B$7:$M$29,12,FALSE)/Z52,0)</f>
        <v>0</v>
      </c>
      <c r="N52" s="2">
        <f>VLOOKUP($W52,feed_mix_n,MATCH(N$5,feed_mix_w!$B$5:$AC$5,0),FALSE)/$Z52*VLOOKUP(N$5,feed_intensity_w,11,FALSE)</f>
        <v>8.3611738866909988</v>
      </c>
      <c r="O52" s="25">
        <f t="shared" si="16"/>
        <v>0</v>
      </c>
      <c r="P52" s="343">
        <f>IFERROR(G52*VLOOKUP(W52,livestock_intensity!$B$7:$Q$29,16,FALSE)/Z52,0)</f>
        <v>0</v>
      </c>
      <c r="Q52" s="758"/>
      <c r="R52" s="331">
        <f t="shared" si="17"/>
        <v>0</v>
      </c>
      <c r="S52" s="331">
        <f t="shared" si="18"/>
        <v>0</v>
      </c>
      <c r="T52" s="739">
        <v>2748</v>
      </c>
      <c r="U52" s="558" t="s">
        <v>2796</v>
      </c>
      <c r="V52" s="559" t="str">
        <f>IFERROR(VLOOKUP(W52,constant_ag_extr!$D$7:$E$594,2,FALSE),"")</f>
        <v>Cattle</v>
      </c>
      <c r="W52" s="560">
        <f t="shared" si="19"/>
        <v>866</v>
      </c>
      <c r="X52" s="2">
        <f>IFERROR(IF(VLOOKUP(B52,cnst_grazing!$C$10:$H$25,5,FALSE)="", IF(VLOOKUP(B52, cnst_grazing!$C$10:$H$25,3,FALSE)="", VLOOKUP(B52, cnst_grazing!$C$10:$H$25,4,FALSE),VLOOKUP(B52, cnst_grazing!$C$10:$H$25,3,FALSE)), VLOOKUP(B52,cnst_grazing!$C$10:$H$25,5,FALSE)),1)</f>
        <v>1</v>
      </c>
      <c r="Y52" s="2">
        <f>IFERROR(IF(VLOOKUP(B52,cnst_grazing!$C$10:$H$25,6,FALSE)="", IF(VLOOKUP(B52, cnst_grazing!$C$10:$H$25,4,FALSE)="", VLOOKUP(B52, cnst_grazing!$C$10:$H$25,3,FALSE),VLOOKUP(B52, cnst_grazing!$C$10:$H$25,4,FALSE)), VLOOKUP(B52,cnst_grazing!$C$10:$H$25,6,FALSE)),1)</f>
        <v>1</v>
      </c>
      <c r="Z52" s="400">
        <f t="shared" si="20"/>
        <v>1.0672905605517913</v>
      </c>
      <c r="AA52" s="2">
        <f t="shared" si="21"/>
        <v>11.756913360601651</v>
      </c>
      <c r="AB52" s="2">
        <f>VLOOKUP($W52,feed_mix_n,MATCH(AB$5,feed_mix_w!$B$5:$AC$5,0),FALSE)/$Z52*VLOOKUP(AB$5,feed_intensity_w,11,FALSE)</f>
        <v>0.95239454151446334</v>
      </c>
      <c r="AC52" s="2">
        <f>VLOOKUP($W52,feed_mix_n,MATCH(AC$5,feed_mix_w!$B$5:$AC$5,0),FALSE)/$Z52*VLOOKUP(AC$5,feed_intensity_w,11,FALSE)</f>
        <v>0.37433818027299631</v>
      </c>
      <c r="AD52" s="2">
        <f>VLOOKUP($W52,feed_mix_n,MATCH(AD$5,feed_mix_w!$B$5:$AC$5,0),FALSE)/$Z52*VLOOKUP(AD$5,feed_intensity_w,11,FALSE)</f>
        <v>0</v>
      </c>
      <c r="AE52" s="2">
        <f>VLOOKUP($W52,feed_mix_n,MATCH(AE$5,feed_mix_w!$B$5:$AC$5,0),FALSE)/$Z52*VLOOKUP(AE$5,feed_intensity_w,11,FALSE)</f>
        <v>0.75363474256044072</v>
      </c>
      <c r="AF52" s="2">
        <f>VLOOKUP($W52,feed_mix_n,MATCH(AF$5,feed_mix_w!$B$5:$AC$5,0),FALSE)/$Z52*VLOOKUP(AF$5,feed_intensity_w,11,FALSE)</f>
        <v>0.37681737128022036</v>
      </c>
      <c r="AG52" s="2">
        <f>VLOOKUP($W52,feed_mix_n,MATCH(AG$5,feed_mix_w!$B$5:$AC$5,0),FALSE)/$Z52*VLOOKUP(AG$5,feed_intensity_w,11,FALSE)</f>
        <v>0</v>
      </c>
      <c r="AH52" s="2">
        <f>VLOOKUP($W52,feed_mix_n,MATCH(AH$5,feed_mix_w!$B$5:$AC$5,0),FALSE)/$Z52*VLOOKUP(AH$5,feed_intensity_w,11,FALSE)</f>
        <v>0.37681737128022036</v>
      </c>
      <c r="AI52" s="2">
        <f>VLOOKUP($W52,feed_mix_n,MATCH(AI$5,feed_mix_w!$B$5:$AC$5,0),FALSE)/$Z52*VLOOKUP(AI$5,feed_intensity_w,11,FALSE)</f>
        <v>0</v>
      </c>
      <c r="AJ52" s="2">
        <f>VLOOKUP($W52,feed_mix_n,MATCH(AJ$5,feed_mix_w!$B$5:$AC$5,0),FALSE)/$Z52*VLOOKUP(AJ$5,feed_intensity_w,11,FALSE)</f>
        <v>0</v>
      </c>
      <c r="AK52" s="2">
        <f>VLOOKUP($W52,feed_mix_n,MATCH(AK$5,feed_mix_w!$B$5:$AC$5,0),FALSE)/$Z52*VLOOKUP(AK$5,feed_intensity_w,11,FALSE)</f>
        <v>0</v>
      </c>
      <c r="AL52" s="2">
        <f>VLOOKUP($W52,feed_mix_n,MATCH(AL$5,feed_mix_w!$B$5:$AC$5,0),FALSE)/$Z52*VLOOKUP(AL$5,feed_intensity_w,11,FALSE)</f>
        <v>0</v>
      </c>
      <c r="AM52" s="2">
        <f>VLOOKUP($W52,feed_mix_n,MATCH(AM$5,feed_mix_w!$B$5:$AC$5,0),FALSE)/$Z52*VLOOKUP(AM$5,feed_intensity_w,11,FALSE)</f>
        <v>0.25987241665874405</v>
      </c>
      <c r="AN52" s="2">
        <f>VLOOKUP($W52,feed_mix_n,MATCH(AN$5,feed_mix_w!$B$5:$AC$5,0),FALSE)/$Z52*VLOOKUP(AN$5,feed_intensity_w,11,FALSE)</f>
        <v>0</v>
      </c>
      <c r="AO52" s="2">
        <f>VLOOKUP($W52,feed_mix_n,MATCH(AO$5,feed_mix_w!$B$5:$AC$5,0),FALSE)/$Z52*VLOOKUP(AO$5,feed_intensity_w,11,FALSE)</f>
        <v>0</v>
      </c>
      <c r="AP52" s="2">
        <f>VLOOKUP($W52,feed_mix_n,MATCH(AP$5,feed_mix_w!$B$5:$AC$5,0),FALSE)/$Z52*VLOOKUP(AP$5,feed_intensity_w,11,FALSE)</f>
        <v>0</v>
      </c>
      <c r="AQ52" s="2">
        <f>VLOOKUP($W52,feed_mix_n,MATCH(AQ$5,feed_mix_w!$B$5:$AC$5,0),FALSE)/$Z52*VLOOKUP(AQ$5,feed_intensity_w,11,FALSE)</f>
        <v>0</v>
      </c>
      <c r="AR52" s="2">
        <f>VLOOKUP($W52,feed_mix_n,MATCH(AR$5,feed_mix_w!$B$5:$AC$5,0),FALSE)/$Z52*VLOOKUP(AR$5,feed_intensity_w,11,FALSE)</f>
        <v>0.30186485034356575</v>
      </c>
      <c r="AS52" s="389">
        <f>VLOOKUP($W52,feed_mix_n,MATCH(AS$5,feed_mix_w!$B$5:$AC$5,0),FALSE)/$Z52*VLOOKUP(AS$5,feed_intensity_w,11,FALSE)</f>
        <v>0</v>
      </c>
    </row>
    <row r="53" spans="1:45" ht="12.75" customHeight="1">
      <c r="A53" s="14" t="s">
        <v>1436</v>
      </c>
      <c r="B53" s="482">
        <v>930</v>
      </c>
      <c r="C53" s="24" t="s">
        <v>2744</v>
      </c>
      <c r="D53" s="513"/>
      <c r="E53" s="513"/>
      <c r="F53" s="25">
        <f t="shared" si="11"/>
        <v>0</v>
      </c>
      <c r="G53" s="25">
        <f t="shared" si="12"/>
        <v>0</v>
      </c>
      <c r="H53" s="2">
        <f t="shared" si="13"/>
        <v>1.6978697369553255</v>
      </c>
      <c r="I53" s="25">
        <f t="shared" si="14"/>
        <v>0</v>
      </c>
      <c r="J53" s="87">
        <f>IFERROR(G53*VLOOKUP(W53,livestock_intensity!$B$7:$I$29,8,FALSE)/Z53,0)</f>
        <v>0</v>
      </c>
      <c r="K53" s="2">
        <f>VLOOKUP($W53,feed_mix_n,MATCH(K$5,feed_mix_w!$B$5:$AC$5,0),FALSE)/$Z53*VLOOKUP(K$5,feed_intensity_w,11,FALSE)</f>
        <v>0</v>
      </c>
      <c r="L53" s="25">
        <f t="shared" si="15"/>
        <v>0</v>
      </c>
      <c r="M53" s="25">
        <f>IFERROR(G53*VLOOKUP(W53,livestock_intensity!$B$7:$M$29,12,FALSE)/Z53,0)</f>
        <v>0</v>
      </c>
      <c r="N53" s="2">
        <f>VLOOKUP($W53,feed_mix_n,MATCH(N$5,feed_mix_w!$B$5:$AC$5,0),FALSE)/$Z53*VLOOKUP(N$5,feed_intensity_w,11,FALSE)</f>
        <v>4.1805869433454994</v>
      </c>
      <c r="O53" s="25">
        <f t="shared" si="16"/>
        <v>0</v>
      </c>
      <c r="P53" s="343">
        <f>IFERROR(G53*VLOOKUP(W53,livestock_intensity!$B$7:$Q$29,16,FALSE)/Z53,0)</f>
        <v>0</v>
      </c>
      <c r="Q53" s="758"/>
      <c r="R53" s="331">
        <f t="shared" si="17"/>
        <v>0</v>
      </c>
      <c r="S53" s="331">
        <f t="shared" si="18"/>
        <v>0</v>
      </c>
      <c r="T53" s="739">
        <v>2748</v>
      </c>
      <c r="U53" s="558" t="s">
        <v>2796</v>
      </c>
      <c r="V53" s="559" t="str">
        <f>IFERROR(VLOOKUP(W53,constant_ag_extr!$D$7:$E$594,2,FALSE),"")</f>
        <v>Cattle</v>
      </c>
      <c r="W53" s="560">
        <f t="shared" si="19"/>
        <v>866</v>
      </c>
      <c r="X53" s="2">
        <f>IFERROR(IF(VLOOKUP(B53,cnst_grazing!$C$10:$H$25,5,FALSE)="", IF(VLOOKUP(B53, cnst_grazing!$C$10:$H$25,3,FALSE)="", VLOOKUP(B53, cnst_grazing!$C$10:$H$25,4,FALSE),VLOOKUP(B53, cnst_grazing!$C$10:$H$25,3,FALSE)), VLOOKUP(B53,cnst_grazing!$C$10:$H$25,5,FALSE)),1)</f>
        <v>1</v>
      </c>
      <c r="Y53" s="2">
        <f>IFERROR(IF(VLOOKUP(B53,cnst_grazing!$C$10:$H$25,6,FALSE)="", IF(VLOOKUP(B53, cnst_grazing!$C$10:$H$25,4,FALSE)="", VLOOKUP(B53, cnst_grazing!$C$10:$H$25,3,FALSE),VLOOKUP(B53, cnst_grazing!$C$10:$H$25,4,FALSE)), VLOOKUP(B53,cnst_grazing!$C$10:$H$25,6,FALSE)),1)</f>
        <v>1</v>
      </c>
      <c r="Z53" s="400">
        <f t="shared" si="20"/>
        <v>2.1345811211035826</v>
      </c>
      <c r="AA53" s="2">
        <f t="shared" si="21"/>
        <v>5.8784566803008254</v>
      </c>
      <c r="AB53" s="2">
        <f>VLOOKUP($W53,feed_mix_n,MATCH(AB$5,feed_mix_w!$B$5:$AC$5,0),FALSE)/$Z53*VLOOKUP(AB$5,feed_intensity_w,11,FALSE)</f>
        <v>0.47619727075723167</v>
      </c>
      <c r="AC53" s="2">
        <f>VLOOKUP($W53,feed_mix_n,MATCH(AC$5,feed_mix_w!$B$5:$AC$5,0),FALSE)/$Z53*VLOOKUP(AC$5,feed_intensity_w,11,FALSE)</f>
        <v>0.18716909013649816</v>
      </c>
      <c r="AD53" s="2">
        <f>VLOOKUP($W53,feed_mix_n,MATCH(AD$5,feed_mix_w!$B$5:$AC$5,0),FALSE)/$Z53*VLOOKUP(AD$5,feed_intensity_w,11,FALSE)</f>
        <v>0</v>
      </c>
      <c r="AE53" s="2">
        <f>VLOOKUP($W53,feed_mix_n,MATCH(AE$5,feed_mix_w!$B$5:$AC$5,0),FALSE)/$Z53*VLOOKUP(AE$5,feed_intensity_w,11,FALSE)</f>
        <v>0.37681737128022036</v>
      </c>
      <c r="AF53" s="2">
        <f>VLOOKUP($W53,feed_mix_n,MATCH(AF$5,feed_mix_w!$B$5:$AC$5,0),FALSE)/$Z53*VLOOKUP(AF$5,feed_intensity_w,11,FALSE)</f>
        <v>0.18840868564011018</v>
      </c>
      <c r="AG53" s="2">
        <f>VLOOKUP($W53,feed_mix_n,MATCH(AG$5,feed_mix_w!$B$5:$AC$5,0),FALSE)/$Z53*VLOOKUP(AG$5,feed_intensity_w,11,FALSE)</f>
        <v>0</v>
      </c>
      <c r="AH53" s="2">
        <f>VLOOKUP($W53,feed_mix_n,MATCH(AH$5,feed_mix_w!$B$5:$AC$5,0),FALSE)/$Z53*VLOOKUP(AH$5,feed_intensity_w,11,FALSE)</f>
        <v>0.18840868564011018</v>
      </c>
      <c r="AI53" s="2">
        <f>VLOOKUP($W53,feed_mix_n,MATCH(AI$5,feed_mix_w!$B$5:$AC$5,0),FALSE)/$Z53*VLOOKUP(AI$5,feed_intensity_w,11,FALSE)</f>
        <v>0</v>
      </c>
      <c r="AJ53" s="2">
        <f>VLOOKUP($W53,feed_mix_n,MATCH(AJ$5,feed_mix_w!$B$5:$AC$5,0),FALSE)/$Z53*VLOOKUP(AJ$5,feed_intensity_w,11,FALSE)</f>
        <v>0</v>
      </c>
      <c r="AK53" s="2">
        <f>VLOOKUP($W53,feed_mix_n,MATCH(AK$5,feed_mix_w!$B$5:$AC$5,0),FALSE)/$Z53*VLOOKUP(AK$5,feed_intensity_w,11,FALSE)</f>
        <v>0</v>
      </c>
      <c r="AL53" s="2">
        <f>VLOOKUP($W53,feed_mix_n,MATCH(AL$5,feed_mix_w!$B$5:$AC$5,0),FALSE)/$Z53*VLOOKUP(AL$5,feed_intensity_w,11,FALSE)</f>
        <v>0</v>
      </c>
      <c r="AM53" s="2">
        <f>VLOOKUP($W53,feed_mix_n,MATCH(AM$5,feed_mix_w!$B$5:$AC$5,0),FALSE)/$Z53*VLOOKUP(AM$5,feed_intensity_w,11,FALSE)</f>
        <v>0.12993620832937203</v>
      </c>
      <c r="AN53" s="2">
        <f>VLOOKUP($W53,feed_mix_n,MATCH(AN$5,feed_mix_w!$B$5:$AC$5,0),FALSE)/$Z53*VLOOKUP(AN$5,feed_intensity_w,11,FALSE)</f>
        <v>0</v>
      </c>
      <c r="AO53" s="2">
        <f>VLOOKUP($W53,feed_mix_n,MATCH(AO$5,feed_mix_w!$B$5:$AC$5,0),FALSE)/$Z53*VLOOKUP(AO$5,feed_intensity_w,11,FALSE)</f>
        <v>0</v>
      </c>
      <c r="AP53" s="2">
        <f>VLOOKUP($W53,feed_mix_n,MATCH(AP$5,feed_mix_w!$B$5:$AC$5,0),FALSE)/$Z53*VLOOKUP(AP$5,feed_intensity_w,11,FALSE)</f>
        <v>0</v>
      </c>
      <c r="AQ53" s="2">
        <f>VLOOKUP($W53,feed_mix_n,MATCH(AQ$5,feed_mix_w!$B$5:$AC$5,0),FALSE)/$Z53*VLOOKUP(AQ$5,feed_intensity_w,11,FALSE)</f>
        <v>0</v>
      </c>
      <c r="AR53" s="2">
        <f>VLOOKUP($W53,feed_mix_n,MATCH(AR$5,feed_mix_w!$B$5:$AC$5,0),FALSE)/$Z53*VLOOKUP(AR$5,feed_intensity_w,11,FALSE)</f>
        <v>0.15093242517178287</v>
      </c>
      <c r="AS53" s="389">
        <f>VLOOKUP($W53,feed_mix_n,MATCH(AS$5,feed_mix_w!$B$5:$AC$5,0),FALSE)/$Z53*VLOOKUP(AS$5,feed_intensity_w,11,FALSE)</f>
        <v>0</v>
      </c>
    </row>
    <row r="54" spans="1:45" ht="12.75" customHeight="1">
      <c r="A54" s="14" t="s">
        <v>2157</v>
      </c>
      <c r="B54" s="482">
        <v>946</v>
      </c>
      <c r="C54" s="24" t="s">
        <v>2158</v>
      </c>
      <c r="D54" s="513">
        <v>4</v>
      </c>
      <c r="E54" s="513">
        <v>19101</v>
      </c>
      <c r="F54" s="25">
        <f t="shared" si="11"/>
        <v>0.41841201685665524</v>
      </c>
      <c r="G54" s="25">
        <f t="shared" si="12"/>
        <v>4972.7922587682151</v>
      </c>
      <c r="H54" s="2">
        <f t="shared" si="13"/>
        <v>7.5117142030011106</v>
      </c>
      <c r="I54" s="25">
        <f t="shared" si="14"/>
        <v>3.1429914897284772</v>
      </c>
      <c r="J54" s="87">
        <f>IFERROR(G54*VLOOKUP(W54,livestock_intensity!$B$7:$I$29,8,FALSE)/Z54,0)</f>
        <v>37354.194238763179</v>
      </c>
      <c r="K54" s="2">
        <f>VLOOKUP($W54,feed_mix_n,MATCH(K$5,feed_mix_w!$B$5:$AC$5,0),FALSE)/$Z54*VLOOKUP(K$5,feed_intensity_w,11,FALSE)</f>
        <v>0</v>
      </c>
      <c r="L54" s="25">
        <f t="shared" si="15"/>
        <v>0</v>
      </c>
      <c r="M54" s="25">
        <f>IFERROR(G54*VLOOKUP(W54,livestock_intensity!$B$7:$M$29,12,FALSE)/Z54,0)</f>
        <v>0</v>
      </c>
      <c r="N54" s="2">
        <f>VLOOKUP($W54,feed_mix_n,MATCH(N$5,feed_mix_w!$B$5:$AC$5,0),FALSE)/$Z54*VLOOKUP(N$5,feed_intensity_w,11,FALSE)</f>
        <v>18.495750077696137</v>
      </c>
      <c r="O54" s="25">
        <f t="shared" si="16"/>
        <v>7.7388440932854783</v>
      </c>
      <c r="P54" s="343">
        <f>IFERROR(G54*VLOOKUP(W54,livestock_intensity!$B$7:$Q$29,16,FALSE)/Z54,0)</f>
        <v>91975.522806478955</v>
      </c>
      <c r="Q54" s="758"/>
      <c r="R54" s="331">
        <f t="shared" si="17"/>
        <v>10.881835583013956</v>
      </c>
      <c r="S54" s="331">
        <f t="shared" si="18"/>
        <v>129329.71704524214</v>
      </c>
      <c r="T54" s="739" t="s">
        <v>2738</v>
      </c>
      <c r="U54" s="558" t="s">
        <v>413</v>
      </c>
      <c r="V54" s="559" t="str">
        <f>IFERROR(VLOOKUP(W54,constant_ag_extr!$D$7:$E$594,2,FALSE),"")</f>
        <v>Buffaloes</v>
      </c>
      <c r="W54" s="560">
        <f t="shared" si="19"/>
        <v>946</v>
      </c>
      <c r="X54" s="2">
        <f>IFERROR(IF(VLOOKUP(B54,cnst_grazing!$C$10:$H$25,5,FALSE)="", IF(VLOOKUP(B54, cnst_grazing!$C$10:$H$25,3,FALSE)="", VLOOKUP(B54, cnst_grazing!$C$10:$H$25,4,FALSE),VLOOKUP(B54, cnst_grazing!$C$10:$H$25,3,FALSE)), VLOOKUP(B54,cnst_grazing!$C$10:$H$25,5,FALSE)),1)</f>
        <v>0.10460300421416381</v>
      </c>
      <c r="Y54" s="2">
        <f>IFERROR(IF(VLOOKUP(B54,cnst_grazing!$C$10:$H$25,6,FALSE)="", IF(VLOOKUP(B54, cnst_grazing!$C$10:$H$25,4,FALSE)="", VLOOKUP(B54, cnst_grazing!$C$10:$H$25,3,FALSE),VLOOKUP(B54, cnst_grazing!$C$10:$H$25,4,FALSE)), VLOOKUP(B54,cnst_grazing!$C$10:$H$25,6,FALSE)),1)</f>
        <v>0.26034198517188706</v>
      </c>
      <c r="Z54" s="400">
        <f t="shared" si="20"/>
        <v>1</v>
      </c>
      <c r="AA54" s="2">
        <f t="shared" si="21"/>
        <v>26.007464280697249</v>
      </c>
      <c r="AB54" s="2">
        <f>VLOOKUP($W54,feed_mix_n,MATCH(AB$5,feed_mix_w!$B$5:$AC$5,0),FALSE)/$Z54*VLOOKUP(AB$5,feed_intensity_w,11,FALSE)</f>
        <v>2.1067916603496082</v>
      </c>
      <c r="AC54" s="2">
        <f>VLOOKUP($W54,feed_mix_n,MATCH(AC$5,feed_mix_w!$B$5:$AC$5,0),FALSE)/$Z54*VLOOKUP(AC$5,feed_intensity_w,11,FALSE)</f>
        <v>0.8280733687275339</v>
      </c>
      <c r="AD54" s="2">
        <f>VLOOKUP($W54,feed_mix_n,MATCH(AD$5,feed_mix_w!$B$5:$AC$5,0),FALSE)/$Z54*VLOOKUP(AD$5,feed_intensity_w,11,FALSE)</f>
        <v>0</v>
      </c>
      <c r="AE54" s="2">
        <f>VLOOKUP($W54,feed_mix_n,MATCH(AE$5,feed_mix_w!$B$5:$AC$5,0),FALSE)/$Z54*VLOOKUP(AE$5,feed_intensity_w,11,FALSE)</f>
        <v>1.66711517272167</v>
      </c>
      <c r="AF54" s="2">
        <f>VLOOKUP($W54,feed_mix_n,MATCH(AF$5,feed_mix_w!$B$5:$AC$5,0),FALSE)/$Z54*VLOOKUP(AF$5,feed_intensity_w,11,FALSE)</f>
        <v>0.83355758636083499</v>
      </c>
      <c r="AG54" s="2">
        <f>VLOOKUP($W54,feed_mix_n,MATCH(AG$5,feed_mix_w!$B$5:$AC$5,0),FALSE)/$Z54*VLOOKUP(AG$5,feed_intensity_w,11,FALSE)</f>
        <v>0</v>
      </c>
      <c r="AH54" s="2">
        <f>VLOOKUP($W54,feed_mix_n,MATCH(AH$5,feed_mix_w!$B$5:$AC$5,0),FALSE)/$Z54*VLOOKUP(AH$5,feed_intensity_w,11,FALSE)</f>
        <v>0.83355758636083499</v>
      </c>
      <c r="AI54" s="2">
        <f>VLOOKUP($W54,feed_mix_n,MATCH(AI$5,feed_mix_w!$B$5:$AC$5,0),FALSE)/$Z54*VLOOKUP(AI$5,feed_intensity_w,11,FALSE)</f>
        <v>0</v>
      </c>
      <c r="AJ54" s="2">
        <f>VLOOKUP($W54,feed_mix_n,MATCH(AJ$5,feed_mix_w!$B$5:$AC$5,0),FALSE)/$Z54*VLOOKUP(AJ$5,feed_intensity_w,11,FALSE)</f>
        <v>0</v>
      </c>
      <c r="AK54" s="2">
        <f>VLOOKUP($W54,feed_mix_n,MATCH(AK$5,feed_mix_w!$B$5:$AC$5,0),FALSE)/$Z54*VLOOKUP(AK$5,feed_intensity_w,11,FALSE)</f>
        <v>0</v>
      </c>
      <c r="AL54" s="2">
        <f>VLOOKUP($W54,feed_mix_n,MATCH(AL$5,feed_mix_w!$B$5:$AC$5,0),FALSE)/$Z54*VLOOKUP(AL$5,feed_intensity_w,11,FALSE)</f>
        <v>0</v>
      </c>
      <c r="AM54" s="2">
        <f>VLOOKUP($W54,feed_mix_n,MATCH(AM$5,feed_mix_w!$B$5:$AC$5,0),FALSE)/$Z54*VLOOKUP(AM$5,feed_intensity_w,11,FALSE)</f>
        <v>0.57486368968571633</v>
      </c>
      <c r="AN54" s="2">
        <f>VLOOKUP($W54,feed_mix_n,MATCH(AN$5,feed_mix_w!$B$5:$AC$5,0),FALSE)/$Z54*VLOOKUP(AN$5,feed_intensity_w,11,FALSE)</f>
        <v>0</v>
      </c>
      <c r="AO54" s="2">
        <f>VLOOKUP($W54,feed_mix_n,MATCH(AO$5,feed_mix_w!$B$5:$AC$5,0),FALSE)/$Z54*VLOOKUP(AO$5,feed_intensity_w,11,FALSE)</f>
        <v>0</v>
      </c>
      <c r="AP54" s="2">
        <f>VLOOKUP($W54,feed_mix_n,MATCH(AP$5,feed_mix_w!$B$5:$AC$5,0),FALSE)/$Z54*VLOOKUP(AP$5,feed_intensity_w,11,FALSE)</f>
        <v>0</v>
      </c>
      <c r="AQ54" s="2">
        <f>VLOOKUP($W54,feed_mix_n,MATCH(AQ$5,feed_mix_w!$B$5:$AC$5,0),FALSE)/$Z54*VLOOKUP(AQ$5,feed_intensity_w,11,FALSE)</f>
        <v>0</v>
      </c>
      <c r="AR54" s="2">
        <f>VLOOKUP($W54,feed_mix_n,MATCH(AR$5,feed_mix_w!$B$5:$AC$5,0),FALSE)/$Z54*VLOOKUP(AR$5,feed_intensity_w,11,FALSE)</f>
        <v>0.66775513879491177</v>
      </c>
      <c r="AS54" s="389">
        <f>VLOOKUP($W54,feed_mix_n,MATCH(AS$5,feed_mix_w!$B$5:$AC$5,0),FALSE)/$Z54*VLOOKUP(AS$5,feed_intensity_w,11,FALSE)</f>
        <v>0</v>
      </c>
    </row>
    <row r="55" spans="1:45" ht="12.75" customHeight="1">
      <c r="A55" s="14" t="s">
        <v>4471</v>
      </c>
      <c r="B55" s="482">
        <v>947</v>
      </c>
      <c r="C55" s="24" t="s">
        <v>4472</v>
      </c>
      <c r="D55" s="513"/>
      <c r="E55" s="513"/>
      <c r="F55" s="25">
        <f t="shared" si="11"/>
        <v>0</v>
      </c>
      <c r="G55" s="25">
        <f t="shared" si="12"/>
        <v>0</v>
      </c>
      <c r="H55" s="2">
        <f t="shared" si="13"/>
        <v>9.8933751366312688</v>
      </c>
      <c r="I55" s="25">
        <f t="shared" si="14"/>
        <v>0</v>
      </c>
      <c r="J55" s="87">
        <f>IFERROR(G55*VLOOKUP(W55,livestock_intensity!$B$7:$I$29,8,FALSE)/Z55,0)</f>
        <v>0</v>
      </c>
      <c r="K55" s="2">
        <f>VLOOKUP($W55,feed_mix_n,MATCH(K$5,feed_mix_w!$B$5:$AC$5,0),FALSE)/$Z55*VLOOKUP(K$5,feed_intensity_w,11,FALSE)</f>
        <v>0</v>
      </c>
      <c r="L55" s="25">
        <f t="shared" si="15"/>
        <v>0</v>
      </c>
      <c r="M55" s="25">
        <f>IFERROR(G55*VLOOKUP(W55,livestock_intensity!$B$7:$M$29,12,FALSE)/Z55,0)</f>
        <v>0</v>
      </c>
      <c r="N55" s="2">
        <f>VLOOKUP($W55,feed_mix_n,MATCH(N$5,feed_mix_w!$B$5:$AC$5,0),FALSE)/$Z55*VLOOKUP(N$5,feed_intensity_w,11,FALSE)</f>
        <v>24.360004788110523</v>
      </c>
      <c r="O55" s="25">
        <f t="shared" si="16"/>
        <v>0</v>
      </c>
      <c r="P55" s="343">
        <f>IFERROR(G55*VLOOKUP(W55,livestock_intensity!$B$7:$Q$29,16,FALSE)/Z55,0)</f>
        <v>0</v>
      </c>
      <c r="Q55" s="758"/>
      <c r="R55" s="331">
        <f t="shared" si="17"/>
        <v>0</v>
      </c>
      <c r="S55" s="331">
        <f t="shared" si="18"/>
        <v>0</v>
      </c>
      <c r="T55" s="739" t="s">
        <v>2738</v>
      </c>
      <c r="U55" s="558" t="s">
        <v>2796</v>
      </c>
      <c r="V55" s="559" t="str">
        <f>IFERROR(VLOOKUP(W55,constant_ag_extr!$D$7:$E$594,2,FALSE),"")</f>
        <v>Buffaloes</v>
      </c>
      <c r="W55" s="560">
        <f t="shared" si="19"/>
        <v>946</v>
      </c>
      <c r="X55" s="2">
        <f>IFERROR(IF(VLOOKUP(B55,cnst_grazing!$C$10:$H$25,5,FALSE)="", IF(VLOOKUP(B55, cnst_grazing!$C$10:$H$25,3,FALSE)="", VLOOKUP(B55, cnst_grazing!$C$10:$H$25,4,FALSE),VLOOKUP(B55, cnst_grazing!$C$10:$H$25,3,FALSE)), VLOOKUP(B55,cnst_grazing!$C$10:$H$25,5,FALSE)),1)</f>
        <v>1</v>
      </c>
      <c r="Y55" s="2">
        <f>IFERROR(IF(VLOOKUP(B55,cnst_grazing!$C$10:$H$25,6,FALSE)="", IF(VLOOKUP(B55, cnst_grazing!$C$10:$H$25,4,FALSE)="", VLOOKUP(B55, cnst_grazing!$C$10:$H$25,3,FALSE),VLOOKUP(B55, cnst_grazing!$C$10:$H$25,4,FALSE)), VLOOKUP(B55,cnst_grazing!$C$10:$H$25,6,FALSE)),1)</f>
        <v>1</v>
      </c>
      <c r="Z55" s="400">
        <f t="shared" si="20"/>
        <v>0.7592670953301055</v>
      </c>
      <c r="AA55" s="2">
        <f t="shared" si="21"/>
        <v>34.253379924741793</v>
      </c>
      <c r="AB55" s="2">
        <f>VLOOKUP($W55,feed_mix_n,MATCH(AB$5,feed_mix_w!$B$5:$AC$5,0),FALSE)/$Z55*VLOOKUP(AB$5,feed_intensity_w,11,FALSE)</f>
        <v>2.7747701346568183</v>
      </c>
      <c r="AC55" s="2">
        <f>VLOOKUP($W55,feed_mix_n,MATCH(AC$5,feed_mix_w!$B$5:$AC$5,0),FALSE)/$Z55*VLOOKUP(AC$5,feed_intensity_w,11,FALSE)</f>
        <v>1.0906219613896393</v>
      </c>
      <c r="AD55" s="2">
        <f>VLOOKUP($W55,feed_mix_n,MATCH(AD$5,feed_mix_w!$B$5:$AC$5,0),FALSE)/$Z55*VLOOKUP(AD$5,feed_intensity_w,11,FALSE)</f>
        <v>0</v>
      </c>
      <c r="AE55" s="2">
        <f>VLOOKUP($W55,feed_mix_n,MATCH(AE$5,feed_mix_w!$B$5:$AC$5,0),FALSE)/$Z55*VLOOKUP(AE$5,feed_intensity_w,11,FALSE)</f>
        <v>2.1956900055004498</v>
      </c>
      <c r="AF55" s="2">
        <f>VLOOKUP($W55,feed_mix_n,MATCH(AF$5,feed_mix_w!$B$5:$AC$5,0),FALSE)/$Z55*VLOOKUP(AF$5,feed_intensity_w,11,FALSE)</f>
        <v>1.0978450027502249</v>
      </c>
      <c r="AG55" s="2">
        <f>VLOOKUP($W55,feed_mix_n,MATCH(AG$5,feed_mix_w!$B$5:$AC$5,0),FALSE)/$Z55*VLOOKUP(AG$5,feed_intensity_w,11,FALSE)</f>
        <v>0</v>
      </c>
      <c r="AH55" s="2">
        <f>VLOOKUP($W55,feed_mix_n,MATCH(AH$5,feed_mix_w!$B$5:$AC$5,0),FALSE)/$Z55*VLOOKUP(AH$5,feed_intensity_w,11,FALSE)</f>
        <v>1.0978450027502249</v>
      </c>
      <c r="AI55" s="2">
        <f>VLOOKUP($W55,feed_mix_n,MATCH(AI$5,feed_mix_w!$B$5:$AC$5,0),FALSE)/$Z55*VLOOKUP(AI$5,feed_intensity_w,11,FALSE)</f>
        <v>0</v>
      </c>
      <c r="AJ55" s="2">
        <f>VLOOKUP($W55,feed_mix_n,MATCH(AJ$5,feed_mix_w!$B$5:$AC$5,0),FALSE)/$Z55*VLOOKUP(AJ$5,feed_intensity_w,11,FALSE)</f>
        <v>0</v>
      </c>
      <c r="AK55" s="2">
        <f>VLOOKUP($W55,feed_mix_n,MATCH(AK$5,feed_mix_w!$B$5:$AC$5,0),FALSE)/$Z55*VLOOKUP(AK$5,feed_intensity_w,11,FALSE)</f>
        <v>0</v>
      </c>
      <c r="AL55" s="2">
        <f>VLOOKUP($W55,feed_mix_n,MATCH(AL$5,feed_mix_w!$B$5:$AC$5,0),FALSE)/$Z55*VLOOKUP(AL$5,feed_intensity_w,11,FALSE)</f>
        <v>0</v>
      </c>
      <c r="AM55" s="2">
        <f>VLOOKUP($W55,feed_mix_n,MATCH(AM$5,feed_mix_w!$B$5:$AC$5,0),FALSE)/$Z55*VLOOKUP(AM$5,feed_intensity_w,11,FALSE)</f>
        <v>0.75712972842025195</v>
      </c>
      <c r="AN55" s="2">
        <f>VLOOKUP($W55,feed_mix_n,MATCH(AN$5,feed_mix_w!$B$5:$AC$5,0),FALSE)/$Z55*VLOOKUP(AN$5,feed_intensity_w,11,FALSE)</f>
        <v>0</v>
      </c>
      <c r="AO55" s="2">
        <f>VLOOKUP($W55,feed_mix_n,MATCH(AO$5,feed_mix_w!$B$5:$AC$5,0),FALSE)/$Z55*VLOOKUP(AO$5,feed_intensity_w,11,FALSE)</f>
        <v>0</v>
      </c>
      <c r="AP55" s="2">
        <f>VLOOKUP($W55,feed_mix_n,MATCH(AP$5,feed_mix_w!$B$5:$AC$5,0),FALSE)/$Z55*VLOOKUP(AP$5,feed_intensity_w,11,FALSE)</f>
        <v>0</v>
      </c>
      <c r="AQ55" s="2">
        <f>VLOOKUP($W55,feed_mix_n,MATCH(AQ$5,feed_mix_w!$B$5:$AC$5,0),FALSE)/$Z55*VLOOKUP(AQ$5,feed_intensity_w,11,FALSE)</f>
        <v>0</v>
      </c>
      <c r="AR55" s="2">
        <f>VLOOKUP($W55,feed_mix_n,MATCH(AR$5,feed_mix_w!$B$5:$AC$5,0),FALSE)/$Z55*VLOOKUP(AR$5,feed_intensity_w,11,FALSE)</f>
        <v>0.87947330116366085</v>
      </c>
      <c r="AS55" s="389">
        <f>VLOOKUP($W55,feed_mix_n,MATCH(AS$5,feed_mix_w!$B$5:$AC$5,0),FALSE)/$Z55*VLOOKUP(AS$5,feed_intensity_w,11,FALSE)</f>
        <v>0</v>
      </c>
    </row>
    <row r="56" spans="1:45" ht="12.75" customHeight="1">
      <c r="A56" s="14" t="s">
        <v>7143</v>
      </c>
      <c r="B56" s="482">
        <v>953</v>
      </c>
      <c r="C56" s="24" t="s">
        <v>1209</v>
      </c>
      <c r="D56" s="513"/>
      <c r="E56" s="513"/>
      <c r="F56" s="25">
        <f t="shared" si="11"/>
        <v>0</v>
      </c>
      <c r="G56" s="25">
        <f t="shared" si="12"/>
        <v>0</v>
      </c>
      <c r="H56" s="2" t="e">
        <f t="shared" si="13"/>
        <v>#N/A</v>
      </c>
      <c r="I56" s="25">
        <f t="shared" si="14"/>
        <v>0</v>
      </c>
      <c r="J56" s="87">
        <f>IFERROR(G56*VLOOKUP(W56,livestock_intensity!$B$7:$I$29,8,FALSE)/Z56,0)</f>
        <v>0</v>
      </c>
      <c r="K56" s="2" t="e">
        <f>VLOOKUP($W56,feed_mix_n,MATCH(K$5,feed_mix_w!$B$5:$AC$5,0),FALSE)/$Z56*VLOOKUP(K$5,feed_intensity_w,11,FALSE)</f>
        <v>#N/A</v>
      </c>
      <c r="L56" s="25">
        <f t="shared" si="15"/>
        <v>0</v>
      </c>
      <c r="M56" s="25">
        <f>IFERROR(G56*VLOOKUP(W56,livestock_intensity!$B$7:$M$29,12,FALSE)/Z56,0)</f>
        <v>0</v>
      </c>
      <c r="N56" s="2" t="e">
        <f>VLOOKUP($W56,feed_mix_n,MATCH(N$5,feed_mix_w!$B$5:$AC$5,0),FALSE)/$Z56*VLOOKUP(N$5,feed_intensity_w,11,FALSE)</f>
        <v>#N/A</v>
      </c>
      <c r="O56" s="25">
        <f t="shared" si="16"/>
        <v>0</v>
      </c>
      <c r="P56" s="343">
        <f>IFERROR(G56*VLOOKUP(W56,livestock_intensity!$B$7:$Q$29,16,FALSE)/Z56,0)</f>
        <v>0</v>
      </c>
      <c r="Q56" s="758"/>
      <c r="R56" s="331">
        <f t="shared" si="17"/>
        <v>0</v>
      </c>
      <c r="S56" s="331">
        <f t="shared" si="18"/>
        <v>0</v>
      </c>
      <c r="T56" s="739" t="s">
        <v>2738</v>
      </c>
      <c r="U56" s="558" t="s">
        <v>2796</v>
      </c>
      <c r="V56" s="559" t="str">
        <f>IFERROR(VLOOKUP(W56,constant_ag_extr!$D$7:$E$594,2,FALSE),"")</f>
        <v/>
      </c>
      <c r="W56" s="560">
        <f t="shared" si="19"/>
        <v>0</v>
      </c>
      <c r="X56" s="2">
        <f>IFERROR(IF(VLOOKUP(B56,cnst_grazing!$C$10:$H$25,5,FALSE)="", IF(VLOOKUP(B56, cnst_grazing!$C$10:$H$25,3,FALSE)="", VLOOKUP(B56, cnst_grazing!$C$10:$H$25,4,FALSE),VLOOKUP(B56, cnst_grazing!$C$10:$H$25,3,FALSE)), VLOOKUP(B56,cnst_grazing!$C$10:$H$25,5,FALSE)),1)</f>
        <v>1</v>
      </c>
      <c r="Y56" s="2">
        <f>IFERROR(IF(VLOOKUP(B56,cnst_grazing!$C$10:$H$25,6,FALSE)="", IF(VLOOKUP(B56, cnst_grazing!$C$10:$H$25,4,FALSE)="", VLOOKUP(B56, cnst_grazing!$C$10:$H$25,3,FALSE),VLOOKUP(B56, cnst_grazing!$C$10:$H$25,4,FALSE)), VLOOKUP(B56,cnst_grazing!$C$10:$H$25,6,FALSE)),1)</f>
        <v>1</v>
      </c>
      <c r="Z56" s="400">
        <f t="shared" si="20"/>
        <v>1</v>
      </c>
      <c r="AA56" s="2" t="e">
        <f t="shared" si="21"/>
        <v>#N/A</v>
      </c>
      <c r="AB56" s="2" t="e">
        <f>VLOOKUP($W56,feed_mix_n,MATCH(AB$5,feed_mix_w!$B$5:$AC$5,0),FALSE)/$Z56*VLOOKUP(AB$5,feed_intensity_w,11,FALSE)</f>
        <v>#N/A</v>
      </c>
      <c r="AC56" s="2" t="e">
        <f>VLOOKUP($W56,feed_mix_n,MATCH(AC$5,feed_mix_w!$B$5:$AC$5,0),FALSE)/$Z56*VLOOKUP(AC$5,feed_intensity_w,11,FALSE)</f>
        <v>#N/A</v>
      </c>
      <c r="AD56" s="2" t="e">
        <f>VLOOKUP($W56,feed_mix_n,MATCH(AD$5,feed_mix_w!$B$5:$AC$5,0),FALSE)/$Z56*VLOOKUP(AD$5,feed_intensity_w,11,FALSE)</f>
        <v>#N/A</v>
      </c>
      <c r="AE56" s="2" t="e">
        <f>VLOOKUP($W56,feed_mix_n,MATCH(AE$5,feed_mix_w!$B$5:$AC$5,0),FALSE)/$Z56*VLOOKUP(AE$5,feed_intensity_w,11,FALSE)</f>
        <v>#N/A</v>
      </c>
      <c r="AF56" s="2" t="e">
        <f>VLOOKUP($W56,feed_mix_n,MATCH(AF$5,feed_mix_w!$B$5:$AC$5,0),FALSE)/$Z56*VLOOKUP(AF$5,feed_intensity_w,11,FALSE)</f>
        <v>#N/A</v>
      </c>
      <c r="AG56" s="2" t="e">
        <f>VLOOKUP($W56,feed_mix_n,MATCH(AG$5,feed_mix_w!$B$5:$AC$5,0),FALSE)/$Z56*VLOOKUP(AG$5,feed_intensity_w,11,FALSE)</f>
        <v>#N/A</v>
      </c>
      <c r="AH56" s="2" t="e">
        <f>VLOOKUP($W56,feed_mix_n,MATCH(AH$5,feed_mix_w!$B$5:$AC$5,0),FALSE)/$Z56*VLOOKUP(AH$5,feed_intensity_w,11,FALSE)</f>
        <v>#N/A</v>
      </c>
      <c r="AI56" s="2" t="e">
        <f>VLOOKUP($W56,feed_mix_n,MATCH(AI$5,feed_mix_w!$B$5:$AC$5,0),FALSE)/$Z56*VLOOKUP(AI$5,feed_intensity_w,11,FALSE)</f>
        <v>#N/A</v>
      </c>
      <c r="AJ56" s="2" t="e">
        <f>VLOOKUP($W56,feed_mix_n,MATCH(AJ$5,feed_mix_w!$B$5:$AC$5,0),FALSE)/$Z56*VLOOKUP(AJ$5,feed_intensity_w,11,FALSE)</f>
        <v>#N/A</v>
      </c>
      <c r="AK56" s="2" t="e">
        <f>VLOOKUP($W56,feed_mix_n,MATCH(AK$5,feed_mix_w!$B$5:$AC$5,0),FALSE)/$Z56*VLOOKUP(AK$5,feed_intensity_w,11,FALSE)</f>
        <v>#N/A</v>
      </c>
      <c r="AL56" s="2" t="e">
        <f>VLOOKUP($W56,feed_mix_n,MATCH(AL$5,feed_mix_w!$B$5:$AC$5,0),FALSE)/$Z56*VLOOKUP(AL$5,feed_intensity_w,11,FALSE)</f>
        <v>#N/A</v>
      </c>
      <c r="AM56" s="2" t="e">
        <f>VLOOKUP($W56,feed_mix_n,MATCH(AM$5,feed_mix_w!$B$5:$AC$5,0),FALSE)/$Z56*VLOOKUP(AM$5,feed_intensity_w,11,FALSE)</f>
        <v>#N/A</v>
      </c>
      <c r="AN56" s="2" t="e">
        <f>VLOOKUP($W56,feed_mix_n,MATCH(AN$5,feed_mix_w!$B$5:$AC$5,0),FALSE)/$Z56*VLOOKUP(AN$5,feed_intensity_w,11,FALSE)</f>
        <v>#N/A</v>
      </c>
      <c r="AO56" s="2" t="e">
        <f>VLOOKUP($W56,feed_mix_n,MATCH(AO$5,feed_mix_w!$B$5:$AC$5,0),FALSE)/$Z56*VLOOKUP(AO$5,feed_intensity_w,11,FALSE)</f>
        <v>#N/A</v>
      </c>
      <c r="AP56" s="2" t="e">
        <f>VLOOKUP($W56,feed_mix_n,MATCH(AP$5,feed_mix_w!$B$5:$AC$5,0),FALSE)/$Z56*VLOOKUP(AP$5,feed_intensity_w,11,FALSE)</f>
        <v>#N/A</v>
      </c>
      <c r="AQ56" s="2" t="e">
        <f>VLOOKUP($W56,feed_mix_n,MATCH(AQ$5,feed_mix_w!$B$5:$AC$5,0),FALSE)/$Z56*VLOOKUP(AQ$5,feed_intensity_w,11,FALSE)</f>
        <v>#N/A</v>
      </c>
      <c r="AR56" s="2" t="e">
        <f>VLOOKUP($W56,feed_mix_n,MATCH(AR$5,feed_mix_w!$B$5:$AC$5,0),FALSE)/$Z56*VLOOKUP(AR$5,feed_intensity_w,11,FALSE)</f>
        <v>#N/A</v>
      </c>
      <c r="AS56" s="389" t="e">
        <f>VLOOKUP($W56,feed_mix_n,MATCH(AS$5,feed_mix_w!$B$5:$AC$5,0),FALSE)/$Z56*VLOOKUP(AS$5,feed_intensity_w,11,FALSE)</f>
        <v>#N/A</v>
      </c>
    </row>
    <row r="57" spans="1:45" ht="12.75" customHeight="1">
      <c r="A57" s="14" t="s">
        <v>7144</v>
      </c>
      <c r="B57" s="482">
        <v>958</v>
      </c>
      <c r="C57" s="24" t="s">
        <v>1551</v>
      </c>
      <c r="D57" s="513"/>
      <c r="E57" s="513"/>
      <c r="F57" s="25">
        <f t="shared" si="11"/>
        <v>0</v>
      </c>
      <c r="G57" s="25">
        <f t="shared" si="12"/>
        <v>0</v>
      </c>
      <c r="H57" s="2">
        <f t="shared" si="13"/>
        <v>4.9442134041507302</v>
      </c>
      <c r="I57" s="25">
        <f t="shared" si="14"/>
        <v>0</v>
      </c>
      <c r="J57" s="87">
        <f>IFERROR(G57*VLOOKUP(W57,livestock_intensity!$B$7:$I$29,8,FALSE)/Z57,0)</f>
        <v>0</v>
      </c>
      <c r="K57" s="2">
        <f>VLOOKUP($W57,feed_mix_n,MATCH(K$5,feed_mix_w!$B$5:$AC$5,0),FALSE)/$Z57*VLOOKUP(K$5,feed_intensity_w,11,FALSE)</f>
        <v>0</v>
      </c>
      <c r="L57" s="25">
        <f t="shared" si="15"/>
        <v>0</v>
      </c>
      <c r="M57" s="25">
        <f>IFERROR(G57*VLOOKUP(W57,livestock_intensity!$B$7:$M$29,12,FALSE)/Z57,0)</f>
        <v>0</v>
      </c>
      <c r="N57" s="2">
        <f>VLOOKUP($W57,feed_mix_n,MATCH(N$5,feed_mix_w!$B$5:$AC$5,0),FALSE)/$Z57*VLOOKUP(N$5,feed_intensity_w,11,FALSE)</f>
        <v>12.173910372872268</v>
      </c>
      <c r="O57" s="25">
        <f t="shared" si="16"/>
        <v>0</v>
      </c>
      <c r="P57" s="343">
        <f>IFERROR(G57*VLOOKUP(W57,livestock_intensity!$B$7:$Q$29,16,FALSE)/Z57,0)</f>
        <v>0</v>
      </c>
      <c r="Q57" s="758"/>
      <c r="R57" s="331">
        <f t="shared" si="17"/>
        <v>0</v>
      </c>
      <c r="S57" s="331">
        <f t="shared" si="18"/>
        <v>0</v>
      </c>
      <c r="T57" s="739">
        <v>2748</v>
      </c>
      <c r="U57" s="558" t="s">
        <v>2796</v>
      </c>
      <c r="V57" s="559" t="str">
        <f>IFERROR(VLOOKUP(W57,constant_ag_extr!$D$7:$E$594,2,FALSE),"")</f>
        <v>Buffaloes</v>
      </c>
      <c r="W57" s="560">
        <f t="shared" si="19"/>
        <v>946</v>
      </c>
      <c r="X57" s="2">
        <f>IFERROR(IF(VLOOKUP(B57,cnst_grazing!$C$10:$H$25,5,FALSE)="", IF(VLOOKUP(B57, cnst_grazing!$C$10:$H$25,3,FALSE)="", VLOOKUP(B57, cnst_grazing!$C$10:$H$25,4,FALSE),VLOOKUP(B57, cnst_grazing!$C$10:$H$25,3,FALSE)), VLOOKUP(B57,cnst_grazing!$C$10:$H$25,5,FALSE)),1)</f>
        <v>1</v>
      </c>
      <c r="Y57" s="2">
        <f>IFERROR(IF(VLOOKUP(B57,cnst_grazing!$C$10:$H$25,6,FALSE)="", IF(VLOOKUP(B57, cnst_grazing!$C$10:$H$25,4,FALSE)="", VLOOKUP(B57, cnst_grazing!$C$10:$H$25,3,FALSE),VLOOKUP(B57, cnst_grazing!$C$10:$H$25,4,FALSE)), VLOOKUP(B57,cnst_grazing!$C$10:$H$25,6,FALSE)),1)</f>
        <v>1</v>
      </c>
      <c r="Z57" s="400">
        <f t="shared" si="20"/>
        <v>1.5192940896715605</v>
      </c>
      <c r="AA57" s="2">
        <f t="shared" si="21"/>
        <v>17.118123777022998</v>
      </c>
      <c r="AB57" s="2">
        <f>VLOOKUP($W57,feed_mix_n,MATCH(AB$5,feed_mix_w!$B$5:$AC$5,0),FALSE)/$Z57*VLOOKUP(AB$5,feed_intensity_w,11,FALSE)</f>
        <v>1.3866911447046124</v>
      </c>
      <c r="AC57" s="2">
        <f>VLOOKUP($W57,feed_mix_n,MATCH(AC$5,feed_mix_w!$B$5:$AC$5,0),FALSE)/$Z57*VLOOKUP(AC$5,feed_intensity_w,11,FALSE)</f>
        <v>0.545038234767665</v>
      </c>
      <c r="AD57" s="2">
        <f>VLOOKUP($W57,feed_mix_n,MATCH(AD$5,feed_mix_w!$B$5:$AC$5,0),FALSE)/$Z57*VLOOKUP(AD$5,feed_intensity_w,11,FALSE)</f>
        <v>0</v>
      </c>
      <c r="AE57" s="2">
        <f>VLOOKUP($W57,feed_mix_n,MATCH(AE$5,feed_mix_w!$B$5:$AC$5,0),FALSE)/$Z57*VLOOKUP(AE$5,feed_intensity_w,11,FALSE)</f>
        <v>1.097295898177334</v>
      </c>
      <c r="AF57" s="2">
        <f>VLOOKUP($W57,feed_mix_n,MATCH(AF$5,feed_mix_w!$B$5:$AC$5,0),FALSE)/$Z57*VLOOKUP(AF$5,feed_intensity_w,11,FALSE)</f>
        <v>0.54864794908866699</v>
      </c>
      <c r="AG57" s="2">
        <f>VLOOKUP($W57,feed_mix_n,MATCH(AG$5,feed_mix_w!$B$5:$AC$5,0),FALSE)/$Z57*VLOOKUP(AG$5,feed_intensity_w,11,FALSE)</f>
        <v>0</v>
      </c>
      <c r="AH57" s="2">
        <f>VLOOKUP($W57,feed_mix_n,MATCH(AH$5,feed_mix_w!$B$5:$AC$5,0),FALSE)/$Z57*VLOOKUP(AH$5,feed_intensity_w,11,FALSE)</f>
        <v>0.54864794908866699</v>
      </c>
      <c r="AI57" s="2">
        <f>VLOOKUP($W57,feed_mix_n,MATCH(AI$5,feed_mix_w!$B$5:$AC$5,0),FALSE)/$Z57*VLOOKUP(AI$5,feed_intensity_w,11,FALSE)</f>
        <v>0</v>
      </c>
      <c r="AJ57" s="2">
        <f>VLOOKUP($W57,feed_mix_n,MATCH(AJ$5,feed_mix_w!$B$5:$AC$5,0),FALSE)/$Z57*VLOOKUP(AJ$5,feed_intensity_w,11,FALSE)</f>
        <v>0</v>
      </c>
      <c r="AK57" s="2">
        <f>VLOOKUP($W57,feed_mix_n,MATCH(AK$5,feed_mix_w!$B$5:$AC$5,0),FALSE)/$Z57*VLOOKUP(AK$5,feed_intensity_w,11,FALSE)</f>
        <v>0</v>
      </c>
      <c r="AL57" s="2">
        <f>VLOOKUP($W57,feed_mix_n,MATCH(AL$5,feed_mix_w!$B$5:$AC$5,0),FALSE)/$Z57*VLOOKUP(AL$5,feed_intensity_w,11,FALSE)</f>
        <v>0</v>
      </c>
      <c r="AM57" s="2">
        <f>VLOOKUP($W57,feed_mix_n,MATCH(AM$5,feed_mix_w!$B$5:$AC$5,0),FALSE)/$Z57*VLOOKUP(AM$5,feed_intensity_w,11,FALSE)</f>
        <v>0.37837551899513394</v>
      </c>
      <c r="AN57" s="2">
        <f>VLOOKUP($W57,feed_mix_n,MATCH(AN$5,feed_mix_w!$B$5:$AC$5,0),FALSE)/$Z57*VLOOKUP(AN$5,feed_intensity_w,11,FALSE)</f>
        <v>0</v>
      </c>
      <c r="AO57" s="2">
        <f>VLOOKUP($W57,feed_mix_n,MATCH(AO$5,feed_mix_w!$B$5:$AC$5,0),FALSE)/$Z57*VLOOKUP(AO$5,feed_intensity_w,11,FALSE)</f>
        <v>0</v>
      </c>
      <c r="AP57" s="2">
        <f>VLOOKUP($W57,feed_mix_n,MATCH(AP$5,feed_mix_w!$B$5:$AC$5,0),FALSE)/$Z57*VLOOKUP(AP$5,feed_intensity_w,11,FALSE)</f>
        <v>0</v>
      </c>
      <c r="AQ57" s="2">
        <f>VLOOKUP($W57,feed_mix_n,MATCH(AQ$5,feed_mix_w!$B$5:$AC$5,0),FALSE)/$Z57*VLOOKUP(AQ$5,feed_intensity_w,11,FALSE)</f>
        <v>0</v>
      </c>
      <c r="AR57" s="2">
        <f>VLOOKUP($W57,feed_mix_n,MATCH(AR$5,feed_mix_w!$B$5:$AC$5,0),FALSE)/$Z57*VLOOKUP(AR$5,feed_intensity_w,11,FALSE)</f>
        <v>0.43951670932865039</v>
      </c>
      <c r="AS57" s="389">
        <f>VLOOKUP($W57,feed_mix_n,MATCH(AS$5,feed_mix_w!$B$5:$AC$5,0),FALSE)/$Z57*VLOOKUP(AS$5,feed_intensity_w,11,FALSE)</f>
        <v>0</v>
      </c>
    </row>
    <row r="58" spans="1:45" ht="12.75" customHeight="1">
      <c r="A58" s="14" t="s">
        <v>7145</v>
      </c>
      <c r="B58" s="482">
        <v>959</v>
      </c>
      <c r="C58" s="24" t="s">
        <v>5339</v>
      </c>
      <c r="D58" s="513"/>
      <c r="E58" s="513"/>
      <c r="F58" s="25">
        <f t="shared" si="11"/>
        <v>0</v>
      </c>
      <c r="G58" s="25">
        <f t="shared" si="12"/>
        <v>0</v>
      </c>
      <c r="H58" s="2">
        <f t="shared" si="13"/>
        <v>11.423896809590474</v>
      </c>
      <c r="I58" s="25">
        <f t="shared" si="14"/>
        <v>0</v>
      </c>
      <c r="J58" s="87">
        <f>IFERROR(G58*VLOOKUP(W58,livestock_intensity!$B$7:$I$29,8,FALSE)/Z58,0)</f>
        <v>0</v>
      </c>
      <c r="K58" s="2">
        <f>VLOOKUP($W58,feed_mix_n,MATCH(K$5,feed_mix_w!$B$5:$AC$5,0),FALSE)/$Z58*VLOOKUP(K$5,feed_intensity_w,11,FALSE)</f>
        <v>0</v>
      </c>
      <c r="L58" s="25">
        <f t="shared" si="15"/>
        <v>0</v>
      </c>
      <c r="M58" s="25">
        <f>IFERROR(G58*VLOOKUP(W58,livestock_intensity!$B$7:$M$29,12,FALSE)/Z58,0)</f>
        <v>0</v>
      </c>
      <c r="N58" s="2">
        <f>VLOOKUP($W58,feed_mix_n,MATCH(N$5,feed_mix_w!$B$5:$AC$5,0),FALSE)/$Z58*VLOOKUP(N$5,feed_intensity_w,11,FALSE)</f>
        <v>28.128538252847637</v>
      </c>
      <c r="O58" s="25">
        <f t="shared" si="16"/>
        <v>0</v>
      </c>
      <c r="P58" s="343">
        <f>IFERROR(G58*VLOOKUP(W58,livestock_intensity!$B$7:$Q$29,16,FALSE)/Z58,0)</f>
        <v>0</v>
      </c>
      <c r="Q58" s="758"/>
      <c r="R58" s="331">
        <f t="shared" si="17"/>
        <v>0</v>
      </c>
      <c r="S58" s="331">
        <f t="shared" si="18"/>
        <v>0</v>
      </c>
      <c r="T58" s="739">
        <v>2748</v>
      </c>
      <c r="U58" s="558" t="s">
        <v>2796</v>
      </c>
      <c r="V58" s="559" t="str">
        <f>IFERROR(VLOOKUP(W58,constant_ag_extr!$D$7:$E$594,2,FALSE),"")</f>
        <v>Buffaloes</v>
      </c>
      <c r="W58" s="560">
        <f t="shared" si="19"/>
        <v>946</v>
      </c>
      <c r="X58" s="2">
        <f>IFERROR(IF(VLOOKUP(B58,cnst_grazing!$C$10:$H$25,5,FALSE)="", IF(VLOOKUP(B58, cnst_grazing!$C$10:$H$25,3,FALSE)="", VLOOKUP(B58, cnst_grazing!$C$10:$H$25,4,FALSE),VLOOKUP(B58, cnst_grazing!$C$10:$H$25,3,FALSE)), VLOOKUP(B58,cnst_grazing!$C$10:$H$25,5,FALSE)),1)</f>
        <v>1</v>
      </c>
      <c r="Y58" s="2">
        <f>IFERROR(IF(VLOOKUP(B58,cnst_grazing!$C$10:$H$25,6,FALSE)="", IF(VLOOKUP(B58, cnst_grazing!$C$10:$H$25,4,FALSE)="", VLOOKUP(B58, cnst_grazing!$C$10:$H$25,3,FALSE),VLOOKUP(B58, cnst_grazing!$C$10:$H$25,4,FALSE)), VLOOKUP(B58,cnst_grazing!$C$10:$H$25,6,FALSE)),1)</f>
        <v>1</v>
      </c>
      <c r="Z58" s="400">
        <f t="shared" si="20"/>
        <v>0.65754394741161815</v>
      </c>
      <c r="AA58" s="2">
        <f t="shared" si="21"/>
        <v>39.552435062438107</v>
      </c>
      <c r="AB58" s="2">
        <f>VLOOKUP($W58,feed_mix_n,MATCH(AB$5,feed_mix_w!$B$5:$AC$5,0),FALSE)/$Z58*VLOOKUP(AB$5,feed_intensity_w,11,FALSE)</f>
        <v>3.2040317132305236</v>
      </c>
      <c r="AC58" s="2">
        <f>VLOOKUP($W58,feed_mix_n,MATCH(AC$5,feed_mix_w!$B$5:$AC$5,0),FALSE)/$Z58*VLOOKUP(AC$5,feed_intensity_w,11,FALSE)</f>
        <v>1.2593430020718683</v>
      </c>
      <c r="AD58" s="2">
        <f>VLOOKUP($W58,feed_mix_n,MATCH(AD$5,feed_mix_w!$B$5:$AC$5,0),FALSE)/$Z58*VLOOKUP(AD$5,feed_intensity_w,11,FALSE)</f>
        <v>0</v>
      </c>
      <c r="AE58" s="2">
        <f>VLOOKUP($W58,feed_mix_n,MATCH(AE$5,feed_mix_w!$B$5:$AC$5,0),FALSE)/$Z58*VLOOKUP(AE$5,feed_intensity_w,11,FALSE)</f>
        <v>2.5353669200122178</v>
      </c>
      <c r="AF58" s="2">
        <f>VLOOKUP($W58,feed_mix_n,MATCH(AF$5,feed_mix_w!$B$5:$AC$5,0),FALSE)/$Z58*VLOOKUP(AF$5,feed_intensity_w,11,FALSE)</f>
        <v>1.2676834600061089</v>
      </c>
      <c r="AG58" s="2">
        <f>VLOOKUP($W58,feed_mix_n,MATCH(AG$5,feed_mix_w!$B$5:$AC$5,0),FALSE)/$Z58*VLOOKUP(AG$5,feed_intensity_w,11,FALSE)</f>
        <v>0</v>
      </c>
      <c r="AH58" s="2">
        <f>VLOOKUP($W58,feed_mix_n,MATCH(AH$5,feed_mix_w!$B$5:$AC$5,0),FALSE)/$Z58*VLOOKUP(AH$5,feed_intensity_w,11,FALSE)</f>
        <v>1.2676834600061089</v>
      </c>
      <c r="AI58" s="2">
        <f>VLOOKUP($W58,feed_mix_n,MATCH(AI$5,feed_mix_w!$B$5:$AC$5,0),FALSE)/$Z58*VLOOKUP(AI$5,feed_intensity_w,11,FALSE)</f>
        <v>0</v>
      </c>
      <c r="AJ58" s="2">
        <f>VLOOKUP($W58,feed_mix_n,MATCH(AJ$5,feed_mix_w!$B$5:$AC$5,0),FALSE)/$Z58*VLOOKUP(AJ$5,feed_intensity_w,11,FALSE)</f>
        <v>0</v>
      </c>
      <c r="AK58" s="2">
        <f>VLOOKUP($W58,feed_mix_n,MATCH(AK$5,feed_mix_w!$B$5:$AC$5,0),FALSE)/$Z58*VLOOKUP(AK$5,feed_intensity_w,11,FALSE)</f>
        <v>0</v>
      </c>
      <c r="AL58" s="2">
        <f>VLOOKUP($W58,feed_mix_n,MATCH(AL$5,feed_mix_w!$B$5:$AC$5,0),FALSE)/$Z58*VLOOKUP(AL$5,feed_intensity_w,11,FALSE)</f>
        <v>0</v>
      </c>
      <c r="AM58" s="2">
        <f>VLOOKUP($W58,feed_mix_n,MATCH(AM$5,feed_mix_w!$B$5:$AC$5,0),FALSE)/$Z58*VLOOKUP(AM$5,feed_intensity_w,11,FALSE)</f>
        <v>0.87425896314403373</v>
      </c>
      <c r="AN58" s="2">
        <f>VLOOKUP($W58,feed_mix_n,MATCH(AN$5,feed_mix_w!$B$5:$AC$5,0),FALSE)/$Z58*VLOOKUP(AN$5,feed_intensity_w,11,FALSE)</f>
        <v>0</v>
      </c>
      <c r="AO58" s="2">
        <f>VLOOKUP($W58,feed_mix_n,MATCH(AO$5,feed_mix_w!$B$5:$AC$5,0),FALSE)/$Z58*VLOOKUP(AO$5,feed_intensity_w,11,FALSE)</f>
        <v>0</v>
      </c>
      <c r="AP58" s="2">
        <f>VLOOKUP($W58,feed_mix_n,MATCH(AP$5,feed_mix_w!$B$5:$AC$5,0),FALSE)/$Z58*VLOOKUP(AP$5,feed_intensity_w,11,FALSE)</f>
        <v>0</v>
      </c>
      <c r="AQ58" s="2">
        <f>VLOOKUP($W58,feed_mix_n,MATCH(AQ$5,feed_mix_w!$B$5:$AC$5,0),FALSE)/$Z58*VLOOKUP(AQ$5,feed_intensity_w,11,FALSE)</f>
        <v>0</v>
      </c>
      <c r="AR58" s="2">
        <f>VLOOKUP($W58,feed_mix_n,MATCH(AR$5,feed_mix_w!$B$5:$AC$5,0),FALSE)/$Z58*VLOOKUP(AR$5,feed_intensity_w,11,FALSE)</f>
        <v>1.0155292911196119</v>
      </c>
      <c r="AS58" s="389">
        <f>VLOOKUP($W58,feed_mix_n,MATCH(AS$5,feed_mix_w!$B$5:$AC$5,0),FALSE)/$Z58*VLOOKUP(AS$5,feed_intensity_w,11,FALSE)</f>
        <v>0</v>
      </c>
    </row>
    <row r="59" spans="1:45" ht="12.75" customHeight="1">
      <c r="A59" s="14" t="s">
        <v>1867</v>
      </c>
      <c r="B59" s="482">
        <v>976</v>
      </c>
      <c r="C59" s="24">
        <v>104.1</v>
      </c>
      <c r="D59" s="513">
        <v>165</v>
      </c>
      <c r="E59" s="513">
        <v>5746</v>
      </c>
      <c r="F59" s="25">
        <f t="shared" si="11"/>
        <v>6.5446525941557363</v>
      </c>
      <c r="G59" s="25">
        <f t="shared" si="12"/>
        <v>220.63359187286764</v>
      </c>
      <c r="H59" s="2">
        <f t="shared" si="13"/>
        <v>0</v>
      </c>
      <c r="I59" s="25">
        <f t="shared" si="14"/>
        <v>0</v>
      </c>
      <c r="J59" s="87">
        <f>IFERROR(G59*VLOOKUP(W59,livestock_intensity!$B$7:$I$29,8,FALSE)/Z59,0)</f>
        <v>0</v>
      </c>
      <c r="K59" s="2">
        <f>VLOOKUP($W59,feed_mix_n,MATCH(K$5,feed_mix_w!$B$5:$AC$5,0),FALSE)/$Z59*VLOOKUP(K$5,feed_intensity_w,11,FALSE)</f>
        <v>0</v>
      </c>
      <c r="L59" s="25">
        <f t="shared" si="15"/>
        <v>0</v>
      </c>
      <c r="M59" s="25">
        <f>IFERROR(G59*VLOOKUP(W59,livestock_intensity!$B$7:$M$29,12,FALSE)/Z59,0)</f>
        <v>0</v>
      </c>
      <c r="N59" s="2">
        <f>VLOOKUP($W59,feed_mix_n,MATCH(N$5,feed_mix_w!$B$5:$AC$5,0),FALSE)/$Z59*VLOOKUP(N$5,feed_intensity_w,11,FALSE)</f>
        <v>3.5933001465616727</v>
      </c>
      <c r="O59" s="25">
        <f t="shared" si="16"/>
        <v>23.516901125775039</v>
      </c>
      <c r="P59" s="343">
        <f>IFERROR(G59*VLOOKUP(W59,livestock_intensity!$B$7:$Q$29,16,FALSE)/Z59,0)</f>
        <v>727.71734601105436</v>
      </c>
      <c r="Q59" s="758"/>
      <c r="R59" s="331">
        <f t="shared" si="17"/>
        <v>23.516901125775039</v>
      </c>
      <c r="S59" s="331">
        <f t="shared" si="18"/>
        <v>727.71734601105436</v>
      </c>
      <c r="T59" s="739" t="s">
        <v>2738</v>
      </c>
      <c r="U59" s="558" t="s">
        <v>413</v>
      </c>
      <c r="V59" s="559" t="str">
        <f>IFERROR(VLOOKUP(W59,constant_ag_extr!$D$7:$E$594,2,FALSE),"")</f>
        <v>Sheep</v>
      </c>
      <c r="W59" s="560">
        <f t="shared" si="19"/>
        <v>976</v>
      </c>
      <c r="X59" s="2">
        <f>IFERROR(IF(VLOOKUP(B59,cnst_grazing!$C$10:$H$25,5,FALSE)="", IF(VLOOKUP(B59, cnst_grazing!$C$10:$H$25,3,FALSE)="", VLOOKUP(B59, cnst_grazing!$C$10:$H$25,4,FALSE),VLOOKUP(B59, cnst_grazing!$C$10:$H$25,3,FALSE)), VLOOKUP(B59,cnst_grazing!$C$10:$H$25,5,FALSE)),1)</f>
        <v>3.9664561176701432E-2</v>
      </c>
      <c r="Y59" s="2">
        <f>IFERROR(IF(VLOOKUP(B59,cnst_grazing!$C$10:$H$25,6,FALSE)="", IF(VLOOKUP(B59, cnst_grazing!$C$10:$H$25,4,FALSE)="", VLOOKUP(B59, cnst_grazing!$C$10:$H$25,3,FALSE),VLOOKUP(B59, cnst_grazing!$C$10:$H$25,4,FALSE)), VLOOKUP(B59,cnst_grazing!$C$10:$H$25,6,FALSE)),1)</f>
        <v>3.8397770948984972E-2</v>
      </c>
      <c r="Z59" s="400">
        <f t="shared" si="20"/>
        <v>1</v>
      </c>
      <c r="AA59" s="2">
        <f t="shared" si="21"/>
        <v>3.5933001465616727</v>
      </c>
      <c r="AB59" s="2">
        <f>VLOOKUP($W59,feed_mix_n,MATCH(AB$5,feed_mix_w!$B$5:$AC$5,0),FALSE)/$Z59*VLOOKUP(AB$5,feed_intensity_w,11,FALSE)</f>
        <v>0</v>
      </c>
      <c r="AC59" s="2">
        <f>VLOOKUP($W59,feed_mix_n,MATCH(AC$5,feed_mix_w!$B$5:$AC$5,0),FALSE)/$Z59*VLOOKUP(AC$5,feed_intensity_w,11,FALSE)</f>
        <v>0</v>
      </c>
      <c r="AD59" s="2">
        <f>VLOOKUP($W59,feed_mix_n,MATCH(AD$5,feed_mix_w!$B$5:$AC$5,0),FALSE)/$Z59*VLOOKUP(AD$5,feed_intensity_w,11,FALSE)</f>
        <v>0</v>
      </c>
      <c r="AE59" s="2">
        <f>VLOOKUP($W59,feed_mix_n,MATCH(AE$5,feed_mix_w!$B$5:$AC$5,0),FALSE)/$Z59*VLOOKUP(AE$5,feed_intensity_w,11,FALSE)</f>
        <v>0</v>
      </c>
      <c r="AF59" s="2">
        <f>VLOOKUP($W59,feed_mix_n,MATCH(AF$5,feed_mix_w!$B$5:$AC$5,0),FALSE)/$Z59*VLOOKUP(AF$5,feed_intensity_w,11,FALSE)</f>
        <v>0</v>
      </c>
      <c r="AG59" s="2">
        <f>VLOOKUP($W59,feed_mix_n,MATCH(AG$5,feed_mix_w!$B$5:$AC$5,0),FALSE)/$Z59*VLOOKUP(AG$5,feed_intensity_w,11,FALSE)</f>
        <v>0</v>
      </c>
      <c r="AH59" s="2">
        <f>VLOOKUP($W59,feed_mix_n,MATCH(AH$5,feed_mix_w!$B$5:$AC$5,0),FALSE)/$Z59*VLOOKUP(AH$5,feed_intensity_w,11,FALSE)</f>
        <v>0</v>
      </c>
      <c r="AI59" s="2">
        <f>VLOOKUP($W59,feed_mix_n,MATCH(AI$5,feed_mix_w!$B$5:$AC$5,0),FALSE)/$Z59*VLOOKUP(AI$5,feed_intensity_w,11,FALSE)</f>
        <v>0</v>
      </c>
      <c r="AJ59" s="2">
        <f>VLOOKUP($W59,feed_mix_n,MATCH(AJ$5,feed_mix_w!$B$5:$AC$5,0),FALSE)/$Z59*VLOOKUP(AJ$5,feed_intensity_w,11,FALSE)</f>
        <v>0</v>
      </c>
      <c r="AK59" s="2">
        <f>VLOOKUP($W59,feed_mix_n,MATCH(AK$5,feed_mix_w!$B$5:$AC$5,0),FALSE)/$Z59*VLOOKUP(AK$5,feed_intensity_w,11,FALSE)</f>
        <v>0</v>
      </c>
      <c r="AL59" s="2">
        <f>VLOOKUP($W59,feed_mix_n,MATCH(AL$5,feed_mix_w!$B$5:$AC$5,0),FALSE)/$Z59*VLOOKUP(AL$5,feed_intensity_w,11,FALSE)</f>
        <v>0</v>
      </c>
      <c r="AM59" s="2">
        <f>VLOOKUP($W59,feed_mix_n,MATCH(AM$5,feed_mix_w!$B$5:$AC$5,0),FALSE)/$Z59*VLOOKUP(AM$5,feed_intensity_w,11,FALSE)</f>
        <v>0</v>
      </c>
      <c r="AN59" s="2">
        <f>VLOOKUP($W59,feed_mix_n,MATCH(AN$5,feed_mix_w!$B$5:$AC$5,0),FALSE)/$Z59*VLOOKUP(AN$5,feed_intensity_w,11,FALSE)</f>
        <v>0</v>
      </c>
      <c r="AO59" s="2">
        <f>VLOOKUP($W59,feed_mix_n,MATCH(AO$5,feed_mix_w!$B$5:$AC$5,0),FALSE)/$Z59*VLOOKUP(AO$5,feed_intensity_w,11,FALSE)</f>
        <v>0</v>
      </c>
      <c r="AP59" s="2">
        <f>VLOOKUP($W59,feed_mix_n,MATCH(AP$5,feed_mix_w!$B$5:$AC$5,0),FALSE)/$Z59*VLOOKUP(AP$5,feed_intensity_w,11,FALSE)</f>
        <v>0</v>
      </c>
      <c r="AQ59" s="2">
        <f>VLOOKUP($W59,feed_mix_n,MATCH(AQ$5,feed_mix_w!$B$5:$AC$5,0),FALSE)/$Z59*VLOOKUP(AQ$5,feed_intensity_w,11,FALSE)</f>
        <v>0</v>
      </c>
      <c r="AR59" s="2">
        <f>VLOOKUP($W59,feed_mix_n,MATCH(AR$5,feed_mix_w!$B$5:$AC$5,0),FALSE)/$Z59*VLOOKUP(AR$5,feed_intensity_w,11,FALSE)</f>
        <v>0</v>
      </c>
      <c r="AS59" s="389">
        <f>VLOOKUP($W59,feed_mix_n,MATCH(AS$5,feed_mix_w!$B$5:$AC$5,0),FALSE)/$Z59*VLOOKUP(AS$5,feed_intensity_w,11,FALSE)</f>
        <v>0</v>
      </c>
    </row>
    <row r="60" spans="1:45" ht="12.75" customHeight="1">
      <c r="A60" s="14" t="s">
        <v>7146</v>
      </c>
      <c r="B60" s="482">
        <v>977</v>
      </c>
      <c r="C60" s="24" t="s">
        <v>1861</v>
      </c>
      <c r="D60" s="513">
        <v>20138</v>
      </c>
      <c r="E60" s="513">
        <v>180</v>
      </c>
      <c r="F60" s="25">
        <f t="shared" si="11"/>
        <v>20138</v>
      </c>
      <c r="G60" s="25">
        <f t="shared" si="12"/>
        <v>180</v>
      </c>
      <c r="H60" s="2">
        <f t="shared" si="13"/>
        <v>0</v>
      </c>
      <c r="I60" s="25">
        <f t="shared" si="14"/>
        <v>0</v>
      </c>
      <c r="J60" s="87">
        <f>IFERROR(G60*VLOOKUP(W60,livestock_intensity!$B$7:$I$29,8,FALSE)/Z60,0)</f>
        <v>0</v>
      </c>
      <c r="K60" s="2">
        <f>VLOOKUP($W60,feed_mix_n,MATCH(K$5,feed_mix_w!$B$5:$AC$5,0),FALSE)/$Z60*VLOOKUP(K$5,feed_intensity_w,11,FALSE)</f>
        <v>0</v>
      </c>
      <c r="L60" s="25">
        <f t="shared" si="15"/>
        <v>0</v>
      </c>
      <c r="M60" s="25">
        <f>IFERROR(G60*VLOOKUP(W60,livestock_intensity!$B$7:$M$29,12,FALSE)/Z60,0)</f>
        <v>0</v>
      </c>
      <c r="N60" s="2">
        <f>VLOOKUP($W60,feed_mix_n,MATCH(N$5,feed_mix_w!$B$5:$AC$5,0),FALSE)/$Z60*VLOOKUP(N$5,feed_intensity_w,11,FALSE)</f>
        <v>5.5501060704599894</v>
      </c>
      <c r="O60" s="25">
        <f t="shared" si="16"/>
        <v>111768.03604692327</v>
      </c>
      <c r="P60" s="343">
        <f>IFERROR(G60*VLOOKUP(W60,livestock_intensity!$B$7:$Q$29,16,FALSE)/Z60,0)</f>
        <v>917.00432683101576</v>
      </c>
      <c r="Q60" s="758"/>
      <c r="R60" s="331">
        <f t="shared" si="17"/>
        <v>111768.03604692327</v>
      </c>
      <c r="S60" s="331">
        <f t="shared" si="18"/>
        <v>917.00432683101576</v>
      </c>
      <c r="T60" s="739">
        <v>2732</v>
      </c>
      <c r="U60" s="558" t="s">
        <v>2796</v>
      </c>
      <c r="V60" s="559" t="str">
        <f>IFERROR(VLOOKUP(W60,constant_ag_extr!$D$7:$E$594,2,FALSE),"")</f>
        <v>Sheep</v>
      </c>
      <c r="W60" s="560">
        <f t="shared" si="19"/>
        <v>976</v>
      </c>
      <c r="X60" s="2">
        <f>IFERROR(IF(VLOOKUP(B60,cnst_grazing!$C$10:$H$25,5,FALSE)="", IF(VLOOKUP(B60, cnst_grazing!$C$10:$H$25,3,FALSE)="", VLOOKUP(B60, cnst_grazing!$C$10:$H$25,4,FALSE),VLOOKUP(B60, cnst_grazing!$C$10:$H$25,3,FALSE)), VLOOKUP(B60,cnst_grazing!$C$10:$H$25,5,FALSE)),1)</f>
        <v>1</v>
      </c>
      <c r="Y60" s="2">
        <f>IFERROR(IF(VLOOKUP(B60,cnst_grazing!$C$10:$H$25,6,FALSE)="", IF(VLOOKUP(B60, cnst_grazing!$C$10:$H$25,4,FALSE)="", VLOOKUP(B60, cnst_grazing!$C$10:$H$25,3,FALSE),VLOOKUP(B60, cnst_grazing!$C$10:$H$25,4,FALSE)), VLOOKUP(B60,cnst_grazing!$C$10:$H$25,6,FALSE)),1)</f>
        <v>1</v>
      </c>
      <c r="Z60" s="400">
        <f t="shared" si="20"/>
        <v>0.64742909431708617</v>
      </c>
      <c r="AA60" s="2">
        <f t="shared" si="21"/>
        <v>5.5501060704599894</v>
      </c>
      <c r="AB60" s="2">
        <f>VLOOKUP($W60,feed_mix_n,MATCH(AB$5,feed_mix_w!$B$5:$AC$5,0),FALSE)/$Z60*VLOOKUP(AB$5,feed_intensity_w,11,FALSE)</f>
        <v>0</v>
      </c>
      <c r="AC60" s="2">
        <f>VLOOKUP($W60,feed_mix_n,MATCH(AC$5,feed_mix_w!$B$5:$AC$5,0),FALSE)/$Z60*VLOOKUP(AC$5,feed_intensity_w,11,FALSE)</f>
        <v>0</v>
      </c>
      <c r="AD60" s="2">
        <f>VLOOKUP($W60,feed_mix_n,MATCH(AD$5,feed_mix_w!$B$5:$AC$5,0),FALSE)/$Z60*VLOOKUP(AD$5,feed_intensity_w,11,FALSE)</f>
        <v>0</v>
      </c>
      <c r="AE60" s="2">
        <f>VLOOKUP($W60,feed_mix_n,MATCH(AE$5,feed_mix_w!$B$5:$AC$5,0),FALSE)/$Z60*VLOOKUP(AE$5,feed_intensity_w,11,FALSE)</f>
        <v>0</v>
      </c>
      <c r="AF60" s="2">
        <f>VLOOKUP($W60,feed_mix_n,MATCH(AF$5,feed_mix_w!$B$5:$AC$5,0),FALSE)/$Z60*VLOOKUP(AF$5,feed_intensity_w,11,FALSE)</f>
        <v>0</v>
      </c>
      <c r="AG60" s="2">
        <f>VLOOKUP($W60,feed_mix_n,MATCH(AG$5,feed_mix_w!$B$5:$AC$5,0),FALSE)/$Z60*VLOOKUP(AG$5,feed_intensity_w,11,FALSE)</f>
        <v>0</v>
      </c>
      <c r="AH60" s="2">
        <f>VLOOKUP($W60,feed_mix_n,MATCH(AH$5,feed_mix_w!$B$5:$AC$5,0),FALSE)/$Z60*VLOOKUP(AH$5,feed_intensity_w,11,FALSE)</f>
        <v>0</v>
      </c>
      <c r="AI60" s="2">
        <f>VLOOKUP($W60,feed_mix_n,MATCH(AI$5,feed_mix_w!$B$5:$AC$5,0),FALSE)/$Z60*VLOOKUP(AI$5,feed_intensity_w,11,FALSE)</f>
        <v>0</v>
      </c>
      <c r="AJ60" s="2">
        <f>VLOOKUP($W60,feed_mix_n,MATCH(AJ$5,feed_mix_w!$B$5:$AC$5,0),FALSE)/$Z60*VLOOKUP(AJ$5,feed_intensity_w,11,FALSE)</f>
        <v>0</v>
      </c>
      <c r="AK60" s="2">
        <f>VLOOKUP($W60,feed_mix_n,MATCH(AK$5,feed_mix_w!$B$5:$AC$5,0),FALSE)/$Z60*VLOOKUP(AK$5,feed_intensity_w,11,FALSE)</f>
        <v>0</v>
      </c>
      <c r="AL60" s="2">
        <f>VLOOKUP($W60,feed_mix_n,MATCH(AL$5,feed_mix_w!$B$5:$AC$5,0),FALSE)/$Z60*VLOOKUP(AL$5,feed_intensity_w,11,FALSE)</f>
        <v>0</v>
      </c>
      <c r="AM60" s="2">
        <f>VLOOKUP($W60,feed_mix_n,MATCH(AM$5,feed_mix_w!$B$5:$AC$5,0),FALSE)/$Z60*VLOOKUP(AM$5,feed_intensity_w,11,FALSE)</f>
        <v>0</v>
      </c>
      <c r="AN60" s="2">
        <f>VLOOKUP($W60,feed_mix_n,MATCH(AN$5,feed_mix_w!$B$5:$AC$5,0),FALSE)/$Z60*VLOOKUP(AN$5,feed_intensity_w,11,FALSE)</f>
        <v>0</v>
      </c>
      <c r="AO60" s="2">
        <f>VLOOKUP($W60,feed_mix_n,MATCH(AO$5,feed_mix_w!$B$5:$AC$5,0),FALSE)/$Z60*VLOOKUP(AO$5,feed_intensity_w,11,FALSE)</f>
        <v>0</v>
      </c>
      <c r="AP60" s="2">
        <f>VLOOKUP($W60,feed_mix_n,MATCH(AP$5,feed_mix_w!$B$5:$AC$5,0),FALSE)/$Z60*VLOOKUP(AP$5,feed_intensity_w,11,FALSE)</f>
        <v>0</v>
      </c>
      <c r="AQ60" s="2">
        <f>VLOOKUP($W60,feed_mix_n,MATCH(AQ$5,feed_mix_w!$B$5:$AC$5,0),FALSE)/$Z60*VLOOKUP(AQ$5,feed_intensity_w,11,FALSE)</f>
        <v>0</v>
      </c>
      <c r="AR60" s="2">
        <f>VLOOKUP($W60,feed_mix_n,MATCH(AR$5,feed_mix_w!$B$5:$AC$5,0),FALSE)/$Z60*VLOOKUP(AR$5,feed_intensity_w,11,FALSE)</f>
        <v>0</v>
      </c>
      <c r="AS60" s="389">
        <f>VLOOKUP($W60,feed_mix_n,MATCH(AS$5,feed_mix_w!$B$5:$AC$5,0),FALSE)/$Z60*VLOOKUP(AS$5,feed_intensity_w,11,FALSE)</f>
        <v>0</v>
      </c>
    </row>
    <row r="61" spans="1:45" ht="12.75" customHeight="1">
      <c r="A61" s="14" t="s">
        <v>7147</v>
      </c>
      <c r="B61" s="482">
        <v>978</v>
      </c>
      <c r="C61" s="24" t="s">
        <v>677</v>
      </c>
      <c r="D61" s="513"/>
      <c r="E61" s="513"/>
      <c r="F61" s="25">
        <f t="shared" si="11"/>
        <v>0</v>
      </c>
      <c r="G61" s="25">
        <f t="shared" si="12"/>
        <v>0</v>
      </c>
      <c r="H61" s="2">
        <f t="shared" si="13"/>
        <v>0</v>
      </c>
      <c r="I61" s="25">
        <f t="shared" si="14"/>
        <v>0</v>
      </c>
      <c r="J61" s="87">
        <f>IFERROR(G61*VLOOKUP(W61,livestock_intensity!$B$7:$I$29,8,FALSE)/Z61,0)</f>
        <v>0</v>
      </c>
      <c r="K61" s="2">
        <f>VLOOKUP($W61,feed_mix_n,MATCH(K$5,feed_mix_w!$B$5:$AC$5,0),FALSE)/$Z61*VLOOKUP(K$5,feed_intensity_w,11,FALSE)</f>
        <v>0</v>
      </c>
      <c r="L61" s="25">
        <f t="shared" si="15"/>
        <v>0</v>
      </c>
      <c r="M61" s="25">
        <f>IFERROR(G61*VLOOKUP(W61,livestock_intensity!$B$7:$M$29,12,FALSE)/Z61,0)</f>
        <v>0</v>
      </c>
      <c r="N61" s="2">
        <f>VLOOKUP($W61,feed_mix_n,MATCH(N$5,feed_mix_w!$B$5:$AC$5,0),FALSE)/$Z61*VLOOKUP(N$5,feed_intensity_w,11,FALSE)</f>
        <v>1.867085645860364</v>
      </c>
      <c r="O61" s="25">
        <f t="shared" si="16"/>
        <v>0</v>
      </c>
      <c r="P61" s="343">
        <f>IFERROR(G61*VLOOKUP(W61,livestock_intensity!$B$7:$Q$29,16,FALSE)/Z61,0)</f>
        <v>0</v>
      </c>
      <c r="Q61" s="758"/>
      <c r="R61" s="331">
        <f t="shared" si="17"/>
        <v>0</v>
      </c>
      <c r="S61" s="331">
        <f t="shared" si="18"/>
        <v>0</v>
      </c>
      <c r="T61" s="739">
        <v>2736</v>
      </c>
      <c r="U61" s="558" t="s">
        <v>2796</v>
      </c>
      <c r="V61" s="559" t="str">
        <f>IFERROR(VLOOKUP(W61,constant_ag_extr!$D$7:$E$594,2,FALSE),"")</f>
        <v>Sheep</v>
      </c>
      <c r="W61" s="560">
        <f t="shared" si="19"/>
        <v>976</v>
      </c>
      <c r="X61" s="2">
        <f>IFERROR(IF(VLOOKUP(B61,cnst_grazing!$C$10:$H$25,5,FALSE)="", IF(VLOOKUP(B61, cnst_grazing!$C$10:$H$25,3,FALSE)="", VLOOKUP(B61, cnst_grazing!$C$10:$H$25,4,FALSE),VLOOKUP(B61, cnst_grazing!$C$10:$H$25,3,FALSE)), VLOOKUP(B61,cnst_grazing!$C$10:$H$25,5,FALSE)),1)</f>
        <v>1</v>
      </c>
      <c r="Y61" s="2">
        <f>IFERROR(IF(VLOOKUP(B61,cnst_grazing!$C$10:$H$25,6,FALSE)="", IF(VLOOKUP(B61, cnst_grazing!$C$10:$H$25,4,FALSE)="", VLOOKUP(B61, cnst_grazing!$C$10:$H$25,3,FALSE),VLOOKUP(B61, cnst_grazing!$C$10:$H$25,4,FALSE)), VLOOKUP(B61,cnst_grazing!$C$10:$H$25,6,FALSE)),1)</f>
        <v>1</v>
      </c>
      <c r="Z61" s="400">
        <f t="shared" si="20"/>
        <v>1.9245502500266181</v>
      </c>
      <c r="AA61" s="2">
        <f t="shared" si="21"/>
        <v>1.867085645860364</v>
      </c>
      <c r="AB61" s="2">
        <f>VLOOKUP($W61,feed_mix_n,MATCH(AB$5,feed_mix_w!$B$5:$AC$5,0),FALSE)/$Z61*VLOOKUP(AB$5,feed_intensity_w,11,FALSE)</f>
        <v>0</v>
      </c>
      <c r="AC61" s="2">
        <f>VLOOKUP($W61,feed_mix_n,MATCH(AC$5,feed_mix_w!$B$5:$AC$5,0),FALSE)/$Z61*VLOOKUP(AC$5,feed_intensity_w,11,FALSE)</f>
        <v>0</v>
      </c>
      <c r="AD61" s="2">
        <f>VLOOKUP($W61,feed_mix_n,MATCH(AD$5,feed_mix_w!$B$5:$AC$5,0),FALSE)/$Z61*VLOOKUP(AD$5,feed_intensity_w,11,FALSE)</f>
        <v>0</v>
      </c>
      <c r="AE61" s="2">
        <f>VLOOKUP($W61,feed_mix_n,MATCH(AE$5,feed_mix_w!$B$5:$AC$5,0),FALSE)/$Z61*VLOOKUP(AE$5,feed_intensity_w,11,FALSE)</f>
        <v>0</v>
      </c>
      <c r="AF61" s="2">
        <f>VLOOKUP($W61,feed_mix_n,MATCH(AF$5,feed_mix_w!$B$5:$AC$5,0),FALSE)/$Z61*VLOOKUP(AF$5,feed_intensity_w,11,FALSE)</f>
        <v>0</v>
      </c>
      <c r="AG61" s="2">
        <f>VLOOKUP($W61,feed_mix_n,MATCH(AG$5,feed_mix_w!$B$5:$AC$5,0),FALSE)/$Z61*VLOOKUP(AG$5,feed_intensity_w,11,FALSE)</f>
        <v>0</v>
      </c>
      <c r="AH61" s="2">
        <f>VLOOKUP($W61,feed_mix_n,MATCH(AH$5,feed_mix_w!$B$5:$AC$5,0),FALSE)/$Z61*VLOOKUP(AH$5,feed_intensity_w,11,FALSE)</f>
        <v>0</v>
      </c>
      <c r="AI61" s="2">
        <f>VLOOKUP($W61,feed_mix_n,MATCH(AI$5,feed_mix_w!$B$5:$AC$5,0),FALSE)/$Z61*VLOOKUP(AI$5,feed_intensity_w,11,FALSE)</f>
        <v>0</v>
      </c>
      <c r="AJ61" s="2">
        <f>VLOOKUP($W61,feed_mix_n,MATCH(AJ$5,feed_mix_w!$B$5:$AC$5,0),FALSE)/$Z61*VLOOKUP(AJ$5,feed_intensity_w,11,FALSE)</f>
        <v>0</v>
      </c>
      <c r="AK61" s="2">
        <f>VLOOKUP($W61,feed_mix_n,MATCH(AK$5,feed_mix_w!$B$5:$AC$5,0),FALSE)/$Z61*VLOOKUP(AK$5,feed_intensity_w,11,FALSE)</f>
        <v>0</v>
      </c>
      <c r="AL61" s="2">
        <f>VLOOKUP($W61,feed_mix_n,MATCH(AL$5,feed_mix_w!$B$5:$AC$5,0),FALSE)/$Z61*VLOOKUP(AL$5,feed_intensity_w,11,FALSE)</f>
        <v>0</v>
      </c>
      <c r="AM61" s="2">
        <f>VLOOKUP($W61,feed_mix_n,MATCH(AM$5,feed_mix_w!$B$5:$AC$5,0),FALSE)/$Z61*VLOOKUP(AM$5,feed_intensity_w,11,FALSE)</f>
        <v>0</v>
      </c>
      <c r="AN61" s="2">
        <f>VLOOKUP($W61,feed_mix_n,MATCH(AN$5,feed_mix_w!$B$5:$AC$5,0),FALSE)/$Z61*VLOOKUP(AN$5,feed_intensity_w,11,FALSE)</f>
        <v>0</v>
      </c>
      <c r="AO61" s="2">
        <f>VLOOKUP($W61,feed_mix_n,MATCH(AO$5,feed_mix_w!$B$5:$AC$5,0),FALSE)/$Z61*VLOOKUP(AO$5,feed_intensity_w,11,FALSE)</f>
        <v>0</v>
      </c>
      <c r="AP61" s="2">
        <f>VLOOKUP($W61,feed_mix_n,MATCH(AP$5,feed_mix_w!$B$5:$AC$5,0),FALSE)/$Z61*VLOOKUP(AP$5,feed_intensity_w,11,FALSE)</f>
        <v>0</v>
      </c>
      <c r="AQ61" s="2">
        <f>VLOOKUP($W61,feed_mix_n,MATCH(AQ$5,feed_mix_w!$B$5:$AC$5,0),FALSE)/$Z61*VLOOKUP(AQ$5,feed_intensity_w,11,FALSE)</f>
        <v>0</v>
      </c>
      <c r="AR61" s="2">
        <f>VLOOKUP($W61,feed_mix_n,MATCH(AR$5,feed_mix_w!$B$5:$AC$5,0),FALSE)/$Z61*VLOOKUP(AR$5,feed_intensity_w,11,FALSE)</f>
        <v>0</v>
      </c>
      <c r="AS61" s="389">
        <f>VLOOKUP($W61,feed_mix_n,MATCH(AS$5,feed_mix_w!$B$5:$AC$5,0),FALSE)/$Z61*VLOOKUP(AS$5,feed_intensity_w,11,FALSE)</f>
        <v>0</v>
      </c>
    </row>
    <row r="62" spans="1:45" ht="12.75" customHeight="1">
      <c r="A62" s="14" t="s">
        <v>3516</v>
      </c>
      <c r="B62" s="482">
        <v>979</v>
      </c>
      <c r="C62" s="24" t="s">
        <v>1206</v>
      </c>
      <c r="D62" s="513"/>
      <c r="E62" s="513"/>
      <c r="F62" s="25">
        <f t="shared" si="11"/>
        <v>0</v>
      </c>
      <c r="G62" s="25">
        <f t="shared" si="12"/>
        <v>0</v>
      </c>
      <c r="H62" s="2">
        <f t="shared" si="13"/>
        <v>0</v>
      </c>
      <c r="I62" s="25">
        <f t="shared" si="14"/>
        <v>0</v>
      </c>
      <c r="J62" s="87">
        <f>IFERROR(G62*VLOOKUP(W62,livestock_intensity!$B$7:$I$29,8,FALSE)/Z62,0)</f>
        <v>0</v>
      </c>
      <c r="K62" s="2">
        <f>VLOOKUP($W62,feed_mix_n,MATCH(K$5,feed_mix_w!$B$5:$AC$5,0),FALSE)/$Z62*VLOOKUP(K$5,feed_intensity_w,11,FALSE)</f>
        <v>0</v>
      </c>
      <c r="L62" s="25">
        <f t="shared" si="15"/>
        <v>0</v>
      </c>
      <c r="M62" s="25">
        <f>IFERROR(G62*VLOOKUP(W62,livestock_intensity!$B$7:$M$29,12,FALSE)/Z62,0)</f>
        <v>0</v>
      </c>
      <c r="N62" s="2">
        <f>VLOOKUP($W62,feed_mix_n,MATCH(N$5,feed_mix_w!$B$5:$AC$5,0),FALSE)/$Z62*VLOOKUP(N$5,feed_intensity_w,11,FALSE)</f>
        <v>0.52499448393113746</v>
      </c>
      <c r="O62" s="25">
        <f t="shared" si="16"/>
        <v>0</v>
      </c>
      <c r="P62" s="343">
        <f>IFERROR(G62*VLOOKUP(W62,livestock_intensity!$B$7:$Q$29,16,FALSE)/Z62,0)</f>
        <v>0</v>
      </c>
      <c r="Q62" s="758"/>
      <c r="R62" s="331">
        <f t="shared" si="17"/>
        <v>0</v>
      </c>
      <c r="S62" s="331">
        <f t="shared" si="18"/>
        <v>0</v>
      </c>
      <c r="T62" s="739">
        <v>2737</v>
      </c>
      <c r="U62" s="558" t="s">
        <v>2796</v>
      </c>
      <c r="V62" s="559" t="str">
        <f>IFERROR(VLOOKUP(W62,constant_ag_extr!$D$7:$E$594,2,FALSE),"")</f>
        <v>Sheep</v>
      </c>
      <c r="W62" s="560">
        <f t="shared" si="19"/>
        <v>976</v>
      </c>
      <c r="X62" s="2">
        <f>IFERROR(IF(VLOOKUP(B62,cnst_grazing!$C$10:$H$25,5,FALSE)="", IF(VLOOKUP(B62, cnst_grazing!$C$10:$H$25,3,FALSE)="", VLOOKUP(B62, cnst_grazing!$C$10:$H$25,4,FALSE),VLOOKUP(B62, cnst_grazing!$C$10:$H$25,3,FALSE)), VLOOKUP(B62,cnst_grazing!$C$10:$H$25,5,FALSE)),1)</f>
        <v>1</v>
      </c>
      <c r="Y62" s="2">
        <f>IFERROR(IF(VLOOKUP(B62,cnst_grazing!$C$10:$H$25,6,FALSE)="", IF(VLOOKUP(B62, cnst_grazing!$C$10:$H$25,4,FALSE)="", VLOOKUP(B62, cnst_grazing!$C$10:$H$25,3,FALSE),VLOOKUP(B62, cnst_grazing!$C$10:$H$25,4,FALSE)), VLOOKUP(B62,cnst_grazing!$C$10:$H$25,6,FALSE)),1)</f>
        <v>1</v>
      </c>
      <c r="Z62" s="400">
        <f t="shared" si="20"/>
        <v>6.8444531448315162</v>
      </c>
      <c r="AA62" s="2">
        <f t="shared" si="21"/>
        <v>0.52499448393113746</v>
      </c>
      <c r="AB62" s="2">
        <f>VLOOKUP($W62,feed_mix_n,MATCH(AB$5,feed_mix_w!$B$5:$AC$5,0),FALSE)/$Z62*VLOOKUP(AB$5,feed_intensity_w,11,FALSE)</f>
        <v>0</v>
      </c>
      <c r="AC62" s="2">
        <f>VLOOKUP($W62,feed_mix_n,MATCH(AC$5,feed_mix_w!$B$5:$AC$5,0),FALSE)/$Z62*VLOOKUP(AC$5,feed_intensity_w,11,FALSE)</f>
        <v>0</v>
      </c>
      <c r="AD62" s="2">
        <f>VLOOKUP($W62,feed_mix_n,MATCH(AD$5,feed_mix_w!$B$5:$AC$5,0),FALSE)/$Z62*VLOOKUP(AD$5,feed_intensity_w,11,FALSE)</f>
        <v>0</v>
      </c>
      <c r="AE62" s="2">
        <f>VLOOKUP($W62,feed_mix_n,MATCH(AE$5,feed_mix_w!$B$5:$AC$5,0),FALSE)/$Z62*VLOOKUP(AE$5,feed_intensity_w,11,FALSE)</f>
        <v>0</v>
      </c>
      <c r="AF62" s="2">
        <f>VLOOKUP($W62,feed_mix_n,MATCH(AF$5,feed_mix_w!$B$5:$AC$5,0),FALSE)/$Z62*VLOOKUP(AF$5,feed_intensity_w,11,FALSE)</f>
        <v>0</v>
      </c>
      <c r="AG62" s="2">
        <f>VLOOKUP($W62,feed_mix_n,MATCH(AG$5,feed_mix_w!$B$5:$AC$5,0),FALSE)/$Z62*VLOOKUP(AG$5,feed_intensity_w,11,FALSE)</f>
        <v>0</v>
      </c>
      <c r="AH62" s="2">
        <f>VLOOKUP($W62,feed_mix_n,MATCH(AH$5,feed_mix_w!$B$5:$AC$5,0),FALSE)/$Z62*VLOOKUP(AH$5,feed_intensity_w,11,FALSE)</f>
        <v>0</v>
      </c>
      <c r="AI62" s="2">
        <f>VLOOKUP($W62,feed_mix_n,MATCH(AI$5,feed_mix_w!$B$5:$AC$5,0),FALSE)/$Z62*VLOOKUP(AI$5,feed_intensity_w,11,FALSE)</f>
        <v>0</v>
      </c>
      <c r="AJ62" s="2">
        <f>VLOOKUP($W62,feed_mix_n,MATCH(AJ$5,feed_mix_w!$B$5:$AC$5,0),FALSE)/$Z62*VLOOKUP(AJ$5,feed_intensity_w,11,FALSE)</f>
        <v>0</v>
      </c>
      <c r="AK62" s="2">
        <f>VLOOKUP($W62,feed_mix_n,MATCH(AK$5,feed_mix_w!$B$5:$AC$5,0),FALSE)/$Z62*VLOOKUP(AK$5,feed_intensity_w,11,FALSE)</f>
        <v>0</v>
      </c>
      <c r="AL62" s="2">
        <f>VLOOKUP($W62,feed_mix_n,MATCH(AL$5,feed_mix_w!$B$5:$AC$5,0),FALSE)/$Z62*VLOOKUP(AL$5,feed_intensity_w,11,FALSE)</f>
        <v>0</v>
      </c>
      <c r="AM62" s="2">
        <f>VLOOKUP($W62,feed_mix_n,MATCH(AM$5,feed_mix_w!$B$5:$AC$5,0),FALSE)/$Z62*VLOOKUP(AM$5,feed_intensity_w,11,FALSE)</f>
        <v>0</v>
      </c>
      <c r="AN62" s="2">
        <f>VLOOKUP($W62,feed_mix_n,MATCH(AN$5,feed_mix_w!$B$5:$AC$5,0),FALSE)/$Z62*VLOOKUP(AN$5,feed_intensity_w,11,FALSE)</f>
        <v>0</v>
      </c>
      <c r="AO62" s="2">
        <f>VLOOKUP($W62,feed_mix_n,MATCH(AO$5,feed_mix_w!$B$5:$AC$5,0),FALSE)/$Z62*VLOOKUP(AO$5,feed_intensity_w,11,FALSE)</f>
        <v>0</v>
      </c>
      <c r="AP62" s="2">
        <f>VLOOKUP($W62,feed_mix_n,MATCH(AP$5,feed_mix_w!$B$5:$AC$5,0),FALSE)/$Z62*VLOOKUP(AP$5,feed_intensity_w,11,FALSE)</f>
        <v>0</v>
      </c>
      <c r="AQ62" s="2">
        <f>VLOOKUP($W62,feed_mix_n,MATCH(AQ$5,feed_mix_w!$B$5:$AC$5,0),FALSE)/$Z62*VLOOKUP(AQ$5,feed_intensity_w,11,FALSE)</f>
        <v>0</v>
      </c>
      <c r="AR62" s="2">
        <f>VLOOKUP($W62,feed_mix_n,MATCH(AR$5,feed_mix_w!$B$5:$AC$5,0),FALSE)/$Z62*VLOOKUP(AR$5,feed_intensity_w,11,FALSE)</f>
        <v>0</v>
      </c>
      <c r="AS62" s="389">
        <f>VLOOKUP($W62,feed_mix_n,MATCH(AS$5,feed_mix_w!$B$5:$AC$5,0),FALSE)/$Z62*VLOOKUP(AS$5,feed_intensity_w,11,FALSE)</f>
        <v>0</v>
      </c>
    </row>
    <row r="63" spans="1:45" ht="12.75" customHeight="1">
      <c r="A63" s="14" t="s">
        <v>7148</v>
      </c>
      <c r="B63" s="482">
        <v>982</v>
      </c>
      <c r="C63" s="24" t="s">
        <v>1863</v>
      </c>
      <c r="D63" s="513"/>
      <c r="E63" s="513"/>
      <c r="F63" s="25">
        <f t="shared" si="11"/>
        <v>0</v>
      </c>
      <c r="G63" s="25">
        <f t="shared" si="12"/>
        <v>0</v>
      </c>
      <c r="H63" s="2">
        <f t="shared" si="13"/>
        <v>1.2362534002992183</v>
      </c>
      <c r="I63" s="25">
        <f t="shared" si="14"/>
        <v>0</v>
      </c>
      <c r="J63" s="87">
        <f>IFERROR(G63*VLOOKUP(W63,livestock_intensity!$B$7:$I$29,8,FALSE)/Z63,0)</f>
        <v>0</v>
      </c>
      <c r="K63" s="2">
        <f>VLOOKUP($W63,feed_mix_n,MATCH(K$5,feed_mix_w!$B$5:$AC$5,0),FALSE)/$Z63*VLOOKUP(K$5,feed_intensity_w,11,FALSE)</f>
        <v>0</v>
      </c>
      <c r="L63" s="25">
        <f t="shared" si="15"/>
        <v>0</v>
      </c>
      <c r="M63" s="25">
        <f>IFERROR(G63*VLOOKUP(W63,livestock_intensity!$B$7:$M$29,12,FALSE)/Z63,0)</f>
        <v>0</v>
      </c>
      <c r="N63" s="2">
        <f>VLOOKUP($W63,feed_mix_n,MATCH(N$5,feed_mix_w!$B$5:$AC$5,0),FALSE)/$Z63*VLOOKUP(N$5,feed_intensity_w,11,FALSE)</f>
        <v>2.3166678413132962</v>
      </c>
      <c r="O63" s="25">
        <f t="shared" si="16"/>
        <v>0</v>
      </c>
      <c r="P63" s="343">
        <f>IFERROR(G63*VLOOKUP(W63,livestock_intensity!$B$7:$Q$29,16,FALSE)/Z63,0)</f>
        <v>0</v>
      </c>
      <c r="Q63" s="758"/>
      <c r="R63" s="331">
        <f t="shared" si="17"/>
        <v>0</v>
      </c>
      <c r="S63" s="331">
        <f t="shared" si="18"/>
        <v>0</v>
      </c>
      <c r="T63" s="739" t="s">
        <v>2738</v>
      </c>
      <c r="U63" s="558" t="s">
        <v>413</v>
      </c>
      <c r="V63" s="559" t="str">
        <f>IFERROR(VLOOKUP(W63,constant_ag_extr!$D$7:$E$594,2,FALSE),"")</f>
        <v>Sheep milk, whole, fresh</v>
      </c>
      <c r="W63" s="560">
        <f t="shared" si="19"/>
        <v>982</v>
      </c>
      <c r="X63" s="2">
        <f>IFERROR(IF(VLOOKUP(B63,cnst_grazing!$C$10:$H$25,5,FALSE)="", IF(VLOOKUP(B63, cnst_grazing!$C$10:$H$25,3,FALSE)="", VLOOKUP(B63, cnst_grazing!$C$10:$H$25,4,FALSE),VLOOKUP(B63, cnst_grazing!$C$10:$H$25,3,FALSE)), VLOOKUP(B63,cnst_grazing!$C$10:$H$25,5,FALSE)),1)</f>
        <v>1</v>
      </c>
      <c r="Y63" s="2">
        <f>IFERROR(IF(VLOOKUP(B63,cnst_grazing!$C$10:$H$25,6,FALSE)="", IF(VLOOKUP(B63, cnst_grazing!$C$10:$H$25,4,FALSE)="", VLOOKUP(B63, cnst_grazing!$C$10:$H$25,3,FALSE),VLOOKUP(B63, cnst_grazing!$C$10:$H$25,4,FALSE)), VLOOKUP(B63,cnst_grazing!$C$10:$H$25,6,FALSE)),1)</f>
        <v>1</v>
      </c>
      <c r="Z63" s="400">
        <f t="shared" si="20"/>
        <v>1</v>
      </c>
      <c r="AA63" s="2">
        <f t="shared" si="21"/>
        <v>3.5529212416125144</v>
      </c>
      <c r="AB63" s="2">
        <f>VLOOKUP($W63,feed_mix_n,MATCH(AB$5,feed_mix_w!$B$5:$AC$5,0),FALSE)/$Z63*VLOOKUP(AB$5,feed_intensity_w,11,FALSE)</f>
        <v>0.28012324348854162</v>
      </c>
      <c r="AC63" s="2">
        <f>VLOOKUP($W63,feed_mix_n,MATCH(AC$5,feed_mix_w!$B$5:$AC$5,0),FALSE)/$Z63*VLOOKUP(AC$5,feed_intensity_w,11,FALSE)</f>
        <v>0.27525573869030229</v>
      </c>
      <c r="AD63" s="2">
        <f>VLOOKUP($W63,feed_mix_n,MATCH(AD$5,feed_mix_w!$B$5:$AC$5,0),FALSE)/$Z63*VLOOKUP(AD$5,feed_intensity_w,11,FALSE)</f>
        <v>0</v>
      </c>
      <c r="AE63" s="2">
        <f>VLOOKUP($W63,feed_mix_n,MATCH(AE$5,feed_mix_w!$B$5:$AC$5,0),FALSE)/$Z63*VLOOKUP(AE$5,feed_intensity_w,11,FALSE)</f>
        <v>0.27707872012262674</v>
      </c>
      <c r="AF63" s="2">
        <f>VLOOKUP($W63,feed_mix_n,MATCH(AF$5,feed_mix_w!$B$5:$AC$5,0),FALSE)/$Z63*VLOOKUP(AF$5,feed_intensity_w,11,FALSE)</f>
        <v>0.1108314880490507</v>
      </c>
      <c r="AG63" s="2">
        <f>VLOOKUP($W63,feed_mix_n,MATCH(AG$5,feed_mix_w!$B$5:$AC$5,0),FALSE)/$Z63*VLOOKUP(AG$5,feed_intensity_w,11,FALSE)</f>
        <v>0</v>
      </c>
      <c r="AH63" s="2">
        <f>VLOOKUP($W63,feed_mix_n,MATCH(AH$5,feed_mix_w!$B$5:$AC$5,0),FALSE)/$Z63*VLOOKUP(AH$5,feed_intensity_w,11,FALSE)</f>
        <v>0.1108314880490507</v>
      </c>
      <c r="AI63" s="2">
        <f>VLOOKUP($W63,feed_mix_n,MATCH(AI$5,feed_mix_w!$B$5:$AC$5,0),FALSE)/$Z63*VLOOKUP(AI$5,feed_intensity_w,11,FALSE)</f>
        <v>0</v>
      </c>
      <c r="AJ63" s="2">
        <f>VLOOKUP($W63,feed_mix_n,MATCH(AJ$5,feed_mix_w!$B$5:$AC$5,0),FALSE)/$Z63*VLOOKUP(AJ$5,feed_intensity_w,11,FALSE)</f>
        <v>0</v>
      </c>
      <c r="AK63" s="2">
        <f>VLOOKUP($W63,feed_mix_n,MATCH(AK$5,feed_mix_w!$B$5:$AC$5,0),FALSE)/$Z63*VLOOKUP(AK$5,feed_intensity_w,11,FALSE)</f>
        <v>0</v>
      </c>
      <c r="AL63" s="2">
        <f>VLOOKUP($W63,feed_mix_n,MATCH(AL$5,feed_mix_w!$B$5:$AC$5,0),FALSE)/$Z63*VLOOKUP(AL$5,feed_intensity_w,11,FALSE)</f>
        <v>0</v>
      </c>
      <c r="AM63" s="2">
        <f>VLOOKUP($W63,feed_mix_n,MATCH(AM$5,feed_mix_w!$B$5:$AC$5,0),FALSE)/$Z63*VLOOKUP(AM$5,feed_intensity_w,11,FALSE)</f>
        <v>7.6435028839933347E-2</v>
      </c>
      <c r="AN63" s="2">
        <f>VLOOKUP($W63,feed_mix_n,MATCH(AN$5,feed_mix_w!$B$5:$AC$5,0),FALSE)/$Z63*VLOOKUP(AN$5,feed_intensity_w,11,FALSE)</f>
        <v>0</v>
      </c>
      <c r="AO63" s="2">
        <f>VLOOKUP($W63,feed_mix_n,MATCH(AO$5,feed_mix_w!$B$5:$AC$5,0),FALSE)/$Z63*VLOOKUP(AO$5,feed_intensity_w,11,FALSE)</f>
        <v>0</v>
      </c>
      <c r="AP63" s="2">
        <f>VLOOKUP($W63,feed_mix_n,MATCH(AP$5,feed_mix_w!$B$5:$AC$5,0),FALSE)/$Z63*VLOOKUP(AP$5,feed_intensity_w,11,FALSE)</f>
        <v>0</v>
      </c>
      <c r="AQ63" s="2">
        <f>VLOOKUP($W63,feed_mix_n,MATCH(AQ$5,feed_mix_w!$B$5:$AC$5,0),FALSE)/$Z63*VLOOKUP(AQ$5,feed_intensity_w,11,FALSE)</f>
        <v>0</v>
      </c>
      <c r="AR63" s="2">
        <f>VLOOKUP($W63,feed_mix_n,MATCH(AR$5,feed_mix_w!$B$5:$AC$5,0),FALSE)/$Z63*VLOOKUP(AR$5,feed_intensity_w,11,FALSE)</f>
        <v>0.10569769305971263</v>
      </c>
      <c r="AS63" s="389">
        <f>VLOOKUP($W63,feed_mix_n,MATCH(AS$5,feed_mix_w!$B$5:$AC$5,0),FALSE)/$Z63*VLOOKUP(AS$5,feed_intensity_w,11,FALSE)</f>
        <v>0</v>
      </c>
    </row>
    <row r="64" spans="1:45" ht="12.75" customHeight="1">
      <c r="A64" s="14" t="s">
        <v>105</v>
      </c>
      <c r="B64" s="482">
        <v>983</v>
      </c>
      <c r="C64" s="24">
        <v>910.1</v>
      </c>
      <c r="D64" s="513"/>
      <c r="E64" s="513"/>
      <c r="F64" s="25">
        <f t="shared" si="11"/>
        <v>0</v>
      </c>
      <c r="G64" s="25">
        <f t="shared" si="12"/>
        <v>0</v>
      </c>
      <c r="H64" s="2">
        <f t="shared" si="13"/>
        <v>2.9323504451454641</v>
      </c>
      <c r="I64" s="25">
        <f t="shared" si="14"/>
        <v>0</v>
      </c>
      <c r="J64" s="87">
        <f>IFERROR(G64*VLOOKUP(W64,livestock_intensity!$B$7:$I$29,8,FALSE)/Z64,0)</f>
        <v>0</v>
      </c>
      <c r="K64" s="2">
        <f>VLOOKUP($W64,feed_mix_n,MATCH(K$5,feed_mix_w!$B$5:$AC$5,0),FALSE)/$Z64*VLOOKUP(K$5,feed_intensity_w,11,FALSE)</f>
        <v>0</v>
      </c>
      <c r="L64" s="25">
        <f t="shared" si="15"/>
        <v>0</v>
      </c>
      <c r="M64" s="25">
        <f>IFERROR(G64*VLOOKUP(W64,livestock_intensity!$B$7:$M$29,12,FALSE)/Z64,0)</f>
        <v>0</v>
      </c>
      <c r="N64" s="2">
        <f>VLOOKUP($W64,feed_mix_n,MATCH(N$5,feed_mix_w!$B$5:$AC$5,0),FALSE)/$Z64*VLOOKUP(N$5,feed_intensity_w,11,FALSE)</f>
        <v>5.4950562514812953</v>
      </c>
      <c r="O64" s="25">
        <f t="shared" si="16"/>
        <v>0</v>
      </c>
      <c r="P64" s="343">
        <f>IFERROR(G64*VLOOKUP(W64,livestock_intensity!$B$7:$Q$29,16,FALSE)/Z64,0)</f>
        <v>0</v>
      </c>
      <c r="Q64" s="758"/>
      <c r="R64" s="331">
        <f t="shared" si="17"/>
        <v>0</v>
      </c>
      <c r="S64" s="331">
        <f t="shared" si="18"/>
        <v>0</v>
      </c>
      <c r="T64" s="739">
        <v>2740</v>
      </c>
      <c r="U64" s="558" t="s">
        <v>2796</v>
      </c>
      <c r="V64" s="559" t="str">
        <f>IFERROR(VLOOKUP(W64,constant_ag_extr!$D$7:$E$594,2,FALSE),"")</f>
        <v>Sheep milk, whole, fresh</v>
      </c>
      <c r="W64" s="560">
        <f t="shared" si="19"/>
        <v>982</v>
      </c>
      <c r="X64" s="2">
        <f>IFERROR(IF(VLOOKUP(B64,cnst_grazing!$C$10:$H$25,5,FALSE)="", IF(VLOOKUP(B64, cnst_grazing!$C$10:$H$25,3,FALSE)="", VLOOKUP(B64, cnst_grazing!$C$10:$H$25,4,FALSE),VLOOKUP(B64, cnst_grazing!$C$10:$H$25,3,FALSE)), VLOOKUP(B64,cnst_grazing!$C$10:$H$25,5,FALSE)),1)</f>
        <v>1</v>
      </c>
      <c r="Y64" s="2">
        <f>IFERROR(IF(VLOOKUP(B64,cnst_grazing!$C$10:$H$25,6,FALSE)="", IF(VLOOKUP(B64, cnst_grazing!$C$10:$H$25,4,FALSE)="", VLOOKUP(B64, cnst_grazing!$C$10:$H$25,3,FALSE),VLOOKUP(B64, cnst_grazing!$C$10:$H$25,4,FALSE)), VLOOKUP(B64,cnst_grazing!$C$10:$H$25,6,FALSE)),1)</f>
        <v>1</v>
      </c>
      <c r="Z64" s="400">
        <f t="shared" si="20"/>
        <v>0.42159128774865501</v>
      </c>
      <c r="AA64" s="2">
        <f t="shared" si="21"/>
        <v>8.4274066966267593</v>
      </c>
      <c r="AB64" s="2">
        <f>VLOOKUP($W64,feed_mix_n,MATCH(AB$5,feed_mix_w!$B$5:$AC$5,0),FALSE)/$Z64*VLOOKUP(AB$5,feed_intensity_w,11,FALSE)</f>
        <v>0.66444267618629249</v>
      </c>
      <c r="AC64" s="2">
        <f>VLOOKUP($W64,feed_mix_n,MATCH(AC$5,feed_mix_w!$B$5:$AC$5,0),FALSE)/$Z64*VLOOKUP(AC$5,feed_intensity_w,11,FALSE)</f>
        <v>0.65289712261417676</v>
      </c>
      <c r="AD64" s="2">
        <f>VLOOKUP($W64,feed_mix_n,MATCH(AD$5,feed_mix_w!$B$5:$AC$5,0),FALSE)/$Z64*VLOOKUP(AD$5,feed_intensity_w,11,FALSE)</f>
        <v>0</v>
      </c>
      <c r="AE64" s="2">
        <f>VLOOKUP($W64,feed_mix_n,MATCH(AE$5,feed_mix_w!$B$5:$AC$5,0),FALSE)/$Z64*VLOOKUP(AE$5,feed_intensity_w,11,FALSE)</f>
        <v>0.65722117172358652</v>
      </c>
      <c r="AF64" s="2">
        <f>VLOOKUP($W64,feed_mix_n,MATCH(AF$5,feed_mix_w!$B$5:$AC$5,0),FALSE)/$Z64*VLOOKUP(AF$5,feed_intensity_w,11,FALSE)</f>
        <v>0.26288846868943461</v>
      </c>
      <c r="AG64" s="2">
        <f>VLOOKUP($W64,feed_mix_n,MATCH(AG$5,feed_mix_w!$B$5:$AC$5,0),FALSE)/$Z64*VLOOKUP(AG$5,feed_intensity_w,11,FALSE)</f>
        <v>0</v>
      </c>
      <c r="AH64" s="2">
        <f>VLOOKUP($W64,feed_mix_n,MATCH(AH$5,feed_mix_w!$B$5:$AC$5,0),FALSE)/$Z64*VLOOKUP(AH$5,feed_intensity_w,11,FALSE)</f>
        <v>0.26288846868943461</v>
      </c>
      <c r="AI64" s="2">
        <f>VLOOKUP($W64,feed_mix_n,MATCH(AI$5,feed_mix_w!$B$5:$AC$5,0),FALSE)/$Z64*VLOOKUP(AI$5,feed_intensity_w,11,FALSE)</f>
        <v>0</v>
      </c>
      <c r="AJ64" s="2">
        <f>VLOOKUP($W64,feed_mix_n,MATCH(AJ$5,feed_mix_w!$B$5:$AC$5,0),FALSE)/$Z64*VLOOKUP(AJ$5,feed_intensity_w,11,FALSE)</f>
        <v>0</v>
      </c>
      <c r="AK64" s="2">
        <f>VLOOKUP($W64,feed_mix_n,MATCH(AK$5,feed_mix_w!$B$5:$AC$5,0),FALSE)/$Z64*VLOOKUP(AK$5,feed_intensity_w,11,FALSE)</f>
        <v>0</v>
      </c>
      <c r="AL64" s="2">
        <f>VLOOKUP($W64,feed_mix_n,MATCH(AL$5,feed_mix_w!$B$5:$AC$5,0),FALSE)/$Z64*VLOOKUP(AL$5,feed_intensity_w,11,FALSE)</f>
        <v>0</v>
      </c>
      <c r="AM64" s="2">
        <f>VLOOKUP($W64,feed_mix_n,MATCH(AM$5,feed_mix_w!$B$5:$AC$5,0),FALSE)/$Z64*VLOOKUP(AM$5,feed_intensity_w,11,FALSE)</f>
        <v>0.18130125327803859</v>
      </c>
      <c r="AN64" s="2">
        <f>VLOOKUP($W64,feed_mix_n,MATCH(AN$5,feed_mix_w!$B$5:$AC$5,0),FALSE)/$Z64*VLOOKUP(AN$5,feed_intensity_w,11,FALSE)</f>
        <v>0</v>
      </c>
      <c r="AO64" s="2">
        <f>VLOOKUP($W64,feed_mix_n,MATCH(AO$5,feed_mix_w!$B$5:$AC$5,0),FALSE)/$Z64*VLOOKUP(AO$5,feed_intensity_w,11,FALSE)</f>
        <v>0</v>
      </c>
      <c r="AP64" s="2">
        <f>VLOOKUP($W64,feed_mix_n,MATCH(AP$5,feed_mix_w!$B$5:$AC$5,0),FALSE)/$Z64*VLOOKUP(AP$5,feed_intensity_w,11,FALSE)</f>
        <v>0</v>
      </c>
      <c r="AQ64" s="2">
        <f>VLOOKUP($W64,feed_mix_n,MATCH(AQ$5,feed_mix_w!$B$5:$AC$5,0),FALSE)/$Z64*VLOOKUP(AQ$5,feed_intensity_w,11,FALSE)</f>
        <v>0</v>
      </c>
      <c r="AR64" s="2">
        <f>VLOOKUP($W64,feed_mix_n,MATCH(AR$5,feed_mix_w!$B$5:$AC$5,0),FALSE)/$Z64*VLOOKUP(AR$5,feed_intensity_w,11,FALSE)</f>
        <v>0.25071128396450082</v>
      </c>
      <c r="AS64" s="389">
        <f>VLOOKUP($W64,feed_mix_n,MATCH(AS$5,feed_mix_w!$B$5:$AC$5,0),FALSE)/$Z64*VLOOKUP(AS$5,feed_intensity_w,11,FALSE)</f>
        <v>0</v>
      </c>
    </row>
    <row r="65" spans="1:45" ht="12.75" customHeight="1">
      <c r="A65" s="14" t="s">
        <v>7149</v>
      </c>
      <c r="B65" s="482">
        <v>984</v>
      </c>
      <c r="C65" s="24" t="s">
        <v>538</v>
      </c>
      <c r="D65" s="513"/>
      <c r="E65" s="513"/>
      <c r="F65" s="25">
        <f t="shared" si="11"/>
        <v>0</v>
      </c>
      <c r="G65" s="25">
        <f t="shared" si="12"/>
        <v>0</v>
      </c>
      <c r="H65" s="2">
        <f t="shared" si="13"/>
        <v>7.2642391869462992</v>
      </c>
      <c r="I65" s="25">
        <f t="shared" si="14"/>
        <v>0</v>
      </c>
      <c r="J65" s="87">
        <f>IFERROR(G65*VLOOKUP(W65,livestock_intensity!$B$7:$I$29,8,FALSE)/Z65,0)</f>
        <v>0</v>
      </c>
      <c r="K65" s="2">
        <f>VLOOKUP($W65,feed_mix_n,MATCH(K$5,feed_mix_w!$B$5:$AC$5,0),FALSE)/$Z65*VLOOKUP(K$5,feed_intensity_w,11,FALSE)</f>
        <v>0</v>
      </c>
      <c r="L65" s="25">
        <f t="shared" si="15"/>
        <v>0</v>
      </c>
      <c r="M65" s="25">
        <f>IFERROR(G65*VLOOKUP(W65,livestock_intensity!$B$7:$M$29,12,FALSE)/Z65,0)</f>
        <v>0</v>
      </c>
      <c r="N65" s="2">
        <f>VLOOKUP($W65,feed_mix_n,MATCH(N$5,feed_mix_w!$B$5:$AC$5,0),FALSE)/$Z65*VLOOKUP(N$5,feed_intensity_w,11,FALSE)</f>
        <v>13.612766858261542</v>
      </c>
      <c r="O65" s="25">
        <f t="shared" si="16"/>
        <v>0</v>
      </c>
      <c r="P65" s="343">
        <f>IFERROR(G65*VLOOKUP(W65,livestock_intensity!$B$7:$Q$29,16,FALSE)/Z65,0)</f>
        <v>0</v>
      </c>
      <c r="Q65" s="758"/>
      <c r="R65" s="331">
        <f t="shared" si="17"/>
        <v>0</v>
      </c>
      <c r="S65" s="331">
        <f t="shared" si="18"/>
        <v>0</v>
      </c>
      <c r="T65" s="739">
        <v>2741</v>
      </c>
      <c r="U65" s="558" t="s">
        <v>2796</v>
      </c>
      <c r="V65" s="559" t="str">
        <f>IFERROR(VLOOKUP(W65,constant_ag_extr!$D$7:$E$594,2,FALSE),"")</f>
        <v>Sheep milk, whole, fresh</v>
      </c>
      <c r="W65" s="560">
        <f t="shared" si="19"/>
        <v>982</v>
      </c>
      <c r="X65" s="2">
        <f>IFERROR(IF(VLOOKUP(B65,cnst_grazing!$C$10:$H$25,5,FALSE)="", IF(VLOOKUP(B65, cnst_grazing!$C$10:$H$25,3,FALSE)="", VLOOKUP(B65, cnst_grazing!$C$10:$H$25,4,FALSE),VLOOKUP(B65, cnst_grazing!$C$10:$H$25,3,FALSE)), VLOOKUP(B65,cnst_grazing!$C$10:$H$25,5,FALSE)),1)</f>
        <v>1</v>
      </c>
      <c r="Y65" s="2">
        <f>IFERROR(IF(VLOOKUP(B65,cnst_grazing!$C$10:$H$25,6,FALSE)="", IF(VLOOKUP(B65, cnst_grazing!$C$10:$H$25,4,FALSE)="", VLOOKUP(B65, cnst_grazing!$C$10:$H$25,3,FALSE),VLOOKUP(B65, cnst_grazing!$C$10:$H$25,4,FALSE)), VLOOKUP(B65,cnst_grazing!$C$10:$H$25,6,FALSE)),1)</f>
        <v>1</v>
      </c>
      <c r="Z65" s="400">
        <f t="shared" si="20"/>
        <v>0.17018346567122158</v>
      </c>
      <c r="AA65" s="2">
        <f t="shared" si="21"/>
        <v>20.877006045207843</v>
      </c>
      <c r="AB65" s="2">
        <f>VLOOKUP($W65,feed_mix_n,MATCH(AB$5,feed_mix_w!$B$5:$AC$5,0),FALSE)/$Z65*VLOOKUP(AB$5,feed_intensity_w,11,FALSE)</f>
        <v>1.6460073978615133</v>
      </c>
      <c r="AC65" s="2">
        <f>VLOOKUP($W65,feed_mix_n,MATCH(AC$5,feed_mix_w!$B$5:$AC$5,0),FALSE)/$Z65*VLOOKUP(AC$5,feed_intensity_w,11,FALSE)</f>
        <v>1.6174058837306229</v>
      </c>
      <c r="AD65" s="2">
        <f>VLOOKUP($W65,feed_mix_n,MATCH(AD$5,feed_mix_w!$B$5:$AC$5,0),FALSE)/$Z65*VLOOKUP(AD$5,feed_intensity_w,11,FALSE)</f>
        <v>0</v>
      </c>
      <c r="AE65" s="2">
        <f>VLOOKUP($W65,feed_mix_n,MATCH(AE$5,feed_mix_w!$B$5:$AC$5,0),FALSE)/$Z65*VLOOKUP(AE$5,feed_intensity_w,11,FALSE)</f>
        <v>1.6281177435763161</v>
      </c>
      <c r="AF65" s="2">
        <f>VLOOKUP($W65,feed_mix_n,MATCH(AF$5,feed_mix_w!$B$5:$AC$5,0),FALSE)/$Z65*VLOOKUP(AF$5,feed_intensity_w,11,FALSE)</f>
        <v>0.65124709743052644</v>
      </c>
      <c r="AG65" s="2">
        <f>VLOOKUP($W65,feed_mix_n,MATCH(AG$5,feed_mix_w!$B$5:$AC$5,0),FALSE)/$Z65*VLOOKUP(AG$5,feed_intensity_w,11,FALSE)</f>
        <v>0</v>
      </c>
      <c r="AH65" s="2">
        <f>VLOOKUP($W65,feed_mix_n,MATCH(AH$5,feed_mix_w!$B$5:$AC$5,0),FALSE)/$Z65*VLOOKUP(AH$5,feed_intensity_w,11,FALSE)</f>
        <v>0.65124709743052644</v>
      </c>
      <c r="AI65" s="2">
        <f>VLOOKUP($W65,feed_mix_n,MATCH(AI$5,feed_mix_w!$B$5:$AC$5,0),FALSE)/$Z65*VLOOKUP(AI$5,feed_intensity_w,11,FALSE)</f>
        <v>0</v>
      </c>
      <c r="AJ65" s="2">
        <f>VLOOKUP($W65,feed_mix_n,MATCH(AJ$5,feed_mix_w!$B$5:$AC$5,0),FALSE)/$Z65*VLOOKUP(AJ$5,feed_intensity_w,11,FALSE)</f>
        <v>0</v>
      </c>
      <c r="AK65" s="2">
        <f>VLOOKUP($W65,feed_mix_n,MATCH(AK$5,feed_mix_w!$B$5:$AC$5,0),FALSE)/$Z65*VLOOKUP(AK$5,feed_intensity_w,11,FALSE)</f>
        <v>0</v>
      </c>
      <c r="AL65" s="2">
        <f>VLOOKUP($W65,feed_mix_n,MATCH(AL$5,feed_mix_w!$B$5:$AC$5,0),FALSE)/$Z65*VLOOKUP(AL$5,feed_intensity_w,11,FALSE)</f>
        <v>0</v>
      </c>
      <c r="AM65" s="2">
        <f>VLOOKUP($W65,feed_mix_n,MATCH(AM$5,feed_mix_w!$B$5:$AC$5,0),FALSE)/$Z65*VLOOKUP(AM$5,feed_intensity_w,11,FALSE)</f>
        <v>0.44913310784020943</v>
      </c>
      <c r="AN65" s="2">
        <f>VLOOKUP($W65,feed_mix_n,MATCH(AN$5,feed_mix_w!$B$5:$AC$5,0),FALSE)/$Z65*VLOOKUP(AN$5,feed_intensity_w,11,FALSE)</f>
        <v>0</v>
      </c>
      <c r="AO65" s="2">
        <f>VLOOKUP($W65,feed_mix_n,MATCH(AO$5,feed_mix_w!$B$5:$AC$5,0),FALSE)/$Z65*VLOOKUP(AO$5,feed_intensity_w,11,FALSE)</f>
        <v>0</v>
      </c>
      <c r="AP65" s="2">
        <f>VLOOKUP($W65,feed_mix_n,MATCH(AP$5,feed_mix_w!$B$5:$AC$5,0),FALSE)/$Z65*VLOOKUP(AP$5,feed_intensity_w,11,FALSE)</f>
        <v>0</v>
      </c>
      <c r="AQ65" s="2">
        <f>VLOOKUP($W65,feed_mix_n,MATCH(AQ$5,feed_mix_w!$B$5:$AC$5,0),FALSE)/$Z65*VLOOKUP(AQ$5,feed_intensity_w,11,FALSE)</f>
        <v>0</v>
      </c>
      <c r="AR65" s="2">
        <f>VLOOKUP($W65,feed_mix_n,MATCH(AR$5,feed_mix_w!$B$5:$AC$5,0),FALSE)/$Z65*VLOOKUP(AR$5,feed_intensity_w,11,FALSE)</f>
        <v>0.62108085907658384</v>
      </c>
      <c r="AS65" s="389">
        <f>VLOOKUP($W65,feed_mix_n,MATCH(AS$5,feed_mix_w!$B$5:$AC$5,0),FALSE)/$Z65*VLOOKUP(AS$5,feed_intensity_w,11,FALSE)</f>
        <v>0</v>
      </c>
    </row>
    <row r="66" spans="1:45" ht="12.75" customHeight="1">
      <c r="A66" s="14" t="s">
        <v>1866</v>
      </c>
      <c r="B66" s="482">
        <v>987</v>
      </c>
      <c r="C66" s="24" t="s">
        <v>1068</v>
      </c>
      <c r="D66" s="513">
        <v>6</v>
      </c>
      <c r="E66" s="513">
        <v>1278</v>
      </c>
      <c r="F66" s="25">
        <f t="shared" si="11"/>
        <v>6</v>
      </c>
      <c r="G66" s="25">
        <f t="shared" si="12"/>
        <v>1278</v>
      </c>
      <c r="H66" s="2">
        <f t="shared" si="13"/>
        <v>0</v>
      </c>
      <c r="I66" s="25">
        <f t="shared" si="14"/>
        <v>0</v>
      </c>
      <c r="J66" s="87">
        <f>IFERROR(G66*VLOOKUP(W66,livestock_intensity!$B$7:$I$29,8,FALSE)/Z66,0)</f>
        <v>0</v>
      </c>
      <c r="K66" s="2">
        <f>VLOOKUP($W66,feed_mix_n,MATCH(K$5,feed_mix_w!$B$5:$AC$5,0),FALSE)/$Z66*VLOOKUP(K$5,feed_intensity_w,11,FALSE)</f>
        <v>0</v>
      </c>
      <c r="L66" s="25">
        <f t="shared" si="15"/>
        <v>0</v>
      </c>
      <c r="M66" s="25">
        <f>IFERROR(G66*VLOOKUP(W66,livestock_intensity!$B$7:$M$29,12,FALSE)/Z66,0)</f>
        <v>0</v>
      </c>
      <c r="N66" s="2">
        <f>VLOOKUP($W66,feed_mix_n,MATCH(N$5,feed_mix_w!$B$5:$AC$5,0),FALSE)/$Z66*VLOOKUP(N$5,feed_intensity_w,11,FALSE)</f>
        <v>67.328728534341678</v>
      </c>
      <c r="O66" s="25">
        <f t="shared" si="16"/>
        <v>403.97237120605007</v>
      </c>
      <c r="P66" s="343">
        <f>IFERROR(G66*VLOOKUP(W66,livestock_intensity!$B$7:$Q$29,16,FALSE)/Z66,0)</f>
        <v>43718.802523649312</v>
      </c>
      <c r="Q66" s="758"/>
      <c r="R66" s="331">
        <f t="shared" si="17"/>
        <v>403.97237120605007</v>
      </c>
      <c r="S66" s="331">
        <f t="shared" si="18"/>
        <v>43718.802523649312</v>
      </c>
      <c r="T66" s="739" t="s">
        <v>2738</v>
      </c>
      <c r="U66" s="558" t="s">
        <v>2796</v>
      </c>
      <c r="V66" s="559" t="str">
        <f>IFERROR(VLOOKUP(W66,constant_ag_extr!$D$7:$E$594,2,FALSE),"")</f>
        <v>Wool, greasy</v>
      </c>
      <c r="W66" s="560">
        <f t="shared" si="19"/>
        <v>987</v>
      </c>
      <c r="X66" s="2">
        <f>IFERROR(IF(VLOOKUP(B66,cnst_grazing!$C$10:$H$25,5,FALSE)="", IF(VLOOKUP(B66, cnst_grazing!$C$10:$H$25,3,FALSE)="", VLOOKUP(B66, cnst_grazing!$C$10:$H$25,4,FALSE),VLOOKUP(B66, cnst_grazing!$C$10:$H$25,3,FALSE)), VLOOKUP(B66,cnst_grazing!$C$10:$H$25,5,FALSE)),1)</f>
        <v>1</v>
      </c>
      <c r="Y66" s="2">
        <f>IFERROR(IF(VLOOKUP(B66,cnst_grazing!$C$10:$H$25,6,FALSE)="", IF(VLOOKUP(B66, cnst_grazing!$C$10:$H$25,4,FALSE)="", VLOOKUP(B66, cnst_grazing!$C$10:$H$25,3,FALSE),VLOOKUP(B66, cnst_grazing!$C$10:$H$25,4,FALSE)), VLOOKUP(B66,cnst_grazing!$C$10:$H$25,6,FALSE)),1)</f>
        <v>1</v>
      </c>
      <c r="Z66" s="400">
        <f t="shared" si="20"/>
        <v>1</v>
      </c>
      <c r="AA66" s="2">
        <f t="shared" si="21"/>
        <v>67.328728534341678</v>
      </c>
      <c r="AB66" s="2">
        <f>VLOOKUP($W66,feed_mix_n,MATCH(AB$5,feed_mix_w!$B$5:$AC$5,0),FALSE)/$Z66*VLOOKUP(AB$5,feed_intensity_w,11,FALSE)</f>
        <v>0</v>
      </c>
      <c r="AC66" s="2">
        <f>VLOOKUP($W66,feed_mix_n,MATCH(AC$5,feed_mix_w!$B$5:$AC$5,0),FALSE)/$Z66*VLOOKUP(AC$5,feed_intensity_w,11,FALSE)</f>
        <v>0</v>
      </c>
      <c r="AD66" s="2">
        <f>VLOOKUP($W66,feed_mix_n,MATCH(AD$5,feed_mix_w!$B$5:$AC$5,0),FALSE)/$Z66*VLOOKUP(AD$5,feed_intensity_w,11,FALSE)</f>
        <v>0</v>
      </c>
      <c r="AE66" s="2">
        <f>VLOOKUP($W66,feed_mix_n,MATCH(AE$5,feed_mix_w!$B$5:$AC$5,0),FALSE)/$Z66*VLOOKUP(AE$5,feed_intensity_w,11,FALSE)</f>
        <v>0</v>
      </c>
      <c r="AF66" s="2">
        <f>VLOOKUP($W66,feed_mix_n,MATCH(AF$5,feed_mix_w!$B$5:$AC$5,0),FALSE)/$Z66*VLOOKUP(AF$5,feed_intensity_w,11,FALSE)</f>
        <v>0</v>
      </c>
      <c r="AG66" s="2">
        <f>VLOOKUP($W66,feed_mix_n,MATCH(AG$5,feed_mix_w!$B$5:$AC$5,0),FALSE)/$Z66*VLOOKUP(AG$5,feed_intensity_w,11,FALSE)</f>
        <v>0</v>
      </c>
      <c r="AH66" s="2">
        <f>VLOOKUP($W66,feed_mix_n,MATCH(AH$5,feed_mix_w!$B$5:$AC$5,0),FALSE)/$Z66*VLOOKUP(AH$5,feed_intensity_w,11,FALSE)</f>
        <v>0</v>
      </c>
      <c r="AI66" s="2">
        <f>VLOOKUP($W66,feed_mix_n,MATCH(AI$5,feed_mix_w!$B$5:$AC$5,0),FALSE)/$Z66*VLOOKUP(AI$5,feed_intensity_w,11,FALSE)</f>
        <v>0</v>
      </c>
      <c r="AJ66" s="2">
        <f>VLOOKUP($W66,feed_mix_n,MATCH(AJ$5,feed_mix_w!$B$5:$AC$5,0),FALSE)/$Z66*VLOOKUP(AJ$5,feed_intensity_w,11,FALSE)</f>
        <v>0</v>
      </c>
      <c r="AK66" s="2">
        <f>VLOOKUP($W66,feed_mix_n,MATCH(AK$5,feed_mix_w!$B$5:$AC$5,0),FALSE)/$Z66*VLOOKUP(AK$5,feed_intensity_w,11,FALSE)</f>
        <v>0</v>
      </c>
      <c r="AL66" s="2">
        <f>VLOOKUP($W66,feed_mix_n,MATCH(AL$5,feed_mix_w!$B$5:$AC$5,0),FALSE)/$Z66*VLOOKUP(AL$5,feed_intensity_w,11,FALSE)</f>
        <v>0</v>
      </c>
      <c r="AM66" s="2">
        <f>VLOOKUP($W66,feed_mix_n,MATCH(AM$5,feed_mix_w!$B$5:$AC$5,0),FALSE)/$Z66*VLOOKUP(AM$5,feed_intensity_w,11,FALSE)</f>
        <v>0</v>
      </c>
      <c r="AN66" s="2">
        <f>VLOOKUP($W66,feed_mix_n,MATCH(AN$5,feed_mix_w!$B$5:$AC$5,0),FALSE)/$Z66*VLOOKUP(AN$5,feed_intensity_w,11,FALSE)</f>
        <v>0</v>
      </c>
      <c r="AO66" s="2">
        <f>VLOOKUP($W66,feed_mix_n,MATCH(AO$5,feed_mix_w!$B$5:$AC$5,0),FALSE)/$Z66*VLOOKUP(AO$5,feed_intensity_w,11,FALSE)</f>
        <v>0</v>
      </c>
      <c r="AP66" s="2">
        <f>VLOOKUP($W66,feed_mix_n,MATCH(AP$5,feed_mix_w!$B$5:$AC$5,0),FALSE)/$Z66*VLOOKUP(AP$5,feed_intensity_w,11,FALSE)</f>
        <v>0</v>
      </c>
      <c r="AQ66" s="2">
        <f>VLOOKUP($W66,feed_mix_n,MATCH(AQ$5,feed_mix_w!$B$5:$AC$5,0),FALSE)/$Z66*VLOOKUP(AQ$5,feed_intensity_w,11,FALSE)</f>
        <v>0</v>
      </c>
      <c r="AR66" s="2">
        <f>VLOOKUP($W66,feed_mix_n,MATCH(AR$5,feed_mix_w!$B$5:$AC$5,0),FALSE)/$Z66*VLOOKUP(AR$5,feed_intensity_w,11,FALSE)</f>
        <v>0</v>
      </c>
      <c r="AS66" s="389">
        <f>VLOOKUP($W66,feed_mix_n,MATCH(AS$5,feed_mix_w!$B$5:$AC$5,0),FALSE)/$Z66*VLOOKUP(AS$5,feed_intensity_w,11,FALSE)</f>
        <v>0</v>
      </c>
    </row>
    <row r="67" spans="1:45" ht="12.75" customHeight="1">
      <c r="A67" s="14" t="s">
        <v>7150</v>
      </c>
      <c r="B67" s="482">
        <v>988</v>
      </c>
      <c r="C67" s="24">
        <v>5101.2</v>
      </c>
      <c r="D67" s="513">
        <v>422</v>
      </c>
      <c r="E67" s="513">
        <v>46</v>
      </c>
      <c r="F67" s="25">
        <f t="shared" si="11"/>
        <v>422</v>
      </c>
      <c r="G67" s="25">
        <f t="shared" si="12"/>
        <v>46</v>
      </c>
      <c r="H67" s="2">
        <f t="shared" si="13"/>
        <v>0</v>
      </c>
      <c r="I67" s="25">
        <f t="shared" si="14"/>
        <v>0</v>
      </c>
      <c r="J67" s="87">
        <f>IFERROR(G67*VLOOKUP(W67,livestock_intensity!$B$7:$I$29,8,FALSE)/Z67,0)</f>
        <v>0</v>
      </c>
      <c r="K67" s="2">
        <f>VLOOKUP($W67,feed_mix_n,MATCH(K$5,feed_mix_w!$B$5:$AC$5,0),FALSE)/$Z67*VLOOKUP(K$5,feed_intensity_w,11,FALSE)</f>
        <v>0</v>
      </c>
      <c r="L67" s="25">
        <f t="shared" si="15"/>
        <v>0</v>
      </c>
      <c r="M67" s="25">
        <f>IFERROR(G67*VLOOKUP(W67,livestock_intensity!$B$7:$M$29,12,FALSE)/Z67,0)</f>
        <v>0</v>
      </c>
      <c r="N67" s="2">
        <f>VLOOKUP($W67,feed_mix_n,MATCH(N$5,feed_mix_w!$B$5:$AC$5,0),FALSE)/$Z67*VLOOKUP(N$5,feed_intensity_w,11,FALSE)</f>
        <v>65.404443664962642</v>
      </c>
      <c r="O67" s="25">
        <f t="shared" si="16"/>
        <v>27600.675226614236</v>
      </c>
      <c r="P67" s="343">
        <f>IFERROR(G67*VLOOKUP(W67,livestock_intensity!$B$7:$Q$29,16,FALSE)/Z67,0)</f>
        <v>1528.6289440098938</v>
      </c>
      <c r="Q67" s="758"/>
      <c r="R67" s="331">
        <f t="shared" si="17"/>
        <v>27600.675226614236</v>
      </c>
      <c r="S67" s="331">
        <f t="shared" si="18"/>
        <v>1528.6289440098938</v>
      </c>
      <c r="T67" s="739" t="s">
        <v>2738</v>
      </c>
      <c r="U67" s="558" t="s">
        <v>2796</v>
      </c>
      <c r="V67" s="559" t="str">
        <f>IFERROR(VLOOKUP(W67,constant_ag_extr!$D$7:$E$594,2,FALSE),"")</f>
        <v>Wool, greasy</v>
      </c>
      <c r="W67" s="560">
        <f t="shared" si="19"/>
        <v>987</v>
      </c>
      <c r="X67" s="2">
        <f>IFERROR(IF(VLOOKUP(B67,cnst_grazing!$C$10:$H$25,5,FALSE)="", IF(VLOOKUP(B67, cnst_grazing!$C$10:$H$25,3,FALSE)="", VLOOKUP(B67, cnst_grazing!$C$10:$H$25,4,FALSE),VLOOKUP(B67, cnst_grazing!$C$10:$H$25,3,FALSE)), VLOOKUP(B67,cnst_grazing!$C$10:$H$25,5,FALSE)),1)</f>
        <v>1</v>
      </c>
      <c r="Y67" s="2">
        <f>IFERROR(IF(VLOOKUP(B67,cnst_grazing!$C$10:$H$25,6,FALSE)="", IF(VLOOKUP(B67, cnst_grazing!$C$10:$H$25,4,FALSE)="", VLOOKUP(B67, cnst_grazing!$C$10:$H$25,3,FALSE),VLOOKUP(B67, cnst_grazing!$C$10:$H$25,4,FALSE)), VLOOKUP(B67,cnst_grazing!$C$10:$H$25,6,FALSE)),1)</f>
        <v>1</v>
      </c>
      <c r="Z67" s="400">
        <f t="shared" si="20"/>
        <v>1.0294213169862934</v>
      </c>
      <c r="AA67" s="2">
        <f t="shared" si="21"/>
        <v>65.404443664962642</v>
      </c>
      <c r="AB67" s="2">
        <f>VLOOKUP($W67,feed_mix_n,MATCH(AB$5,feed_mix_w!$B$5:$AC$5,0),FALSE)/$Z67*VLOOKUP(AB$5,feed_intensity_w,11,FALSE)</f>
        <v>0</v>
      </c>
      <c r="AC67" s="2">
        <f>VLOOKUP($W67,feed_mix_n,MATCH(AC$5,feed_mix_w!$B$5:$AC$5,0),FALSE)/$Z67*VLOOKUP(AC$5,feed_intensity_w,11,FALSE)</f>
        <v>0</v>
      </c>
      <c r="AD67" s="2">
        <f>VLOOKUP($W67,feed_mix_n,MATCH(AD$5,feed_mix_w!$B$5:$AC$5,0),FALSE)/$Z67*VLOOKUP(AD$5,feed_intensity_w,11,FALSE)</f>
        <v>0</v>
      </c>
      <c r="AE67" s="2">
        <f>VLOOKUP($W67,feed_mix_n,MATCH(AE$5,feed_mix_w!$B$5:$AC$5,0),FALSE)/$Z67*VLOOKUP(AE$5,feed_intensity_w,11,FALSE)</f>
        <v>0</v>
      </c>
      <c r="AF67" s="2">
        <f>VLOOKUP($W67,feed_mix_n,MATCH(AF$5,feed_mix_w!$B$5:$AC$5,0),FALSE)/$Z67*VLOOKUP(AF$5,feed_intensity_w,11,FALSE)</f>
        <v>0</v>
      </c>
      <c r="AG67" s="2">
        <f>VLOOKUP($W67,feed_mix_n,MATCH(AG$5,feed_mix_w!$B$5:$AC$5,0),FALSE)/$Z67*VLOOKUP(AG$5,feed_intensity_w,11,FALSE)</f>
        <v>0</v>
      </c>
      <c r="AH67" s="2">
        <f>VLOOKUP($W67,feed_mix_n,MATCH(AH$5,feed_mix_w!$B$5:$AC$5,0),FALSE)/$Z67*VLOOKUP(AH$5,feed_intensity_w,11,FALSE)</f>
        <v>0</v>
      </c>
      <c r="AI67" s="2">
        <f>VLOOKUP($W67,feed_mix_n,MATCH(AI$5,feed_mix_w!$B$5:$AC$5,0),FALSE)/$Z67*VLOOKUP(AI$5,feed_intensity_w,11,FALSE)</f>
        <v>0</v>
      </c>
      <c r="AJ67" s="2">
        <f>VLOOKUP($W67,feed_mix_n,MATCH(AJ$5,feed_mix_w!$B$5:$AC$5,0),FALSE)/$Z67*VLOOKUP(AJ$5,feed_intensity_w,11,FALSE)</f>
        <v>0</v>
      </c>
      <c r="AK67" s="2">
        <f>VLOOKUP($W67,feed_mix_n,MATCH(AK$5,feed_mix_w!$B$5:$AC$5,0),FALSE)/$Z67*VLOOKUP(AK$5,feed_intensity_w,11,FALSE)</f>
        <v>0</v>
      </c>
      <c r="AL67" s="2">
        <f>VLOOKUP($W67,feed_mix_n,MATCH(AL$5,feed_mix_w!$B$5:$AC$5,0),FALSE)/$Z67*VLOOKUP(AL$5,feed_intensity_w,11,FALSE)</f>
        <v>0</v>
      </c>
      <c r="AM67" s="2">
        <f>VLOOKUP($W67,feed_mix_n,MATCH(AM$5,feed_mix_w!$B$5:$AC$5,0),FALSE)/$Z67*VLOOKUP(AM$5,feed_intensity_w,11,FALSE)</f>
        <v>0</v>
      </c>
      <c r="AN67" s="2">
        <f>VLOOKUP($W67,feed_mix_n,MATCH(AN$5,feed_mix_w!$B$5:$AC$5,0),FALSE)/$Z67*VLOOKUP(AN$5,feed_intensity_w,11,FALSE)</f>
        <v>0</v>
      </c>
      <c r="AO67" s="2">
        <f>VLOOKUP($W67,feed_mix_n,MATCH(AO$5,feed_mix_w!$B$5:$AC$5,0),FALSE)/$Z67*VLOOKUP(AO$5,feed_intensity_w,11,FALSE)</f>
        <v>0</v>
      </c>
      <c r="AP67" s="2">
        <f>VLOOKUP($W67,feed_mix_n,MATCH(AP$5,feed_mix_w!$B$5:$AC$5,0),FALSE)/$Z67*VLOOKUP(AP$5,feed_intensity_w,11,FALSE)</f>
        <v>0</v>
      </c>
      <c r="AQ67" s="2">
        <f>VLOOKUP($W67,feed_mix_n,MATCH(AQ$5,feed_mix_w!$B$5:$AC$5,0),FALSE)/$Z67*VLOOKUP(AQ$5,feed_intensity_w,11,FALSE)</f>
        <v>0</v>
      </c>
      <c r="AR67" s="2">
        <f>VLOOKUP($W67,feed_mix_n,MATCH(AR$5,feed_mix_w!$B$5:$AC$5,0),FALSE)/$Z67*VLOOKUP(AR$5,feed_intensity_w,11,FALSE)</f>
        <v>0</v>
      </c>
      <c r="AS67" s="389">
        <f>VLOOKUP($W67,feed_mix_n,MATCH(AS$5,feed_mix_w!$B$5:$AC$5,0),FALSE)/$Z67*VLOOKUP(AS$5,feed_intensity_w,11,FALSE)</f>
        <v>0</v>
      </c>
    </row>
    <row r="68" spans="1:45" ht="12.75" customHeight="1">
      <c r="A68" s="14" t="s">
        <v>7151</v>
      </c>
      <c r="B68" s="482">
        <v>994</v>
      </c>
      <c r="C68" s="24"/>
      <c r="D68" s="513">
        <v>240</v>
      </c>
      <c r="E68" s="513">
        <v>203</v>
      </c>
      <c r="F68" s="25">
        <f t="shared" si="11"/>
        <v>240</v>
      </c>
      <c r="G68" s="25">
        <f t="shared" si="12"/>
        <v>203</v>
      </c>
      <c r="H68" s="2">
        <f t="shared" si="13"/>
        <v>0</v>
      </c>
      <c r="I68" s="25">
        <f t="shared" si="14"/>
        <v>0</v>
      </c>
      <c r="J68" s="87">
        <f>IFERROR(G68*VLOOKUP(W68,livestock_intensity!$B$7:$I$29,8,FALSE)/Z68,0)</f>
        <v>0</v>
      </c>
      <c r="K68" s="2">
        <f>VLOOKUP($W68,feed_mix_n,MATCH(K$5,feed_mix_w!$B$5:$AC$5,0),FALSE)/$Z68*VLOOKUP(K$5,feed_intensity_w,11,FALSE)</f>
        <v>0</v>
      </c>
      <c r="L68" s="25">
        <f t="shared" si="15"/>
        <v>0</v>
      </c>
      <c r="M68" s="25">
        <f>IFERROR(G68*VLOOKUP(W68,livestock_intensity!$B$7:$M$29,12,FALSE)/Z68,0)</f>
        <v>0</v>
      </c>
      <c r="N68" s="2">
        <f>VLOOKUP($W68,feed_mix_n,MATCH(N$5,feed_mix_w!$B$5:$AC$5,0),FALSE)/$Z68*VLOOKUP(N$5,feed_intensity_w,11,FALSE)</f>
        <v>76.400357204271415</v>
      </c>
      <c r="O68" s="25">
        <f t="shared" si="16"/>
        <v>18336.085729025141</v>
      </c>
      <c r="P68" s="343">
        <f>IFERROR(G68*VLOOKUP(W68,livestock_intensity!$B$7:$Q$29,16,FALSE)/Z68,0)</f>
        <v>7880.0399266245331</v>
      </c>
      <c r="Q68" s="758"/>
      <c r="R68" s="331">
        <f t="shared" si="17"/>
        <v>18336.085729025141</v>
      </c>
      <c r="S68" s="331">
        <f t="shared" si="18"/>
        <v>7880.0399266245331</v>
      </c>
      <c r="T68" s="739" t="s">
        <v>2738</v>
      </c>
      <c r="U68" s="558"/>
      <c r="V68" s="559" t="str">
        <f>IFERROR(VLOOKUP(W68,constant_ag_extr!$D$7:$E$594,2,FALSE),"")</f>
        <v>Wool, greasy</v>
      </c>
      <c r="W68" s="560">
        <f t="shared" si="19"/>
        <v>987</v>
      </c>
      <c r="X68" s="2">
        <f>IFERROR(IF(VLOOKUP(B68,cnst_grazing!$C$10:$H$25,5,FALSE)="", IF(VLOOKUP(B68, cnst_grazing!$C$10:$H$25,3,FALSE)="", VLOOKUP(B68, cnst_grazing!$C$10:$H$25,4,FALSE),VLOOKUP(B68, cnst_grazing!$C$10:$H$25,3,FALSE)), VLOOKUP(B68,cnst_grazing!$C$10:$H$25,5,FALSE)),1)</f>
        <v>1</v>
      </c>
      <c r="Y68" s="2">
        <f>IFERROR(IF(VLOOKUP(B68,cnst_grazing!$C$10:$H$25,6,FALSE)="", IF(VLOOKUP(B68, cnst_grazing!$C$10:$H$25,4,FALSE)="", VLOOKUP(B68, cnst_grazing!$C$10:$H$25,3,FALSE),VLOOKUP(B68, cnst_grazing!$C$10:$H$25,4,FALSE)), VLOOKUP(B68,cnst_grazing!$C$10:$H$25,6,FALSE)),1)</f>
        <v>1</v>
      </c>
      <c r="Z68" s="400">
        <f t="shared" si="20"/>
        <v>0.88126195999745194</v>
      </c>
      <c r="AA68" s="2">
        <f t="shared" si="21"/>
        <v>76.400357204271415</v>
      </c>
      <c r="AB68" s="2">
        <f>VLOOKUP($W68,feed_mix_n,MATCH(AB$5,feed_mix_w!$B$5:$AC$5,0),FALSE)/$Z68*VLOOKUP(AB$5,feed_intensity_w,11,FALSE)</f>
        <v>0</v>
      </c>
      <c r="AC68" s="2">
        <f>VLOOKUP($W68,feed_mix_n,MATCH(AC$5,feed_mix_w!$B$5:$AC$5,0),FALSE)/$Z68*VLOOKUP(AC$5,feed_intensity_w,11,FALSE)</f>
        <v>0</v>
      </c>
      <c r="AD68" s="2">
        <f>VLOOKUP($W68,feed_mix_n,MATCH(AD$5,feed_mix_w!$B$5:$AC$5,0),FALSE)/$Z68*VLOOKUP(AD$5,feed_intensity_w,11,FALSE)</f>
        <v>0</v>
      </c>
      <c r="AE68" s="2">
        <f>VLOOKUP($W68,feed_mix_n,MATCH(AE$5,feed_mix_w!$B$5:$AC$5,0),FALSE)/$Z68*VLOOKUP(AE$5,feed_intensity_w,11,FALSE)</f>
        <v>0</v>
      </c>
      <c r="AF68" s="2">
        <f>VLOOKUP($W68,feed_mix_n,MATCH(AF$5,feed_mix_w!$B$5:$AC$5,0),FALSE)/$Z68*VLOOKUP(AF$5,feed_intensity_w,11,FALSE)</f>
        <v>0</v>
      </c>
      <c r="AG68" s="2">
        <f>VLOOKUP($W68,feed_mix_n,MATCH(AG$5,feed_mix_w!$B$5:$AC$5,0),FALSE)/$Z68*VLOOKUP(AG$5,feed_intensity_w,11,FALSE)</f>
        <v>0</v>
      </c>
      <c r="AH68" s="2">
        <f>VLOOKUP($W68,feed_mix_n,MATCH(AH$5,feed_mix_w!$B$5:$AC$5,0),FALSE)/$Z68*VLOOKUP(AH$5,feed_intensity_w,11,FALSE)</f>
        <v>0</v>
      </c>
      <c r="AI68" s="2">
        <f>VLOOKUP($W68,feed_mix_n,MATCH(AI$5,feed_mix_w!$B$5:$AC$5,0),FALSE)/$Z68*VLOOKUP(AI$5,feed_intensity_w,11,FALSE)</f>
        <v>0</v>
      </c>
      <c r="AJ68" s="2">
        <f>VLOOKUP($W68,feed_mix_n,MATCH(AJ$5,feed_mix_w!$B$5:$AC$5,0),FALSE)/$Z68*VLOOKUP(AJ$5,feed_intensity_w,11,FALSE)</f>
        <v>0</v>
      </c>
      <c r="AK68" s="2">
        <f>VLOOKUP($W68,feed_mix_n,MATCH(AK$5,feed_mix_w!$B$5:$AC$5,0),FALSE)/$Z68*VLOOKUP(AK$5,feed_intensity_w,11,FALSE)</f>
        <v>0</v>
      </c>
      <c r="AL68" s="2">
        <f>VLOOKUP($W68,feed_mix_n,MATCH(AL$5,feed_mix_w!$B$5:$AC$5,0),FALSE)/$Z68*VLOOKUP(AL$5,feed_intensity_w,11,FALSE)</f>
        <v>0</v>
      </c>
      <c r="AM68" s="2">
        <f>VLOOKUP($W68,feed_mix_n,MATCH(AM$5,feed_mix_w!$B$5:$AC$5,0),FALSE)/$Z68*VLOOKUP(AM$5,feed_intensity_w,11,FALSE)</f>
        <v>0</v>
      </c>
      <c r="AN68" s="2">
        <f>VLOOKUP($W68,feed_mix_n,MATCH(AN$5,feed_mix_w!$B$5:$AC$5,0),FALSE)/$Z68*VLOOKUP(AN$5,feed_intensity_w,11,FALSE)</f>
        <v>0</v>
      </c>
      <c r="AO68" s="2">
        <f>VLOOKUP($W68,feed_mix_n,MATCH(AO$5,feed_mix_w!$B$5:$AC$5,0),FALSE)/$Z68*VLOOKUP(AO$5,feed_intensity_w,11,FALSE)</f>
        <v>0</v>
      </c>
      <c r="AP68" s="2">
        <f>VLOOKUP($W68,feed_mix_n,MATCH(AP$5,feed_mix_w!$B$5:$AC$5,0),FALSE)/$Z68*VLOOKUP(AP$5,feed_intensity_w,11,FALSE)</f>
        <v>0</v>
      </c>
      <c r="AQ68" s="2">
        <f>VLOOKUP($W68,feed_mix_n,MATCH(AQ$5,feed_mix_w!$B$5:$AC$5,0),FALSE)/$Z68*VLOOKUP(AQ$5,feed_intensity_w,11,FALSE)</f>
        <v>0</v>
      </c>
      <c r="AR68" s="2">
        <f>VLOOKUP($W68,feed_mix_n,MATCH(AR$5,feed_mix_w!$B$5:$AC$5,0),FALSE)/$Z68*VLOOKUP(AR$5,feed_intensity_w,11,FALSE)</f>
        <v>0</v>
      </c>
      <c r="AS68" s="389">
        <f>VLOOKUP($W68,feed_mix_n,MATCH(AS$5,feed_mix_w!$B$5:$AC$5,0),FALSE)/$Z68*VLOOKUP(AS$5,feed_intensity_w,11,FALSE)</f>
        <v>0</v>
      </c>
    </row>
    <row r="69" spans="1:45" ht="12.75" customHeight="1">
      <c r="A69" s="14" t="s">
        <v>7152</v>
      </c>
      <c r="B69" s="482">
        <v>995</v>
      </c>
      <c r="C69" s="24" t="s">
        <v>4999</v>
      </c>
      <c r="D69" s="513"/>
      <c r="E69" s="513"/>
      <c r="F69" s="25">
        <f t="shared" si="11"/>
        <v>0</v>
      </c>
      <c r="G69" s="25">
        <f t="shared" si="12"/>
        <v>0</v>
      </c>
      <c r="H69" s="2">
        <f t="shared" si="13"/>
        <v>0</v>
      </c>
      <c r="I69" s="25">
        <f t="shared" si="14"/>
        <v>0</v>
      </c>
      <c r="J69" s="87">
        <f>IFERROR(G69*VLOOKUP(W69,livestock_intensity!$B$7:$I$29,8,FALSE)/Z69,0)</f>
        <v>0</v>
      </c>
      <c r="K69" s="2">
        <f>VLOOKUP($W69,feed_mix_n,MATCH(K$5,feed_mix_w!$B$5:$AC$5,0),FALSE)/$Z69*VLOOKUP(K$5,feed_intensity_w,11,FALSE)</f>
        <v>0</v>
      </c>
      <c r="L69" s="25">
        <f t="shared" si="15"/>
        <v>0</v>
      </c>
      <c r="M69" s="25">
        <f>IFERROR(G69*VLOOKUP(W69,livestock_intensity!$B$7:$M$29,12,FALSE)/Z69,0)</f>
        <v>0</v>
      </c>
      <c r="N69" s="2">
        <f>VLOOKUP($W69,feed_mix_n,MATCH(N$5,feed_mix_w!$B$5:$AC$5,0),FALSE)/$Z69*VLOOKUP(N$5,feed_intensity_w,11,FALSE)</f>
        <v>0.62762103919498513</v>
      </c>
      <c r="O69" s="25">
        <f t="shared" si="16"/>
        <v>0</v>
      </c>
      <c r="P69" s="343">
        <f>IFERROR(G69*VLOOKUP(W69,livestock_intensity!$B$7:$Q$29,16,FALSE)/Z69,0)</f>
        <v>0</v>
      </c>
      <c r="Q69" s="758"/>
      <c r="R69" s="331">
        <f t="shared" si="17"/>
        <v>0</v>
      </c>
      <c r="S69" s="331">
        <f t="shared" si="18"/>
        <v>0</v>
      </c>
      <c r="T69" s="739">
        <v>2748</v>
      </c>
      <c r="U69" s="558" t="s">
        <v>2796</v>
      </c>
      <c r="V69" s="559" t="str">
        <f>IFERROR(VLOOKUP(W69,constant_ag_extr!$D$7:$E$594,2,FALSE),"")</f>
        <v>Sheep</v>
      </c>
      <c r="W69" s="560">
        <f t="shared" si="19"/>
        <v>976</v>
      </c>
      <c r="X69" s="2">
        <f>IFERROR(IF(VLOOKUP(B69,cnst_grazing!$C$10:$H$25,5,FALSE)="", IF(VLOOKUP(B69, cnst_grazing!$C$10:$H$25,3,FALSE)="", VLOOKUP(B69, cnst_grazing!$C$10:$H$25,4,FALSE),VLOOKUP(B69, cnst_grazing!$C$10:$H$25,3,FALSE)), VLOOKUP(B69,cnst_grazing!$C$10:$H$25,5,FALSE)),1)</f>
        <v>1</v>
      </c>
      <c r="Y69" s="2">
        <f>IFERROR(IF(VLOOKUP(B69,cnst_grazing!$C$10:$H$25,6,FALSE)="", IF(VLOOKUP(B69, cnst_grazing!$C$10:$H$25,4,FALSE)="", VLOOKUP(B69, cnst_grazing!$C$10:$H$25,3,FALSE),VLOOKUP(B69, cnst_grazing!$C$10:$H$25,4,FALSE)), VLOOKUP(B69,cnst_grazing!$C$10:$H$25,6,FALSE)),1)</f>
        <v>1</v>
      </c>
      <c r="Z69" s="400">
        <f t="shared" si="20"/>
        <v>5.7252703815834476</v>
      </c>
      <c r="AA69" s="2">
        <f t="shared" si="21"/>
        <v>0.62762103919498513</v>
      </c>
      <c r="AB69" s="2">
        <f>VLOOKUP($W69,feed_mix_n,MATCH(AB$5,feed_mix_w!$B$5:$AC$5,0),FALSE)/$Z69*VLOOKUP(AB$5,feed_intensity_w,11,FALSE)</f>
        <v>0</v>
      </c>
      <c r="AC69" s="2">
        <f>VLOOKUP($W69,feed_mix_n,MATCH(AC$5,feed_mix_w!$B$5:$AC$5,0),FALSE)/$Z69*VLOOKUP(AC$5,feed_intensity_w,11,FALSE)</f>
        <v>0</v>
      </c>
      <c r="AD69" s="2">
        <f>VLOOKUP($W69,feed_mix_n,MATCH(AD$5,feed_mix_w!$B$5:$AC$5,0),FALSE)/$Z69*VLOOKUP(AD$5,feed_intensity_w,11,FALSE)</f>
        <v>0</v>
      </c>
      <c r="AE69" s="2">
        <f>VLOOKUP($W69,feed_mix_n,MATCH(AE$5,feed_mix_w!$B$5:$AC$5,0),FALSE)/$Z69*VLOOKUP(AE$5,feed_intensity_w,11,FALSE)</f>
        <v>0</v>
      </c>
      <c r="AF69" s="2">
        <f>VLOOKUP($W69,feed_mix_n,MATCH(AF$5,feed_mix_w!$B$5:$AC$5,0),FALSE)/$Z69*VLOOKUP(AF$5,feed_intensity_w,11,FALSE)</f>
        <v>0</v>
      </c>
      <c r="AG69" s="2">
        <f>VLOOKUP($W69,feed_mix_n,MATCH(AG$5,feed_mix_w!$B$5:$AC$5,0),FALSE)/$Z69*VLOOKUP(AG$5,feed_intensity_w,11,FALSE)</f>
        <v>0</v>
      </c>
      <c r="AH69" s="2">
        <f>VLOOKUP($W69,feed_mix_n,MATCH(AH$5,feed_mix_w!$B$5:$AC$5,0),FALSE)/$Z69*VLOOKUP(AH$5,feed_intensity_w,11,FALSE)</f>
        <v>0</v>
      </c>
      <c r="AI69" s="2">
        <f>VLOOKUP($W69,feed_mix_n,MATCH(AI$5,feed_mix_w!$B$5:$AC$5,0),FALSE)/$Z69*VLOOKUP(AI$5,feed_intensity_w,11,FALSE)</f>
        <v>0</v>
      </c>
      <c r="AJ69" s="2">
        <f>VLOOKUP($W69,feed_mix_n,MATCH(AJ$5,feed_mix_w!$B$5:$AC$5,0),FALSE)/$Z69*VLOOKUP(AJ$5,feed_intensity_w,11,FALSE)</f>
        <v>0</v>
      </c>
      <c r="AK69" s="2">
        <f>VLOOKUP($W69,feed_mix_n,MATCH(AK$5,feed_mix_w!$B$5:$AC$5,0),FALSE)/$Z69*VLOOKUP(AK$5,feed_intensity_w,11,FALSE)</f>
        <v>0</v>
      </c>
      <c r="AL69" s="2">
        <f>VLOOKUP($W69,feed_mix_n,MATCH(AL$5,feed_mix_w!$B$5:$AC$5,0),FALSE)/$Z69*VLOOKUP(AL$5,feed_intensity_w,11,FALSE)</f>
        <v>0</v>
      </c>
      <c r="AM69" s="2">
        <f>VLOOKUP($W69,feed_mix_n,MATCH(AM$5,feed_mix_w!$B$5:$AC$5,0),FALSE)/$Z69*VLOOKUP(AM$5,feed_intensity_w,11,FALSE)</f>
        <v>0</v>
      </c>
      <c r="AN69" s="2">
        <f>VLOOKUP($W69,feed_mix_n,MATCH(AN$5,feed_mix_w!$B$5:$AC$5,0),FALSE)/$Z69*VLOOKUP(AN$5,feed_intensity_w,11,FALSE)</f>
        <v>0</v>
      </c>
      <c r="AO69" s="2">
        <f>VLOOKUP($W69,feed_mix_n,MATCH(AO$5,feed_mix_w!$B$5:$AC$5,0),FALSE)/$Z69*VLOOKUP(AO$5,feed_intensity_w,11,FALSE)</f>
        <v>0</v>
      </c>
      <c r="AP69" s="2">
        <f>VLOOKUP($W69,feed_mix_n,MATCH(AP$5,feed_mix_w!$B$5:$AC$5,0),FALSE)/$Z69*VLOOKUP(AP$5,feed_intensity_w,11,FALSE)</f>
        <v>0</v>
      </c>
      <c r="AQ69" s="2">
        <f>VLOOKUP($W69,feed_mix_n,MATCH(AQ$5,feed_mix_w!$B$5:$AC$5,0),FALSE)/$Z69*VLOOKUP(AQ$5,feed_intensity_w,11,FALSE)</f>
        <v>0</v>
      </c>
      <c r="AR69" s="2">
        <f>VLOOKUP($W69,feed_mix_n,MATCH(AR$5,feed_mix_w!$B$5:$AC$5,0),FALSE)/$Z69*VLOOKUP(AR$5,feed_intensity_w,11,FALSE)</f>
        <v>0</v>
      </c>
      <c r="AS69" s="389">
        <f>VLOOKUP($W69,feed_mix_n,MATCH(AS$5,feed_mix_w!$B$5:$AC$5,0),FALSE)/$Z69*VLOOKUP(AS$5,feed_intensity_w,11,FALSE)</f>
        <v>0</v>
      </c>
    </row>
    <row r="70" spans="1:45" ht="12.75" customHeight="1">
      <c r="A70" s="14" t="s">
        <v>7153</v>
      </c>
      <c r="B70" s="482">
        <v>996</v>
      </c>
      <c r="C70" s="24" t="s">
        <v>5462</v>
      </c>
      <c r="D70" s="513">
        <v>2</v>
      </c>
      <c r="E70" s="513">
        <v>22</v>
      </c>
      <c r="F70" s="25">
        <f t="shared" si="11"/>
        <v>2</v>
      </c>
      <c r="G70" s="25">
        <f t="shared" si="12"/>
        <v>22</v>
      </c>
      <c r="H70" s="2">
        <f t="shared" si="13"/>
        <v>0</v>
      </c>
      <c r="I70" s="25">
        <f t="shared" si="14"/>
        <v>0</v>
      </c>
      <c r="J70" s="87">
        <f>IFERROR(G70*VLOOKUP(W70,livestock_intensity!$B$7:$I$29,8,FALSE)/Z70,0)</f>
        <v>0</v>
      </c>
      <c r="K70" s="2">
        <f>VLOOKUP($W70,feed_mix_n,MATCH(K$5,feed_mix_w!$B$5:$AC$5,0),FALSE)/$Z70*VLOOKUP(K$5,feed_intensity_w,11,FALSE)</f>
        <v>0</v>
      </c>
      <c r="L70" s="25">
        <f t="shared" si="15"/>
        <v>0</v>
      </c>
      <c r="M70" s="25">
        <f>IFERROR(G70*VLOOKUP(W70,livestock_intensity!$B$7:$M$29,12,FALSE)/Z70,0)</f>
        <v>0</v>
      </c>
      <c r="N70" s="2">
        <f>VLOOKUP($W70,feed_mix_n,MATCH(N$5,feed_mix_w!$B$5:$AC$5,0),FALSE)/$Z70*VLOOKUP(N$5,feed_intensity_w,11,FALSE)</f>
        <v>1.9040501697582</v>
      </c>
      <c r="O70" s="25">
        <f t="shared" si="16"/>
        <v>3.8081003395163999</v>
      </c>
      <c r="P70" s="343">
        <f>IFERROR(G70*VLOOKUP(W70,livestock_intensity!$B$7:$Q$29,16,FALSE)/Z70,0)</f>
        <v>38.450205459658484</v>
      </c>
      <c r="Q70" s="758"/>
      <c r="R70" s="331">
        <f t="shared" si="17"/>
        <v>3.8081003395163999</v>
      </c>
      <c r="S70" s="331">
        <f t="shared" si="18"/>
        <v>38.450205459658484</v>
      </c>
      <c r="T70" s="739">
        <v>2748</v>
      </c>
      <c r="U70" s="558" t="s">
        <v>2796</v>
      </c>
      <c r="V70" s="559" t="str">
        <f>IFERROR(VLOOKUP(W70,constant_ag_extr!$D$7:$E$594,2,FALSE),"")</f>
        <v>Sheep</v>
      </c>
      <c r="W70" s="560">
        <f t="shared" si="19"/>
        <v>976</v>
      </c>
      <c r="X70" s="2">
        <f>IFERROR(IF(VLOOKUP(B70,cnst_grazing!$C$10:$H$25,5,FALSE)="", IF(VLOOKUP(B70, cnst_grazing!$C$10:$H$25,3,FALSE)="", VLOOKUP(B70, cnst_grazing!$C$10:$H$25,4,FALSE),VLOOKUP(B70, cnst_grazing!$C$10:$H$25,3,FALSE)), VLOOKUP(B70,cnst_grazing!$C$10:$H$25,5,FALSE)),1)</f>
        <v>1</v>
      </c>
      <c r="Y70" s="2">
        <f>IFERROR(IF(VLOOKUP(B70,cnst_grazing!$C$10:$H$25,6,FALSE)="", IF(VLOOKUP(B70, cnst_grazing!$C$10:$H$25,4,FALSE)="", VLOOKUP(B70, cnst_grazing!$C$10:$H$25,3,FALSE),VLOOKUP(B70, cnst_grazing!$C$10:$H$25,4,FALSE)), VLOOKUP(B70,cnst_grazing!$C$10:$H$25,6,FALSE)),1)</f>
        <v>1</v>
      </c>
      <c r="Z70" s="400">
        <f t="shared" si="20"/>
        <v>1.8871877451726993</v>
      </c>
      <c r="AA70" s="2">
        <f t="shared" si="21"/>
        <v>1.9040501697582</v>
      </c>
      <c r="AB70" s="2">
        <f>VLOOKUP($W70,feed_mix_n,MATCH(AB$5,feed_mix_w!$B$5:$AC$5,0),FALSE)/$Z70*VLOOKUP(AB$5,feed_intensity_w,11,FALSE)</f>
        <v>0</v>
      </c>
      <c r="AC70" s="2">
        <f>VLOOKUP($W70,feed_mix_n,MATCH(AC$5,feed_mix_w!$B$5:$AC$5,0),FALSE)/$Z70*VLOOKUP(AC$5,feed_intensity_w,11,FALSE)</f>
        <v>0</v>
      </c>
      <c r="AD70" s="2">
        <f>VLOOKUP($W70,feed_mix_n,MATCH(AD$5,feed_mix_w!$B$5:$AC$5,0),FALSE)/$Z70*VLOOKUP(AD$5,feed_intensity_w,11,FALSE)</f>
        <v>0</v>
      </c>
      <c r="AE70" s="2">
        <f>VLOOKUP($W70,feed_mix_n,MATCH(AE$5,feed_mix_w!$B$5:$AC$5,0),FALSE)/$Z70*VLOOKUP(AE$5,feed_intensity_w,11,FALSE)</f>
        <v>0</v>
      </c>
      <c r="AF70" s="2">
        <f>VLOOKUP($W70,feed_mix_n,MATCH(AF$5,feed_mix_w!$B$5:$AC$5,0),FALSE)/$Z70*VLOOKUP(AF$5,feed_intensity_w,11,FALSE)</f>
        <v>0</v>
      </c>
      <c r="AG70" s="2">
        <f>VLOOKUP($W70,feed_mix_n,MATCH(AG$5,feed_mix_w!$B$5:$AC$5,0),FALSE)/$Z70*VLOOKUP(AG$5,feed_intensity_w,11,FALSE)</f>
        <v>0</v>
      </c>
      <c r="AH70" s="2">
        <f>VLOOKUP($W70,feed_mix_n,MATCH(AH$5,feed_mix_w!$B$5:$AC$5,0),FALSE)/$Z70*VLOOKUP(AH$5,feed_intensity_w,11,FALSE)</f>
        <v>0</v>
      </c>
      <c r="AI70" s="2">
        <f>VLOOKUP($W70,feed_mix_n,MATCH(AI$5,feed_mix_w!$B$5:$AC$5,0),FALSE)/$Z70*VLOOKUP(AI$5,feed_intensity_w,11,FALSE)</f>
        <v>0</v>
      </c>
      <c r="AJ70" s="2">
        <f>VLOOKUP($W70,feed_mix_n,MATCH(AJ$5,feed_mix_w!$B$5:$AC$5,0),FALSE)/$Z70*VLOOKUP(AJ$5,feed_intensity_w,11,FALSE)</f>
        <v>0</v>
      </c>
      <c r="AK70" s="2">
        <f>VLOOKUP($W70,feed_mix_n,MATCH(AK$5,feed_mix_w!$B$5:$AC$5,0),FALSE)/$Z70*VLOOKUP(AK$5,feed_intensity_w,11,FALSE)</f>
        <v>0</v>
      </c>
      <c r="AL70" s="2">
        <f>VLOOKUP($W70,feed_mix_n,MATCH(AL$5,feed_mix_w!$B$5:$AC$5,0),FALSE)/$Z70*VLOOKUP(AL$5,feed_intensity_w,11,FALSE)</f>
        <v>0</v>
      </c>
      <c r="AM70" s="2">
        <f>VLOOKUP($W70,feed_mix_n,MATCH(AM$5,feed_mix_w!$B$5:$AC$5,0),FALSE)/$Z70*VLOOKUP(AM$5,feed_intensity_w,11,FALSE)</f>
        <v>0</v>
      </c>
      <c r="AN70" s="2">
        <f>VLOOKUP($W70,feed_mix_n,MATCH(AN$5,feed_mix_w!$B$5:$AC$5,0),FALSE)/$Z70*VLOOKUP(AN$5,feed_intensity_w,11,FALSE)</f>
        <v>0</v>
      </c>
      <c r="AO70" s="2">
        <f>VLOOKUP($W70,feed_mix_n,MATCH(AO$5,feed_mix_w!$B$5:$AC$5,0),FALSE)/$Z70*VLOOKUP(AO$5,feed_intensity_w,11,FALSE)</f>
        <v>0</v>
      </c>
      <c r="AP70" s="2">
        <f>VLOOKUP($W70,feed_mix_n,MATCH(AP$5,feed_mix_w!$B$5:$AC$5,0),FALSE)/$Z70*VLOOKUP(AP$5,feed_intensity_w,11,FALSE)</f>
        <v>0</v>
      </c>
      <c r="AQ70" s="2">
        <f>VLOOKUP($W70,feed_mix_n,MATCH(AQ$5,feed_mix_w!$B$5:$AC$5,0),FALSE)/$Z70*VLOOKUP(AQ$5,feed_intensity_w,11,FALSE)</f>
        <v>0</v>
      </c>
      <c r="AR70" s="2">
        <f>VLOOKUP($W70,feed_mix_n,MATCH(AR$5,feed_mix_w!$B$5:$AC$5,0),FALSE)/$Z70*VLOOKUP(AR$5,feed_intensity_w,11,FALSE)</f>
        <v>0</v>
      </c>
      <c r="AS70" s="389">
        <f>VLOOKUP($W70,feed_mix_n,MATCH(AS$5,feed_mix_w!$B$5:$AC$5,0),FALSE)/$Z70*VLOOKUP(AS$5,feed_intensity_w,11,FALSE)</f>
        <v>0</v>
      </c>
    </row>
    <row r="71" spans="1:45" ht="12.75" customHeight="1">
      <c r="A71" s="14" t="s">
        <v>7154</v>
      </c>
      <c r="B71" s="482">
        <v>997</v>
      </c>
      <c r="C71" s="24" t="s">
        <v>5461</v>
      </c>
      <c r="D71" s="513"/>
      <c r="E71" s="513"/>
      <c r="F71" s="25">
        <f t="shared" ref="F71:F102" si="22">D71*X71</f>
        <v>0</v>
      </c>
      <c r="G71" s="25">
        <f t="shared" ref="G71:G102" si="23">E71*Y71</f>
        <v>0</v>
      </c>
      <c r="H71" s="2">
        <f t="shared" ref="H71:H102" si="24">SUM(AB71:AP71)+AR71+AS71</f>
        <v>0</v>
      </c>
      <c r="I71" s="25">
        <f t="shared" ref="I71:I102" si="25">IFERROR(F71*VLOOKUP(B71,livestock_intensity_w,7,FALSE),0)</f>
        <v>0</v>
      </c>
      <c r="J71" s="87">
        <f>IFERROR(G71*VLOOKUP(W71,livestock_intensity!$B$7:$I$29,8,FALSE)/Z71,0)</f>
        <v>0</v>
      </c>
      <c r="K71" s="2">
        <f>VLOOKUP($W71,feed_mix_n,MATCH(K$5,feed_mix_w!$B$5:$AC$5,0),FALSE)/$Z71*VLOOKUP(K$5,feed_intensity_w,11,FALSE)</f>
        <v>0</v>
      </c>
      <c r="L71" s="25">
        <f t="shared" ref="L71:L102" si="26">IFERROR(F71*VLOOKUP($B71,livestock_intensity_w,10,FALSE),0)</f>
        <v>0</v>
      </c>
      <c r="M71" s="25">
        <f>IFERROR(G71*VLOOKUP(W71,livestock_intensity!$B$7:$M$29,12,FALSE)/Z71,0)</f>
        <v>0</v>
      </c>
      <c r="N71" s="2">
        <f>VLOOKUP($W71,feed_mix_n,MATCH(N$5,feed_mix_w!$B$5:$AC$5,0),FALSE)/$Z71*VLOOKUP(N$5,feed_intensity_w,11,FALSE)</f>
        <v>4.9347020804213333</v>
      </c>
      <c r="O71" s="25">
        <f t="shared" ref="O71:O102" si="27">IFERROR(F71*VLOOKUP(B71,livestock_intensity_w,13,FALSE),0)</f>
        <v>0</v>
      </c>
      <c r="P71" s="343">
        <f>IFERROR(G71*VLOOKUP(W71,livestock_intensity!$B$7:$Q$29,16,FALSE)/Z71,0)</f>
        <v>0</v>
      </c>
      <c r="Q71" s="758"/>
      <c r="R71" s="331">
        <f t="shared" ref="R71:R102" si="28">IFERROR(SUM(I71,L71,O71),0)</f>
        <v>0</v>
      </c>
      <c r="S71" s="331">
        <f t="shared" ref="S71:S102" si="29">IFERROR(SUM(J71,M71,P71),0)</f>
        <v>0</v>
      </c>
      <c r="T71" s="739">
        <v>2748</v>
      </c>
      <c r="U71" s="558" t="s">
        <v>2796</v>
      </c>
      <c r="V71" s="559" t="str">
        <f>IFERROR(VLOOKUP(W71,constant_ag_extr!$D$7:$E$594,2,FALSE),"")</f>
        <v>Sheep</v>
      </c>
      <c r="W71" s="560">
        <f t="shared" ref="W71:W102" si="30">IFERROR(VLOOKUP(B71,constant_ag_extr,3,FALSE),"")</f>
        <v>976</v>
      </c>
      <c r="X71" s="2">
        <f>IFERROR(IF(VLOOKUP(B71,cnst_grazing!$C$10:$H$25,5,FALSE)="", IF(VLOOKUP(B71, cnst_grazing!$C$10:$H$25,3,FALSE)="", VLOOKUP(B71, cnst_grazing!$C$10:$H$25,4,FALSE),VLOOKUP(B71, cnst_grazing!$C$10:$H$25,3,FALSE)), VLOOKUP(B71,cnst_grazing!$C$10:$H$25,5,FALSE)),1)</f>
        <v>1</v>
      </c>
      <c r="Y71" s="2">
        <f>IFERROR(IF(VLOOKUP(B71,cnst_grazing!$C$10:$H$25,6,FALSE)="", IF(VLOOKUP(B71, cnst_grazing!$C$10:$H$25,4,FALSE)="", VLOOKUP(B71, cnst_grazing!$C$10:$H$25,3,FALSE),VLOOKUP(B71, cnst_grazing!$C$10:$H$25,4,FALSE)), VLOOKUP(B71,cnst_grazing!$C$10:$H$25,6,FALSE)),1)</f>
        <v>1</v>
      </c>
      <c r="Z71" s="400">
        <f t="shared" ref="Z71:Z102" si="31">IFERROR(VLOOKUP(B71,constant_ag_extr,14,FALSE),"-")</f>
        <v>0.72816962159038201</v>
      </c>
      <c r="AA71" s="2">
        <f t="shared" ref="AA71:AA102" si="32">H71+N71</f>
        <v>4.9347020804213333</v>
      </c>
      <c r="AB71" s="2">
        <f>VLOOKUP($W71,feed_mix_n,MATCH(AB$5,feed_mix_w!$B$5:$AC$5,0),FALSE)/$Z71*VLOOKUP(AB$5,feed_intensity_w,11,FALSE)</f>
        <v>0</v>
      </c>
      <c r="AC71" s="2">
        <f>VLOOKUP($W71,feed_mix_n,MATCH(AC$5,feed_mix_w!$B$5:$AC$5,0),FALSE)/$Z71*VLOOKUP(AC$5,feed_intensity_w,11,FALSE)</f>
        <v>0</v>
      </c>
      <c r="AD71" s="2">
        <f>VLOOKUP($W71,feed_mix_n,MATCH(AD$5,feed_mix_w!$B$5:$AC$5,0),FALSE)/$Z71*VLOOKUP(AD$5,feed_intensity_w,11,FALSE)</f>
        <v>0</v>
      </c>
      <c r="AE71" s="2">
        <f>VLOOKUP($W71,feed_mix_n,MATCH(AE$5,feed_mix_w!$B$5:$AC$5,0),FALSE)/$Z71*VLOOKUP(AE$5,feed_intensity_w,11,FALSE)</f>
        <v>0</v>
      </c>
      <c r="AF71" s="2">
        <f>VLOOKUP($W71,feed_mix_n,MATCH(AF$5,feed_mix_w!$B$5:$AC$5,0),FALSE)/$Z71*VLOOKUP(AF$5,feed_intensity_w,11,FALSE)</f>
        <v>0</v>
      </c>
      <c r="AG71" s="2">
        <f>VLOOKUP($W71,feed_mix_n,MATCH(AG$5,feed_mix_w!$B$5:$AC$5,0),FALSE)/$Z71*VLOOKUP(AG$5,feed_intensity_w,11,FALSE)</f>
        <v>0</v>
      </c>
      <c r="AH71" s="2">
        <f>VLOOKUP($W71,feed_mix_n,MATCH(AH$5,feed_mix_w!$B$5:$AC$5,0),FALSE)/$Z71*VLOOKUP(AH$5,feed_intensity_w,11,FALSE)</f>
        <v>0</v>
      </c>
      <c r="AI71" s="2">
        <f>VLOOKUP($W71,feed_mix_n,MATCH(AI$5,feed_mix_w!$B$5:$AC$5,0),FALSE)/$Z71*VLOOKUP(AI$5,feed_intensity_w,11,FALSE)</f>
        <v>0</v>
      </c>
      <c r="AJ71" s="2">
        <f>VLOOKUP($W71,feed_mix_n,MATCH(AJ$5,feed_mix_w!$B$5:$AC$5,0),FALSE)/$Z71*VLOOKUP(AJ$5,feed_intensity_w,11,FALSE)</f>
        <v>0</v>
      </c>
      <c r="AK71" s="2">
        <f>VLOOKUP($W71,feed_mix_n,MATCH(AK$5,feed_mix_w!$B$5:$AC$5,0),FALSE)/$Z71*VLOOKUP(AK$5,feed_intensity_w,11,FALSE)</f>
        <v>0</v>
      </c>
      <c r="AL71" s="2">
        <f>VLOOKUP($W71,feed_mix_n,MATCH(AL$5,feed_mix_w!$B$5:$AC$5,0),FALSE)/$Z71*VLOOKUP(AL$5,feed_intensity_w,11,FALSE)</f>
        <v>0</v>
      </c>
      <c r="AM71" s="2">
        <f>VLOOKUP($W71,feed_mix_n,MATCH(AM$5,feed_mix_w!$B$5:$AC$5,0),FALSE)/$Z71*VLOOKUP(AM$5,feed_intensity_w,11,FALSE)</f>
        <v>0</v>
      </c>
      <c r="AN71" s="2">
        <f>VLOOKUP($W71,feed_mix_n,MATCH(AN$5,feed_mix_w!$B$5:$AC$5,0),FALSE)/$Z71*VLOOKUP(AN$5,feed_intensity_w,11,FALSE)</f>
        <v>0</v>
      </c>
      <c r="AO71" s="2">
        <f>VLOOKUP($W71,feed_mix_n,MATCH(AO$5,feed_mix_w!$B$5:$AC$5,0),FALSE)/$Z71*VLOOKUP(AO$5,feed_intensity_w,11,FALSE)</f>
        <v>0</v>
      </c>
      <c r="AP71" s="2">
        <f>VLOOKUP($W71,feed_mix_n,MATCH(AP$5,feed_mix_w!$B$5:$AC$5,0),FALSE)/$Z71*VLOOKUP(AP$5,feed_intensity_w,11,FALSE)</f>
        <v>0</v>
      </c>
      <c r="AQ71" s="2">
        <f>VLOOKUP($W71,feed_mix_n,MATCH(AQ$5,feed_mix_w!$B$5:$AC$5,0),FALSE)/$Z71*VLOOKUP(AQ$5,feed_intensity_w,11,FALSE)</f>
        <v>0</v>
      </c>
      <c r="AR71" s="2">
        <f>VLOOKUP($W71,feed_mix_n,MATCH(AR$5,feed_mix_w!$B$5:$AC$5,0),FALSE)/$Z71*VLOOKUP(AR$5,feed_intensity_w,11,FALSE)</f>
        <v>0</v>
      </c>
      <c r="AS71" s="389">
        <f>VLOOKUP($W71,feed_mix_n,MATCH(AS$5,feed_mix_w!$B$5:$AC$5,0),FALSE)/$Z71*VLOOKUP(AS$5,feed_intensity_w,11,FALSE)</f>
        <v>0</v>
      </c>
    </row>
    <row r="72" spans="1:45" ht="12.75" customHeight="1">
      <c r="A72" s="14" t="s">
        <v>354</v>
      </c>
      <c r="B72" s="482">
        <v>998</v>
      </c>
      <c r="C72" s="24" t="s">
        <v>687</v>
      </c>
      <c r="D72" s="513"/>
      <c r="E72" s="513"/>
      <c r="F72" s="25">
        <f t="shared" si="22"/>
        <v>0</v>
      </c>
      <c r="G72" s="25">
        <f t="shared" si="23"/>
        <v>0</v>
      </c>
      <c r="H72" s="2">
        <f t="shared" si="24"/>
        <v>0</v>
      </c>
      <c r="I72" s="25">
        <f t="shared" si="25"/>
        <v>0</v>
      </c>
      <c r="J72" s="87">
        <f>IFERROR(G72*VLOOKUP(W72,livestock_intensity!$B$7:$I$29,8,FALSE)/Z72,0)</f>
        <v>0</v>
      </c>
      <c r="K72" s="2">
        <f>VLOOKUP($W72,feed_mix_n,MATCH(K$5,feed_mix_w!$B$5:$AC$5,0),FALSE)/$Z72*VLOOKUP(K$5,feed_intensity_w,11,FALSE)</f>
        <v>0</v>
      </c>
      <c r="L72" s="25">
        <f t="shared" si="26"/>
        <v>0</v>
      </c>
      <c r="M72" s="25">
        <f>IFERROR(G72*VLOOKUP(W72,livestock_intensity!$B$7:$M$29,12,FALSE)/Z72,0)</f>
        <v>0</v>
      </c>
      <c r="N72" s="2">
        <f>VLOOKUP($W72,feed_mix_n,MATCH(N$5,feed_mix_w!$B$5:$AC$5,0),FALSE)/$Z72*VLOOKUP(N$5,feed_intensity_w,11,FALSE)</f>
        <v>1.0250438670393831</v>
      </c>
      <c r="O72" s="25">
        <f t="shared" si="27"/>
        <v>0</v>
      </c>
      <c r="P72" s="343">
        <f>IFERROR(G72*VLOOKUP(W72,livestock_intensity!$B$7:$Q$29,16,FALSE)/Z72,0)</f>
        <v>0</v>
      </c>
      <c r="Q72" s="758"/>
      <c r="R72" s="331">
        <f t="shared" si="28"/>
        <v>0</v>
      </c>
      <c r="S72" s="331">
        <f t="shared" si="29"/>
        <v>0</v>
      </c>
      <c r="T72" s="739">
        <v>2748</v>
      </c>
      <c r="U72" s="558" t="s">
        <v>2796</v>
      </c>
      <c r="V72" s="559" t="str">
        <f>IFERROR(VLOOKUP(W72,constant_ag_extr!$D$7:$E$594,2,FALSE),"")</f>
        <v>Sheep</v>
      </c>
      <c r="W72" s="560">
        <f t="shared" si="30"/>
        <v>976</v>
      </c>
      <c r="X72" s="2">
        <f>IFERROR(IF(VLOOKUP(B72,cnst_grazing!$C$10:$H$25,5,FALSE)="", IF(VLOOKUP(B72, cnst_grazing!$C$10:$H$25,3,FALSE)="", VLOOKUP(B72, cnst_grazing!$C$10:$H$25,4,FALSE),VLOOKUP(B72, cnst_grazing!$C$10:$H$25,3,FALSE)), VLOOKUP(B72,cnst_grazing!$C$10:$H$25,5,FALSE)),1)</f>
        <v>1</v>
      </c>
      <c r="Y72" s="2">
        <f>IFERROR(IF(VLOOKUP(B72,cnst_grazing!$C$10:$H$25,6,FALSE)="", IF(VLOOKUP(B72, cnst_grazing!$C$10:$H$25,4,FALSE)="", VLOOKUP(B72, cnst_grazing!$C$10:$H$25,3,FALSE),VLOOKUP(B72, cnst_grazing!$C$10:$H$25,4,FALSE)), VLOOKUP(B72,cnst_grazing!$C$10:$H$25,6,FALSE)),1)</f>
        <v>1</v>
      </c>
      <c r="Z72" s="400">
        <f t="shared" si="31"/>
        <v>3.5055086539273108</v>
      </c>
      <c r="AA72" s="2">
        <f t="shared" si="32"/>
        <v>1.0250438670393831</v>
      </c>
      <c r="AB72" s="2">
        <f>VLOOKUP($W72,feed_mix_n,MATCH(AB$5,feed_mix_w!$B$5:$AC$5,0),FALSE)/$Z72*VLOOKUP(AB$5,feed_intensity_w,11,FALSE)</f>
        <v>0</v>
      </c>
      <c r="AC72" s="2">
        <f>VLOOKUP($W72,feed_mix_n,MATCH(AC$5,feed_mix_w!$B$5:$AC$5,0),FALSE)/$Z72*VLOOKUP(AC$5,feed_intensity_w,11,FALSE)</f>
        <v>0</v>
      </c>
      <c r="AD72" s="2">
        <f>VLOOKUP($W72,feed_mix_n,MATCH(AD$5,feed_mix_w!$B$5:$AC$5,0),FALSE)/$Z72*VLOOKUP(AD$5,feed_intensity_w,11,FALSE)</f>
        <v>0</v>
      </c>
      <c r="AE72" s="2">
        <f>VLOOKUP($W72,feed_mix_n,MATCH(AE$5,feed_mix_w!$B$5:$AC$5,0),FALSE)/$Z72*VLOOKUP(AE$5,feed_intensity_w,11,FALSE)</f>
        <v>0</v>
      </c>
      <c r="AF72" s="2">
        <f>VLOOKUP($W72,feed_mix_n,MATCH(AF$5,feed_mix_w!$B$5:$AC$5,0),FALSE)/$Z72*VLOOKUP(AF$5,feed_intensity_w,11,FALSE)</f>
        <v>0</v>
      </c>
      <c r="AG72" s="2">
        <f>VLOOKUP($W72,feed_mix_n,MATCH(AG$5,feed_mix_w!$B$5:$AC$5,0),FALSE)/$Z72*VLOOKUP(AG$5,feed_intensity_w,11,FALSE)</f>
        <v>0</v>
      </c>
      <c r="AH72" s="2">
        <f>VLOOKUP($W72,feed_mix_n,MATCH(AH$5,feed_mix_w!$B$5:$AC$5,0),FALSE)/$Z72*VLOOKUP(AH$5,feed_intensity_w,11,FALSE)</f>
        <v>0</v>
      </c>
      <c r="AI72" s="2">
        <f>VLOOKUP($W72,feed_mix_n,MATCH(AI$5,feed_mix_w!$B$5:$AC$5,0),FALSE)/$Z72*VLOOKUP(AI$5,feed_intensity_w,11,FALSE)</f>
        <v>0</v>
      </c>
      <c r="AJ72" s="2">
        <f>VLOOKUP($W72,feed_mix_n,MATCH(AJ$5,feed_mix_w!$B$5:$AC$5,0),FALSE)/$Z72*VLOOKUP(AJ$5,feed_intensity_w,11,FALSE)</f>
        <v>0</v>
      </c>
      <c r="AK72" s="2">
        <f>VLOOKUP($W72,feed_mix_n,MATCH(AK$5,feed_mix_w!$B$5:$AC$5,0),FALSE)/$Z72*VLOOKUP(AK$5,feed_intensity_w,11,FALSE)</f>
        <v>0</v>
      </c>
      <c r="AL72" s="2">
        <f>VLOOKUP($W72,feed_mix_n,MATCH(AL$5,feed_mix_w!$B$5:$AC$5,0),FALSE)/$Z72*VLOOKUP(AL$5,feed_intensity_w,11,FALSE)</f>
        <v>0</v>
      </c>
      <c r="AM72" s="2">
        <f>VLOOKUP($W72,feed_mix_n,MATCH(AM$5,feed_mix_w!$B$5:$AC$5,0),FALSE)/$Z72*VLOOKUP(AM$5,feed_intensity_w,11,FALSE)</f>
        <v>0</v>
      </c>
      <c r="AN72" s="2">
        <f>VLOOKUP($W72,feed_mix_n,MATCH(AN$5,feed_mix_w!$B$5:$AC$5,0),FALSE)/$Z72*VLOOKUP(AN$5,feed_intensity_w,11,FALSE)</f>
        <v>0</v>
      </c>
      <c r="AO72" s="2">
        <f>VLOOKUP($W72,feed_mix_n,MATCH(AO$5,feed_mix_w!$B$5:$AC$5,0),FALSE)/$Z72*VLOOKUP(AO$5,feed_intensity_w,11,FALSE)</f>
        <v>0</v>
      </c>
      <c r="AP72" s="2">
        <f>VLOOKUP($W72,feed_mix_n,MATCH(AP$5,feed_mix_w!$B$5:$AC$5,0),FALSE)/$Z72*VLOOKUP(AP$5,feed_intensity_w,11,FALSE)</f>
        <v>0</v>
      </c>
      <c r="AQ72" s="2">
        <f>VLOOKUP($W72,feed_mix_n,MATCH(AQ$5,feed_mix_w!$B$5:$AC$5,0),FALSE)/$Z72*VLOOKUP(AQ$5,feed_intensity_w,11,FALSE)</f>
        <v>0</v>
      </c>
      <c r="AR72" s="2">
        <f>VLOOKUP($W72,feed_mix_n,MATCH(AR$5,feed_mix_w!$B$5:$AC$5,0),FALSE)/$Z72*VLOOKUP(AR$5,feed_intensity_w,11,FALSE)</f>
        <v>0</v>
      </c>
      <c r="AS72" s="389">
        <f>VLOOKUP($W72,feed_mix_n,MATCH(AS$5,feed_mix_w!$B$5:$AC$5,0),FALSE)/$Z72*VLOOKUP(AS$5,feed_intensity_w,11,FALSE)</f>
        <v>0</v>
      </c>
    </row>
    <row r="73" spans="1:45" ht="12.75" customHeight="1">
      <c r="A73" s="14" t="s">
        <v>7155</v>
      </c>
      <c r="B73" s="482">
        <v>999</v>
      </c>
      <c r="C73" s="24">
        <v>4102.1000000000004</v>
      </c>
      <c r="D73" s="513">
        <v>14</v>
      </c>
      <c r="E73" s="513">
        <v>418</v>
      </c>
      <c r="F73" s="25">
        <f t="shared" si="22"/>
        <v>14</v>
      </c>
      <c r="G73" s="25">
        <f t="shared" si="23"/>
        <v>418</v>
      </c>
      <c r="H73" s="2">
        <f t="shared" si="24"/>
        <v>0</v>
      </c>
      <c r="I73" s="25">
        <f t="shared" si="25"/>
        <v>0</v>
      </c>
      <c r="J73" s="87">
        <f>IFERROR(G73*VLOOKUP(W73,livestock_intensity!$B$7:$I$29,8,FALSE)/Z73,0)</f>
        <v>0</v>
      </c>
      <c r="K73" s="2">
        <f>VLOOKUP($W73,feed_mix_n,MATCH(K$5,feed_mix_w!$B$5:$AC$5,0),FALSE)/$Z73*VLOOKUP(K$5,feed_intensity_w,11,FALSE)</f>
        <v>0</v>
      </c>
      <c r="L73" s="25">
        <f t="shared" si="26"/>
        <v>0</v>
      </c>
      <c r="M73" s="25">
        <f>IFERROR(G73*VLOOKUP(W73,livestock_intensity!$B$7:$M$29,12,FALSE)/Z73,0)</f>
        <v>0</v>
      </c>
      <c r="N73" s="2">
        <f>VLOOKUP($W73,feed_mix_n,MATCH(N$5,feed_mix_w!$B$5:$AC$5,0),FALSE)/$Z73*VLOOKUP(N$5,feed_intensity_w,11,FALSE)</f>
        <v>2.3940899293346858</v>
      </c>
      <c r="O73" s="25">
        <f t="shared" si="27"/>
        <v>33.517259010685599</v>
      </c>
      <c r="P73" s="343">
        <f>IFERROR(G73*VLOOKUP(W73,livestock_intensity!$B$7:$Q$29,16,FALSE)/Z73,0)</f>
        <v>918.57440079252319</v>
      </c>
      <c r="Q73" s="758"/>
      <c r="R73" s="331">
        <f t="shared" si="28"/>
        <v>33.517259010685599</v>
      </c>
      <c r="S73" s="331">
        <f t="shared" si="29"/>
        <v>918.57440079252319</v>
      </c>
      <c r="T73" s="739">
        <v>2748</v>
      </c>
      <c r="U73" s="558" t="s">
        <v>2796</v>
      </c>
      <c r="V73" s="559" t="str">
        <f>IFERROR(VLOOKUP(W73,constant_ag_extr!$D$7:$E$594,2,FALSE),"")</f>
        <v>Sheep</v>
      </c>
      <c r="W73" s="560">
        <f t="shared" si="30"/>
        <v>976</v>
      </c>
      <c r="X73" s="2">
        <f>IFERROR(IF(VLOOKUP(B73,cnst_grazing!$C$10:$H$25,5,FALSE)="", IF(VLOOKUP(B73, cnst_grazing!$C$10:$H$25,3,FALSE)="", VLOOKUP(B73, cnst_grazing!$C$10:$H$25,4,FALSE),VLOOKUP(B73, cnst_grazing!$C$10:$H$25,3,FALSE)), VLOOKUP(B73,cnst_grazing!$C$10:$H$25,5,FALSE)),1)</f>
        <v>1</v>
      </c>
      <c r="Y73" s="2">
        <f>IFERROR(IF(VLOOKUP(B73,cnst_grazing!$C$10:$H$25,6,FALSE)="", IF(VLOOKUP(B73, cnst_grazing!$C$10:$H$25,4,FALSE)="", VLOOKUP(B73, cnst_grazing!$C$10:$H$25,3,FALSE),VLOOKUP(B73, cnst_grazing!$C$10:$H$25,4,FALSE)), VLOOKUP(B73,cnst_grazing!$C$10:$H$25,6,FALSE)),1)</f>
        <v>1</v>
      </c>
      <c r="Z73" s="400">
        <f t="shared" si="31"/>
        <v>1.5009044157168507</v>
      </c>
      <c r="AA73" s="2">
        <f t="shared" si="32"/>
        <v>2.3940899293346858</v>
      </c>
      <c r="AB73" s="2">
        <f>VLOOKUP($W73,feed_mix_n,MATCH(AB$5,feed_mix_w!$B$5:$AC$5,0),FALSE)/$Z73*VLOOKUP(AB$5,feed_intensity_w,11,FALSE)</f>
        <v>0</v>
      </c>
      <c r="AC73" s="2">
        <f>VLOOKUP($W73,feed_mix_n,MATCH(AC$5,feed_mix_w!$B$5:$AC$5,0),FALSE)/$Z73*VLOOKUP(AC$5,feed_intensity_w,11,FALSE)</f>
        <v>0</v>
      </c>
      <c r="AD73" s="2">
        <f>VLOOKUP($W73,feed_mix_n,MATCH(AD$5,feed_mix_w!$B$5:$AC$5,0),FALSE)/$Z73*VLOOKUP(AD$5,feed_intensity_w,11,FALSE)</f>
        <v>0</v>
      </c>
      <c r="AE73" s="2">
        <f>VLOOKUP($W73,feed_mix_n,MATCH(AE$5,feed_mix_w!$B$5:$AC$5,0),FALSE)/$Z73*VLOOKUP(AE$5,feed_intensity_w,11,FALSE)</f>
        <v>0</v>
      </c>
      <c r="AF73" s="2">
        <f>VLOOKUP($W73,feed_mix_n,MATCH(AF$5,feed_mix_w!$B$5:$AC$5,0),FALSE)/$Z73*VLOOKUP(AF$5,feed_intensity_w,11,FALSE)</f>
        <v>0</v>
      </c>
      <c r="AG73" s="2">
        <f>VLOOKUP($W73,feed_mix_n,MATCH(AG$5,feed_mix_w!$B$5:$AC$5,0),FALSE)/$Z73*VLOOKUP(AG$5,feed_intensity_w,11,FALSE)</f>
        <v>0</v>
      </c>
      <c r="AH73" s="2">
        <f>VLOOKUP($W73,feed_mix_n,MATCH(AH$5,feed_mix_w!$B$5:$AC$5,0),FALSE)/$Z73*VLOOKUP(AH$5,feed_intensity_w,11,FALSE)</f>
        <v>0</v>
      </c>
      <c r="AI73" s="2">
        <f>VLOOKUP($W73,feed_mix_n,MATCH(AI$5,feed_mix_w!$B$5:$AC$5,0),FALSE)/$Z73*VLOOKUP(AI$5,feed_intensity_w,11,FALSE)</f>
        <v>0</v>
      </c>
      <c r="AJ73" s="2">
        <f>VLOOKUP($W73,feed_mix_n,MATCH(AJ$5,feed_mix_w!$B$5:$AC$5,0),FALSE)/$Z73*VLOOKUP(AJ$5,feed_intensity_w,11,FALSE)</f>
        <v>0</v>
      </c>
      <c r="AK73" s="2">
        <f>VLOOKUP($W73,feed_mix_n,MATCH(AK$5,feed_mix_w!$B$5:$AC$5,0),FALSE)/$Z73*VLOOKUP(AK$5,feed_intensity_w,11,FALSE)</f>
        <v>0</v>
      </c>
      <c r="AL73" s="2">
        <f>VLOOKUP($W73,feed_mix_n,MATCH(AL$5,feed_mix_w!$B$5:$AC$5,0),FALSE)/$Z73*VLOOKUP(AL$5,feed_intensity_w,11,FALSE)</f>
        <v>0</v>
      </c>
      <c r="AM73" s="2">
        <f>VLOOKUP($W73,feed_mix_n,MATCH(AM$5,feed_mix_w!$B$5:$AC$5,0),FALSE)/$Z73*VLOOKUP(AM$5,feed_intensity_w,11,FALSE)</f>
        <v>0</v>
      </c>
      <c r="AN73" s="2">
        <f>VLOOKUP($W73,feed_mix_n,MATCH(AN$5,feed_mix_w!$B$5:$AC$5,0),FALSE)/$Z73*VLOOKUP(AN$5,feed_intensity_w,11,FALSE)</f>
        <v>0</v>
      </c>
      <c r="AO73" s="2">
        <f>VLOOKUP($W73,feed_mix_n,MATCH(AO$5,feed_mix_w!$B$5:$AC$5,0),FALSE)/$Z73*VLOOKUP(AO$5,feed_intensity_w,11,FALSE)</f>
        <v>0</v>
      </c>
      <c r="AP73" s="2">
        <f>VLOOKUP($W73,feed_mix_n,MATCH(AP$5,feed_mix_w!$B$5:$AC$5,0),FALSE)/$Z73*VLOOKUP(AP$5,feed_intensity_w,11,FALSE)</f>
        <v>0</v>
      </c>
      <c r="AQ73" s="2">
        <f>VLOOKUP($W73,feed_mix_n,MATCH(AQ$5,feed_mix_w!$B$5:$AC$5,0),FALSE)/$Z73*VLOOKUP(AQ$5,feed_intensity_w,11,FALSE)</f>
        <v>0</v>
      </c>
      <c r="AR73" s="2">
        <f>VLOOKUP($W73,feed_mix_n,MATCH(AR$5,feed_mix_w!$B$5:$AC$5,0),FALSE)/$Z73*VLOOKUP(AR$5,feed_intensity_w,11,FALSE)</f>
        <v>0</v>
      </c>
      <c r="AS73" s="389">
        <f>VLOOKUP($W73,feed_mix_n,MATCH(AS$5,feed_mix_w!$B$5:$AC$5,0),FALSE)/$Z73*VLOOKUP(AS$5,feed_intensity_w,11,FALSE)</f>
        <v>0</v>
      </c>
    </row>
    <row r="74" spans="1:45" ht="12.75" customHeight="1">
      <c r="A74" s="14" t="s">
        <v>273</v>
      </c>
      <c r="B74" s="482">
        <v>1007</v>
      </c>
      <c r="C74" s="24">
        <v>5104</v>
      </c>
      <c r="D74" s="513"/>
      <c r="E74" s="513"/>
      <c r="F74" s="25">
        <f t="shared" si="22"/>
        <v>0</v>
      </c>
      <c r="G74" s="25">
        <f t="shared" si="23"/>
        <v>0</v>
      </c>
      <c r="H74" s="2">
        <f t="shared" si="24"/>
        <v>0</v>
      </c>
      <c r="I74" s="25">
        <f t="shared" si="25"/>
        <v>0</v>
      </c>
      <c r="J74" s="87">
        <f>IFERROR(G74*VLOOKUP(W74,livestock_intensity!$B$7:$I$29,8,FALSE)/Z74,0)</f>
        <v>0</v>
      </c>
      <c r="K74" s="2">
        <f>VLOOKUP($W74,feed_mix_n,MATCH(K$5,feed_mix_w!$B$5:$AC$5,0),FALSE)/$Z74*VLOOKUP(K$5,feed_intensity_w,11,FALSE)</f>
        <v>0</v>
      </c>
      <c r="L74" s="25">
        <f t="shared" si="26"/>
        <v>0</v>
      </c>
      <c r="M74" s="25">
        <f>IFERROR(G74*VLOOKUP(W74,livestock_intensity!$B$7:$M$29,12,FALSE)/Z74,0)</f>
        <v>0</v>
      </c>
      <c r="N74" s="2">
        <f>VLOOKUP($W74,feed_mix_n,MATCH(N$5,feed_mix_w!$B$5:$AC$5,0),FALSE)/$Z74*VLOOKUP(N$5,feed_intensity_w,11,FALSE)</f>
        <v>65.404443664962642</v>
      </c>
      <c r="O74" s="25">
        <f t="shared" si="27"/>
        <v>0</v>
      </c>
      <c r="P74" s="343">
        <f>IFERROR(G74*VLOOKUP(W74,livestock_intensity!$B$7:$Q$29,16,FALSE)/Z74,0)</f>
        <v>0</v>
      </c>
      <c r="Q74" s="758"/>
      <c r="R74" s="331">
        <f t="shared" si="28"/>
        <v>0</v>
      </c>
      <c r="S74" s="331">
        <f t="shared" si="29"/>
        <v>0</v>
      </c>
      <c r="T74" s="739" t="s">
        <v>2738</v>
      </c>
      <c r="U74" s="558" t="s">
        <v>2796</v>
      </c>
      <c r="V74" s="559" t="str">
        <f>IFERROR(VLOOKUP(W74,constant_ag_extr!$D$7:$E$594,2,FALSE),"")</f>
        <v>Wool, greasy</v>
      </c>
      <c r="W74" s="560">
        <f t="shared" si="30"/>
        <v>987</v>
      </c>
      <c r="X74" s="2">
        <f>IFERROR(IF(VLOOKUP(B74,cnst_grazing!$C$10:$H$25,5,FALSE)="", IF(VLOOKUP(B74, cnst_grazing!$C$10:$H$25,3,FALSE)="", VLOOKUP(B74, cnst_grazing!$C$10:$H$25,4,FALSE),VLOOKUP(B74, cnst_grazing!$C$10:$H$25,3,FALSE)), VLOOKUP(B74,cnst_grazing!$C$10:$H$25,5,FALSE)),1)</f>
        <v>1</v>
      </c>
      <c r="Y74" s="2">
        <f>IFERROR(IF(VLOOKUP(B74,cnst_grazing!$C$10:$H$25,6,FALSE)="", IF(VLOOKUP(B74, cnst_grazing!$C$10:$H$25,4,FALSE)="", VLOOKUP(B74, cnst_grazing!$C$10:$H$25,3,FALSE),VLOOKUP(B74, cnst_grazing!$C$10:$H$25,4,FALSE)), VLOOKUP(B74,cnst_grazing!$C$10:$H$25,6,FALSE)),1)</f>
        <v>1</v>
      </c>
      <c r="Z74" s="400">
        <f t="shared" si="31"/>
        <v>1.0294213169862934</v>
      </c>
      <c r="AA74" s="2">
        <f t="shared" si="32"/>
        <v>65.404443664962642</v>
      </c>
      <c r="AB74" s="2">
        <f>VLOOKUP($W74,feed_mix_n,MATCH(AB$5,feed_mix_w!$B$5:$AC$5,0),FALSE)/$Z74*VLOOKUP(AB$5,feed_intensity_w,11,FALSE)</f>
        <v>0</v>
      </c>
      <c r="AC74" s="2">
        <f>VLOOKUP($W74,feed_mix_n,MATCH(AC$5,feed_mix_w!$B$5:$AC$5,0),FALSE)/$Z74*VLOOKUP(AC$5,feed_intensity_w,11,FALSE)</f>
        <v>0</v>
      </c>
      <c r="AD74" s="2">
        <f>VLOOKUP($W74,feed_mix_n,MATCH(AD$5,feed_mix_w!$B$5:$AC$5,0),FALSE)/$Z74*VLOOKUP(AD$5,feed_intensity_w,11,FALSE)</f>
        <v>0</v>
      </c>
      <c r="AE74" s="2">
        <f>VLOOKUP($W74,feed_mix_n,MATCH(AE$5,feed_mix_w!$B$5:$AC$5,0),FALSE)/$Z74*VLOOKUP(AE$5,feed_intensity_w,11,FALSE)</f>
        <v>0</v>
      </c>
      <c r="AF74" s="2">
        <f>VLOOKUP($W74,feed_mix_n,MATCH(AF$5,feed_mix_w!$B$5:$AC$5,0),FALSE)/$Z74*VLOOKUP(AF$5,feed_intensity_w,11,FALSE)</f>
        <v>0</v>
      </c>
      <c r="AG74" s="2">
        <f>VLOOKUP($W74,feed_mix_n,MATCH(AG$5,feed_mix_w!$B$5:$AC$5,0),FALSE)/$Z74*VLOOKUP(AG$5,feed_intensity_w,11,FALSE)</f>
        <v>0</v>
      </c>
      <c r="AH74" s="2">
        <f>VLOOKUP($W74,feed_mix_n,MATCH(AH$5,feed_mix_w!$B$5:$AC$5,0),FALSE)/$Z74*VLOOKUP(AH$5,feed_intensity_w,11,FALSE)</f>
        <v>0</v>
      </c>
      <c r="AI74" s="2">
        <f>VLOOKUP($W74,feed_mix_n,MATCH(AI$5,feed_mix_w!$B$5:$AC$5,0),FALSE)/$Z74*VLOOKUP(AI$5,feed_intensity_w,11,FALSE)</f>
        <v>0</v>
      </c>
      <c r="AJ74" s="2">
        <f>VLOOKUP($W74,feed_mix_n,MATCH(AJ$5,feed_mix_w!$B$5:$AC$5,0),FALSE)/$Z74*VLOOKUP(AJ$5,feed_intensity_w,11,FALSE)</f>
        <v>0</v>
      </c>
      <c r="AK74" s="2">
        <f>VLOOKUP($W74,feed_mix_n,MATCH(AK$5,feed_mix_w!$B$5:$AC$5,0),FALSE)/$Z74*VLOOKUP(AK$5,feed_intensity_w,11,FALSE)</f>
        <v>0</v>
      </c>
      <c r="AL74" s="2">
        <f>VLOOKUP($W74,feed_mix_n,MATCH(AL$5,feed_mix_w!$B$5:$AC$5,0),FALSE)/$Z74*VLOOKUP(AL$5,feed_intensity_w,11,FALSE)</f>
        <v>0</v>
      </c>
      <c r="AM74" s="2">
        <f>VLOOKUP($W74,feed_mix_n,MATCH(AM$5,feed_mix_w!$B$5:$AC$5,0),FALSE)/$Z74*VLOOKUP(AM$5,feed_intensity_w,11,FALSE)</f>
        <v>0</v>
      </c>
      <c r="AN74" s="2">
        <f>VLOOKUP($W74,feed_mix_n,MATCH(AN$5,feed_mix_w!$B$5:$AC$5,0),FALSE)/$Z74*VLOOKUP(AN$5,feed_intensity_w,11,FALSE)</f>
        <v>0</v>
      </c>
      <c r="AO74" s="2">
        <f>VLOOKUP($W74,feed_mix_n,MATCH(AO$5,feed_mix_w!$B$5:$AC$5,0),FALSE)/$Z74*VLOOKUP(AO$5,feed_intensity_w,11,FALSE)</f>
        <v>0</v>
      </c>
      <c r="AP74" s="2">
        <f>VLOOKUP($W74,feed_mix_n,MATCH(AP$5,feed_mix_w!$B$5:$AC$5,0),FALSE)/$Z74*VLOOKUP(AP$5,feed_intensity_w,11,FALSE)</f>
        <v>0</v>
      </c>
      <c r="AQ74" s="2">
        <f>VLOOKUP($W74,feed_mix_n,MATCH(AQ$5,feed_mix_w!$B$5:$AC$5,0),FALSE)/$Z74*VLOOKUP(AQ$5,feed_intensity_w,11,FALSE)</f>
        <v>0</v>
      </c>
      <c r="AR74" s="2">
        <f>VLOOKUP($W74,feed_mix_n,MATCH(AR$5,feed_mix_w!$B$5:$AC$5,0),FALSE)/$Z74*VLOOKUP(AR$5,feed_intensity_w,11,FALSE)</f>
        <v>0</v>
      </c>
      <c r="AS74" s="389">
        <f>VLOOKUP($W74,feed_mix_n,MATCH(AS$5,feed_mix_w!$B$5:$AC$5,0),FALSE)/$Z74*VLOOKUP(AS$5,feed_intensity_w,11,FALSE)</f>
        <v>0</v>
      </c>
    </row>
    <row r="75" spans="1:45" ht="12.75" customHeight="1">
      <c r="A75" s="14" t="s">
        <v>5273</v>
      </c>
      <c r="B75" s="482">
        <v>1008</v>
      </c>
      <c r="C75" s="24" t="s">
        <v>1211</v>
      </c>
      <c r="D75" s="513"/>
      <c r="E75" s="513"/>
      <c r="F75" s="25">
        <f t="shared" si="22"/>
        <v>0</v>
      </c>
      <c r="G75" s="25">
        <f t="shared" si="23"/>
        <v>0</v>
      </c>
      <c r="H75" s="2" t="e">
        <f t="shared" si="24"/>
        <v>#N/A</v>
      </c>
      <c r="I75" s="25">
        <f t="shared" si="25"/>
        <v>0</v>
      </c>
      <c r="J75" s="87">
        <f>IFERROR(G75*VLOOKUP(W75,livestock_intensity!$B$7:$I$29,8,FALSE)/Z75,0)</f>
        <v>0</v>
      </c>
      <c r="K75" s="2" t="e">
        <f>VLOOKUP($W75,feed_mix_n,MATCH(K$5,feed_mix_w!$B$5:$AC$5,0),FALSE)/$Z75*VLOOKUP(K$5,feed_intensity_w,11,FALSE)</f>
        <v>#N/A</v>
      </c>
      <c r="L75" s="25">
        <f t="shared" si="26"/>
        <v>0</v>
      </c>
      <c r="M75" s="25">
        <f>IFERROR(G75*VLOOKUP(W75,livestock_intensity!$B$7:$M$29,12,FALSE)/Z75,0)</f>
        <v>0</v>
      </c>
      <c r="N75" s="2" t="e">
        <f>VLOOKUP($W75,feed_mix_n,MATCH(N$5,feed_mix_w!$B$5:$AC$5,0),FALSE)/$Z75*VLOOKUP(N$5,feed_intensity_w,11,FALSE)</f>
        <v>#N/A</v>
      </c>
      <c r="O75" s="25">
        <f t="shared" si="27"/>
        <v>0</v>
      </c>
      <c r="P75" s="343">
        <f>IFERROR(G75*VLOOKUP(W75,livestock_intensity!$B$7:$Q$29,16,FALSE)/Z75,0)</f>
        <v>0</v>
      </c>
      <c r="Q75" s="758"/>
      <c r="R75" s="331">
        <f t="shared" si="28"/>
        <v>0</v>
      </c>
      <c r="S75" s="331">
        <f t="shared" si="29"/>
        <v>0</v>
      </c>
      <c r="T75" s="739" t="s">
        <v>2738</v>
      </c>
      <c r="U75" s="558" t="s">
        <v>2796</v>
      </c>
      <c r="V75" s="559">
        <f>IFERROR(VLOOKUP(W75,constant_ag_extr!$D$7:$E$594,2,FALSE),"")</f>
        <v>0</v>
      </c>
      <c r="W75" s="560" t="str">
        <f t="shared" si="30"/>
        <v/>
      </c>
      <c r="X75" s="2">
        <f>IFERROR(IF(VLOOKUP(B75,cnst_grazing!$C$10:$H$25,5,FALSE)="", IF(VLOOKUP(B75, cnst_grazing!$C$10:$H$25,3,FALSE)="", VLOOKUP(B75, cnst_grazing!$C$10:$H$25,4,FALSE),VLOOKUP(B75, cnst_grazing!$C$10:$H$25,3,FALSE)), VLOOKUP(B75,cnst_grazing!$C$10:$H$25,5,FALSE)),1)</f>
        <v>1</v>
      </c>
      <c r="Y75" s="2">
        <f>IFERROR(IF(VLOOKUP(B75,cnst_grazing!$C$10:$H$25,6,FALSE)="", IF(VLOOKUP(B75, cnst_grazing!$C$10:$H$25,4,FALSE)="", VLOOKUP(B75, cnst_grazing!$C$10:$H$25,3,FALSE),VLOOKUP(B75, cnst_grazing!$C$10:$H$25,4,FALSE)), VLOOKUP(B75,cnst_grazing!$C$10:$H$25,6,FALSE)),1)</f>
        <v>1</v>
      </c>
      <c r="Z75" s="400">
        <f t="shared" si="31"/>
        <v>1</v>
      </c>
      <c r="AA75" s="2" t="e">
        <f t="shared" si="32"/>
        <v>#N/A</v>
      </c>
      <c r="AB75" s="2" t="e">
        <f>VLOOKUP($W75,feed_mix_n,MATCH(AB$5,feed_mix_w!$B$5:$AC$5,0),FALSE)/$Z75*VLOOKUP(AB$5,feed_intensity_w,11,FALSE)</f>
        <v>#N/A</v>
      </c>
      <c r="AC75" s="2" t="e">
        <f>VLOOKUP($W75,feed_mix_n,MATCH(AC$5,feed_mix_w!$B$5:$AC$5,0),FALSE)/$Z75*VLOOKUP(AC$5,feed_intensity_w,11,FALSE)</f>
        <v>#N/A</v>
      </c>
      <c r="AD75" s="2" t="e">
        <f>VLOOKUP($W75,feed_mix_n,MATCH(AD$5,feed_mix_w!$B$5:$AC$5,0),FALSE)/$Z75*VLOOKUP(AD$5,feed_intensity_w,11,FALSE)</f>
        <v>#N/A</v>
      </c>
      <c r="AE75" s="2" t="e">
        <f>VLOOKUP($W75,feed_mix_n,MATCH(AE$5,feed_mix_w!$B$5:$AC$5,0),FALSE)/$Z75*VLOOKUP(AE$5,feed_intensity_w,11,FALSE)</f>
        <v>#N/A</v>
      </c>
      <c r="AF75" s="2" t="e">
        <f>VLOOKUP($W75,feed_mix_n,MATCH(AF$5,feed_mix_w!$B$5:$AC$5,0),FALSE)/$Z75*VLOOKUP(AF$5,feed_intensity_w,11,FALSE)</f>
        <v>#N/A</v>
      </c>
      <c r="AG75" s="2" t="e">
        <f>VLOOKUP($W75,feed_mix_n,MATCH(AG$5,feed_mix_w!$B$5:$AC$5,0),FALSE)/$Z75*VLOOKUP(AG$5,feed_intensity_w,11,FALSE)</f>
        <v>#N/A</v>
      </c>
      <c r="AH75" s="2" t="e">
        <f>VLOOKUP($W75,feed_mix_n,MATCH(AH$5,feed_mix_w!$B$5:$AC$5,0),FALSE)/$Z75*VLOOKUP(AH$5,feed_intensity_w,11,FALSE)</f>
        <v>#N/A</v>
      </c>
      <c r="AI75" s="2" t="e">
        <f>VLOOKUP($W75,feed_mix_n,MATCH(AI$5,feed_mix_w!$B$5:$AC$5,0),FALSE)/$Z75*VLOOKUP(AI$5,feed_intensity_w,11,FALSE)</f>
        <v>#N/A</v>
      </c>
      <c r="AJ75" s="2" t="e">
        <f>VLOOKUP($W75,feed_mix_n,MATCH(AJ$5,feed_mix_w!$B$5:$AC$5,0),FALSE)/$Z75*VLOOKUP(AJ$5,feed_intensity_w,11,FALSE)</f>
        <v>#N/A</v>
      </c>
      <c r="AK75" s="2" t="e">
        <f>VLOOKUP($W75,feed_mix_n,MATCH(AK$5,feed_mix_w!$B$5:$AC$5,0),FALSE)/$Z75*VLOOKUP(AK$5,feed_intensity_w,11,FALSE)</f>
        <v>#N/A</v>
      </c>
      <c r="AL75" s="2" t="e">
        <f>VLOOKUP($W75,feed_mix_n,MATCH(AL$5,feed_mix_w!$B$5:$AC$5,0),FALSE)/$Z75*VLOOKUP(AL$5,feed_intensity_w,11,FALSE)</f>
        <v>#N/A</v>
      </c>
      <c r="AM75" s="2" t="e">
        <f>VLOOKUP($W75,feed_mix_n,MATCH(AM$5,feed_mix_w!$B$5:$AC$5,0),FALSE)/$Z75*VLOOKUP(AM$5,feed_intensity_w,11,FALSE)</f>
        <v>#N/A</v>
      </c>
      <c r="AN75" s="2" t="e">
        <f>VLOOKUP($W75,feed_mix_n,MATCH(AN$5,feed_mix_w!$B$5:$AC$5,0),FALSE)/$Z75*VLOOKUP(AN$5,feed_intensity_w,11,FALSE)</f>
        <v>#N/A</v>
      </c>
      <c r="AO75" s="2" t="e">
        <f>VLOOKUP($W75,feed_mix_n,MATCH(AO$5,feed_mix_w!$B$5:$AC$5,0),FALSE)/$Z75*VLOOKUP(AO$5,feed_intensity_w,11,FALSE)</f>
        <v>#N/A</v>
      </c>
      <c r="AP75" s="2" t="e">
        <f>VLOOKUP($W75,feed_mix_n,MATCH(AP$5,feed_mix_w!$B$5:$AC$5,0),FALSE)/$Z75*VLOOKUP(AP$5,feed_intensity_w,11,FALSE)</f>
        <v>#N/A</v>
      </c>
      <c r="AQ75" s="2" t="e">
        <f>VLOOKUP($W75,feed_mix_n,MATCH(AQ$5,feed_mix_w!$B$5:$AC$5,0),FALSE)/$Z75*VLOOKUP(AQ$5,feed_intensity_w,11,FALSE)</f>
        <v>#N/A</v>
      </c>
      <c r="AR75" s="2" t="e">
        <f>VLOOKUP($W75,feed_mix_n,MATCH(AR$5,feed_mix_w!$B$5:$AC$5,0),FALSE)/$Z75*VLOOKUP(AR$5,feed_intensity_w,11,FALSE)</f>
        <v>#N/A</v>
      </c>
      <c r="AS75" s="389" t="e">
        <f>VLOOKUP($W75,feed_mix_n,MATCH(AS$5,feed_mix_w!$B$5:$AC$5,0),FALSE)/$Z75*VLOOKUP(AS$5,feed_intensity_w,11,FALSE)</f>
        <v>#N/A</v>
      </c>
    </row>
    <row r="76" spans="1:45" ht="12.75" customHeight="1">
      <c r="A76" s="14" t="s">
        <v>7156</v>
      </c>
      <c r="B76" s="482">
        <v>1009</v>
      </c>
      <c r="C76" s="24">
        <v>5103</v>
      </c>
      <c r="D76" s="513">
        <v>151</v>
      </c>
      <c r="E76" s="513">
        <v>193</v>
      </c>
      <c r="F76" s="25">
        <f t="shared" si="22"/>
        <v>151</v>
      </c>
      <c r="G76" s="25">
        <f t="shared" si="23"/>
        <v>193</v>
      </c>
      <c r="H76" s="2">
        <f t="shared" si="24"/>
        <v>0</v>
      </c>
      <c r="I76" s="25">
        <f t="shared" si="25"/>
        <v>0</v>
      </c>
      <c r="J76" s="87">
        <f>IFERROR(G76*VLOOKUP(W76,livestock_intensity!$B$7:$I$29,8,FALSE)/Z76,0)</f>
        <v>0</v>
      </c>
      <c r="K76" s="2">
        <f>VLOOKUP($W76,feed_mix_n,MATCH(K$5,feed_mix_w!$B$5:$AC$5,0),FALSE)/$Z76*VLOOKUP(K$5,feed_intensity_w,11,FALSE)</f>
        <v>0</v>
      </c>
      <c r="L76" s="25">
        <f t="shared" si="26"/>
        <v>0</v>
      </c>
      <c r="M76" s="25">
        <f>IFERROR(G76*VLOOKUP(W76,livestock_intensity!$B$7:$M$29,12,FALSE)/Z76,0)</f>
        <v>0</v>
      </c>
      <c r="N76" s="2">
        <f>VLOOKUP($W76,feed_mix_n,MATCH(N$5,feed_mix_w!$B$5:$AC$5,0),FALSE)/$Z76*VLOOKUP(N$5,feed_intensity_w,11,FALSE)</f>
        <v>65.404443664962642</v>
      </c>
      <c r="O76" s="25">
        <f t="shared" si="27"/>
        <v>9876.0709934093593</v>
      </c>
      <c r="P76" s="343">
        <f>IFERROR(G76*VLOOKUP(W76,livestock_intensity!$B$7:$Q$29,16,FALSE)/Z76,0)</f>
        <v>6413.5953520415096</v>
      </c>
      <c r="Q76" s="758"/>
      <c r="R76" s="331">
        <f t="shared" si="28"/>
        <v>9876.0709934093593</v>
      </c>
      <c r="S76" s="331">
        <f t="shared" si="29"/>
        <v>6413.5953520415096</v>
      </c>
      <c r="T76" s="739" t="s">
        <v>2738</v>
      </c>
      <c r="U76" s="558" t="s">
        <v>2796</v>
      </c>
      <c r="V76" s="559" t="str">
        <f>IFERROR(VLOOKUP(W76,constant_ag_extr!$D$7:$E$594,2,FALSE),"")</f>
        <v>Wool, greasy</v>
      </c>
      <c r="W76" s="560">
        <f t="shared" si="30"/>
        <v>987</v>
      </c>
      <c r="X76" s="2">
        <f>IFERROR(IF(VLOOKUP(B76,cnst_grazing!$C$10:$H$25,5,FALSE)="", IF(VLOOKUP(B76, cnst_grazing!$C$10:$H$25,3,FALSE)="", VLOOKUP(B76, cnst_grazing!$C$10:$H$25,4,FALSE),VLOOKUP(B76, cnst_grazing!$C$10:$H$25,3,FALSE)), VLOOKUP(B76,cnst_grazing!$C$10:$H$25,5,FALSE)),1)</f>
        <v>1</v>
      </c>
      <c r="Y76" s="2">
        <f>IFERROR(IF(VLOOKUP(B76,cnst_grazing!$C$10:$H$25,6,FALSE)="", IF(VLOOKUP(B76, cnst_grazing!$C$10:$H$25,4,FALSE)="", VLOOKUP(B76, cnst_grazing!$C$10:$H$25,3,FALSE),VLOOKUP(B76, cnst_grazing!$C$10:$H$25,4,FALSE)), VLOOKUP(B76,cnst_grazing!$C$10:$H$25,6,FALSE)),1)</f>
        <v>1</v>
      </c>
      <c r="Z76" s="400">
        <f t="shared" si="31"/>
        <v>1.0294213169862934</v>
      </c>
      <c r="AA76" s="2">
        <f t="shared" si="32"/>
        <v>65.404443664962642</v>
      </c>
      <c r="AB76" s="2">
        <f>VLOOKUP($W76,feed_mix_n,MATCH(AB$5,feed_mix_w!$B$5:$AC$5,0),FALSE)/$Z76*VLOOKUP(AB$5,feed_intensity_w,11,FALSE)</f>
        <v>0</v>
      </c>
      <c r="AC76" s="2">
        <f>VLOOKUP($W76,feed_mix_n,MATCH(AC$5,feed_mix_w!$B$5:$AC$5,0),FALSE)/$Z76*VLOOKUP(AC$5,feed_intensity_w,11,FALSE)</f>
        <v>0</v>
      </c>
      <c r="AD76" s="2">
        <f>VLOOKUP($W76,feed_mix_n,MATCH(AD$5,feed_mix_w!$B$5:$AC$5,0),FALSE)/$Z76*VLOOKUP(AD$5,feed_intensity_w,11,FALSE)</f>
        <v>0</v>
      </c>
      <c r="AE76" s="2">
        <f>VLOOKUP($W76,feed_mix_n,MATCH(AE$5,feed_mix_w!$B$5:$AC$5,0),FALSE)/$Z76*VLOOKUP(AE$5,feed_intensity_w,11,FALSE)</f>
        <v>0</v>
      </c>
      <c r="AF76" s="2">
        <f>VLOOKUP($W76,feed_mix_n,MATCH(AF$5,feed_mix_w!$B$5:$AC$5,0),FALSE)/$Z76*VLOOKUP(AF$5,feed_intensity_w,11,FALSE)</f>
        <v>0</v>
      </c>
      <c r="AG76" s="2">
        <f>VLOOKUP($W76,feed_mix_n,MATCH(AG$5,feed_mix_w!$B$5:$AC$5,0),FALSE)/$Z76*VLOOKUP(AG$5,feed_intensity_w,11,FALSE)</f>
        <v>0</v>
      </c>
      <c r="AH76" s="2">
        <f>VLOOKUP($W76,feed_mix_n,MATCH(AH$5,feed_mix_w!$B$5:$AC$5,0),FALSE)/$Z76*VLOOKUP(AH$5,feed_intensity_w,11,FALSE)</f>
        <v>0</v>
      </c>
      <c r="AI76" s="2">
        <f>VLOOKUP($W76,feed_mix_n,MATCH(AI$5,feed_mix_w!$B$5:$AC$5,0),FALSE)/$Z76*VLOOKUP(AI$5,feed_intensity_w,11,FALSE)</f>
        <v>0</v>
      </c>
      <c r="AJ76" s="2">
        <f>VLOOKUP($W76,feed_mix_n,MATCH(AJ$5,feed_mix_w!$B$5:$AC$5,0),FALSE)/$Z76*VLOOKUP(AJ$5,feed_intensity_w,11,FALSE)</f>
        <v>0</v>
      </c>
      <c r="AK76" s="2">
        <f>VLOOKUP($W76,feed_mix_n,MATCH(AK$5,feed_mix_w!$B$5:$AC$5,0),FALSE)/$Z76*VLOOKUP(AK$5,feed_intensity_w,11,FALSE)</f>
        <v>0</v>
      </c>
      <c r="AL76" s="2">
        <f>VLOOKUP($W76,feed_mix_n,MATCH(AL$5,feed_mix_w!$B$5:$AC$5,0),FALSE)/$Z76*VLOOKUP(AL$5,feed_intensity_w,11,FALSE)</f>
        <v>0</v>
      </c>
      <c r="AM76" s="2">
        <f>VLOOKUP($W76,feed_mix_n,MATCH(AM$5,feed_mix_w!$B$5:$AC$5,0),FALSE)/$Z76*VLOOKUP(AM$5,feed_intensity_w,11,FALSE)</f>
        <v>0</v>
      </c>
      <c r="AN76" s="2">
        <f>VLOOKUP($W76,feed_mix_n,MATCH(AN$5,feed_mix_w!$B$5:$AC$5,0),FALSE)/$Z76*VLOOKUP(AN$5,feed_intensity_w,11,FALSE)</f>
        <v>0</v>
      </c>
      <c r="AO76" s="2">
        <f>VLOOKUP($W76,feed_mix_n,MATCH(AO$5,feed_mix_w!$B$5:$AC$5,0),FALSE)/$Z76*VLOOKUP(AO$5,feed_intensity_w,11,FALSE)</f>
        <v>0</v>
      </c>
      <c r="AP76" s="2">
        <f>VLOOKUP($W76,feed_mix_n,MATCH(AP$5,feed_mix_w!$B$5:$AC$5,0),FALSE)/$Z76*VLOOKUP(AP$5,feed_intensity_w,11,FALSE)</f>
        <v>0</v>
      </c>
      <c r="AQ76" s="2">
        <f>VLOOKUP($W76,feed_mix_n,MATCH(AQ$5,feed_mix_w!$B$5:$AC$5,0),FALSE)/$Z76*VLOOKUP(AQ$5,feed_intensity_w,11,FALSE)</f>
        <v>0</v>
      </c>
      <c r="AR76" s="2">
        <f>VLOOKUP($W76,feed_mix_n,MATCH(AR$5,feed_mix_w!$B$5:$AC$5,0),FALSE)/$Z76*VLOOKUP(AR$5,feed_intensity_w,11,FALSE)</f>
        <v>0</v>
      </c>
      <c r="AS76" s="389">
        <f>VLOOKUP($W76,feed_mix_n,MATCH(AS$5,feed_mix_w!$B$5:$AC$5,0),FALSE)/$Z76*VLOOKUP(AS$5,feed_intensity_w,11,FALSE)</f>
        <v>0</v>
      </c>
    </row>
    <row r="77" spans="1:45" ht="12.75" customHeight="1">
      <c r="A77" s="14" t="s">
        <v>406</v>
      </c>
      <c r="B77" s="482">
        <v>1016</v>
      </c>
      <c r="C77" s="24">
        <v>104.2</v>
      </c>
      <c r="D77" s="513">
        <v>25</v>
      </c>
      <c r="E77" s="513">
        <v>1593</v>
      </c>
      <c r="F77" s="25">
        <f t="shared" si="22"/>
        <v>0.79390306368516594</v>
      </c>
      <c r="G77" s="25">
        <f t="shared" si="23"/>
        <v>48.971860618679912</v>
      </c>
      <c r="H77" s="2">
        <f t="shared" si="24"/>
        <v>0</v>
      </c>
      <c r="I77" s="25">
        <f t="shared" si="25"/>
        <v>0</v>
      </c>
      <c r="J77" s="87">
        <f>IFERROR(G77*VLOOKUP(W77,livestock_intensity!$B$7:$I$29,8,FALSE)/Z77,0)</f>
        <v>0</v>
      </c>
      <c r="K77" s="2">
        <f>VLOOKUP($W77,feed_mix_n,MATCH(K$5,feed_mix_w!$B$5:$AC$5,0),FALSE)/$Z77*VLOOKUP(K$5,feed_intensity_w,11,FALSE)</f>
        <v>0</v>
      </c>
      <c r="L77" s="25">
        <f t="shared" si="26"/>
        <v>0</v>
      </c>
      <c r="M77" s="25">
        <f>IFERROR(G77*VLOOKUP(W77,livestock_intensity!$B$7:$M$29,12,FALSE)/Z77,0)</f>
        <v>0</v>
      </c>
      <c r="N77" s="2">
        <f>VLOOKUP($W77,feed_mix_n,MATCH(N$5,feed_mix_w!$B$5:$AC$5,0),FALSE)/$Z77*VLOOKUP(N$5,feed_intensity_w,11,FALSE)</f>
        <v>14.555802268508554</v>
      </c>
      <c r="O77" s="25">
        <f t="shared" si="27"/>
        <v>11.555896015364429</v>
      </c>
      <c r="P77" s="343">
        <f>IFERROR(G77*VLOOKUP(W77,livestock_intensity!$B$7:$Q$29,16,FALSE)/Z77,0)</f>
        <v>787.78124381637929</v>
      </c>
      <c r="Q77" s="758"/>
      <c r="R77" s="331">
        <f t="shared" si="28"/>
        <v>11.555896015364429</v>
      </c>
      <c r="S77" s="331">
        <f t="shared" si="29"/>
        <v>787.78124381637929</v>
      </c>
      <c r="T77" s="739" t="s">
        <v>2738</v>
      </c>
      <c r="U77" s="558" t="s">
        <v>413</v>
      </c>
      <c r="V77" s="559" t="str">
        <f>IFERROR(VLOOKUP(W77,constant_ag_extr!$D$7:$E$594,2,FALSE),"")</f>
        <v>Goats</v>
      </c>
      <c r="W77" s="560">
        <f t="shared" si="30"/>
        <v>1016</v>
      </c>
      <c r="X77" s="2">
        <f>IFERROR(IF(VLOOKUP(B77,cnst_grazing!$C$10:$H$25,5,FALSE)="", IF(VLOOKUP(B77, cnst_grazing!$C$10:$H$25,3,FALSE)="", VLOOKUP(B77, cnst_grazing!$C$10:$H$25,4,FALSE),VLOOKUP(B77, cnst_grazing!$C$10:$H$25,3,FALSE)), VLOOKUP(B77,cnst_grazing!$C$10:$H$25,5,FALSE)),1)</f>
        <v>3.1756122547406639E-2</v>
      </c>
      <c r="Y77" s="2">
        <f>IFERROR(IF(VLOOKUP(B77,cnst_grazing!$C$10:$H$25,6,FALSE)="", IF(VLOOKUP(B77, cnst_grazing!$C$10:$H$25,4,FALSE)="", VLOOKUP(B77, cnst_grazing!$C$10:$H$25,3,FALSE),VLOOKUP(B77, cnst_grazing!$C$10:$H$25,4,FALSE)), VLOOKUP(B77,cnst_grazing!$C$10:$H$25,6,FALSE)),1)</f>
        <v>3.0741908737401073E-2</v>
      </c>
      <c r="Z77" s="400">
        <f t="shared" si="31"/>
        <v>1</v>
      </c>
      <c r="AA77" s="2">
        <f t="shared" si="32"/>
        <v>14.555802268508554</v>
      </c>
      <c r="AB77" s="2">
        <f>VLOOKUP($W77,feed_mix_n,MATCH(AB$5,feed_mix_w!$B$5:$AC$5,0),FALSE)/$Z77*VLOOKUP(AB$5,feed_intensity_w,11,FALSE)</f>
        <v>0</v>
      </c>
      <c r="AC77" s="2">
        <f>VLOOKUP($W77,feed_mix_n,MATCH(AC$5,feed_mix_w!$B$5:$AC$5,0),FALSE)/$Z77*VLOOKUP(AC$5,feed_intensity_w,11,FALSE)</f>
        <v>0</v>
      </c>
      <c r="AD77" s="2">
        <f>VLOOKUP($W77,feed_mix_n,MATCH(AD$5,feed_mix_w!$B$5:$AC$5,0),FALSE)/$Z77*VLOOKUP(AD$5,feed_intensity_w,11,FALSE)</f>
        <v>0</v>
      </c>
      <c r="AE77" s="2">
        <f>VLOOKUP($W77,feed_mix_n,MATCH(AE$5,feed_mix_w!$B$5:$AC$5,0),FALSE)/$Z77*VLOOKUP(AE$5,feed_intensity_w,11,FALSE)</f>
        <v>0</v>
      </c>
      <c r="AF77" s="2">
        <f>VLOOKUP($W77,feed_mix_n,MATCH(AF$5,feed_mix_w!$B$5:$AC$5,0),FALSE)/$Z77*VLOOKUP(AF$5,feed_intensity_w,11,FALSE)</f>
        <v>0</v>
      </c>
      <c r="AG77" s="2">
        <f>VLOOKUP($W77,feed_mix_n,MATCH(AG$5,feed_mix_w!$B$5:$AC$5,0),FALSE)/$Z77*VLOOKUP(AG$5,feed_intensity_w,11,FALSE)</f>
        <v>0</v>
      </c>
      <c r="AH77" s="2">
        <f>VLOOKUP($W77,feed_mix_n,MATCH(AH$5,feed_mix_w!$B$5:$AC$5,0),FALSE)/$Z77*VLOOKUP(AH$5,feed_intensity_w,11,FALSE)</f>
        <v>0</v>
      </c>
      <c r="AI77" s="2">
        <f>VLOOKUP($W77,feed_mix_n,MATCH(AI$5,feed_mix_w!$B$5:$AC$5,0),FALSE)/$Z77*VLOOKUP(AI$5,feed_intensity_w,11,FALSE)</f>
        <v>0</v>
      </c>
      <c r="AJ77" s="2">
        <f>VLOOKUP($W77,feed_mix_n,MATCH(AJ$5,feed_mix_w!$B$5:$AC$5,0),FALSE)/$Z77*VLOOKUP(AJ$5,feed_intensity_w,11,FALSE)</f>
        <v>0</v>
      </c>
      <c r="AK77" s="2">
        <f>VLOOKUP($W77,feed_mix_n,MATCH(AK$5,feed_mix_w!$B$5:$AC$5,0),FALSE)/$Z77*VLOOKUP(AK$5,feed_intensity_w,11,FALSE)</f>
        <v>0</v>
      </c>
      <c r="AL77" s="2">
        <f>VLOOKUP($W77,feed_mix_n,MATCH(AL$5,feed_mix_w!$B$5:$AC$5,0),FALSE)/$Z77*VLOOKUP(AL$5,feed_intensity_w,11,FALSE)</f>
        <v>0</v>
      </c>
      <c r="AM77" s="2">
        <f>VLOOKUP($W77,feed_mix_n,MATCH(AM$5,feed_mix_w!$B$5:$AC$5,0),FALSE)/$Z77*VLOOKUP(AM$5,feed_intensity_w,11,FALSE)</f>
        <v>0</v>
      </c>
      <c r="AN77" s="2">
        <f>VLOOKUP($W77,feed_mix_n,MATCH(AN$5,feed_mix_w!$B$5:$AC$5,0),FALSE)/$Z77*VLOOKUP(AN$5,feed_intensity_w,11,FALSE)</f>
        <v>0</v>
      </c>
      <c r="AO77" s="2">
        <f>VLOOKUP($W77,feed_mix_n,MATCH(AO$5,feed_mix_w!$B$5:$AC$5,0),FALSE)/$Z77*VLOOKUP(AO$5,feed_intensity_w,11,FALSE)</f>
        <v>0</v>
      </c>
      <c r="AP77" s="2">
        <f>VLOOKUP($W77,feed_mix_n,MATCH(AP$5,feed_mix_w!$B$5:$AC$5,0),FALSE)/$Z77*VLOOKUP(AP$5,feed_intensity_w,11,FALSE)</f>
        <v>0</v>
      </c>
      <c r="AQ77" s="2">
        <f>VLOOKUP($W77,feed_mix_n,MATCH(AQ$5,feed_mix_w!$B$5:$AC$5,0),FALSE)/$Z77*VLOOKUP(AQ$5,feed_intensity_w,11,FALSE)</f>
        <v>0</v>
      </c>
      <c r="AR77" s="2">
        <f>VLOOKUP($W77,feed_mix_n,MATCH(AR$5,feed_mix_w!$B$5:$AC$5,0),FALSE)/$Z77*VLOOKUP(AR$5,feed_intensity_w,11,FALSE)</f>
        <v>0</v>
      </c>
      <c r="AS77" s="389">
        <f>VLOOKUP($W77,feed_mix_n,MATCH(AS$5,feed_mix_w!$B$5:$AC$5,0),FALSE)/$Z77*VLOOKUP(AS$5,feed_intensity_w,11,FALSE)</f>
        <v>0</v>
      </c>
    </row>
    <row r="78" spans="1:45" ht="12.75" customHeight="1">
      <c r="A78" s="14" t="s">
        <v>7157</v>
      </c>
      <c r="B78" s="482">
        <v>1017</v>
      </c>
      <c r="C78" s="24">
        <v>204.5</v>
      </c>
      <c r="D78" s="513">
        <v>1014</v>
      </c>
      <c r="E78" s="513">
        <v>4.5382299423217773</v>
      </c>
      <c r="F78" s="25">
        <f t="shared" si="22"/>
        <v>1014</v>
      </c>
      <c r="G78" s="25">
        <f t="shared" si="23"/>
        <v>4.5382299423217773</v>
      </c>
      <c r="H78" s="2">
        <f t="shared" si="24"/>
        <v>0</v>
      </c>
      <c r="I78" s="25">
        <f t="shared" si="25"/>
        <v>0</v>
      </c>
      <c r="J78" s="87">
        <f>IFERROR(G78*VLOOKUP(W78,livestock_intensity!$B$7:$I$29,8,FALSE)/Z78,0)</f>
        <v>0</v>
      </c>
      <c r="K78" s="2">
        <f>VLOOKUP($W78,feed_mix_n,MATCH(K$5,feed_mix_w!$B$5:$AC$5,0),FALSE)/$Z78*VLOOKUP(K$5,feed_intensity_w,11,FALSE)</f>
        <v>0</v>
      </c>
      <c r="L78" s="25">
        <f t="shared" si="26"/>
        <v>0</v>
      </c>
      <c r="M78" s="25">
        <f>IFERROR(G78*VLOOKUP(W78,livestock_intensity!$B$7:$M$29,12,FALSE)/Z78,0)</f>
        <v>0</v>
      </c>
      <c r="N78" s="2">
        <f>VLOOKUP($W78,feed_mix_n,MATCH(N$5,feed_mix_w!$B$5:$AC$5,0),FALSE)/$Z78*VLOOKUP(N$5,feed_intensity_w,11,FALSE)</f>
        <v>25.221535619965678</v>
      </c>
      <c r="O78" s="25">
        <f t="shared" si="27"/>
        <v>25574.637118645198</v>
      </c>
      <c r="P78" s="343">
        <f>IFERROR(G78*VLOOKUP(W78,livestock_intensity!$B$7:$Q$29,16,FALSE)/Z78,0)</f>
        <v>126.49719823210532</v>
      </c>
      <c r="Q78" s="758"/>
      <c r="R78" s="331">
        <f t="shared" si="28"/>
        <v>25574.637118645198</v>
      </c>
      <c r="S78" s="331">
        <f t="shared" si="29"/>
        <v>126.49719823210532</v>
      </c>
      <c r="T78" s="739">
        <v>2732</v>
      </c>
      <c r="U78" s="558" t="s">
        <v>2796</v>
      </c>
      <c r="V78" s="559" t="str">
        <f>IFERROR(VLOOKUP(W78,constant_ag_extr!$D$7:$E$594,2,FALSE),"")</f>
        <v>Goats</v>
      </c>
      <c r="W78" s="560">
        <f t="shared" si="30"/>
        <v>1016</v>
      </c>
      <c r="X78" s="2">
        <f>IFERROR(IF(VLOOKUP(B78,cnst_grazing!$C$10:$H$25,5,FALSE)="", IF(VLOOKUP(B78, cnst_grazing!$C$10:$H$25,3,FALSE)="", VLOOKUP(B78, cnst_grazing!$C$10:$H$25,4,FALSE),VLOOKUP(B78, cnst_grazing!$C$10:$H$25,3,FALSE)), VLOOKUP(B78,cnst_grazing!$C$10:$H$25,5,FALSE)),1)</f>
        <v>1</v>
      </c>
      <c r="Y78" s="2">
        <f>IFERROR(IF(VLOOKUP(B78,cnst_grazing!$C$10:$H$25,6,FALSE)="", IF(VLOOKUP(B78, cnst_grazing!$C$10:$H$25,4,FALSE)="", VLOOKUP(B78, cnst_grazing!$C$10:$H$25,3,FALSE),VLOOKUP(B78, cnst_grazing!$C$10:$H$25,4,FALSE)), VLOOKUP(B78,cnst_grazing!$C$10:$H$25,6,FALSE)),1)</f>
        <v>1</v>
      </c>
      <c r="Z78" s="400">
        <f t="shared" si="31"/>
        <v>0.57711800295720295</v>
      </c>
      <c r="AA78" s="2">
        <f t="shared" si="32"/>
        <v>25.221535619965678</v>
      </c>
      <c r="AB78" s="2">
        <f>VLOOKUP($W78,feed_mix_n,MATCH(AB$5,feed_mix_w!$B$5:$AC$5,0),FALSE)/$Z78*VLOOKUP(AB$5,feed_intensity_w,11,FALSE)</f>
        <v>0</v>
      </c>
      <c r="AC78" s="2">
        <f>VLOOKUP($W78,feed_mix_n,MATCH(AC$5,feed_mix_w!$B$5:$AC$5,0),FALSE)/$Z78*VLOOKUP(AC$5,feed_intensity_w,11,FALSE)</f>
        <v>0</v>
      </c>
      <c r="AD78" s="2">
        <f>VLOOKUP($W78,feed_mix_n,MATCH(AD$5,feed_mix_w!$B$5:$AC$5,0),FALSE)/$Z78*VLOOKUP(AD$5,feed_intensity_w,11,FALSE)</f>
        <v>0</v>
      </c>
      <c r="AE78" s="2">
        <f>VLOOKUP($W78,feed_mix_n,MATCH(AE$5,feed_mix_w!$B$5:$AC$5,0),FALSE)/$Z78*VLOOKUP(AE$5,feed_intensity_w,11,FALSE)</f>
        <v>0</v>
      </c>
      <c r="AF78" s="2">
        <f>VLOOKUP($W78,feed_mix_n,MATCH(AF$5,feed_mix_w!$B$5:$AC$5,0),FALSE)/$Z78*VLOOKUP(AF$5,feed_intensity_w,11,FALSE)</f>
        <v>0</v>
      </c>
      <c r="AG78" s="2">
        <f>VLOOKUP($W78,feed_mix_n,MATCH(AG$5,feed_mix_w!$B$5:$AC$5,0),FALSE)/$Z78*VLOOKUP(AG$5,feed_intensity_w,11,FALSE)</f>
        <v>0</v>
      </c>
      <c r="AH78" s="2">
        <f>VLOOKUP($W78,feed_mix_n,MATCH(AH$5,feed_mix_w!$B$5:$AC$5,0),FALSE)/$Z78*VLOOKUP(AH$5,feed_intensity_w,11,FALSE)</f>
        <v>0</v>
      </c>
      <c r="AI78" s="2">
        <f>VLOOKUP($W78,feed_mix_n,MATCH(AI$5,feed_mix_w!$B$5:$AC$5,0),FALSE)/$Z78*VLOOKUP(AI$5,feed_intensity_w,11,FALSE)</f>
        <v>0</v>
      </c>
      <c r="AJ78" s="2">
        <f>VLOOKUP($W78,feed_mix_n,MATCH(AJ$5,feed_mix_w!$B$5:$AC$5,0),FALSE)/$Z78*VLOOKUP(AJ$5,feed_intensity_w,11,FALSE)</f>
        <v>0</v>
      </c>
      <c r="AK78" s="2">
        <f>VLOOKUP($W78,feed_mix_n,MATCH(AK$5,feed_mix_w!$B$5:$AC$5,0),FALSE)/$Z78*VLOOKUP(AK$5,feed_intensity_w,11,FALSE)</f>
        <v>0</v>
      </c>
      <c r="AL78" s="2">
        <f>VLOOKUP($W78,feed_mix_n,MATCH(AL$5,feed_mix_w!$B$5:$AC$5,0),FALSE)/$Z78*VLOOKUP(AL$5,feed_intensity_w,11,FALSE)</f>
        <v>0</v>
      </c>
      <c r="AM78" s="2">
        <f>VLOOKUP($W78,feed_mix_n,MATCH(AM$5,feed_mix_w!$B$5:$AC$5,0),FALSE)/$Z78*VLOOKUP(AM$5,feed_intensity_w,11,FALSE)</f>
        <v>0</v>
      </c>
      <c r="AN78" s="2">
        <f>VLOOKUP($W78,feed_mix_n,MATCH(AN$5,feed_mix_w!$B$5:$AC$5,0),FALSE)/$Z78*VLOOKUP(AN$5,feed_intensity_w,11,FALSE)</f>
        <v>0</v>
      </c>
      <c r="AO78" s="2">
        <f>VLOOKUP($W78,feed_mix_n,MATCH(AO$5,feed_mix_w!$B$5:$AC$5,0),FALSE)/$Z78*VLOOKUP(AO$5,feed_intensity_w,11,FALSE)</f>
        <v>0</v>
      </c>
      <c r="AP78" s="2">
        <f>VLOOKUP($W78,feed_mix_n,MATCH(AP$5,feed_mix_w!$B$5:$AC$5,0),FALSE)/$Z78*VLOOKUP(AP$5,feed_intensity_w,11,FALSE)</f>
        <v>0</v>
      </c>
      <c r="AQ78" s="2">
        <f>VLOOKUP($W78,feed_mix_n,MATCH(AQ$5,feed_mix_w!$B$5:$AC$5,0),FALSE)/$Z78*VLOOKUP(AQ$5,feed_intensity_w,11,FALSE)</f>
        <v>0</v>
      </c>
      <c r="AR78" s="2">
        <f>VLOOKUP($W78,feed_mix_n,MATCH(AR$5,feed_mix_w!$B$5:$AC$5,0),FALSE)/$Z78*VLOOKUP(AR$5,feed_intensity_w,11,FALSE)</f>
        <v>0</v>
      </c>
      <c r="AS78" s="389">
        <f>VLOOKUP($W78,feed_mix_n,MATCH(AS$5,feed_mix_w!$B$5:$AC$5,0),FALSE)/$Z78*VLOOKUP(AS$5,feed_intensity_w,11,FALSE)</f>
        <v>0</v>
      </c>
    </row>
    <row r="79" spans="1:45" ht="12.75" customHeight="1">
      <c r="A79" s="14" t="s">
        <v>7158</v>
      </c>
      <c r="B79" s="482">
        <v>1018</v>
      </c>
      <c r="C79" s="24" t="s">
        <v>675</v>
      </c>
      <c r="D79" s="513"/>
      <c r="E79" s="513"/>
      <c r="F79" s="25">
        <f t="shared" si="22"/>
        <v>0</v>
      </c>
      <c r="G79" s="25">
        <f t="shared" si="23"/>
        <v>0</v>
      </c>
      <c r="H79" s="2">
        <f t="shared" si="24"/>
        <v>0</v>
      </c>
      <c r="I79" s="25">
        <f t="shared" si="25"/>
        <v>0</v>
      </c>
      <c r="J79" s="87">
        <f>IFERROR(G79*VLOOKUP(W79,livestock_intensity!$B$7:$I$29,8,FALSE)/Z79,0)</f>
        <v>0</v>
      </c>
      <c r="K79" s="2">
        <f>VLOOKUP($W79,feed_mix_n,MATCH(K$5,feed_mix_w!$B$5:$AC$5,0),FALSE)/$Z79*VLOOKUP(K$5,feed_intensity_w,11,FALSE)</f>
        <v>0</v>
      </c>
      <c r="L79" s="25">
        <f t="shared" si="26"/>
        <v>0</v>
      </c>
      <c r="M79" s="25">
        <f>IFERROR(G79*VLOOKUP(W79,livestock_intensity!$B$7:$M$29,12,FALSE)/Z79,0)</f>
        <v>0</v>
      </c>
      <c r="N79" s="2">
        <f>VLOOKUP($W79,feed_mix_n,MATCH(N$5,feed_mix_w!$B$5:$AC$5,0),FALSE)/$Z79*VLOOKUP(N$5,feed_intensity_w,11,FALSE)</f>
        <v>1.5014206790544149</v>
      </c>
      <c r="O79" s="25">
        <f t="shared" si="27"/>
        <v>0</v>
      </c>
      <c r="P79" s="343">
        <f>IFERROR(G79*VLOOKUP(W79,livestock_intensity!$B$7:$Q$29,16,FALSE)/Z79,0)</f>
        <v>0</v>
      </c>
      <c r="Q79" s="758"/>
      <c r="R79" s="331">
        <f t="shared" si="28"/>
        <v>0</v>
      </c>
      <c r="S79" s="331">
        <f t="shared" si="29"/>
        <v>0</v>
      </c>
      <c r="T79" s="739">
        <v>2736</v>
      </c>
      <c r="U79" s="558" t="s">
        <v>2796</v>
      </c>
      <c r="V79" s="559" t="str">
        <f>IFERROR(VLOOKUP(W79,constant_ag_extr!$D$7:$E$594,2,FALSE),"")</f>
        <v>Goats</v>
      </c>
      <c r="W79" s="560">
        <f t="shared" si="30"/>
        <v>1016</v>
      </c>
      <c r="X79" s="2">
        <f>IFERROR(IF(VLOOKUP(B79,cnst_grazing!$C$10:$H$25,5,FALSE)="", IF(VLOOKUP(B79, cnst_grazing!$C$10:$H$25,3,FALSE)="", VLOOKUP(B79, cnst_grazing!$C$10:$H$25,4,FALSE),VLOOKUP(B79, cnst_grazing!$C$10:$H$25,3,FALSE)), VLOOKUP(B79,cnst_grazing!$C$10:$H$25,5,FALSE)),1)</f>
        <v>1</v>
      </c>
      <c r="Y79" s="2">
        <f>IFERROR(IF(VLOOKUP(B79,cnst_grazing!$C$10:$H$25,6,FALSE)="", IF(VLOOKUP(B79, cnst_grazing!$C$10:$H$25,4,FALSE)="", VLOOKUP(B79, cnst_grazing!$C$10:$H$25,3,FALSE),VLOOKUP(B79, cnst_grazing!$C$10:$H$25,4,FALSE)), VLOOKUP(B79,cnst_grazing!$C$10:$H$25,6,FALSE)),1)</f>
        <v>1</v>
      </c>
      <c r="Z79" s="400">
        <f t="shared" si="31"/>
        <v>9.6946861539669911</v>
      </c>
      <c r="AA79" s="2">
        <f t="shared" si="32"/>
        <v>1.5014206790544149</v>
      </c>
      <c r="AB79" s="2">
        <f>VLOOKUP($W79,feed_mix_n,MATCH(AB$5,feed_mix_w!$B$5:$AC$5,0),FALSE)/$Z79*VLOOKUP(AB$5,feed_intensity_w,11,FALSE)</f>
        <v>0</v>
      </c>
      <c r="AC79" s="2">
        <f>VLOOKUP($W79,feed_mix_n,MATCH(AC$5,feed_mix_w!$B$5:$AC$5,0),FALSE)/$Z79*VLOOKUP(AC$5,feed_intensity_w,11,FALSE)</f>
        <v>0</v>
      </c>
      <c r="AD79" s="2">
        <f>VLOOKUP($W79,feed_mix_n,MATCH(AD$5,feed_mix_w!$B$5:$AC$5,0),FALSE)/$Z79*VLOOKUP(AD$5,feed_intensity_w,11,FALSE)</f>
        <v>0</v>
      </c>
      <c r="AE79" s="2">
        <f>VLOOKUP($W79,feed_mix_n,MATCH(AE$5,feed_mix_w!$B$5:$AC$5,0),FALSE)/$Z79*VLOOKUP(AE$5,feed_intensity_w,11,FALSE)</f>
        <v>0</v>
      </c>
      <c r="AF79" s="2">
        <f>VLOOKUP($W79,feed_mix_n,MATCH(AF$5,feed_mix_w!$B$5:$AC$5,0),FALSE)/$Z79*VLOOKUP(AF$5,feed_intensity_w,11,FALSE)</f>
        <v>0</v>
      </c>
      <c r="AG79" s="2">
        <f>VLOOKUP($W79,feed_mix_n,MATCH(AG$5,feed_mix_w!$B$5:$AC$5,0),FALSE)/$Z79*VLOOKUP(AG$5,feed_intensity_w,11,FALSE)</f>
        <v>0</v>
      </c>
      <c r="AH79" s="2">
        <f>VLOOKUP($W79,feed_mix_n,MATCH(AH$5,feed_mix_w!$B$5:$AC$5,0),FALSE)/$Z79*VLOOKUP(AH$5,feed_intensity_w,11,FALSE)</f>
        <v>0</v>
      </c>
      <c r="AI79" s="2">
        <f>VLOOKUP($W79,feed_mix_n,MATCH(AI$5,feed_mix_w!$B$5:$AC$5,0),FALSE)/$Z79*VLOOKUP(AI$5,feed_intensity_w,11,FALSE)</f>
        <v>0</v>
      </c>
      <c r="AJ79" s="2">
        <f>VLOOKUP($W79,feed_mix_n,MATCH(AJ$5,feed_mix_w!$B$5:$AC$5,0),FALSE)/$Z79*VLOOKUP(AJ$5,feed_intensity_w,11,FALSE)</f>
        <v>0</v>
      </c>
      <c r="AK79" s="2">
        <f>VLOOKUP($W79,feed_mix_n,MATCH(AK$5,feed_mix_w!$B$5:$AC$5,0),FALSE)/$Z79*VLOOKUP(AK$5,feed_intensity_w,11,FALSE)</f>
        <v>0</v>
      </c>
      <c r="AL79" s="2">
        <f>VLOOKUP($W79,feed_mix_n,MATCH(AL$5,feed_mix_w!$B$5:$AC$5,0),FALSE)/$Z79*VLOOKUP(AL$5,feed_intensity_w,11,FALSE)</f>
        <v>0</v>
      </c>
      <c r="AM79" s="2">
        <f>VLOOKUP($W79,feed_mix_n,MATCH(AM$5,feed_mix_w!$B$5:$AC$5,0),FALSE)/$Z79*VLOOKUP(AM$5,feed_intensity_w,11,FALSE)</f>
        <v>0</v>
      </c>
      <c r="AN79" s="2">
        <f>VLOOKUP($W79,feed_mix_n,MATCH(AN$5,feed_mix_w!$B$5:$AC$5,0),FALSE)/$Z79*VLOOKUP(AN$5,feed_intensity_w,11,FALSE)</f>
        <v>0</v>
      </c>
      <c r="AO79" s="2">
        <f>VLOOKUP($W79,feed_mix_n,MATCH(AO$5,feed_mix_w!$B$5:$AC$5,0),FALSE)/$Z79*VLOOKUP(AO$5,feed_intensity_w,11,FALSE)</f>
        <v>0</v>
      </c>
      <c r="AP79" s="2">
        <f>VLOOKUP($W79,feed_mix_n,MATCH(AP$5,feed_mix_w!$B$5:$AC$5,0),FALSE)/$Z79*VLOOKUP(AP$5,feed_intensity_w,11,FALSE)</f>
        <v>0</v>
      </c>
      <c r="AQ79" s="2">
        <f>VLOOKUP($W79,feed_mix_n,MATCH(AQ$5,feed_mix_w!$B$5:$AC$5,0),FALSE)/$Z79*VLOOKUP(AQ$5,feed_intensity_w,11,FALSE)</f>
        <v>0</v>
      </c>
      <c r="AR79" s="2">
        <f>VLOOKUP($W79,feed_mix_n,MATCH(AR$5,feed_mix_w!$B$5:$AC$5,0),FALSE)/$Z79*VLOOKUP(AR$5,feed_intensity_w,11,FALSE)</f>
        <v>0</v>
      </c>
      <c r="AS79" s="389">
        <f>VLOOKUP($W79,feed_mix_n,MATCH(AS$5,feed_mix_w!$B$5:$AC$5,0),FALSE)/$Z79*VLOOKUP(AS$5,feed_intensity_w,11,FALSE)</f>
        <v>0</v>
      </c>
    </row>
    <row r="80" spans="1:45" ht="12.75" customHeight="1">
      <c r="A80" s="14" t="s">
        <v>7159</v>
      </c>
      <c r="B80" s="482">
        <v>1020</v>
      </c>
      <c r="C80" s="24"/>
      <c r="D80" s="513"/>
      <c r="E80" s="513"/>
      <c r="F80" s="25">
        <f t="shared" si="22"/>
        <v>0</v>
      </c>
      <c r="G80" s="25">
        <f t="shared" si="23"/>
        <v>0</v>
      </c>
      <c r="H80" s="2" t="e">
        <f t="shared" si="24"/>
        <v>#N/A</v>
      </c>
      <c r="I80" s="25">
        <f t="shared" si="25"/>
        <v>0</v>
      </c>
      <c r="J80" s="87">
        <f>IFERROR(G80*VLOOKUP(W80,livestock_intensity!$B$7:$I$29,8,FALSE)/Z80,0)</f>
        <v>0</v>
      </c>
      <c r="K80" s="2" t="e">
        <f>VLOOKUP($W80,feed_mix_n,MATCH(K$5,feed_mix_w!$B$5:$AC$5,0),FALSE)/$Z80*VLOOKUP(K$5,feed_intensity_w,11,FALSE)</f>
        <v>#N/A</v>
      </c>
      <c r="L80" s="25">
        <f t="shared" si="26"/>
        <v>0</v>
      </c>
      <c r="M80" s="25">
        <f>IFERROR(G80*VLOOKUP(W80,livestock_intensity!$B$7:$M$29,12,FALSE)/Z80,0)</f>
        <v>0</v>
      </c>
      <c r="N80" s="2" t="e">
        <f>VLOOKUP($W80,feed_mix_n,MATCH(N$5,feed_mix_w!$B$5:$AC$5,0),FALSE)/$Z80*VLOOKUP(N$5,feed_intensity_w,11,FALSE)</f>
        <v>#N/A</v>
      </c>
      <c r="O80" s="25">
        <f t="shared" si="27"/>
        <v>0</v>
      </c>
      <c r="P80" s="343">
        <f>IFERROR(G80*VLOOKUP(W80,livestock_intensity!$B$7:$Q$29,16,FALSE)/Z80,0)</f>
        <v>0</v>
      </c>
      <c r="Q80" s="758"/>
      <c r="R80" s="331">
        <f t="shared" si="28"/>
        <v>0</v>
      </c>
      <c r="S80" s="331">
        <f t="shared" si="29"/>
        <v>0</v>
      </c>
      <c r="T80" s="739" t="s">
        <v>2738</v>
      </c>
      <c r="U80" s="558" t="s">
        <v>413</v>
      </c>
      <c r="V80" s="559" t="str">
        <f>IFERROR(VLOOKUP(W80,constant_ag_extr!$D$7:$E$594,2,FALSE),"")</f>
        <v>Goat milk, whole, fresh</v>
      </c>
      <c r="W80" s="560">
        <f t="shared" si="30"/>
        <v>1020</v>
      </c>
      <c r="X80" s="2">
        <f>IFERROR(IF(VLOOKUP(B80,cnst_grazing!$C$10:$H$25,5,FALSE)="", IF(VLOOKUP(B80, cnst_grazing!$C$10:$H$25,3,FALSE)="", VLOOKUP(B80, cnst_grazing!$C$10:$H$25,4,FALSE),VLOOKUP(B80, cnst_grazing!$C$10:$H$25,3,FALSE)), VLOOKUP(B80,cnst_grazing!$C$10:$H$25,5,FALSE)),1)</f>
        <v>1</v>
      </c>
      <c r="Y80" s="2">
        <f>IFERROR(IF(VLOOKUP(B80,cnst_grazing!$C$10:$H$25,6,FALSE)="", IF(VLOOKUP(B80, cnst_grazing!$C$10:$H$25,4,FALSE)="", VLOOKUP(B80, cnst_grazing!$C$10:$H$25,3,FALSE),VLOOKUP(B80, cnst_grazing!$C$10:$H$25,4,FALSE)), VLOOKUP(B80,cnst_grazing!$C$10:$H$25,6,FALSE)),1)</f>
        <v>1</v>
      </c>
      <c r="Z80" s="400">
        <f t="shared" si="31"/>
        <v>1</v>
      </c>
      <c r="AA80" s="2" t="e">
        <f t="shared" si="32"/>
        <v>#N/A</v>
      </c>
      <c r="AB80" s="2" t="e">
        <f>VLOOKUP($W80,feed_mix_n,MATCH(AB$5,feed_mix_w!$B$5:$AC$5,0),FALSE)/$Z80*VLOOKUP(AB$5,feed_intensity_w,11,FALSE)</f>
        <v>#N/A</v>
      </c>
      <c r="AC80" s="2" t="e">
        <f>VLOOKUP($W80,feed_mix_n,MATCH(AC$5,feed_mix_w!$B$5:$AC$5,0),FALSE)/$Z80*VLOOKUP(AC$5,feed_intensity_w,11,FALSE)</f>
        <v>#N/A</v>
      </c>
      <c r="AD80" s="2" t="e">
        <f>VLOOKUP($W80,feed_mix_n,MATCH(AD$5,feed_mix_w!$B$5:$AC$5,0),FALSE)/$Z80*VLOOKUP(AD$5,feed_intensity_w,11,FALSE)</f>
        <v>#N/A</v>
      </c>
      <c r="AE80" s="2" t="e">
        <f>VLOOKUP($W80,feed_mix_n,MATCH(AE$5,feed_mix_w!$B$5:$AC$5,0),FALSE)/$Z80*VLOOKUP(AE$5,feed_intensity_w,11,FALSE)</f>
        <v>#N/A</v>
      </c>
      <c r="AF80" s="2" t="e">
        <f>VLOOKUP($W80,feed_mix_n,MATCH(AF$5,feed_mix_w!$B$5:$AC$5,0),FALSE)/$Z80*VLOOKUP(AF$5,feed_intensity_w,11,FALSE)</f>
        <v>#N/A</v>
      </c>
      <c r="AG80" s="2" t="e">
        <f>VLOOKUP($W80,feed_mix_n,MATCH(AG$5,feed_mix_w!$B$5:$AC$5,0),FALSE)/$Z80*VLOOKUP(AG$5,feed_intensity_w,11,FALSE)</f>
        <v>#N/A</v>
      </c>
      <c r="AH80" s="2" t="e">
        <f>VLOOKUP($W80,feed_mix_n,MATCH(AH$5,feed_mix_w!$B$5:$AC$5,0),FALSE)/$Z80*VLOOKUP(AH$5,feed_intensity_w,11,FALSE)</f>
        <v>#N/A</v>
      </c>
      <c r="AI80" s="2" t="e">
        <f>VLOOKUP($W80,feed_mix_n,MATCH(AI$5,feed_mix_w!$B$5:$AC$5,0),FALSE)/$Z80*VLOOKUP(AI$5,feed_intensity_w,11,FALSE)</f>
        <v>#N/A</v>
      </c>
      <c r="AJ80" s="2" t="e">
        <f>VLOOKUP($W80,feed_mix_n,MATCH(AJ$5,feed_mix_w!$B$5:$AC$5,0),FALSE)/$Z80*VLOOKUP(AJ$5,feed_intensity_w,11,FALSE)</f>
        <v>#N/A</v>
      </c>
      <c r="AK80" s="2" t="e">
        <f>VLOOKUP($W80,feed_mix_n,MATCH(AK$5,feed_mix_w!$B$5:$AC$5,0),FALSE)/$Z80*VLOOKUP(AK$5,feed_intensity_w,11,FALSE)</f>
        <v>#N/A</v>
      </c>
      <c r="AL80" s="2" t="e">
        <f>VLOOKUP($W80,feed_mix_n,MATCH(AL$5,feed_mix_w!$B$5:$AC$5,0),FALSE)/$Z80*VLOOKUP(AL$5,feed_intensity_w,11,FALSE)</f>
        <v>#N/A</v>
      </c>
      <c r="AM80" s="2" t="e">
        <f>VLOOKUP($W80,feed_mix_n,MATCH(AM$5,feed_mix_w!$B$5:$AC$5,0),FALSE)/$Z80*VLOOKUP(AM$5,feed_intensity_w,11,FALSE)</f>
        <v>#N/A</v>
      </c>
      <c r="AN80" s="2" t="e">
        <f>VLOOKUP($W80,feed_mix_n,MATCH(AN$5,feed_mix_w!$B$5:$AC$5,0),FALSE)/$Z80*VLOOKUP(AN$5,feed_intensity_w,11,FALSE)</f>
        <v>#N/A</v>
      </c>
      <c r="AO80" s="2" t="e">
        <f>VLOOKUP($W80,feed_mix_n,MATCH(AO$5,feed_mix_w!$B$5:$AC$5,0),FALSE)/$Z80*VLOOKUP(AO$5,feed_intensity_w,11,FALSE)</f>
        <v>#N/A</v>
      </c>
      <c r="AP80" s="2" t="e">
        <f>VLOOKUP($W80,feed_mix_n,MATCH(AP$5,feed_mix_w!$B$5:$AC$5,0),FALSE)/$Z80*VLOOKUP(AP$5,feed_intensity_w,11,FALSE)</f>
        <v>#N/A</v>
      </c>
      <c r="AQ80" s="2" t="e">
        <f>VLOOKUP($W80,feed_mix_n,MATCH(AQ$5,feed_mix_w!$B$5:$AC$5,0),FALSE)/$Z80*VLOOKUP(AQ$5,feed_intensity_w,11,FALSE)</f>
        <v>#N/A</v>
      </c>
      <c r="AR80" s="2" t="e">
        <f>VLOOKUP($W80,feed_mix_n,MATCH(AR$5,feed_mix_w!$B$5:$AC$5,0),FALSE)/$Z80*VLOOKUP(AR$5,feed_intensity_w,11,FALSE)</f>
        <v>#N/A</v>
      </c>
      <c r="AS80" s="389" t="e">
        <f>VLOOKUP($W80,feed_mix_n,MATCH(AS$5,feed_mix_w!$B$5:$AC$5,0),FALSE)/$Z80*VLOOKUP(AS$5,feed_intensity_w,11,FALSE)</f>
        <v>#N/A</v>
      </c>
    </row>
    <row r="81" spans="1:45" ht="12.75" customHeight="1">
      <c r="A81" s="14" t="s">
        <v>5311</v>
      </c>
      <c r="B81" s="482">
        <v>1021</v>
      </c>
      <c r="C81" s="24" t="s">
        <v>537</v>
      </c>
      <c r="D81" s="513"/>
      <c r="E81" s="513"/>
      <c r="F81" s="25">
        <f t="shared" si="22"/>
        <v>0</v>
      </c>
      <c r="G81" s="25">
        <f t="shared" si="23"/>
        <v>0</v>
      </c>
      <c r="H81" s="2" t="e">
        <f t="shared" si="24"/>
        <v>#N/A</v>
      </c>
      <c r="I81" s="25">
        <f t="shared" si="25"/>
        <v>0</v>
      </c>
      <c r="J81" s="87">
        <f>IFERROR(G81*VLOOKUP(W81,livestock_intensity!$B$7:$I$29,8,FALSE)/Z81,0)</f>
        <v>0</v>
      </c>
      <c r="K81" s="2" t="e">
        <f>VLOOKUP($W81,feed_mix_n,MATCH(K$5,feed_mix_w!$B$5:$AC$5,0),FALSE)/$Z81*VLOOKUP(K$5,feed_intensity_w,11,FALSE)</f>
        <v>#N/A</v>
      </c>
      <c r="L81" s="25">
        <f t="shared" si="26"/>
        <v>0</v>
      </c>
      <c r="M81" s="25">
        <f>IFERROR(G81*VLOOKUP(W81,livestock_intensity!$B$7:$M$29,12,FALSE)/Z81,0)</f>
        <v>0</v>
      </c>
      <c r="N81" s="2" t="e">
        <f>VLOOKUP($W81,feed_mix_n,MATCH(N$5,feed_mix_w!$B$5:$AC$5,0),FALSE)/$Z81*VLOOKUP(N$5,feed_intensity_w,11,FALSE)</f>
        <v>#N/A</v>
      </c>
      <c r="O81" s="25">
        <f t="shared" si="27"/>
        <v>0</v>
      </c>
      <c r="P81" s="343">
        <f>IFERROR(G81*VLOOKUP(W81,livestock_intensity!$B$7:$Q$29,16,FALSE)/Z81,0)</f>
        <v>0</v>
      </c>
      <c r="Q81" s="758"/>
      <c r="R81" s="331">
        <f t="shared" si="28"/>
        <v>0</v>
      </c>
      <c r="S81" s="331">
        <f t="shared" si="29"/>
        <v>0</v>
      </c>
      <c r="T81" s="739" t="s">
        <v>2738</v>
      </c>
      <c r="U81" s="558" t="s">
        <v>2796</v>
      </c>
      <c r="V81" s="559" t="str">
        <f>IFERROR(VLOOKUP(W81,constant_ag_extr!$D$7:$E$594,2,FALSE),"")</f>
        <v>Goat milk, whole, fresh</v>
      </c>
      <c r="W81" s="560">
        <f t="shared" si="30"/>
        <v>1020</v>
      </c>
      <c r="X81" s="2">
        <f>IFERROR(IF(VLOOKUP(B81,cnst_grazing!$C$10:$H$25,5,FALSE)="", IF(VLOOKUP(B81, cnst_grazing!$C$10:$H$25,3,FALSE)="", VLOOKUP(B81, cnst_grazing!$C$10:$H$25,4,FALSE),VLOOKUP(B81, cnst_grazing!$C$10:$H$25,3,FALSE)), VLOOKUP(B81,cnst_grazing!$C$10:$H$25,5,FALSE)),1)</f>
        <v>1</v>
      </c>
      <c r="Y81" s="2">
        <f>IFERROR(IF(VLOOKUP(B81,cnst_grazing!$C$10:$H$25,6,FALSE)="", IF(VLOOKUP(B81, cnst_grazing!$C$10:$H$25,4,FALSE)="", VLOOKUP(B81, cnst_grazing!$C$10:$H$25,3,FALSE),VLOOKUP(B81, cnst_grazing!$C$10:$H$25,4,FALSE)), VLOOKUP(B81,cnst_grazing!$C$10:$H$25,6,FALSE)),1)</f>
        <v>1</v>
      </c>
      <c r="Z81" s="400">
        <f t="shared" si="31"/>
        <v>0.15</v>
      </c>
      <c r="AA81" s="2" t="e">
        <f t="shared" si="32"/>
        <v>#N/A</v>
      </c>
      <c r="AB81" s="2" t="e">
        <f>VLOOKUP($W81,feed_mix_n,MATCH(AB$5,feed_mix_w!$B$5:$AC$5,0),FALSE)/$Z81*VLOOKUP(AB$5,feed_intensity_w,11,FALSE)</f>
        <v>#N/A</v>
      </c>
      <c r="AC81" s="2" t="e">
        <f>VLOOKUP($W81,feed_mix_n,MATCH(AC$5,feed_mix_w!$B$5:$AC$5,0),FALSE)/$Z81*VLOOKUP(AC$5,feed_intensity_w,11,FALSE)</f>
        <v>#N/A</v>
      </c>
      <c r="AD81" s="2" t="e">
        <f>VLOOKUP($W81,feed_mix_n,MATCH(AD$5,feed_mix_w!$B$5:$AC$5,0),FALSE)/$Z81*VLOOKUP(AD$5,feed_intensity_w,11,FALSE)</f>
        <v>#N/A</v>
      </c>
      <c r="AE81" s="2" t="e">
        <f>VLOOKUP($W81,feed_mix_n,MATCH(AE$5,feed_mix_w!$B$5:$AC$5,0),FALSE)/$Z81*VLOOKUP(AE$5,feed_intensity_w,11,FALSE)</f>
        <v>#N/A</v>
      </c>
      <c r="AF81" s="2" t="e">
        <f>VLOOKUP($W81,feed_mix_n,MATCH(AF$5,feed_mix_w!$B$5:$AC$5,0),FALSE)/$Z81*VLOOKUP(AF$5,feed_intensity_w,11,FALSE)</f>
        <v>#N/A</v>
      </c>
      <c r="AG81" s="2" t="e">
        <f>VLOOKUP($W81,feed_mix_n,MATCH(AG$5,feed_mix_w!$B$5:$AC$5,0),FALSE)/$Z81*VLOOKUP(AG$5,feed_intensity_w,11,FALSE)</f>
        <v>#N/A</v>
      </c>
      <c r="AH81" s="2" t="e">
        <f>VLOOKUP($W81,feed_mix_n,MATCH(AH$5,feed_mix_w!$B$5:$AC$5,0),FALSE)/$Z81*VLOOKUP(AH$5,feed_intensity_w,11,FALSE)</f>
        <v>#N/A</v>
      </c>
      <c r="AI81" s="2" t="e">
        <f>VLOOKUP($W81,feed_mix_n,MATCH(AI$5,feed_mix_w!$B$5:$AC$5,0),FALSE)/$Z81*VLOOKUP(AI$5,feed_intensity_w,11,FALSE)</f>
        <v>#N/A</v>
      </c>
      <c r="AJ81" s="2" t="e">
        <f>VLOOKUP($W81,feed_mix_n,MATCH(AJ$5,feed_mix_w!$B$5:$AC$5,0),FALSE)/$Z81*VLOOKUP(AJ$5,feed_intensity_w,11,FALSE)</f>
        <v>#N/A</v>
      </c>
      <c r="AK81" s="2" t="e">
        <f>VLOOKUP($W81,feed_mix_n,MATCH(AK$5,feed_mix_w!$B$5:$AC$5,0),FALSE)/$Z81*VLOOKUP(AK$5,feed_intensity_w,11,FALSE)</f>
        <v>#N/A</v>
      </c>
      <c r="AL81" s="2" t="e">
        <f>VLOOKUP($W81,feed_mix_n,MATCH(AL$5,feed_mix_w!$B$5:$AC$5,0),FALSE)/$Z81*VLOOKUP(AL$5,feed_intensity_w,11,FALSE)</f>
        <v>#N/A</v>
      </c>
      <c r="AM81" s="2" t="e">
        <f>VLOOKUP($W81,feed_mix_n,MATCH(AM$5,feed_mix_w!$B$5:$AC$5,0),FALSE)/$Z81*VLOOKUP(AM$5,feed_intensity_w,11,FALSE)</f>
        <v>#N/A</v>
      </c>
      <c r="AN81" s="2" t="e">
        <f>VLOOKUP($W81,feed_mix_n,MATCH(AN$5,feed_mix_w!$B$5:$AC$5,0),FALSE)/$Z81*VLOOKUP(AN$5,feed_intensity_w,11,FALSE)</f>
        <v>#N/A</v>
      </c>
      <c r="AO81" s="2" t="e">
        <f>VLOOKUP($W81,feed_mix_n,MATCH(AO$5,feed_mix_w!$B$5:$AC$5,0),FALSE)/$Z81*VLOOKUP(AO$5,feed_intensity_w,11,FALSE)</f>
        <v>#N/A</v>
      </c>
      <c r="AP81" s="2" t="e">
        <f>VLOOKUP($W81,feed_mix_n,MATCH(AP$5,feed_mix_w!$B$5:$AC$5,0),FALSE)/$Z81*VLOOKUP(AP$5,feed_intensity_w,11,FALSE)</f>
        <v>#N/A</v>
      </c>
      <c r="AQ81" s="2" t="e">
        <f>VLOOKUP($W81,feed_mix_n,MATCH(AQ$5,feed_mix_w!$B$5:$AC$5,0),FALSE)/$Z81*VLOOKUP(AQ$5,feed_intensity_w,11,FALSE)</f>
        <v>#N/A</v>
      </c>
      <c r="AR81" s="2" t="e">
        <f>VLOOKUP($W81,feed_mix_n,MATCH(AR$5,feed_mix_w!$B$5:$AC$5,0),FALSE)/$Z81*VLOOKUP(AR$5,feed_intensity_w,11,FALSE)</f>
        <v>#N/A</v>
      </c>
      <c r="AS81" s="389" t="e">
        <f>VLOOKUP($W81,feed_mix_n,MATCH(AS$5,feed_mix_w!$B$5:$AC$5,0),FALSE)/$Z81*VLOOKUP(AS$5,feed_intensity_w,11,FALSE)</f>
        <v>#N/A</v>
      </c>
    </row>
    <row r="82" spans="1:45" ht="12.75" customHeight="1">
      <c r="A82" s="14" t="s">
        <v>7160</v>
      </c>
      <c r="B82" s="482">
        <v>1022</v>
      </c>
      <c r="C82" s="24"/>
      <c r="D82" s="513"/>
      <c r="E82" s="513"/>
      <c r="F82" s="25">
        <f t="shared" si="22"/>
        <v>0</v>
      </c>
      <c r="G82" s="25">
        <f t="shared" si="23"/>
        <v>0</v>
      </c>
      <c r="H82" s="2" t="e">
        <f t="shared" si="24"/>
        <v>#N/A</v>
      </c>
      <c r="I82" s="25">
        <f t="shared" si="25"/>
        <v>0</v>
      </c>
      <c r="J82" s="87">
        <f>IFERROR(G82*VLOOKUP(W82,livestock_intensity!$B$7:$I$29,8,FALSE)/Z82,0)</f>
        <v>0</v>
      </c>
      <c r="K82" s="2" t="e">
        <f>VLOOKUP($W82,feed_mix_n,MATCH(K$5,feed_mix_w!$B$5:$AC$5,0),FALSE)/$Z82*VLOOKUP(K$5,feed_intensity_w,11,FALSE)</f>
        <v>#N/A</v>
      </c>
      <c r="L82" s="25">
        <f t="shared" si="26"/>
        <v>0</v>
      </c>
      <c r="M82" s="25">
        <f>IFERROR(G82*VLOOKUP(W82,livestock_intensity!$B$7:$M$29,12,FALSE)/Z82,0)</f>
        <v>0</v>
      </c>
      <c r="N82" s="2" t="e">
        <f>VLOOKUP($W82,feed_mix_n,MATCH(N$5,feed_mix_w!$B$5:$AC$5,0),FALSE)/$Z82*VLOOKUP(N$5,feed_intensity_w,11,FALSE)</f>
        <v>#N/A</v>
      </c>
      <c r="O82" s="25">
        <f t="shared" si="27"/>
        <v>0</v>
      </c>
      <c r="P82" s="343">
        <f>IFERROR(G82*VLOOKUP(W82,livestock_intensity!$B$7:$Q$29,16,FALSE)/Z82,0)</f>
        <v>0</v>
      </c>
      <c r="Q82" s="758"/>
      <c r="R82" s="331">
        <f t="shared" si="28"/>
        <v>0</v>
      </c>
      <c r="S82" s="331">
        <f t="shared" si="29"/>
        <v>0</v>
      </c>
      <c r="T82" s="739" t="s">
        <v>2738</v>
      </c>
      <c r="U82" s="558"/>
      <c r="V82" s="559">
        <f>IFERROR(VLOOKUP(W82,constant_ag_extr!$D$7:$E$594,2,FALSE),"")</f>
        <v>0</v>
      </c>
      <c r="W82" s="560" t="str">
        <f t="shared" si="30"/>
        <v/>
      </c>
      <c r="X82" s="2">
        <f>IFERROR(IF(VLOOKUP(B82,cnst_grazing!$C$10:$H$25,5,FALSE)="", IF(VLOOKUP(B82, cnst_grazing!$C$10:$H$25,3,FALSE)="", VLOOKUP(B82, cnst_grazing!$C$10:$H$25,4,FALSE),VLOOKUP(B82, cnst_grazing!$C$10:$H$25,3,FALSE)), VLOOKUP(B82,cnst_grazing!$C$10:$H$25,5,FALSE)),1)</f>
        <v>1</v>
      </c>
      <c r="Y82" s="2">
        <f>IFERROR(IF(VLOOKUP(B82,cnst_grazing!$C$10:$H$25,6,FALSE)="", IF(VLOOKUP(B82, cnst_grazing!$C$10:$H$25,4,FALSE)="", VLOOKUP(B82, cnst_grazing!$C$10:$H$25,3,FALSE),VLOOKUP(B82, cnst_grazing!$C$10:$H$25,4,FALSE)), VLOOKUP(B82,cnst_grazing!$C$10:$H$25,6,FALSE)),1)</f>
        <v>1</v>
      </c>
      <c r="Z82" s="400" t="str">
        <f t="shared" si="31"/>
        <v>-</v>
      </c>
      <c r="AA82" s="2" t="e">
        <f t="shared" si="32"/>
        <v>#N/A</v>
      </c>
      <c r="AB82" s="2" t="e">
        <f>VLOOKUP($W82,feed_mix_n,MATCH(AB$5,feed_mix_w!$B$5:$AC$5,0),FALSE)/$Z82*VLOOKUP(AB$5,feed_intensity_w,11,FALSE)</f>
        <v>#N/A</v>
      </c>
      <c r="AC82" s="2" t="e">
        <f>VLOOKUP($W82,feed_mix_n,MATCH(AC$5,feed_mix_w!$B$5:$AC$5,0),FALSE)/$Z82*VLOOKUP(AC$5,feed_intensity_w,11,FALSE)</f>
        <v>#N/A</v>
      </c>
      <c r="AD82" s="2" t="e">
        <f>VLOOKUP($W82,feed_mix_n,MATCH(AD$5,feed_mix_w!$B$5:$AC$5,0),FALSE)/$Z82*VLOOKUP(AD$5,feed_intensity_w,11,FALSE)</f>
        <v>#N/A</v>
      </c>
      <c r="AE82" s="2" t="e">
        <f>VLOOKUP($W82,feed_mix_n,MATCH(AE$5,feed_mix_w!$B$5:$AC$5,0),FALSE)/$Z82*VLOOKUP(AE$5,feed_intensity_w,11,FALSE)</f>
        <v>#N/A</v>
      </c>
      <c r="AF82" s="2" t="e">
        <f>VLOOKUP($W82,feed_mix_n,MATCH(AF$5,feed_mix_w!$B$5:$AC$5,0),FALSE)/$Z82*VLOOKUP(AF$5,feed_intensity_w,11,FALSE)</f>
        <v>#N/A</v>
      </c>
      <c r="AG82" s="2" t="e">
        <f>VLOOKUP($W82,feed_mix_n,MATCH(AG$5,feed_mix_w!$B$5:$AC$5,0),FALSE)/$Z82*VLOOKUP(AG$5,feed_intensity_w,11,FALSE)</f>
        <v>#N/A</v>
      </c>
      <c r="AH82" s="2" t="e">
        <f>VLOOKUP($W82,feed_mix_n,MATCH(AH$5,feed_mix_w!$B$5:$AC$5,0),FALSE)/$Z82*VLOOKUP(AH$5,feed_intensity_w,11,FALSE)</f>
        <v>#N/A</v>
      </c>
      <c r="AI82" s="2" t="e">
        <f>VLOOKUP($W82,feed_mix_n,MATCH(AI$5,feed_mix_w!$B$5:$AC$5,0),FALSE)/$Z82*VLOOKUP(AI$5,feed_intensity_w,11,FALSE)</f>
        <v>#N/A</v>
      </c>
      <c r="AJ82" s="2" t="e">
        <f>VLOOKUP($W82,feed_mix_n,MATCH(AJ$5,feed_mix_w!$B$5:$AC$5,0),FALSE)/$Z82*VLOOKUP(AJ$5,feed_intensity_w,11,FALSE)</f>
        <v>#N/A</v>
      </c>
      <c r="AK82" s="2" t="e">
        <f>VLOOKUP($W82,feed_mix_n,MATCH(AK$5,feed_mix_w!$B$5:$AC$5,0),FALSE)/$Z82*VLOOKUP(AK$5,feed_intensity_w,11,FALSE)</f>
        <v>#N/A</v>
      </c>
      <c r="AL82" s="2" t="e">
        <f>VLOOKUP($W82,feed_mix_n,MATCH(AL$5,feed_mix_w!$B$5:$AC$5,0),FALSE)/$Z82*VLOOKUP(AL$5,feed_intensity_w,11,FALSE)</f>
        <v>#N/A</v>
      </c>
      <c r="AM82" s="2" t="e">
        <f>VLOOKUP($W82,feed_mix_n,MATCH(AM$5,feed_mix_w!$B$5:$AC$5,0),FALSE)/$Z82*VLOOKUP(AM$5,feed_intensity_w,11,FALSE)</f>
        <v>#N/A</v>
      </c>
      <c r="AN82" s="2" t="e">
        <f>VLOOKUP($W82,feed_mix_n,MATCH(AN$5,feed_mix_w!$B$5:$AC$5,0),FALSE)/$Z82*VLOOKUP(AN$5,feed_intensity_w,11,FALSE)</f>
        <v>#N/A</v>
      </c>
      <c r="AO82" s="2" t="e">
        <f>VLOOKUP($W82,feed_mix_n,MATCH(AO$5,feed_mix_w!$B$5:$AC$5,0),FALSE)/$Z82*VLOOKUP(AO$5,feed_intensity_w,11,FALSE)</f>
        <v>#N/A</v>
      </c>
      <c r="AP82" s="2" t="e">
        <f>VLOOKUP($W82,feed_mix_n,MATCH(AP$5,feed_mix_w!$B$5:$AC$5,0),FALSE)/$Z82*VLOOKUP(AP$5,feed_intensity_w,11,FALSE)</f>
        <v>#N/A</v>
      </c>
      <c r="AQ82" s="2" t="e">
        <f>VLOOKUP($W82,feed_mix_n,MATCH(AQ$5,feed_mix_w!$B$5:$AC$5,0),FALSE)/$Z82*VLOOKUP(AQ$5,feed_intensity_w,11,FALSE)</f>
        <v>#N/A</v>
      </c>
      <c r="AR82" s="2" t="e">
        <f>VLOOKUP($W82,feed_mix_n,MATCH(AR$5,feed_mix_w!$B$5:$AC$5,0),FALSE)/$Z82*VLOOKUP(AR$5,feed_intensity_w,11,FALSE)</f>
        <v>#N/A</v>
      </c>
      <c r="AS82" s="389" t="e">
        <f>VLOOKUP($W82,feed_mix_n,MATCH(AS$5,feed_mix_w!$B$5:$AC$5,0),FALSE)/$Z82*VLOOKUP(AS$5,feed_intensity_w,11,FALSE)</f>
        <v>#N/A</v>
      </c>
    </row>
    <row r="83" spans="1:45" ht="12.75" customHeight="1">
      <c r="A83" s="14" t="s">
        <v>7161</v>
      </c>
      <c r="B83" s="482">
        <v>1023</v>
      </c>
      <c r="C83" s="24"/>
      <c r="D83" s="513"/>
      <c r="E83" s="513"/>
      <c r="F83" s="25">
        <f t="shared" si="22"/>
        <v>0</v>
      </c>
      <c r="G83" s="25">
        <f t="shared" si="23"/>
        <v>0</v>
      </c>
      <c r="H83" s="2" t="e">
        <f t="shared" si="24"/>
        <v>#N/A</v>
      </c>
      <c r="I83" s="25">
        <f t="shared" si="25"/>
        <v>0</v>
      </c>
      <c r="J83" s="87">
        <f>IFERROR(G83*VLOOKUP(W83,livestock_intensity!$B$7:$I$29,8,FALSE)/Z83,0)</f>
        <v>0</v>
      </c>
      <c r="K83" s="2" t="e">
        <f>VLOOKUP($W83,feed_mix_n,MATCH(K$5,feed_mix_w!$B$5:$AC$5,0),FALSE)/$Z83*VLOOKUP(K$5,feed_intensity_w,11,FALSE)</f>
        <v>#N/A</v>
      </c>
      <c r="L83" s="25">
        <f t="shared" si="26"/>
        <v>0</v>
      </c>
      <c r="M83" s="25">
        <f>IFERROR(G83*VLOOKUP(W83,livestock_intensity!$B$7:$M$29,12,FALSE)/Z83,0)</f>
        <v>0</v>
      </c>
      <c r="N83" s="2" t="e">
        <f>VLOOKUP($W83,feed_mix_n,MATCH(N$5,feed_mix_w!$B$5:$AC$5,0),FALSE)/$Z83*VLOOKUP(N$5,feed_intensity_w,11,FALSE)</f>
        <v>#N/A</v>
      </c>
      <c r="O83" s="25">
        <f t="shared" si="27"/>
        <v>0</v>
      </c>
      <c r="P83" s="343">
        <f>IFERROR(G83*VLOOKUP(W83,livestock_intensity!$B$7:$Q$29,16,FALSE)/Z83,0)</f>
        <v>0</v>
      </c>
      <c r="Q83" s="758"/>
      <c r="R83" s="331">
        <f t="shared" si="28"/>
        <v>0</v>
      </c>
      <c r="S83" s="331">
        <f t="shared" si="29"/>
        <v>0</v>
      </c>
      <c r="T83" s="739" t="s">
        <v>2738</v>
      </c>
      <c r="U83" s="558"/>
      <c r="V83" s="559">
        <f>IFERROR(VLOOKUP(W83,constant_ag_extr!$D$7:$E$594,2,FALSE),"")</f>
        <v>0</v>
      </c>
      <c r="W83" s="560" t="str">
        <f t="shared" si="30"/>
        <v/>
      </c>
      <c r="X83" s="2">
        <f>IFERROR(IF(VLOOKUP(B83,cnst_grazing!$C$10:$H$25,5,FALSE)="", IF(VLOOKUP(B83, cnst_grazing!$C$10:$H$25,3,FALSE)="", VLOOKUP(B83, cnst_grazing!$C$10:$H$25,4,FALSE),VLOOKUP(B83, cnst_grazing!$C$10:$H$25,3,FALSE)), VLOOKUP(B83,cnst_grazing!$C$10:$H$25,5,FALSE)),1)</f>
        <v>1</v>
      </c>
      <c r="Y83" s="2">
        <f>IFERROR(IF(VLOOKUP(B83,cnst_grazing!$C$10:$H$25,6,FALSE)="", IF(VLOOKUP(B83, cnst_grazing!$C$10:$H$25,4,FALSE)="", VLOOKUP(B83, cnst_grazing!$C$10:$H$25,3,FALSE),VLOOKUP(B83, cnst_grazing!$C$10:$H$25,4,FALSE)), VLOOKUP(B83,cnst_grazing!$C$10:$H$25,6,FALSE)),1)</f>
        <v>1</v>
      </c>
      <c r="Z83" s="400" t="str">
        <f t="shared" si="31"/>
        <v>-</v>
      </c>
      <c r="AA83" s="2" t="e">
        <f t="shared" si="32"/>
        <v>#N/A</v>
      </c>
      <c r="AB83" s="2" t="e">
        <f>VLOOKUP($W83,feed_mix_n,MATCH(AB$5,feed_mix_w!$B$5:$AC$5,0),FALSE)/$Z83*VLOOKUP(AB$5,feed_intensity_w,11,FALSE)</f>
        <v>#N/A</v>
      </c>
      <c r="AC83" s="2" t="e">
        <f>VLOOKUP($W83,feed_mix_n,MATCH(AC$5,feed_mix_w!$B$5:$AC$5,0),FALSE)/$Z83*VLOOKUP(AC$5,feed_intensity_w,11,FALSE)</f>
        <v>#N/A</v>
      </c>
      <c r="AD83" s="2" t="e">
        <f>VLOOKUP($W83,feed_mix_n,MATCH(AD$5,feed_mix_w!$B$5:$AC$5,0),FALSE)/$Z83*VLOOKUP(AD$5,feed_intensity_w,11,FALSE)</f>
        <v>#N/A</v>
      </c>
      <c r="AE83" s="2" t="e">
        <f>VLOOKUP($W83,feed_mix_n,MATCH(AE$5,feed_mix_w!$B$5:$AC$5,0),FALSE)/$Z83*VLOOKUP(AE$5,feed_intensity_w,11,FALSE)</f>
        <v>#N/A</v>
      </c>
      <c r="AF83" s="2" t="e">
        <f>VLOOKUP($W83,feed_mix_n,MATCH(AF$5,feed_mix_w!$B$5:$AC$5,0),FALSE)/$Z83*VLOOKUP(AF$5,feed_intensity_w,11,FALSE)</f>
        <v>#N/A</v>
      </c>
      <c r="AG83" s="2" t="e">
        <f>VLOOKUP($W83,feed_mix_n,MATCH(AG$5,feed_mix_w!$B$5:$AC$5,0),FALSE)/$Z83*VLOOKUP(AG$5,feed_intensity_w,11,FALSE)</f>
        <v>#N/A</v>
      </c>
      <c r="AH83" s="2" t="e">
        <f>VLOOKUP($W83,feed_mix_n,MATCH(AH$5,feed_mix_w!$B$5:$AC$5,0),FALSE)/$Z83*VLOOKUP(AH$5,feed_intensity_w,11,FALSE)</f>
        <v>#N/A</v>
      </c>
      <c r="AI83" s="2" t="e">
        <f>VLOOKUP($W83,feed_mix_n,MATCH(AI$5,feed_mix_w!$B$5:$AC$5,0),FALSE)/$Z83*VLOOKUP(AI$5,feed_intensity_w,11,FALSE)</f>
        <v>#N/A</v>
      </c>
      <c r="AJ83" s="2" t="e">
        <f>VLOOKUP($W83,feed_mix_n,MATCH(AJ$5,feed_mix_w!$B$5:$AC$5,0),FALSE)/$Z83*VLOOKUP(AJ$5,feed_intensity_w,11,FALSE)</f>
        <v>#N/A</v>
      </c>
      <c r="AK83" s="2" t="e">
        <f>VLOOKUP($W83,feed_mix_n,MATCH(AK$5,feed_mix_w!$B$5:$AC$5,0),FALSE)/$Z83*VLOOKUP(AK$5,feed_intensity_w,11,FALSE)</f>
        <v>#N/A</v>
      </c>
      <c r="AL83" s="2" t="e">
        <f>VLOOKUP($W83,feed_mix_n,MATCH(AL$5,feed_mix_w!$B$5:$AC$5,0),FALSE)/$Z83*VLOOKUP(AL$5,feed_intensity_w,11,FALSE)</f>
        <v>#N/A</v>
      </c>
      <c r="AM83" s="2" t="e">
        <f>VLOOKUP($W83,feed_mix_n,MATCH(AM$5,feed_mix_w!$B$5:$AC$5,0),FALSE)/$Z83*VLOOKUP(AM$5,feed_intensity_w,11,FALSE)</f>
        <v>#N/A</v>
      </c>
      <c r="AN83" s="2" t="e">
        <f>VLOOKUP($W83,feed_mix_n,MATCH(AN$5,feed_mix_w!$B$5:$AC$5,0),FALSE)/$Z83*VLOOKUP(AN$5,feed_intensity_w,11,FALSE)</f>
        <v>#N/A</v>
      </c>
      <c r="AO83" s="2" t="e">
        <f>VLOOKUP($W83,feed_mix_n,MATCH(AO$5,feed_mix_w!$B$5:$AC$5,0),FALSE)/$Z83*VLOOKUP(AO$5,feed_intensity_w,11,FALSE)</f>
        <v>#N/A</v>
      </c>
      <c r="AP83" s="2" t="e">
        <f>VLOOKUP($W83,feed_mix_n,MATCH(AP$5,feed_mix_w!$B$5:$AC$5,0),FALSE)/$Z83*VLOOKUP(AP$5,feed_intensity_w,11,FALSE)</f>
        <v>#N/A</v>
      </c>
      <c r="AQ83" s="2" t="e">
        <f>VLOOKUP($W83,feed_mix_n,MATCH(AQ$5,feed_mix_w!$B$5:$AC$5,0),FALSE)/$Z83*VLOOKUP(AQ$5,feed_intensity_w,11,FALSE)</f>
        <v>#N/A</v>
      </c>
      <c r="AR83" s="2" t="e">
        <f>VLOOKUP($W83,feed_mix_n,MATCH(AR$5,feed_mix_w!$B$5:$AC$5,0),FALSE)/$Z83*VLOOKUP(AR$5,feed_intensity_w,11,FALSE)</f>
        <v>#N/A</v>
      </c>
      <c r="AS83" s="389" t="e">
        <f>VLOOKUP($W83,feed_mix_n,MATCH(AS$5,feed_mix_w!$B$5:$AC$5,0),FALSE)/$Z83*VLOOKUP(AS$5,feed_intensity_w,11,FALSE)</f>
        <v>#N/A</v>
      </c>
    </row>
    <row r="84" spans="1:45" ht="12.75" customHeight="1">
      <c r="A84" s="14" t="s">
        <v>7162</v>
      </c>
      <c r="B84" s="482">
        <v>1026</v>
      </c>
      <c r="C84" s="24" t="s">
        <v>689</v>
      </c>
      <c r="D84" s="513"/>
      <c r="E84" s="513"/>
      <c r="F84" s="25">
        <f t="shared" si="22"/>
        <v>0</v>
      </c>
      <c r="G84" s="25">
        <f t="shared" si="23"/>
        <v>0</v>
      </c>
      <c r="H84" s="2">
        <f t="shared" si="24"/>
        <v>0</v>
      </c>
      <c r="I84" s="25">
        <f t="shared" si="25"/>
        <v>0</v>
      </c>
      <c r="J84" s="87">
        <f>IFERROR(G84*VLOOKUP(W84,livestock_intensity!$B$7:$I$29,8,FALSE)/Z84,0)</f>
        <v>0</v>
      </c>
      <c r="K84" s="2">
        <f>VLOOKUP($W84,feed_mix_n,MATCH(K$5,feed_mix_w!$B$5:$AC$5,0),FALSE)/$Z84*VLOOKUP(K$5,feed_intensity_w,11,FALSE)</f>
        <v>0</v>
      </c>
      <c r="L84" s="25">
        <f t="shared" si="26"/>
        <v>0</v>
      </c>
      <c r="M84" s="25">
        <f>IFERROR(G84*VLOOKUP(W84,livestock_intensity!$B$7:$M$29,12,FALSE)/Z84,0)</f>
        <v>0</v>
      </c>
      <c r="N84" s="2">
        <f>VLOOKUP($W84,feed_mix_n,MATCH(N$5,feed_mix_w!$B$5:$AC$5,0),FALSE)/$Z84*VLOOKUP(N$5,feed_intensity_w,11,FALSE)</f>
        <v>10.351301213480845</v>
      </c>
      <c r="O84" s="25">
        <f t="shared" si="27"/>
        <v>0</v>
      </c>
      <c r="P84" s="343">
        <f>IFERROR(G84*VLOOKUP(W84,livestock_intensity!$B$7:$Q$29,16,FALSE)/Z84,0)</f>
        <v>0</v>
      </c>
      <c r="Q84" s="758"/>
      <c r="R84" s="331">
        <f t="shared" si="28"/>
        <v>0</v>
      </c>
      <c r="S84" s="331">
        <f t="shared" si="29"/>
        <v>0</v>
      </c>
      <c r="T84" s="739">
        <v>2748</v>
      </c>
      <c r="U84" s="558" t="s">
        <v>2796</v>
      </c>
      <c r="V84" s="559" t="str">
        <f>IFERROR(VLOOKUP(W84,constant_ag_extr!$D$7:$E$594,2,FALSE),"")</f>
        <v>Goats</v>
      </c>
      <c r="W84" s="560">
        <f t="shared" si="30"/>
        <v>1016</v>
      </c>
      <c r="X84" s="2">
        <f>IFERROR(IF(VLOOKUP(B84,cnst_grazing!$C$10:$H$25,5,FALSE)="", IF(VLOOKUP(B84, cnst_grazing!$C$10:$H$25,3,FALSE)="", VLOOKUP(B84, cnst_grazing!$C$10:$H$25,4,FALSE),VLOOKUP(B84, cnst_grazing!$C$10:$H$25,3,FALSE)), VLOOKUP(B84,cnst_grazing!$C$10:$H$25,5,FALSE)),1)</f>
        <v>1</v>
      </c>
      <c r="Y84" s="2">
        <f>IFERROR(IF(VLOOKUP(B84,cnst_grazing!$C$10:$H$25,6,FALSE)="", IF(VLOOKUP(B84, cnst_grazing!$C$10:$H$25,4,FALSE)="", VLOOKUP(B84, cnst_grazing!$C$10:$H$25,3,FALSE),VLOOKUP(B84, cnst_grazing!$C$10:$H$25,4,FALSE)), VLOOKUP(B84,cnst_grazing!$C$10:$H$25,6,FALSE)),1)</f>
        <v>1</v>
      </c>
      <c r="Z84" s="400">
        <f t="shared" si="31"/>
        <v>1.4061809204771325</v>
      </c>
      <c r="AA84" s="2">
        <f t="shared" si="32"/>
        <v>10.351301213480845</v>
      </c>
      <c r="AB84" s="2">
        <f>VLOOKUP($W84,feed_mix_n,MATCH(AB$5,feed_mix_w!$B$5:$AC$5,0),FALSE)/$Z84*VLOOKUP(AB$5,feed_intensity_w,11,FALSE)</f>
        <v>0</v>
      </c>
      <c r="AC84" s="2">
        <f>VLOOKUP($W84,feed_mix_n,MATCH(AC$5,feed_mix_w!$B$5:$AC$5,0),FALSE)/$Z84*VLOOKUP(AC$5,feed_intensity_w,11,FALSE)</f>
        <v>0</v>
      </c>
      <c r="AD84" s="2">
        <f>VLOOKUP($W84,feed_mix_n,MATCH(AD$5,feed_mix_w!$B$5:$AC$5,0),FALSE)/$Z84*VLOOKUP(AD$5,feed_intensity_w,11,FALSE)</f>
        <v>0</v>
      </c>
      <c r="AE84" s="2">
        <f>VLOOKUP($W84,feed_mix_n,MATCH(AE$5,feed_mix_w!$B$5:$AC$5,0),FALSE)/$Z84*VLOOKUP(AE$5,feed_intensity_w,11,FALSE)</f>
        <v>0</v>
      </c>
      <c r="AF84" s="2">
        <f>VLOOKUP($W84,feed_mix_n,MATCH(AF$5,feed_mix_w!$B$5:$AC$5,0),FALSE)/$Z84*VLOOKUP(AF$5,feed_intensity_w,11,FALSE)</f>
        <v>0</v>
      </c>
      <c r="AG84" s="2">
        <f>VLOOKUP($W84,feed_mix_n,MATCH(AG$5,feed_mix_w!$B$5:$AC$5,0),FALSE)/$Z84*VLOOKUP(AG$5,feed_intensity_w,11,FALSE)</f>
        <v>0</v>
      </c>
      <c r="AH84" s="2">
        <f>VLOOKUP($W84,feed_mix_n,MATCH(AH$5,feed_mix_w!$B$5:$AC$5,0),FALSE)/$Z84*VLOOKUP(AH$5,feed_intensity_w,11,FALSE)</f>
        <v>0</v>
      </c>
      <c r="AI84" s="2">
        <f>VLOOKUP($W84,feed_mix_n,MATCH(AI$5,feed_mix_w!$B$5:$AC$5,0),FALSE)/$Z84*VLOOKUP(AI$5,feed_intensity_w,11,FALSE)</f>
        <v>0</v>
      </c>
      <c r="AJ84" s="2">
        <f>VLOOKUP($W84,feed_mix_n,MATCH(AJ$5,feed_mix_w!$B$5:$AC$5,0),FALSE)/$Z84*VLOOKUP(AJ$5,feed_intensity_w,11,FALSE)</f>
        <v>0</v>
      </c>
      <c r="AK84" s="2">
        <f>VLOOKUP($W84,feed_mix_n,MATCH(AK$5,feed_mix_w!$B$5:$AC$5,0),FALSE)/$Z84*VLOOKUP(AK$5,feed_intensity_w,11,FALSE)</f>
        <v>0</v>
      </c>
      <c r="AL84" s="2">
        <f>VLOOKUP($W84,feed_mix_n,MATCH(AL$5,feed_mix_w!$B$5:$AC$5,0),FALSE)/$Z84*VLOOKUP(AL$5,feed_intensity_w,11,FALSE)</f>
        <v>0</v>
      </c>
      <c r="AM84" s="2">
        <f>VLOOKUP($W84,feed_mix_n,MATCH(AM$5,feed_mix_w!$B$5:$AC$5,0),FALSE)/$Z84*VLOOKUP(AM$5,feed_intensity_w,11,FALSE)</f>
        <v>0</v>
      </c>
      <c r="AN84" s="2">
        <f>VLOOKUP($W84,feed_mix_n,MATCH(AN$5,feed_mix_w!$B$5:$AC$5,0),FALSE)/$Z84*VLOOKUP(AN$5,feed_intensity_w,11,FALSE)</f>
        <v>0</v>
      </c>
      <c r="AO84" s="2">
        <f>VLOOKUP($W84,feed_mix_n,MATCH(AO$5,feed_mix_w!$B$5:$AC$5,0),FALSE)/$Z84*VLOOKUP(AO$5,feed_intensity_w,11,FALSE)</f>
        <v>0</v>
      </c>
      <c r="AP84" s="2">
        <f>VLOOKUP($W84,feed_mix_n,MATCH(AP$5,feed_mix_w!$B$5:$AC$5,0),FALSE)/$Z84*VLOOKUP(AP$5,feed_intensity_w,11,FALSE)</f>
        <v>0</v>
      </c>
      <c r="AQ84" s="2">
        <f>VLOOKUP($W84,feed_mix_n,MATCH(AQ$5,feed_mix_w!$B$5:$AC$5,0),FALSE)/$Z84*VLOOKUP(AQ$5,feed_intensity_w,11,FALSE)</f>
        <v>0</v>
      </c>
      <c r="AR84" s="2">
        <f>VLOOKUP($W84,feed_mix_n,MATCH(AR$5,feed_mix_w!$B$5:$AC$5,0),FALSE)/$Z84*VLOOKUP(AR$5,feed_intensity_w,11,FALSE)</f>
        <v>0</v>
      </c>
      <c r="AS84" s="389">
        <f>VLOOKUP($W84,feed_mix_n,MATCH(AS$5,feed_mix_w!$B$5:$AC$5,0),FALSE)/$Z84*VLOOKUP(AS$5,feed_intensity_w,11,FALSE)</f>
        <v>0</v>
      </c>
    </row>
    <row r="85" spans="1:45" ht="12.75" customHeight="1">
      <c r="A85" s="14" t="s">
        <v>1496</v>
      </c>
      <c r="B85" s="482">
        <v>1027</v>
      </c>
      <c r="C85" s="24" t="s">
        <v>1681</v>
      </c>
      <c r="D85" s="513"/>
      <c r="E85" s="513"/>
      <c r="F85" s="25">
        <f t="shared" si="22"/>
        <v>0</v>
      </c>
      <c r="G85" s="25">
        <f t="shared" si="23"/>
        <v>0</v>
      </c>
      <c r="H85" s="2">
        <f t="shared" si="24"/>
        <v>0</v>
      </c>
      <c r="I85" s="25">
        <f t="shared" si="25"/>
        <v>0</v>
      </c>
      <c r="J85" s="87">
        <f>IFERROR(G85*VLOOKUP(W85,livestock_intensity!$B$7:$I$29,8,FALSE)/Z85,0)</f>
        <v>0</v>
      </c>
      <c r="K85" s="2">
        <f>VLOOKUP($W85,feed_mix_n,MATCH(K$5,feed_mix_w!$B$5:$AC$5,0),FALSE)/$Z85*VLOOKUP(K$5,feed_intensity_w,11,FALSE)</f>
        <v>0</v>
      </c>
      <c r="L85" s="25">
        <f t="shared" si="26"/>
        <v>0</v>
      </c>
      <c r="M85" s="25">
        <f>IFERROR(G85*VLOOKUP(W85,livestock_intensity!$B$7:$M$29,12,FALSE)/Z85,0)</f>
        <v>0</v>
      </c>
      <c r="N85" s="2">
        <f>VLOOKUP($W85,feed_mix_n,MATCH(N$5,feed_mix_w!$B$5:$AC$5,0),FALSE)/$Z85*VLOOKUP(N$5,feed_intensity_w,11,FALSE)</f>
        <v>17.230843230424735</v>
      </c>
      <c r="O85" s="25">
        <f t="shared" si="27"/>
        <v>0</v>
      </c>
      <c r="P85" s="343">
        <f>IFERROR(G85*VLOOKUP(W85,livestock_intensity!$B$7:$Q$29,16,FALSE)/Z85,0)</f>
        <v>0</v>
      </c>
      <c r="Q85" s="758"/>
      <c r="R85" s="331">
        <f t="shared" si="28"/>
        <v>0</v>
      </c>
      <c r="S85" s="331">
        <f t="shared" si="29"/>
        <v>0</v>
      </c>
      <c r="T85" s="739">
        <v>2748</v>
      </c>
      <c r="U85" s="558" t="s">
        <v>2796</v>
      </c>
      <c r="V85" s="559" t="str">
        <f>IFERROR(VLOOKUP(W85,constant_ag_extr!$D$7:$E$594,2,FALSE),"")</f>
        <v>Goats</v>
      </c>
      <c r="W85" s="560">
        <f t="shared" si="30"/>
        <v>1016</v>
      </c>
      <c r="X85" s="2">
        <f>IFERROR(IF(VLOOKUP(B85,cnst_grazing!$C$10:$H$25,5,FALSE)="", IF(VLOOKUP(B85, cnst_grazing!$C$10:$H$25,3,FALSE)="", VLOOKUP(B85, cnst_grazing!$C$10:$H$25,4,FALSE),VLOOKUP(B85, cnst_grazing!$C$10:$H$25,3,FALSE)), VLOOKUP(B85,cnst_grazing!$C$10:$H$25,5,FALSE)),1)</f>
        <v>1</v>
      </c>
      <c r="Y85" s="2">
        <f>IFERROR(IF(VLOOKUP(B85,cnst_grazing!$C$10:$H$25,6,FALSE)="", IF(VLOOKUP(B85, cnst_grazing!$C$10:$H$25,4,FALSE)="", VLOOKUP(B85, cnst_grazing!$C$10:$H$25,3,FALSE),VLOOKUP(B85, cnst_grazing!$C$10:$H$25,4,FALSE)), VLOOKUP(B85,cnst_grazing!$C$10:$H$25,6,FALSE)),1)</f>
        <v>1</v>
      </c>
      <c r="Z85" s="400">
        <f t="shared" si="31"/>
        <v>0.84475275376002334</v>
      </c>
      <c r="AA85" s="2">
        <f t="shared" si="32"/>
        <v>17.230843230424735</v>
      </c>
      <c r="AB85" s="2">
        <f>VLOOKUP($W85,feed_mix_n,MATCH(AB$5,feed_mix_w!$B$5:$AC$5,0),FALSE)/$Z85*VLOOKUP(AB$5,feed_intensity_w,11,FALSE)</f>
        <v>0</v>
      </c>
      <c r="AC85" s="2">
        <f>VLOOKUP($W85,feed_mix_n,MATCH(AC$5,feed_mix_w!$B$5:$AC$5,0),FALSE)/$Z85*VLOOKUP(AC$5,feed_intensity_w,11,FALSE)</f>
        <v>0</v>
      </c>
      <c r="AD85" s="2">
        <f>VLOOKUP($W85,feed_mix_n,MATCH(AD$5,feed_mix_w!$B$5:$AC$5,0),FALSE)/$Z85*VLOOKUP(AD$5,feed_intensity_w,11,FALSE)</f>
        <v>0</v>
      </c>
      <c r="AE85" s="2">
        <f>VLOOKUP($W85,feed_mix_n,MATCH(AE$5,feed_mix_w!$B$5:$AC$5,0),FALSE)/$Z85*VLOOKUP(AE$5,feed_intensity_w,11,FALSE)</f>
        <v>0</v>
      </c>
      <c r="AF85" s="2">
        <f>VLOOKUP($W85,feed_mix_n,MATCH(AF$5,feed_mix_w!$B$5:$AC$5,0),FALSE)/$Z85*VLOOKUP(AF$5,feed_intensity_w,11,FALSE)</f>
        <v>0</v>
      </c>
      <c r="AG85" s="2">
        <f>VLOOKUP($W85,feed_mix_n,MATCH(AG$5,feed_mix_w!$B$5:$AC$5,0),FALSE)/$Z85*VLOOKUP(AG$5,feed_intensity_w,11,FALSE)</f>
        <v>0</v>
      </c>
      <c r="AH85" s="2">
        <f>VLOOKUP($W85,feed_mix_n,MATCH(AH$5,feed_mix_w!$B$5:$AC$5,0),FALSE)/$Z85*VLOOKUP(AH$5,feed_intensity_w,11,FALSE)</f>
        <v>0</v>
      </c>
      <c r="AI85" s="2">
        <f>VLOOKUP($W85,feed_mix_n,MATCH(AI$5,feed_mix_w!$B$5:$AC$5,0),FALSE)/$Z85*VLOOKUP(AI$5,feed_intensity_w,11,FALSE)</f>
        <v>0</v>
      </c>
      <c r="AJ85" s="2">
        <f>VLOOKUP($W85,feed_mix_n,MATCH(AJ$5,feed_mix_w!$B$5:$AC$5,0),FALSE)/$Z85*VLOOKUP(AJ$5,feed_intensity_w,11,FALSE)</f>
        <v>0</v>
      </c>
      <c r="AK85" s="2">
        <f>VLOOKUP($W85,feed_mix_n,MATCH(AK$5,feed_mix_w!$B$5:$AC$5,0),FALSE)/$Z85*VLOOKUP(AK$5,feed_intensity_w,11,FALSE)</f>
        <v>0</v>
      </c>
      <c r="AL85" s="2">
        <f>VLOOKUP($W85,feed_mix_n,MATCH(AL$5,feed_mix_w!$B$5:$AC$5,0),FALSE)/$Z85*VLOOKUP(AL$5,feed_intensity_w,11,FALSE)</f>
        <v>0</v>
      </c>
      <c r="AM85" s="2">
        <f>VLOOKUP($W85,feed_mix_n,MATCH(AM$5,feed_mix_w!$B$5:$AC$5,0),FALSE)/$Z85*VLOOKUP(AM$5,feed_intensity_w,11,FALSE)</f>
        <v>0</v>
      </c>
      <c r="AN85" s="2">
        <f>VLOOKUP($W85,feed_mix_n,MATCH(AN$5,feed_mix_w!$B$5:$AC$5,0),FALSE)/$Z85*VLOOKUP(AN$5,feed_intensity_w,11,FALSE)</f>
        <v>0</v>
      </c>
      <c r="AO85" s="2">
        <f>VLOOKUP($W85,feed_mix_n,MATCH(AO$5,feed_mix_w!$B$5:$AC$5,0),FALSE)/$Z85*VLOOKUP(AO$5,feed_intensity_w,11,FALSE)</f>
        <v>0</v>
      </c>
      <c r="AP85" s="2">
        <f>VLOOKUP($W85,feed_mix_n,MATCH(AP$5,feed_mix_w!$B$5:$AC$5,0),FALSE)/$Z85*VLOOKUP(AP$5,feed_intensity_w,11,FALSE)</f>
        <v>0</v>
      </c>
      <c r="AQ85" s="2">
        <f>VLOOKUP($W85,feed_mix_n,MATCH(AQ$5,feed_mix_w!$B$5:$AC$5,0),FALSE)/$Z85*VLOOKUP(AQ$5,feed_intensity_w,11,FALSE)</f>
        <v>0</v>
      </c>
      <c r="AR85" s="2">
        <f>VLOOKUP($W85,feed_mix_n,MATCH(AR$5,feed_mix_w!$B$5:$AC$5,0),FALSE)/$Z85*VLOOKUP(AR$5,feed_intensity_w,11,FALSE)</f>
        <v>0</v>
      </c>
      <c r="AS85" s="389">
        <f>VLOOKUP($W85,feed_mix_n,MATCH(AS$5,feed_mix_w!$B$5:$AC$5,0),FALSE)/$Z85*VLOOKUP(AS$5,feed_intensity_w,11,FALSE)</f>
        <v>0</v>
      </c>
    </row>
    <row r="86" spans="1:45" ht="12.75" customHeight="1">
      <c r="A86" s="14" t="s">
        <v>2732</v>
      </c>
      <c r="B86" s="482">
        <v>1028</v>
      </c>
      <c r="C86" s="24" t="s">
        <v>2733</v>
      </c>
      <c r="D86" s="513"/>
      <c r="E86" s="513"/>
      <c r="F86" s="25">
        <f t="shared" si="22"/>
        <v>0</v>
      </c>
      <c r="G86" s="25">
        <f t="shared" si="23"/>
        <v>0</v>
      </c>
      <c r="H86" s="2">
        <f t="shared" si="24"/>
        <v>0</v>
      </c>
      <c r="I86" s="25">
        <f t="shared" si="25"/>
        <v>0</v>
      </c>
      <c r="J86" s="87">
        <f>IFERROR(G86*VLOOKUP(W86,livestock_intensity!$B$7:$I$29,8,FALSE)/Z86,0)</f>
        <v>0</v>
      </c>
      <c r="K86" s="2">
        <f>VLOOKUP($W86,feed_mix_n,MATCH(K$5,feed_mix_w!$B$5:$AC$5,0),FALSE)/$Z86*VLOOKUP(K$5,feed_intensity_w,11,FALSE)</f>
        <v>0</v>
      </c>
      <c r="L86" s="25">
        <f t="shared" si="26"/>
        <v>0</v>
      </c>
      <c r="M86" s="25">
        <f>IFERROR(G86*VLOOKUP(W86,livestock_intensity!$B$7:$M$29,12,FALSE)/Z86,0)</f>
        <v>0</v>
      </c>
      <c r="N86" s="2">
        <f>VLOOKUP($W86,feed_mix_n,MATCH(N$5,feed_mix_w!$B$5:$AC$5,0),FALSE)/$Z86*VLOOKUP(N$5,feed_intensity_w,11,FALSE)</f>
        <v>2.3111756520275848</v>
      </c>
      <c r="O86" s="25">
        <f t="shared" si="27"/>
        <v>0</v>
      </c>
      <c r="P86" s="343">
        <f>IFERROR(G86*VLOOKUP(W86,livestock_intensity!$B$7:$Q$29,16,FALSE)/Z86,0)</f>
        <v>0</v>
      </c>
      <c r="Q86" s="758"/>
      <c r="R86" s="331">
        <f t="shared" si="28"/>
        <v>0</v>
      </c>
      <c r="S86" s="331">
        <f t="shared" si="29"/>
        <v>0</v>
      </c>
      <c r="T86" s="739">
        <v>2748</v>
      </c>
      <c r="U86" s="558" t="s">
        <v>2796</v>
      </c>
      <c r="V86" s="559" t="str">
        <f>IFERROR(VLOOKUP(W86,constant_ag_extr!$D$7:$E$594,2,FALSE),"")</f>
        <v>Goats</v>
      </c>
      <c r="W86" s="560">
        <f t="shared" si="30"/>
        <v>1016</v>
      </c>
      <c r="X86" s="2">
        <f>IFERROR(IF(VLOOKUP(B86,cnst_grazing!$C$10:$H$25,5,FALSE)="", IF(VLOOKUP(B86, cnst_grazing!$C$10:$H$25,3,FALSE)="", VLOOKUP(B86, cnst_grazing!$C$10:$H$25,4,FALSE),VLOOKUP(B86, cnst_grazing!$C$10:$H$25,3,FALSE)), VLOOKUP(B86,cnst_grazing!$C$10:$H$25,5,FALSE)),1)</f>
        <v>1</v>
      </c>
      <c r="Y86" s="2">
        <f>IFERROR(IF(VLOOKUP(B86,cnst_grazing!$C$10:$H$25,6,FALSE)="", IF(VLOOKUP(B86, cnst_grazing!$C$10:$H$25,4,FALSE)="", VLOOKUP(B86, cnst_grazing!$C$10:$H$25,3,FALSE),VLOOKUP(B86, cnst_grazing!$C$10:$H$25,4,FALSE)), VLOOKUP(B86,cnst_grazing!$C$10:$H$25,6,FALSE)),1)</f>
        <v>1</v>
      </c>
      <c r="Z86" s="400">
        <f t="shared" si="31"/>
        <v>6.2980077934530021</v>
      </c>
      <c r="AA86" s="2">
        <f t="shared" si="32"/>
        <v>2.3111756520275848</v>
      </c>
      <c r="AB86" s="2">
        <f>VLOOKUP($W86,feed_mix_n,MATCH(AB$5,feed_mix_w!$B$5:$AC$5,0),FALSE)/$Z86*VLOOKUP(AB$5,feed_intensity_w,11,FALSE)</f>
        <v>0</v>
      </c>
      <c r="AC86" s="2">
        <f>VLOOKUP($W86,feed_mix_n,MATCH(AC$5,feed_mix_w!$B$5:$AC$5,0),FALSE)/$Z86*VLOOKUP(AC$5,feed_intensity_w,11,FALSE)</f>
        <v>0</v>
      </c>
      <c r="AD86" s="2">
        <f>VLOOKUP($W86,feed_mix_n,MATCH(AD$5,feed_mix_w!$B$5:$AC$5,0),FALSE)/$Z86*VLOOKUP(AD$5,feed_intensity_w,11,FALSE)</f>
        <v>0</v>
      </c>
      <c r="AE86" s="2">
        <f>VLOOKUP($W86,feed_mix_n,MATCH(AE$5,feed_mix_w!$B$5:$AC$5,0),FALSE)/$Z86*VLOOKUP(AE$5,feed_intensity_w,11,FALSE)</f>
        <v>0</v>
      </c>
      <c r="AF86" s="2">
        <f>VLOOKUP($W86,feed_mix_n,MATCH(AF$5,feed_mix_w!$B$5:$AC$5,0),FALSE)/$Z86*VLOOKUP(AF$5,feed_intensity_w,11,FALSE)</f>
        <v>0</v>
      </c>
      <c r="AG86" s="2">
        <f>VLOOKUP($W86,feed_mix_n,MATCH(AG$5,feed_mix_w!$B$5:$AC$5,0),FALSE)/$Z86*VLOOKUP(AG$5,feed_intensity_w,11,FALSE)</f>
        <v>0</v>
      </c>
      <c r="AH86" s="2">
        <f>VLOOKUP($W86,feed_mix_n,MATCH(AH$5,feed_mix_w!$B$5:$AC$5,0),FALSE)/$Z86*VLOOKUP(AH$5,feed_intensity_w,11,FALSE)</f>
        <v>0</v>
      </c>
      <c r="AI86" s="2">
        <f>VLOOKUP($W86,feed_mix_n,MATCH(AI$5,feed_mix_w!$B$5:$AC$5,0),FALSE)/$Z86*VLOOKUP(AI$5,feed_intensity_w,11,FALSE)</f>
        <v>0</v>
      </c>
      <c r="AJ86" s="2">
        <f>VLOOKUP($W86,feed_mix_n,MATCH(AJ$5,feed_mix_w!$B$5:$AC$5,0),FALSE)/$Z86*VLOOKUP(AJ$5,feed_intensity_w,11,FALSE)</f>
        <v>0</v>
      </c>
      <c r="AK86" s="2">
        <f>VLOOKUP($W86,feed_mix_n,MATCH(AK$5,feed_mix_w!$B$5:$AC$5,0),FALSE)/$Z86*VLOOKUP(AK$5,feed_intensity_w,11,FALSE)</f>
        <v>0</v>
      </c>
      <c r="AL86" s="2">
        <f>VLOOKUP($W86,feed_mix_n,MATCH(AL$5,feed_mix_w!$B$5:$AC$5,0),FALSE)/$Z86*VLOOKUP(AL$5,feed_intensity_w,11,FALSE)</f>
        <v>0</v>
      </c>
      <c r="AM86" s="2">
        <f>VLOOKUP($W86,feed_mix_n,MATCH(AM$5,feed_mix_w!$B$5:$AC$5,0),FALSE)/$Z86*VLOOKUP(AM$5,feed_intensity_w,11,FALSE)</f>
        <v>0</v>
      </c>
      <c r="AN86" s="2">
        <f>VLOOKUP($W86,feed_mix_n,MATCH(AN$5,feed_mix_w!$B$5:$AC$5,0),FALSE)/$Z86*VLOOKUP(AN$5,feed_intensity_w,11,FALSE)</f>
        <v>0</v>
      </c>
      <c r="AO86" s="2">
        <f>VLOOKUP($W86,feed_mix_n,MATCH(AO$5,feed_mix_w!$B$5:$AC$5,0),FALSE)/$Z86*VLOOKUP(AO$5,feed_intensity_w,11,FALSE)</f>
        <v>0</v>
      </c>
      <c r="AP86" s="2">
        <f>VLOOKUP($W86,feed_mix_n,MATCH(AP$5,feed_mix_w!$B$5:$AC$5,0),FALSE)/$Z86*VLOOKUP(AP$5,feed_intensity_w,11,FALSE)</f>
        <v>0</v>
      </c>
      <c r="AQ86" s="2">
        <f>VLOOKUP($W86,feed_mix_n,MATCH(AQ$5,feed_mix_w!$B$5:$AC$5,0),FALSE)/$Z86*VLOOKUP(AQ$5,feed_intensity_w,11,FALSE)</f>
        <v>0</v>
      </c>
      <c r="AR86" s="2">
        <f>VLOOKUP($W86,feed_mix_n,MATCH(AR$5,feed_mix_w!$B$5:$AC$5,0),FALSE)/$Z86*VLOOKUP(AR$5,feed_intensity_w,11,FALSE)</f>
        <v>0</v>
      </c>
      <c r="AS86" s="389">
        <f>VLOOKUP($W86,feed_mix_n,MATCH(AS$5,feed_mix_w!$B$5:$AC$5,0),FALSE)/$Z86*VLOOKUP(AS$5,feed_intensity_w,11,FALSE)</f>
        <v>0</v>
      </c>
    </row>
    <row r="87" spans="1:45" ht="12.75" customHeight="1">
      <c r="A87" s="14" t="s">
        <v>2144</v>
      </c>
      <c r="B87" s="482">
        <v>1030</v>
      </c>
      <c r="C87" s="24" t="s">
        <v>1208</v>
      </c>
      <c r="D87" s="513"/>
      <c r="E87" s="513"/>
      <c r="F87" s="25">
        <f t="shared" si="22"/>
        <v>0</v>
      </c>
      <c r="G87" s="25">
        <f t="shared" si="23"/>
        <v>0</v>
      </c>
      <c r="H87" s="2">
        <f t="shared" si="24"/>
        <v>0</v>
      </c>
      <c r="I87" s="25">
        <f t="shared" si="25"/>
        <v>0</v>
      </c>
      <c r="J87" s="87">
        <f>IFERROR(G87*VLOOKUP(W87,livestock_intensity!$B$7:$I$29,8,FALSE)/Z87,0)</f>
        <v>0</v>
      </c>
      <c r="K87" s="2">
        <f>VLOOKUP($W87,feed_mix_n,MATCH(K$5,feed_mix_w!$B$5:$AC$5,0),FALSE)/$Z87*VLOOKUP(K$5,feed_intensity_w,11,FALSE)</f>
        <v>0</v>
      </c>
      <c r="L87" s="25">
        <f t="shared" si="26"/>
        <v>0</v>
      </c>
      <c r="M87" s="25">
        <f>IFERROR(G87*VLOOKUP(W87,livestock_intensity!$B$7:$M$29,12,FALSE)/Z87,0)</f>
        <v>0</v>
      </c>
      <c r="N87" s="2">
        <f>VLOOKUP($W87,feed_mix_n,MATCH(N$5,feed_mix_w!$B$5:$AC$5,0),FALSE)/$Z87*VLOOKUP(N$5,feed_intensity_w,11,FALSE)</f>
        <v>307.71604343988895</v>
      </c>
      <c r="O87" s="25">
        <f t="shared" si="27"/>
        <v>0</v>
      </c>
      <c r="P87" s="343">
        <f>IFERROR(G87*VLOOKUP(W87,livestock_intensity!$B$7:$Q$29,16,FALSE)/Z87,0)</f>
        <v>0</v>
      </c>
      <c r="Q87" s="758"/>
      <c r="R87" s="331">
        <f t="shared" si="28"/>
        <v>0</v>
      </c>
      <c r="S87" s="331">
        <f t="shared" si="29"/>
        <v>0</v>
      </c>
      <c r="T87" s="739" t="s">
        <v>2738</v>
      </c>
      <c r="U87" s="558" t="s">
        <v>2796</v>
      </c>
      <c r="V87" s="559" t="str">
        <f>IFERROR(VLOOKUP(W87,constant_ag_extr!$D$7:$E$594,2,FALSE),"")</f>
        <v>Goats</v>
      </c>
      <c r="W87" s="560">
        <f t="shared" si="30"/>
        <v>1016</v>
      </c>
      <c r="X87" s="2">
        <f>IFERROR(IF(VLOOKUP(B87,cnst_grazing!$C$10:$H$25,5,FALSE)="", IF(VLOOKUP(B87, cnst_grazing!$C$10:$H$25,3,FALSE)="", VLOOKUP(B87, cnst_grazing!$C$10:$H$25,4,FALSE),VLOOKUP(B87, cnst_grazing!$C$10:$H$25,3,FALSE)), VLOOKUP(B87,cnst_grazing!$C$10:$H$25,5,FALSE)),1)</f>
        <v>1</v>
      </c>
      <c r="Y87" s="2">
        <f>IFERROR(IF(VLOOKUP(B87,cnst_grazing!$C$10:$H$25,6,FALSE)="", IF(VLOOKUP(B87, cnst_grazing!$C$10:$H$25,4,FALSE)="", VLOOKUP(B87, cnst_grazing!$C$10:$H$25,3,FALSE),VLOOKUP(B87, cnst_grazing!$C$10:$H$25,4,FALSE)), VLOOKUP(B87,cnst_grazing!$C$10:$H$25,6,FALSE)),1)</f>
        <v>1</v>
      </c>
      <c r="Z87" s="400">
        <f t="shared" si="31"/>
        <v>4.7302708385927782E-2</v>
      </c>
      <c r="AA87" s="2">
        <f t="shared" si="32"/>
        <v>307.71604343988895</v>
      </c>
      <c r="AB87" s="2">
        <f>VLOOKUP($W87,feed_mix_n,MATCH(AB$5,feed_mix_w!$B$5:$AC$5,0),FALSE)/$Z87*VLOOKUP(AB$5,feed_intensity_w,11,FALSE)</f>
        <v>0</v>
      </c>
      <c r="AC87" s="2">
        <f>VLOOKUP($W87,feed_mix_n,MATCH(AC$5,feed_mix_w!$B$5:$AC$5,0),FALSE)/$Z87*VLOOKUP(AC$5,feed_intensity_w,11,FALSE)</f>
        <v>0</v>
      </c>
      <c r="AD87" s="2">
        <f>VLOOKUP($W87,feed_mix_n,MATCH(AD$5,feed_mix_w!$B$5:$AC$5,0),FALSE)/$Z87*VLOOKUP(AD$5,feed_intensity_w,11,FALSE)</f>
        <v>0</v>
      </c>
      <c r="AE87" s="2">
        <f>VLOOKUP($W87,feed_mix_n,MATCH(AE$5,feed_mix_w!$B$5:$AC$5,0),FALSE)/$Z87*VLOOKUP(AE$5,feed_intensity_w,11,FALSE)</f>
        <v>0</v>
      </c>
      <c r="AF87" s="2">
        <f>VLOOKUP($W87,feed_mix_n,MATCH(AF$5,feed_mix_w!$B$5:$AC$5,0),FALSE)/$Z87*VLOOKUP(AF$5,feed_intensity_w,11,FALSE)</f>
        <v>0</v>
      </c>
      <c r="AG87" s="2">
        <f>VLOOKUP($W87,feed_mix_n,MATCH(AG$5,feed_mix_w!$B$5:$AC$5,0),FALSE)/$Z87*VLOOKUP(AG$5,feed_intensity_w,11,FALSE)</f>
        <v>0</v>
      </c>
      <c r="AH87" s="2">
        <f>VLOOKUP($W87,feed_mix_n,MATCH(AH$5,feed_mix_w!$B$5:$AC$5,0),FALSE)/$Z87*VLOOKUP(AH$5,feed_intensity_w,11,FALSE)</f>
        <v>0</v>
      </c>
      <c r="AI87" s="2">
        <f>VLOOKUP($W87,feed_mix_n,MATCH(AI$5,feed_mix_w!$B$5:$AC$5,0),FALSE)/$Z87*VLOOKUP(AI$5,feed_intensity_w,11,FALSE)</f>
        <v>0</v>
      </c>
      <c r="AJ87" s="2">
        <f>VLOOKUP($W87,feed_mix_n,MATCH(AJ$5,feed_mix_w!$B$5:$AC$5,0),FALSE)/$Z87*VLOOKUP(AJ$5,feed_intensity_w,11,FALSE)</f>
        <v>0</v>
      </c>
      <c r="AK87" s="2">
        <f>VLOOKUP($W87,feed_mix_n,MATCH(AK$5,feed_mix_w!$B$5:$AC$5,0),FALSE)/$Z87*VLOOKUP(AK$5,feed_intensity_w,11,FALSE)</f>
        <v>0</v>
      </c>
      <c r="AL87" s="2">
        <f>VLOOKUP($W87,feed_mix_n,MATCH(AL$5,feed_mix_w!$B$5:$AC$5,0),FALSE)/$Z87*VLOOKUP(AL$5,feed_intensity_w,11,FALSE)</f>
        <v>0</v>
      </c>
      <c r="AM87" s="2">
        <f>VLOOKUP($W87,feed_mix_n,MATCH(AM$5,feed_mix_w!$B$5:$AC$5,0),FALSE)/$Z87*VLOOKUP(AM$5,feed_intensity_w,11,FALSE)</f>
        <v>0</v>
      </c>
      <c r="AN87" s="2">
        <f>VLOOKUP($W87,feed_mix_n,MATCH(AN$5,feed_mix_w!$B$5:$AC$5,0),FALSE)/$Z87*VLOOKUP(AN$5,feed_intensity_w,11,FALSE)</f>
        <v>0</v>
      </c>
      <c r="AO87" s="2">
        <f>VLOOKUP($W87,feed_mix_n,MATCH(AO$5,feed_mix_w!$B$5:$AC$5,0),FALSE)/$Z87*VLOOKUP(AO$5,feed_intensity_w,11,FALSE)</f>
        <v>0</v>
      </c>
      <c r="AP87" s="2">
        <f>VLOOKUP($W87,feed_mix_n,MATCH(AP$5,feed_mix_w!$B$5:$AC$5,0),FALSE)/$Z87*VLOOKUP(AP$5,feed_intensity_w,11,FALSE)</f>
        <v>0</v>
      </c>
      <c r="AQ87" s="2">
        <f>VLOOKUP($W87,feed_mix_n,MATCH(AQ$5,feed_mix_w!$B$5:$AC$5,0),FALSE)/$Z87*VLOOKUP(AQ$5,feed_intensity_w,11,FALSE)</f>
        <v>0</v>
      </c>
      <c r="AR87" s="2">
        <f>VLOOKUP($W87,feed_mix_n,MATCH(AR$5,feed_mix_w!$B$5:$AC$5,0),FALSE)/$Z87*VLOOKUP(AR$5,feed_intensity_w,11,FALSE)</f>
        <v>0</v>
      </c>
      <c r="AS87" s="389">
        <f>VLOOKUP($W87,feed_mix_n,MATCH(AS$5,feed_mix_w!$B$5:$AC$5,0),FALSE)/$Z87*VLOOKUP(AS$5,feed_intensity_w,11,FALSE)</f>
        <v>0</v>
      </c>
    </row>
    <row r="88" spans="1:45" ht="12.75" customHeight="1">
      <c r="A88" s="14" t="s">
        <v>7163</v>
      </c>
      <c r="B88" s="482">
        <v>1031</v>
      </c>
      <c r="C88" s="24" t="s">
        <v>1196</v>
      </c>
      <c r="D88" s="513"/>
      <c r="E88" s="513"/>
      <c r="F88" s="25">
        <f t="shared" si="22"/>
        <v>0</v>
      </c>
      <c r="G88" s="25">
        <f t="shared" si="23"/>
        <v>0</v>
      </c>
      <c r="H88" s="2">
        <f t="shared" si="24"/>
        <v>0</v>
      </c>
      <c r="I88" s="25">
        <f t="shared" si="25"/>
        <v>0</v>
      </c>
      <c r="J88" s="87">
        <f>IFERROR(G88*VLOOKUP(W88,livestock_intensity!$B$7:$I$29,8,FALSE)/Z88,0)</f>
        <v>0</v>
      </c>
      <c r="K88" s="2">
        <f>VLOOKUP($W88,feed_mix_n,MATCH(K$5,feed_mix_w!$B$5:$AC$5,0),FALSE)/$Z88*VLOOKUP(K$5,feed_intensity_w,11,FALSE)</f>
        <v>0</v>
      </c>
      <c r="L88" s="25">
        <f t="shared" si="26"/>
        <v>0</v>
      </c>
      <c r="M88" s="25">
        <f>IFERROR(G88*VLOOKUP(W88,livestock_intensity!$B$7:$M$29,12,FALSE)/Z88,0)</f>
        <v>0</v>
      </c>
      <c r="N88" s="2">
        <f>VLOOKUP($W88,feed_mix_n,MATCH(N$5,feed_mix_w!$B$5:$AC$5,0),FALSE)/$Z88*VLOOKUP(N$5,feed_intensity_w,11,FALSE)</f>
        <v>5.4999410137993481</v>
      </c>
      <c r="O88" s="25">
        <f t="shared" si="27"/>
        <v>0</v>
      </c>
      <c r="P88" s="343">
        <f>IFERROR(G88*VLOOKUP(W88,livestock_intensity!$B$7:$Q$29,16,FALSE)/Z88,0)</f>
        <v>0</v>
      </c>
      <c r="Q88" s="758"/>
      <c r="R88" s="331">
        <f t="shared" si="28"/>
        <v>0</v>
      </c>
      <c r="S88" s="331">
        <f t="shared" si="29"/>
        <v>0</v>
      </c>
      <c r="T88" s="739" t="s">
        <v>2738</v>
      </c>
      <c r="U88" s="558" t="s">
        <v>2796</v>
      </c>
      <c r="V88" s="559" t="str">
        <f>IFERROR(VLOOKUP(W88,constant_ag_extr!$D$7:$E$594,2,FALSE),"")</f>
        <v>Goats</v>
      </c>
      <c r="W88" s="560">
        <f t="shared" si="30"/>
        <v>1016</v>
      </c>
      <c r="X88" s="2">
        <f>IFERROR(IF(VLOOKUP(B88,cnst_grazing!$C$10:$H$25,5,FALSE)="", IF(VLOOKUP(B88, cnst_grazing!$C$10:$H$25,3,FALSE)="", VLOOKUP(B88, cnst_grazing!$C$10:$H$25,4,FALSE),VLOOKUP(B88, cnst_grazing!$C$10:$H$25,3,FALSE)), VLOOKUP(B88,cnst_grazing!$C$10:$H$25,5,FALSE)),1)</f>
        <v>1</v>
      </c>
      <c r="Y88" s="2">
        <f>IFERROR(IF(VLOOKUP(B88,cnst_grazing!$C$10:$H$25,6,FALSE)="", IF(VLOOKUP(B88, cnst_grazing!$C$10:$H$25,4,FALSE)="", VLOOKUP(B88, cnst_grazing!$C$10:$H$25,3,FALSE),VLOOKUP(B88, cnst_grazing!$C$10:$H$25,4,FALSE)), VLOOKUP(B88,cnst_grazing!$C$10:$H$25,6,FALSE)),1)</f>
        <v>1</v>
      </c>
      <c r="Z88" s="400">
        <f t="shared" si="31"/>
        <v>2.6465378868587965</v>
      </c>
      <c r="AA88" s="2">
        <f t="shared" si="32"/>
        <v>5.4999410137993481</v>
      </c>
      <c r="AB88" s="2">
        <f>VLOOKUP($W88,feed_mix_n,MATCH(AB$5,feed_mix_w!$B$5:$AC$5,0),FALSE)/$Z88*VLOOKUP(AB$5,feed_intensity_w,11,FALSE)</f>
        <v>0</v>
      </c>
      <c r="AC88" s="2">
        <f>VLOOKUP($W88,feed_mix_n,MATCH(AC$5,feed_mix_w!$B$5:$AC$5,0),FALSE)/$Z88*VLOOKUP(AC$5,feed_intensity_w,11,FALSE)</f>
        <v>0</v>
      </c>
      <c r="AD88" s="2">
        <f>VLOOKUP($W88,feed_mix_n,MATCH(AD$5,feed_mix_w!$B$5:$AC$5,0),FALSE)/$Z88*VLOOKUP(AD$5,feed_intensity_w,11,FALSE)</f>
        <v>0</v>
      </c>
      <c r="AE88" s="2">
        <f>VLOOKUP($W88,feed_mix_n,MATCH(AE$5,feed_mix_w!$B$5:$AC$5,0),FALSE)/$Z88*VLOOKUP(AE$5,feed_intensity_w,11,FALSE)</f>
        <v>0</v>
      </c>
      <c r="AF88" s="2">
        <f>VLOOKUP($W88,feed_mix_n,MATCH(AF$5,feed_mix_w!$B$5:$AC$5,0),FALSE)/$Z88*VLOOKUP(AF$5,feed_intensity_w,11,FALSE)</f>
        <v>0</v>
      </c>
      <c r="AG88" s="2">
        <f>VLOOKUP($W88,feed_mix_n,MATCH(AG$5,feed_mix_w!$B$5:$AC$5,0),FALSE)/$Z88*VLOOKUP(AG$5,feed_intensity_w,11,FALSE)</f>
        <v>0</v>
      </c>
      <c r="AH88" s="2">
        <f>VLOOKUP($W88,feed_mix_n,MATCH(AH$5,feed_mix_w!$B$5:$AC$5,0),FALSE)/$Z88*VLOOKUP(AH$5,feed_intensity_w,11,FALSE)</f>
        <v>0</v>
      </c>
      <c r="AI88" s="2">
        <f>VLOOKUP($W88,feed_mix_n,MATCH(AI$5,feed_mix_w!$B$5:$AC$5,0),FALSE)/$Z88*VLOOKUP(AI$5,feed_intensity_w,11,FALSE)</f>
        <v>0</v>
      </c>
      <c r="AJ88" s="2">
        <f>VLOOKUP($W88,feed_mix_n,MATCH(AJ$5,feed_mix_w!$B$5:$AC$5,0),FALSE)/$Z88*VLOOKUP(AJ$5,feed_intensity_w,11,FALSE)</f>
        <v>0</v>
      </c>
      <c r="AK88" s="2">
        <f>VLOOKUP($W88,feed_mix_n,MATCH(AK$5,feed_mix_w!$B$5:$AC$5,0),FALSE)/$Z88*VLOOKUP(AK$5,feed_intensity_w,11,FALSE)</f>
        <v>0</v>
      </c>
      <c r="AL88" s="2">
        <f>VLOOKUP($W88,feed_mix_n,MATCH(AL$5,feed_mix_w!$B$5:$AC$5,0),FALSE)/$Z88*VLOOKUP(AL$5,feed_intensity_w,11,FALSE)</f>
        <v>0</v>
      </c>
      <c r="AM88" s="2">
        <f>VLOOKUP($W88,feed_mix_n,MATCH(AM$5,feed_mix_w!$B$5:$AC$5,0),FALSE)/$Z88*VLOOKUP(AM$5,feed_intensity_w,11,FALSE)</f>
        <v>0</v>
      </c>
      <c r="AN88" s="2">
        <f>VLOOKUP($W88,feed_mix_n,MATCH(AN$5,feed_mix_w!$B$5:$AC$5,0),FALSE)/$Z88*VLOOKUP(AN$5,feed_intensity_w,11,FALSE)</f>
        <v>0</v>
      </c>
      <c r="AO88" s="2">
        <f>VLOOKUP($W88,feed_mix_n,MATCH(AO$5,feed_mix_w!$B$5:$AC$5,0),FALSE)/$Z88*VLOOKUP(AO$5,feed_intensity_w,11,FALSE)</f>
        <v>0</v>
      </c>
      <c r="AP88" s="2">
        <f>VLOOKUP($W88,feed_mix_n,MATCH(AP$5,feed_mix_w!$B$5:$AC$5,0),FALSE)/$Z88*VLOOKUP(AP$5,feed_intensity_w,11,FALSE)</f>
        <v>0</v>
      </c>
      <c r="AQ88" s="2">
        <f>VLOOKUP($W88,feed_mix_n,MATCH(AQ$5,feed_mix_w!$B$5:$AC$5,0),FALSE)/$Z88*VLOOKUP(AQ$5,feed_intensity_w,11,FALSE)</f>
        <v>0</v>
      </c>
      <c r="AR88" s="2">
        <f>VLOOKUP($W88,feed_mix_n,MATCH(AR$5,feed_mix_w!$B$5:$AC$5,0),FALSE)/$Z88*VLOOKUP(AR$5,feed_intensity_w,11,FALSE)</f>
        <v>0</v>
      </c>
      <c r="AS88" s="389">
        <f>VLOOKUP($W88,feed_mix_n,MATCH(AS$5,feed_mix_w!$B$5:$AC$5,0),FALSE)/$Z88*VLOOKUP(AS$5,feed_intensity_w,11,FALSE)</f>
        <v>0</v>
      </c>
    </row>
    <row r="89" spans="1:45" ht="12.75" customHeight="1">
      <c r="A89" s="14" t="s">
        <v>1682</v>
      </c>
      <c r="B89" s="482">
        <v>1034</v>
      </c>
      <c r="C89" s="24">
        <v>103</v>
      </c>
      <c r="D89" s="513">
        <v>3333</v>
      </c>
      <c r="E89" s="513">
        <v>5263810</v>
      </c>
      <c r="F89" s="25">
        <f t="shared" si="22"/>
        <v>362.81718103015777</v>
      </c>
      <c r="G89" s="25">
        <f t="shared" si="23"/>
        <v>181899.22759637039</v>
      </c>
      <c r="H89" s="2">
        <f t="shared" si="24"/>
        <v>1.3116539034434969</v>
      </c>
      <c r="I89" s="25">
        <f t="shared" si="25"/>
        <v>475.89057173457229</v>
      </c>
      <c r="J89" s="87">
        <f>IFERROR(G89*VLOOKUP(W89,livestock_intensity!$B$7:$I$29,8,FALSE)/Z89,0)</f>
        <v>302266.56911018549</v>
      </c>
      <c r="K89" s="2">
        <f>VLOOKUP($W89,feed_mix_n,MATCH(K$5,feed_mix_w!$B$5:$AC$5,0),FALSE)/$Z89*VLOOKUP(K$5,feed_intensity_w,11,FALSE)</f>
        <v>0.11067109570641685</v>
      </c>
      <c r="L89" s="25">
        <f t="shared" si="26"/>
        <v>40.153374965720957</v>
      </c>
      <c r="M89" s="25">
        <f>IFERROR(G89*VLOOKUP(W89,livestock_intensity!$B$7:$M$29,12,FALSE)/Z89,0)</f>
        <v>26672.441524760252</v>
      </c>
      <c r="N89" s="2">
        <f>VLOOKUP($W89,feed_mix_n,MATCH(N$5,feed_mix_w!$B$5:$AC$5,0),FALSE)/$Z89*VLOOKUP(N$5,feed_intensity_w,11,FALSE)</f>
        <v>0</v>
      </c>
      <c r="O89" s="25">
        <f t="shared" si="27"/>
        <v>0</v>
      </c>
      <c r="P89" s="343">
        <f>IFERROR(G89*VLOOKUP(W89,livestock_intensity!$B$7:$Q$29,16,FALSE)/Z89,0)</f>
        <v>0</v>
      </c>
      <c r="Q89" s="758"/>
      <c r="R89" s="331">
        <f t="shared" si="28"/>
        <v>516.04394670029319</v>
      </c>
      <c r="S89" s="331">
        <f t="shared" si="29"/>
        <v>328939.01063494576</v>
      </c>
      <c r="T89" s="739" t="s">
        <v>2738</v>
      </c>
      <c r="U89" s="558" t="s">
        <v>413</v>
      </c>
      <c r="V89" s="559" t="str">
        <f>IFERROR(VLOOKUP(W89,constant_ag_extr!$D$7:$E$594,2,FALSE),"")</f>
        <v>Pigs</v>
      </c>
      <c r="W89" s="560">
        <f t="shared" si="30"/>
        <v>1034</v>
      </c>
      <c r="X89" s="2">
        <f>IFERROR(IF(VLOOKUP(B89,cnst_grazing!$C$10:$H$25,5,FALSE)="", IF(VLOOKUP(B89, cnst_grazing!$C$10:$H$25,3,FALSE)="", VLOOKUP(B89, cnst_grazing!$C$10:$H$25,4,FALSE),VLOOKUP(B89, cnst_grazing!$C$10:$H$25,3,FALSE)), VLOOKUP(B89,cnst_grazing!$C$10:$H$25,5,FALSE)),1)</f>
        <v>0.10885603991303863</v>
      </c>
      <c r="Y89" s="2">
        <f>IFERROR(IF(VLOOKUP(B89,cnst_grazing!$C$10:$H$25,6,FALSE)="", IF(VLOOKUP(B89, cnst_grazing!$C$10:$H$25,4,FALSE)="", VLOOKUP(B89, cnst_grazing!$C$10:$H$25,3,FALSE),VLOOKUP(B89, cnst_grazing!$C$10:$H$25,4,FALSE)), VLOOKUP(B89,cnst_grazing!$C$10:$H$25,6,FALSE)),1)</f>
        <v>3.4556571684078718E-2</v>
      </c>
      <c r="Z89" s="400">
        <f t="shared" si="31"/>
        <v>1</v>
      </c>
      <c r="AA89" s="2">
        <f t="shared" si="32"/>
        <v>1.3116539034434969</v>
      </c>
      <c r="AB89" s="2">
        <f>VLOOKUP($W89,feed_mix_n,MATCH(AB$5,feed_mix_w!$B$5:$AC$5,0),FALSE)/$Z89*VLOOKUP(AB$5,feed_intensity_w,11,FALSE)</f>
        <v>0.56398484251554992</v>
      </c>
      <c r="AC89" s="2">
        <f>VLOOKUP($W89,feed_mix_n,MATCH(AC$5,feed_mix_w!$B$5:$AC$5,0),FALSE)/$Z89*VLOOKUP(AC$5,feed_intensity_w,11,FALSE)</f>
        <v>0</v>
      </c>
      <c r="AD89" s="2">
        <f>VLOOKUP($W89,feed_mix_n,MATCH(AD$5,feed_mix_w!$B$5:$AC$5,0),FALSE)/$Z89*VLOOKUP(AD$5,feed_intensity_w,11,FALSE)</f>
        <v>0.2454122147141162</v>
      </c>
      <c r="AE89" s="2">
        <f>VLOOKUP($W89,feed_mix_n,MATCH(AE$5,feed_mix_w!$B$5:$AC$5,0),FALSE)/$Z89*VLOOKUP(AE$5,feed_intensity_w,11,FALSE)</f>
        <v>0.10727983950280436</v>
      </c>
      <c r="AF89" s="2">
        <f>VLOOKUP($W89,feed_mix_n,MATCH(AF$5,feed_mix_w!$B$5:$AC$5,0),FALSE)/$Z89*VLOOKUP(AF$5,feed_intensity_w,11,FALSE)</f>
        <v>0</v>
      </c>
      <c r="AG89" s="2">
        <f>VLOOKUP($W89,feed_mix_n,MATCH(AG$5,feed_mix_w!$B$5:$AC$5,0),FALSE)/$Z89*VLOOKUP(AG$5,feed_intensity_w,11,FALSE)</f>
        <v>0</v>
      </c>
      <c r="AH89" s="2">
        <f>VLOOKUP($W89,feed_mix_n,MATCH(AH$5,feed_mix_w!$B$5:$AC$5,0),FALSE)/$Z89*VLOOKUP(AH$5,feed_intensity_w,11,FALSE)</f>
        <v>0.25747161480673042</v>
      </c>
      <c r="AI89" s="2">
        <f>VLOOKUP($W89,feed_mix_n,MATCH(AI$5,feed_mix_w!$B$5:$AC$5,0),FALSE)/$Z89*VLOOKUP(AI$5,feed_intensity_w,11,FALSE)</f>
        <v>0</v>
      </c>
      <c r="AJ89" s="2">
        <f>VLOOKUP($W89,feed_mix_n,MATCH(AJ$5,feed_mix_w!$B$5:$AC$5,0),FALSE)/$Z89*VLOOKUP(AJ$5,feed_intensity_w,11,FALSE)</f>
        <v>0</v>
      </c>
      <c r="AK89" s="2">
        <f>VLOOKUP($W89,feed_mix_n,MATCH(AK$5,feed_mix_w!$B$5:$AC$5,0),FALSE)/$Z89*VLOOKUP(AK$5,feed_intensity_w,11,FALSE)</f>
        <v>0</v>
      </c>
      <c r="AL89" s="2">
        <f>VLOOKUP($W89,feed_mix_n,MATCH(AL$5,feed_mix_w!$B$5:$AC$5,0),FALSE)/$Z89*VLOOKUP(AL$5,feed_intensity_w,11,FALSE)</f>
        <v>0</v>
      </c>
      <c r="AM89" s="2">
        <f>VLOOKUP($W89,feed_mix_n,MATCH(AM$5,feed_mix_w!$B$5:$AC$5,0),FALSE)/$Z89*VLOOKUP(AM$5,feed_intensity_w,11,FALSE)</f>
        <v>0</v>
      </c>
      <c r="AN89" s="2">
        <f>VLOOKUP($W89,feed_mix_n,MATCH(AN$5,feed_mix_w!$B$5:$AC$5,0),FALSE)/$Z89*VLOOKUP(AN$5,feed_intensity_w,11,FALSE)</f>
        <v>0</v>
      </c>
      <c r="AO89" s="2">
        <f>VLOOKUP($W89,feed_mix_n,MATCH(AO$5,feed_mix_w!$B$5:$AC$5,0),FALSE)/$Z89*VLOOKUP(AO$5,feed_intensity_w,11,FALSE)</f>
        <v>0</v>
      </c>
      <c r="AP89" s="2">
        <f>VLOOKUP($W89,feed_mix_n,MATCH(AP$5,feed_mix_w!$B$5:$AC$5,0),FALSE)/$Z89*VLOOKUP(AP$5,feed_intensity_w,11,FALSE)</f>
        <v>0</v>
      </c>
      <c r="AQ89" s="2">
        <f>VLOOKUP($W89,feed_mix_n,MATCH(AQ$5,feed_mix_w!$B$5:$AC$5,0),FALSE)/$Z89*VLOOKUP(AQ$5,feed_intensity_w,11,FALSE)</f>
        <v>0</v>
      </c>
      <c r="AR89" s="2">
        <f>VLOOKUP($W89,feed_mix_n,MATCH(AR$5,feed_mix_w!$B$5:$AC$5,0),FALSE)/$Z89*VLOOKUP(AR$5,feed_intensity_w,11,FALSE)</f>
        <v>0.13750539190429587</v>
      </c>
      <c r="AS89" s="389">
        <f>VLOOKUP($W89,feed_mix_n,MATCH(AS$5,feed_mix_w!$B$5:$AC$5,0),FALSE)/$Z89*VLOOKUP(AS$5,feed_intensity_w,11,FALSE)</f>
        <v>0</v>
      </c>
    </row>
    <row r="90" spans="1:45" ht="12.75" customHeight="1">
      <c r="A90" s="14" t="s">
        <v>7164</v>
      </c>
      <c r="B90" s="482">
        <v>1035</v>
      </c>
      <c r="C90" s="24" t="s">
        <v>138</v>
      </c>
      <c r="D90" s="513">
        <v>3936</v>
      </c>
      <c r="E90" s="513">
        <v>163487</v>
      </c>
      <c r="F90" s="25">
        <f t="shared" si="22"/>
        <v>3936</v>
      </c>
      <c r="G90" s="25">
        <f t="shared" si="23"/>
        <v>163487</v>
      </c>
      <c r="H90" s="2">
        <f t="shared" si="24"/>
        <v>1.5677501564612562</v>
      </c>
      <c r="I90" s="25">
        <f t="shared" si="25"/>
        <v>6170.6646158315043</v>
      </c>
      <c r="J90" s="87">
        <f>IFERROR(G90*VLOOKUP(W90,livestock_intensity!$B$7:$I$29,8,FALSE)/Z90,0)</f>
        <v>324713.30420537479</v>
      </c>
      <c r="K90" s="2">
        <f>VLOOKUP($W90,feed_mix_n,MATCH(K$5,feed_mix_w!$B$5:$AC$5,0),FALSE)/$Z90*VLOOKUP(K$5,feed_intensity_w,11,FALSE)</f>
        <v>0.13227927516090213</v>
      </c>
      <c r="L90" s="25">
        <f t="shared" si="26"/>
        <v>520.65122703331076</v>
      </c>
      <c r="M90" s="25">
        <f>IFERROR(G90*VLOOKUP(W90,livestock_intensity!$B$7:$M$29,12,FALSE)/Z90,0)</f>
        <v>28653.174064950537</v>
      </c>
      <c r="N90" s="2">
        <f>VLOOKUP($W90,feed_mix_n,MATCH(N$5,feed_mix_w!$B$5:$AC$5,0),FALSE)/$Z90*VLOOKUP(N$5,feed_intensity_w,11,FALSE)</f>
        <v>0</v>
      </c>
      <c r="O90" s="25">
        <f t="shared" si="27"/>
        <v>0</v>
      </c>
      <c r="P90" s="343">
        <f>IFERROR(G90*VLOOKUP(W90,livestock_intensity!$B$7:$Q$29,16,FALSE)/Z90,0)</f>
        <v>0</v>
      </c>
      <c r="Q90" s="758"/>
      <c r="R90" s="331">
        <f t="shared" si="28"/>
        <v>6691.3158428648148</v>
      </c>
      <c r="S90" s="331">
        <f t="shared" si="29"/>
        <v>353366.47827032534</v>
      </c>
      <c r="T90" s="739" t="s">
        <v>2738</v>
      </c>
      <c r="U90" s="558" t="s">
        <v>2796</v>
      </c>
      <c r="V90" s="559" t="str">
        <f>IFERROR(VLOOKUP(W90,constant_ag_extr!$D$7:$E$594,2,FALSE),"")</f>
        <v>Pigs</v>
      </c>
      <c r="W90" s="560">
        <f t="shared" si="30"/>
        <v>1034</v>
      </c>
      <c r="X90" s="2">
        <f>IFERROR(IF(VLOOKUP(B90,cnst_grazing!$C$10:$H$25,5,FALSE)="", IF(VLOOKUP(B90, cnst_grazing!$C$10:$H$25,3,FALSE)="", VLOOKUP(B90, cnst_grazing!$C$10:$H$25,4,FALSE),VLOOKUP(B90, cnst_grazing!$C$10:$H$25,3,FALSE)), VLOOKUP(B90,cnst_grazing!$C$10:$H$25,5,FALSE)),1)</f>
        <v>1</v>
      </c>
      <c r="Y90" s="2">
        <f>IFERROR(IF(VLOOKUP(B90,cnst_grazing!$C$10:$H$25,6,FALSE)="", IF(VLOOKUP(B90, cnst_grazing!$C$10:$H$25,4,FALSE)="", VLOOKUP(B90, cnst_grazing!$C$10:$H$25,3,FALSE),VLOOKUP(B90, cnst_grazing!$C$10:$H$25,4,FALSE)), VLOOKUP(B90,cnst_grazing!$C$10:$H$25,6,FALSE)),1)</f>
        <v>1</v>
      </c>
      <c r="Z90" s="400">
        <f t="shared" si="31"/>
        <v>0.83664727956664808</v>
      </c>
      <c r="AA90" s="2">
        <f t="shared" si="32"/>
        <v>1.5677501564612562</v>
      </c>
      <c r="AB90" s="2">
        <f>VLOOKUP($W90,feed_mix_n,MATCH(AB$5,feed_mix_w!$B$5:$AC$5,0),FALSE)/$Z90*VLOOKUP(AB$5,feed_intensity_w,11,FALSE)</f>
        <v>0.67410108929974999</v>
      </c>
      <c r="AC90" s="2">
        <f>VLOOKUP($W90,feed_mix_n,MATCH(AC$5,feed_mix_w!$B$5:$AC$5,0),FALSE)/$Z90*VLOOKUP(AC$5,feed_intensity_w,11,FALSE)</f>
        <v>0</v>
      </c>
      <c r="AD90" s="2">
        <f>VLOOKUP($W90,feed_mix_n,MATCH(AD$5,feed_mix_w!$B$5:$AC$5,0),FALSE)/$Z90*VLOOKUP(AD$5,feed_intensity_w,11,FALSE)</f>
        <v>0.29332816911952497</v>
      </c>
      <c r="AE90" s="2">
        <f>VLOOKUP($W90,feed_mix_n,MATCH(AE$5,feed_mix_w!$B$5:$AC$5,0),FALSE)/$Z90*VLOOKUP(AE$5,feed_intensity_w,11,FALSE)</f>
        <v>0.12822588696920317</v>
      </c>
      <c r="AF90" s="2">
        <f>VLOOKUP($W90,feed_mix_n,MATCH(AF$5,feed_mix_w!$B$5:$AC$5,0),FALSE)/$Z90*VLOOKUP(AF$5,feed_intensity_w,11,FALSE)</f>
        <v>0</v>
      </c>
      <c r="AG90" s="2">
        <f>VLOOKUP($W90,feed_mix_n,MATCH(AG$5,feed_mix_w!$B$5:$AC$5,0),FALSE)/$Z90*VLOOKUP(AG$5,feed_intensity_w,11,FALSE)</f>
        <v>0</v>
      </c>
      <c r="AH90" s="2">
        <f>VLOOKUP($W90,feed_mix_n,MATCH(AH$5,feed_mix_w!$B$5:$AC$5,0),FALSE)/$Z90*VLOOKUP(AH$5,feed_intensity_w,11,FALSE)</f>
        <v>0.30774212872608764</v>
      </c>
      <c r="AI90" s="2">
        <f>VLOOKUP($W90,feed_mix_n,MATCH(AI$5,feed_mix_w!$B$5:$AC$5,0),FALSE)/$Z90*VLOOKUP(AI$5,feed_intensity_w,11,FALSE)</f>
        <v>0</v>
      </c>
      <c r="AJ90" s="2">
        <f>VLOOKUP($W90,feed_mix_n,MATCH(AJ$5,feed_mix_w!$B$5:$AC$5,0),FALSE)/$Z90*VLOOKUP(AJ$5,feed_intensity_w,11,FALSE)</f>
        <v>0</v>
      </c>
      <c r="AK90" s="2">
        <f>VLOOKUP($W90,feed_mix_n,MATCH(AK$5,feed_mix_w!$B$5:$AC$5,0),FALSE)/$Z90*VLOOKUP(AK$5,feed_intensity_w,11,FALSE)</f>
        <v>0</v>
      </c>
      <c r="AL90" s="2">
        <f>VLOOKUP($W90,feed_mix_n,MATCH(AL$5,feed_mix_w!$B$5:$AC$5,0),FALSE)/$Z90*VLOOKUP(AL$5,feed_intensity_w,11,FALSE)</f>
        <v>0</v>
      </c>
      <c r="AM90" s="2">
        <f>VLOOKUP($W90,feed_mix_n,MATCH(AM$5,feed_mix_w!$B$5:$AC$5,0),FALSE)/$Z90*VLOOKUP(AM$5,feed_intensity_w,11,FALSE)</f>
        <v>0</v>
      </c>
      <c r="AN90" s="2">
        <f>VLOOKUP($W90,feed_mix_n,MATCH(AN$5,feed_mix_w!$B$5:$AC$5,0),FALSE)/$Z90*VLOOKUP(AN$5,feed_intensity_w,11,FALSE)</f>
        <v>0</v>
      </c>
      <c r="AO90" s="2">
        <f>VLOOKUP($W90,feed_mix_n,MATCH(AO$5,feed_mix_w!$B$5:$AC$5,0),FALSE)/$Z90*VLOOKUP(AO$5,feed_intensity_w,11,FALSE)</f>
        <v>0</v>
      </c>
      <c r="AP90" s="2">
        <f>VLOOKUP($W90,feed_mix_n,MATCH(AP$5,feed_mix_w!$B$5:$AC$5,0),FALSE)/$Z90*VLOOKUP(AP$5,feed_intensity_w,11,FALSE)</f>
        <v>0</v>
      </c>
      <c r="AQ90" s="2">
        <f>VLOOKUP($W90,feed_mix_n,MATCH(AQ$5,feed_mix_w!$B$5:$AC$5,0),FALSE)/$Z90*VLOOKUP(AQ$5,feed_intensity_w,11,FALSE)</f>
        <v>0</v>
      </c>
      <c r="AR90" s="2">
        <f>VLOOKUP($W90,feed_mix_n,MATCH(AR$5,feed_mix_w!$B$5:$AC$5,0),FALSE)/$Z90*VLOOKUP(AR$5,feed_intensity_w,11,FALSE)</f>
        <v>0.16435288234669035</v>
      </c>
      <c r="AS90" s="389">
        <f>VLOOKUP($W90,feed_mix_n,MATCH(AS$5,feed_mix_w!$B$5:$AC$5,0),FALSE)/$Z90*VLOOKUP(AS$5,feed_intensity_w,11,FALSE)</f>
        <v>0</v>
      </c>
    </row>
    <row r="91" spans="1:45" ht="12.75" customHeight="1">
      <c r="A91" s="14" t="s">
        <v>7165</v>
      </c>
      <c r="B91" s="482">
        <v>1036</v>
      </c>
      <c r="C91" s="24" t="s">
        <v>676</v>
      </c>
      <c r="D91" s="513">
        <v>20809</v>
      </c>
      <c r="E91" s="513">
        <v>126063</v>
      </c>
      <c r="F91" s="25">
        <f t="shared" si="22"/>
        <v>20809</v>
      </c>
      <c r="G91" s="25">
        <f t="shared" si="23"/>
        <v>126063</v>
      </c>
      <c r="H91" s="2">
        <f t="shared" si="24"/>
        <v>0.86268695249919725</v>
      </c>
      <c r="I91" s="25">
        <f t="shared" si="25"/>
        <v>17951.652794555797</v>
      </c>
      <c r="J91" s="87">
        <f>IFERROR(G91*VLOOKUP(W91,livestock_intensity!$B$7:$I$29,8,FALSE)/Z91,0)</f>
        <v>137778.31636324452</v>
      </c>
      <c r="K91" s="2">
        <f>VLOOKUP($W91,feed_mix_n,MATCH(K$5,feed_mix_w!$B$5:$AC$5,0),FALSE)/$Z91*VLOOKUP(K$5,feed_intensity_w,11,FALSE)</f>
        <v>7.2789407353620994E-2</v>
      </c>
      <c r="L91" s="25">
        <f t="shared" si="26"/>
        <v>1514.6747776214993</v>
      </c>
      <c r="M91" s="25">
        <f>IFERROR(G91*VLOOKUP(W91,livestock_intensity!$B$7:$M$29,12,FALSE)/Z91,0)</f>
        <v>12157.758952294023</v>
      </c>
      <c r="N91" s="2">
        <f>VLOOKUP($W91,feed_mix_n,MATCH(N$5,feed_mix_w!$B$5:$AC$5,0),FALSE)/$Z91*VLOOKUP(N$5,feed_intensity_w,11,FALSE)</f>
        <v>0</v>
      </c>
      <c r="O91" s="25">
        <f t="shared" si="27"/>
        <v>0</v>
      </c>
      <c r="P91" s="343">
        <f>IFERROR(G91*VLOOKUP(W91,livestock_intensity!$B$7:$Q$29,16,FALSE)/Z91,0)</f>
        <v>0</v>
      </c>
      <c r="Q91" s="758"/>
      <c r="R91" s="331">
        <f t="shared" si="28"/>
        <v>19466.327572177295</v>
      </c>
      <c r="S91" s="331">
        <f t="shared" si="29"/>
        <v>149936.07531553853</v>
      </c>
      <c r="T91" s="739">
        <v>2736</v>
      </c>
      <c r="U91" s="558" t="s">
        <v>2796</v>
      </c>
      <c r="V91" s="559" t="str">
        <f>IFERROR(VLOOKUP(W91,constant_ag_extr!$D$7:$E$594,2,FALSE),"")</f>
        <v>Pigs</v>
      </c>
      <c r="W91" s="560">
        <f t="shared" si="30"/>
        <v>1034</v>
      </c>
      <c r="X91" s="2">
        <f>IFERROR(IF(VLOOKUP(B91,cnst_grazing!$C$10:$H$25,5,FALSE)="", IF(VLOOKUP(B91, cnst_grazing!$C$10:$H$25,3,FALSE)="", VLOOKUP(B91, cnst_grazing!$C$10:$H$25,4,FALSE),VLOOKUP(B91, cnst_grazing!$C$10:$H$25,3,FALSE)), VLOOKUP(B91,cnst_grazing!$C$10:$H$25,5,FALSE)),1)</f>
        <v>1</v>
      </c>
      <c r="Y91" s="2">
        <f>IFERROR(IF(VLOOKUP(B91,cnst_grazing!$C$10:$H$25,6,FALSE)="", IF(VLOOKUP(B91, cnst_grazing!$C$10:$H$25,4,FALSE)="", VLOOKUP(B91, cnst_grazing!$C$10:$H$25,3,FALSE),VLOOKUP(B91, cnst_grazing!$C$10:$H$25,4,FALSE)), VLOOKUP(B91,cnst_grazing!$C$10:$H$25,6,FALSE)),1)</f>
        <v>1</v>
      </c>
      <c r="Z91" s="400">
        <f t="shared" si="31"/>
        <v>1.5204285861095335</v>
      </c>
      <c r="AA91" s="2">
        <f t="shared" si="32"/>
        <v>0.86268695249919725</v>
      </c>
      <c r="AB91" s="2">
        <f>VLOOKUP($W91,feed_mix_n,MATCH(AB$5,feed_mix_w!$B$5:$AC$5,0),FALSE)/$Z91*VLOOKUP(AB$5,feed_intensity_w,11,FALSE)</f>
        <v>0.37093806816581371</v>
      </c>
      <c r="AC91" s="2">
        <f>VLOOKUP($W91,feed_mix_n,MATCH(AC$5,feed_mix_w!$B$5:$AC$5,0),FALSE)/$Z91*VLOOKUP(AC$5,feed_intensity_w,11,FALSE)</f>
        <v>0</v>
      </c>
      <c r="AD91" s="2">
        <f>VLOOKUP($W91,feed_mix_n,MATCH(AD$5,feed_mix_w!$B$5:$AC$5,0),FALSE)/$Z91*VLOOKUP(AD$5,feed_intensity_w,11,FALSE)</f>
        <v>0.16140989255014995</v>
      </c>
      <c r="AE91" s="2">
        <f>VLOOKUP($W91,feed_mix_n,MATCH(AE$5,feed_mix_w!$B$5:$AC$5,0),FALSE)/$Z91*VLOOKUP(AE$5,feed_intensity_w,11,FALSE)</f>
        <v>7.0558946656818375E-2</v>
      </c>
      <c r="AF91" s="2">
        <f>VLOOKUP($W91,feed_mix_n,MATCH(AF$5,feed_mix_w!$B$5:$AC$5,0),FALSE)/$Z91*VLOOKUP(AF$5,feed_intensity_w,11,FALSE)</f>
        <v>0</v>
      </c>
      <c r="AG91" s="2">
        <f>VLOOKUP($W91,feed_mix_n,MATCH(AG$5,feed_mix_w!$B$5:$AC$5,0),FALSE)/$Z91*VLOOKUP(AG$5,feed_intensity_w,11,FALSE)</f>
        <v>0</v>
      </c>
      <c r="AH91" s="2">
        <f>VLOOKUP($W91,feed_mix_n,MATCH(AH$5,feed_mix_w!$B$5:$AC$5,0),FALSE)/$Z91*VLOOKUP(AH$5,feed_intensity_w,11,FALSE)</f>
        <v>0.16934147197636409</v>
      </c>
      <c r="AI91" s="2">
        <f>VLOOKUP($W91,feed_mix_n,MATCH(AI$5,feed_mix_w!$B$5:$AC$5,0),FALSE)/$Z91*VLOOKUP(AI$5,feed_intensity_w,11,FALSE)</f>
        <v>0</v>
      </c>
      <c r="AJ91" s="2">
        <f>VLOOKUP($W91,feed_mix_n,MATCH(AJ$5,feed_mix_w!$B$5:$AC$5,0),FALSE)/$Z91*VLOOKUP(AJ$5,feed_intensity_w,11,FALSE)</f>
        <v>0</v>
      </c>
      <c r="AK91" s="2">
        <f>VLOOKUP($W91,feed_mix_n,MATCH(AK$5,feed_mix_w!$B$5:$AC$5,0),FALSE)/$Z91*VLOOKUP(AK$5,feed_intensity_w,11,FALSE)</f>
        <v>0</v>
      </c>
      <c r="AL91" s="2">
        <f>VLOOKUP($W91,feed_mix_n,MATCH(AL$5,feed_mix_w!$B$5:$AC$5,0),FALSE)/$Z91*VLOOKUP(AL$5,feed_intensity_w,11,FALSE)</f>
        <v>0</v>
      </c>
      <c r="AM91" s="2">
        <f>VLOOKUP($W91,feed_mix_n,MATCH(AM$5,feed_mix_w!$B$5:$AC$5,0),FALSE)/$Z91*VLOOKUP(AM$5,feed_intensity_w,11,FALSE)</f>
        <v>0</v>
      </c>
      <c r="AN91" s="2">
        <f>VLOOKUP($W91,feed_mix_n,MATCH(AN$5,feed_mix_w!$B$5:$AC$5,0),FALSE)/$Z91*VLOOKUP(AN$5,feed_intensity_w,11,FALSE)</f>
        <v>0</v>
      </c>
      <c r="AO91" s="2">
        <f>VLOOKUP($W91,feed_mix_n,MATCH(AO$5,feed_mix_w!$B$5:$AC$5,0),FALSE)/$Z91*VLOOKUP(AO$5,feed_intensity_w,11,FALSE)</f>
        <v>0</v>
      </c>
      <c r="AP91" s="2">
        <f>VLOOKUP($W91,feed_mix_n,MATCH(AP$5,feed_mix_w!$B$5:$AC$5,0),FALSE)/$Z91*VLOOKUP(AP$5,feed_intensity_w,11,FALSE)</f>
        <v>0</v>
      </c>
      <c r="AQ91" s="2">
        <f>VLOOKUP($W91,feed_mix_n,MATCH(AQ$5,feed_mix_w!$B$5:$AC$5,0),FALSE)/$Z91*VLOOKUP(AQ$5,feed_intensity_w,11,FALSE)</f>
        <v>0</v>
      </c>
      <c r="AR91" s="2">
        <f>VLOOKUP($W91,feed_mix_n,MATCH(AR$5,feed_mix_w!$B$5:$AC$5,0),FALSE)/$Z91*VLOOKUP(AR$5,feed_intensity_w,11,FALSE)</f>
        <v>9.0438573150051133E-2</v>
      </c>
      <c r="AS91" s="389">
        <f>VLOOKUP($W91,feed_mix_n,MATCH(AS$5,feed_mix_w!$B$5:$AC$5,0),FALSE)/$Z91*VLOOKUP(AS$5,feed_intensity_w,11,FALSE)</f>
        <v>0</v>
      </c>
    </row>
    <row r="92" spans="1:45" ht="12.75" customHeight="1">
      <c r="A92" s="14" t="s">
        <v>7166</v>
      </c>
      <c r="B92" s="482">
        <v>1037</v>
      </c>
      <c r="C92" s="24" t="s">
        <v>1203</v>
      </c>
      <c r="D92" s="513">
        <v>199</v>
      </c>
      <c r="E92" s="513">
        <v>61396</v>
      </c>
      <c r="F92" s="25">
        <f t="shared" si="22"/>
        <v>199</v>
      </c>
      <c r="G92" s="25">
        <f t="shared" si="23"/>
        <v>61396</v>
      </c>
      <c r="H92" s="2">
        <f t="shared" si="24"/>
        <v>0.80027178458671877</v>
      </c>
      <c r="I92" s="25">
        <f t="shared" si="25"/>
        <v>159.25408513275704</v>
      </c>
      <c r="J92" s="87">
        <f>IFERROR(G92*VLOOKUP(W92,livestock_intensity!$B$7:$I$29,8,FALSE)/Z92,0)</f>
        <v>62246.87999765882</v>
      </c>
      <c r="K92" s="2">
        <f>VLOOKUP($W92,feed_mix_n,MATCH(K$5,feed_mix_w!$B$5:$AC$5,0),FALSE)/$Z92*VLOOKUP(K$5,feed_intensity_w,11,FALSE)</f>
        <v>6.7523113399522661E-2</v>
      </c>
      <c r="L92" s="25">
        <f t="shared" si="26"/>
        <v>13.43709956650501</v>
      </c>
      <c r="M92" s="25">
        <f>IFERROR(G92*VLOOKUP(W92,livestock_intensity!$B$7:$M$29,12,FALSE)/Z92,0)</f>
        <v>5492.7551919613752</v>
      </c>
      <c r="N92" s="2">
        <f>VLOOKUP($W92,feed_mix_n,MATCH(N$5,feed_mix_w!$B$5:$AC$5,0),FALSE)/$Z92*VLOOKUP(N$5,feed_intensity_w,11,FALSE)</f>
        <v>0</v>
      </c>
      <c r="O92" s="25">
        <f t="shared" si="27"/>
        <v>0</v>
      </c>
      <c r="P92" s="343">
        <f>IFERROR(G92*VLOOKUP(W92,livestock_intensity!$B$7:$Q$29,16,FALSE)/Z92,0)</f>
        <v>0</v>
      </c>
      <c r="Q92" s="758"/>
      <c r="R92" s="331">
        <f t="shared" si="28"/>
        <v>172.69118469926204</v>
      </c>
      <c r="S92" s="331">
        <f t="shared" si="29"/>
        <v>67739.635189620196</v>
      </c>
      <c r="T92" s="739">
        <v>2737</v>
      </c>
      <c r="U92" s="558" t="s">
        <v>2796</v>
      </c>
      <c r="V92" s="559" t="str">
        <f>IFERROR(VLOOKUP(W92,constant_ag_extr!$D$7:$E$594,2,FALSE),"")</f>
        <v>Pigs</v>
      </c>
      <c r="W92" s="560">
        <f t="shared" si="30"/>
        <v>1034</v>
      </c>
      <c r="X92" s="2">
        <f>IFERROR(IF(VLOOKUP(B92,cnst_grazing!$C$10:$H$25,5,FALSE)="", IF(VLOOKUP(B92, cnst_grazing!$C$10:$H$25,3,FALSE)="", VLOOKUP(B92, cnst_grazing!$C$10:$H$25,4,FALSE),VLOOKUP(B92, cnst_grazing!$C$10:$H$25,3,FALSE)), VLOOKUP(B92,cnst_grazing!$C$10:$H$25,5,FALSE)),1)</f>
        <v>1</v>
      </c>
      <c r="Y92" s="2">
        <f>IFERROR(IF(VLOOKUP(B92,cnst_grazing!$C$10:$H$25,6,FALSE)="", IF(VLOOKUP(B92, cnst_grazing!$C$10:$H$25,4,FALSE)="", VLOOKUP(B92, cnst_grazing!$C$10:$H$25,3,FALSE),VLOOKUP(B92, cnst_grazing!$C$10:$H$25,4,FALSE)), VLOOKUP(B92,cnst_grazing!$C$10:$H$25,6,FALSE)),1)</f>
        <v>1</v>
      </c>
      <c r="Z92" s="400">
        <f t="shared" si="31"/>
        <v>1.6390105570457778</v>
      </c>
      <c r="AA92" s="2">
        <f t="shared" si="32"/>
        <v>0.80027178458671877</v>
      </c>
      <c r="AB92" s="2">
        <f>VLOOKUP($W92,feed_mix_n,MATCH(AB$5,feed_mix_w!$B$5:$AC$5,0),FALSE)/$Z92*VLOOKUP(AB$5,feed_intensity_w,11,FALSE)</f>
        <v>0.34410079916269737</v>
      </c>
      <c r="AC92" s="2">
        <f>VLOOKUP($W92,feed_mix_n,MATCH(AC$5,feed_mix_w!$B$5:$AC$5,0),FALSE)/$Z92*VLOOKUP(AC$5,feed_intensity_w,11,FALSE)</f>
        <v>0</v>
      </c>
      <c r="AD92" s="2">
        <f>VLOOKUP($W92,feed_mix_n,MATCH(AD$5,feed_mix_w!$B$5:$AC$5,0),FALSE)/$Z92*VLOOKUP(AD$5,feed_intensity_w,11,FALSE)</f>
        <v>0.14973193043762792</v>
      </c>
      <c r="AE92" s="2">
        <f>VLOOKUP($W92,feed_mix_n,MATCH(AE$5,feed_mix_w!$B$5:$AC$5,0),FALSE)/$Z92*VLOOKUP(AE$5,feed_intensity_w,11,FALSE)</f>
        <v>6.5454025931455911E-2</v>
      </c>
      <c r="AF92" s="2">
        <f>VLOOKUP($W92,feed_mix_n,MATCH(AF$5,feed_mix_w!$B$5:$AC$5,0),FALSE)/$Z92*VLOOKUP(AF$5,feed_intensity_w,11,FALSE)</f>
        <v>0</v>
      </c>
      <c r="AG92" s="2">
        <f>VLOOKUP($W92,feed_mix_n,MATCH(AG$5,feed_mix_w!$B$5:$AC$5,0),FALSE)/$Z92*VLOOKUP(AG$5,feed_intensity_w,11,FALSE)</f>
        <v>0</v>
      </c>
      <c r="AH92" s="2">
        <f>VLOOKUP($W92,feed_mix_n,MATCH(AH$5,feed_mix_w!$B$5:$AC$5,0),FALSE)/$Z92*VLOOKUP(AH$5,feed_intensity_w,11,FALSE)</f>
        <v>0.15708966223549417</v>
      </c>
      <c r="AI92" s="2">
        <f>VLOOKUP($W92,feed_mix_n,MATCH(AI$5,feed_mix_w!$B$5:$AC$5,0),FALSE)/$Z92*VLOOKUP(AI$5,feed_intensity_w,11,FALSE)</f>
        <v>0</v>
      </c>
      <c r="AJ92" s="2">
        <f>VLOOKUP($W92,feed_mix_n,MATCH(AJ$5,feed_mix_w!$B$5:$AC$5,0),FALSE)/$Z92*VLOOKUP(AJ$5,feed_intensity_w,11,FALSE)</f>
        <v>0</v>
      </c>
      <c r="AK92" s="2">
        <f>VLOOKUP($W92,feed_mix_n,MATCH(AK$5,feed_mix_w!$B$5:$AC$5,0),FALSE)/$Z92*VLOOKUP(AK$5,feed_intensity_w,11,FALSE)</f>
        <v>0</v>
      </c>
      <c r="AL92" s="2">
        <f>VLOOKUP($W92,feed_mix_n,MATCH(AL$5,feed_mix_w!$B$5:$AC$5,0),FALSE)/$Z92*VLOOKUP(AL$5,feed_intensity_w,11,FALSE)</f>
        <v>0</v>
      </c>
      <c r="AM92" s="2">
        <f>VLOOKUP($W92,feed_mix_n,MATCH(AM$5,feed_mix_w!$B$5:$AC$5,0),FALSE)/$Z92*VLOOKUP(AM$5,feed_intensity_w,11,FALSE)</f>
        <v>0</v>
      </c>
      <c r="AN92" s="2">
        <f>VLOOKUP($W92,feed_mix_n,MATCH(AN$5,feed_mix_w!$B$5:$AC$5,0),FALSE)/$Z92*VLOOKUP(AN$5,feed_intensity_w,11,FALSE)</f>
        <v>0</v>
      </c>
      <c r="AO92" s="2">
        <f>VLOOKUP($W92,feed_mix_n,MATCH(AO$5,feed_mix_w!$B$5:$AC$5,0),FALSE)/$Z92*VLOOKUP(AO$5,feed_intensity_w,11,FALSE)</f>
        <v>0</v>
      </c>
      <c r="AP92" s="2">
        <f>VLOOKUP($W92,feed_mix_n,MATCH(AP$5,feed_mix_w!$B$5:$AC$5,0),FALSE)/$Z92*VLOOKUP(AP$5,feed_intensity_w,11,FALSE)</f>
        <v>0</v>
      </c>
      <c r="AQ92" s="2">
        <f>VLOOKUP($W92,feed_mix_n,MATCH(AQ$5,feed_mix_w!$B$5:$AC$5,0),FALSE)/$Z92*VLOOKUP(AQ$5,feed_intensity_w,11,FALSE)</f>
        <v>0</v>
      </c>
      <c r="AR92" s="2">
        <f>VLOOKUP($W92,feed_mix_n,MATCH(AR$5,feed_mix_w!$B$5:$AC$5,0),FALSE)/$Z92*VLOOKUP(AR$5,feed_intensity_w,11,FALSE)</f>
        <v>8.3895366819443443E-2</v>
      </c>
      <c r="AS92" s="389">
        <f>VLOOKUP($W92,feed_mix_n,MATCH(AS$5,feed_mix_w!$B$5:$AC$5,0),FALSE)/$Z92*VLOOKUP(AS$5,feed_intensity_w,11,FALSE)</f>
        <v>0</v>
      </c>
    </row>
    <row r="93" spans="1:45" ht="12.75" customHeight="1">
      <c r="A93" s="14" t="s">
        <v>7167</v>
      </c>
      <c r="B93" s="482">
        <v>1038</v>
      </c>
      <c r="C93" s="24" t="s">
        <v>680</v>
      </c>
      <c r="D93" s="513">
        <v>124937</v>
      </c>
      <c r="E93" s="513">
        <v>798064</v>
      </c>
      <c r="F93" s="25">
        <f t="shared" si="22"/>
        <v>124937</v>
      </c>
      <c r="G93" s="25">
        <f t="shared" si="23"/>
        <v>798064</v>
      </c>
      <c r="H93" s="2">
        <f t="shared" si="24"/>
        <v>2.0221893025534179</v>
      </c>
      <c r="I93" s="25">
        <f t="shared" si="25"/>
        <v>252646.26489311637</v>
      </c>
      <c r="J93" s="87">
        <f>IFERROR(G93*VLOOKUP(W93,livestock_intensity!$B$7:$I$29,8,FALSE)/Z93,0)</f>
        <v>2044558.4694095843</v>
      </c>
      <c r="K93" s="2">
        <f>VLOOKUP($W93,feed_mix_n,MATCH(K$5,feed_mix_w!$B$5:$AC$5,0),FALSE)/$Z93*VLOOKUP(K$5,feed_intensity_w,11,FALSE)</f>
        <v>0.17062268122089447</v>
      </c>
      <c r="L93" s="25">
        <f t="shared" si="26"/>
        <v>21317.085923694893</v>
      </c>
      <c r="M93" s="25">
        <f>IFERROR(G93*VLOOKUP(W93,livestock_intensity!$B$7:$M$29,12,FALSE)/Z93,0)</f>
        <v>180414.81193178651</v>
      </c>
      <c r="N93" s="2">
        <f>VLOOKUP($W93,feed_mix_n,MATCH(N$5,feed_mix_w!$B$5:$AC$5,0),FALSE)/$Z93*VLOOKUP(N$5,feed_intensity_w,11,FALSE)</f>
        <v>0</v>
      </c>
      <c r="O93" s="25">
        <f t="shared" si="27"/>
        <v>0</v>
      </c>
      <c r="P93" s="343">
        <f>IFERROR(G93*VLOOKUP(W93,livestock_intensity!$B$7:$Q$29,16,FALSE)/Z93,0)</f>
        <v>0</v>
      </c>
      <c r="Q93" s="758"/>
      <c r="R93" s="331">
        <f t="shared" si="28"/>
        <v>273963.35081681126</v>
      </c>
      <c r="S93" s="331">
        <f t="shared" si="29"/>
        <v>2224973.2813413707</v>
      </c>
      <c r="T93" s="739" t="s">
        <v>2738</v>
      </c>
      <c r="U93" s="558" t="s">
        <v>2796</v>
      </c>
      <c r="V93" s="559" t="str">
        <f>IFERROR(VLOOKUP(W93,constant_ag_extr!$D$7:$E$594,2,FALSE),"")</f>
        <v>Pigs</v>
      </c>
      <c r="W93" s="560">
        <f t="shared" si="30"/>
        <v>1034</v>
      </c>
      <c r="X93" s="2">
        <f>IFERROR(IF(VLOOKUP(B93,cnst_grazing!$C$10:$H$25,5,FALSE)="", IF(VLOOKUP(B93, cnst_grazing!$C$10:$H$25,3,FALSE)="", VLOOKUP(B93, cnst_grazing!$C$10:$H$25,4,FALSE),VLOOKUP(B93, cnst_grazing!$C$10:$H$25,3,FALSE)), VLOOKUP(B93,cnst_grazing!$C$10:$H$25,5,FALSE)),1)</f>
        <v>1</v>
      </c>
      <c r="Y93" s="2">
        <f>IFERROR(IF(VLOOKUP(B93,cnst_grazing!$C$10:$H$25,6,FALSE)="", IF(VLOOKUP(B93, cnst_grazing!$C$10:$H$25,4,FALSE)="", VLOOKUP(B93, cnst_grazing!$C$10:$H$25,3,FALSE),VLOOKUP(B93, cnst_grazing!$C$10:$H$25,4,FALSE)), VLOOKUP(B93,cnst_grazing!$C$10:$H$25,6,FALSE)),1)</f>
        <v>1</v>
      </c>
      <c r="Z93" s="400">
        <f t="shared" si="31"/>
        <v>0.64863062117244508</v>
      </c>
      <c r="AA93" s="2">
        <f t="shared" si="32"/>
        <v>2.0221893025534179</v>
      </c>
      <c r="AB93" s="2">
        <f>VLOOKUP($W93,feed_mix_n,MATCH(AB$5,feed_mix_w!$B$5:$AC$5,0),FALSE)/$Z93*VLOOKUP(AB$5,feed_intensity_w,11,FALSE)</f>
        <v>0.86950079768992106</v>
      </c>
      <c r="AC93" s="2">
        <f>VLOOKUP($W93,feed_mix_n,MATCH(AC$5,feed_mix_w!$B$5:$AC$5,0),FALSE)/$Z93*VLOOKUP(AC$5,feed_intensity_w,11,FALSE)</f>
        <v>0</v>
      </c>
      <c r="AD93" s="2">
        <f>VLOOKUP($W93,feed_mix_n,MATCH(AD$5,feed_mix_w!$B$5:$AC$5,0),FALSE)/$Z93*VLOOKUP(AD$5,feed_intensity_w,11,FALSE)</f>
        <v>0.37835434637747523</v>
      </c>
      <c r="AE93" s="2">
        <f>VLOOKUP($W93,feed_mix_n,MATCH(AE$5,feed_mix_w!$B$5:$AC$5,0),FALSE)/$Z93*VLOOKUP(AE$5,feed_intensity_w,11,FALSE)</f>
        <v>0.1653943492659791</v>
      </c>
      <c r="AF93" s="2">
        <f>VLOOKUP($W93,feed_mix_n,MATCH(AF$5,feed_mix_w!$B$5:$AC$5,0),FALSE)/$Z93*VLOOKUP(AF$5,feed_intensity_w,11,FALSE)</f>
        <v>0</v>
      </c>
      <c r="AG93" s="2">
        <f>VLOOKUP($W93,feed_mix_n,MATCH(AG$5,feed_mix_w!$B$5:$AC$5,0),FALSE)/$Z93*VLOOKUP(AG$5,feed_intensity_w,11,FALSE)</f>
        <v>0</v>
      </c>
      <c r="AH93" s="2">
        <f>VLOOKUP($W93,feed_mix_n,MATCH(AH$5,feed_mix_w!$B$5:$AC$5,0),FALSE)/$Z93*VLOOKUP(AH$5,feed_intensity_w,11,FALSE)</f>
        <v>0.3969464382383498</v>
      </c>
      <c r="AI93" s="2">
        <f>VLOOKUP($W93,feed_mix_n,MATCH(AI$5,feed_mix_w!$B$5:$AC$5,0),FALSE)/$Z93*VLOOKUP(AI$5,feed_intensity_w,11,FALSE)</f>
        <v>0</v>
      </c>
      <c r="AJ93" s="2">
        <f>VLOOKUP($W93,feed_mix_n,MATCH(AJ$5,feed_mix_w!$B$5:$AC$5,0),FALSE)/$Z93*VLOOKUP(AJ$5,feed_intensity_w,11,FALSE)</f>
        <v>0</v>
      </c>
      <c r="AK93" s="2">
        <f>VLOOKUP($W93,feed_mix_n,MATCH(AK$5,feed_mix_w!$B$5:$AC$5,0),FALSE)/$Z93*VLOOKUP(AK$5,feed_intensity_w,11,FALSE)</f>
        <v>0</v>
      </c>
      <c r="AL93" s="2">
        <f>VLOOKUP($W93,feed_mix_n,MATCH(AL$5,feed_mix_w!$B$5:$AC$5,0),FALSE)/$Z93*VLOOKUP(AL$5,feed_intensity_w,11,FALSE)</f>
        <v>0</v>
      </c>
      <c r="AM93" s="2">
        <f>VLOOKUP($W93,feed_mix_n,MATCH(AM$5,feed_mix_w!$B$5:$AC$5,0),FALSE)/$Z93*VLOOKUP(AM$5,feed_intensity_w,11,FALSE)</f>
        <v>0</v>
      </c>
      <c r="AN93" s="2">
        <f>VLOOKUP($W93,feed_mix_n,MATCH(AN$5,feed_mix_w!$B$5:$AC$5,0),FALSE)/$Z93*VLOOKUP(AN$5,feed_intensity_w,11,FALSE)</f>
        <v>0</v>
      </c>
      <c r="AO93" s="2">
        <f>VLOOKUP($W93,feed_mix_n,MATCH(AO$5,feed_mix_w!$B$5:$AC$5,0),FALSE)/$Z93*VLOOKUP(AO$5,feed_intensity_w,11,FALSE)</f>
        <v>0</v>
      </c>
      <c r="AP93" s="2">
        <f>VLOOKUP($W93,feed_mix_n,MATCH(AP$5,feed_mix_w!$B$5:$AC$5,0),FALSE)/$Z93*VLOOKUP(AP$5,feed_intensity_w,11,FALSE)</f>
        <v>0</v>
      </c>
      <c r="AQ93" s="2">
        <f>VLOOKUP($W93,feed_mix_n,MATCH(AQ$5,feed_mix_w!$B$5:$AC$5,0),FALSE)/$Z93*VLOOKUP(AQ$5,feed_intensity_w,11,FALSE)</f>
        <v>0</v>
      </c>
      <c r="AR93" s="2">
        <f>VLOOKUP($W93,feed_mix_n,MATCH(AR$5,feed_mix_w!$B$5:$AC$5,0),FALSE)/$Z93*VLOOKUP(AR$5,feed_intensity_w,11,FALSE)</f>
        <v>0.21199337098169257</v>
      </c>
      <c r="AS93" s="389">
        <f>VLOOKUP($W93,feed_mix_n,MATCH(AS$5,feed_mix_w!$B$5:$AC$5,0),FALSE)/$Z93*VLOOKUP(AS$5,feed_intensity_w,11,FALSE)</f>
        <v>0</v>
      </c>
    </row>
    <row r="94" spans="1:45" ht="12.75" customHeight="1">
      <c r="A94" s="14" t="s">
        <v>7168</v>
      </c>
      <c r="B94" s="482">
        <v>1039</v>
      </c>
      <c r="C94" s="24" t="s">
        <v>534</v>
      </c>
      <c r="D94" s="513">
        <v>25043</v>
      </c>
      <c r="E94" s="513">
        <v>31606</v>
      </c>
      <c r="F94" s="25">
        <f t="shared" si="22"/>
        <v>25043</v>
      </c>
      <c r="G94" s="25">
        <f t="shared" si="23"/>
        <v>31606</v>
      </c>
      <c r="H94" s="2">
        <f t="shared" si="24"/>
        <v>2.0360391642353974</v>
      </c>
      <c r="I94" s="25">
        <f t="shared" si="25"/>
        <v>50988.528789947057</v>
      </c>
      <c r="J94" s="87">
        <f>IFERROR(G94*VLOOKUP(W94,livestock_intensity!$B$7:$I$29,8,FALSE)/Z94,0)</f>
        <v>81525.912602567434</v>
      </c>
      <c r="K94" s="2">
        <f>VLOOKUP($W94,feed_mix_n,MATCH(K$5,feed_mix_w!$B$5:$AC$5,0),FALSE)/$Z94*VLOOKUP(K$5,feed_intensity_w,11,FALSE)</f>
        <v>0.17179126644273007</v>
      </c>
      <c r="L94" s="25">
        <f t="shared" si="26"/>
        <v>4302.1686855252892</v>
      </c>
      <c r="M94" s="25">
        <f>IFERROR(G94*VLOOKUP(W94,livestock_intensity!$B$7:$M$29,12,FALSE)/Z94,0)</f>
        <v>7193.9650588749837</v>
      </c>
      <c r="N94" s="2">
        <f>VLOOKUP($W94,feed_mix_n,MATCH(N$5,feed_mix_w!$B$5:$AC$5,0),FALSE)/$Z94*VLOOKUP(N$5,feed_intensity_w,11,FALSE)</f>
        <v>0</v>
      </c>
      <c r="O94" s="25">
        <f t="shared" si="27"/>
        <v>0</v>
      </c>
      <c r="P94" s="343">
        <f>IFERROR(G94*VLOOKUP(W94,livestock_intensity!$B$7:$Q$29,16,FALSE)/Z94,0)</f>
        <v>0</v>
      </c>
      <c r="Q94" s="758"/>
      <c r="R94" s="331">
        <f t="shared" si="28"/>
        <v>55290.697475472349</v>
      </c>
      <c r="S94" s="331">
        <f t="shared" si="29"/>
        <v>88719.877661442413</v>
      </c>
      <c r="T94" s="739" t="s">
        <v>2738</v>
      </c>
      <c r="U94" s="558" t="s">
        <v>2796</v>
      </c>
      <c r="V94" s="559" t="str">
        <f>IFERROR(VLOOKUP(W94,constant_ag_extr!$D$7:$E$594,2,FALSE),"")</f>
        <v>Pigs</v>
      </c>
      <c r="W94" s="560">
        <f t="shared" si="30"/>
        <v>1034</v>
      </c>
      <c r="X94" s="2">
        <f>IFERROR(IF(VLOOKUP(B94,cnst_grazing!$C$10:$H$25,5,FALSE)="", IF(VLOOKUP(B94, cnst_grazing!$C$10:$H$25,3,FALSE)="", VLOOKUP(B94, cnst_grazing!$C$10:$H$25,4,FALSE),VLOOKUP(B94, cnst_grazing!$C$10:$H$25,3,FALSE)), VLOOKUP(B94,cnst_grazing!$C$10:$H$25,5,FALSE)),1)</f>
        <v>1</v>
      </c>
      <c r="Y94" s="2">
        <f>IFERROR(IF(VLOOKUP(B94,cnst_grazing!$C$10:$H$25,6,FALSE)="", IF(VLOOKUP(B94, cnst_grazing!$C$10:$H$25,4,FALSE)="", VLOOKUP(B94, cnst_grazing!$C$10:$H$25,3,FALSE),VLOOKUP(B94, cnst_grazing!$C$10:$H$25,4,FALSE)), VLOOKUP(B94,cnst_grazing!$C$10:$H$25,6,FALSE)),1)</f>
        <v>1</v>
      </c>
      <c r="Z94" s="400">
        <f t="shared" si="31"/>
        <v>0.64421840526631902</v>
      </c>
      <c r="AA94" s="2">
        <f t="shared" si="32"/>
        <v>2.0360391642353974</v>
      </c>
      <c r="AB94" s="2">
        <f>VLOOKUP($W94,feed_mix_n,MATCH(AB$5,feed_mix_w!$B$5:$AC$5,0),FALSE)/$Z94*VLOOKUP(AB$5,feed_intensity_w,11,FALSE)</f>
        <v>0.87545596012954552</v>
      </c>
      <c r="AC94" s="2">
        <f>VLOOKUP($W94,feed_mix_n,MATCH(AC$5,feed_mix_w!$B$5:$AC$5,0),FALSE)/$Z94*VLOOKUP(AC$5,feed_intensity_w,11,FALSE)</f>
        <v>0</v>
      </c>
      <c r="AD94" s="2">
        <f>VLOOKUP($W94,feed_mix_n,MATCH(AD$5,feed_mix_w!$B$5:$AC$5,0),FALSE)/$Z94*VLOOKUP(AD$5,feed_intensity_w,11,FALSE)</f>
        <v>0.38094567418120123</v>
      </c>
      <c r="AE94" s="2">
        <f>VLOOKUP($W94,feed_mix_n,MATCH(AE$5,feed_mix_w!$B$5:$AC$5,0),FALSE)/$Z94*VLOOKUP(AE$5,feed_intensity_w,11,FALSE)</f>
        <v>0.16652712593403013</v>
      </c>
      <c r="AF94" s="2">
        <f>VLOOKUP($W94,feed_mix_n,MATCH(AF$5,feed_mix_w!$B$5:$AC$5,0),FALSE)/$Z94*VLOOKUP(AF$5,feed_intensity_w,11,FALSE)</f>
        <v>0</v>
      </c>
      <c r="AG94" s="2">
        <f>VLOOKUP($W94,feed_mix_n,MATCH(AG$5,feed_mix_w!$B$5:$AC$5,0),FALSE)/$Z94*VLOOKUP(AG$5,feed_intensity_w,11,FALSE)</f>
        <v>0</v>
      </c>
      <c r="AH94" s="2">
        <f>VLOOKUP($W94,feed_mix_n,MATCH(AH$5,feed_mix_w!$B$5:$AC$5,0),FALSE)/$Z94*VLOOKUP(AH$5,feed_intensity_w,11,FALSE)</f>
        <v>0.39966510224167223</v>
      </c>
      <c r="AI94" s="2">
        <f>VLOOKUP($W94,feed_mix_n,MATCH(AI$5,feed_mix_w!$B$5:$AC$5,0),FALSE)/$Z94*VLOOKUP(AI$5,feed_intensity_w,11,FALSE)</f>
        <v>0</v>
      </c>
      <c r="AJ94" s="2">
        <f>VLOOKUP($W94,feed_mix_n,MATCH(AJ$5,feed_mix_w!$B$5:$AC$5,0),FALSE)/$Z94*VLOOKUP(AJ$5,feed_intensity_w,11,FALSE)</f>
        <v>0</v>
      </c>
      <c r="AK94" s="2">
        <f>VLOOKUP($W94,feed_mix_n,MATCH(AK$5,feed_mix_w!$B$5:$AC$5,0),FALSE)/$Z94*VLOOKUP(AK$5,feed_intensity_w,11,FALSE)</f>
        <v>0</v>
      </c>
      <c r="AL94" s="2">
        <f>VLOOKUP($W94,feed_mix_n,MATCH(AL$5,feed_mix_w!$B$5:$AC$5,0),FALSE)/$Z94*VLOOKUP(AL$5,feed_intensity_w,11,FALSE)</f>
        <v>0</v>
      </c>
      <c r="AM94" s="2">
        <f>VLOOKUP($W94,feed_mix_n,MATCH(AM$5,feed_mix_w!$B$5:$AC$5,0),FALSE)/$Z94*VLOOKUP(AM$5,feed_intensity_w,11,FALSE)</f>
        <v>0</v>
      </c>
      <c r="AN94" s="2">
        <f>VLOOKUP($W94,feed_mix_n,MATCH(AN$5,feed_mix_w!$B$5:$AC$5,0),FALSE)/$Z94*VLOOKUP(AN$5,feed_intensity_w,11,FALSE)</f>
        <v>0</v>
      </c>
      <c r="AO94" s="2">
        <f>VLOOKUP($W94,feed_mix_n,MATCH(AO$5,feed_mix_w!$B$5:$AC$5,0),FALSE)/$Z94*VLOOKUP(AO$5,feed_intensity_w,11,FALSE)</f>
        <v>0</v>
      </c>
      <c r="AP94" s="2">
        <f>VLOOKUP($W94,feed_mix_n,MATCH(AP$5,feed_mix_w!$B$5:$AC$5,0),FALSE)/$Z94*VLOOKUP(AP$5,feed_intensity_w,11,FALSE)</f>
        <v>0</v>
      </c>
      <c r="AQ94" s="2">
        <f>VLOOKUP($W94,feed_mix_n,MATCH(AQ$5,feed_mix_w!$B$5:$AC$5,0),FALSE)/$Z94*VLOOKUP(AQ$5,feed_intensity_w,11,FALSE)</f>
        <v>0</v>
      </c>
      <c r="AR94" s="2">
        <f>VLOOKUP($W94,feed_mix_n,MATCH(AR$5,feed_mix_w!$B$5:$AC$5,0),FALSE)/$Z94*VLOOKUP(AR$5,feed_intensity_w,11,FALSE)</f>
        <v>0.21344530174894852</v>
      </c>
      <c r="AS94" s="389">
        <f>VLOOKUP($W94,feed_mix_n,MATCH(AS$5,feed_mix_w!$B$5:$AC$5,0),FALSE)/$Z94*VLOOKUP(AS$5,feed_intensity_w,11,FALSE)</f>
        <v>0</v>
      </c>
    </row>
    <row r="95" spans="1:45" ht="12.75" customHeight="1">
      <c r="A95" s="14" t="s">
        <v>2859</v>
      </c>
      <c r="B95" s="482">
        <v>1040</v>
      </c>
      <c r="C95" s="24" t="s">
        <v>678</v>
      </c>
      <c r="D95" s="513"/>
      <c r="E95" s="513"/>
      <c r="F95" s="25">
        <f t="shared" si="22"/>
        <v>0</v>
      </c>
      <c r="G95" s="25">
        <f t="shared" si="23"/>
        <v>0</v>
      </c>
      <c r="H95" s="2">
        <f t="shared" si="24"/>
        <v>0.5231540891272064</v>
      </c>
      <c r="I95" s="25">
        <f t="shared" si="25"/>
        <v>0</v>
      </c>
      <c r="J95" s="87">
        <f>IFERROR(G95*VLOOKUP(W95,livestock_intensity!$B$7:$I$29,8,FALSE)/Z95,0)</f>
        <v>0</v>
      </c>
      <c r="K95" s="2">
        <f>VLOOKUP($W95,feed_mix_n,MATCH(K$5,feed_mix_w!$B$5:$AC$5,0),FALSE)/$Z95*VLOOKUP(K$5,feed_intensity_w,11,FALSE)</f>
        <v>4.4141244969423843E-2</v>
      </c>
      <c r="L95" s="25">
        <f t="shared" si="26"/>
        <v>0</v>
      </c>
      <c r="M95" s="25">
        <f>IFERROR(G95*VLOOKUP(W95,livestock_intensity!$B$7:$M$29,12,FALSE)/Z95,0)</f>
        <v>0</v>
      </c>
      <c r="N95" s="2">
        <f>VLOOKUP($W95,feed_mix_n,MATCH(N$5,feed_mix_w!$B$5:$AC$5,0),FALSE)/$Z95*VLOOKUP(N$5,feed_intensity_w,11,FALSE)</f>
        <v>0</v>
      </c>
      <c r="O95" s="25">
        <f t="shared" si="27"/>
        <v>0</v>
      </c>
      <c r="P95" s="343">
        <f>IFERROR(G95*VLOOKUP(W95,livestock_intensity!$B$7:$Q$29,16,FALSE)/Z95,0)</f>
        <v>0</v>
      </c>
      <c r="Q95" s="758"/>
      <c r="R95" s="331">
        <f t="shared" si="28"/>
        <v>0</v>
      </c>
      <c r="S95" s="331">
        <f t="shared" si="29"/>
        <v>0</v>
      </c>
      <c r="T95" s="739">
        <v>2737</v>
      </c>
      <c r="U95" s="558" t="s">
        <v>2796</v>
      </c>
      <c r="V95" s="559" t="str">
        <f>IFERROR(VLOOKUP(W95,constant_ag_extr!$D$7:$E$594,2,FALSE),"")</f>
        <v>Pigs</v>
      </c>
      <c r="W95" s="560">
        <f t="shared" si="30"/>
        <v>1034</v>
      </c>
      <c r="X95" s="2">
        <f>IFERROR(IF(VLOOKUP(B95,cnst_grazing!$C$10:$H$25,5,FALSE)="", IF(VLOOKUP(B95, cnst_grazing!$C$10:$H$25,3,FALSE)="", VLOOKUP(B95, cnst_grazing!$C$10:$H$25,4,FALSE),VLOOKUP(B95, cnst_grazing!$C$10:$H$25,3,FALSE)), VLOOKUP(B95,cnst_grazing!$C$10:$H$25,5,FALSE)),1)</f>
        <v>1</v>
      </c>
      <c r="Y95" s="2">
        <f>IFERROR(IF(VLOOKUP(B95,cnst_grazing!$C$10:$H$25,6,FALSE)="", IF(VLOOKUP(B95, cnst_grazing!$C$10:$H$25,4,FALSE)="", VLOOKUP(B95, cnst_grazing!$C$10:$H$25,3,FALSE),VLOOKUP(B95, cnst_grazing!$C$10:$H$25,4,FALSE)), VLOOKUP(B95,cnst_grazing!$C$10:$H$25,6,FALSE)),1)</f>
        <v>1</v>
      </c>
      <c r="Z95" s="400">
        <f t="shared" si="31"/>
        <v>2.5072037678836998</v>
      </c>
      <c r="AA95" s="2">
        <f t="shared" si="32"/>
        <v>0.5231540891272064</v>
      </c>
      <c r="AB95" s="2">
        <f>VLOOKUP($W95,feed_mix_n,MATCH(AB$5,feed_mix_w!$B$5:$AC$5,0),FALSE)/$Z95*VLOOKUP(AB$5,feed_intensity_w,11,FALSE)</f>
        <v>0.22494575420632951</v>
      </c>
      <c r="AC95" s="2">
        <f>VLOOKUP($W95,feed_mix_n,MATCH(AC$5,feed_mix_w!$B$5:$AC$5,0),FALSE)/$Z95*VLOOKUP(AC$5,feed_intensity_w,11,FALSE)</f>
        <v>0</v>
      </c>
      <c r="AD95" s="2">
        <f>VLOOKUP($W95,feed_mix_n,MATCH(AD$5,feed_mix_w!$B$5:$AC$5,0),FALSE)/$Z95*VLOOKUP(AD$5,feed_intensity_w,11,FALSE)</f>
        <v>9.7882835794102882E-2</v>
      </c>
      <c r="AE95" s="2">
        <f>VLOOKUP($W95,feed_mix_n,MATCH(AE$5,feed_mix_w!$B$5:$AC$5,0),FALSE)/$Z95*VLOOKUP(AE$5,feed_intensity_w,11,FALSE)</f>
        <v>4.2788640028791097E-2</v>
      </c>
      <c r="AF95" s="2">
        <f>VLOOKUP($W95,feed_mix_n,MATCH(AF$5,feed_mix_w!$B$5:$AC$5,0),FALSE)/$Z95*VLOOKUP(AF$5,feed_intensity_w,11,FALSE)</f>
        <v>0</v>
      </c>
      <c r="AG95" s="2">
        <f>VLOOKUP($W95,feed_mix_n,MATCH(AG$5,feed_mix_w!$B$5:$AC$5,0),FALSE)/$Z95*VLOOKUP(AG$5,feed_intensity_w,11,FALSE)</f>
        <v>0</v>
      </c>
      <c r="AH95" s="2">
        <f>VLOOKUP($W95,feed_mix_n,MATCH(AH$5,feed_mix_w!$B$5:$AC$5,0),FALSE)/$Z95*VLOOKUP(AH$5,feed_intensity_w,11,FALSE)</f>
        <v>0.10269273606909864</v>
      </c>
      <c r="AI95" s="2">
        <f>VLOOKUP($W95,feed_mix_n,MATCH(AI$5,feed_mix_w!$B$5:$AC$5,0),FALSE)/$Z95*VLOOKUP(AI$5,feed_intensity_w,11,FALSE)</f>
        <v>0</v>
      </c>
      <c r="AJ95" s="2">
        <f>VLOOKUP($W95,feed_mix_n,MATCH(AJ$5,feed_mix_w!$B$5:$AC$5,0),FALSE)/$Z95*VLOOKUP(AJ$5,feed_intensity_w,11,FALSE)</f>
        <v>0</v>
      </c>
      <c r="AK95" s="2">
        <f>VLOOKUP($W95,feed_mix_n,MATCH(AK$5,feed_mix_w!$B$5:$AC$5,0),FALSE)/$Z95*VLOOKUP(AK$5,feed_intensity_w,11,FALSE)</f>
        <v>0</v>
      </c>
      <c r="AL95" s="2">
        <f>VLOOKUP($W95,feed_mix_n,MATCH(AL$5,feed_mix_w!$B$5:$AC$5,0),FALSE)/$Z95*VLOOKUP(AL$5,feed_intensity_w,11,FALSE)</f>
        <v>0</v>
      </c>
      <c r="AM95" s="2">
        <f>VLOOKUP($W95,feed_mix_n,MATCH(AM$5,feed_mix_w!$B$5:$AC$5,0),FALSE)/$Z95*VLOOKUP(AM$5,feed_intensity_w,11,FALSE)</f>
        <v>0</v>
      </c>
      <c r="AN95" s="2">
        <f>VLOOKUP($W95,feed_mix_n,MATCH(AN$5,feed_mix_w!$B$5:$AC$5,0),FALSE)/$Z95*VLOOKUP(AN$5,feed_intensity_w,11,FALSE)</f>
        <v>0</v>
      </c>
      <c r="AO95" s="2">
        <f>VLOOKUP($W95,feed_mix_n,MATCH(AO$5,feed_mix_w!$B$5:$AC$5,0),FALSE)/$Z95*VLOOKUP(AO$5,feed_intensity_w,11,FALSE)</f>
        <v>0</v>
      </c>
      <c r="AP95" s="2">
        <f>VLOOKUP($W95,feed_mix_n,MATCH(AP$5,feed_mix_w!$B$5:$AC$5,0),FALSE)/$Z95*VLOOKUP(AP$5,feed_intensity_w,11,FALSE)</f>
        <v>0</v>
      </c>
      <c r="AQ95" s="2">
        <f>VLOOKUP($W95,feed_mix_n,MATCH(AQ$5,feed_mix_w!$B$5:$AC$5,0),FALSE)/$Z95*VLOOKUP(AQ$5,feed_intensity_w,11,FALSE)</f>
        <v>0</v>
      </c>
      <c r="AR95" s="2">
        <f>VLOOKUP($W95,feed_mix_n,MATCH(AR$5,feed_mix_w!$B$5:$AC$5,0),FALSE)/$Z95*VLOOKUP(AR$5,feed_intensity_w,11,FALSE)</f>
        <v>5.4844123028884278E-2</v>
      </c>
      <c r="AS95" s="389">
        <f>VLOOKUP($W95,feed_mix_n,MATCH(AS$5,feed_mix_w!$B$5:$AC$5,0),FALSE)/$Z95*VLOOKUP(AS$5,feed_intensity_w,11,FALSE)</f>
        <v>0</v>
      </c>
    </row>
    <row r="96" spans="1:45" ht="12.75" customHeight="1">
      <c r="A96" s="14" t="s">
        <v>7169</v>
      </c>
      <c r="B96" s="482">
        <v>1041</v>
      </c>
      <c r="C96" s="24" t="s">
        <v>685</v>
      </c>
      <c r="D96" s="513">
        <v>24922</v>
      </c>
      <c r="E96" s="513">
        <v>11388</v>
      </c>
      <c r="F96" s="25">
        <f t="shared" si="22"/>
        <v>24922</v>
      </c>
      <c r="G96" s="25">
        <f t="shared" si="23"/>
        <v>11388</v>
      </c>
      <c r="H96" s="2">
        <f t="shared" si="24"/>
        <v>1.8444119487779485</v>
      </c>
      <c r="I96" s="25">
        <f t="shared" si="25"/>
        <v>45966.434587444033</v>
      </c>
      <c r="J96" s="87">
        <f>IFERROR(G96*VLOOKUP(W96,livestock_intensity!$B$7:$I$29,8,FALSE)/Z96,0)</f>
        <v>26610.031654186634</v>
      </c>
      <c r="K96" s="2">
        <f>VLOOKUP($W96,feed_mix_n,MATCH(K$5,feed_mix_w!$B$5:$AC$5,0),FALSE)/$Z96*VLOOKUP(K$5,feed_intensity_w,11,FALSE)</f>
        <v>0.15562267665988486</v>
      </c>
      <c r="L96" s="25">
        <f t="shared" si="26"/>
        <v>3878.4283477176505</v>
      </c>
      <c r="M96" s="25">
        <f>IFERROR(G96*VLOOKUP(W96,livestock_intensity!$B$7:$M$29,12,FALSE)/Z96,0)</f>
        <v>2348.107881588403</v>
      </c>
      <c r="N96" s="2">
        <f>VLOOKUP($W96,feed_mix_n,MATCH(N$5,feed_mix_w!$B$5:$AC$5,0),FALSE)/$Z96*VLOOKUP(N$5,feed_intensity_w,11,FALSE)</f>
        <v>0</v>
      </c>
      <c r="O96" s="25">
        <f t="shared" si="27"/>
        <v>0</v>
      </c>
      <c r="P96" s="343">
        <f>IFERROR(G96*VLOOKUP(W96,livestock_intensity!$B$7:$Q$29,16,FALSE)/Z96,0)</f>
        <v>0</v>
      </c>
      <c r="Q96" s="758"/>
      <c r="R96" s="331">
        <f t="shared" si="28"/>
        <v>49844.862935161684</v>
      </c>
      <c r="S96" s="331">
        <f t="shared" si="29"/>
        <v>28958.139535775037</v>
      </c>
      <c r="T96" s="739" t="s">
        <v>2738</v>
      </c>
      <c r="U96" s="558" t="s">
        <v>2796</v>
      </c>
      <c r="V96" s="559" t="str">
        <f>IFERROR(VLOOKUP(W96,constant_ag_extr!$D$7:$E$594,2,FALSE),"")</f>
        <v>Pigs</v>
      </c>
      <c r="W96" s="560">
        <f t="shared" si="30"/>
        <v>1034</v>
      </c>
      <c r="X96" s="2">
        <f>IFERROR(IF(VLOOKUP(B96,cnst_grazing!$C$10:$H$25,5,FALSE)="", IF(VLOOKUP(B96, cnst_grazing!$C$10:$H$25,3,FALSE)="", VLOOKUP(B96, cnst_grazing!$C$10:$H$25,4,FALSE),VLOOKUP(B96, cnst_grazing!$C$10:$H$25,3,FALSE)), VLOOKUP(B96,cnst_grazing!$C$10:$H$25,5,FALSE)),1)</f>
        <v>1</v>
      </c>
      <c r="Y96" s="2">
        <f>IFERROR(IF(VLOOKUP(B96,cnst_grazing!$C$10:$H$25,6,FALSE)="", IF(VLOOKUP(B96, cnst_grazing!$C$10:$H$25,4,FALSE)="", VLOOKUP(B96, cnst_grazing!$C$10:$H$25,3,FALSE),VLOOKUP(B96, cnst_grazing!$C$10:$H$25,4,FALSE)), VLOOKUP(B96,cnst_grazing!$C$10:$H$25,6,FALSE)),1)</f>
        <v>1</v>
      </c>
      <c r="Z96" s="400">
        <f t="shared" si="31"/>
        <v>0.71115018763165083</v>
      </c>
      <c r="AA96" s="2">
        <f t="shared" si="32"/>
        <v>1.8444119487779485</v>
      </c>
      <c r="AB96" s="2">
        <f>VLOOKUP($W96,feed_mix_n,MATCH(AB$5,feed_mix_w!$B$5:$AC$5,0),FALSE)/$Z96*VLOOKUP(AB$5,feed_intensity_w,11,FALSE)</f>
        <v>0.79306010505852953</v>
      </c>
      <c r="AC96" s="2">
        <f>VLOOKUP($W96,feed_mix_n,MATCH(AC$5,feed_mix_w!$B$5:$AC$5,0),FALSE)/$Z96*VLOOKUP(AC$5,feed_intensity_w,11,FALSE)</f>
        <v>0</v>
      </c>
      <c r="AD96" s="2">
        <f>VLOOKUP($W96,feed_mix_n,MATCH(AD$5,feed_mix_w!$B$5:$AC$5,0),FALSE)/$Z96*VLOOKUP(AD$5,feed_intensity_w,11,FALSE)</f>
        <v>0.34509196367002937</v>
      </c>
      <c r="AE96" s="2">
        <f>VLOOKUP($W96,feed_mix_n,MATCH(AE$5,feed_mix_w!$B$5:$AC$5,0),FALSE)/$Z96*VLOOKUP(AE$5,feed_intensity_w,11,FALSE)</f>
        <v>0.1508539846696508</v>
      </c>
      <c r="AF96" s="2">
        <f>VLOOKUP($W96,feed_mix_n,MATCH(AF$5,feed_mix_w!$B$5:$AC$5,0),FALSE)/$Z96*VLOOKUP(AF$5,feed_intensity_w,11,FALSE)</f>
        <v>0</v>
      </c>
      <c r="AG96" s="2">
        <f>VLOOKUP($W96,feed_mix_n,MATCH(AG$5,feed_mix_w!$B$5:$AC$5,0),FALSE)/$Z96*VLOOKUP(AG$5,feed_intensity_w,11,FALSE)</f>
        <v>0</v>
      </c>
      <c r="AH96" s="2">
        <f>VLOOKUP($W96,feed_mix_n,MATCH(AH$5,feed_mix_w!$B$5:$AC$5,0),FALSE)/$Z96*VLOOKUP(AH$5,feed_intensity_w,11,FALSE)</f>
        <v>0.36204956320716192</v>
      </c>
      <c r="AI96" s="2">
        <f>VLOOKUP($W96,feed_mix_n,MATCH(AI$5,feed_mix_w!$B$5:$AC$5,0),FALSE)/$Z96*VLOOKUP(AI$5,feed_intensity_w,11,FALSE)</f>
        <v>0</v>
      </c>
      <c r="AJ96" s="2">
        <f>VLOOKUP($W96,feed_mix_n,MATCH(AJ$5,feed_mix_w!$B$5:$AC$5,0),FALSE)/$Z96*VLOOKUP(AJ$5,feed_intensity_w,11,FALSE)</f>
        <v>0</v>
      </c>
      <c r="AK96" s="2">
        <f>VLOOKUP($W96,feed_mix_n,MATCH(AK$5,feed_mix_w!$B$5:$AC$5,0),FALSE)/$Z96*VLOOKUP(AK$5,feed_intensity_w,11,FALSE)</f>
        <v>0</v>
      </c>
      <c r="AL96" s="2">
        <f>VLOOKUP($W96,feed_mix_n,MATCH(AL$5,feed_mix_w!$B$5:$AC$5,0),FALSE)/$Z96*VLOOKUP(AL$5,feed_intensity_w,11,FALSE)</f>
        <v>0</v>
      </c>
      <c r="AM96" s="2">
        <f>VLOOKUP($W96,feed_mix_n,MATCH(AM$5,feed_mix_w!$B$5:$AC$5,0),FALSE)/$Z96*VLOOKUP(AM$5,feed_intensity_w,11,FALSE)</f>
        <v>0</v>
      </c>
      <c r="AN96" s="2">
        <f>VLOOKUP($W96,feed_mix_n,MATCH(AN$5,feed_mix_w!$B$5:$AC$5,0),FALSE)/$Z96*VLOOKUP(AN$5,feed_intensity_w,11,FALSE)</f>
        <v>0</v>
      </c>
      <c r="AO96" s="2">
        <f>VLOOKUP($W96,feed_mix_n,MATCH(AO$5,feed_mix_w!$B$5:$AC$5,0),FALSE)/$Z96*VLOOKUP(AO$5,feed_intensity_w,11,FALSE)</f>
        <v>0</v>
      </c>
      <c r="AP96" s="2">
        <f>VLOOKUP($W96,feed_mix_n,MATCH(AP$5,feed_mix_w!$B$5:$AC$5,0),FALSE)/$Z96*VLOOKUP(AP$5,feed_intensity_w,11,FALSE)</f>
        <v>0</v>
      </c>
      <c r="AQ96" s="2">
        <f>VLOOKUP($W96,feed_mix_n,MATCH(AQ$5,feed_mix_w!$B$5:$AC$5,0),FALSE)/$Z96*VLOOKUP(AQ$5,feed_intensity_w,11,FALSE)</f>
        <v>0</v>
      </c>
      <c r="AR96" s="2">
        <f>VLOOKUP($W96,feed_mix_n,MATCH(AR$5,feed_mix_w!$B$5:$AC$5,0),FALSE)/$Z96*VLOOKUP(AR$5,feed_intensity_w,11,FALSE)</f>
        <v>0.19335633217257689</v>
      </c>
      <c r="AS96" s="389">
        <f>VLOOKUP($W96,feed_mix_n,MATCH(AS$5,feed_mix_w!$B$5:$AC$5,0),FALSE)/$Z96*VLOOKUP(AS$5,feed_intensity_w,11,FALSE)</f>
        <v>0</v>
      </c>
    </row>
    <row r="97" spans="1:45" ht="12.75" customHeight="1">
      <c r="A97" s="14" t="s">
        <v>7170</v>
      </c>
      <c r="B97" s="482">
        <v>1042</v>
      </c>
      <c r="C97" s="24" t="s">
        <v>681</v>
      </c>
      <c r="D97" s="513">
        <v>25387</v>
      </c>
      <c r="E97" s="513">
        <v>30480</v>
      </c>
      <c r="F97" s="25">
        <f t="shared" si="22"/>
        <v>25387</v>
      </c>
      <c r="G97" s="25">
        <f t="shared" si="23"/>
        <v>30480</v>
      </c>
      <c r="H97" s="2">
        <f t="shared" si="24"/>
        <v>1.7815342687059728</v>
      </c>
      <c r="I97" s="25">
        <f t="shared" si="25"/>
        <v>45227.810479638531</v>
      </c>
      <c r="J97" s="87">
        <f>IFERROR(G97*VLOOKUP(W97,livestock_intensity!$B$7:$I$29,8,FALSE)/Z97,0)</f>
        <v>68793.776153593426</v>
      </c>
      <c r="K97" s="2">
        <f>VLOOKUP($W97,feed_mix_n,MATCH(K$5,feed_mix_w!$B$5:$AC$5,0),FALSE)/$Z97*VLOOKUP(K$5,feed_intensity_w,11,FALSE)</f>
        <v>0.15031735813738878</v>
      </c>
      <c r="L97" s="25">
        <f t="shared" si="26"/>
        <v>3816.1067710338889</v>
      </c>
      <c r="M97" s="25">
        <f>IFERROR(G97*VLOOKUP(W97,livestock_intensity!$B$7:$M$29,12,FALSE)/Z97,0)</f>
        <v>6070.4628273174658</v>
      </c>
      <c r="N97" s="2">
        <f>VLOOKUP($W97,feed_mix_n,MATCH(N$5,feed_mix_w!$B$5:$AC$5,0),FALSE)/$Z97*VLOOKUP(N$5,feed_intensity_w,11,FALSE)</f>
        <v>0</v>
      </c>
      <c r="O97" s="25">
        <f t="shared" si="27"/>
        <v>0</v>
      </c>
      <c r="P97" s="343">
        <f>IFERROR(G97*VLOOKUP(W97,livestock_intensity!$B$7:$Q$29,16,FALSE)/Z97,0)</f>
        <v>0</v>
      </c>
      <c r="Q97" s="758"/>
      <c r="R97" s="331">
        <f t="shared" si="28"/>
        <v>49043.917250672421</v>
      </c>
      <c r="S97" s="331">
        <f t="shared" si="29"/>
        <v>74864.238980910886</v>
      </c>
      <c r="T97" s="739" t="s">
        <v>2738</v>
      </c>
      <c r="U97" s="558" t="s">
        <v>2796</v>
      </c>
      <c r="V97" s="559" t="str">
        <f>IFERROR(VLOOKUP(W97,constant_ag_extr!$D$7:$E$594,2,FALSE),"")</f>
        <v>Pigs</v>
      </c>
      <c r="W97" s="560">
        <f t="shared" si="30"/>
        <v>1034</v>
      </c>
      <c r="X97" s="2">
        <f>IFERROR(IF(VLOOKUP(B97,cnst_grazing!$C$10:$H$25,5,FALSE)="", IF(VLOOKUP(B97, cnst_grazing!$C$10:$H$25,3,FALSE)="", VLOOKUP(B97, cnst_grazing!$C$10:$H$25,4,FALSE),VLOOKUP(B97, cnst_grazing!$C$10:$H$25,3,FALSE)), VLOOKUP(B97,cnst_grazing!$C$10:$H$25,5,FALSE)),1)</f>
        <v>1</v>
      </c>
      <c r="Y97" s="2">
        <f>IFERROR(IF(VLOOKUP(B97,cnst_grazing!$C$10:$H$25,6,FALSE)="", IF(VLOOKUP(B97, cnst_grazing!$C$10:$H$25,4,FALSE)="", VLOOKUP(B97, cnst_grazing!$C$10:$H$25,3,FALSE),VLOOKUP(B97, cnst_grazing!$C$10:$H$25,4,FALSE)), VLOOKUP(B97,cnst_grazing!$C$10:$H$25,6,FALSE)),1)</f>
        <v>1</v>
      </c>
      <c r="Z97" s="400">
        <f t="shared" si="31"/>
        <v>0.7362496060186503</v>
      </c>
      <c r="AA97" s="2">
        <f t="shared" si="32"/>
        <v>1.7815342687059728</v>
      </c>
      <c r="AB97" s="2">
        <f>VLOOKUP($W97,feed_mix_n,MATCH(AB$5,feed_mix_w!$B$5:$AC$5,0),FALSE)/$Z97*VLOOKUP(AB$5,feed_intensity_w,11,FALSE)</f>
        <v>0.76602396511335236</v>
      </c>
      <c r="AC97" s="2">
        <f>VLOOKUP($W97,feed_mix_n,MATCH(AC$5,feed_mix_w!$B$5:$AC$5,0),FALSE)/$Z97*VLOOKUP(AC$5,feed_intensity_w,11,FALSE)</f>
        <v>0</v>
      </c>
      <c r="AD97" s="2">
        <f>VLOOKUP($W97,feed_mix_n,MATCH(AD$5,feed_mix_w!$B$5:$AC$5,0),FALSE)/$Z97*VLOOKUP(AD$5,feed_intensity_w,11,FALSE)</f>
        <v>0.33332746490855109</v>
      </c>
      <c r="AE97" s="2">
        <f>VLOOKUP($W97,feed_mix_n,MATCH(AE$5,feed_mix_w!$B$5:$AC$5,0),FALSE)/$Z97*VLOOKUP(AE$5,feed_intensity_w,11,FALSE)</f>
        <v>0.14571123519227636</v>
      </c>
      <c r="AF97" s="2">
        <f>VLOOKUP($W97,feed_mix_n,MATCH(AF$5,feed_mix_w!$B$5:$AC$5,0),FALSE)/$Z97*VLOOKUP(AF$5,feed_intensity_w,11,FALSE)</f>
        <v>0</v>
      </c>
      <c r="AG97" s="2">
        <f>VLOOKUP($W97,feed_mix_n,MATCH(AG$5,feed_mix_w!$B$5:$AC$5,0),FALSE)/$Z97*VLOOKUP(AG$5,feed_intensity_w,11,FALSE)</f>
        <v>0</v>
      </c>
      <c r="AH97" s="2">
        <f>VLOOKUP($W97,feed_mix_n,MATCH(AH$5,feed_mix_w!$B$5:$AC$5,0),FALSE)/$Z97*VLOOKUP(AH$5,feed_intensity_w,11,FALSE)</f>
        <v>0.34970696446146321</v>
      </c>
      <c r="AI97" s="2">
        <f>VLOOKUP($W97,feed_mix_n,MATCH(AI$5,feed_mix_w!$B$5:$AC$5,0),FALSE)/$Z97*VLOOKUP(AI$5,feed_intensity_w,11,FALSE)</f>
        <v>0</v>
      </c>
      <c r="AJ97" s="2">
        <f>VLOOKUP($W97,feed_mix_n,MATCH(AJ$5,feed_mix_w!$B$5:$AC$5,0),FALSE)/$Z97*VLOOKUP(AJ$5,feed_intensity_w,11,FALSE)</f>
        <v>0</v>
      </c>
      <c r="AK97" s="2">
        <f>VLOOKUP($W97,feed_mix_n,MATCH(AK$5,feed_mix_w!$B$5:$AC$5,0),FALSE)/$Z97*VLOOKUP(AK$5,feed_intensity_w,11,FALSE)</f>
        <v>0</v>
      </c>
      <c r="AL97" s="2">
        <f>VLOOKUP($W97,feed_mix_n,MATCH(AL$5,feed_mix_w!$B$5:$AC$5,0),FALSE)/$Z97*VLOOKUP(AL$5,feed_intensity_w,11,FALSE)</f>
        <v>0</v>
      </c>
      <c r="AM97" s="2">
        <f>VLOOKUP($W97,feed_mix_n,MATCH(AM$5,feed_mix_w!$B$5:$AC$5,0),FALSE)/$Z97*VLOOKUP(AM$5,feed_intensity_w,11,FALSE)</f>
        <v>0</v>
      </c>
      <c r="AN97" s="2">
        <f>VLOOKUP($W97,feed_mix_n,MATCH(AN$5,feed_mix_w!$B$5:$AC$5,0),FALSE)/$Z97*VLOOKUP(AN$5,feed_intensity_w,11,FALSE)</f>
        <v>0</v>
      </c>
      <c r="AO97" s="2">
        <f>VLOOKUP($W97,feed_mix_n,MATCH(AO$5,feed_mix_w!$B$5:$AC$5,0),FALSE)/$Z97*VLOOKUP(AO$5,feed_intensity_w,11,FALSE)</f>
        <v>0</v>
      </c>
      <c r="AP97" s="2">
        <f>VLOOKUP($W97,feed_mix_n,MATCH(AP$5,feed_mix_w!$B$5:$AC$5,0),FALSE)/$Z97*VLOOKUP(AP$5,feed_intensity_w,11,FALSE)</f>
        <v>0</v>
      </c>
      <c r="AQ97" s="2">
        <f>VLOOKUP($W97,feed_mix_n,MATCH(AQ$5,feed_mix_w!$B$5:$AC$5,0),FALSE)/$Z97*VLOOKUP(AQ$5,feed_intensity_w,11,FALSE)</f>
        <v>0</v>
      </c>
      <c r="AR97" s="2">
        <f>VLOOKUP($W97,feed_mix_n,MATCH(AR$5,feed_mix_w!$B$5:$AC$5,0),FALSE)/$Z97*VLOOKUP(AR$5,feed_intensity_w,11,FALSE)</f>
        <v>0.18676463903032992</v>
      </c>
      <c r="AS97" s="389">
        <f>VLOOKUP($W97,feed_mix_n,MATCH(AS$5,feed_mix_w!$B$5:$AC$5,0),FALSE)/$Z97*VLOOKUP(AS$5,feed_intensity_w,11,FALSE)</f>
        <v>0</v>
      </c>
    </row>
    <row r="98" spans="1:45" ht="12.75" customHeight="1">
      <c r="A98" s="14" t="s">
        <v>1423</v>
      </c>
      <c r="B98" s="482">
        <v>1043</v>
      </c>
      <c r="C98" s="24" t="s">
        <v>1558</v>
      </c>
      <c r="D98" s="513">
        <v>270</v>
      </c>
      <c r="E98" s="513">
        <v>39417</v>
      </c>
      <c r="F98" s="25">
        <f t="shared" si="22"/>
        <v>270</v>
      </c>
      <c r="G98" s="25">
        <f t="shared" si="23"/>
        <v>39417</v>
      </c>
      <c r="H98" s="2">
        <f t="shared" si="24"/>
        <v>1.0003397307333985</v>
      </c>
      <c r="I98" s="25">
        <f t="shared" si="25"/>
        <v>270.09172729801759</v>
      </c>
      <c r="J98" s="87">
        <f>IFERROR(G98*VLOOKUP(W98,livestock_intensity!$B$7:$I$29,8,FALSE)/Z98,0)</f>
        <v>49954.094502649146</v>
      </c>
      <c r="K98" s="2">
        <f>VLOOKUP($W98,feed_mix_n,MATCH(K$5,feed_mix_w!$B$5:$AC$5,0),FALSE)/$Z98*VLOOKUP(K$5,feed_intensity_w,11,FALSE)</f>
        <v>8.4403891749403312E-2</v>
      </c>
      <c r="L98" s="25">
        <f t="shared" si="26"/>
        <v>22.789050772338893</v>
      </c>
      <c r="M98" s="25">
        <f>IFERROR(G98*VLOOKUP(W98,livestock_intensity!$B$7:$M$29,12,FALSE)/Z98,0)</f>
        <v>4408.0219273556404</v>
      </c>
      <c r="N98" s="2">
        <f>VLOOKUP($W98,feed_mix_n,MATCH(N$5,feed_mix_w!$B$5:$AC$5,0),FALSE)/$Z98*VLOOKUP(N$5,feed_intensity_w,11,FALSE)</f>
        <v>0</v>
      </c>
      <c r="O98" s="25">
        <f t="shared" si="27"/>
        <v>0</v>
      </c>
      <c r="P98" s="343">
        <f>IFERROR(G98*VLOOKUP(W98,livestock_intensity!$B$7:$Q$29,16,FALSE)/Z98,0)</f>
        <v>0</v>
      </c>
      <c r="Q98" s="758"/>
      <c r="R98" s="331">
        <f t="shared" si="28"/>
        <v>292.88077807035648</v>
      </c>
      <c r="S98" s="331">
        <f t="shared" si="29"/>
        <v>54362.116430004789</v>
      </c>
      <c r="T98" s="739" t="s">
        <v>2738</v>
      </c>
      <c r="U98" s="558" t="s">
        <v>2796</v>
      </c>
      <c r="V98" s="559" t="str">
        <f>IFERROR(VLOOKUP(W98,constant_ag_extr!$D$7:$E$594,2,FALSE),"")</f>
        <v>Pigs</v>
      </c>
      <c r="W98" s="560">
        <f t="shared" si="30"/>
        <v>1034</v>
      </c>
      <c r="X98" s="2">
        <f>IFERROR(IF(VLOOKUP(B98,cnst_grazing!$C$10:$H$25,5,FALSE)="", IF(VLOOKUP(B98, cnst_grazing!$C$10:$H$25,3,FALSE)="", VLOOKUP(B98, cnst_grazing!$C$10:$H$25,4,FALSE),VLOOKUP(B98, cnst_grazing!$C$10:$H$25,3,FALSE)), VLOOKUP(B98,cnst_grazing!$C$10:$H$25,5,FALSE)),1)</f>
        <v>1</v>
      </c>
      <c r="Y98" s="2">
        <f>IFERROR(IF(VLOOKUP(B98,cnst_grazing!$C$10:$H$25,6,FALSE)="", IF(VLOOKUP(B98, cnst_grazing!$C$10:$H$25,4,FALSE)="", VLOOKUP(B98, cnst_grazing!$C$10:$H$25,3,FALSE),VLOOKUP(B98, cnst_grazing!$C$10:$H$25,4,FALSE)), VLOOKUP(B98,cnst_grazing!$C$10:$H$25,6,FALSE)),1)</f>
        <v>1</v>
      </c>
      <c r="Z98" s="400">
        <f t="shared" si="31"/>
        <v>1.3112084456366224</v>
      </c>
      <c r="AA98" s="2">
        <f t="shared" si="32"/>
        <v>1.0003397307333985</v>
      </c>
      <c r="AB98" s="2">
        <f>VLOOKUP($W98,feed_mix_n,MATCH(AB$5,feed_mix_w!$B$5:$AC$5,0),FALSE)/$Z98*VLOOKUP(AB$5,feed_intensity_w,11,FALSE)</f>
        <v>0.43012599895337172</v>
      </c>
      <c r="AC98" s="2">
        <f>VLOOKUP($W98,feed_mix_n,MATCH(AC$5,feed_mix_w!$B$5:$AC$5,0),FALSE)/$Z98*VLOOKUP(AC$5,feed_intensity_w,11,FALSE)</f>
        <v>0</v>
      </c>
      <c r="AD98" s="2">
        <f>VLOOKUP($W98,feed_mix_n,MATCH(AD$5,feed_mix_w!$B$5:$AC$5,0),FALSE)/$Z98*VLOOKUP(AD$5,feed_intensity_w,11,FALSE)</f>
        <v>0.18716491304703489</v>
      </c>
      <c r="AE98" s="2">
        <f>VLOOKUP($W98,feed_mix_n,MATCH(AE$5,feed_mix_w!$B$5:$AC$5,0),FALSE)/$Z98*VLOOKUP(AE$5,feed_intensity_w,11,FALSE)</f>
        <v>8.1817532414319882E-2</v>
      </c>
      <c r="AF98" s="2">
        <f>VLOOKUP($W98,feed_mix_n,MATCH(AF$5,feed_mix_w!$B$5:$AC$5,0),FALSE)/$Z98*VLOOKUP(AF$5,feed_intensity_w,11,FALSE)</f>
        <v>0</v>
      </c>
      <c r="AG98" s="2">
        <f>VLOOKUP($W98,feed_mix_n,MATCH(AG$5,feed_mix_w!$B$5:$AC$5,0),FALSE)/$Z98*VLOOKUP(AG$5,feed_intensity_w,11,FALSE)</f>
        <v>0</v>
      </c>
      <c r="AH98" s="2">
        <f>VLOOKUP($W98,feed_mix_n,MATCH(AH$5,feed_mix_w!$B$5:$AC$5,0),FALSE)/$Z98*VLOOKUP(AH$5,feed_intensity_w,11,FALSE)</f>
        <v>0.19636207779436771</v>
      </c>
      <c r="AI98" s="2">
        <f>VLOOKUP($W98,feed_mix_n,MATCH(AI$5,feed_mix_w!$B$5:$AC$5,0),FALSE)/$Z98*VLOOKUP(AI$5,feed_intensity_w,11,FALSE)</f>
        <v>0</v>
      </c>
      <c r="AJ98" s="2">
        <f>VLOOKUP($W98,feed_mix_n,MATCH(AJ$5,feed_mix_w!$B$5:$AC$5,0),FALSE)/$Z98*VLOOKUP(AJ$5,feed_intensity_w,11,FALSE)</f>
        <v>0</v>
      </c>
      <c r="AK98" s="2">
        <f>VLOOKUP($W98,feed_mix_n,MATCH(AK$5,feed_mix_w!$B$5:$AC$5,0),FALSE)/$Z98*VLOOKUP(AK$5,feed_intensity_w,11,FALSE)</f>
        <v>0</v>
      </c>
      <c r="AL98" s="2">
        <f>VLOOKUP($W98,feed_mix_n,MATCH(AL$5,feed_mix_w!$B$5:$AC$5,0),FALSE)/$Z98*VLOOKUP(AL$5,feed_intensity_w,11,FALSE)</f>
        <v>0</v>
      </c>
      <c r="AM98" s="2">
        <f>VLOOKUP($W98,feed_mix_n,MATCH(AM$5,feed_mix_w!$B$5:$AC$5,0),FALSE)/$Z98*VLOOKUP(AM$5,feed_intensity_w,11,FALSE)</f>
        <v>0</v>
      </c>
      <c r="AN98" s="2">
        <f>VLOOKUP($W98,feed_mix_n,MATCH(AN$5,feed_mix_w!$B$5:$AC$5,0),FALSE)/$Z98*VLOOKUP(AN$5,feed_intensity_w,11,FALSE)</f>
        <v>0</v>
      </c>
      <c r="AO98" s="2">
        <f>VLOOKUP($W98,feed_mix_n,MATCH(AO$5,feed_mix_w!$B$5:$AC$5,0),FALSE)/$Z98*VLOOKUP(AO$5,feed_intensity_w,11,FALSE)</f>
        <v>0</v>
      </c>
      <c r="AP98" s="2">
        <f>VLOOKUP($W98,feed_mix_n,MATCH(AP$5,feed_mix_w!$B$5:$AC$5,0),FALSE)/$Z98*VLOOKUP(AP$5,feed_intensity_w,11,FALSE)</f>
        <v>0</v>
      </c>
      <c r="AQ98" s="2">
        <f>VLOOKUP($W98,feed_mix_n,MATCH(AQ$5,feed_mix_w!$B$5:$AC$5,0),FALSE)/$Z98*VLOOKUP(AQ$5,feed_intensity_w,11,FALSE)</f>
        <v>0</v>
      </c>
      <c r="AR98" s="2">
        <f>VLOOKUP($W98,feed_mix_n,MATCH(AR$5,feed_mix_w!$B$5:$AC$5,0),FALSE)/$Z98*VLOOKUP(AR$5,feed_intensity_w,11,FALSE)</f>
        <v>0.10486920852430429</v>
      </c>
      <c r="AS98" s="389">
        <f>VLOOKUP($W98,feed_mix_n,MATCH(AS$5,feed_mix_w!$B$5:$AC$5,0),FALSE)/$Z98*VLOOKUP(AS$5,feed_intensity_w,11,FALSE)</f>
        <v>0</v>
      </c>
    </row>
    <row r="99" spans="1:45" ht="12.75" customHeight="1">
      <c r="A99" s="14" t="s">
        <v>2022</v>
      </c>
      <c r="B99" s="482">
        <v>1045</v>
      </c>
      <c r="C99" s="24" t="s">
        <v>5463</v>
      </c>
      <c r="D99" s="513"/>
      <c r="E99" s="513"/>
      <c r="F99" s="25">
        <f t="shared" si="22"/>
        <v>0</v>
      </c>
      <c r="G99" s="25">
        <f t="shared" si="23"/>
        <v>0</v>
      </c>
      <c r="H99" s="2">
        <f t="shared" si="24"/>
        <v>0.94099998394427398</v>
      </c>
      <c r="I99" s="25">
        <f t="shared" si="25"/>
        <v>0</v>
      </c>
      <c r="J99" s="87">
        <f>IFERROR(G99*VLOOKUP(W99,livestock_intensity!$B$7:$I$29,8,FALSE)/Z99,0)</f>
        <v>0</v>
      </c>
      <c r="K99" s="2">
        <f>VLOOKUP($W99,feed_mix_n,MATCH(K$5,feed_mix_w!$B$5:$AC$5,0),FALSE)/$Z99*VLOOKUP(K$5,feed_intensity_w,11,FALSE)</f>
        <v>7.9397087150375453E-2</v>
      </c>
      <c r="L99" s="25">
        <f t="shared" si="26"/>
        <v>0</v>
      </c>
      <c r="M99" s="25">
        <f>IFERROR(G99*VLOOKUP(W99,livestock_intensity!$B$7:$M$29,12,FALSE)/Z99,0)</f>
        <v>0</v>
      </c>
      <c r="N99" s="2">
        <f>VLOOKUP($W99,feed_mix_n,MATCH(N$5,feed_mix_w!$B$5:$AC$5,0),FALSE)/$Z99*VLOOKUP(N$5,feed_intensity_w,11,FALSE)</f>
        <v>0</v>
      </c>
      <c r="O99" s="25">
        <f t="shared" si="27"/>
        <v>0</v>
      </c>
      <c r="P99" s="343">
        <f>IFERROR(G99*VLOOKUP(W99,livestock_intensity!$B$7:$Q$29,16,FALSE)/Z99,0)</f>
        <v>0</v>
      </c>
      <c r="Q99" s="758"/>
      <c r="R99" s="331">
        <f t="shared" si="28"/>
        <v>0</v>
      </c>
      <c r="S99" s="331">
        <f t="shared" si="29"/>
        <v>0</v>
      </c>
      <c r="T99" s="739">
        <v>2748</v>
      </c>
      <c r="U99" s="558" t="s">
        <v>2796</v>
      </c>
      <c r="V99" s="559" t="str">
        <f>IFERROR(VLOOKUP(W99,constant_ag_extr!$D$7:$E$594,2,FALSE),"")</f>
        <v>Pigs</v>
      </c>
      <c r="W99" s="560">
        <f t="shared" si="30"/>
        <v>1034</v>
      </c>
      <c r="X99" s="2">
        <f>IFERROR(IF(VLOOKUP(B99,cnst_grazing!$C$10:$H$25,5,FALSE)="", IF(VLOOKUP(B99, cnst_grazing!$C$10:$H$25,3,FALSE)="", VLOOKUP(B99, cnst_grazing!$C$10:$H$25,4,FALSE),VLOOKUP(B99, cnst_grazing!$C$10:$H$25,3,FALSE)), VLOOKUP(B99,cnst_grazing!$C$10:$H$25,5,FALSE)),1)</f>
        <v>1</v>
      </c>
      <c r="Y99" s="2">
        <f>IFERROR(IF(VLOOKUP(B99,cnst_grazing!$C$10:$H$25,6,FALSE)="", IF(VLOOKUP(B99, cnst_grazing!$C$10:$H$25,4,FALSE)="", VLOOKUP(B99, cnst_grazing!$C$10:$H$25,3,FALSE),VLOOKUP(B99, cnst_grazing!$C$10:$H$25,4,FALSE)), VLOOKUP(B99,cnst_grazing!$C$10:$H$25,6,FALSE)),1)</f>
        <v>1</v>
      </c>
      <c r="Z99" s="400">
        <f t="shared" si="31"/>
        <v>1.3938936512470472</v>
      </c>
      <c r="AA99" s="2">
        <f t="shared" si="32"/>
        <v>0.94099998394427398</v>
      </c>
      <c r="AB99" s="2">
        <f>VLOOKUP($W99,feed_mix_n,MATCH(AB$5,feed_mix_w!$B$5:$AC$5,0),FALSE)/$Z99*VLOOKUP(AB$5,feed_intensity_w,11,FALSE)</f>
        <v>0.40461109928363675</v>
      </c>
      <c r="AC99" s="2">
        <f>VLOOKUP($W99,feed_mix_n,MATCH(AC$5,feed_mix_w!$B$5:$AC$5,0),FALSE)/$Z99*VLOOKUP(AC$5,feed_intensity_w,11,FALSE)</f>
        <v>0</v>
      </c>
      <c r="AD99" s="2">
        <f>VLOOKUP($W99,feed_mix_n,MATCH(AD$5,feed_mix_w!$B$5:$AC$5,0),FALSE)/$Z99*VLOOKUP(AD$5,feed_intensity_w,11,FALSE)</f>
        <v>0.1760623663753387</v>
      </c>
      <c r="AE99" s="2">
        <f>VLOOKUP($W99,feed_mix_n,MATCH(AE$5,feed_mix_w!$B$5:$AC$5,0),FALSE)/$Z99*VLOOKUP(AE$5,feed_intensity_w,11,FALSE)</f>
        <v>7.6964149601245715E-2</v>
      </c>
      <c r="AF99" s="2">
        <f>VLOOKUP($W99,feed_mix_n,MATCH(AF$5,feed_mix_w!$B$5:$AC$5,0),FALSE)/$Z99*VLOOKUP(AF$5,feed_intensity_w,11,FALSE)</f>
        <v>0</v>
      </c>
      <c r="AG99" s="2">
        <f>VLOOKUP($W99,feed_mix_n,MATCH(AG$5,feed_mix_w!$B$5:$AC$5,0),FALSE)/$Z99*VLOOKUP(AG$5,feed_intensity_w,11,FALSE)</f>
        <v>0</v>
      </c>
      <c r="AH99" s="2">
        <f>VLOOKUP($W99,feed_mix_n,MATCH(AH$5,feed_mix_w!$B$5:$AC$5,0),FALSE)/$Z99*VLOOKUP(AH$5,feed_intensity_w,11,FALSE)</f>
        <v>0.18471395904298968</v>
      </c>
      <c r="AI99" s="2">
        <f>VLOOKUP($W99,feed_mix_n,MATCH(AI$5,feed_mix_w!$B$5:$AC$5,0),FALSE)/$Z99*VLOOKUP(AI$5,feed_intensity_w,11,FALSE)</f>
        <v>0</v>
      </c>
      <c r="AJ99" s="2">
        <f>VLOOKUP($W99,feed_mix_n,MATCH(AJ$5,feed_mix_w!$B$5:$AC$5,0),FALSE)/$Z99*VLOOKUP(AJ$5,feed_intensity_w,11,FALSE)</f>
        <v>0</v>
      </c>
      <c r="AK99" s="2">
        <f>VLOOKUP($W99,feed_mix_n,MATCH(AK$5,feed_mix_w!$B$5:$AC$5,0),FALSE)/$Z99*VLOOKUP(AK$5,feed_intensity_w,11,FALSE)</f>
        <v>0</v>
      </c>
      <c r="AL99" s="2">
        <f>VLOOKUP($W99,feed_mix_n,MATCH(AL$5,feed_mix_w!$B$5:$AC$5,0),FALSE)/$Z99*VLOOKUP(AL$5,feed_intensity_w,11,FALSE)</f>
        <v>0</v>
      </c>
      <c r="AM99" s="2">
        <f>VLOOKUP($W99,feed_mix_n,MATCH(AM$5,feed_mix_w!$B$5:$AC$5,0),FALSE)/$Z99*VLOOKUP(AM$5,feed_intensity_w,11,FALSE)</f>
        <v>0</v>
      </c>
      <c r="AN99" s="2">
        <f>VLOOKUP($W99,feed_mix_n,MATCH(AN$5,feed_mix_w!$B$5:$AC$5,0),FALSE)/$Z99*VLOOKUP(AN$5,feed_intensity_w,11,FALSE)</f>
        <v>0</v>
      </c>
      <c r="AO99" s="2">
        <f>VLOOKUP($W99,feed_mix_n,MATCH(AO$5,feed_mix_w!$B$5:$AC$5,0),FALSE)/$Z99*VLOOKUP(AO$5,feed_intensity_w,11,FALSE)</f>
        <v>0</v>
      </c>
      <c r="AP99" s="2">
        <f>VLOOKUP($W99,feed_mix_n,MATCH(AP$5,feed_mix_w!$B$5:$AC$5,0),FALSE)/$Z99*VLOOKUP(AP$5,feed_intensity_w,11,FALSE)</f>
        <v>0</v>
      </c>
      <c r="AQ99" s="2">
        <f>VLOOKUP($W99,feed_mix_n,MATCH(AQ$5,feed_mix_w!$B$5:$AC$5,0),FALSE)/$Z99*VLOOKUP(AQ$5,feed_intensity_w,11,FALSE)</f>
        <v>0</v>
      </c>
      <c r="AR99" s="2">
        <f>VLOOKUP($W99,feed_mix_n,MATCH(AR$5,feed_mix_w!$B$5:$AC$5,0),FALSE)/$Z99*VLOOKUP(AR$5,feed_intensity_w,11,FALSE)</f>
        <v>9.8648409641063084E-2</v>
      </c>
      <c r="AS99" s="389">
        <f>VLOOKUP($W99,feed_mix_n,MATCH(AS$5,feed_mix_w!$B$5:$AC$5,0),FALSE)/$Z99*VLOOKUP(AS$5,feed_intensity_w,11,FALSE)</f>
        <v>0</v>
      </c>
    </row>
    <row r="100" spans="1:45" ht="12.75" customHeight="1">
      <c r="A100" s="14" t="s">
        <v>1497</v>
      </c>
      <c r="B100" s="482">
        <v>1046</v>
      </c>
      <c r="C100" s="24" t="s">
        <v>5460</v>
      </c>
      <c r="D100" s="513"/>
      <c r="E100" s="513"/>
      <c r="F100" s="25">
        <f t="shared" si="22"/>
        <v>0</v>
      </c>
      <c r="G100" s="25">
        <f t="shared" si="23"/>
        <v>0</v>
      </c>
      <c r="H100" s="2">
        <f t="shared" si="24"/>
        <v>4.7049999197213692</v>
      </c>
      <c r="I100" s="25">
        <f t="shared" si="25"/>
        <v>0</v>
      </c>
      <c r="J100" s="87">
        <f>IFERROR(G100*VLOOKUP(W100,livestock_intensity!$B$7:$I$29,8,FALSE)/Z100,0)</f>
        <v>0</v>
      </c>
      <c r="K100" s="2">
        <f>VLOOKUP($W100,feed_mix_n,MATCH(K$5,feed_mix_w!$B$5:$AC$5,0),FALSE)/$Z100*VLOOKUP(K$5,feed_intensity_w,11,FALSE)</f>
        <v>0.39698543575187722</v>
      </c>
      <c r="L100" s="25">
        <f t="shared" si="26"/>
        <v>0</v>
      </c>
      <c r="M100" s="25">
        <f>IFERROR(G100*VLOOKUP(W100,livestock_intensity!$B$7:$M$29,12,FALSE)/Z100,0)</f>
        <v>0</v>
      </c>
      <c r="N100" s="2">
        <f>VLOOKUP($W100,feed_mix_n,MATCH(N$5,feed_mix_w!$B$5:$AC$5,0),FALSE)/$Z100*VLOOKUP(N$5,feed_intensity_w,11,FALSE)</f>
        <v>0</v>
      </c>
      <c r="O100" s="25">
        <f t="shared" si="27"/>
        <v>0</v>
      </c>
      <c r="P100" s="343">
        <f>IFERROR(G100*VLOOKUP(W100,livestock_intensity!$B$7:$Q$29,16,FALSE)/Z100,0)</f>
        <v>0</v>
      </c>
      <c r="Q100" s="758"/>
      <c r="R100" s="331">
        <f t="shared" si="28"/>
        <v>0</v>
      </c>
      <c r="S100" s="331">
        <f t="shared" si="29"/>
        <v>0</v>
      </c>
      <c r="T100" s="739">
        <v>2748</v>
      </c>
      <c r="U100" s="558" t="s">
        <v>2796</v>
      </c>
      <c r="V100" s="559" t="str">
        <f>IFERROR(VLOOKUP(W100,constant_ag_extr!$D$7:$E$594,2,FALSE),"")</f>
        <v>Pigs</v>
      </c>
      <c r="W100" s="560">
        <f t="shared" si="30"/>
        <v>1034</v>
      </c>
      <c r="X100" s="2">
        <f>IFERROR(IF(VLOOKUP(B100,cnst_grazing!$C$10:$H$25,5,FALSE)="", IF(VLOOKUP(B100, cnst_grazing!$C$10:$H$25,3,FALSE)="", VLOOKUP(B100, cnst_grazing!$C$10:$H$25,4,FALSE),VLOOKUP(B100, cnst_grazing!$C$10:$H$25,3,FALSE)), VLOOKUP(B100,cnst_grazing!$C$10:$H$25,5,FALSE)),1)</f>
        <v>1</v>
      </c>
      <c r="Y100" s="2">
        <f>IFERROR(IF(VLOOKUP(B100,cnst_grazing!$C$10:$H$25,6,FALSE)="", IF(VLOOKUP(B100, cnst_grazing!$C$10:$H$25,4,FALSE)="", VLOOKUP(B100, cnst_grazing!$C$10:$H$25,3,FALSE),VLOOKUP(B100, cnst_grazing!$C$10:$H$25,4,FALSE)), VLOOKUP(B100,cnst_grazing!$C$10:$H$25,6,FALSE)),1)</f>
        <v>1</v>
      </c>
      <c r="Z100" s="400">
        <f t="shared" si="31"/>
        <v>0.27877873024940947</v>
      </c>
      <c r="AA100" s="2">
        <f t="shared" si="32"/>
        <v>4.7049999197213692</v>
      </c>
      <c r="AB100" s="2">
        <f>VLOOKUP($W100,feed_mix_n,MATCH(AB$5,feed_mix_w!$B$5:$AC$5,0),FALSE)/$Z100*VLOOKUP(AB$5,feed_intensity_w,11,FALSE)</f>
        <v>2.0230554964181837</v>
      </c>
      <c r="AC100" s="2">
        <f>VLOOKUP($W100,feed_mix_n,MATCH(AC$5,feed_mix_w!$B$5:$AC$5,0),FALSE)/$Z100*VLOOKUP(AC$5,feed_intensity_w,11,FALSE)</f>
        <v>0</v>
      </c>
      <c r="AD100" s="2">
        <f>VLOOKUP($W100,feed_mix_n,MATCH(AD$5,feed_mix_w!$B$5:$AC$5,0),FALSE)/$Z100*VLOOKUP(AD$5,feed_intensity_w,11,FALSE)</f>
        <v>0.88031183187669337</v>
      </c>
      <c r="AE100" s="2">
        <f>VLOOKUP($W100,feed_mix_n,MATCH(AE$5,feed_mix_w!$B$5:$AC$5,0),FALSE)/$Z100*VLOOKUP(AE$5,feed_intensity_w,11,FALSE)</f>
        <v>0.38482074800622851</v>
      </c>
      <c r="AF100" s="2">
        <f>VLOOKUP($W100,feed_mix_n,MATCH(AF$5,feed_mix_w!$B$5:$AC$5,0),FALSE)/$Z100*VLOOKUP(AF$5,feed_intensity_w,11,FALSE)</f>
        <v>0</v>
      </c>
      <c r="AG100" s="2">
        <f>VLOOKUP($W100,feed_mix_n,MATCH(AG$5,feed_mix_w!$B$5:$AC$5,0),FALSE)/$Z100*VLOOKUP(AG$5,feed_intensity_w,11,FALSE)</f>
        <v>0</v>
      </c>
      <c r="AH100" s="2">
        <f>VLOOKUP($W100,feed_mix_n,MATCH(AH$5,feed_mix_w!$B$5:$AC$5,0),FALSE)/$Z100*VLOOKUP(AH$5,feed_intensity_w,11,FALSE)</f>
        <v>0.92356979521494831</v>
      </c>
      <c r="AI100" s="2">
        <f>VLOOKUP($W100,feed_mix_n,MATCH(AI$5,feed_mix_w!$B$5:$AC$5,0),FALSE)/$Z100*VLOOKUP(AI$5,feed_intensity_w,11,FALSE)</f>
        <v>0</v>
      </c>
      <c r="AJ100" s="2">
        <f>VLOOKUP($W100,feed_mix_n,MATCH(AJ$5,feed_mix_w!$B$5:$AC$5,0),FALSE)/$Z100*VLOOKUP(AJ$5,feed_intensity_w,11,FALSE)</f>
        <v>0</v>
      </c>
      <c r="AK100" s="2">
        <f>VLOOKUP($W100,feed_mix_n,MATCH(AK$5,feed_mix_w!$B$5:$AC$5,0),FALSE)/$Z100*VLOOKUP(AK$5,feed_intensity_w,11,FALSE)</f>
        <v>0</v>
      </c>
      <c r="AL100" s="2">
        <f>VLOOKUP($W100,feed_mix_n,MATCH(AL$5,feed_mix_w!$B$5:$AC$5,0),FALSE)/$Z100*VLOOKUP(AL$5,feed_intensity_w,11,FALSE)</f>
        <v>0</v>
      </c>
      <c r="AM100" s="2">
        <f>VLOOKUP($W100,feed_mix_n,MATCH(AM$5,feed_mix_w!$B$5:$AC$5,0),FALSE)/$Z100*VLOOKUP(AM$5,feed_intensity_w,11,FALSE)</f>
        <v>0</v>
      </c>
      <c r="AN100" s="2">
        <f>VLOOKUP($W100,feed_mix_n,MATCH(AN$5,feed_mix_w!$B$5:$AC$5,0),FALSE)/$Z100*VLOOKUP(AN$5,feed_intensity_w,11,FALSE)</f>
        <v>0</v>
      </c>
      <c r="AO100" s="2">
        <f>VLOOKUP($W100,feed_mix_n,MATCH(AO$5,feed_mix_w!$B$5:$AC$5,0),FALSE)/$Z100*VLOOKUP(AO$5,feed_intensity_w,11,FALSE)</f>
        <v>0</v>
      </c>
      <c r="AP100" s="2">
        <f>VLOOKUP($W100,feed_mix_n,MATCH(AP$5,feed_mix_w!$B$5:$AC$5,0),FALSE)/$Z100*VLOOKUP(AP$5,feed_intensity_w,11,FALSE)</f>
        <v>0</v>
      </c>
      <c r="AQ100" s="2">
        <f>VLOOKUP($W100,feed_mix_n,MATCH(AQ$5,feed_mix_w!$B$5:$AC$5,0),FALSE)/$Z100*VLOOKUP(AQ$5,feed_intensity_w,11,FALSE)</f>
        <v>0</v>
      </c>
      <c r="AR100" s="2">
        <f>VLOOKUP($W100,feed_mix_n,MATCH(AR$5,feed_mix_w!$B$5:$AC$5,0),FALSE)/$Z100*VLOOKUP(AR$5,feed_intensity_w,11,FALSE)</f>
        <v>0.49324204820531542</v>
      </c>
      <c r="AS100" s="389">
        <f>VLOOKUP($W100,feed_mix_n,MATCH(AS$5,feed_mix_w!$B$5:$AC$5,0),FALSE)/$Z100*VLOOKUP(AS$5,feed_intensity_w,11,FALSE)</f>
        <v>0</v>
      </c>
    </row>
    <row r="101" spans="1:45" ht="12.75" customHeight="1">
      <c r="A101" s="14" t="s">
        <v>2734</v>
      </c>
      <c r="B101" s="482">
        <v>1047</v>
      </c>
      <c r="C101" s="24" t="s">
        <v>686</v>
      </c>
      <c r="D101" s="513"/>
      <c r="E101" s="513"/>
      <c r="F101" s="25">
        <f t="shared" si="22"/>
        <v>0</v>
      </c>
      <c r="G101" s="25">
        <f t="shared" si="23"/>
        <v>0</v>
      </c>
      <c r="H101" s="2">
        <f t="shared" si="24"/>
        <v>0.94099998394427398</v>
      </c>
      <c r="I101" s="25">
        <f t="shared" si="25"/>
        <v>0</v>
      </c>
      <c r="J101" s="87">
        <f>IFERROR(G101*VLOOKUP(W101,livestock_intensity!$B$7:$I$29,8,FALSE)/Z101,0)</f>
        <v>0</v>
      </c>
      <c r="K101" s="2">
        <f>VLOOKUP($W101,feed_mix_n,MATCH(K$5,feed_mix_w!$B$5:$AC$5,0),FALSE)/$Z101*VLOOKUP(K$5,feed_intensity_w,11,FALSE)</f>
        <v>7.9397087150375453E-2</v>
      </c>
      <c r="L101" s="25">
        <f t="shared" si="26"/>
        <v>0</v>
      </c>
      <c r="M101" s="25">
        <f>IFERROR(G101*VLOOKUP(W101,livestock_intensity!$B$7:$M$29,12,FALSE)/Z101,0)</f>
        <v>0</v>
      </c>
      <c r="N101" s="2">
        <f>VLOOKUP($W101,feed_mix_n,MATCH(N$5,feed_mix_w!$B$5:$AC$5,0),FALSE)/$Z101*VLOOKUP(N$5,feed_intensity_w,11,FALSE)</f>
        <v>0</v>
      </c>
      <c r="O101" s="25">
        <f t="shared" si="27"/>
        <v>0</v>
      </c>
      <c r="P101" s="343">
        <f>IFERROR(G101*VLOOKUP(W101,livestock_intensity!$B$7:$Q$29,16,FALSE)/Z101,0)</f>
        <v>0</v>
      </c>
      <c r="Q101" s="758"/>
      <c r="R101" s="331">
        <f t="shared" si="28"/>
        <v>0</v>
      </c>
      <c r="S101" s="331">
        <f t="shared" si="29"/>
        <v>0</v>
      </c>
      <c r="T101" s="739">
        <v>2748</v>
      </c>
      <c r="U101" s="558" t="s">
        <v>2796</v>
      </c>
      <c r="V101" s="559" t="str">
        <f>IFERROR(VLOOKUP(W101,constant_ag_extr!$D$7:$E$594,2,FALSE),"")</f>
        <v>Pigs</v>
      </c>
      <c r="W101" s="560">
        <f t="shared" si="30"/>
        <v>1034</v>
      </c>
      <c r="X101" s="2">
        <f>IFERROR(IF(VLOOKUP(B101,cnst_grazing!$C$10:$H$25,5,FALSE)="", IF(VLOOKUP(B101, cnst_grazing!$C$10:$H$25,3,FALSE)="", VLOOKUP(B101, cnst_grazing!$C$10:$H$25,4,FALSE),VLOOKUP(B101, cnst_grazing!$C$10:$H$25,3,FALSE)), VLOOKUP(B101,cnst_grazing!$C$10:$H$25,5,FALSE)),1)</f>
        <v>1</v>
      </c>
      <c r="Y101" s="2">
        <f>IFERROR(IF(VLOOKUP(B101,cnst_grazing!$C$10:$H$25,6,FALSE)="", IF(VLOOKUP(B101, cnst_grazing!$C$10:$H$25,4,FALSE)="", VLOOKUP(B101, cnst_grazing!$C$10:$H$25,3,FALSE),VLOOKUP(B101, cnst_grazing!$C$10:$H$25,4,FALSE)), VLOOKUP(B101,cnst_grazing!$C$10:$H$25,6,FALSE)),1)</f>
        <v>1</v>
      </c>
      <c r="Z101" s="400">
        <f t="shared" si="31"/>
        <v>1.3938936512470472</v>
      </c>
      <c r="AA101" s="2">
        <f t="shared" si="32"/>
        <v>0.94099998394427398</v>
      </c>
      <c r="AB101" s="2">
        <f>VLOOKUP($W101,feed_mix_n,MATCH(AB$5,feed_mix_w!$B$5:$AC$5,0),FALSE)/$Z101*VLOOKUP(AB$5,feed_intensity_w,11,FALSE)</f>
        <v>0.40461109928363675</v>
      </c>
      <c r="AC101" s="2">
        <f>VLOOKUP($W101,feed_mix_n,MATCH(AC$5,feed_mix_w!$B$5:$AC$5,0),FALSE)/$Z101*VLOOKUP(AC$5,feed_intensity_w,11,FALSE)</f>
        <v>0</v>
      </c>
      <c r="AD101" s="2">
        <f>VLOOKUP($W101,feed_mix_n,MATCH(AD$5,feed_mix_w!$B$5:$AC$5,0),FALSE)/$Z101*VLOOKUP(AD$5,feed_intensity_w,11,FALSE)</f>
        <v>0.1760623663753387</v>
      </c>
      <c r="AE101" s="2">
        <f>VLOOKUP($W101,feed_mix_n,MATCH(AE$5,feed_mix_w!$B$5:$AC$5,0),FALSE)/$Z101*VLOOKUP(AE$5,feed_intensity_w,11,FALSE)</f>
        <v>7.6964149601245715E-2</v>
      </c>
      <c r="AF101" s="2">
        <f>VLOOKUP($W101,feed_mix_n,MATCH(AF$5,feed_mix_w!$B$5:$AC$5,0),FALSE)/$Z101*VLOOKUP(AF$5,feed_intensity_w,11,FALSE)</f>
        <v>0</v>
      </c>
      <c r="AG101" s="2">
        <f>VLOOKUP($W101,feed_mix_n,MATCH(AG$5,feed_mix_w!$B$5:$AC$5,0),FALSE)/$Z101*VLOOKUP(AG$5,feed_intensity_w,11,FALSE)</f>
        <v>0</v>
      </c>
      <c r="AH101" s="2">
        <f>VLOOKUP($W101,feed_mix_n,MATCH(AH$5,feed_mix_w!$B$5:$AC$5,0),FALSE)/$Z101*VLOOKUP(AH$5,feed_intensity_w,11,FALSE)</f>
        <v>0.18471395904298968</v>
      </c>
      <c r="AI101" s="2">
        <f>VLOOKUP($W101,feed_mix_n,MATCH(AI$5,feed_mix_w!$B$5:$AC$5,0),FALSE)/$Z101*VLOOKUP(AI$5,feed_intensity_w,11,FALSE)</f>
        <v>0</v>
      </c>
      <c r="AJ101" s="2">
        <f>VLOOKUP($W101,feed_mix_n,MATCH(AJ$5,feed_mix_w!$B$5:$AC$5,0),FALSE)/$Z101*VLOOKUP(AJ$5,feed_intensity_w,11,FALSE)</f>
        <v>0</v>
      </c>
      <c r="AK101" s="2">
        <f>VLOOKUP($W101,feed_mix_n,MATCH(AK$5,feed_mix_w!$B$5:$AC$5,0),FALSE)/$Z101*VLOOKUP(AK$5,feed_intensity_w,11,FALSE)</f>
        <v>0</v>
      </c>
      <c r="AL101" s="2">
        <f>VLOOKUP($W101,feed_mix_n,MATCH(AL$5,feed_mix_w!$B$5:$AC$5,0),FALSE)/$Z101*VLOOKUP(AL$5,feed_intensity_w,11,FALSE)</f>
        <v>0</v>
      </c>
      <c r="AM101" s="2">
        <f>VLOOKUP($W101,feed_mix_n,MATCH(AM$5,feed_mix_w!$B$5:$AC$5,0),FALSE)/$Z101*VLOOKUP(AM$5,feed_intensity_w,11,FALSE)</f>
        <v>0</v>
      </c>
      <c r="AN101" s="2">
        <f>VLOOKUP($W101,feed_mix_n,MATCH(AN$5,feed_mix_w!$B$5:$AC$5,0),FALSE)/$Z101*VLOOKUP(AN$5,feed_intensity_w,11,FALSE)</f>
        <v>0</v>
      </c>
      <c r="AO101" s="2">
        <f>VLOOKUP($W101,feed_mix_n,MATCH(AO$5,feed_mix_w!$B$5:$AC$5,0),FALSE)/$Z101*VLOOKUP(AO$5,feed_intensity_w,11,FALSE)</f>
        <v>0</v>
      </c>
      <c r="AP101" s="2">
        <f>VLOOKUP($W101,feed_mix_n,MATCH(AP$5,feed_mix_w!$B$5:$AC$5,0),FALSE)/$Z101*VLOOKUP(AP$5,feed_intensity_w,11,FALSE)</f>
        <v>0</v>
      </c>
      <c r="AQ101" s="2">
        <f>VLOOKUP($W101,feed_mix_n,MATCH(AQ$5,feed_mix_w!$B$5:$AC$5,0),FALSE)/$Z101*VLOOKUP(AQ$5,feed_intensity_w,11,FALSE)</f>
        <v>0</v>
      </c>
      <c r="AR101" s="2">
        <f>VLOOKUP($W101,feed_mix_n,MATCH(AR$5,feed_mix_w!$B$5:$AC$5,0),FALSE)/$Z101*VLOOKUP(AR$5,feed_intensity_w,11,FALSE)</f>
        <v>9.8648409641063084E-2</v>
      </c>
      <c r="AS101" s="389">
        <f>VLOOKUP($W101,feed_mix_n,MATCH(AS$5,feed_mix_w!$B$5:$AC$5,0),FALSE)/$Z101*VLOOKUP(AS$5,feed_intensity_w,11,FALSE)</f>
        <v>0</v>
      </c>
    </row>
    <row r="102" spans="1:45" ht="12.75" customHeight="1">
      <c r="A102" s="14" t="s">
        <v>4551</v>
      </c>
      <c r="B102" s="482">
        <v>1057</v>
      </c>
      <c r="C102" s="24" t="s">
        <v>4552</v>
      </c>
      <c r="D102" s="513">
        <v>36827000</v>
      </c>
      <c r="E102" s="513">
        <v>5920000</v>
      </c>
      <c r="F102" s="25">
        <f t="shared" si="22"/>
        <v>21537.982329770923</v>
      </c>
      <c r="G102" s="25">
        <f t="shared" si="23"/>
        <v>635.84328553823821</v>
      </c>
      <c r="H102" s="2">
        <f t="shared" si="24"/>
        <v>1.340379834246106</v>
      </c>
      <c r="I102" s="25">
        <f t="shared" si="25"/>
        <v>28869.077185173908</v>
      </c>
      <c r="J102" s="87">
        <f>IFERROR(G102*VLOOKUP(W102,livestock_intensity!$B$7:$I$29,8,FALSE)/Z102,0)</f>
        <v>1054.4690958353492</v>
      </c>
      <c r="K102" s="2">
        <f>VLOOKUP($W102,feed_mix_n,MATCH(K$5,feed_mix_w!$B$5:$AC$5,0),FALSE)/$Z102*VLOOKUP(K$5,feed_intensity_w,11,FALSE)</f>
        <v>0.10676056655326396</v>
      </c>
      <c r="L102" s="25">
        <f t="shared" si="26"/>
        <v>2299.4071959405319</v>
      </c>
      <c r="M102" s="25">
        <f>IFERROR(G102*VLOOKUP(W102,livestock_intensity!$B$7:$M$29,12,FALSE)/Z102,0)</f>
        <v>87.624435886679521</v>
      </c>
      <c r="N102" s="2">
        <f>VLOOKUP($W102,feed_mix_n,MATCH(N$5,feed_mix_w!$B$5:$AC$5,0),FALSE)/$Z102*VLOOKUP(N$5,feed_intensity_w,11,FALSE)</f>
        <v>0</v>
      </c>
      <c r="O102" s="25">
        <f t="shared" si="27"/>
        <v>0</v>
      </c>
      <c r="P102" s="343">
        <f>IFERROR(G102*VLOOKUP(W102,livestock_intensity!$B$7:$Q$29,16,FALSE)/Z102,0)</f>
        <v>0</v>
      </c>
      <c r="Q102" s="758"/>
      <c r="R102" s="331">
        <f t="shared" si="28"/>
        <v>31168.484381114438</v>
      </c>
      <c r="S102" s="331">
        <f t="shared" si="29"/>
        <v>1142.0935317220287</v>
      </c>
      <c r="T102" s="739" t="s">
        <v>2738</v>
      </c>
      <c r="U102" s="558" t="s">
        <v>413</v>
      </c>
      <c r="V102" s="559" t="str">
        <f>IFERROR(VLOOKUP(W102,constant_ag_extr!$D$7:$E$594,2,FALSE),"")</f>
        <v>Chickens</v>
      </c>
      <c r="W102" s="560">
        <f t="shared" si="30"/>
        <v>1057</v>
      </c>
      <c r="X102" s="483">
        <f>IFERROR(IF(VLOOKUP(B102,cnst_grazing!$C$10:$H$25,5,FALSE)="", IF(VLOOKUP(B102, cnst_grazing!$C$10:$H$25,3,FALSE)="", VLOOKUP(B102, cnst_grazing!$C$10:$H$25,4,FALSE),VLOOKUP(B102, cnst_grazing!$C$10:$H$25,3,FALSE)), VLOOKUP(B102,cnst_grazing!$C$10:$H$25,5,FALSE)),1)</f>
        <v>5.848421628091053E-4</v>
      </c>
      <c r="Y102" s="483">
        <f>IFERROR(IF(VLOOKUP(B102,cnst_grazing!$C$10:$H$25,6,FALSE)="", IF(VLOOKUP(B102, cnst_grazing!$C$10:$H$25,4,FALSE)="", VLOOKUP(B102, cnst_grazing!$C$10:$H$25,3,FALSE),VLOOKUP(B102, cnst_grazing!$C$10:$H$25,4,FALSE)), VLOOKUP(B102,cnst_grazing!$C$10:$H$25,6,FALSE)),1)</f>
        <v>1.0740596039497266E-4</v>
      </c>
      <c r="Z102" s="400">
        <f t="shared" si="31"/>
        <v>1</v>
      </c>
      <c r="AA102" s="2">
        <f t="shared" si="32"/>
        <v>1.340379834246106</v>
      </c>
      <c r="AB102" s="2">
        <f>VLOOKUP($W102,feed_mix_n,MATCH(AB$5,feed_mix_w!$B$5:$AC$5,0),FALSE)/$Z102*VLOOKUP(AB$5,feed_intensity_w,11,FALSE)</f>
        <v>0.44989296715251959</v>
      </c>
      <c r="AC102" s="2">
        <f>VLOOKUP($W102,feed_mix_n,MATCH(AC$5,feed_mix_w!$B$5:$AC$5,0),FALSE)/$Z102*VLOOKUP(AC$5,feed_intensity_w,11,FALSE)</f>
        <v>0</v>
      </c>
      <c r="AD102" s="2">
        <f>VLOOKUP($W102,feed_mix_n,MATCH(AD$5,feed_mix_w!$B$5:$AC$5,0),FALSE)/$Z102*VLOOKUP(AD$5,feed_intensity_w,11,FALSE)</f>
        <v>0.36300232928260834</v>
      </c>
      <c r="AE102" s="2">
        <f>VLOOKUP($W102,feed_mix_n,MATCH(AE$5,feed_mix_w!$B$5:$AC$5,0),FALSE)/$Z102*VLOOKUP(AE$5,feed_intensity_w,11,FALSE)</f>
        <v>0</v>
      </c>
      <c r="AF102" s="2">
        <f>VLOOKUP($W102,feed_mix_n,MATCH(AF$5,feed_mix_w!$B$5:$AC$5,0),FALSE)/$Z102*VLOOKUP(AF$5,feed_intensity_w,11,FALSE)</f>
        <v>0</v>
      </c>
      <c r="AG102" s="2">
        <f>VLOOKUP($W102,feed_mix_n,MATCH(AG$5,feed_mix_w!$B$5:$AC$5,0),FALSE)/$Z102*VLOOKUP(AG$5,feed_intensity_w,11,FALSE)</f>
        <v>0</v>
      </c>
      <c r="AH102" s="2">
        <f>VLOOKUP($W102,feed_mix_n,MATCH(AH$5,feed_mix_w!$B$5:$AC$5,0),FALSE)/$Z102*VLOOKUP(AH$5,feed_intensity_w,11,FALSE)</f>
        <v>0.39325872951228458</v>
      </c>
      <c r="AI102" s="2">
        <f>VLOOKUP($W102,feed_mix_n,MATCH(AI$5,feed_mix_w!$B$5:$AC$5,0),FALSE)/$Z102*VLOOKUP(AI$5,feed_intensity_w,11,FALSE)</f>
        <v>0</v>
      </c>
      <c r="AJ102" s="2">
        <f>VLOOKUP($W102,feed_mix_n,MATCH(AJ$5,feed_mix_w!$B$5:$AC$5,0),FALSE)/$Z102*VLOOKUP(AJ$5,feed_intensity_w,11,FALSE)</f>
        <v>0</v>
      </c>
      <c r="AK102" s="2">
        <f>VLOOKUP($W102,feed_mix_n,MATCH(AK$5,feed_mix_w!$B$5:$AC$5,0),FALSE)/$Z102*VLOOKUP(AK$5,feed_intensity_w,11,FALSE)</f>
        <v>0</v>
      </c>
      <c r="AL102" s="2">
        <f>VLOOKUP($W102,feed_mix_n,MATCH(AL$5,feed_mix_w!$B$5:$AC$5,0),FALSE)/$Z102*VLOOKUP(AL$5,feed_intensity_w,11,FALSE)</f>
        <v>0</v>
      </c>
      <c r="AM102" s="2">
        <f>VLOOKUP($W102,feed_mix_n,MATCH(AM$5,feed_mix_w!$B$5:$AC$5,0),FALSE)/$Z102*VLOOKUP(AM$5,feed_intensity_w,11,FALSE)</f>
        <v>0</v>
      </c>
      <c r="AN102" s="2">
        <f>VLOOKUP($W102,feed_mix_n,MATCH(AN$5,feed_mix_w!$B$5:$AC$5,0),FALSE)/$Z102*VLOOKUP(AN$5,feed_intensity_w,11,FALSE)</f>
        <v>0</v>
      </c>
      <c r="AO102" s="2">
        <f>VLOOKUP($W102,feed_mix_n,MATCH(AO$5,feed_mix_w!$B$5:$AC$5,0),FALSE)/$Z102*VLOOKUP(AO$5,feed_intensity_w,11,FALSE)</f>
        <v>0</v>
      </c>
      <c r="AP102" s="2">
        <f>VLOOKUP($W102,feed_mix_n,MATCH(AP$5,feed_mix_w!$B$5:$AC$5,0),FALSE)/$Z102*VLOOKUP(AP$5,feed_intensity_w,11,FALSE)</f>
        <v>0</v>
      </c>
      <c r="AQ102" s="2">
        <f>VLOOKUP($W102,feed_mix_n,MATCH(AQ$5,feed_mix_w!$B$5:$AC$5,0),FALSE)/$Z102*VLOOKUP(AQ$5,feed_intensity_w,11,FALSE)</f>
        <v>0</v>
      </c>
      <c r="AR102" s="2">
        <f>VLOOKUP($W102,feed_mix_n,MATCH(AR$5,feed_mix_w!$B$5:$AC$5,0),FALSE)/$Z102*VLOOKUP(AR$5,feed_intensity_w,11,FALSE)</f>
        <v>0.13422580829869354</v>
      </c>
      <c r="AS102" s="389">
        <f>VLOOKUP($W102,feed_mix_n,MATCH(AS$5,feed_mix_w!$B$5:$AC$5,0),FALSE)/$Z102*VLOOKUP(AS$5,feed_intensity_w,11,FALSE)</f>
        <v>0</v>
      </c>
    </row>
    <row r="103" spans="1:45" ht="12.75" customHeight="1">
      <c r="A103" s="14" t="s">
        <v>7171</v>
      </c>
      <c r="B103" s="482">
        <v>1058</v>
      </c>
      <c r="C103" s="24" t="s">
        <v>475</v>
      </c>
      <c r="D103" s="513">
        <v>138100</v>
      </c>
      <c r="E103" s="513">
        <v>88028</v>
      </c>
      <c r="F103" s="25">
        <f t="shared" ref="F103:F134" si="33">D103*X103</f>
        <v>138100</v>
      </c>
      <c r="G103" s="25">
        <f t="shared" ref="G103:G134" si="34">E103*Y103</f>
        <v>88028</v>
      </c>
      <c r="H103" s="2">
        <f t="shared" ref="H103:H134" si="35">SUM(AB103:AP103)+AR103+AS103</f>
        <v>1.6091784802955402</v>
      </c>
      <c r="I103" s="25">
        <f t="shared" ref="I103:I134" si="36">IFERROR(F103*VLOOKUP(B103,livestock_intensity_w,7,FALSE),0)</f>
        <v>222227.54812881412</v>
      </c>
      <c r="J103" s="87">
        <f>IFERROR(G103*VLOOKUP(W103,livestock_intensity!$B$7:$I$29,8,FALSE)/Z103,0)</f>
        <v>175259.24321424571</v>
      </c>
      <c r="K103" s="2">
        <f>VLOOKUP($W103,feed_mix_n,MATCH(K$5,feed_mix_w!$B$5:$AC$5,0),FALSE)/$Z103*VLOOKUP(K$5,feed_intensity_w,11,FALSE)</f>
        <v>0.128170240891679</v>
      </c>
      <c r="L103" s="25">
        <f t="shared" ref="L103:L134" si="37">IFERROR(F103*VLOOKUP($B103,livestock_intensity_w,10,FALSE),0)</f>
        <v>17700.310267140871</v>
      </c>
      <c r="M103" s="25">
        <f>IFERROR(G103*VLOOKUP(W103,livestock_intensity!$B$7:$M$29,12,FALSE)/Z103,0)</f>
        <v>14563.719677729252</v>
      </c>
      <c r="N103" s="2">
        <f>VLOOKUP($W103,feed_mix_n,MATCH(N$5,feed_mix_w!$B$5:$AC$5,0),FALSE)/$Z103*VLOOKUP(N$5,feed_intensity_w,11,FALSE)</f>
        <v>0</v>
      </c>
      <c r="O103" s="25">
        <f t="shared" ref="O103:O134" si="38">IFERROR(F103*VLOOKUP(B103,livestock_intensity_w,13,FALSE),0)</f>
        <v>0</v>
      </c>
      <c r="P103" s="343">
        <f>IFERROR(G103*VLOOKUP(W103,livestock_intensity!$B$7:$Q$29,16,FALSE)/Z103,0)</f>
        <v>0</v>
      </c>
      <c r="Q103" s="758"/>
      <c r="R103" s="331">
        <f t="shared" ref="R103:R134" si="39">IFERROR(SUM(I103,L103,O103),0)</f>
        <v>239927.858395955</v>
      </c>
      <c r="S103" s="331">
        <f t="shared" ref="S103:S134" si="40">IFERROR(SUM(J103,M103,P103),0)</f>
        <v>189822.96289197495</v>
      </c>
      <c r="T103" s="739">
        <v>2734</v>
      </c>
      <c r="U103" s="558" t="s">
        <v>2796</v>
      </c>
      <c r="V103" s="559" t="str">
        <f>IFERROR(VLOOKUP(W103,constant_ag_extr!$D$7:$E$594,2,FALSE),"")</f>
        <v>Chickens</v>
      </c>
      <c r="W103" s="560">
        <f t="shared" ref="W103:W134" si="41">IFERROR(VLOOKUP(B103,constant_ag_extr,3,FALSE),"")</f>
        <v>1057</v>
      </c>
      <c r="X103" s="2">
        <f>IFERROR(IF(VLOOKUP(B103,cnst_grazing!$C$10:$H$25,5,FALSE)="", IF(VLOOKUP(B103, cnst_grazing!$C$10:$H$25,3,FALSE)="", VLOOKUP(B103, cnst_grazing!$C$10:$H$25,4,FALSE),VLOOKUP(B103, cnst_grazing!$C$10:$H$25,3,FALSE)), VLOOKUP(B103,cnst_grazing!$C$10:$H$25,5,FALSE)),1)</f>
        <v>1</v>
      </c>
      <c r="Y103" s="2">
        <f>IFERROR(IF(VLOOKUP(B103,cnst_grazing!$C$10:$H$25,6,FALSE)="", IF(VLOOKUP(B103, cnst_grazing!$C$10:$H$25,4,FALSE)="", VLOOKUP(B103, cnst_grazing!$C$10:$H$25,3,FALSE),VLOOKUP(B103, cnst_grazing!$C$10:$H$25,4,FALSE)), VLOOKUP(B103,cnst_grazing!$C$10:$H$25,6,FALSE)),1)</f>
        <v>1</v>
      </c>
      <c r="Z103" s="400">
        <f t="shared" ref="Z103:Z134" si="42">IFERROR(VLOOKUP(B103,constant_ag_extr,14,FALSE),"-")</f>
        <v>0.83295908481198</v>
      </c>
      <c r="AA103" s="2">
        <f t="shared" ref="AA103:AA134" si="43">H103+N103</f>
        <v>1.6091784802955402</v>
      </c>
      <c r="AB103" s="2">
        <f>VLOOKUP($W103,feed_mix_n,MATCH(AB$5,feed_mix_w!$B$5:$AC$5,0),FALSE)/$Z103*VLOOKUP(AB$5,feed_intensity_w,11,FALSE)</f>
        <v>0.5401141248781407</v>
      </c>
      <c r="AC103" s="2">
        <f>VLOOKUP($W103,feed_mix_n,MATCH(AC$5,feed_mix_w!$B$5:$AC$5,0),FALSE)/$Z103*VLOOKUP(AC$5,feed_intensity_w,11,FALSE)</f>
        <v>0</v>
      </c>
      <c r="AD103" s="2">
        <f>VLOOKUP($W103,feed_mix_n,MATCH(AD$5,feed_mix_w!$B$5:$AC$5,0),FALSE)/$Z103*VLOOKUP(AD$5,feed_intensity_w,11,FALSE)</f>
        <v>0.43579851147736415</v>
      </c>
      <c r="AE103" s="2">
        <f>VLOOKUP($W103,feed_mix_n,MATCH(AE$5,feed_mix_w!$B$5:$AC$5,0),FALSE)/$Z103*VLOOKUP(AE$5,feed_intensity_w,11,FALSE)</f>
        <v>0</v>
      </c>
      <c r="AF103" s="2">
        <f>VLOOKUP($W103,feed_mix_n,MATCH(AF$5,feed_mix_w!$B$5:$AC$5,0),FALSE)/$Z103*VLOOKUP(AF$5,feed_intensity_w,11,FALSE)</f>
        <v>0</v>
      </c>
      <c r="AG103" s="2">
        <f>VLOOKUP($W103,feed_mix_n,MATCH(AG$5,feed_mix_w!$B$5:$AC$5,0),FALSE)/$Z103*VLOOKUP(AG$5,feed_intensity_w,11,FALSE)</f>
        <v>0</v>
      </c>
      <c r="AH103" s="2">
        <f>VLOOKUP($W103,feed_mix_n,MATCH(AH$5,feed_mix_w!$B$5:$AC$5,0),FALSE)/$Z103*VLOOKUP(AH$5,feed_intensity_w,11,FALSE)</f>
        <v>0.47212250479392159</v>
      </c>
      <c r="AI103" s="2">
        <f>VLOOKUP($W103,feed_mix_n,MATCH(AI$5,feed_mix_w!$B$5:$AC$5,0),FALSE)/$Z103*VLOOKUP(AI$5,feed_intensity_w,11,FALSE)</f>
        <v>0</v>
      </c>
      <c r="AJ103" s="2">
        <f>VLOOKUP($W103,feed_mix_n,MATCH(AJ$5,feed_mix_w!$B$5:$AC$5,0),FALSE)/$Z103*VLOOKUP(AJ$5,feed_intensity_w,11,FALSE)</f>
        <v>0</v>
      </c>
      <c r="AK103" s="2">
        <f>VLOOKUP($W103,feed_mix_n,MATCH(AK$5,feed_mix_w!$B$5:$AC$5,0),FALSE)/$Z103*VLOOKUP(AK$5,feed_intensity_w,11,FALSE)</f>
        <v>0</v>
      </c>
      <c r="AL103" s="2">
        <f>VLOOKUP($W103,feed_mix_n,MATCH(AL$5,feed_mix_w!$B$5:$AC$5,0),FALSE)/$Z103*VLOOKUP(AL$5,feed_intensity_w,11,FALSE)</f>
        <v>0</v>
      </c>
      <c r="AM103" s="2">
        <f>VLOOKUP($W103,feed_mix_n,MATCH(AM$5,feed_mix_w!$B$5:$AC$5,0),FALSE)/$Z103*VLOOKUP(AM$5,feed_intensity_w,11,FALSE)</f>
        <v>0</v>
      </c>
      <c r="AN103" s="2">
        <f>VLOOKUP($W103,feed_mix_n,MATCH(AN$5,feed_mix_w!$B$5:$AC$5,0),FALSE)/$Z103*VLOOKUP(AN$5,feed_intensity_w,11,FALSE)</f>
        <v>0</v>
      </c>
      <c r="AO103" s="2">
        <f>VLOOKUP($W103,feed_mix_n,MATCH(AO$5,feed_mix_w!$B$5:$AC$5,0),FALSE)/$Z103*VLOOKUP(AO$5,feed_intensity_w,11,FALSE)</f>
        <v>0</v>
      </c>
      <c r="AP103" s="2">
        <f>VLOOKUP($W103,feed_mix_n,MATCH(AP$5,feed_mix_w!$B$5:$AC$5,0),FALSE)/$Z103*VLOOKUP(AP$5,feed_intensity_w,11,FALSE)</f>
        <v>0</v>
      </c>
      <c r="AQ103" s="2">
        <f>VLOOKUP($W103,feed_mix_n,MATCH(AQ$5,feed_mix_w!$B$5:$AC$5,0),FALSE)/$Z103*VLOOKUP(AQ$5,feed_intensity_w,11,FALSE)</f>
        <v>0</v>
      </c>
      <c r="AR103" s="2">
        <f>VLOOKUP($W103,feed_mix_n,MATCH(AR$5,feed_mix_w!$B$5:$AC$5,0),FALSE)/$Z103*VLOOKUP(AR$5,feed_intensity_w,11,FALSE)</f>
        <v>0.16114333914611392</v>
      </c>
      <c r="AS103" s="389">
        <f>VLOOKUP($W103,feed_mix_n,MATCH(AS$5,feed_mix_w!$B$5:$AC$5,0),FALSE)/$Z103*VLOOKUP(AS$5,feed_intensity_w,11,FALSE)</f>
        <v>0</v>
      </c>
    </row>
    <row r="104" spans="1:45" ht="12.75" customHeight="1">
      <c r="A104" s="14" t="s">
        <v>7172</v>
      </c>
      <c r="B104" s="482">
        <v>1059</v>
      </c>
      <c r="C104" s="24" t="s">
        <v>1573</v>
      </c>
      <c r="D104" s="513">
        <v>0</v>
      </c>
      <c r="E104" s="513">
        <v>0</v>
      </c>
      <c r="F104" s="25">
        <f t="shared" si="33"/>
        <v>0</v>
      </c>
      <c r="G104" s="25">
        <f t="shared" si="34"/>
        <v>0</v>
      </c>
      <c r="H104" s="2">
        <f t="shared" si="35"/>
        <v>0.85220619615584525</v>
      </c>
      <c r="I104" s="25">
        <f t="shared" si="36"/>
        <v>0</v>
      </c>
      <c r="J104" s="87">
        <f>IFERROR(G104*VLOOKUP(W104,livestock_intensity!$B$7:$I$29,8,FALSE)/Z104,0)</f>
        <v>0</v>
      </c>
      <c r="K104" s="2">
        <f>VLOOKUP($W104,feed_mix_n,MATCH(K$5,feed_mix_w!$B$5:$AC$5,0),FALSE)/$Z104*VLOOKUP(K$5,feed_intensity_w,11,FALSE)</f>
        <v>6.7877786577543286E-2</v>
      </c>
      <c r="L104" s="25">
        <f t="shared" si="37"/>
        <v>0</v>
      </c>
      <c r="M104" s="25">
        <f>IFERROR(G104*VLOOKUP(W104,livestock_intensity!$B$7:$M$29,12,FALSE)/Z104,0)</f>
        <v>0</v>
      </c>
      <c r="N104" s="2">
        <f>VLOOKUP($W104,feed_mix_n,MATCH(N$5,feed_mix_w!$B$5:$AC$5,0),FALSE)/$Z104*VLOOKUP(N$5,feed_intensity_w,11,FALSE)</f>
        <v>0</v>
      </c>
      <c r="O104" s="25">
        <f t="shared" si="38"/>
        <v>0</v>
      </c>
      <c r="P104" s="343">
        <f>IFERROR(G104*VLOOKUP(W104,livestock_intensity!$B$7:$Q$29,16,FALSE)/Z104,0)</f>
        <v>0</v>
      </c>
      <c r="Q104" s="758"/>
      <c r="R104" s="331">
        <f t="shared" si="39"/>
        <v>0</v>
      </c>
      <c r="S104" s="331">
        <f t="shared" si="40"/>
        <v>0</v>
      </c>
      <c r="T104" s="739">
        <v>2736</v>
      </c>
      <c r="U104" s="558" t="s">
        <v>2796</v>
      </c>
      <c r="V104" s="559" t="str">
        <f>IFERROR(VLOOKUP(W104,constant_ag_extr!$D$7:$E$594,2,FALSE),"")</f>
        <v>Chickens</v>
      </c>
      <c r="W104" s="560">
        <f t="shared" si="41"/>
        <v>1057</v>
      </c>
      <c r="X104" s="2">
        <f>IFERROR(IF(VLOOKUP(B104,cnst_grazing!$C$10:$H$25,5,FALSE)="", IF(VLOOKUP(B104, cnst_grazing!$C$10:$H$25,3,FALSE)="", VLOOKUP(B104, cnst_grazing!$C$10:$H$25,4,FALSE),VLOOKUP(B104, cnst_grazing!$C$10:$H$25,3,FALSE)), VLOOKUP(B104,cnst_grazing!$C$10:$H$25,5,FALSE)),1)</f>
        <v>1</v>
      </c>
      <c r="Y104" s="2">
        <f>IFERROR(IF(VLOOKUP(B104,cnst_grazing!$C$10:$H$25,6,FALSE)="", IF(VLOOKUP(B104, cnst_grazing!$C$10:$H$25,4,FALSE)="", VLOOKUP(B104, cnst_grazing!$C$10:$H$25,3,FALSE),VLOOKUP(B104, cnst_grazing!$C$10:$H$25,4,FALSE)), VLOOKUP(B104,cnst_grazing!$C$10:$H$25,6,FALSE)),1)</f>
        <v>1</v>
      </c>
      <c r="Z104" s="400">
        <f t="shared" si="42"/>
        <v>1.5728351193553012</v>
      </c>
      <c r="AA104" s="2">
        <f t="shared" si="43"/>
        <v>0.85220619615584525</v>
      </c>
      <c r="AB104" s="2">
        <f>VLOOKUP($W104,feed_mix_n,MATCH(AB$5,feed_mix_w!$B$5:$AC$5,0),FALSE)/$Z104*VLOOKUP(AB$5,feed_intensity_w,11,FALSE)</f>
        <v>0.28603949747569779</v>
      </c>
      <c r="AC104" s="2">
        <f>VLOOKUP($W104,feed_mix_n,MATCH(AC$5,feed_mix_w!$B$5:$AC$5,0),FALSE)/$Z104*VLOOKUP(AC$5,feed_intensity_w,11,FALSE)</f>
        <v>0</v>
      </c>
      <c r="AD104" s="2">
        <f>VLOOKUP($W104,feed_mix_n,MATCH(AD$5,feed_mix_w!$B$5:$AC$5,0),FALSE)/$Z104*VLOOKUP(AD$5,feed_intensity_w,11,FALSE)</f>
        <v>0.23079490330264343</v>
      </c>
      <c r="AE104" s="2">
        <f>VLOOKUP($W104,feed_mix_n,MATCH(AE$5,feed_mix_w!$B$5:$AC$5,0),FALSE)/$Z104*VLOOKUP(AE$5,feed_intensity_w,11,FALSE)</f>
        <v>0</v>
      </c>
      <c r="AF104" s="2">
        <f>VLOOKUP($W104,feed_mix_n,MATCH(AF$5,feed_mix_w!$B$5:$AC$5,0),FALSE)/$Z104*VLOOKUP(AF$5,feed_intensity_w,11,FALSE)</f>
        <v>0</v>
      </c>
      <c r="AG104" s="2">
        <f>VLOOKUP($W104,feed_mix_n,MATCH(AG$5,feed_mix_w!$B$5:$AC$5,0),FALSE)/$Z104*VLOOKUP(AG$5,feed_intensity_w,11,FALSE)</f>
        <v>0</v>
      </c>
      <c r="AH104" s="2">
        <f>VLOOKUP($W104,feed_mix_n,MATCH(AH$5,feed_mix_w!$B$5:$AC$5,0),FALSE)/$Z104*VLOOKUP(AH$5,feed_intensity_w,11,FALSE)</f>
        <v>0.25003175773025704</v>
      </c>
      <c r="AI104" s="2">
        <f>VLOOKUP($W104,feed_mix_n,MATCH(AI$5,feed_mix_w!$B$5:$AC$5,0),FALSE)/$Z104*VLOOKUP(AI$5,feed_intensity_w,11,FALSE)</f>
        <v>0</v>
      </c>
      <c r="AJ104" s="2">
        <f>VLOOKUP($W104,feed_mix_n,MATCH(AJ$5,feed_mix_w!$B$5:$AC$5,0),FALSE)/$Z104*VLOOKUP(AJ$5,feed_intensity_w,11,FALSE)</f>
        <v>0</v>
      </c>
      <c r="AK104" s="2">
        <f>VLOOKUP($W104,feed_mix_n,MATCH(AK$5,feed_mix_w!$B$5:$AC$5,0),FALSE)/$Z104*VLOOKUP(AK$5,feed_intensity_w,11,FALSE)</f>
        <v>0</v>
      </c>
      <c r="AL104" s="2">
        <f>VLOOKUP($W104,feed_mix_n,MATCH(AL$5,feed_mix_w!$B$5:$AC$5,0),FALSE)/$Z104*VLOOKUP(AL$5,feed_intensity_w,11,FALSE)</f>
        <v>0</v>
      </c>
      <c r="AM104" s="2">
        <f>VLOOKUP($W104,feed_mix_n,MATCH(AM$5,feed_mix_w!$B$5:$AC$5,0),FALSE)/$Z104*VLOOKUP(AM$5,feed_intensity_w,11,FALSE)</f>
        <v>0</v>
      </c>
      <c r="AN104" s="2">
        <f>VLOOKUP($W104,feed_mix_n,MATCH(AN$5,feed_mix_w!$B$5:$AC$5,0),FALSE)/$Z104*VLOOKUP(AN$5,feed_intensity_w,11,FALSE)</f>
        <v>0</v>
      </c>
      <c r="AO104" s="2">
        <f>VLOOKUP($W104,feed_mix_n,MATCH(AO$5,feed_mix_w!$B$5:$AC$5,0),FALSE)/$Z104*VLOOKUP(AO$5,feed_intensity_w,11,FALSE)</f>
        <v>0</v>
      </c>
      <c r="AP104" s="2">
        <f>VLOOKUP($W104,feed_mix_n,MATCH(AP$5,feed_mix_w!$B$5:$AC$5,0),FALSE)/$Z104*VLOOKUP(AP$5,feed_intensity_w,11,FALSE)</f>
        <v>0</v>
      </c>
      <c r="AQ104" s="2">
        <f>VLOOKUP($W104,feed_mix_n,MATCH(AQ$5,feed_mix_w!$B$5:$AC$5,0),FALSE)/$Z104*VLOOKUP(AQ$5,feed_intensity_w,11,FALSE)</f>
        <v>0</v>
      </c>
      <c r="AR104" s="2">
        <f>VLOOKUP($W104,feed_mix_n,MATCH(AR$5,feed_mix_w!$B$5:$AC$5,0),FALSE)/$Z104*VLOOKUP(AR$5,feed_intensity_w,11,FALSE)</f>
        <v>8.5340037647246958E-2</v>
      </c>
      <c r="AS104" s="389">
        <f>VLOOKUP($W104,feed_mix_n,MATCH(AS$5,feed_mix_w!$B$5:$AC$5,0),FALSE)/$Z104*VLOOKUP(AS$5,feed_intensity_w,11,FALSE)</f>
        <v>0</v>
      </c>
    </row>
    <row r="105" spans="1:45" ht="12.75" customHeight="1">
      <c r="A105" s="14" t="s">
        <v>7173</v>
      </c>
      <c r="B105" s="482">
        <v>1060</v>
      </c>
      <c r="C105" s="24" t="s">
        <v>1200</v>
      </c>
      <c r="D105" s="513">
        <v>4</v>
      </c>
      <c r="E105" s="513"/>
      <c r="F105" s="25">
        <f t="shared" si="33"/>
        <v>4</v>
      </c>
      <c r="G105" s="25">
        <f t="shared" si="34"/>
        <v>0</v>
      </c>
      <c r="H105" s="2">
        <f t="shared" si="35"/>
        <v>32.183569605910805</v>
      </c>
      <c r="I105" s="25">
        <f t="shared" si="36"/>
        <v>128.73427842364322</v>
      </c>
      <c r="J105" s="87">
        <f>IFERROR(G105*VLOOKUP(W105,livestock_intensity!$B$7:$I$29,8,FALSE)/Z105,0)</f>
        <v>0</v>
      </c>
      <c r="K105" s="2">
        <f>VLOOKUP($W105,feed_mix_n,MATCH(K$5,feed_mix_w!$B$5:$AC$5,0),FALSE)/$Z105*VLOOKUP(K$5,feed_intensity_w,11,FALSE)</f>
        <v>2.5634048178335802</v>
      </c>
      <c r="L105" s="25">
        <f t="shared" si="37"/>
        <v>10.253619271334321</v>
      </c>
      <c r="M105" s="25">
        <f>IFERROR(G105*VLOOKUP(W105,livestock_intensity!$B$7:$M$29,12,FALSE)/Z105,0)</f>
        <v>0</v>
      </c>
      <c r="N105" s="2">
        <f>VLOOKUP($W105,feed_mix_n,MATCH(N$5,feed_mix_w!$B$5:$AC$5,0),FALSE)/$Z105*VLOOKUP(N$5,feed_intensity_w,11,FALSE)</f>
        <v>0</v>
      </c>
      <c r="O105" s="25">
        <f t="shared" si="38"/>
        <v>0</v>
      </c>
      <c r="P105" s="343">
        <f>IFERROR(G105*VLOOKUP(W105,livestock_intensity!$B$7:$Q$29,16,FALSE)/Z105,0)</f>
        <v>0</v>
      </c>
      <c r="Q105" s="758"/>
      <c r="R105" s="331">
        <f t="shared" si="39"/>
        <v>138.98789769497753</v>
      </c>
      <c r="S105" s="331">
        <f t="shared" si="40"/>
        <v>0</v>
      </c>
      <c r="T105" s="739">
        <v>2737</v>
      </c>
      <c r="U105" s="558" t="s">
        <v>2796</v>
      </c>
      <c r="V105" s="559" t="str">
        <f>IFERROR(VLOOKUP(W105,constant_ag_extr!$D$7:$E$594,2,FALSE),"")</f>
        <v>Chickens</v>
      </c>
      <c r="W105" s="560">
        <f t="shared" si="41"/>
        <v>1057</v>
      </c>
      <c r="X105" s="2">
        <f>IFERROR(IF(VLOOKUP(B105,cnst_grazing!$C$10:$H$25,5,FALSE)="", IF(VLOOKUP(B105, cnst_grazing!$C$10:$H$25,3,FALSE)="", VLOOKUP(B105, cnst_grazing!$C$10:$H$25,4,FALSE),VLOOKUP(B105, cnst_grazing!$C$10:$H$25,3,FALSE)), VLOOKUP(B105,cnst_grazing!$C$10:$H$25,5,FALSE)),1)</f>
        <v>1</v>
      </c>
      <c r="Y105" s="2">
        <f>IFERROR(IF(VLOOKUP(B105,cnst_grazing!$C$10:$H$25,6,FALSE)="", IF(VLOOKUP(B105, cnst_grazing!$C$10:$H$25,4,FALSE)="", VLOOKUP(B105, cnst_grazing!$C$10:$H$25,3,FALSE),VLOOKUP(B105, cnst_grazing!$C$10:$H$25,4,FALSE)), VLOOKUP(B105,cnst_grazing!$C$10:$H$25,6,FALSE)),1)</f>
        <v>1</v>
      </c>
      <c r="Z105" s="400">
        <f t="shared" si="42"/>
        <v>4.1647954240599E-2</v>
      </c>
      <c r="AA105" s="2">
        <f t="shared" si="43"/>
        <v>32.183569605910805</v>
      </c>
      <c r="AB105" s="2">
        <f>VLOOKUP($W105,feed_mix_n,MATCH(AB$5,feed_mix_w!$B$5:$AC$5,0),FALSE)/$Z105*VLOOKUP(AB$5,feed_intensity_w,11,FALSE)</f>
        <v>10.802282497562814</v>
      </c>
      <c r="AC105" s="2">
        <f>VLOOKUP($W105,feed_mix_n,MATCH(AC$5,feed_mix_w!$B$5:$AC$5,0),FALSE)/$Z105*VLOOKUP(AC$5,feed_intensity_w,11,FALSE)</f>
        <v>0</v>
      </c>
      <c r="AD105" s="2">
        <f>VLOOKUP($W105,feed_mix_n,MATCH(AD$5,feed_mix_w!$B$5:$AC$5,0),FALSE)/$Z105*VLOOKUP(AD$5,feed_intensity_w,11,FALSE)</f>
        <v>8.7159702295472812</v>
      </c>
      <c r="AE105" s="2">
        <f>VLOOKUP($W105,feed_mix_n,MATCH(AE$5,feed_mix_w!$B$5:$AC$5,0),FALSE)/$Z105*VLOOKUP(AE$5,feed_intensity_w,11,FALSE)</f>
        <v>0</v>
      </c>
      <c r="AF105" s="2">
        <f>VLOOKUP($W105,feed_mix_n,MATCH(AF$5,feed_mix_w!$B$5:$AC$5,0),FALSE)/$Z105*VLOOKUP(AF$5,feed_intensity_w,11,FALSE)</f>
        <v>0</v>
      </c>
      <c r="AG105" s="2">
        <f>VLOOKUP($W105,feed_mix_n,MATCH(AG$5,feed_mix_w!$B$5:$AC$5,0),FALSE)/$Z105*VLOOKUP(AG$5,feed_intensity_w,11,FALSE)</f>
        <v>0</v>
      </c>
      <c r="AH105" s="2">
        <f>VLOOKUP($W105,feed_mix_n,MATCH(AH$5,feed_mix_w!$B$5:$AC$5,0),FALSE)/$Z105*VLOOKUP(AH$5,feed_intensity_w,11,FALSE)</f>
        <v>9.4424500958784314</v>
      </c>
      <c r="AI105" s="2">
        <f>VLOOKUP($W105,feed_mix_n,MATCH(AI$5,feed_mix_w!$B$5:$AC$5,0),FALSE)/$Z105*VLOOKUP(AI$5,feed_intensity_w,11,FALSE)</f>
        <v>0</v>
      </c>
      <c r="AJ105" s="2">
        <f>VLOOKUP($W105,feed_mix_n,MATCH(AJ$5,feed_mix_w!$B$5:$AC$5,0),FALSE)/$Z105*VLOOKUP(AJ$5,feed_intensity_w,11,FALSE)</f>
        <v>0</v>
      </c>
      <c r="AK105" s="2">
        <f>VLOOKUP($W105,feed_mix_n,MATCH(AK$5,feed_mix_w!$B$5:$AC$5,0),FALSE)/$Z105*VLOOKUP(AK$5,feed_intensity_w,11,FALSE)</f>
        <v>0</v>
      </c>
      <c r="AL105" s="2">
        <f>VLOOKUP($W105,feed_mix_n,MATCH(AL$5,feed_mix_w!$B$5:$AC$5,0),FALSE)/$Z105*VLOOKUP(AL$5,feed_intensity_w,11,FALSE)</f>
        <v>0</v>
      </c>
      <c r="AM105" s="2">
        <f>VLOOKUP($W105,feed_mix_n,MATCH(AM$5,feed_mix_w!$B$5:$AC$5,0),FALSE)/$Z105*VLOOKUP(AM$5,feed_intensity_w,11,FALSE)</f>
        <v>0</v>
      </c>
      <c r="AN105" s="2">
        <f>VLOOKUP($W105,feed_mix_n,MATCH(AN$5,feed_mix_w!$B$5:$AC$5,0),FALSE)/$Z105*VLOOKUP(AN$5,feed_intensity_w,11,FALSE)</f>
        <v>0</v>
      </c>
      <c r="AO105" s="2">
        <f>VLOOKUP($W105,feed_mix_n,MATCH(AO$5,feed_mix_w!$B$5:$AC$5,0),FALSE)/$Z105*VLOOKUP(AO$5,feed_intensity_w,11,FALSE)</f>
        <v>0</v>
      </c>
      <c r="AP105" s="2">
        <f>VLOOKUP($W105,feed_mix_n,MATCH(AP$5,feed_mix_w!$B$5:$AC$5,0),FALSE)/$Z105*VLOOKUP(AP$5,feed_intensity_w,11,FALSE)</f>
        <v>0</v>
      </c>
      <c r="AQ105" s="2">
        <f>VLOOKUP($W105,feed_mix_n,MATCH(AQ$5,feed_mix_w!$B$5:$AC$5,0),FALSE)/$Z105*VLOOKUP(AQ$5,feed_intensity_w,11,FALSE)</f>
        <v>0</v>
      </c>
      <c r="AR105" s="2">
        <f>VLOOKUP($W105,feed_mix_n,MATCH(AR$5,feed_mix_w!$B$5:$AC$5,0),FALSE)/$Z105*VLOOKUP(AR$5,feed_intensity_w,11,FALSE)</f>
        <v>3.2228667829222784</v>
      </c>
      <c r="AS105" s="389">
        <f>VLOOKUP($W105,feed_mix_n,MATCH(AS$5,feed_mix_w!$B$5:$AC$5,0),FALSE)/$Z105*VLOOKUP(AS$5,feed_intensity_w,11,FALSE)</f>
        <v>0</v>
      </c>
    </row>
    <row r="106" spans="1:45" ht="12.75" customHeight="1">
      <c r="A106" s="14" t="s">
        <v>7174</v>
      </c>
      <c r="B106" s="482">
        <v>1061</v>
      </c>
      <c r="C106" s="24" t="s">
        <v>1563</v>
      </c>
      <c r="D106" s="513">
        <v>34567</v>
      </c>
      <c r="E106" s="513">
        <v>37124</v>
      </c>
      <c r="F106" s="25">
        <f t="shared" si="33"/>
        <v>34567</v>
      </c>
      <c r="G106" s="25">
        <f t="shared" si="34"/>
        <v>37124</v>
      </c>
      <c r="H106" s="2">
        <f t="shared" si="35"/>
        <v>1.7491070437995002</v>
      </c>
      <c r="I106" s="25">
        <f t="shared" si="36"/>
        <v>60461.383183017322</v>
      </c>
      <c r="J106" s="87">
        <f>IFERROR(G106*VLOOKUP(W106,livestock_intensity!$B$7:$I$29,8,FALSE)/Z106,0)</f>
        <v>80339.113259981226</v>
      </c>
      <c r="K106" s="2">
        <f>VLOOKUP($W106,feed_mix_n,MATCH(K$5,feed_mix_w!$B$5:$AC$5,0),FALSE)/$Z106*VLOOKUP(K$5,feed_intensity_w,11,FALSE)</f>
        <v>0.13931547923008586</v>
      </c>
      <c r="L106" s="25">
        <f t="shared" si="37"/>
        <v>4815.7181705463781</v>
      </c>
      <c r="M106" s="25">
        <f>IFERROR(G106*VLOOKUP(W106,livestock_intensity!$B$7:$M$29,12,FALSE)/Z106,0)</f>
        <v>6676.0320495358783</v>
      </c>
      <c r="N106" s="2">
        <f>VLOOKUP($W106,feed_mix_n,MATCH(N$5,feed_mix_w!$B$5:$AC$5,0),FALSE)/$Z106*VLOOKUP(N$5,feed_intensity_w,11,FALSE)</f>
        <v>0</v>
      </c>
      <c r="O106" s="25">
        <f t="shared" si="38"/>
        <v>0</v>
      </c>
      <c r="P106" s="343">
        <f>IFERROR(G106*VLOOKUP(W106,livestock_intensity!$B$7:$Q$29,16,FALSE)/Z106,0)</f>
        <v>0</v>
      </c>
      <c r="Q106" s="758"/>
      <c r="R106" s="331">
        <f t="shared" si="39"/>
        <v>65277.101353563703</v>
      </c>
      <c r="S106" s="331">
        <f t="shared" si="40"/>
        <v>87015.145309517102</v>
      </c>
      <c r="T106" s="739" t="s">
        <v>2738</v>
      </c>
      <c r="U106" s="558" t="s">
        <v>2796</v>
      </c>
      <c r="V106" s="559" t="str">
        <f>IFERROR(VLOOKUP(W106,constant_ag_extr!$D$7:$E$594,2,FALSE),"")</f>
        <v>Chickens</v>
      </c>
      <c r="W106" s="560">
        <f t="shared" si="41"/>
        <v>1057</v>
      </c>
      <c r="X106" s="2">
        <f>IFERROR(IF(VLOOKUP(B106,cnst_grazing!$C$10:$H$25,5,FALSE)="", IF(VLOOKUP(B106, cnst_grazing!$C$10:$H$25,3,FALSE)="", VLOOKUP(B106, cnst_grazing!$C$10:$H$25,4,FALSE),VLOOKUP(B106, cnst_grazing!$C$10:$H$25,3,FALSE)), VLOOKUP(B106,cnst_grazing!$C$10:$H$25,5,FALSE)),1)</f>
        <v>1</v>
      </c>
      <c r="Y106" s="2">
        <f>IFERROR(IF(VLOOKUP(B106,cnst_grazing!$C$10:$H$25,6,FALSE)="", IF(VLOOKUP(B106, cnst_grazing!$C$10:$H$25,4,FALSE)="", VLOOKUP(B106, cnst_grazing!$C$10:$H$25,3,FALSE),VLOOKUP(B106, cnst_grazing!$C$10:$H$25,4,FALSE)), VLOOKUP(B106,cnst_grazing!$C$10:$H$25,6,FALSE)),1)</f>
        <v>1</v>
      </c>
      <c r="Z106" s="400">
        <f t="shared" si="42"/>
        <v>0.76632235802702164</v>
      </c>
      <c r="AA106" s="2">
        <f t="shared" si="43"/>
        <v>1.7491070437995002</v>
      </c>
      <c r="AB106" s="2">
        <f>VLOOKUP($W106,feed_mix_n,MATCH(AB$5,feed_mix_w!$B$5:$AC$5,0),FALSE)/$Z106*VLOOKUP(AB$5,feed_intensity_w,11,FALSE)</f>
        <v>0.58708057051971818</v>
      </c>
      <c r="AC106" s="2">
        <f>VLOOKUP($W106,feed_mix_n,MATCH(AC$5,feed_mix_w!$B$5:$AC$5,0),FALSE)/$Z106*VLOOKUP(AC$5,feed_intensity_w,11,FALSE)</f>
        <v>0</v>
      </c>
      <c r="AD106" s="2">
        <f>VLOOKUP($W106,feed_mix_n,MATCH(AD$5,feed_mix_w!$B$5:$AC$5,0),FALSE)/$Z106*VLOOKUP(AD$5,feed_intensity_w,11,FALSE)</f>
        <v>0.47369403421452616</v>
      </c>
      <c r="AE106" s="2">
        <f>VLOOKUP($W106,feed_mix_n,MATCH(AE$5,feed_mix_w!$B$5:$AC$5,0),FALSE)/$Z106*VLOOKUP(AE$5,feed_intensity_w,11,FALSE)</f>
        <v>0</v>
      </c>
      <c r="AF106" s="2">
        <f>VLOOKUP($W106,feed_mix_n,MATCH(AF$5,feed_mix_w!$B$5:$AC$5,0),FALSE)/$Z106*VLOOKUP(AF$5,feed_intensity_w,11,FALSE)</f>
        <v>0</v>
      </c>
      <c r="AG106" s="2">
        <f>VLOOKUP($W106,feed_mix_n,MATCH(AG$5,feed_mix_w!$B$5:$AC$5,0),FALSE)/$Z106*VLOOKUP(AG$5,feed_intensity_w,11,FALSE)</f>
        <v>0</v>
      </c>
      <c r="AH106" s="2">
        <f>VLOOKUP($W106,feed_mix_n,MATCH(AH$5,feed_mix_w!$B$5:$AC$5,0),FALSE)/$Z106*VLOOKUP(AH$5,feed_intensity_w,11,FALSE)</f>
        <v>0.51317663564556693</v>
      </c>
      <c r="AI106" s="2">
        <f>VLOOKUP($W106,feed_mix_n,MATCH(AI$5,feed_mix_w!$B$5:$AC$5,0),FALSE)/$Z106*VLOOKUP(AI$5,feed_intensity_w,11,FALSE)</f>
        <v>0</v>
      </c>
      <c r="AJ106" s="2">
        <f>VLOOKUP($W106,feed_mix_n,MATCH(AJ$5,feed_mix_w!$B$5:$AC$5,0),FALSE)/$Z106*VLOOKUP(AJ$5,feed_intensity_w,11,FALSE)</f>
        <v>0</v>
      </c>
      <c r="AK106" s="2">
        <f>VLOOKUP($W106,feed_mix_n,MATCH(AK$5,feed_mix_w!$B$5:$AC$5,0),FALSE)/$Z106*VLOOKUP(AK$5,feed_intensity_w,11,FALSE)</f>
        <v>0</v>
      </c>
      <c r="AL106" s="2">
        <f>VLOOKUP($W106,feed_mix_n,MATCH(AL$5,feed_mix_w!$B$5:$AC$5,0),FALSE)/$Z106*VLOOKUP(AL$5,feed_intensity_w,11,FALSE)</f>
        <v>0</v>
      </c>
      <c r="AM106" s="2">
        <f>VLOOKUP($W106,feed_mix_n,MATCH(AM$5,feed_mix_w!$B$5:$AC$5,0),FALSE)/$Z106*VLOOKUP(AM$5,feed_intensity_w,11,FALSE)</f>
        <v>0</v>
      </c>
      <c r="AN106" s="2">
        <f>VLOOKUP($W106,feed_mix_n,MATCH(AN$5,feed_mix_w!$B$5:$AC$5,0),FALSE)/$Z106*VLOOKUP(AN$5,feed_intensity_w,11,FALSE)</f>
        <v>0</v>
      </c>
      <c r="AO106" s="2">
        <f>VLOOKUP($W106,feed_mix_n,MATCH(AO$5,feed_mix_w!$B$5:$AC$5,0),FALSE)/$Z106*VLOOKUP(AO$5,feed_intensity_w,11,FALSE)</f>
        <v>0</v>
      </c>
      <c r="AP106" s="2">
        <f>VLOOKUP($W106,feed_mix_n,MATCH(AP$5,feed_mix_w!$B$5:$AC$5,0),FALSE)/$Z106*VLOOKUP(AP$5,feed_intensity_w,11,FALSE)</f>
        <v>0</v>
      </c>
      <c r="AQ106" s="2">
        <f>VLOOKUP($W106,feed_mix_n,MATCH(AQ$5,feed_mix_w!$B$5:$AC$5,0),FALSE)/$Z106*VLOOKUP(AQ$5,feed_intensity_w,11,FALSE)</f>
        <v>0</v>
      </c>
      <c r="AR106" s="2">
        <f>VLOOKUP($W106,feed_mix_n,MATCH(AR$5,feed_mix_w!$B$5:$AC$5,0),FALSE)/$Z106*VLOOKUP(AR$5,feed_intensity_w,11,FALSE)</f>
        <v>0.17515580341968903</v>
      </c>
      <c r="AS106" s="389">
        <f>VLOOKUP($W106,feed_mix_n,MATCH(AS$5,feed_mix_w!$B$5:$AC$5,0),FALSE)/$Z106*VLOOKUP(AS$5,feed_intensity_w,11,FALSE)</f>
        <v>0</v>
      </c>
    </row>
    <row r="107" spans="1:45" ht="12.75" customHeight="1">
      <c r="A107" s="14" t="s">
        <v>7175</v>
      </c>
      <c r="B107" s="482">
        <v>1062</v>
      </c>
      <c r="C107" s="24" t="s">
        <v>5023</v>
      </c>
      <c r="D107" s="513">
        <v>49410</v>
      </c>
      <c r="E107" s="513">
        <v>481</v>
      </c>
      <c r="F107" s="25">
        <f t="shared" si="33"/>
        <v>49410</v>
      </c>
      <c r="G107" s="25">
        <f t="shared" si="34"/>
        <v>481</v>
      </c>
      <c r="H107" s="2">
        <f t="shared" si="35"/>
        <v>1.0663609472134818</v>
      </c>
      <c r="I107" s="25">
        <f t="shared" si="36"/>
        <v>52688.894401818136</v>
      </c>
      <c r="J107" s="87">
        <f>IFERROR(G107*VLOOKUP(W107,livestock_intensity!$B$7:$I$29,8,FALSE)/Z107,0)</f>
        <v>687.81618816277501</v>
      </c>
      <c r="K107" s="2">
        <f>VLOOKUP($W107,feed_mix_n,MATCH(K$5,feed_mix_w!$B$5:$AC$5,0),FALSE)/$Z107*VLOOKUP(K$5,feed_intensity_w,11,FALSE)</f>
        <v>0</v>
      </c>
      <c r="L107" s="25">
        <f t="shared" si="37"/>
        <v>0</v>
      </c>
      <c r="M107" s="25">
        <f>IFERROR(G107*VLOOKUP(W107,livestock_intensity!$B$7:$M$29,12,FALSE)/Z107,0)</f>
        <v>0</v>
      </c>
      <c r="N107" s="2">
        <f>VLOOKUP($W107,feed_mix_n,MATCH(N$5,feed_mix_w!$B$5:$AC$5,0),FALSE)/$Z107*VLOOKUP(N$5,feed_intensity_w,11,FALSE)</f>
        <v>0</v>
      </c>
      <c r="O107" s="25">
        <f t="shared" si="38"/>
        <v>0</v>
      </c>
      <c r="P107" s="343">
        <f>IFERROR(G107*VLOOKUP(W107,livestock_intensity!$B$7:$Q$29,16,FALSE)/Z107,0)</f>
        <v>0</v>
      </c>
      <c r="Q107" s="758"/>
      <c r="R107" s="331">
        <f t="shared" si="39"/>
        <v>52688.894401818136</v>
      </c>
      <c r="S107" s="331">
        <f t="shared" si="40"/>
        <v>687.81618816277501</v>
      </c>
      <c r="T107" s="739">
        <v>2744</v>
      </c>
      <c r="U107" s="558" t="s">
        <v>413</v>
      </c>
      <c r="V107" s="559" t="str">
        <f>IFERROR(VLOOKUP(W107,constant_ag_extr!$D$7:$E$594,2,FALSE),"")</f>
        <v>Hen eggs, in shell</v>
      </c>
      <c r="W107" s="560">
        <f t="shared" si="41"/>
        <v>1062</v>
      </c>
      <c r="X107" s="2">
        <f>IFERROR(IF(VLOOKUP(B107,cnst_grazing!$C$10:$H$25,5,FALSE)="", IF(VLOOKUP(B107, cnst_grazing!$C$10:$H$25,3,FALSE)="", VLOOKUP(B107, cnst_grazing!$C$10:$H$25,4,FALSE),VLOOKUP(B107, cnst_grazing!$C$10:$H$25,3,FALSE)), VLOOKUP(B107,cnst_grazing!$C$10:$H$25,5,FALSE)),1)</f>
        <v>1</v>
      </c>
      <c r="Y107" s="2">
        <f>IFERROR(IF(VLOOKUP(B107,cnst_grazing!$C$10:$H$25,6,FALSE)="", IF(VLOOKUP(B107, cnst_grazing!$C$10:$H$25,4,FALSE)="", VLOOKUP(B107, cnst_grazing!$C$10:$H$25,3,FALSE),VLOOKUP(B107, cnst_grazing!$C$10:$H$25,4,FALSE)), VLOOKUP(B107,cnst_grazing!$C$10:$H$25,6,FALSE)),1)</f>
        <v>1</v>
      </c>
      <c r="Z107" s="400">
        <f t="shared" si="42"/>
        <v>1</v>
      </c>
      <c r="AA107" s="2">
        <f t="shared" si="43"/>
        <v>1.0663609472134818</v>
      </c>
      <c r="AB107" s="2">
        <f>VLOOKUP($W107,feed_mix_n,MATCH(AB$5,feed_mix_w!$B$5:$AC$5,0),FALSE)/$Z107*VLOOKUP(AB$5,feed_intensity_w,11,FALSE)</f>
        <v>0.23986121010188466</v>
      </c>
      <c r="AC107" s="2">
        <f>VLOOKUP($W107,feed_mix_n,MATCH(AC$5,feed_mix_w!$B$5:$AC$5,0),FALSE)/$Z107*VLOOKUP(AC$5,feed_intensity_w,11,FALSE)</f>
        <v>0.26324013798220092</v>
      </c>
      <c r="AD107" s="2">
        <f>VLOOKUP($W107,feed_mix_n,MATCH(AD$5,feed_mix_w!$B$5:$AC$5,0),FALSE)/$Z107*VLOOKUP(AD$5,feed_intensity_w,11,FALSE)</f>
        <v>0</v>
      </c>
      <c r="AE107" s="2">
        <f>VLOOKUP($W107,feed_mix_n,MATCH(AE$5,feed_mix_w!$B$5:$AC$5,0),FALSE)/$Z107*VLOOKUP(AE$5,feed_intensity_w,11,FALSE)</f>
        <v>0.26094697105275011</v>
      </c>
      <c r="AF107" s="2">
        <f>VLOOKUP($W107,feed_mix_n,MATCH(AF$5,feed_mix_w!$B$5:$AC$5,0),FALSE)/$Z107*VLOOKUP(AF$5,feed_intensity_w,11,FALSE)</f>
        <v>1.7221895812435419E-2</v>
      </c>
      <c r="AG107" s="2">
        <f>VLOOKUP($W107,feed_mix_n,MATCH(AG$5,feed_mix_w!$B$5:$AC$5,0),FALSE)/$Z107*VLOOKUP(AG$5,feed_intensity_w,11,FALSE)</f>
        <v>6.2009102604986596E-3</v>
      </c>
      <c r="AH107" s="2">
        <f>VLOOKUP($W107,feed_mix_n,MATCH(AH$5,feed_mix_w!$B$5:$AC$5,0),FALSE)/$Z107*VLOOKUP(AH$5,feed_intensity_w,11,FALSE)</f>
        <v>0.10977699669914966</v>
      </c>
      <c r="AI107" s="2">
        <f>VLOOKUP($W107,feed_mix_n,MATCH(AI$5,feed_mix_w!$B$5:$AC$5,0),FALSE)/$Z107*VLOOKUP(AI$5,feed_intensity_w,11,FALSE)</f>
        <v>0</v>
      </c>
      <c r="AJ107" s="2">
        <f>VLOOKUP($W107,feed_mix_n,MATCH(AJ$5,feed_mix_w!$B$5:$AC$5,0),FALSE)/$Z107*VLOOKUP(AJ$5,feed_intensity_w,11,FALSE)</f>
        <v>0</v>
      </c>
      <c r="AK107" s="2">
        <f>VLOOKUP($W107,feed_mix_n,MATCH(AK$5,feed_mix_w!$B$5:$AC$5,0),FALSE)/$Z107*VLOOKUP(AK$5,feed_intensity_w,11,FALSE)</f>
        <v>2.7148891339271165E-2</v>
      </c>
      <c r="AL107" s="2">
        <f>VLOOKUP($W107,feed_mix_n,MATCH(AL$5,feed_mix_w!$B$5:$AC$5,0),FALSE)/$Z107*VLOOKUP(AL$5,feed_intensity_w,11,FALSE)</f>
        <v>0</v>
      </c>
      <c r="AM107" s="2">
        <f>VLOOKUP($W107,feed_mix_n,MATCH(AM$5,feed_mix_w!$B$5:$AC$5,0),FALSE)/$Z107*VLOOKUP(AM$5,feed_intensity_w,11,FALSE)</f>
        <v>1.4190002871835838E-2</v>
      </c>
      <c r="AN107" s="2">
        <f>VLOOKUP($W107,feed_mix_n,MATCH(AN$5,feed_mix_w!$B$5:$AC$5,0),FALSE)/$Z107*VLOOKUP(AN$5,feed_intensity_w,11,FALSE)</f>
        <v>0</v>
      </c>
      <c r="AO107" s="2">
        <f>VLOOKUP($W107,feed_mix_n,MATCH(AO$5,feed_mix_w!$B$5:$AC$5,0),FALSE)/$Z107*VLOOKUP(AO$5,feed_intensity_w,11,FALSE)</f>
        <v>2.3931664526828149E-2</v>
      </c>
      <c r="AP107" s="2">
        <f>VLOOKUP($W107,feed_mix_n,MATCH(AP$5,feed_mix_w!$B$5:$AC$5,0),FALSE)/$Z107*VLOOKUP(AP$5,feed_intensity_w,11,FALSE)</f>
        <v>1.1237944532971399E-2</v>
      </c>
      <c r="AQ107" s="2">
        <f>VLOOKUP($W107,feed_mix_n,MATCH(AQ$5,feed_mix_w!$B$5:$AC$5,0),FALSE)/$Z107*VLOOKUP(AQ$5,feed_intensity_w,11,FALSE)</f>
        <v>0</v>
      </c>
      <c r="AR107" s="2">
        <f>VLOOKUP($W107,feed_mix_n,MATCH(AR$5,feed_mix_w!$B$5:$AC$5,0),FALSE)/$Z107*VLOOKUP(AR$5,feed_intensity_w,11,FALSE)</f>
        <v>9.2604322033656081E-2</v>
      </c>
      <c r="AS107" s="389">
        <f>VLOOKUP($W107,feed_mix_n,MATCH(AS$5,feed_mix_w!$B$5:$AC$5,0),FALSE)/$Z107*VLOOKUP(AS$5,feed_intensity_w,11,FALSE)</f>
        <v>0</v>
      </c>
    </row>
    <row r="108" spans="1:45" ht="12.75" customHeight="1">
      <c r="A108" s="14" t="s">
        <v>7176</v>
      </c>
      <c r="B108" s="482">
        <v>1063</v>
      </c>
      <c r="C108" s="24" t="s">
        <v>1199</v>
      </c>
      <c r="D108" s="513">
        <v>2661</v>
      </c>
      <c r="E108" s="513">
        <v>4607</v>
      </c>
      <c r="F108" s="25">
        <f t="shared" si="33"/>
        <v>2661</v>
      </c>
      <c r="G108" s="25">
        <f t="shared" si="34"/>
        <v>4607</v>
      </c>
      <c r="H108" s="2" t="e">
        <f t="shared" si="35"/>
        <v>#N/A</v>
      </c>
      <c r="I108" s="25">
        <f t="shared" si="36"/>
        <v>0</v>
      </c>
      <c r="J108" s="87">
        <f>IFERROR(G108*VLOOKUP(W108,livestock_intensity!$B$7:$I$29,8,FALSE)/Z108,0)</f>
        <v>0</v>
      </c>
      <c r="K108" s="2" t="e">
        <f>VLOOKUP($W108,feed_mix_n,MATCH(K$5,feed_mix_w!$B$5:$AC$5,0),FALSE)/$Z108*VLOOKUP(K$5,feed_intensity_w,11,FALSE)</f>
        <v>#N/A</v>
      </c>
      <c r="L108" s="25">
        <f t="shared" si="37"/>
        <v>0</v>
      </c>
      <c r="M108" s="25">
        <f>IFERROR(G108*VLOOKUP(W108,livestock_intensity!$B$7:$M$29,12,FALSE)/Z108,0)</f>
        <v>0</v>
      </c>
      <c r="N108" s="2" t="e">
        <f>VLOOKUP($W108,feed_mix_n,MATCH(N$5,feed_mix_w!$B$5:$AC$5,0),FALSE)/$Z108*VLOOKUP(N$5,feed_intensity_w,11,FALSE)</f>
        <v>#N/A</v>
      </c>
      <c r="O108" s="25">
        <f t="shared" si="38"/>
        <v>0</v>
      </c>
      <c r="P108" s="343">
        <f>IFERROR(G108*VLOOKUP(W108,livestock_intensity!$B$7:$Q$29,16,FALSE)/Z108,0)</f>
        <v>0</v>
      </c>
      <c r="Q108" s="758"/>
      <c r="R108" s="331">
        <f t="shared" si="39"/>
        <v>0</v>
      </c>
      <c r="S108" s="331">
        <f t="shared" si="40"/>
        <v>0</v>
      </c>
      <c r="T108" s="739" t="s">
        <v>2738</v>
      </c>
      <c r="U108" s="558" t="s">
        <v>2796</v>
      </c>
      <c r="V108" s="559">
        <f>IFERROR(VLOOKUP(W108,constant_ag_extr!$D$7:$E$594,2,FALSE),"")</f>
        <v>0</v>
      </c>
      <c r="W108" s="560" t="str">
        <f t="shared" si="41"/>
        <v/>
      </c>
      <c r="X108" s="2">
        <f>IFERROR(IF(VLOOKUP(B108,cnst_grazing!$C$10:$H$25,5,FALSE)="", IF(VLOOKUP(B108, cnst_grazing!$C$10:$H$25,3,FALSE)="", VLOOKUP(B108, cnst_grazing!$C$10:$H$25,4,FALSE),VLOOKUP(B108, cnst_grazing!$C$10:$H$25,3,FALSE)), VLOOKUP(B108,cnst_grazing!$C$10:$H$25,5,FALSE)),1)</f>
        <v>1</v>
      </c>
      <c r="Y108" s="2">
        <f>IFERROR(IF(VLOOKUP(B108,cnst_grazing!$C$10:$H$25,6,FALSE)="", IF(VLOOKUP(B108, cnst_grazing!$C$10:$H$25,4,FALSE)="", VLOOKUP(B108, cnst_grazing!$C$10:$H$25,3,FALSE),VLOOKUP(B108, cnst_grazing!$C$10:$H$25,4,FALSE)), VLOOKUP(B108,cnst_grazing!$C$10:$H$25,6,FALSE)),1)</f>
        <v>1</v>
      </c>
      <c r="Z108" s="400">
        <f t="shared" si="42"/>
        <v>1</v>
      </c>
      <c r="AA108" s="2" t="e">
        <f t="shared" si="43"/>
        <v>#N/A</v>
      </c>
      <c r="AB108" s="2" t="e">
        <f>VLOOKUP($W108,feed_mix_n,MATCH(AB$5,feed_mix_w!$B$5:$AC$5,0),FALSE)/$Z108*VLOOKUP(AB$5,feed_intensity_w,11,FALSE)</f>
        <v>#N/A</v>
      </c>
      <c r="AC108" s="2" t="e">
        <f>VLOOKUP($W108,feed_mix_n,MATCH(AC$5,feed_mix_w!$B$5:$AC$5,0),FALSE)/$Z108*VLOOKUP(AC$5,feed_intensity_w,11,FALSE)</f>
        <v>#N/A</v>
      </c>
      <c r="AD108" s="2" t="e">
        <f>VLOOKUP($W108,feed_mix_n,MATCH(AD$5,feed_mix_w!$B$5:$AC$5,0),FALSE)/$Z108*VLOOKUP(AD$5,feed_intensity_w,11,FALSE)</f>
        <v>#N/A</v>
      </c>
      <c r="AE108" s="2" t="e">
        <f>VLOOKUP($W108,feed_mix_n,MATCH(AE$5,feed_mix_w!$B$5:$AC$5,0),FALSE)/$Z108*VLOOKUP(AE$5,feed_intensity_w,11,FALSE)</f>
        <v>#N/A</v>
      </c>
      <c r="AF108" s="2" t="e">
        <f>VLOOKUP($W108,feed_mix_n,MATCH(AF$5,feed_mix_w!$B$5:$AC$5,0),FALSE)/$Z108*VLOOKUP(AF$5,feed_intensity_w,11,FALSE)</f>
        <v>#N/A</v>
      </c>
      <c r="AG108" s="2" t="e">
        <f>VLOOKUP($W108,feed_mix_n,MATCH(AG$5,feed_mix_w!$B$5:$AC$5,0),FALSE)/$Z108*VLOOKUP(AG$5,feed_intensity_w,11,FALSE)</f>
        <v>#N/A</v>
      </c>
      <c r="AH108" s="2" t="e">
        <f>VLOOKUP($W108,feed_mix_n,MATCH(AH$5,feed_mix_w!$B$5:$AC$5,0),FALSE)/$Z108*VLOOKUP(AH$5,feed_intensity_w,11,FALSE)</f>
        <v>#N/A</v>
      </c>
      <c r="AI108" s="2" t="e">
        <f>VLOOKUP($W108,feed_mix_n,MATCH(AI$5,feed_mix_w!$B$5:$AC$5,0),FALSE)/$Z108*VLOOKUP(AI$5,feed_intensity_w,11,FALSE)</f>
        <v>#N/A</v>
      </c>
      <c r="AJ108" s="2" t="e">
        <f>VLOOKUP($W108,feed_mix_n,MATCH(AJ$5,feed_mix_w!$B$5:$AC$5,0),FALSE)/$Z108*VLOOKUP(AJ$5,feed_intensity_w,11,FALSE)</f>
        <v>#N/A</v>
      </c>
      <c r="AK108" s="2" t="e">
        <f>VLOOKUP($W108,feed_mix_n,MATCH(AK$5,feed_mix_w!$B$5:$AC$5,0),FALSE)/$Z108*VLOOKUP(AK$5,feed_intensity_w,11,FALSE)</f>
        <v>#N/A</v>
      </c>
      <c r="AL108" s="2" t="e">
        <f>VLOOKUP($W108,feed_mix_n,MATCH(AL$5,feed_mix_w!$B$5:$AC$5,0),FALSE)/$Z108*VLOOKUP(AL$5,feed_intensity_w,11,FALSE)</f>
        <v>#N/A</v>
      </c>
      <c r="AM108" s="2" t="e">
        <f>VLOOKUP($W108,feed_mix_n,MATCH(AM$5,feed_mix_w!$B$5:$AC$5,0),FALSE)/$Z108*VLOOKUP(AM$5,feed_intensity_w,11,FALSE)</f>
        <v>#N/A</v>
      </c>
      <c r="AN108" s="2" t="e">
        <f>VLOOKUP($W108,feed_mix_n,MATCH(AN$5,feed_mix_w!$B$5:$AC$5,0),FALSE)/$Z108*VLOOKUP(AN$5,feed_intensity_w,11,FALSE)</f>
        <v>#N/A</v>
      </c>
      <c r="AO108" s="2" t="e">
        <f>VLOOKUP($W108,feed_mix_n,MATCH(AO$5,feed_mix_w!$B$5:$AC$5,0),FALSE)/$Z108*VLOOKUP(AO$5,feed_intensity_w,11,FALSE)</f>
        <v>#N/A</v>
      </c>
      <c r="AP108" s="2" t="e">
        <f>VLOOKUP($W108,feed_mix_n,MATCH(AP$5,feed_mix_w!$B$5:$AC$5,0),FALSE)/$Z108*VLOOKUP(AP$5,feed_intensity_w,11,FALSE)</f>
        <v>#N/A</v>
      </c>
      <c r="AQ108" s="2" t="e">
        <f>VLOOKUP($W108,feed_mix_n,MATCH(AQ$5,feed_mix_w!$B$5:$AC$5,0),FALSE)/$Z108*VLOOKUP(AQ$5,feed_intensity_w,11,FALSE)</f>
        <v>#N/A</v>
      </c>
      <c r="AR108" s="2" t="e">
        <f>VLOOKUP($W108,feed_mix_n,MATCH(AR$5,feed_mix_w!$B$5:$AC$5,0),FALSE)/$Z108*VLOOKUP(AR$5,feed_intensity_w,11,FALSE)</f>
        <v>#N/A</v>
      </c>
      <c r="AS108" s="389" t="e">
        <f>VLOOKUP($W108,feed_mix_n,MATCH(AS$5,feed_mix_w!$B$5:$AC$5,0),FALSE)/$Z108*VLOOKUP(AS$5,feed_intensity_w,11,FALSE)</f>
        <v>#N/A</v>
      </c>
    </row>
    <row r="109" spans="1:45" ht="12.75" customHeight="1">
      <c r="A109" s="14" t="s">
        <v>7177</v>
      </c>
      <c r="B109" s="482">
        <v>1064</v>
      </c>
      <c r="C109" s="24" t="s">
        <v>1198</v>
      </c>
      <c r="D109" s="513">
        <v>3258</v>
      </c>
      <c r="E109" s="513">
        <v>0</v>
      </c>
      <c r="F109" s="25">
        <f t="shared" si="33"/>
        <v>3258</v>
      </c>
      <c r="G109" s="25">
        <f t="shared" si="34"/>
        <v>0</v>
      </c>
      <c r="H109" s="2" t="e">
        <f t="shared" si="35"/>
        <v>#N/A</v>
      </c>
      <c r="I109" s="25">
        <f t="shared" si="36"/>
        <v>0</v>
      </c>
      <c r="J109" s="87">
        <f>IFERROR(G109*VLOOKUP(W109,livestock_intensity!$B$7:$I$29,8,FALSE)/Z109,0)</f>
        <v>0</v>
      </c>
      <c r="K109" s="2" t="e">
        <f>VLOOKUP($W109,feed_mix_n,MATCH(K$5,feed_mix_w!$B$5:$AC$5,0),FALSE)/$Z109*VLOOKUP(K$5,feed_intensity_w,11,FALSE)</f>
        <v>#N/A</v>
      </c>
      <c r="L109" s="25">
        <f t="shared" si="37"/>
        <v>0</v>
      </c>
      <c r="M109" s="25">
        <f>IFERROR(G109*VLOOKUP(W109,livestock_intensity!$B$7:$M$29,12,FALSE)/Z109,0)</f>
        <v>0</v>
      </c>
      <c r="N109" s="2" t="e">
        <f>VLOOKUP($W109,feed_mix_n,MATCH(N$5,feed_mix_w!$B$5:$AC$5,0),FALSE)/$Z109*VLOOKUP(N$5,feed_intensity_w,11,FALSE)</f>
        <v>#N/A</v>
      </c>
      <c r="O109" s="25">
        <f t="shared" si="38"/>
        <v>0</v>
      </c>
      <c r="P109" s="343">
        <f>IFERROR(G109*VLOOKUP(W109,livestock_intensity!$B$7:$Q$29,16,FALSE)/Z109,0)</f>
        <v>0</v>
      </c>
      <c r="Q109" s="758"/>
      <c r="R109" s="331">
        <f t="shared" si="39"/>
        <v>0</v>
      </c>
      <c r="S109" s="331">
        <f t="shared" si="40"/>
        <v>0</v>
      </c>
      <c r="T109" s="739" t="s">
        <v>2738</v>
      </c>
      <c r="U109" s="558" t="s">
        <v>2796</v>
      </c>
      <c r="V109" s="559">
        <f>IFERROR(VLOOKUP(W109,constant_ag_extr!$D$7:$E$594,2,FALSE),"")</f>
        <v>0</v>
      </c>
      <c r="W109" s="560" t="str">
        <f t="shared" si="41"/>
        <v/>
      </c>
      <c r="X109" s="2">
        <f>IFERROR(IF(VLOOKUP(B109,cnst_grazing!$C$10:$H$25,5,FALSE)="", IF(VLOOKUP(B109, cnst_grazing!$C$10:$H$25,3,FALSE)="", VLOOKUP(B109, cnst_grazing!$C$10:$H$25,4,FALSE),VLOOKUP(B109, cnst_grazing!$C$10:$H$25,3,FALSE)), VLOOKUP(B109,cnst_grazing!$C$10:$H$25,5,FALSE)),1)</f>
        <v>1</v>
      </c>
      <c r="Y109" s="2">
        <f>IFERROR(IF(VLOOKUP(B109,cnst_grazing!$C$10:$H$25,6,FALSE)="", IF(VLOOKUP(B109, cnst_grazing!$C$10:$H$25,4,FALSE)="", VLOOKUP(B109, cnst_grazing!$C$10:$H$25,3,FALSE),VLOOKUP(B109, cnst_grazing!$C$10:$H$25,4,FALSE)), VLOOKUP(B109,cnst_grazing!$C$10:$H$25,6,FALSE)),1)</f>
        <v>1</v>
      </c>
      <c r="Z109" s="400">
        <f t="shared" si="42"/>
        <v>1</v>
      </c>
      <c r="AA109" s="2" t="e">
        <f t="shared" si="43"/>
        <v>#N/A</v>
      </c>
      <c r="AB109" s="2" t="e">
        <f>VLOOKUP($W109,feed_mix_n,MATCH(AB$5,feed_mix_w!$B$5:$AC$5,0),FALSE)/$Z109*VLOOKUP(AB$5,feed_intensity_w,11,FALSE)</f>
        <v>#N/A</v>
      </c>
      <c r="AC109" s="2" t="e">
        <f>VLOOKUP($W109,feed_mix_n,MATCH(AC$5,feed_mix_w!$B$5:$AC$5,0),FALSE)/$Z109*VLOOKUP(AC$5,feed_intensity_w,11,FALSE)</f>
        <v>#N/A</v>
      </c>
      <c r="AD109" s="2" t="e">
        <f>VLOOKUP($W109,feed_mix_n,MATCH(AD$5,feed_mix_w!$B$5:$AC$5,0),FALSE)/$Z109*VLOOKUP(AD$5,feed_intensity_w,11,FALSE)</f>
        <v>#N/A</v>
      </c>
      <c r="AE109" s="2" t="e">
        <f>VLOOKUP($W109,feed_mix_n,MATCH(AE$5,feed_mix_w!$B$5:$AC$5,0),FALSE)/$Z109*VLOOKUP(AE$5,feed_intensity_w,11,FALSE)</f>
        <v>#N/A</v>
      </c>
      <c r="AF109" s="2" t="e">
        <f>VLOOKUP($W109,feed_mix_n,MATCH(AF$5,feed_mix_w!$B$5:$AC$5,0),FALSE)/$Z109*VLOOKUP(AF$5,feed_intensity_w,11,FALSE)</f>
        <v>#N/A</v>
      </c>
      <c r="AG109" s="2" t="e">
        <f>VLOOKUP($W109,feed_mix_n,MATCH(AG$5,feed_mix_w!$B$5:$AC$5,0),FALSE)/$Z109*VLOOKUP(AG$5,feed_intensity_w,11,FALSE)</f>
        <v>#N/A</v>
      </c>
      <c r="AH109" s="2" t="e">
        <f>VLOOKUP($W109,feed_mix_n,MATCH(AH$5,feed_mix_w!$B$5:$AC$5,0),FALSE)/$Z109*VLOOKUP(AH$5,feed_intensity_w,11,FALSE)</f>
        <v>#N/A</v>
      </c>
      <c r="AI109" s="2" t="e">
        <f>VLOOKUP($W109,feed_mix_n,MATCH(AI$5,feed_mix_w!$B$5:$AC$5,0),FALSE)/$Z109*VLOOKUP(AI$5,feed_intensity_w,11,FALSE)</f>
        <v>#N/A</v>
      </c>
      <c r="AJ109" s="2" t="e">
        <f>VLOOKUP($W109,feed_mix_n,MATCH(AJ$5,feed_mix_w!$B$5:$AC$5,0),FALSE)/$Z109*VLOOKUP(AJ$5,feed_intensity_w,11,FALSE)</f>
        <v>#N/A</v>
      </c>
      <c r="AK109" s="2" t="e">
        <f>VLOOKUP($W109,feed_mix_n,MATCH(AK$5,feed_mix_w!$B$5:$AC$5,0),FALSE)/$Z109*VLOOKUP(AK$5,feed_intensity_w,11,FALSE)</f>
        <v>#N/A</v>
      </c>
      <c r="AL109" s="2" t="e">
        <f>VLOOKUP($W109,feed_mix_n,MATCH(AL$5,feed_mix_w!$B$5:$AC$5,0),FALSE)/$Z109*VLOOKUP(AL$5,feed_intensity_w,11,FALSE)</f>
        <v>#N/A</v>
      </c>
      <c r="AM109" s="2" t="e">
        <f>VLOOKUP($W109,feed_mix_n,MATCH(AM$5,feed_mix_w!$B$5:$AC$5,0),FALSE)/$Z109*VLOOKUP(AM$5,feed_intensity_w,11,FALSE)</f>
        <v>#N/A</v>
      </c>
      <c r="AN109" s="2" t="e">
        <f>VLOOKUP($W109,feed_mix_n,MATCH(AN$5,feed_mix_w!$B$5:$AC$5,0),FALSE)/$Z109*VLOOKUP(AN$5,feed_intensity_w,11,FALSE)</f>
        <v>#N/A</v>
      </c>
      <c r="AO109" s="2" t="e">
        <f>VLOOKUP($W109,feed_mix_n,MATCH(AO$5,feed_mix_w!$B$5:$AC$5,0),FALSE)/$Z109*VLOOKUP(AO$5,feed_intensity_w,11,FALSE)</f>
        <v>#N/A</v>
      </c>
      <c r="AP109" s="2" t="e">
        <f>VLOOKUP($W109,feed_mix_n,MATCH(AP$5,feed_mix_w!$B$5:$AC$5,0),FALSE)/$Z109*VLOOKUP(AP$5,feed_intensity_w,11,FALSE)</f>
        <v>#N/A</v>
      </c>
      <c r="AQ109" s="2" t="e">
        <f>VLOOKUP($W109,feed_mix_n,MATCH(AQ$5,feed_mix_w!$B$5:$AC$5,0),FALSE)/$Z109*VLOOKUP(AQ$5,feed_intensity_w,11,FALSE)</f>
        <v>#N/A</v>
      </c>
      <c r="AR109" s="2" t="e">
        <f>VLOOKUP($W109,feed_mix_n,MATCH(AR$5,feed_mix_w!$B$5:$AC$5,0),FALSE)/$Z109*VLOOKUP(AR$5,feed_intensity_w,11,FALSE)</f>
        <v>#N/A</v>
      </c>
      <c r="AS109" s="389" t="e">
        <f>VLOOKUP($W109,feed_mix_n,MATCH(AS$5,feed_mix_w!$B$5:$AC$5,0),FALSE)/$Z109*VLOOKUP(AS$5,feed_intensity_w,11,FALSE)</f>
        <v>#N/A</v>
      </c>
    </row>
    <row r="110" spans="1:45" ht="12.75" customHeight="1">
      <c r="A110" s="14" t="s">
        <v>3515</v>
      </c>
      <c r="B110" s="482">
        <v>1065</v>
      </c>
      <c r="C110" s="24" t="s">
        <v>1204</v>
      </c>
      <c r="D110" s="513"/>
      <c r="E110" s="513"/>
      <c r="F110" s="25">
        <f t="shared" si="33"/>
        <v>0</v>
      </c>
      <c r="G110" s="25">
        <f t="shared" si="34"/>
        <v>0</v>
      </c>
      <c r="H110" s="2">
        <f t="shared" si="35"/>
        <v>26.819641338259004</v>
      </c>
      <c r="I110" s="25">
        <f t="shared" si="36"/>
        <v>0</v>
      </c>
      <c r="J110" s="87">
        <f>IFERROR(G110*VLOOKUP(W110,livestock_intensity!$B$7:$I$29,8,FALSE)/Z110,0)</f>
        <v>0</v>
      </c>
      <c r="K110" s="2">
        <f>VLOOKUP($W110,feed_mix_n,MATCH(K$5,feed_mix_w!$B$5:$AC$5,0),FALSE)/$Z110*VLOOKUP(K$5,feed_intensity_w,11,FALSE)</f>
        <v>2.1361706815279833</v>
      </c>
      <c r="L110" s="25">
        <f t="shared" si="37"/>
        <v>0</v>
      </c>
      <c r="M110" s="25">
        <f>IFERROR(G110*VLOOKUP(W110,livestock_intensity!$B$7:$M$29,12,FALSE)/Z110,0)</f>
        <v>0</v>
      </c>
      <c r="N110" s="2">
        <f>VLOOKUP($W110,feed_mix_n,MATCH(N$5,feed_mix_w!$B$5:$AC$5,0),FALSE)/$Z110*VLOOKUP(N$5,feed_intensity_w,11,FALSE)</f>
        <v>0</v>
      </c>
      <c r="O110" s="25">
        <f t="shared" si="38"/>
        <v>0</v>
      </c>
      <c r="P110" s="343">
        <f>IFERROR(G110*VLOOKUP(W110,livestock_intensity!$B$7:$Q$29,16,FALSE)/Z110,0)</f>
        <v>0</v>
      </c>
      <c r="Q110" s="758"/>
      <c r="R110" s="331">
        <f t="shared" si="39"/>
        <v>0</v>
      </c>
      <c r="S110" s="331">
        <f t="shared" si="40"/>
        <v>0</v>
      </c>
      <c r="T110" s="739">
        <v>2737</v>
      </c>
      <c r="U110" s="558" t="s">
        <v>2796</v>
      </c>
      <c r="V110" s="559" t="str">
        <f>IFERROR(VLOOKUP(W110,constant_ag_extr!$D$7:$E$594,2,FALSE),"")</f>
        <v>Chickens</v>
      </c>
      <c r="W110" s="560">
        <f t="shared" si="41"/>
        <v>1057</v>
      </c>
      <c r="X110" s="2">
        <f>IFERROR(IF(VLOOKUP(B110,cnst_grazing!$C$10:$H$25,5,FALSE)="", IF(VLOOKUP(B110, cnst_grazing!$C$10:$H$25,3,FALSE)="", VLOOKUP(B110, cnst_grazing!$C$10:$H$25,4,FALSE),VLOOKUP(B110, cnst_grazing!$C$10:$H$25,3,FALSE)), VLOOKUP(B110,cnst_grazing!$C$10:$H$25,5,FALSE)),1)</f>
        <v>1</v>
      </c>
      <c r="Y110" s="2">
        <f>IFERROR(IF(VLOOKUP(B110,cnst_grazing!$C$10:$H$25,6,FALSE)="", IF(VLOOKUP(B110, cnst_grazing!$C$10:$H$25,4,FALSE)="", VLOOKUP(B110, cnst_grazing!$C$10:$H$25,3,FALSE),VLOOKUP(B110, cnst_grazing!$C$10:$H$25,4,FALSE)), VLOOKUP(B110,cnst_grazing!$C$10:$H$25,6,FALSE)),1)</f>
        <v>1</v>
      </c>
      <c r="Z110" s="400">
        <f t="shared" si="42"/>
        <v>4.9977545088718801E-2</v>
      </c>
      <c r="AA110" s="2">
        <f t="shared" si="43"/>
        <v>26.819641338259004</v>
      </c>
      <c r="AB110" s="2">
        <f>VLOOKUP($W110,feed_mix_n,MATCH(AB$5,feed_mix_w!$B$5:$AC$5,0),FALSE)/$Z110*VLOOKUP(AB$5,feed_intensity_w,11,FALSE)</f>
        <v>9.0019020813023438</v>
      </c>
      <c r="AC110" s="2">
        <f>VLOOKUP($W110,feed_mix_n,MATCH(AC$5,feed_mix_w!$B$5:$AC$5,0),FALSE)/$Z110*VLOOKUP(AC$5,feed_intensity_w,11,FALSE)</f>
        <v>0</v>
      </c>
      <c r="AD110" s="2">
        <f>VLOOKUP($W110,feed_mix_n,MATCH(AD$5,feed_mix_w!$B$5:$AC$5,0),FALSE)/$Z110*VLOOKUP(AD$5,feed_intensity_w,11,FALSE)</f>
        <v>7.2633085246227349</v>
      </c>
      <c r="AE110" s="2">
        <f>VLOOKUP($W110,feed_mix_n,MATCH(AE$5,feed_mix_w!$B$5:$AC$5,0),FALSE)/$Z110*VLOOKUP(AE$5,feed_intensity_w,11,FALSE)</f>
        <v>0</v>
      </c>
      <c r="AF110" s="2">
        <f>VLOOKUP($W110,feed_mix_n,MATCH(AF$5,feed_mix_w!$B$5:$AC$5,0),FALSE)/$Z110*VLOOKUP(AF$5,feed_intensity_w,11,FALSE)</f>
        <v>0</v>
      </c>
      <c r="AG110" s="2">
        <f>VLOOKUP($W110,feed_mix_n,MATCH(AG$5,feed_mix_w!$B$5:$AC$5,0),FALSE)/$Z110*VLOOKUP(AG$5,feed_intensity_w,11,FALSE)</f>
        <v>0</v>
      </c>
      <c r="AH110" s="2">
        <f>VLOOKUP($W110,feed_mix_n,MATCH(AH$5,feed_mix_w!$B$5:$AC$5,0),FALSE)/$Z110*VLOOKUP(AH$5,feed_intensity_w,11,FALSE)</f>
        <v>7.8687084132320262</v>
      </c>
      <c r="AI110" s="2">
        <f>VLOOKUP($W110,feed_mix_n,MATCH(AI$5,feed_mix_w!$B$5:$AC$5,0),FALSE)/$Z110*VLOOKUP(AI$5,feed_intensity_w,11,FALSE)</f>
        <v>0</v>
      </c>
      <c r="AJ110" s="2">
        <f>VLOOKUP($W110,feed_mix_n,MATCH(AJ$5,feed_mix_w!$B$5:$AC$5,0),FALSE)/$Z110*VLOOKUP(AJ$5,feed_intensity_w,11,FALSE)</f>
        <v>0</v>
      </c>
      <c r="AK110" s="2">
        <f>VLOOKUP($W110,feed_mix_n,MATCH(AK$5,feed_mix_w!$B$5:$AC$5,0),FALSE)/$Z110*VLOOKUP(AK$5,feed_intensity_w,11,FALSE)</f>
        <v>0</v>
      </c>
      <c r="AL110" s="2">
        <f>VLOOKUP($W110,feed_mix_n,MATCH(AL$5,feed_mix_w!$B$5:$AC$5,0),FALSE)/$Z110*VLOOKUP(AL$5,feed_intensity_w,11,FALSE)</f>
        <v>0</v>
      </c>
      <c r="AM110" s="2">
        <f>VLOOKUP($W110,feed_mix_n,MATCH(AM$5,feed_mix_w!$B$5:$AC$5,0),FALSE)/$Z110*VLOOKUP(AM$5,feed_intensity_w,11,FALSE)</f>
        <v>0</v>
      </c>
      <c r="AN110" s="2">
        <f>VLOOKUP($W110,feed_mix_n,MATCH(AN$5,feed_mix_w!$B$5:$AC$5,0),FALSE)/$Z110*VLOOKUP(AN$5,feed_intensity_w,11,FALSE)</f>
        <v>0</v>
      </c>
      <c r="AO110" s="2">
        <f>VLOOKUP($W110,feed_mix_n,MATCH(AO$5,feed_mix_w!$B$5:$AC$5,0),FALSE)/$Z110*VLOOKUP(AO$5,feed_intensity_w,11,FALSE)</f>
        <v>0</v>
      </c>
      <c r="AP110" s="2">
        <f>VLOOKUP($W110,feed_mix_n,MATCH(AP$5,feed_mix_w!$B$5:$AC$5,0),FALSE)/$Z110*VLOOKUP(AP$5,feed_intensity_w,11,FALSE)</f>
        <v>0</v>
      </c>
      <c r="AQ110" s="2">
        <f>VLOOKUP($W110,feed_mix_n,MATCH(AQ$5,feed_mix_w!$B$5:$AC$5,0),FALSE)/$Z110*VLOOKUP(AQ$5,feed_intensity_w,11,FALSE)</f>
        <v>0</v>
      </c>
      <c r="AR110" s="2">
        <f>VLOOKUP($W110,feed_mix_n,MATCH(AR$5,feed_mix_w!$B$5:$AC$5,0),FALSE)/$Z110*VLOOKUP(AR$5,feed_intensity_w,11,FALSE)</f>
        <v>2.6857223191018984</v>
      </c>
      <c r="AS110" s="389">
        <f>VLOOKUP($W110,feed_mix_n,MATCH(AS$5,feed_mix_w!$B$5:$AC$5,0),FALSE)/$Z110*VLOOKUP(AS$5,feed_intensity_w,11,FALSE)</f>
        <v>0</v>
      </c>
    </row>
    <row r="111" spans="1:45" ht="12.75" customHeight="1">
      <c r="A111" s="14" t="s">
        <v>5327</v>
      </c>
      <c r="B111" s="482">
        <v>1066</v>
      </c>
      <c r="C111" s="24" t="s">
        <v>1205</v>
      </c>
      <c r="D111" s="513"/>
      <c r="E111" s="513"/>
      <c r="F111" s="25">
        <f t="shared" si="33"/>
        <v>0</v>
      </c>
      <c r="G111" s="25">
        <f t="shared" si="34"/>
        <v>0</v>
      </c>
      <c r="H111" s="2">
        <f t="shared" si="35"/>
        <v>26.819641338259004</v>
      </c>
      <c r="I111" s="25">
        <f t="shared" si="36"/>
        <v>0</v>
      </c>
      <c r="J111" s="87">
        <f>IFERROR(G111*VLOOKUP(W111,livestock_intensity!$B$7:$I$29,8,FALSE)/Z111,0)</f>
        <v>0</v>
      </c>
      <c r="K111" s="2">
        <f>VLOOKUP($W111,feed_mix_n,MATCH(K$5,feed_mix_w!$B$5:$AC$5,0),FALSE)/$Z111*VLOOKUP(K$5,feed_intensity_w,11,FALSE)</f>
        <v>2.1361706815279833</v>
      </c>
      <c r="L111" s="25">
        <f t="shared" si="37"/>
        <v>0</v>
      </c>
      <c r="M111" s="25">
        <f>IFERROR(G111*VLOOKUP(W111,livestock_intensity!$B$7:$M$29,12,FALSE)/Z111,0)</f>
        <v>0</v>
      </c>
      <c r="N111" s="2">
        <f>VLOOKUP($W111,feed_mix_n,MATCH(N$5,feed_mix_w!$B$5:$AC$5,0),FALSE)/$Z111*VLOOKUP(N$5,feed_intensity_w,11,FALSE)</f>
        <v>0</v>
      </c>
      <c r="O111" s="25">
        <f t="shared" si="38"/>
        <v>0</v>
      </c>
      <c r="P111" s="343">
        <f>IFERROR(G111*VLOOKUP(W111,livestock_intensity!$B$7:$Q$29,16,FALSE)/Z111,0)</f>
        <v>0</v>
      </c>
      <c r="Q111" s="758"/>
      <c r="R111" s="331">
        <f t="shared" si="39"/>
        <v>0</v>
      </c>
      <c r="S111" s="331">
        <f t="shared" si="40"/>
        <v>0</v>
      </c>
      <c r="T111" s="739" t="s">
        <v>2738</v>
      </c>
      <c r="U111" s="558" t="s">
        <v>2796</v>
      </c>
      <c r="V111" s="559" t="str">
        <f>IFERROR(VLOOKUP(W111,constant_ag_extr!$D$7:$E$594,2,FALSE),"")</f>
        <v>Chickens</v>
      </c>
      <c r="W111" s="560">
        <f t="shared" si="41"/>
        <v>1057</v>
      </c>
      <c r="X111" s="2">
        <f>IFERROR(IF(VLOOKUP(B111,cnst_grazing!$C$10:$H$25,5,FALSE)="", IF(VLOOKUP(B111, cnst_grazing!$C$10:$H$25,3,FALSE)="", VLOOKUP(B111, cnst_grazing!$C$10:$H$25,4,FALSE),VLOOKUP(B111, cnst_grazing!$C$10:$H$25,3,FALSE)), VLOOKUP(B111,cnst_grazing!$C$10:$H$25,5,FALSE)),1)</f>
        <v>1</v>
      </c>
      <c r="Y111" s="2">
        <f>IFERROR(IF(VLOOKUP(B111,cnst_grazing!$C$10:$H$25,6,FALSE)="", IF(VLOOKUP(B111, cnst_grazing!$C$10:$H$25,4,FALSE)="", VLOOKUP(B111, cnst_grazing!$C$10:$H$25,3,FALSE),VLOOKUP(B111, cnst_grazing!$C$10:$H$25,4,FALSE)), VLOOKUP(B111,cnst_grazing!$C$10:$H$25,6,FALSE)),1)</f>
        <v>1</v>
      </c>
      <c r="Z111" s="400">
        <f t="shared" si="42"/>
        <v>4.9977545088718801E-2</v>
      </c>
      <c r="AA111" s="2">
        <f t="shared" si="43"/>
        <v>26.819641338259004</v>
      </c>
      <c r="AB111" s="2">
        <f>VLOOKUP($W111,feed_mix_n,MATCH(AB$5,feed_mix_w!$B$5:$AC$5,0),FALSE)/$Z111*VLOOKUP(AB$5,feed_intensity_w,11,FALSE)</f>
        <v>9.0019020813023438</v>
      </c>
      <c r="AC111" s="2">
        <f>VLOOKUP($W111,feed_mix_n,MATCH(AC$5,feed_mix_w!$B$5:$AC$5,0),FALSE)/$Z111*VLOOKUP(AC$5,feed_intensity_w,11,FALSE)</f>
        <v>0</v>
      </c>
      <c r="AD111" s="2">
        <f>VLOOKUP($W111,feed_mix_n,MATCH(AD$5,feed_mix_w!$B$5:$AC$5,0),FALSE)/$Z111*VLOOKUP(AD$5,feed_intensity_w,11,FALSE)</f>
        <v>7.2633085246227349</v>
      </c>
      <c r="AE111" s="2">
        <f>VLOOKUP($W111,feed_mix_n,MATCH(AE$5,feed_mix_w!$B$5:$AC$5,0),FALSE)/$Z111*VLOOKUP(AE$5,feed_intensity_w,11,FALSE)</f>
        <v>0</v>
      </c>
      <c r="AF111" s="2">
        <f>VLOOKUP($W111,feed_mix_n,MATCH(AF$5,feed_mix_w!$B$5:$AC$5,0),FALSE)/$Z111*VLOOKUP(AF$5,feed_intensity_w,11,FALSE)</f>
        <v>0</v>
      </c>
      <c r="AG111" s="2">
        <f>VLOOKUP($W111,feed_mix_n,MATCH(AG$5,feed_mix_w!$B$5:$AC$5,0),FALSE)/$Z111*VLOOKUP(AG$5,feed_intensity_w,11,FALSE)</f>
        <v>0</v>
      </c>
      <c r="AH111" s="2">
        <f>VLOOKUP($W111,feed_mix_n,MATCH(AH$5,feed_mix_w!$B$5:$AC$5,0),FALSE)/$Z111*VLOOKUP(AH$5,feed_intensity_w,11,FALSE)</f>
        <v>7.8687084132320262</v>
      </c>
      <c r="AI111" s="2">
        <f>VLOOKUP($W111,feed_mix_n,MATCH(AI$5,feed_mix_w!$B$5:$AC$5,0),FALSE)/$Z111*VLOOKUP(AI$5,feed_intensity_w,11,FALSE)</f>
        <v>0</v>
      </c>
      <c r="AJ111" s="2">
        <f>VLOOKUP($W111,feed_mix_n,MATCH(AJ$5,feed_mix_w!$B$5:$AC$5,0),FALSE)/$Z111*VLOOKUP(AJ$5,feed_intensity_w,11,FALSE)</f>
        <v>0</v>
      </c>
      <c r="AK111" s="2">
        <f>VLOOKUP($W111,feed_mix_n,MATCH(AK$5,feed_mix_w!$B$5:$AC$5,0),FALSE)/$Z111*VLOOKUP(AK$5,feed_intensity_w,11,FALSE)</f>
        <v>0</v>
      </c>
      <c r="AL111" s="2">
        <f>VLOOKUP($W111,feed_mix_n,MATCH(AL$5,feed_mix_w!$B$5:$AC$5,0),FALSE)/$Z111*VLOOKUP(AL$5,feed_intensity_w,11,FALSE)</f>
        <v>0</v>
      </c>
      <c r="AM111" s="2">
        <f>VLOOKUP($W111,feed_mix_n,MATCH(AM$5,feed_mix_w!$B$5:$AC$5,0),FALSE)/$Z111*VLOOKUP(AM$5,feed_intensity_w,11,FALSE)</f>
        <v>0</v>
      </c>
      <c r="AN111" s="2">
        <f>VLOOKUP($W111,feed_mix_n,MATCH(AN$5,feed_mix_w!$B$5:$AC$5,0),FALSE)/$Z111*VLOOKUP(AN$5,feed_intensity_w,11,FALSE)</f>
        <v>0</v>
      </c>
      <c r="AO111" s="2">
        <f>VLOOKUP($W111,feed_mix_n,MATCH(AO$5,feed_mix_w!$B$5:$AC$5,0),FALSE)/$Z111*VLOOKUP(AO$5,feed_intensity_w,11,FALSE)</f>
        <v>0</v>
      </c>
      <c r="AP111" s="2">
        <f>VLOOKUP($W111,feed_mix_n,MATCH(AP$5,feed_mix_w!$B$5:$AC$5,0),FALSE)/$Z111*VLOOKUP(AP$5,feed_intensity_w,11,FALSE)</f>
        <v>0</v>
      </c>
      <c r="AQ111" s="2">
        <f>VLOOKUP($W111,feed_mix_n,MATCH(AQ$5,feed_mix_w!$B$5:$AC$5,0),FALSE)/$Z111*VLOOKUP(AQ$5,feed_intensity_w,11,FALSE)</f>
        <v>0</v>
      </c>
      <c r="AR111" s="2">
        <f>VLOOKUP($W111,feed_mix_n,MATCH(AR$5,feed_mix_w!$B$5:$AC$5,0),FALSE)/$Z111*VLOOKUP(AR$5,feed_intensity_w,11,FALSE)</f>
        <v>2.6857223191018984</v>
      </c>
      <c r="AS111" s="389">
        <f>VLOOKUP($W111,feed_mix_n,MATCH(AS$5,feed_mix_w!$B$5:$AC$5,0),FALSE)/$Z111*VLOOKUP(AS$5,feed_intensity_w,11,FALSE)</f>
        <v>0</v>
      </c>
    </row>
    <row r="112" spans="1:45" ht="12.75" customHeight="1">
      <c r="A112" s="14" t="s">
        <v>3071</v>
      </c>
      <c r="B112" s="482">
        <v>1068</v>
      </c>
      <c r="C112" s="24" t="s">
        <v>3072</v>
      </c>
      <c r="D112" s="513">
        <v>104000</v>
      </c>
      <c r="E112" s="513">
        <v>3130000</v>
      </c>
      <c r="F112" s="25">
        <f t="shared" si="33"/>
        <v>60.124511053608082</v>
      </c>
      <c r="G112" s="25">
        <f t="shared" si="34"/>
        <v>332.31677469209194</v>
      </c>
      <c r="H112" s="2">
        <f t="shared" si="35"/>
        <v>2.5303015824714876</v>
      </c>
      <c r="I112" s="25">
        <f t="shared" si="36"/>
        <v>152.13314546426898</v>
      </c>
      <c r="J112" s="87">
        <f>IFERROR(G112*VLOOKUP(W112,livestock_intensity!$B$7:$I$29,8,FALSE)/Z112,0)</f>
        <v>624.03352164225157</v>
      </c>
      <c r="K112" s="2">
        <f>VLOOKUP($W112,feed_mix_n,MATCH(K$5,feed_mix_w!$B$5:$AC$5,0),FALSE)/$Z112*VLOOKUP(K$5,feed_intensity_w,11,FALSE)</f>
        <v>0.20153722369839594</v>
      </c>
      <c r="L112" s="25">
        <f t="shared" si="37"/>
        <v>12.117327033967692</v>
      </c>
      <c r="M112" s="25">
        <f>IFERROR(G112*VLOOKUP(W112,livestock_intensity!$B$7:$M$29,12,FALSE)/Z112,0)</f>
        <v>51.921489991574838</v>
      </c>
      <c r="N112" s="2">
        <f>VLOOKUP($W112,feed_mix_n,MATCH(N$5,feed_mix_w!$B$5:$AC$5,0),FALSE)/$Z112*VLOOKUP(N$5,feed_intensity_w,11,FALSE)</f>
        <v>0</v>
      </c>
      <c r="O112" s="25">
        <f t="shared" si="38"/>
        <v>0</v>
      </c>
      <c r="P112" s="343">
        <f>IFERROR(G112*VLOOKUP(W112,livestock_intensity!$B$7:$Q$29,16,FALSE)/Z112,0)</f>
        <v>0</v>
      </c>
      <c r="Q112" s="758"/>
      <c r="R112" s="331">
        <f t="shared" si="39"/>
        <v>164.25047249823666</v>
      </c>
      <c r="S112" s="331">
        <f t="shared" si="40"/>
        <v>675.95501163382642</v>
      </c>
      <c r="T112" s="739" t="s">
        <v>2738</v>
      </c>
      <c r="U112" s="558" t="s">
        <v>413</v>
      </c>
      <c r="V112" s="559" t="str">
        <f>IFERROR(VLOOKUP(W112,constant_ag_extr!$D$7:$E$594,2,FALSE),"")</f>
        <v>Ducks</v>
      </c>
      <c r="W112" s="560">
        <f t="shared" si="41"/>
        <v>1068</v>
      </c>
      <c r="X112" s="483">
        <f>IFERROR(IF(VLOOKUP(B112,cnst_grazing!$C$10:$H$25,5,FALSE)="", IF(VLOOKUP(B112, cnst_grazing!$C$10:$H$25,3,FALSE)="", VLOOKUP(B112, cnst_grazing!$C$10:$H$25,4,FALSE),VLOOKUP(B112, cnst_grazing!$C$10:$H$25,3,FALSE)), VLOOKUP(B112,cnst_grazing!$C$10:$H$25,5,FALSE)),1)</f>
        <v>5.7812029859238541E-4</v>
      </c>
      <c r="Y112" s="483">
        <f>IFERROR(IF(VLOOKUP(B112,cnst_grazing!$C$10:$H$25,6,FALSE)="", IF(VLOOKUP(B112, cnst_grazing!$C$10:$H$25,4,FALSE)="", VLOOKUP(B112, cnst_grazing!$C$10:$H$25,3,FALSE),VLOOKUP(B112, cnst_grazing!$C$10:$H$25,4,FALSE)), VLOOKUP(B112,cnst_grazing!$C$10:$H$25,6,FALSE)),1)</f>
        <v>1.0617149351185047E-4</v>
      </c>
      <c r="Z112" s="400">
        <f t="shared" si="42"/>
        <v>1</v>
      </c>
      <c r="AA112" s="2">
        <f t="shared" si="43"/>
        <v>2.5303015824714876</v>
      </c>
      <c r="AB112" s="2">
        <f>VLOOKUP($W112,feed_mix_n,MATCH(AB$5,feed_mix_w!$B$5:$AC$5,0),FALSE)/$Z112*VLOOKUP(AB$5,feed_intensity_w,11,FALSE)</f>
        <v>0.84928529782685402</v>
      </c>
      <c r="AC112" s="2">
        <f>VLOOKUP($W112,feed_mix_n,MATCH(AC$5,feed_mix_w!$B$5:$AC$5,0),FALSE)/$Z112*VLOOKUP(AC$5,feed_intensity_w,11,FALSE)</f>
        <v>0</v>
      </c>
      <c r="AD112" s="2">
        <f>VLOOKUP($W112,feed_mix_n,MATCH(AD$5,feed_mix_w!$B$5:$AC$5,0),FALSE)/$Z112*VLOOKUP(AD$5,feed_intensity_w,11,FALSE)</f>
        <v>0.68525752533514606</v>
      </c>
      <c r="AE112" s="2">
        <f>VLOOKUP($W112,feed_mix_n,MATCH(AE$5,feed_mix_w!$B$5:$AC$5,0),FALSE)/$Z112*VLOOKUP(AE$5,feed_intensity_w,11,FALSE)</f>
        <v>0</v>
      </c>
      <c r="AF112" s="2">
        <f>VLOOKUP($W112,feed_mix_n,MATCH(AF$5,feed_mix_w!$B$5:$AC$5,0),FALSE)/$Z112*VLOOKUP(AF$5,feed_intensity_w,11,FALSE)</f>
        <v>0</v>
      </c>
      <c r="AG112" s="2">
        <f>VLOOKUP($W112,feed_mix_n,MATCH(AG$5,feed_mix_w!$B$5:$AC$5,0),FALSE)/$Z112*VLOOKUP(AG$5,feed_intensity_w,11,FALSE)</f>
        <v>0</v>
      </c>
      <c r="AH112" s="2">
        <f>VLOOKUP($W112,feed_mix_n,MATCH(AH$5,feed_mix_w!$B$5:$AC$5,0),FALSE)/$Z112*VLOOKUP(AH$5,feed_intensity_w,11,FALSE)</f>
        <v>0.74237403471929397</v>
      </c>
      <c r="AI112" s="2">
        <f>VLOOKUP($W112,feed_mix_n,MATCH(AI$5,feed_mix_w!$B$5:$AC$5,0),FALSE)/$Z112*VLOOKUP(AI$5,feed_intensity_w,11,FALSE)</f>
        <v>0</v>
      </c>
      <c r="AJ112" s="2">
        <f>VLOOKUP($W112,feed_mix_n,MATCH(AJ$5,feed_mix_w!$B$5:$AC$5,0),FALSE)/$Z112*VLOOKUP(AJ$5,feed_intensity_w,11,FALSE)</f>
        <v>0</v>
      </c>
      <c r="AK112" s="2">
        <f>VLOOKUP($W112,feed_mix_n,MATCH(AK$5,feed_mix_w!$B$5:$AC$5,0),FALSE)/$Z112*VLOOKUP(AK$5,feed_intensity_w,11,FALSE)</f>
        <v>0</v>
      </c>
      <c r="AL112" s="2">
        <f>VLOOKUP($W112,feed_mix_n,MATCH(AL$5,feed_mix_w!$B$5:$AC$5,0),FALSE)/$Z112*VLOOKUP(AL$5,feed_intensity_w,11,FALSE)</f>
        <v>0</v>
      </c>
      <c r="AM112" s="2">
        <f>VLOOKUP($W112,feed_mix_n,MATCH(AM$5,feed_mix_w!$B$5:$AC$5,0),FALSE)/$Z112*VLOOKUP(AM$5,feed_intensity_w,11,FALSE)</f>
        <v>0</v>
      </c>
      <c r="AN112" s="2">
        <f>VLOOKUP($W112,feed_mix_n,MATCH(AN$5,feed_mix_w!$B$5:$AC$5,0),FALSE)/$Z112*VLOOKUP(AN$5,feed_intensity_w,11,FALSE)</f>
        <v>0</v>
      </c>
      <c r="AO112" s="2">
        <f>VLOOKUP($W112,feed_mix_n,MATCH(AO$5,feed_mix_w!$B$5:$AC$5,0),FALSE)/$Z112*VLOOKUP(AO$5,feed_intensity_w,11,FALSE)</f>
        <v>0</v>
      </c>
      <c r="AP112" s="2">
        <f>VLOOKUP($W112,feed_mix_n,MATCH(AP$5,feed_mix_w!$B$5:$AC$5,0),FALSE)/$Z112*VLOOKUP(AP$5,feed_intensity_w,11,FALSE)</f>
        <v>0</v>
      </c>
      <c r="AQ112" s="2">
        <f>VLOOKUP($W112,feed_mix_n,MATCH(AQ$5,feed_mix_w!$B$5:$AC$5,0),FALSE)/$Z112*VLOOKUP(AQ$5,feed_intensity_w,11,FALSE)</f>
        <v>0</v>
      </c>
      <c r="AR112" s="2">
        <f>VLOOKUP($W112,feed_mix_n,MATCH(AR$5,feed_mix_w!$B$5:$AC$5,0),FALSE)/$Z112*VLOOKUP(AR$5,feed_intensity_w,11,FALSE)</f>
        <v>0.25338472459019351</v>
      </c>
      <c r="AS112" s="389">
        <f>VLOOKUP($W112,feed_mix_n,MATCH(AS$5,feed_mix_w!$B$5:$AC$5,0),FALSE)/$Z112*VLOOKUP(AS$5,feed_intensity_w,11,FALSE)</f>
        <v>0</v>
      </c>
    </row>
    <row r="113" spans="1:45" ht="12.75" customHeight="1">
      <c r="A113" s="14" t="s">
        <v>7178</v>
      </c>
      <c r="B113" s="482">
        <v>1069</v>
      </c>
      <c r="C113" s="24" t="s">
        <v>4640</v>
      </c>
      <c r="D113" s="513">
        <v>2123</v>
      </c>
      <c r="E113" s="513">
        <v>1220</v>
      </c>
      <c r="F113" s="25">
        <f t="shared" si="33"/>
        <v>2123</v>
      </c>
      <c r="G113" s="25">
        <f t="shared" si="34"/>
        <v>1220</v>
      </c>
      <c r="H113" s="2">
        <f t="shared" si="35"/>
        <v>4.0985435649690958</v>
      </c>
      <c r="I113" s="25">
        <f t="shared" si="36"/>
        <v>8701.2079884293908</v>
      </c>
      <c r="J113" s="87">
        <f>IFERROR(G113*VLOOKUP(W113,livestock_intensity!$B$7:$I$29,8,FALSE)/Z113,0)</f>
        <v>3710.8444896231131</v>
      </c>
      <c r="K113" s="2">
        <f>VLOOKUP($W113,feed_mix_n,MATCH(K$5,feed_mix_w!$B$5:$AC$5,0),FALSE)/$Z113*VLOOKUP(K$5,feed_intensity_w,11,FALSE)</f>
        <v>0.32644689352958017</v>
      </c>
      <c r="L113" s="25">
        <f t="shared" si="37"/>
        <v>693.04675496329867</v>
      </c>
      <c r="M113" s="25">
        <f>IFERROR(G113*VLOOKUP(W113,livestock_intensity!$B$7:$M$29,12,FALSE)/Z113,0)</f>
        <v>308.75356586807396</v>
      </c>
      <c r="N113" s="2">
        <f>VLOOKUP($W113,feed_mix_n,MATCH(N$5,feed_mix_w!$B$5:$AC$5,0),FALSE)/$Z113*VLOOKUP(N$5,feed_intensity_w,11,FALSE)</f>
        <v>0</v>
      </c>
      <c r="O113" s="25">
        <f t="shared" si="38"/>
        <v>0</v>
      </c>
      <c r="P113" s="343">
        <f>IFERROR(G113*VLOOKUP(W113,livestock_intensity!$B$7:$Q$29,16,FALSE)/Z113,0)</f>
        <v>0</v>
      </c>
      <c r="Q113" s="758"/>
      <c r="R113" s="331">
        <f t="shared" si="39"/>
        <v>9394.2547433926902</v>
      </c>
      <c r="S113" s="331">
        <f t="shared" si="40"/>
        <v>4019.5980554911871</v>
      </c>
      <c r="T113" s="739">
        <v>2734</v>
      </c>
      <c r="U113" s="558" t="s">
        <v>2796</v>
      </c>
      <c r="V113" s="559" t="str">
        <f>IFERROR(VLOOKUP(W113,constant_ag_extr!$D$7:$E$594,2,FALSE),"")</f>
        <v>Ducks</v>
      </c>
      <c r="W113" s="560">
        <f t="shared" si="41"/>
        <v>1068</v>
      </c>
      <c r="X113" s="2">
        <f>IFERROR(IF(VLOOKUP(B113,cnst_grazing!$C$10:$H$25,5,FALSE)="", IF(VLOOKUP(B113, cnst_grazing!$C$10:$H$25,3,FALSE)="", VLOOKUP(B113, cnst_grazing!$C$10:$H$25,4,FALSE),VLOOKUP(B113, cnst_grazing!$C$10:$H$25,3,FALSE)), VLOOKUP(B113,cnst_grazing!$C$10:$H$25,5,FALSE)),1)</f>
        <v>1</v>
      </c>
      <c r="Y113" s="2">
        <f>IFERROR(IF(VLOOKUP(B113,cnst_grazing!$C$10:$H$25,6,FALSE)="", IF(VLOOKUP(B113, cnst_grazing!$C$10:$H$25,4,FALSE)="", VLOOKUP(B113, cnst_grazing!$C$10:$H$25,3,FALSE),VLOOKUP(B113, cnst_grazing!$C$10:$H$25,4,FALSE)), VLOOKUP(B113,cnst_grazing!$C$10:$H$25,6,FALSE)),1)</f>
        <v>1</v>
      </c>
      <c r="Z113" s="400">
        <f t="shared" si="42"/>
        <v>0.61736603316806926</v>
      </c>
      <c r="AA113" s="2">
        <f t="shared" si="43"/>
        <v>4.0985435649690958</v>
      </c>
      <c r="AB113" s="2">
        <f>VLOOKUP($W113,feed_mix_n,MATCH(AB$5,feed_mix_w!$B$5:$AC$5,0),FALSE)/$Z113*VLOOKUP(AB$5,feed_intensity_w,11,FALSE)</f>
        <v>1.3756592559339071</v>
      </c>
      <c r="AC113" s="2">
        <f>VLOOKUP($W113,feed_mix_n,MATCH(AC$5,feed_mix_w!$B$5:$AC$5,0),FALSE)/$Z113*VLOOKUP(AC$5,feed_intensity_w,11,FALSE)</f>
        <v>0</v>
      </c>
      <c r="AD113" s="2">
        <f>VLOOKUP($W113,feed_mix_n,MATCH(AD$5,feed_mix_w!$B$5:$AC$5,0),FALSE)/$Z113*VLOOKUP(AD$5,feed_intensity_w,11,FALSE)</f>
        <v>1.1099695942432815</v>
      </c>
      <c r="AE113" s="2">
        <f>VLOOKUP($W113,feed_mix_n,MATCH(AE$5,feed_mix_w!$B$5:$AC$5,0),FALSE)/$Z113*VLOOKUP(AE$5,feed_intensity_w,11,FALSE)</f>
        <v>0</v>
      </c>
      <c r="AF113" s="2">
        <f>VLOOKUP($W113,feed_mix_n,MATCH(AF$5,feed_mix_w!$B$5:$AC$5,0),FALSE)/$Z113*VLOOKUP(AF$5,feed_intensity_w,11,FALSE)</f>
        <v>0</v>
      </c>
      <c r="AG113" s="2">
        <f>VLOOKUP($W113,feed_mix_n,MATCH(AG$5,feed_mix_w!$B$5:$AC$5,0),FALSE)/$Z113*VLOOKUP(AG$5,feed_intensity_w,11,FALSE)</f>
        <v>0</v>
      </c>
      <c r="AH113" s="2">
        <f>VLOOKUP($W113,feed_mix_n,MATCH(AH$5,feed_mix_w!$B$5:$AC$5,0),FALSE)/$Z113*VLOOKUP(AH$5,feed_intensity_w,11,FALSE)</f>
        <v>1.2024860371888861</v>
      </c>
      <c r="AI113" s="2">
        <f>VLOOKUP($W113,feed_mix_n,MATCH(AI$5,feed_mix_w!$B$5:$AC$5,0),FALSE)/$Z113*VLOOKUP(AI$5,feed_intensity_w,11,FALSE)</f>
        <v>0</v>
      </c>
      <c r="AJ113" s="2">
        <f>VLOOKUP($W113,feed_mix_n,MATCH(AJ$5,feed_mix_w!$B$5:$AC$5,0),FALSE)/$Z113*VLOOKUP(AJ$5,feed_intensity_w,11,FALSE)</f>
        <v>0</v>
      </c>
      <c r="AK113" s="2">
        <f>VLOOKUP($W113,feed_mix_n,MATCH(AK$5,feed_mix_w!$B$5:$AC$5,0),FALSE)/$Z113*VLOOKUP(AK$5,feed_intensity_w,11,FALSE)</f>
        <v>0</v>
      </c>
      <c r="AL113" s="2">
        <f>VLOOKUP($W113,feed_mix_n,MATCH(AL$5,feed_mix_w!$B$5:$AC$5,0),FALSE)/$Z113*VLOOKUP(AL$5,feed_intensity_w,11,FALSE)</f>
        <v>0</v>
      </c>
      <c r="AM113" s="2">
        <f>VLOOKUP($W113,feed_mix_n,MATCH(AM$5,feed_mix_w!$B$5:$AC$5,0),FALSE)/$Z113*VLOOKUP(AM$5,feed_intensity_w,11,FALSE)</f>
        <v>0</v>
      </c>
      <c r="AN113" s="2">
        <f>VLOOKUP($W113,feed_mix_n,MATCH(AN$5,feed_mix_w!$B$5:$AC$5,0),FALSE)/$Z113*VLOOKUP(AN$5,feed_intensity_w,11,FALSE)</f>
        <v>0</v>
      </c>
      <c r="AO113" s="2">
        <f>VLOOKUP($W113,feed_mix_n,MATCH(AO$5,feed_mix_w!$B$5:$AC$5,0),FALSE)/$Z113*VLOOKUP(AO$5,feed_intensity_w,11,FALSE)</f>
        <v>0</v>
      </c>
      <c r="AP113" s="2">
        <f>VLOOKUP($W113,feed_mix_n,MATCH(AP$5,feed_mix_w!$B$5:$AC$5,0),FALSE)/$Z113*VLOOKUP(AP$5,feed_intensity_w,11,FALSE)</f>
        <v>0</v>
      </c>
      <c r="AQ113" s="2">
        <f>VLOOKUP($W113,feed_mix_n,MATCH(AQ$5,feed_mix_w!$B$5:$AC$5,0),FALSE)/$Z113*VLOOKUP(AQ$5,feed_intensity_w,11,FALSE)</f>
        <v>0</v>
      </c>
      <c r="AR113" s="2">
        <f>VLOOKUP($W113,feed_mix_n,MATCH(AR$5,feed_mix_w!$B$5:$AC$5,0),FALSE)/$Z113*VLOOKUP(AR$5,feed_intensity_w,11,FALSE)</f>
        <v>0.4104286776030211</v>
      </c>
      <c r="AS113" s="389">
        <f>VLOOKUP($W113,feed_mix_n,MATCH(AS$5,feed_mix_w!$B$5:$AC$5,0),FALSE)/$Z113*VLOOKUP(AS$5,feed_intensity_w,11,FALSE)</f>
        <v>0</v>
      </c>
    </row>
    <row r="114" spans="1:45" ht="12.75" customHeight="1">
      <c r="A114" s="14" t="s">
        <v>3620</v>
      </c>
      <c r="B114" s="482">
        <v>1072</v>
      </c>
      <c r="C114" s="24" t="s">
        <v>3621</v>
      </c>
      <c r="D114" s="513"/>
      <c r="E114" s="513"/>
      <c r="F114" s="25">
        <f t="shared" si="33"/>
        <v>0</v>
      </c>
      <c r="G114" s="25">
        <f t="shared" si="34"/>
        <v>0</v>
      </c>
      <c r="H114" s="2">
        <f t="shared" si="35"/>
        <v>1.0398655908086032</v>
      </c>
      <c r="I114" s="25">
        <f t="shared" si="36"/>
        <v>0</v>
      </c>
      <c r="J114" s="87">
        <f>IFERROR(G114*VLOOKUP(W114,livestock_intensity!$B$7:$I$29,8,FALSE)/Z114,0)</f>
        <v>0</v>
      </c>
      <c r="K114" s="2">
        <f>VLOOKUP($W114,feed_mix_n,MATCH(K$5,feed_mix_w!$B$5:$AC$5,0),FALSE)/$Z114*VLOOKUP(K$5,feed_intensity_w,11,FALSE)</f>
        <v>8.2824761144226058E-2</v>
      </c>
      <c r="L114" s="25">
        <f t="shared" si="37"/>
        <v>0</v>
      </c>
      <c r="M114" s="25">
        <f>IFERROR(G114*VLOOKUP(W114,livestock_intensity!$B$7:$M$29,12,FALSE)/Z114,0)</f>
        <v>0</v>
      </c>
      <c r="N114" s="2">
        <f>VLOOKUP($W114,feed_mix_n,MATCH(N$5,feed_mix_w!$B$5:$AC$5,0),FALSE)/$Z114*VLOOKUP(N$5,feed_intensity_w,11,FALSE)</f>
        <v>0</v>
      </c>
      <c r="O114" s="25">
        <f t="shared" si="38"/>
        <v>0</v>
      </c>
      <c r="P114" s="343">
        <f>IFERROR(G114*VLOOKUP(W114,livestock_intensity!$B$7:$Q$29,16,FALSE)/Z114,0)</f>
        <v>0</v>
      </c>
      <c r="Q114" s="758"/>
      <c r="R114" s="331">
        <f t="shared" si="39"/>
        <v>0</v>
      </c>
      <c r="S114" s="331">
        <f t="shared" si="40"/>
        <v>0</v>
      </c>
      <c r="T114" s="739" t="s">
        <v>2738</v>
      </c>
      <c r="U114" s="558" t="s">
        <v>413</v>
      </c>
      <c r="V114" s="559" t="str">
        <f>IFERROR(VLOOKUP(W114,constant_ag_extr!$D$7:$E$594,2,FALSE),"")</f>
        <v>Geese and Guinea Fowls</v>
      </c>
      <c r="W114" s="560">
        <f t="shared" si="41"/>
        <v>1072</v>
      </c>
      <c r="X114" s="2">
        <f>IFERROR(IF(VLOOKUP(B114,cnst_grazing!$C$10:$H$25,5,FALSE)="", IF(VLOOKUP(B114, cnst_grazing!$C$10:$H$25,3,FALSE)="", VLOOKUP(B114, cnst_grazing!$C$10:$H$25,4,FALSE),VLOOKUP(B114, cnst_grazing!$C$10:$H$25,3,FALSE)), VLOOKUP(B114,cnst_grazing!$C$10:$H$25,5,FALSE)),1)</f>
        <v>3.8246999029070139E-3</v>
      </c>
      <c r="Y114" s="2">
        <f>IFERROR(IF(VLOOKUP(B114,cnst_grazing!$C$10:$H$25,6,FALSE)="", IF(VLOOKUP(B114, cnst_grazing!$C$10:$H$25,4,FALSE)="", VLOOKUP(B114, cnst_grazing!$C$10:$H$25,3,FALSE),VLOOKUP(B114, cnst_grazing!$C$10:$H$25,4,FALSE)), VLOOKUP(B114,cnst_grazing!$C$10:$H$25,6,FALSE)),1)</f>
        <v>4.999999888241291E-3</v>
      </c>
      <c r="Z114" s="400">
        <f t="shared" si="42"/>
        <v>1</v>
      </c>
      <c r="AA114" s="2">
        <f t="shared" si="43"/>
        <v>1.0398655908086032</v>
      </c>
      <c r="AB114" s="2">
        <f>VLOOKUP($W114,feed_mix_n,MATCH(AB$5,feed_mix_w!$B$5:$AC$5,0),FALSE)/$Z114*VLOOKUP(AB$5,feed_intensity_w,11,FALSE)</f>
        <v>0.34902659987556389</v>
      </c>
      <c r="AC114" s="2">
        <f>VLOOKUP($W114,feed_mix_n,MATCH(AC$5,feed_mix_w!$B$5:$AC$5,0),FALSE)/$Z114*VLOOKUP(AC$5,feed_intensity_w,11,FALSE)</f>
        <v>0</v>
      </c>
      <c r="AD114" s="2">
        <f>VLOOKUP($W114,feed_mix_n,MATCH(AD$5,feed_mix_w!$B$5:$AC$5,0),FALSE)/$Z114*VLOOKUP(AD$5,feed_intensity_w,11,FALSE)</f>
        <v>0.28161691332566791</v>
      </c>
      <c r="AE114" s="2">
        <f>VLOOKUP($W114,feed_mix_n,MATCH(AE$5,feed_mix_w!$B$5:$AC$5,0),FALSE)/$Z114*VLOOKUP(AE$5,feed_intensity_w,11,FALSE)</f>
        <v>0</v>
      </c>
      <c r="AF114" s="2">
        <f>VLOOKUP($W114,feed_mix_n,MATCH(AF$5,feed_mix_w!$B$5:$AC$5,0),FALSE)/$Z114*VLOOKUP(AF$5,feed_intensity_w,11,FALSE)</f>
        <v>0</v>
      </c>
      <c r="AG114" s="2">
        <f>VLOOKUP($W114,feed_mix_n,MATCH(AG$5,feed_mix_w!$B$5:$AC$5,0),FALSE)/$Z114*VLOOKUP(AG$5,feed_intensity_w,11,FALSE)</f>
        <v>0</v>
      </c>
      <c r="AH114" s="2">
        <f>VLOOKUP($W114,feed_mix_n,MATCH(AH$5,feed_mix_w!$B$5:$AC$5,0),FALSE)/$Z114*VLOOKUP(AH$5,feed_intensity_w,11,FALSE)</f>
        <v>0.30508980414118048</v>
      </c>
      <c r="AI114" s="2">
        <f>VLOOKUP($W114,feed_mix_n,MATCH(AI$5,feed_mix_w!$B$5:$AC$5,0),FALSE)/$Z114*VLOOKUP(AI$5,feed_intensity_w,11,FALSE)</f>
        <v>0</v>
      </c>
      <c r="AJ114" s="2">
        <f>VLOOKUP($W114,feed_mix_n,MATCH(AJ$5,feed_mix_w!$B$5:$AC$5,0),FALSE)/$Z114*VLOOKUP(AJ$5,feed_intensity_w,11,FALSE)</f>
        <v>0</v>
      </c>
      <c r="AK114" s="2">
        <f>VLOOKUP($W114,feed_mix_n,MATCH(AK$5,feed_mix_w!$B$5:$AC$5,0),FALSE)/$Z114*VLOOKUP(AK$5,feed_intensity_w,11,FALSE)</f>
        <v>0</v>
      </c>
      <c r="AL114" s="2">
        <f>VLOOKUP($W114,feed_mix_n,MATCH(AL$5,feed_mix_w!$B$5:$AC$5,0),FALSE)/$Z114*VLOOKUP(AL$5,feed_intensity_w,11,FALSE)</f>
        <v>0</v>
      </c>
      <c r="AM114" s="2">
        <f>VLOOKUP($W114,feed_mix_n,MATCH(AM$5,feed_mix_w!$B$5:$AC$5,0),FALSE)/$Z114*VLOOKUP(AM$5,feed_intensity_w,11,FALSE)</f>
        <v>0</v>
      </c>
      <c r="AN114" s="2">
        <f>VLOOKUP($W114,feed_mix_n,MATCH(AN$5,feed_mix_w!$B$5:$AC$5,0),FALSE)/$Z114*VLOOKUP(AN$5,feed_intensity_w,11,FALSE)</f>
        <v>0</v>
      </c>
      <c r="AO114" s="2">
        <f>VLOOKUP($W114,feed_mix_n,MATCH(AO$5,feed_mix_w!$B$5:$AC$5,0),FALSE)/$Z114*VLOOKUP(AO$5,feed_intensity_w,11,FALSE)</f>
        <v>0</v>
      </c>
      <c r="AP114" s="2">
        <f>VLOOKUP($W114,feed_mix_n,MATCH(AP$5,feed_mix_w!$B$5:$AC$5,0),FALSE)/$Z114*VLOOKUP(AP$5,feed_intensity_w,11,FALSE)</f>
        <v>0</v>
      </c>
      <c r="AQ114" s="2">
        <f>VLOOKUP($W114,feed_mix_n,MATCH(AQ$5,feed_mix_w!$B$5:$AC$5,0),FALSE)/$Z114*VLOOKUP(AQ$5,feed_intensity_w,11,FALSE)</f>
        <v>0</v>
      </c>
      <c r="AR114" s="2">
        <f>VLOOKUP($W114,feed_mix_n,MATCH(AR$5,feed_mix_w!$B$5:$AC$5,0),FALSE)/$Z114*VLOOKUP(AR$5,feed_intensity_w,11,FALSE)</f>
        <v>0.10413227346619101</v>
      </c>
      <c r="AS114" s="389">
        <f>VLOOKUP($W114,feed_mix_n,MATCH(AS$5,feed_mix_w!$B$5:$AC$5,0),FALSE)/$Z114*VLOOKUP(AS$5,feed_intensity_w,11,FALSE)</f>
        <v>0</v>
      </c>
    </row>
    <row r="115" spans="1:45" ht="12.75" customHeight="1">
      <c r="A115" s="14" t="s">
        <v>7179</v>
      </c>
      <c r="B115" s="482">
        <v>1073</v>
      </c>
      <c r="C115" s="24" t="s">
        <v>5021</v>
      </c>
      <c r="D115" s="513">
        <v>24</v>
      </c>
      <c r="E115" s="513"/>
      <c r="F115" s="25">
        <f t="shared" si="33"/>
        <v>24</v>
      </c>
      <c r="G115" s="25">
        <f t="shared" si="34"/>
        <v>0</v>
      </c>
      <c r="H115" s="2">
        <f t="shared" si="35"/>
        <v>0.93632254881822841</v>
      </c>
      <c r="I115" s="25">
        <f t="shared" si="36"/>
        <v>22.471741171637483</v>
      </c>
      <c r="J115" s="87">
        <f>IFERROR(G115*VLOOKUP(W115,livestock_intensity!$B$7:$I$29,8,FALSE)/Z115,0)</f>
        <v>0</v>
      </c>
      <c r="K115" s="2">
        <f>VLOOKUP($W115,feed_mix_n,MATCH(K$5,feed_mix_w!$B$5:$AC$5,0),FALSE)/$Z115*VLOOKUP(K$5,feed_intensity_w,11,FALSE)</f>
        <v>7.4577610938658917E-2</v>
      </c>
      <c r="L115" s="25">
        <f t="shared" si="37"/>
        <v>1.789862662527814</v>
      </c>
      <c r="M115" s="25">
        <f>IFERROR(G115*VLOOKUP(W115,livestock_intensity!$B$7:$M$29,12,FALSE)/Z115,0)</f>
        <v>0</v>
      </c>
      <c r="N115" s="2">
        <f>VLOOKUP($W115,feed_mix_n,MATCH(N$5,feed_mix_w!$B$5:$AC$5,0),FALSE)/$Z115*VLOOKUP(N$5,feed_intensity_w,11,FALSE)</f>
        <v>0</v>
      </c>
      <c r="O115" s="25">
        <f t="shared" si="38"/>
        <v>0</v>
      </c>
      <c r="P115" s="343">
        <f>IFERROR(G115*VLOOKUP(W115,livestock_intensity!$B$7:$Q$29,16,FALSE)/Z115,0)</f>
        <v>0</v>
      </c>
      <c r="Q115" s="758"/>
      <c r="R115" s="331">
        <f t="shared" si="39"/>
        <v>24.261603834165296</v>
      </c>
      <c r="S115" s="331">
        <f t="shared" si="40"/>
        <v>0</v>
      </c>
      <c r="T115" s="739">
        <v>2734</v>
      </c>
      <c r="U115" s="558" t="s">
        <v>2796</v>
      </c>
      <c r="V115" s="559" t="str">
        <f>IFERROR(VLOOKUP(W115,constant_ag_extr!$D$7:$E$594,2,FALSE),"")</f>
        <v>Geese and Guinea Fowls</v>
      </c>
      <c r="W115" s="560">
        <f t="shared" si="41"/>
        <v>1072</v>
      </c>
      <c r="X115" s="2">
        <f>IFERROR(IF(VLOOKUP(B115,cnst_grazing!$C$10:$H$25,5,FALSE)="", IF(VLOOKUP(B115, cnst_grazing!$C$10:$H$25,3,FALSE)="", VLOOKUP(B115, cnst_grazing!$C$10:$H$25,4,FALSE),VLOOKUP(B115, cnst_grazing!$C$10:$H$25,3,FALSE)), VLOOKUP(B115,cnst_grazing!$C$10:$H$25,5,FALSE)),1)</f>
        <v>1</v>
      </c>
      <c r="Y115" s="2">
        <f>IFERROR(IF(VLOOKUP(B115,cnst_grazing!$C$10:$H$25,6,FALSE)="", IF(VLOOKUP(B115, cnst_grazing!$C$10:$H$25,4,FALSE)="", VLOOKUP(B115, cnst_grazing!$C$10:$H$25,3,FALSE),VLOOKUP(B115, cnst_grazing!$C$10:$H$25,4,FALSE)), VLOOKUP(B115,cnst_grazing!$C$10:$H$25,6,FALSE)),1)</f>
        <v>1</v>
      </c>
      <c r="Z115" s="400">
        <f t="shared" si="42"/>
        <v>1.1105848002070022</v>
      </c>
      <c r="AA115" s="2">
        <f t="shared" si="43"/>
        <v>0.93632254881822841</v>
      </c>
      <c r="AB115" s="2">
        <f>VLOOKUP($W115,feed_mix_n,MATCH(AB$5,feed_mix_w!$B$5:$AC$5,0),FALSE)/$Z115*VLOOKUP(AB$5,feed_intensity_w,11,FALSE)</f>
        <v>0.31427280457152729</v>
      </c>
      <c r="AC115" s="2">
        <f>VLOOKUP($W115,feed_mix_n,MATCH(AC$5,feed_mix_w!$B$5:$AC$5,0),FALSE)/$Z115*VLOOKUP(AC$5,feed_intensity_w,11,FALSE)</f>
        <v>0</v>
      </c>
      <c r="AD115" s="2">
        <f>VLOOKUP($W115,feed_mix_n,MATCH(AD$5,feed_mix_w!$B$5:$AC$5,0),FALSE)/$Z115*VLOOKUP(AD$5,feed_intensity_w,11,FALSE)</f>
        <v>0.25357533551078426</v>
      </c>
      <c r="AE115" s="2">
        <f>VLOOKUP($W115,feed_mix_n,MATCH(AE$5,feed_mix_w!$B$5:$AC$5,0),FALSE)/$Z115*VLOOKUP(AE$5,feed_intensity_w,11,FALSE)</f>
        <v>0</v>
      </c>
      <c r="AF115" s="2">
        <f>VLOOKUP($W115,feed_mix_n,MATCH(AF$5,feed_mix_w!$B$5:$AC$5,0),FALSE)/$Z115*VLOOKUP(AF$5,feed_intensity_w,11,FALSE)</f>
        <v>0</v>
      </c>
      <c r="AG115" s="2">
        <f>VLOOKUP($W115,feed_mix_n,MATCH(AG$5,feed_mix_w!$B$5:$AC$5,0),FALSE)/$Z115*VLOOKUP(AG$5,feed_intensity_w,11,FALSE)</f>
        <v>0</v>
      </c>
      <c r="AH115" s="2">
        <f>VLOOKUP($W115,feed_mix_n,MATCH(AH$5,feed_mix_w!$B$5:$AC$5,0),FALSE)/$Z115*VLOOKUP(AH$5,feed_intensity_w,11,FALSE)</f>
        <v>0.27471094875809099</v>
      </c>
      <c r="AI115" s="2">
        <f>VLOOKUP($W115,feed_mix_n,MATCH(AI$5,feed_mix_w!$B$5:$AC$5,0),FALSE)/$Z115*VLOOKUP(AI$5,feed_intensity_w,11,FALSE)</f>
        <v>0</v>
      </c>
      <c r="AJ115" s="2">
        <f>VLOOKUP($W115,feed_mix_n,MATCH(AJ$5,feed_mix_w!$B$5:$AC$5,0),FALSE)/$Z115*VLOOKUP(AJ$5,feed_intensity_w,11,FALSE)</f>
        <v>0</v>
      </c>
      <c r="AK115" s="2">
        <f>VLOOKUP($W115,feed_mix_n,MATCH(AK$5,feed_mix_w!$B$5:$AC$5,0),FALSE)/$Z115*VLOOKUP(AK$5,feed_intensity_w,11,FALSE)</f>
        <v>0</v>
      </c>
      <c r="AL115" s="2">
        <f>VLOOKUP($W115,feed_mix_n,MATCH(AL$5,feed_mix_w!$B$5:$AC$5,0),FALSE)/$Z115*VLOOKUP(AL$5,feed_intensity_w,11,FALSE)</f>
        <v>0</v>
      </c>
      <c r="AM115" s="2">
        <f>VLOOKUP($W115,feed_mix_n,MATCH(AM$5,feed_mix_w!$B$5:$AC$5,0),FALSE)/$Z115*VLOOKUP(AM$5,feed_intensity_w,11,FALSE)</f>
        <v>0</v>
      </c>
      <c r="AN115" s="2">
        <f>VLOOKUP($W115,feed_mix_n,MATCH(AN$5,feed_mix_w!$B$5:$AC$5,0),FALSE)/$Z115*VLOOKUP(AN$5,feed_intensity_w,11,FALSE)</f>
        <v>0</v>
      </c>
      <c r="AO115" s="2">
        <f>VLOOKUP($W115,feed_mix_n,MATCH(AO$5,feed_mix_w!$B$5:$AC$5,0),FALSE)/$Z115*VLOOKUP(AO$5,feed_intensity_w,11,FALSE)</f>
        <v>0</v>
      </c>
      <c r="AP115" s="2">
        <f>VLOOKUP($W115,feed_mix_n,MATCH(AP$5,feed_mix_w!$B$5:$AC$5,0),FALSE)/$Z115*VLOOKUP(AP$5,feed_intensity_w,11,FALSE)</f>
        <v>0</v>
      </c>
      <c r="AQ115" s="2">
        <f>VLOOKUP($W115,feed_mix_n,MATCH(AQ$5,feed_mix_w!$B$5:$AC$5,0),FALSE)/$Z115*VLOOKUP(AQ$5,feed_intensity_w,11,FALSE)</f>
        <v>0</v>
      </c>
      <c r="AR115" s="2">
        <f>VLOOKUP($W115,feed_mix_n,MATCH(AR$5,feed_mix_w!$B$5:$AC$5,0),FALSE)/$Z115*VLOOKUP(AR$5,feed_intensity_w,11,FALSE)</f>
        <v>9.3763459977825897E-2</v>
      </c>
      <c r="AS115" s="389">
        <f>VLOOKUP($W115,feed_mix_n,MATCH(AS$5,feed_mix_w!$B$5:$AC$5,0),FALSE)/$Z115*VLOOKUP(AS$5,feed_intensity_w,11,FALSE)</f>
        <v>0</v>
      </c>
    </row>
    <row r="116" spans="1:45" ht="12.75" customHeight="1">
      <c r="A116" s="14" t="s">
        <v>7180</v>
      </c>
      <c r="B116" s="482">
        <v>1074</v>
      </c>
      <c r="C116" s="24" t="s">
        <v>673</v>
      </c>
      <c r="D116" s="513">
        <v>49</v>
      </c>
      <c r="E116" s="513">
        <v>0</v>
      </c>
      <c r="F116" s="25">
        <f t="shared" si="33"/>
        <v>49</v>
      </c>
      <c r="G116" s="25">
        <f t="shared" si="34"/>
        <v>0</v>
      </c>
      <c r="H116" s="2">
        <f t="shared" si="35"/>
        <v>2.8144432626583815</v>
      </c>
      <c r="I116" s="25">
        <f t="shared" si="36"/>
        <v>137.90771987026071</v>
      </c>
      <c r="J116" s="87">
        <f>IFERROR(G116*VLOOKUP(W116,livestock_intensity!$B$7:$I$29,8,FALSE)/Z116,0)</f>
        <v>0</v>
      </c>
      <c r="K116" s="2">
        <f>VLOOKUP($W116,feed_mix_n,MATCH(K$5,feed_mix_w!$B$5:$AC$5,0),FALSE)/$Z116*VLOOKUP(K$5,feed_intensity_w,11,FALSE)</f>
        <v>0.22416896283912327</v>
      </c>
      <c r="L116" s="25">
        <f t="shared" si="37"/>
        <v>10.98427917911704</v>
      </c>
      <c r="M116" s="25">
        <f>IFERROR(G116*VLOOKUP(W116,livestock_intensity!$B$7:$M$29,12,FALSE)/Z116,0)</f>
        <v>0</v>
      </c>
      <c r="N116" s="2">
        <f>VLOOKUP($W116,feed_mix_n,MATCH(N$5,feed_mix_w!$B$5:$AC$5,0),FALSE)/$Z116*VLOOKUP(N$5,feed_intensity_w,11,FALSE)</f>
        <v>0</v>
      </c>
      <c r="O116" s="25">
        <f t="shared" si="38"/>
        <v>0</v>
      </c>
      <c r="P116" s="343">
        <f>IFERROR(G116*VLOOKUP(W116,livestock_intensity!$B$7:$Q$29,16,FALSE)/Z116,0)</f>
        <v>0</v>
      </c>
      <c r="Q116" s="758"/>
      <c r="R116" s="331">
        <f t="shared" si="39"/>
        <v>148.89199904937774</v>
      </c>
      <c r="S116" s="331">
        <f t="shared" si="40"/>
        <v>0</v>
      </c>
      <c r="T116" s="739">
        <v>2736</v>
      </c>
      <c r="U116" s="558" t="s">
        <v>2796</v>
      </c>
      <c r="V116" s="559" t="str">
        <f>IFERROR(VLOOKUP(W116,constant_ag_extr!$D$7:$E$594,2,FALSE),"")</f>
        <v>Geese and Guinea Fowls</v>
      </c>
      <c r="W116" s="560">
        <f t="shared" si="41"/>
        <v>1072</v>
      </c>
      <c r="X116" s="2">
        <f>IFERROR(IF(VLOOKUP(B116,cnst_grazing!$C$10:$H$25,5,FALSE)="", IF(VLOOKUP(B116, cnst_grazing!$C$10:$H$25,3,FALSE)="", VLOOKUP(B116, cnst_grazing!$C$10:$H$25,4,FALSE),VLOOKUP(B116, cnst_grazing!$C$10:$H$25,3,FALSE)), VLOOKUP(B116,cnst_grazing!$C$10:$H$25,5,FALSE)),1)</f>
        <v>1</v>
      </c>
      <c r="Y116" s="2">
        <f>IFERROR(IF(VLOOKUP(B116,cnst_grazing!$C$10:$H$25,6,FALSE)="", IF(VLOOKUP(B116, cnst_grazing!$C$10:$H$25,4,FALSE)="", VLOOKUP(B116, cnst_grazing!$C$10:$H$25,3,FALSE),VLOOKUP(B116, cnst_grazing!$C$10:$H$25,4,FALSE)), VLOOKUP(B116,cnst_grazing!$C$10:$H$25,6,FALSE)),1)</f>
        <v>1</v>
      </c>
      <c r="Z116" s="400">
        <f t="shared" si="42"/>
        <v>0.36947470379146974</v>
      </c>
      <c r="AA116" s="2">
        <f t="shared" si="43"/>
        <v>2.8144432626583815</v>
      </c>
      <c r="AB116" s="2">
        <f>VLOOKUP($W116,feed_mix_n,MATCH(AB$5,feed_mix_w!$B$5:$AC$5,0),FALSE)/$Z116*VLOOKUP(AB$5,feed_intensity_w,11,FALSE)</f>
        <v>0.94465628172626748</v>
      </c>
      <c r="AC116" s="2">
        <f>VLOOKUP($W116,feed_mix_n,MATCH(AC$5,feed_mix_w!$B$5:$AC$5,0),FALSE)/$Z116*VLOOKUP(AC$5,feed_intensity_w,11,FALSE)</f>
        <v>0</v>
      </c>
      <c r="AD116" s="2">
        <f>VLOOKUP($W116,feed_mix_n,MATCH(AD$5,feed_mix_w!$B$5:$AC$5,0),FALSE)/$Z116*VLOOKUP(AD$5,feed_intensity_w,11,FALSE)</f>
        <v>0.76220891561932624</v>
      </c>
      <c r="AE116" s="2">
        <f>VLOOKUP($W116,feed_mix_n,MATCH(AE$5,feed_mix_w!$B$5:$AC$5,0),FALSE)/$Z116*VLOOKUP(AE$5,feed_intensity_w,11,FALSE)</f>
        <v>0</v>
      </c>
      <c r="AF116" s="2">
        <f>VLOOKUP($W116,feed_mix_n,MATCH(AF$5,feed_mix_w!$B$5:$AC$5,0),FALSE)/$Z116*VLOOKUP(AF$5,feed_intensity_w,11,FALSE)</f>
        <v>0</v>
      </c>
      <c r="AG116" s="2">
        <f>VLOOKUP($W116,feed_mix_n,MATCH(AG$5,feed_mix_w!$B$5:$AC$5,0),FALSE)/$Z116*VLOOKUP(AG$5,feed_intensity_w,11,FALSE)</f>
        <v>0</v>
      </c>
      <c r="AH116" s="2">
        <f>VLOOKUP($W116,feed_mix_n,MATCH(AH$5,feed_mix_w!$B$5:$AC$5,0),FALSE)/$Z116*VLOOKUP(AH$5,feed_intensity_w,11,FALSE)</f>
        <v>0.82573935647126773</v>
      </c>
      <c r="AI116" s="2">
        <f>VLOOKUP($W116,feed_mix_n,MATCH(AI$5,feed_mix_w!$B$5:$AC$5,0),FALSE)/$Z116*VLOOKUP(AI$5,feed_intensity_w,11,FALSE)</f>
        <v>0</v>
      </c>
      <c r="AJ116" s="2">
        <f>VLOOKUP($W116,feed_mix_n,MATCH(AJ$5,feed_mix_w!$B$5:$AC$5,0),FALSE)/$Z116*VLOOKUP(AJ$5,feed_intensity_w,11,FALSE)</f>
        <v>0</v>
      </c>
      <c r="AK116" s="2">
        <f>VLOOKUP($W116,feed_mix_n,MATCH(AK$5,feed_mix_w!$B$5:$AC$5,0),FALSE)/$Z116*VLOOKUP(AK$5,feed_intensity_w,11,FALSE)</f>
        <v>0</v>
      </c>
      <c r="AL116" s="2">
        <f>VLOOKUP($W116,feed_mix_n,MATCH(AL$5,feed_mix_w!$B$5:$AC$5,0),FALSE)/$Z116*VLOOKUP(AL$5,feed_intensity_w,11,FALSE)</f>
        <v>0</v>
      </c>
      <c r="AM116" s="2">
        <f>VLOOKUP($W116,feed_mix_n,MATCH(AM$5,feed_mix_w!$B$5:$AC$5,0),FALSE)/$Z116*VLOOKUP(AM$5,feed_intensity_w,11,FALSE)</f>
        <v>0</v>
      </c>
      <c r="AN116" s="2">
        <f>VLOOKUP($W116,feed_mix_n,MATCH(AN$5,feed_mix_w!$B$5:$AC$5,0),FALSE)/$Z116*VLOOKUP(AN$5,feed_intensity_w,11,FALSE)</f>
        <v>0</v>
      </c>
      <c r="AO116" s="2">
        <f>VLOOKUP($W116,feed_mix_n,MATCH(AO$5,feed_mix_w!$B$5:$AC$5,0),FALSE)/$Z116*VLOOKUP(AO$5,feed_intensity_w,11,FALSE)</f>
        <v>0</v>
      </c>
      <c r="AP116" s="2">
        <f>VLOOKUP($W116,feed_mix_n,MATCH(AP$5,feed_mix_w!$B$5:$AC$5,0),FALSE)/$Z116*VLOOKUP(AP$5,feed_intensity_w,11,FALSE)</f>
        <v>0</v>
      </c>
      <c r="AQ116" s="2">
        <f>VLOOKUP($W116,feed_mix_n,MATCH(AQ$5,feed_mix_w!$B$5:$AC$5,0),FALSE)/$Z116*VLOOKUP(AQ$5,feed_intensity_w,11,FALSE)</f>
        <v>0</v>
      </c>
      <c r="AR116" s="2">
        <f>VLOOKUP($W116,feed_mix_n,MATCH(AR$5,feed_mix_w!$B$5:$AC$5,0),FALSE)/$Z116*VLOOKUP(AR$5,feed_intensity_w,11,FALSE)</f>
        <v>0.28183870884152035</v>
      </c>
      <c r="AS116" s="389">
        <f>VLOOKUP($W116,feed_mix_n,MATCH(AS$5,feed_mix_w!$B$5:$AC$5,0),FALSE)/$Z116*VLOOKUP(AS$5,feed_intensity_w,11,FALSE)</f>
        <v>0</v>
      </c>
    </row>
    <row r="117" spans="1:45" ht="12.75" customHeight="1">
      <c r="A117" s="14" t="s">
        <v>7181</v>
      </c>
      <c r="B117" s="482">
        <v>1075</v>
      </c>
      <c r="C117" s="24" t="s">
        <v>672</v>
      </c>
      <c r="D117" s="513">
        <v>4</v>
      </c>
      <c r="E117" s="513">
        <v>5</v>
      </c>
      <c r="F117" s="25">
        <f t="shared" si="33"/>
        <v>4</v>
      </c>
      <c r="G117" s="25">
        <f t="shared" si="34"/>
        <v>5</v>
      </c>
      <c r="H117" s="2">
        <f t="shared" si="35"/>
        <v>22.843889685733419</v>
      </c>
      <c r="I117" s="25">
        <f t="shared" si="36"/>
        <v>91.375558742933677</v>
      </c>
      <c r="J117" s="87">
        <f>IFERROR(G117*VLOOKUP(W117,livestock_intensity!$B$7:$I$29,8,FALSE)/Z117,0)</f>
        <v>84.766339052656676</v>
      </c>
      <c r="K117" s="2">
        <f>VLOOKUP($W117,feed_mix_n,MATCH(K$5,feed_mix_w!$B$5:$AC$5,0),FALSE)/$Z117*VLOOKUP(K$5,feed_intensity_w,11,FALSE)</f>
        <v>1.8195041008662114</v>
      </c>
      <c r="L117" s="25">
        <f t="shared" si="37"/>
        <v>7.2780164034648456</v>
      </c>
      <c r="M117" s="25">
        <f>IFERROR(G117*VLOOKUP(W117,livestock_intensity!$B$7:$M$29,12,FALSE)/Z117,0)</f>
        <v>7.0528176325567449</v>
      </c>
      <c r="N117" s="2">
        <f>VLOOKUP($W117,feed_mix_n,MATCH(N$5,feed_mix_w!$B$5:$AC$5,0),FALSE)/$Z117*VLOOKUP(N$5,feed_intensity_w,11,FALSE)</f>
        <v>0</v>
      </c>
      <c r="O117" s="25">
        <f t="shared" si="38"/>
        <v>0</v>
      </c>
      <c r="P117" s="343">
        <f>IFERROR(G117*VLOOKUP(W117,livestock_intensity!$B$7:$Q$29,16,FALSE)/Z117,0)</f>
        <v>0</v>
      </c>
      <c r="Q117" s="758"/>
      <c r="R117" s="331">
        <f t="shared" si="39"/>
        <v>98.653575146398524</v>
      </c>
      <c r="S117" s="331">
        <f t="shared" si="40"/>
        <v>91.819156685213414</v>
      </c>
      <c r="T117" s="739">
        <v>2736</v>
      </c>
      <c r="U117" s="558" t="s">
        <v>2796</v>
      </c>
      <c r="V117" s="559" t="str">
        <f>IFERROR(VLOOKUP(W117,constant_ag_extr!$D$7:$E$594,2,FALSE),"")</f>
        <v>Ducks</v>
      </c>
      <c r="W117" s="560">
        <f t="shared" si="41"/>
        <v>1068</v>
      </c>
      <c r="X117" s="2">
        <f>IFERROR(IF(VLOOKUP(B117,cnst_grazing!$C$10:$H$25,5,FALSE)="", IF(VLOOKUP(B117, cnst_grazing!$C$10:$H$25,3,FALSE)="", VLOOKUP(B117, cnst_grazing!$C$10:$H$25,4,FALSE),VLOOKUP(B117, cnst_grazing!$C$10:$H$25,3,FALSE)), VLOOKUP(B117,cnst_grazing!$C$10:$H$25,5,FALSE)),1)</f>
        <v>1</v>
      </c>
      <c r="Y117" s="2">
        <f>IFERROR(IF(VLOOKUP(B117,cnst_grazing!$C$10:$H$25,6,FALSE)="", IF(VLOOKUP(B117, cnst_grazing!$C$10:$H$25,4,FALSE)="", VLOOKUP(B117, cnst_grazing!$C$10:$H$25,3,FALSE),VLOOKUP(B117, cnst_grazing!$C$10:$H$25,4,FALSE)), VLOOKUP(B117,cnst_grazing!$C$10:$H$25,6,FALSE)),1)</f>
        <v>1</v>
      </c>
      <c r="Z117" s="400">
        <f t="shared" si="42"/>
        <v>0.1107649186404417</v>
      </c>
      <c r="AA117" s="2">
        <f t="shared" si="43"/>
        <v>22.843889685733419</v>
      </c>
      <c r="AB117" s="2">
        <f>VLOOKUP($W117,feed_mix_n,MATCH(AB$5,feed_mix_w!$B$5:$AC$5,0),FALSE)/$Z117*VLOOKUP(AB$5,feed_intensity_w,11,FALSE)</f>
        <v>7.6674574247081955</v>
      </c>
      <c r="AC117" s="2">
        <f>VLOOKUP($W117,feed_mix_n,MATCH(AC$5,feed_mix_w!$B$5:$AC$5,0),FALSE)/$Z117*VLOOKUP(AC$5,feed_intensity_w,11,FALSE)</f>
        <v>0</v>
      </c>
      <c r="AD117" s="2">
        <f>VLOOKUP($W117,feed_mix_n,MATCH(AD$5,feed_mix_w!$B$5:$AC$5,0),FALSE)/$Z117*VLOOKUP(AD$5,feed_intensity_w,11,FALSE)</f>
        <v>6.1865934968054921</v>
      </c>
      <c r="AE117" s="2">
        <f>VLOOKUP($W117,feed_mix_n,MATCH(AE$5,feed_mix_w!$B$5:$AC$5,0),FALSE)/$Z117*VLOOKUP(AE$5,feed_intensity_w,11,FALSE)</f>
        <v>0</v>
      </c>
      <c r="AF117" s="2">
        <f>VLOOKUP($W117,feed_mix_n,MATCH(AF$5,feed_mix_w!$B$5:$AC$5,0),FALSE)/$Z117*VLOOKUP(AF$5,feed_intensity_w,11,FALSE)</f>
        <v>0</v>
      </c>
      <c r="AG117" s="2">
        <f>VLOOKUP($W117,feed_mix_n,MATCH(AG$5,feed_mix_w!$B$5:$AC$5,0),FALSE)/$Z117*VLOOKUP(AG$5,feed_intensity_w,11,FALSE)</f>
        <v>0</v>
      </c>
      <c r="AH117" s="2">
        <f>VLOOKUP($W117,feed_mix_n,MATCH(AH$5,feed_mix_w!$B$5:$AC$5,0),FALSE)/$Z117*VLOOKUP(AH$5,feed_intensity_w,11,FALSE)</f>
        <v>6.7022487248796088</v>
      </c>
      <c r="AI117" s="2">
        <f>VLOOKUP($W117,feed_mix_n,MATCH(AI$5,feed_mix_w!$B$5:$AC$5,0),FALSE)/$Z117*VLOOKUP(AI$5,feed_intensity_w,11,FALSE)</f>
        <v>0</v>
      </c>
      <c r="AJ117" s="2">
        <f>VLOOKUP($W117,feed_mix_n,MATCH(AJ$5,feed_mix_w!$B$5:$AC$5,0),FALSE)/$Z117*VLOOKUP(AJ$5,feed_intensity_w,11,FALSE)</f>
        <v>0</v>
      </c>
      <c r="AK117" s="2">
        <f>VLOOKUP($W117,feed_mix_n,MATCH(AK$5,feed_mix_w!$B$5:$AC$5,0),FALSE)/$Z117*VLOOKUP(AK$5,feed_intensity_w,11,FALSE)</f>
        <v>0</v>
      </c>
      <c r="AL117" s="2">
        <f>VLOOKUP($W117,feed_mix_n,MATCH(AL$5,feed_mix_w!$B$5:$AC$5,0),FALSE)/$Z117*VLOOKUP(AL$5,feed_intensity_w,11,FALSE)</f>
        <v>0</v>
      </c>
      <c r="AM117" s="2">
        <f>VLOOKUP($W117,feed_mix_n,MATCH(AM$5,feed_mix_w!$B$5:$AC$5,0),FALSE)/$Z117*VLOOKUP(AM$5,feed_intensity_w,11,FALSE)</f>
        <v>0</v>
      </c>
      <c r="AN117" s="2">
        <f>VLOOKUP($W117,feed_mix_n,MATCH(AN$5,feed_mix_w!$B$5:$AC$5,0),FALSE)/$Z117*VLOOKUP(AN$5,feed_intensity_w,11,FALSE)</f>
        <v>0</v>
      </c>
      <c r="AO117" s="2">
        <f>VLOOKUP($W117,feed_mix_n,MATCH(AO$5,feed_mix_w!$B$5:$AC$5,0),FALSE)/$Z117*VLOOKUP(AO$5,feed_intensity_w,11,FALSE)</f>
        <v>0</v>
      </c>
      <c r="AP117" s="2">
        <f>VLOOKUP($W117,feed_mix_n,MATCH(AP$5,feed_mix_w!$B$5:$AC$5,0),FALSE)/$Z117*VLOOKUP(AP$5,feed_intensity_w,11,FALSE)</f>
        <v>0</v>
      </c>
      <c r="AQ117" s="2">
        <f>VLOOKUP($W117,feed_mix_n,MATCH(AQ$5,feed_mix_w!$B$5:$AC$5,0),FALSE)/$Z117*VLOOKUP(AQ$5,feed_intensity_w,11,FALSE)</f>
        <v>0</v>
      </c>
      <c r="AR117" s="2">
        <f>VLOOKUP($W117,feed_mix_n,MATCH(AR$5,feed_mix_w!$B$5:$AC$5,0),FALSE)/$Z117*VLOOKUP(AR$5,feed_intensity_w,11,FALSE)</f>
        <v>2.2875900393401229</v>
      </c>
      <c r="AS117" s="389">
        <f>VLOOKUP($W117,feed_mix_n,MATCH(AS$5,feed_mix_w!$B$5:$AC$5,0),FALSE)/$Z117*VLOOKUP(AS$5,feed_intensity_w,11,FALSE)</f>
        <v>0</v>
      </c>
    </row>
    <row r="118" spans="1:45" ht="12.75" customHeight="1">
      <c r="A118" s="14" t="s">
        <v>4652</v>
      </c>
      <c r="B118" s="482">
        <v>1079</v>
      </c>
      <c r="C118" s="24" t="s">
        <v>4192</v>
      </c>
      <c r="D118" s="513">
        <v>3881000</v>
      </c>
      <c r="E118" s="513">
        <v>8900000</v>
      </c>
      <c r="F118" s="25">
        <f t="shared" si="33"/>
        <v>11736.247723052451</v>
      </c>
      <c r="G118" s="25">
        <f t="shared" si="34"/>
        <v>4942.7123882404476</v>
      </c>
      <c r="H118" s="2">
        <f t="shared" si="35"/>
        <v>0.83704198948479214</v>
      </c>
      <c r="I118" s="25">
        <f t="shared" si="36"/>
        <v>9823.7321431901855</v>
      </c>
      <c r="J118" s="87">
        <f>IFERROR(G118*VLOOKUP(W118,livestock_intensity!$B$7:$I$29,8,FALSE)/Z118,0)</f>
        <v>7509.7676247961772</v>
      </c>
      <c r="K118" s="2">
        <f>VLOOKUP($W118,feed_mix_n,MATCH(K$5,feed_mix_w!$B$5:$AC$5,0),FALSE)/$Z118*VLOOKUP(K$5,feed_intensity_w,11,FALSE)</f>
        <v>6.6669965291241265E-2</v>
      </c>
      <c r="L118" s="25">
        <f t="shared" si="37"/>
        <v>782.45522834531619</v>
      </c>
      <c r="M118" s="25">
        <f>IFERROR(G118*VLOOKUP(W118,livestock_intensity!$B$7:$M$29,12,FALSE)/Z118,0)</f>
        <v>622.564541466278</v>
      </c>
      <c r="N118" s="2">
        <f>VLOOKUP($W118,feed_mix_n,MATCH(N$5,feed_mix_w!$B$5:$AC$5,0),FALSE)/$Z118*VLOOKUP(N$5,feed_intensity_w,11,FALSE)</f>
        <v>0</v>
      </c>
      <c r="O118" s="25">
        <f t="shared" si="38"/>
        <v>0</v>
      </c>
      <c r="P118" s="343">
        <f>IFERROR(G118*VLOOKUP(W118,livestock_intensity!$B$7:$Q$29,16,FALSE)/Z118,0)</f>
        <v>0</v>
      </c>
      <c r="Q118" s="758"/>
      <c r="R118" s="331">
        <f t="shared" si="39"/>
        <v>10606.187371535501</v>
      </c>
      <c r="S118" s="331">
        <f t="shared" si="40"/>
        <v>8132.3321662624548</v>
      </c>
      <c r="T118" s="739" t="s">
        <v>2738</v>
      </c>
      <c r="U118" s="558" t="s">
        <v>413</v>
      </c>
      <c r="V118" s="559" t="str">
        <f>IFERROR(VLOOKUP(W118,constant_ag_extr!$D$7:$E$594,2,FALSE),"")</f>
        <v>Turkeys</v>
      </c>
      <c r="W118" s="560">
        <f t="shared" si="41"/>
        <v>1079</v>
      </c>
      <c r="X118" s="2">
        <f>IFERROR(IF(VLOOKUP(B118,cnst_grazing!$C$10:$H$25,5,FALSE)="", IF(VLOOKUP(B118, cnst_grazing!$C$10:$H$25,3,FALSE)="", VLOOKUP(B118, cnst_grazing!$C$10:$H$25,4,FALSE),VLOOKUP(B118, cnst_grazing!$C$10:$H$25,3,FALSE)), VLOOKUP(B118,cnst_grazing!$C$10:$H$25,5,FALSE)),1)</f>
        <v>3.0240267258573694E-3</v>
      </c>
      <c r="Y118" s="2">
        <f>IFERROR(IF(VLOOKUP(B118,cnst_grazing!$C$10:$H$25,6,FALSE)="", IF(VLOOKUP(B118, cnst_grazing!$C$10:$H$25,4,FALSE)="", VLOOKUP(B118, cnst_grazing!$C$10:$H$25,3,FALSE),VLOOKUP(B118, cnst_grazing!$C$10:$H$25,4,FALSE)), VLOOKUP(B118,cnst_grazing!$C$10:$H$25,6,FALSE)),1)</f>
        <v>5.5536094249892675E-4</v>
      </c>
      <c r="Z118" s="400">
        <f t="shared" si="42"/>
        <v>1</v>
      </c>
      <c r="AA118" s="2">
        <f t="shared" si="43"/>
        <v>0.83704198948479214</v>
      </c>
      <c r="AB118" s="2">
        <f>VLOOKUP($W118,feed_mix_n,MATCH(AB$5,feed_mix_w!$B$5:$AC$5,0),FALSE)/$Z118*VLOOKUP(AB$5,feed_intensity_w,11,FALSE)</f>
        <v>0.28094969400398917</v>
      </c>
      <c r="AC118" s="2">
        <f>VLOOKUP($W118,feed_mix_n,MATCH(AC$5,feed_mix_w!$B$5:$AC$5,0),FALSE)/$Z118*VLOOKUP(AC$5,feed_intensity_w,11,FALSE)</f>
        <v>0</v>
      </c>
      <c r="AD118" s="2">
        <f>VLOOKUP($W118,feed_mix_n,MATCH(AD$5,feed_mix_w!$B$5:$AC$5,0),FALSE)/$Z118*VLOOKUP(AD$5,feed_intensity_w,11,FALSE)</f>
        <v>0.22668812535606886</v>
      </c>
      <c r="AE118" s="2">
        <f>VLOOKUP($W118,feed_mix_n,MATCH(AE$5,feed_mix_w!$B$5:$AC$5,0),FALSE)/$Z118*VLOOKUP(AE$5,feed_intensity_w,11,FALSE)</f>
        <v>0</v>
      </c>
      <c r="AF118" s="2">
        <f>VLOOKUP($W118,feed_mix_n,MATCH(AF$5,feed_mix_w!$B$5:$AC$5,0),FALSE)/$Z118*VLOOKUP(AF$5,feed_intensity_w,11,FALSE)</f>
        <v>0</v>
      </c>
      <c r="AG118" s="2">
        <f>VLOOKUP($W118,feed_mix_n,MATCH(AG$5,feed_mix_w!$B$5:$AC$5,0),FALSE)/$Z118*VLOOKUP(AG$5,feed_intensity_w,11,FALSE)</f>
        <v>0</v>
      </c>
      <c r="AH118" s="2">
        <f>VLOOKUP($W118,feed_mix_n,MATCH(AH$5,feed_mix_w!$B$5:$AC$5,0),FALSE)/$Z118*VLOOKUP(AH$5,feed_intensity_w,11,FALSE)</f>
        <v>0.24558267807600048</v>
      </c>
      <c r="AI118" s="2">
        <f>VLOOKUP($W118,feed_mix_n,MATCH(AI$5,feed_mix_w!$B$5:$AC$5,0),FALSE)/$Z118*VLOOKUP(AI$5,feed_intensity_w,11,FALSE)</f>
        <v>0</v>
      </c>
      <c r="AJ118" s="2">
        <f>VLOOKUP($W118,feed_mix_n,MATCH(AJ$5,feed_mix_w!$B$5:$AC$5,0),FALSE)/$Z118*VLOOKUP(AJ$5,feed_intensity_w,11,FALSE)</f>
        <v>0</v>
      </c>
      <c r="AK118" s="2">
        <f>VLOOKUP($W118,feed_mix_n,MATCH(AK$5,feed_mix_w!$B$5:$AC$5,0),FALSE)/$Z118*VLOOKUP(AK$5,feed_intensity_w,11,FALSE)</f>
        <v>0</v>
      </c>
      <c r="AL118" s="2">
        <f>VLOOKUP($W118,feed_mix_n,MATCH(AL$5,feed_mix_w!$B$5:$AC$5,0),FALSE)/$Z118*VLOOKUP(AL$5,feed_intensity_w,11,FALSE)</f>
        <v>0</v>
      </c>
      <c r="AM118" s="2">
        <f>VLOOKUP($W118,feed_mix_n,MATCH(AM$5,feed_mix_w!$B$5:$AC$5,0),FALSE)/$Z118*VLOOKUP(AM$5,feed_intensity_w,11,FALSE)</f>
        <v>0</v>
      </c>
      <c r="AN118" s="2">
        <f>VLOOKUP($W118,feed_mix_n,MATCH(AN$5,feed_mix_w!$B$5:$AC$5,0),FALSE)/$Z118*VLOOKUP(AN$5,feed_intensity_w,11,FALSE)</f>
        <v>0</v>
      </c>
      <c r="AO118" s="2">
        <f>VLOOKUP($W118,feed_mix_n,MATCH(AO$5,feed_mix_w!$B$5:$AC$5,0),FALSE)/$Z118*VLOOKUP(AO$5,feed_intensity_w,11,FALSE)</f>
        <v>0</v>
      </c>
      <c r="AP118" s="2">
        <f>VLOOKUP($W118,feed_mix_n,MATCH(AP$5,feed_mix_w!$B$5:$AC$5,0),FALSE)/$Z118*VLOOKUP(AP$5,feed_intensity_w,11,FALSE)</f>
        <v>0</v>
      </c>
      <c r="AQ118" s="2">
        <f>VLOOKUP($W118,feed_mix_n,MATCH(AQ$5,feed_mix_w!$B$5:$AC$5,0),FALSE)/$Z118*VLOOKUP(AQ$5,feed_intensity_w,11,FALSE)</f>
        <v>0</v>
      </c>
      <c r="AR118" s="2">
        <f>VLOOKUP($W118,feed_mix_n,MATCH(AR$5,feed_mix_w!$B$5:$AC$5,0),FALSE)/$Z118*VLOOKUP(AR$5,feed_intensity_w,11,FALSE)</f>
        <v>8.3821492048733542E-2</v>
      </c>
      <c r="AS118" s="389">
        <f>VLOOKUP($W118,feed_mix_n,MATCH(AS$5,feed_mix_w!$B$5:$AC$5,0),FALSE)/$Z118*VLOOKUP(AS$5,feed_intensity_w,11,FALSE)</f>
        <v>0</v>
      </c>
    </row>
    <row r="119" spans="1:45" ht="12.75" customHeight="1">
      <c r="A119" s="14" t="s">
        <v>7182</v>
      </c>
      <c r="B119" s="482">
        <v>1080</v>
      </c>
      <c r="C119" s="24" t="s">
        <v>1531</v>
      </c>
      <c r="D119" s="513">
        <v>2646</v>
      </c>
      <c r="E119" s="513">
        <v>19151</v>
      </c>
      <c r="F119" s="25">
        <f t="shared" si="33"/>
        <v>2646</v>
      </c>
      <c r="G119" s="25">
        <f t="shared" si="34"/>
        <v>19151</v>
      </c>
      <c r="H119" s="2">
        <f t="shared" si="35"/>
        <v>1.0731307557497334</v>
      </c>
      <c r="I119" s="25">
        <f t="shared" si="36"/>
        <v>2839.5039797137947</v>
      </c>
      <c r="J119" s="87">
        <f>IFERROR(G119*VLOOKUP(W119,livestock_intensity!$B$7:$I$29,8,FALSE)/Z119,0)</f>
        <v>37304.224183031503</v>
      </c>
      <c r="K119" s="2">
        <f>VLOOKUP($W119,feed_mix_n,MATCH(K$5,feed_mix_w!$B$5:$AC$5,0),FALSE)/$Z119*VLOOKUP(K$5,feed_intensity_w,11,FALSE)</f>
        <v>8.5474314475950344E-2</v>
      </c>
      <c r="L119" s="25">
        <f t="shared" si="37"/>
        <v>226.1650361033646</v>
      </c>
      <c r="M119" s="25">
        <f>IFERROR(G119*VLOOKUP(W119,livestock_intensity!$B$7:$M$29,12,FALSE)/Z119,0)</f>
        <v>3092.5440551024476</v>
      </c>
      <c r="N119" s="2">
        <f>VLOOKUP($W119,feed_mix_n,MATCH(N$5,feed_mix_w!$B$5:$AC$5,0),FALSE)/$Z119*VLOOKUP(N$5,feed_intensity_w,11,FALSE)</f>
        <v>0</v>
      </c>
      <c r="O119" s="25">
        <f t="shared" si="38"/>
        <v>0</v>
      </c>
      <c r="P119" s="343">
        <f>IFERROR(G119*VLOOKUP(W119,livestock_intensity!$B$7:$Q$29,16,FALSE)/Z119,0)</f>
        <v>0</v>
      </c>
      <c r="Q119" s="758"/>
      <c r="R119" s="331">
        <f t="shared" si="39"/>
        <v>3065.6690158171591</v>
      </c>
      <c r="S119" s="331">
        <f t="shared" si="40"/>
        <v>40396.768238133955</v>
      </c>
      <c r="T119" s="739">
        <v>2734</v>
      </c>
      <c r="U119" s="558" t="s">
        <v>2796</v>
      </c>
      <c r="V119" s="559" t="str">
        <f>IFERROR(VLOOKUP(W119,constant_ag_extr!$D$7:$E$594,2,FALSE),"")</f>
        <v>Turkeys</v>
      </c>
      <c r="W119" s="560">
        <f t="shared" si="41"/>
        <v>1079</v>
      </c>
      <c r="X119" s="2">
        <f>IFERROR(IF(VLOOKUP(B119,cnst_grazing!$C$10:$H$25,5,FALSE)="", IF(VLOOKUP(B119, cnst_grazing!$C$10:$H$25,3,FALSE)="", VLOOKUP(B119, cnst_grazing!$C$10:$H$25,4,FALSE),VLOOKUP(B119, cnst_grazing!$C$10:$H$25,3,FALSE)), VLOOKUP(B119,cnst_grazing!$C$10:$H$25,5,FALSE)),1)</f>
        <v>1</v>
      </c>
      <c r="Y119" s="2">
        <f>IFERROR(IF(VLOOKUP(B119,cnst_grazing!$C$10:$H$25,6,FALSE)="", IF(VLOOKUP(B119, cnst_grazing!$C$10:$H$25,4,FALSE)="", VLOOKUP(B119, cnst_grazing!$C$10:$H$25,3,FALSE),VLOOKUP(B119, cnst_grazing!$C$10:$H$25,4,FALSE)), VLOOKUP(B119,cnst_grazing!$C$10:$H$25,6,FALSE)),1)</f>
        <v>1</v>
      </c>
      <c r="Z119" s="400">
        <f t="shared" si="42"/>
        <v>0.78</v>
      </c>
      <c r="AA119" s="2">
        <f t="shared" si="43"/>
        <v>1.0731307557497334</v>
      </c>
      <c r="AB119" s="2">
        <f>VLOOKUP($W119,feed_mix_n,MATCH(AB$5,feed_mix_w!$B$5:$AC$5,0),FALSE)/$Z119*VLOOKUP(AB$5,feed_intensity_w,11,FALSE)</f>
        <v>0.36019191538972967</v>
      </c>
      <c r="AC119" s="2">
        <f>VLOOKUP($W119,feed_mix_n,MATCH(AC$5,feed_mix_w!$B$5:$AC$5,0),FALSE)/$Z119*VLOOKUP(AC$5,feed_intensity_w,11,FALSE)</f>
        <v>0</v>
      </c>
      <c r="AD119" s="2">
        <f>VLOOKUP($W119,feed_mix_n,MATCH(AD$5,feed_mix_w!$B$5:$AC$5,0),FALSE)/$Z119*VLOOKUP(AD$5,feed_intensity_w,11,FALSE)</f>
        <v>0.29062580173854979</v>
      </c>
      <c r="AE119" s="2">
        <f>VLOOKUP($W119,feed_mix_n,MATCH(AE$5,feed_mix_w!$B$5:$AC$5,0),FALSE)/$Z119*VLOOKUP(AE$5,feed_intensity_w,11,FALSE)</f>
        <v>0</v>
      </c>
      <c r="AF119" s="2">
        <f>VLOOKUP($W119,feed_mix_n,MATCH(AF$5,feed_mix_w!$B$5:$AC$5,0),FALSE)/$Z119*VLOOKUP(AF$5,feed_intensity_w,11,FALSE)</f>
        <v>0</v>
      </c>
      <c r="AG119" s="2">
        <f>VLOOKUP($W119,feed_mix_n,MATCH(AG$5,feed_mix_w!$B$5:$AC$5,0),FALSE)/$Z119*VLOOKUP(AG$5,feed_intensity_w,11,FALSE)</f>
        <v>0</v>
      </c>
      <c r="AH119" s="2">
        <f>VLOOKUP($W119,feed_mix_n,MATCH(AH$5,feed_mix_w!$B$5:$AC$5,0),FALSE)/$Z119*VLOOKUP(AH$5,feed_intensity_w,11,FALSE)</f>
        <v>0.31484958727692369</v>
      </c>
      <c r="AI119" s="2">
        <f>VLOOKUP($W119,feed_mix_n,MATCH(AI$5,feed_mix_w!$B$5:$AC$5,0),FALSE)/$Z119*VLOOKUP(AI$5,feed_intensity_w,11,FALSE)</f>
        <v>0</v>
      </c>
      <c r="AJ119" s="2">
        <f>VLOOKUP($W119,feed_mix_n,MATCH(AJ$5,feed_mix_w!$B$5:$AC$5,0),FALSE)/$Z119*VLOOKUP(AJ$5,feed_intensity_w,11,FALSE)</f>
        <v>0</v>
      </c>
      <c r="AK119" s="2">
        <f>VLOOKUP($W119,feed_mix_n,MATCH(AK$5,feed_mix_w!$B$5:$AC$5,0),FALSE)/$Z119*VLOOKUP(AK$5,feed_intensity_w,11,FALSE)</f>
        <v>0</v>
      </c>
      <c r="AL119" s="2">
        <f>VLOOKUP($W119,feed_mix_n,MATCH(AL$5,feed_mix_w!$B$5:$AC$5,0),FALSE)/$Z119*VLOOKUP(AL$5,feed_intensity_w,11,FALSE)</f>
        <v>0</v>
      </c>
      <c r="AM119" s="2">
        <f>VLOOKUP($W119,feed_mix_n,MATCH(AM$5,feed_mix_w!$B$5:$AC$5,0),FALSE)/$Z119*VLOOKUP(AM$5,feed_intensity_w,11,FALSE)</f>
        <v>0</v>
      </c>
      <c r="AN119" s="2">
        <f>VLOOKUP($W119,feed_mix_n,MATCH(AN$5,feed_mix_w!$B$5:$AC$5,0),FALSE)/$Z119*VLOOKUP(AN$5,feed_intensity_w,11,FALSE)</f>
        <v>0</v>
      </c>
      <c r="AO119" s="2">
        <f>VLOOKUP($W119,feed_mix_n,MATCH(AO$5,feed_mix_w!$B$5:$AC$5,0),FALSE)/$Z119*VLOOKUP(AO$5,feed_intensity_w,11,FALSE)</f>
        <v>0</v>
      </c>
      <c r="AP119" s="2">
        <f>VLOOKUP($W119,feed_mix_n,MATCH(AP$5,feed_mix_w!$B$5:$AC$5,0),FALSE)/$Z119*VLOOKUP(AP$5,feed_intensity_w,11,FALSE)</f>
        <v>0</v>
      </c>
      <c r="AQ119" s="2">
        <f>VLOOKUP($W119,feed_mix_n,MATCH(AQ$5,feed_mix_w!$B$5:$AC$5,0),FALSE)/$Z119*VLOOKUP(AQ$5,feed_intensity_w,11,FALSE)</f>
        <v>0</v>
      </c>
      <c r="AR119" s="2">
        <f>VLOOKUP($W119,feed_mix_n,MATCH(AR$5,feed_mix_w!$B$5:$AC$5,0),FALSE)/$Z119*VLOOKUP(AR$5,feed_intensity_w,11,FALSE)</f>
        <v>0.10746345134453018</v>
      </c>
      <c r="AS119" s="389">
        <f>VLOOKUP($W119,feed_mix_n,MATCH(AS$5,feed_mix_w!$B$5:$AC$5,0),FALSE)/$Z119*VLOOKUP(AS$5,feed_intensity_w,11,FALSE)</f>
        <v>0</v>
      </c>
    </row>
    <row r="120" spans="1:45" ht="12.75" customHeight="1">
      <c r="A120" s="14" t="s">
        <v>7183</v>
      </c>
      <c r="B120" s="482">
        <v>1083</v>
      </c>
      <c r="C120" s="24" t="s">
        <v>679</v>
      </c>
      <c r="D120" s="513"/>
      <c r="E120" s="513"/>
      <c r="F120" s="25">
        <f t="shared" si="33"/>
        <v>0</v>
      </c>
      <c r="G120" s="25">
        <f t="shared" si="34"/>
        <v>0</v>
      </c>
      <c r="H120" s="2" t="e">
        <f t="shared" si="35"/>
        <v>#N/A</v>
      </c>
      <c r="I120" s="25">
        <f t="shared" si="36"/>
        <v>0</v>
      </c>
      <c r="J120" s="87">
        <f>IFERROR(G120*VLOOKUP(W120,livestock_intensity!$B$7:$I$29,8,FALSE)/Z120,0)</f>
        <v>0</v>
      </c>
      <c r="K120" s="2" t="e">
        <f>VLOOKUP($W120,feed_mix_n,MATCH(K$5,feed_mix_w!$B$5:$AC$5,0),FALSE)/$Z120*VLOOKUP(K$5,feed_intensity_w,11,FALSE)</f>
        <v>#N/A</v>
      </c>
      <c r="L120" s="25">
        <f t="shared" si="37"/>
        <v>0</v>
      </c>
      <c r="M120" s="25">
        <f>IFERROR(G120*VLOOKUP(W120,livestock_intensity!$B$7:$M$29,12,FALSE)/Z120,0)</f>
        <v>0</v>
      </c>
      <c r="N120" s="2" t="e">
        <f>VLOOKUP($W120,feed_mix_n,MATCH(N$5,feed_mix_w!$B$5:$AC$5,0),FALSE)/$Z120*VLOOKUP(N$5,feed_intensity_w,11,FALSE)</f>
        <v>#N/A</v>
      </c>
      <c r="O120" s="25">
        <f t="shared" si="38"/>
        <v>0</v>
      </c>
      <c r="P120" s="343">
        <f>IFERROR(G120*VLOOKUP(W120,livestock_intensity!$B$7:$Q$29,16,FALSE)/Z120,0)</f>
        <v>0</v>
      </c>
      <c r="Q120" s="758"/>
      <c r="R120" s="331">
        <f t="shared" si="39"/>
        <v>0</v>
      </c>
      <c r="S120" s="331">
        <f t="shared" si="40"/>
        <v>0</v>
      </c>
      <c r="T120" s="739" t="s">
        <v>2738</v>
      </c>
      <c r="U120" s="558" t="s">
        <v>413</v>
      </c>
      <c r="V120" s="559" t="str">
        <f>IFERROR(VLOOKUP(W120,constant_ag_extr!$D$7:$E$594,2,FALSE),"")</f>
        <v>Pigeons, Other birds</v>
      </c>
      <c r="W120" s="560">
        <f t="shared" si="41"/>
        <v>1083</v>
      </c>
      <c r="X120" s="2">
        <f>IFERROR(IF(VLOOKUP(B120,cnst_grazing!$C$10:$H$25,5,FALSE)="", IF(VLOOKUP(B120, cnst_grazing!$C$10:$H$25,3,FALSE)="", VLOOKUP(B120, cnst_grazing!$C$10:$H$25,4,FALSE),VLOOKUP(B120, cnst_grazing!$C$10:$H$25,3,FALSE)), VLOOKUP(B120,cnst_grazing!$C$10:$H$25,5,FALSE)),1)</f>
        <v>1</v>
      </c>
      <c r="Y120" s="2">
        <f>IFERROR(IF(VLOOKUP(B120,cnst_grazing!$C$10:$H$25,6,FALSE)="", IF(VLOOKUP(B120, cnst_grazing!$C$10:$H$25,4,FALSE)="", VLOOKUP(B120, cnst_grazing!$C$10:$H$25,3,FALSE),VLOOKUP(B120, cnst_grazing!$C$10:$H$25,4,FALSE)), VLOOKUP(B120,cnst_grazing!$C$10:$H$25,6,FALSE)),1)</f>
        <v>1</v>
      </c>
      <c r="Z120" s="400">
        <f t="shared" si="42"/>
        <v>1</v>
      </c>
      <c r="AA120" s="2" t="e">
        <f t="shared" si="43"/>
        <v>#N/A</v>
      </c>
      <c r="AB120" s="2" t="e">
        <f>VLOOKUP($W120,feed_mix_n,MATCH(AB$5,feed_mix_w!$B$5:$AC$5,0),FALSE)/$Z120*VLOOKUP(AB$5,feed_intensity_w,11,FALSE)</f>
        <v>#N/A</v>
      </c>
      <c r="AC120" s="2" t="e">
        <f>VLOOKUP($W120,feed_mix_n,MATCH(AC$5,feed_mix_w!$B$5:$AC$5,0),FALSE)/$Z120*VLOOKUP(AC$5,feed_intensity_w,11,FALSE)</f>
        <v>#N/A</v>
      </c>
      <c r="AD120" s="2" t="e">
        <f>VLOOKUP($W120,feed_mix_n,MATCH(AD$5,feed_mix_w!$B$5:$AC$5,0),FALSE)/$Z120*VLOOKUP(AD$5,feed_intensity_w,11,FALSE)</f>
        <v>#N/A</v>
      </c>
      <c r="AE120" s="2" t="e">
        <f>VLOOKUP($W120,feed_mix_n,MATCH(AE$5,feed_mix_w!$B$5:$AC$5,0),FALSE)/$Z120*VLOOKUP(AE$5,feed_intensity_w,11,FALSE)</f>
        <v>#N/A</v>
      </c>
      <c r="AF120" s="2" t="e">
        <f>VLOOKUP($W120,feed_mix_n,MATCH(AF$5,feed_mix_w!$B$5:$AC$5,0),FALSE)/$Z120*VLOOKUP(AF$5,feed_intensity_w,11,FALSE)</f>
        <v>#N/A</v>
      </c>
      <c r="AG120" s="2" t="e">
        <f>VLOOKUP($W120,feed_mix_n,MATCH(AG$5,feed_mix_w!$B$5:$AC$5,0),FALSE)/$Z120*VLOOKUP(AG$5,feed_intensity_w,11,FALSE)</f>
        <v>#N/A</v>
      </c>
      <c r="AH120" s="2" t="e">
        <f>VLOOKUP($W120,feed_mix_n,MATCH(AH$5,feed_mix_w!$B$5:$AC$5,0),FALSE)/$Z120*VLOOKUP(AH$5,feed_intensity_w,11,FALSE)</f>
        <v>#N/A</v>
      </c>
      <c r="AI120" s="2" t="e">
        <f>VLOOKUP($W120,feed_mix_n,MATCH(AI$5,feed_mix_w!$B$5:$AC$5,0),FALSE)/$Z120*VLOOKUP(AI$5,feed_intensity_w,11,FALSE)</f>
        <v>#N/A</v>
      </c>
      <c r="AJ120" s="2" t="e">
        <f>VLOOKUP($W120,feed_mix_n,MATCH(AJ$5,feed_mix_w!$B$5:$AC$5,0),FALSE)/$Z120*VLOOKUP(AJ$5,feed_intensity_w,11,FALSE)</f>
        <v>#N/A</v>
      </c>
      <c r="AK120" s="2" t="e">
        <f>VLOOKUP($W120,feed_mix_n,MATCH(AK$5,feed_mix_w!$B$5:$AC$5,0),FALSE)/$Z120*VLOOKUP(AK$5,feed_intensity_w,11,FALSE)</f>
        <v>#N/A</v>
      </c>
      <c r="AL120" s="2" t="e">
        <f>VLOOKUP($W120,feed_mix_n,MATCH(AL$5,feed_mix_w!$B$5:$AC$5,0),FALSE)/$Z120*VLOOKUP(AL$5,feed_intensity_w,11,FALSE)</f>
        <v>#N/A</v>
      </c>
      <c r="AM120" s="2" t="e">
        <f>VLOOKUP($W120,feed_mix_n,MATCH(AM$5,feed_mix_w!$B$5:$AC$5,0),FALSE)/$Z120*VLOOKUP(AM$5,feed_intensity_w,11,FALSE)</f>
        <v>#N/A</v>
      </c>
      <c r="AN120" s="2" t="e">
        <f>VLOOKUP($W120,feed_mix_n,MATCH(AN$5,feed_mix_w!$B$5:$AC$5,0),FALSE)/$Z120*VLOOKUP(AN$5,feed_intensity_w,11,FALSE)</f>
        <v>#N/A</v>
      </c>
      <c r="AO120" s="2" t="e">
        <f>VLOOKUP($W120,feed_mix_n,MATCH(AO$5,feed_mix_w!$B$5:$AC$5,0),FALSE)/$Z120*VLOOKUP(AO$5,feed_intensity_w,11,FALSE)</f>
        <v>#N/A</v>
      </c>
      <c r="AP120" s="2" t="e">
        <f>VLOOKUP($W120,feed_mix_n,MATCH(AP$5,feed_mix_w!$B$5:$AC$5,0),FALSE)/$Z120*VLOOKUP(AP$5,feed_intensity_w,11,FALSE)</f>
        <v>#N/A</v>
      </c>
      <c r="AQ120" s="2" t="e">
        <f>VLOOKUP($W120,feed_mix_n,MATCH(AQ$5,feed_mix_w!$B$5:$AC$5,0),FALSE)/$Z120*VLOOKUP(AQ$5,feed_intensity_w,11,FALSE)</f>
        <v>#N/A</v>
      </c>
      <c r="AR120" s="2" t="e">
        <f>VLOOKUP($W120,feed_mix_n,MATCH(AR$5,feed_mix_w!$B$5:$AC$5,0),FALSE)/$Z120*VLOOKUP(AR$5,feed_intensity_w,11,FALSE)</f>
        <v>#N/A</v>
      </c>
      <c r="AS120" s="389" t="e">
        <f>VLOOKUP($W120,feed_mix_n,MATCH(AS$5,feed_mix_w!$B$5:$AC$5,0),FALSE)/$Z120*VLOOKUP(AS$5,feed_intensity_w,11,FALSE)</f>
        <v>#N/A</v>
      </c>
    </row>
    <row r="121" spans="1:45" ht="12.75" customHeight="1">
      <c r="A121" s="14" t="s">
        <v>3255</v>
      </c>
      <c r="B121" s="482">
        <v>1089</v>
      </c>
      <c r="C121" s="24" t="s">
        <v>4470</v>
      </c>
      <c r="D121" s="513"/>
      <c r="E121" s="513"/>
      <c r="F121" s="25">
        <f t="shared" si="33"/>
        <v>0</v>
      </c>
      <c r="G121" s="25">
        <f t="shared" si="34"/>
        <v>0</v>
      </c>
      <c r="H121" s="2" t="e">
        <f t="shared" si="35"/>
        <v>#N/A</v>
      </c>
      <c r="I121" s="25">
        <f t="shared" si="36"/>
        <v>0</v>
      </c>
      <c r="J121" s="87">
        <f>IFERROR(G121*VLOOKUP(W121,livestock_intensity!$B$7:$I$29,8,FALSE)/Z121,0)</f>
        <v>0</v>
      </c>
      <c r="K121" s="2" t="e">
        <f>VLOOKUP($W121,feed_mix_n,MATCH(K$5,feed_mix_w!$B$5:$AC$5,0),FALSE)/$Z121*VLOOKUP(K$5,feed_intensity_w,11,FALSE)</f>
        <v>#N/A</v>
      </c>
      <c r="L121" s="25">
        <f t="shared" si="37"/>
        <v>0</v>
      </c>
      <c r="M121" s="25">
        <f>IFERROR(G121*VLOOKUP(W121,livestock_intensity!$B$7:$M$29,12,FALSE)/Z121,0)</f>
        <v>0</v>
      </c>
      <c r="N121" s="2" t="e">
        <f>VLOOKUP($W121,feed_mix_n,MATCH(N$5,feed_mix_w!$B$5:$AC$5,0),FALSE)/$Z121*VLOOKUP(N$5,feed_intensity_w,11,FALSE)</f>
        <v>#N/A</v>
      </c>
      <c r="O121" s="25">
        <f t="shared" si="38"/>
        <v>0</v>
      </c>
      <c r="P121" s="343">
        <f>IFERROR(G121*VLOOKUP(W121,livestock_intensity!$B$7:$Q$29,16,FALSE)/Z121,0)</f>
        <v>0</v>
      </c>
      <c r="Q121" s="758"/>
      <c r="R121" s="331">
        <f t="shared" si="39"/>
        <v>0</v>
      </c>
      <c r="S121" s="331">
        <f t="shared" si="40"/>
        <v>0</v>
      </c>
      <c r="T121" s="739" t="s">
        <v>2738</v>
      </c>
      <c r="U121" s="558" t="s">
        <v>2796</v>
      </c>
      <c r="V121" s="559">
        <f>IFERROR(VLOOKUP(W121,constant_ag_extr!$D$7:$E$594,2,FALSE),"")</f>
        <v>0</v>
      </c>
      <c r="W121" s="560" t="str">
        <f t="shared" si="41"/>
        <v/>
      </c>
      <c r="X121" s="2">
        <f>IFERROR(IF(VLOOKUP(B121,cnst_grazing!$C$10:$H$25,5,FALSE)="", IF(VLOOKUP(B121, cnst_grazing!$C$10:$H$25,3,FALSE)="", VLOOKUP(B121, cnst_grazing!$C$10:$H$25,4,FALSE),VLOOKUP(B121, cnst_grazing!$C$10:$H$25,3,FALSE)), VLOOKUP(B121,cnst_grazing!$C$10:$H$25,5,FALSE)),1)</f>
        <v>1</v>
      </c>
      <c r="Y121" s="2">
        <f>IFERROR(IF(VLOOKUP(B121,cnst_grazing!$C$10:$H$25,6,FALSE)="", IF(VLOOKUP(B121, cnst_grazing!$C$10:$H$25,4,FALSE)="", VLOOKUP(B121, cnst_grazing!$C$10:$H$25,3,FALSE),VLOOKUP(B121, cnst_grazing!$C$10:$H$25,4,FALSE)), VLOOKUP(B121,cnst_grazing!$C$10:$H$25,6,FALSE)),1)</f>
        <v>1</v>
      </c>
      <c r="Z121" s="400">
        <f t="shared" si="42"/>
        <v>1</v>
      </c>
      <c r="AA121" s="2" t="e">
        <f t="shared" si="43"/>
        <v>#N/A</v>
      </c>
      <c r="AB121" s="2" t="e">
        <f>VLOOKUP($W121,feed_mix_n,MATCH(AB$5,feed_mix_w!$B$5:$AC$5,0),FALSE)/$Z121*VLOOKUP(AB$5,feed_intensity_w,11,FALSE)</f>
        <v>#N/A</v>
      </c>
      <c r="AC121" s="2" t="e">
        <f>VLOOKUP($W121,feed_mix_n,MATCH(AC$5,feed_mix_w!$B$5:$AC$5,0),FALSE)/$Z121*VLOOKUP(AC$5,feed_intensity_w,11,FALSE)</f>
        <v>#N/A</v>
      </c>
      <c r="AD121" s="2" t="e">
        <f>VLOOKUP($W121,feed_mix_n,MATCH(AD$5,feed_mix_w!$B$5:$AC$5,0),FALSE)/$Z121*VLOOKUP(AD$5,feed_intensity_w,11,FALSE)</f>
        <v>#N/A</v>
      </c>
      <c r="AE121" s="2" t="e">
        <f>VLOOKUP($W121,feed_mix_n,MATCH(AE$5,feed_mix_w!$B$5:$AC$5,0),FALSE)/$Z121*VLOOKUP(AE$5,feed_intensity_w,11,FALSE)</f>
        <v>#N/A</v>
      </c>
      <c r="AF121" s="2" t="e">
        <f>VLOOKUP($W121,feed_mix_n,MATCH(AF$5,feed_mix_w!$B$5:$AC$5,0),FALSE)/$Z121*VLOOKUP(AF$5,feed_intensity_w,11,FALSE)</f>
        <v>#N/A</v>
      </c>
      <c r="AG121" s="2" t="e">
        <f>VLOOKUP($W121,feed_mix_n,MATCH(AG$5,feed_mix_w!$B$5:$AC$5,0),FALSE)/$Z121*VLOOKUP(AG$5,feed_intensity_w,11,FALSE)</f>
        <v>#N/A</v>
      </c>
      <c r="AH121" s="2" t="e">
        <f>VLOOKUP($W121,feed_mix_n,MATCH(AH$5,feed_mix_w!$B$5:$AC$5,0),FALSE)/$Z121*VLOOKUP(AH$5,feed_intensity_w,11,FALSE)</f>
        <v>#N/A</v>
      </c>
      <c r="AI121" s="2" t="e">
        <f>VLOOKUP($W121,feed_mix_n,MATCH(AI$5,feed_mix_w!$B$5:$AC$5,0),FALSE)/$Z121*VLOOKUP(AI$5,feed_intensity_w,11,FALSE)</f>
        <v>#N/A</v>
      </c>
      <c r="AJ121" s="2" t="e">
        <f>VLOOKUP($W121,feed_mix_n,MATCH(AJ$5,feed_mix_w!$B$5:$AC$5,0),FALSE)/$Z121*VLOOKUP(AJ$5,feed_intensity_w,11,FALSE)</f>
        <v>#N/A</v>
      </c>
      <c r="AK121" s="2" t="e">
        <f>VLOOKUP($W121,feed_mix_n,MATCH(AK$5,feed_mix_w!$B$5:$AC$5,0),FALSE)/$Z121*VLOOKUP(AK$5,feed_intensity_w,11,FALSE)</f>
        <v>#N/A</v>
      </c>
      <c r="AL121" s="2" t="e">
        <f>VLOOKUP($W121,feed_mix_n,MATCH(AL$5,feed_mix_w!$B$5:$AC$5,0),FALSE)/$Z121*VLOOKUP(AL$5,feed_intensity_w,11,FALSE)</f>
        <v>#N/A</v>
      </c>
      <c r="AM121" s="2" t="e">
        <f>VLOOKUP($W121,feed_mix_n,MATCH(AM$5,feed_mix_w!$B$5:$AC$5,0),FALSE)/$Z121*VLOOKUP(AM$5,feed_intensity_w,11,FALSE)</f>
        <v>#N/A</v>
      </c>
      <c r="AN121" s="2" t="e">
        <f>VLOOKUP($W121,feed_mix_n,MATCH(AN$5,feed_mix_w!$B$5:$AC$5,0),FALSE)/$Z121*VLOOKUP(AN$5,feed_intensity_w,11,FALSE)</f>
        <v>#N/A</v>
      </c>
      <c r="AO121" s="2" t="e">
        <f>VLOOKUP($W121,feed_mix_n,MATCH(AO$5,feed_mix_w!$B$5:$AC$5,0),FALSE)/$Z121*VLOOKUP(AO$5,feed_intensity_w,11,FALSE)</f>
        <v>#N/A</v>
      </c>
      <c r="AP121" s="2" t="e">
        <f>VLOOKUP($W121,feed_mix_n,MATCH(AP$5,feed_mix_w!$B$5:$AC$5,0),FALSE)/$Z121*VLOOKUP(AP$5,feed_intensity_w,11,FALSE)</f>
        <v>#N/A</v>
      </c>
      <c r="AQ121" s="2" t="e">
        <f>VLOOKUP($W121,feed_mix_n,MATCH(AQ$5,feed_mix_w!$B$5:$AC$5,0),FALSE)/$Z121*VLOOKUP(AQ$5,feed_intensity_w,11,FALSE)</f>
        <v>#N/A</v>
      </c>
      <c r="AR121" s="2" t="e">
        <f>VLOOKUP($W121,feed_mix_n,MATCH(AR$5,feed_mix_w!$B$5:$AC$5,0),FALSE)/$Z121*VLOOKUP(AR$5,feed_intensity_w,11,FALSE)</f>
        <v>#N/A</v>
      </c>
      <c r="AS121" s="389" t="e">
        <f>VLOOKUP($W121,feed_mix_n,MATCH(AS$5,feed_mix_w!$B$5:$AC$5,0),FALSE)/$Z121*VLOOKUP(AS$5,feed_intensity_w,11,FALSE)</f>
        <v>#N/A</v>
      </c>
    </row>
    <row r="122" spans="1:45" ht="12.75" customHeight="1">
      <c r="A122" s="14" t="s">
        <v>7184</v>
      </c>
      <c r="B122" s="482">
        <v>1091</v>
      </c>
      <c r="C122" s="24" t="s">
        <v>3523</v>
      </c>
      <c r="D122" s="513">
        <v>164</v>
      </c>
      <c r="E122" s="513">
        <v>3310</v>
      </c>
      <c r="F122" s="25">
        <f t="shared" si="33"/>
        <v>164</v>
      </c>
      <c r="G122" s="25">
        <f t="shared" si="34"/>
        <v>3310</v>
      </c>
      <c r="H122" s="2">
        <f t="shared" si="35"/>
        <v>1.0663609472134818</v>
      </c>
      <c r="I122" s="25">
        <f t="shared" si="36"/>
        <v>174.88319534301101</v>
      </c>
      <c r="J122" s="87">
        <f>IFERROR(G122*VLOOKUP(W122,livestock_intensity!$B$7:$I$29,8,FALSE)/Z122,0)</f>
        <v>3529.6547352766247</v>
      </c>
      <c r="K122" s="2">
        <f>VLOOKUP($W122,feed_mix_n,MATCH(K$5,feed_mix_w!$B$5:$AC$5,0),FALSE)/$Z122*VLOOKUP(K$5,feed_intensity_w,11,FALSE)</f>
        <v>0</v>
      </c>
      <c r="L122" s="25">
        <f t="shared" si="37"/>
        <v>0</v>
      </c>
      <c r="M122" s="25">
        <f>IFERROR(G122*VLOOKUP(W122,livestock_intensity!$B$7:$M$29,12,FALSE)/Z122,0)</f>
        <v>0</v>
      </c>
      <c r="N122" s="2">
        <f>VLOOKUP($W122,feed_mix_n,MATCH(N$5,feed_mix_w!$B$5:$AC$5,0),FALSE)/$Z122*VLOOKUP(N$5,feed_intensity_w,11,FALSE)</f>
        <v>0</v>
      </c>
      <c r="O122" s="25">
        <f t="shared" si="38"/>
        <v>0</v>
      </c>
      <c r="P122" s="343">
        <f>IFERROR(G122*VLOOKUP(W122,livestock_intensity!$B$7:$Q$29,16,FALSE)/Z122,0)</f>
        <v>0</v>
      </c>
      <c r="Q122" s="758"/>
      <c r="R122" s="331">
        <f t="shared" si="39"/>
        <v>174.88319534301101</v>
      </c>
      <c r="S122" s="331">
        <f t="shared" si="40"/>
        <v>3529.6547352766247</v>
      </c>
      <c r="T122" s="739">
        <v>2744</v>
      </c>
      <c r="U122" s="558" t="s">
        <v>413</v>
      </c>
      <c r="V122" s="559" t="str">
        <f>IFERROR(VLOOKUP(W122,constant_ag_extr!$D$7:$E$594,2,FALSE),"")</f>
        <v>Other bird eggs,in shell</v>
      </c>
      <c r="W122" s="560">
        <f t="shared" si="41"/>
        <v>1091</v>
      </c>
      <c r="X122" s="2">
        <f>IFERROR(IF(VLOOKUP(B122,cnst_grazing!$C$10:$H$25,5,FALSE)="", IF(VLOOKUP(B122, cnst_grazing!$C$10:$H$25,3,FALSE)="", VLOOKUP(B122, cnst_grazing!$C$10:$H$25,4,FALSE),VLOOKUP(B122, cnst_grazing!$C$10:$H$25,3,FALSE)), VLOOKUP(B122,cnst_grazing!$C$10:$H$25,5,FALSE)),1)</f>
        <v>1</v>
      </c>
      <c r="Y122" s="2">
        <f>IFERROR(IF(VLOOKUP(B122,cnst_grazing!$C$10:$H$25,6,FALSE)="", IF(VLOOKUP(B122, cnst_grazing!$C$10:$H$25,4,FALSE)="", VLOOKUP(B122, cnst_grazing!$C$10:$H$25,3,FALSE),VLOOKUP(B122, cnst_grazing!$C$10:$H$25,4,FALSE)), VLOOKUP(B122,cnst_grazing!$C$10:$H$25,6,FALSE)),1)</f>
        <v>1</v>
      </c>
      <c r="Z122" s="400">
        <f t="shared" si="42"/>
        <v>1</v>
      </c>
      <c r="AA122" s="2">
        <f t="shared" si="43"/>
        <v>1.0663609472134818</v>
      </c>
      <c r="AB122" s="2">
        <f>VLOOKUP($W122,feed_mix_n,MATCH(AB$5,feed_mix_w!$B$5:$AC$5,0),FALSE)/$Z122*VLOOKUP(AB$5,feed_intensity_w,11,FALSE)</f>
        <v>0.23986121010188466</v>
      </c>
      <c r="AC122" s="2">
        <f>VLOOKUP($W122,feed_mix_n,MATCH(AC$5,feed_mix_w!$B$5:$AC$5,0),FALSE)/$Z122*VLOOKUP(AC$5,feed_intensity_w,11,FALSE)</f>
        <v>0.26324013798220092</v>
      </c>
      <c r="AD122" s="2">
        <f>VLOOKUP($W122,feed_mix_n,MATCH(AD$5,feed_mix_w!$B$5:$AC$5,0),FALSE)/$Z122*VLOOKUP(AD$5,feed_intensity_w,11,FALSE)</f>
        <v>0</v>
      </c>
      <c r="AE122" s="2">
        <f>VLOOKUP($W122,feed_mix_n,MATCH(AE$5,feed_mix_w!$B$5:$AC$5,0),FALSE)/$Z122*VLOOKUP(AE$5,feed_intensity_w,11,FALSE)</f>
        <v>0.26094697105275011</v>
      </c>
      <c r="AF122" s="2">
        <f>VLOOKUP($W122,feed_mix_n,MATCH(AF$5,feed_mix_w!$B$5:$AC$5,0),FALSE)/$Z122*VLOOKUP(AF$5,feed_intensity_w,11,FALSE)</f>
        <v>1.7221895812435419E-2</v>
      </c>
      <c r="AG122" s="2">
        <f>VLOOKUP($W122,feed_mix_n,MATCH(AG$5,feed_mix_w!$B$5:$AC$5,0),FALSE)/$Z122*VLOOKUP(AG$5,feed_intensity_w,11,FALSE)</f>
        <v>6.2009102604986596E-3</v>
      </c>
      <c r="AH122" s="2">
        <f>VLOOKUP($W122,feed_mix_n,MATCH(AH$5,feed_mix_w!$B$5:$AC$5,0),FALSE)/$Z122*VLOOKUP(AH$5,feed_intensity_w,11,FALSE)</f>
        <v>0.10977699669914966</v>
      </c>
      <c r="AI122" s="2">
        <f>VLOOKUP($W122,feed_mix_n,MATCH(AI$5,feed_mix_w!$B$5:$AC$5,0),FALSE)/$Z122*VLOOKUP(AI$5,feed_intensity_w,11,FALSE)</f>
        <v>0</v>
      </c>
      <c r="AJ122" s="2">
        <f>VLOOKUP($W122,feed_mix_n,MATCH(AJ$5,feed_mix_w!$B$5:$AC$5,0),FALSE)/$Z122*VLOOKUP(AJ$5,feed_intensity_w,11,FALSE)</f>
        <v>0</v>
      </c>
      <c r="AK122" s="2">
        <f>VLOOKUP($W122,feed_mix_n,MATCH(AK$5,feed_mix_w!$B$5:$AC$5,0),FALSE)/$Z122*VLOOKUP(AK$5,feed_intensity_w,11,FALSE)</f>
        <v>2.7148891339271165E-2</v>
      </c>
      <c r="AL122" s="2">
        <f>VLOOKUP($W122,feed_mix_n,MATCH(AL$5,feed_mix_w!$B$5:$AC$5,0),FALSE)/$Z122*VLOOKUP(AL$5,feed_intensity_w,11,FALSE)</f>
        <v>0</v>
      </c>
      <c r="AM122" s="2">
        <f>VLOOKUP($W122,feed_mix_n,MATCH(AM$5,feed_mix_w!$B$5:$AC$5,0),FALSE)/$Z122*VLOOKUP(AM$5,feed_intensity_w,11,FALSE)</f>
        <v>1.4190002871835838E-2</v>
      </c>
      <c r="AN122" s="2">
        <f>VLOOKUP($W122,feed_mix_n,MATCH(AN$5,feed_mix_w!$B$5:$AC$5,0),FALSE)/$Z122*VLOOKUP(AN$5,feed_intensity_w,11,FALSE)</f>
        <v>0</v>
      </c>
      <c r="AO122" s="2">
        <f>VLOOKUP($W122,feed_mix_n,MATCH(AO$5,feed_mix_w!$B$5:$AC$5,0),FALSE)/$Z122*VLOOKUP(AO$5,feed_intensity_w,11,FALSE)</f>
        <v>2.3931664526828149E-2</v>
      </c>
      <c r="AP122" s="2">
        <f>VLOOKUP($W122,feed_mix_n,MATCH(AP$5,feed_mix_w!$B$5:$AC$5,0),FALSE)/$Z122*VLOOKUP(AP$5,feed_intensity_w,11,FALSE)</f>
        <v>1.1237944532971399E-2</v>
      </c>
      <c r="AQ122" s="2">
        <f>VLOOKUP($W122,feed_mix_n,MATCH(AQ$5,feed_mix_w!$B$5:$AC$5,0),FALSE)/$Z122*VLOOKUP(AQ$5,feed_intensity_w,11,FALSE)</f>
        <v>0</v>
      </c>
      <c r="AR122" s="2">
        <f>VLOOKUP($W122,feed_mix_n,MATCH(AR$5,feed_mix_w!$B$5:$AC$5,0),FALSE)/$Z122*VLOOKUP(AR$5,feed_intensity_w,11,FALSE)</f>
        <v>9.2604322033656081E-2</v>
      </c>
      <c r="AS122" s="389">
        <f>VLOOKUP($W122,feed_mix_n,MATCH(AS$5,feed_mix_w!$B$5:$AC$5,0),FALSE)/$Z122*VLOOKUP(AS$5,feed_intensity_w,11,FALSE)</f>
        <v>0</v>
      </c>
    </row>
    <row r="123" spans="1:45" ht="12.75" customHeight="1">
      <c r="A123" s="14" t="s">
        <v>2659</v>
      </c>
      <c r="B123" s="482">
        <v>1096</v>
      </c>
      <c r="C123" s="24" t="s">
        <v>2660</v>
      </c>
      <c r="D123" s="513">
        <v>22272</v>
      </c>
      <c r="E123" s="513">
        <v>16923</v>
      </c>
      <c r="F123" s="25">
        <f t="shared" si="33"/>
        <v>3382.6799814098067</v>
      </c>
      <c r="G123" s="25">
        <f t="shared" si="34"/>
        <v>2213.9850834426852</v>
      </c>
      <c r="H123" s="2">
        <f t="shared" si="35"/>
        <v>13.564069656310394</v>
      </c>
      <c r="I123" s="25">
        <f t="shared" si="36"/>
        <v>45882.906892849365</v>
      </c>
      <c r="J123" s="87">
        <f>IFERROR(G123*VLOOKUP(W123,livestock_intensity!$B$7:$I$29,8,FALSE)/Z123,0)</f>
        <v>44084.042133721247</v>
      </c>
      <c r="K123" s="2">
        <f>VLOOKUP($W123,feed_mix_n,MATCH(K$5,feed_mix_w!$B$5:$AC$5,0),FALSE)/$Z123*VLOOKUP(K$5,feed_intensity_w,11,FALSE)</f>
        <v>0</v>
      </c>
      <c r="L123" s="25">
        <f t="shared" si="37"/>
        <v>0</v>
      </c>
      <c r="M123" s="25">
        <f>IFERROR(G123*VLOOKUP(W123,livestock_intensity!$B$7:$M$29,12,FALSE)/Z123,0)</f>
        <v>0</v>
      </c>
      <c r="N123" s="2">
        <f>VLOOKUP($W123,feed_mix_n,MATCH(N$5,feed_mix_w!$B$5:$AC$5,0),FALSE)/$Z123*VLOOKUP(N$5,feed_intensity_w,11,FALSE)</f>
        <v>33.398187899553889</v>
      </c>
      <c r="O123" s="25">
        <f t="shared" si="38"/>
        <v>112975.38162318418</v>
      </c>
      <c r="P123" s="343">
        <f>IFERROR(G123*VLOOKUP(W123,livestock_intensity!$B$7:$Q$29,16,FALSE)/Z123,0)</f>
        <v>57616.576552556318</v>
      </c>
      <c r="Q123" s="758"/>
      <c r="R123" s="331">
        <f t="shared" si="39"/>
        <v>158858.28851603356</v>
      </c>
      <c r="S123" s="331">
        <f t="shared" si="40"/>
        <v>101700.61868627756</v>
      </c>
      <c r="T123" s="739" t="s">
        <v>2738</v>
      </c>
      <c r="U123" s="558" t="s">
        <v>413</v>
      </c>
      <c r="V123" s="559" t="str">
        <f>IFERROR(VLOOKUP(W123,constant_ag_extr!$D$7:$E$594,2,FALSE),"")</f>
        <v>Horses</v>
      </c>
      <c r="W123" s="560">
        <f t="shared" si="41"/>
        <v>1096</v>
      </c>
      <c r="X123" s="2">
        <f>IFERROR(IF(VLOOKUP(B123,cnst_grazing!$C$10:$H$25,5,FALSE)="", IF(VLOOKUP(B123, cnst_grazing!$C$10:$H$25,3,FALSE)="", VLOOKUP(B123, cnst_grazing!$C$10:$H$25,4,FALSE),VLOOKUP(B123, cnst_grazing!$C$10:$H$25,3,FALSE)), VLOOKUP(B123,cnst_grazing!$C$10:$H$25,5,FALSE)),1)</f>
        <v>0.15188038709634549</v>
      </c>
      <c r="Y123" s="2">
        <f>IFERROR(IF(VLOOKUP(B123,cnst_grazing!$C$10:$H$25,6,FALSE)="", IF(VLOOKUP(B123, cnst_grazing!$C$10:$H$25,4,FALSE)="", VLOOKUP(B123, cnst_grazing!$C$10:$H$25,3,FALSE),VLOOKUP(B123, cnst_grazing!$C$10:$H$25,4,FALSE)), VLOOKUP(B123,cnst_grazing!$C$10:$H$25,6,FALSE)),1)</f>
        <v>0.13082698596245851</v>
      </c>
      <c r="Z123" s="400">
        <f t="shared" si="42"/>
        <v>1</v>
      </c>
      <c r="AA123" s="2">
        <f t="shared" si="43"/>
        <v>46.962257555864284</v>
      </c>
      <c r="AB123" s="2">
        <f>VLOOKUP($W123,feed_mix_n,MATCH(AB$5,feed_mix_w!$B$5:$AC$5,0),FALSE)/$Z123*VLOOKUP(AB$5,feed_intensity_w,11,FALSE)</f>
        <v>3.8042806289007705</v>
      </c>
      <c r="AC123" s="2">
        <f>VLOOKUP($W123,feed_mix_n,MATCH(AC$5,feed_mix_w!$B$5:$AC$5,0),FALSE)/$Z123*VLOOKUP(AC$5,feed_intensity_w,11,FALSE)</f>
        <v>1.4952705268616848</v>
      </c>
      <c r="AD123" s="2">
        <f>VLOOKUP($W123,feed_mix_n,MATCH(AD$5,feed_mix_w!$B$5:$AC$5,0),FALSE)/$Z123*VLOOKUP(AD$5,feed_intensity_w,11,FALSE)</f>
        <v>0</v>
      </c>
      <c r="AE123" s="2">
        <f>VLOOKUP($W123,feed_mix_n,MATCH(AE$5,feed_mix_w!$B$5:$AC$5,0),FALSE)/$Z123*VLOOKUP(AE$5,feed_intensity_w,11,FALSE)</f>
        <v>3.0103470016010836</v>
      </c>
      <c r="AF123" s="2">
        <f>VLOOKUP($W123,feed_mix_n,MATCH(AF$5,feed_mix_w!$B$5:$AC$5,0),FALSE)/$Z123*VLOOKUP(AF$5,feed_intensity_w,11,FALSE)</f>
        <v>1.5051735008005418</v>
      </c>
      <c r="AG123" s="2">
        <f>VLOOKUP($W123,feed_mix_n,MATCH(AG$5,feed_mix_w!$B$5:$AC$5,0),FALSE)/$Z123*VLOOKUP(AG$5,feed_intensity_w,11,FALSE)</f>
        <v>0</v>
      </c>
      <c r="AH123" s="2">
        <f>VLOOKUP($W123,feed_mix_n,MATCH(AH$5,feed_mix_w!$B$5:$AC$5,0),FALSE)/$Z123*VLOOKUP(AH$5,feed_intensity_w,11,FALSE)</f>
        <v>1.5051735008005418</v>
      </c>
      <c r="AI123" s="2">
        <f>VLOOKUP($W123,feed_mix_n,MATCH(AI$5,feed_mix_w!$B$5:$AC$5,0),FALSE)/$Z123*VLOOKUP(AI$5,feed_intensity_w,11,FALSE)</f>
        <v>0</v>
      </c>
      <c r="AJ123" s="2">
        <f>VLOOKUP($W123,feed_mix_n,MATCH(AJ$5,feed_mix_w!$B$5:$AC$5,0),FALSE)/$Z123*VLOOKUP(AJ$5,feed_intensity_w,11,FALSE)</f>
        <v>0</v>
      </c>
      <c r="AK123" s="2">
        <f>VLOOKUP($W123,feed_mix_n,MATCH(AK$5,feed_mix_w!$B$5:$AC$5,0),FALSE)/$Z123*VLOOKUP(AK$5,feed_intensity_w,11,FALSE)</f>
        <v>0</v>
      </c>
      <c r="AL123" s="2">
        <f>VLOOKUP($W123,feed_mix_n,MATCH(AL$5,feed_mix_w!$B$5:$AC$5,0),FALSE)/$Z123*VLOOKUP(AL$5,feed_intensity_w,11,FALSE)</f>
        <v>0</v>
      </c>
      <c r="AM123" s="2">
        <f>VLOOKUP($W123,feed_mix_n,MATCH(AM$5,feed_mix_w!$B$5:$AC$5,0),FALSE)/$Z123*VLOOKUP(AM$5,feed_intensity_w,11,FALSE)</f>
        <v>1.0380441692876672</v>
      </c>
      <c r="AN123" s="2">
        <f>VLOOKUP($W123,feed_mix_n,MATCH(AN$5,feed_mix_w!$B$5:$AC$5,0),FALSE)/$Z123*VLOOKUP(AN$5,feed_intensity_w,11,FALSE)</f>
        <v>0</v>
      </c>
      <c r="AO123" s="2">
        <f>VLOOKUP($W123,feed_mix_n,MATCH(AO$5,feed_mix_w!$B$5:$AC$5,0),FALSE)/$Z123*VLOOKUP(AO$5,feed_intensity_w,11,FALSE)</f>
        <v>0</v>
      </c>
      <c r="AP123" s="2">
        <f>VLOOKUP($W123,feed_mix_n,MATCH(AP$5,feed_mix_w!$B$5:$AC$5,0),FALSE)/$Z123*VLOOKUP(AP$5,feed_intensity_w,11,FALSE)</f>
        <v>0</v>
      </c>
      <c r="AQ123" s="2">
        <f>VLOOKUP($W123,feed_mix_n,MATCH(AQ$5,feed_mix_w!$B$5:$AC$5,0),FALSE)/$Z123*VLOOKUP(AQ$5,feed_intensity_w,11,FALSE)</f>
        <v>0</v>
      </c>
      <c r="AR123" s="2">
        <f>VLOOKUP($W123,feed_mix_n,MATCH(AR$5,feed_mix_w!$B$5:$AC$5,0),FALSE)/$Z123*VLOOKUP(AR$5,feed_intensity_w,11,FALSE)</f>
        <v>1.2057803280581043</v>
      </c>
      <c r="AS123" s="389">
        <f>VLOOKUP($W123,feed_mix_n,MATCH(AS$5,feed_mix_w!$B$5:$AC$5,0),FALSE)/$Z123*VLOOKUP(AS$5,feed_intensity_w,11,FALSE)</f>
        <v>0</v>
      </c>
    </row>
    <row r="124" spans="1:45" ht="12.75" customHeight="1">
      <c r="A124" s="14" t="s">
        <v>7185</v>
      </c>
      <c r="B124" s="482">
        <v>1097</v>
      </c>
      <c r="C124" s="24" t="s">
        <v>5025</v>
      </c>
      <c r="D124" s="513">
        <v>2.0339601039886475</v>
      </c>
      <c r="E124" s="513">
        <v>5316</v>
      </c>
      <c r="F124" s="25">
        <f t="shared" si="33"/>
        <v>2.0339601039886475</v>
      </c>
      <c r="G124" s="25">
        <f t="shared" si="34"/>
        <v>5316</v>
      </c>
      <c r="H124" s="2">
        <f t="shared" si="35"/>
        <v>17.43926494233061</v>
      </c>
      <c r="I124" s="25">
        <f t="shared" si="36"/>
        <v>35.470769135588341</v>
      </c>
      <c r="J124" s="87">
        <f>IFERROR(G124*VLOOKUP(W124,livestock_intensity!$B$7:$I$29,8,FALSE)/Z124,0)</f>
        <v>136091.14086657041</v>
      </c>
      <c r="K124" s="2">
        <f>VLOOKUP($W124,feed_mix_n,MATCH(K$5,feed_mix_w!$B$5:$AC$5,0),FALSE)/$Z124*VLOOKUP(K$5,feed_intensity_w,11,FALSE)</f>
        <v>0</v>
      </c>
      <c r="L124" s="25">
        <f t="shared" si="37"/>
        <v>0</v>
      </c>
      <c r="M124" s="25">
        <f>IFERROR(G124*VLOOKUP(W124,livestock_intensity!$B$7:$M$29,12,FALSE)/Z124,0)</f>
        <v>0</v>
      </c>
      <c r="N124" s="2">
        <f>VLOOKUP($W124,feed_mix_n,MATCH(N$5,feed_mix_w!$B$5:$AC$5,0),FALSE)/$Z124*VLOOKUP(N$5,feed_intensity_w,11,FALSE)</f>
        <v>42.939903888144144</v>
      </c>
      <c r="O124" s="25">
        <f t="shared" si="38"/>
        <v>87.338051377592194</v>
      </c>
      <c r="P124" s="343">
        <f>IFERROR(G124*VLOOKUP(W124,livestock_intensity!$B$7:$Q$29,16,FALSE)/Z124,0)</f>
        <v>177867.21127066464</v>
      </c>
      <c r="Q124" s="758"/>
      <c r="R124" s="331">
        <f t="shared" si="39"/>
        <v>122.80882051318054</v>
      </c>
      <c r="S124" s="331">
        <f t="shared" si="40"/>
        <v>313958.35213723505</v>
      </c>
      <c r="T124" s="739">
        <v>2735</v>
      </c>
      <c r="U124" s="558" t="s">
        <v>2796</v>
      </c>
      <c r="V124" s="559" t="str">
        <f>IFERROR(VLOOKUP(W124,constant_ag_extr!$D$7:$E$594,2,FALSE),"")</f>
        <v>Horses</v>
      </c>
      <c r="W124" s="560">
        <f t="shared" si="41"/>
        <v>1096</v>
      </c>
      <c r="X124" s="2">
        <f>IFERROR(IF(VLOOKUP(B124,cnst_grazing!$C$10:$H$25,5,FALSE)="", IF(VLOOKUP(B124, cnst_grazing!$C$10:$H$25,3,FALSE)="", VLOOKUP(B124, cnst_grazing!$C$10:$H$25,4,FALSE),VLOOKUP(B124, cnst_grazing!$C$10:$H$25,3,FALSE)), VLOOKUP(B124,cnst_grazing!$C$10:$H$25,5,FALSE)),1)</f>
        <v>1</v>
      </c>
      <c r="Y124" s="2">
        <f>IFERROR(IF(VLOOKUP(B124,cnst_grazing!$C$10:$H$25,6,FALSE)="", IF(VLOOKUP(B124, cnst_grazing!$C$10:$H$25,4,FALSE)="", VLOOKUP(B124, cnst_grazing!$C$10:$H$25,3,FALSE),VLOOKUP(B124, cnst_grazing!$C$10:$H$25,4,FALSE)), VLOOKUP(B124,cnst_grazing!$C$10:$H$25,6,FALSE)),1)</f>
        <v>1</v>
      </c>
      <c r="Z124" s="400">
        <f t="shared" si="42"/>
        <v>0.77778906973229744</v>
      </c>
      <c r="AA124" s="2">
        <f t="shared" si="43"/>
        <v>60.379168830474754</v>
      </c>
      <c r="AB124" s="2">
        <f>VLOOKUP($W124,feed_mix_n,MATCH(AB$5,feed_mix_w!$B$5:$AC$5,0),FALSE)/$Z124*VLOOKUP(AB$5,feed_intensity_w,11,FALSE)</f>
        <v>4.891146940661101</v>
      </c>
      <c r="AC124" s="2">
        <f>VLOOKUP($W124,feed_mix_n,MATCH(AC$5,feed_mix_w!$B$5:$AC$5,0),FALSE)/$Z124*VLOOKUP(AC$5,feed_intensity_w,11,FALSE)</f>
        <v>1.9224627666422889</v>
      </c>
      <c r="AD124" s="2">
        <f>VLOOKUP($W124,feed_mix_n,MATCH(AD$5,feed_mix_w!$B$5:$AC$5,0),FALSE)/$Z124*VLOOKUP(AD$5,feed_intensity_w,11,FALSE)</f>
        <v>0</v>
      </c>
      <c r="AE124" s="2">
        <f>VLOOKUP($W124,feed_mix_n,MATCH(AE$5,feed_mix_w!$B$5:$AC$5,0),FALSE)/$Z124*VLOOKUP(AE$5,feed_intensity_w,11,FALSE)</f>
        <v>3.8703899537148252</v>
      </c>
      <c r="AF124" s="2">
        <f>VLOOKUP($W124,feed_mix_n,MATCH(AF$5,feed_mix_w!$B$5:$AC$5,0),FALSE)/$Z124*VLOOKUP(AF$5,feed_intensity_w,11,FALSE)</f>
        <v>1.9351949768574126</v>
      </c>
      <c r="AG124" s="2">
        <f>VLOOKUP($W124,feed_mix_n,MATCH(AG$5,feed_mix_w!$B$5:$AC$5,0),FALSE)/$Z124*VLOOKUP(AG$5,feed_intensity_w,11,FALSE)</f>
        <v>0</v>
      </c>
      <c r="AH124" s="2">
        <f>VLOOKUP($W124,feed_mix_n,MATCH(AH$5,feed_mix_w!$B$5:$AC$5,0),FALSE)/$Z124*VLOOKUP(AH$5,feed_intensity_w,11,FALSE)</f>
        <v>1.9351949768574126</v>
      </c>
      <c r="AI124" s="2">
        <f>VLOOKUP($W124,feed_mix_n,MATCH(AI$5,feed_mix_w!$B$5:$AC$5,0),FALSE)/$Z124*VLOOKUP(AI$5,feed_intensity_w,11,FALSE)</f>
        <v>0</v>
      </c>
      <c r="AJ124" s="2">
        <f>VLOOKUP($W124,feed_mix_n,MATCH(AJ$5,feed_mix_w!$B$5:$AC$5,0),FALSE)/$Z124*VLOOKUP(AJ$5,feed_intensity_w,11,FALSE)</f>
        <v>0</v>
      </c>
      <c r="AK124" s="2">
        <f>VLOOKUP($W124,feed_mix_n,MATCH(AK$5,feed_mix_w!$B$5:$AC$5,0),FALSE)/$Z124*VLOOKUP(AK$5,feed_intensity_w,11,FALSE)</f>
        <v>0</v>
      </c>
      <c r="AL124" s="2">
        <f>VLOOKUP($W124,feed_mix_n,MATCH(AL$5,feed_mix_w!$B$5:$AC$5,0),FALSE)/$Z124*VLOOKUP(AL$5,feed_intensity_w,11,FALSE)</f>
        <v>0</v>
      </c>
      <c r="AM124" s="2">
        <f>VLOOKUP($W124,feed_mix_n,MATCH(AM$5,feed_mix_w!$B$5:$AC$5,0),FALSE)/$Z124*VLOOKUP(AM$5,feed_intensity_w,11,FALSE)</f>
        <v>1.3346088415011352</v>
      </c>
      <c r="AN124" s="2">
        <f>VLOOKUP($W124,feed_mix_n,MATCH(AN$5,feed_mix_w!$B$5:$AC$5,0),FALSE)/$Z124*VLOOKUP(AN$5,feed_intensity_w,11,FALSE)</f>
        <v>0</v>
      </c>
      <c r="AO124" s="2">
        <f>VLOOKUP($W124,feed_mix_n,MATCH(AO$5,feed_mix_w!$B$5:$AC$5,0),FALSE)/$Z124*VLOOKUP(AO$5,feed_intensity_w,11,FALSE)</f>
        <v>0</v>
      </c>
      <c r="AP124" s="2">
        <f>VLOOKUP($W124,feed_mix_n,MATCH(AP$5,feed_mix_w!$B$5:$AC$5,0),FALSE)/$Z124*VLOOKUP(AP$5,feed_intensity_w,11,FALSE)</f>
        <v>0</v>
      </c>
      <c r="AQ124" s="2">
        <f>VLOOKUP($W124,feed_mix_n,MATCH(AQ$5,feed_mix_w!$B$5:$AC$5,0),FALSE)/$Z124*VLOOKUP(AQ$5,feed_intensity_w,11,FALSE)</f>
        <v>0</v>
      </c>
      <c r="AR124" s="2">
        <f>VLOOKUP($W124,feed_mix_n,MATCH(AR$5,feed_mix_w!$B$5:$AC$5,0),FALSE)/$Z124*VLOOKUP(AR$5,feed_intensity_w,11,FALSE)</f>
        <v>1.5502664860964357</v>
      </c>
      <c r="AS124" s="389">
        <f>VLOOKUP($W124,feed_mix_n,MATCH(AS$5,feed_mix_w!$B$5:$AC$5,0),FALSE)/$Z124*VLOOKUP(AS$5,feed_intensity_w,11,FALSE)</f>
        <v>0</v>
      </c>
    </row>
    <row r="125" spans="1:45" ht="12.75" customHeight="1">
      <c r="A125" s="14" t="s">
        <v>897</v>
      </c>
      <c r="B125" s="482">
        <v>1098</v>
      </c>
      <c r="C125" s="24">
        <v>5301.3</v>
      </c>
      <c r="D125" s="513"/>
      <c r="E125" s="513"/>
      <c r="F125" s="25">
        <f t="shared" si="33"/>
        <v>0</v>
      </c>
      <c r="G125" s="25">
        <f t="shared" si="34"/>
        <v>0</v>
      </c>
      <c r="H125" s="2">
        <f t="shared" si="35"/>
        <v>7.7378125101497304</v>
      </c>
      <c r="I125" s="25">
        <f t="shared" si="36"/>
        <v>0</v>
      </c>
      <c r="J125" s="87">
        <f>IFERROR(G125*VLOOKUP(W125,livestock_intensity!$B$7:$I$29,8,FALSE)/Z125,0)</f>
        <v>0</v>
      </c>
      <c r="K125" s="2">
        <f>VLOOKUP($W125,feed_mix_n,MATCH(K$5,feed_mix_w!$B$5:$AC$5,0),FALSE)/$Z125*VLOOKUP(K$5,feed_intensity_w,11,FALSE)</f>
        <v>0</v>
      </c>
      <c r="L125" s="25">
        <f t="shared" si="37"/>
        <v>0</v>
      </c>
      <c r="M125" s="25">
        <f>IFERROR(G125*VLOOKUP(W125,livestock_intensity!$B$7:$M$29,12,FALSE)/Z125,0)</f>
        <v>0</v>
      </c>
      <c r="N125" s="2">
        <f>VLOOKUP($W125,feed_mix_n,MATCH(N$5,feed_mix_w!$B$5:$AC$5,0),FALSE)/$Z125*VLOOKUP(N$5,feed_intensity_w,11,FALSE)</f>
        <v>19.052461591073509</v>
      </c>
      <c r="O125" s="25">
        <f t="shared" si="38"/>
        <v>0</v>
      </c>
      <c r="P125" s="343">
        <f>IFERROR(G125*VLOOKUP(W125,livestock_intensity!$B$7:$Q$29,16,FALSE)/Z125,0)</f>
        <v>0</v>
      </c>
      <c r="Q125" s="758"/>
      <c r="R125" s="331">
        <f t="shared" si="39"/>
        <v>0</v>
      </c>
      <c r="S125" s="331">
        <f t="shared" si="40"/>
        <v>0</v>
      </c>
      <c r="T125" s="739">
        <v>2736</v>
      </c>
      <c r="U125" s="558" t="s">
        <v>2796</v>
      </c>
      <c r="V125" s="559" t="str">
        <f>IFERROR(VLOOKUP(W125,constant_ag_extr!$D$7:$E$594,2,FALSE),"")</f>
        <v>Horses</v>
      </c>
      <c r="W125" s="560">
        <f t="shared" si="41"/>
        <v>1096</v>
      </c>
      <c r="X125" s="2">
        <f>IFERROR(IF(VLOOKUP(B125,cnst_grazing!$C$10:$H$25,5,FALSE)="", IF(VLOOKUP(B125, cnst_grazing!$C$10:$H$25,3,FALSE)="", VLOOKUP(B125, cnst_grazing!$C$10:$H$25,4,FALSE),VLOOKUP(B125, cnst_grazing!$C$10:$H$25,3,FALSE)), VLOOKUP(B125,cnst_grazing!$C$10:$H$25,5,FALSE)),1)</f>
        <v>1</v>
      </c>
      <c r="Y125" s="2">
        <f>IFERROR(IF(VLOOKUP(B125,cnst_grazing!$C$10:$H$25,6,FALSE)="", IF(VLOOKUP(B125, cnst_grazing!$C$10:$H$25,4,FALSE)="", VLOOKUP(B125, cnst_grazing!$C$10:$H$25,3,FALSE),VLOOKUP(B125, cnst_grazing!$C$10:$H$25,4,FALSE)), VLOOKUP(B125,cnst_grazing!$C$10:$H$25,6,FALSE)),1)</f>
        <v>1</v>
      </c>
      <c r="Z125" s="400">
        <f t="shared" si="42"/>
        <v>1.7529592037178896</v>
      </c>
      <c r="AA125" s="2">
        <f t="shared" si="43"/>
        <v>26.79027410122324</v>
      </c>
      <c r="AB125" s="2">
        <f>VLOOKUP($W125,feed_mix_n,MATCH(AB$5,feed_mix_w!$B$5:$AC$5,0),FALSE)/$Z125*VLOOKUP(AB$5,feed_intensity_w,11,FALSE)</f>
        <v>2.1702048860191319</v>
      </c>
      <c r="AC125" s="2">
        <f>VLOOKUP($W125,feed_mix_n,MATCH(AC$5,feed_mix_w!$B$5:$AC$5,0),FALSE)/$Z125*VLOOKUP(AC$5,feed_intensity_w,11,FALSE)</f>
        <v>0.85299790416704091</v>
      </c>
      <c r="AD125" s="2">
        <f>VLOOKUP($W125,feed_mix_n,MATCH(AD$5,feed_mix_w!$B$5:$AC$5,0),FALSE)/$Z125*VLOOKUP(AD$5,feed_intensity_w,11,FALSE)</f>
        <v>0</v>
      </c>
      <c r="AE125" s="2">
        <f>VLOOKUP($W125,feed_mix_n,MATCH(AE$5,feed_mix_w!$B$5:$AC$5,0),FALSE)/$Z125*VLOOKUP(AE$5,feed_intensity_w,11,FALSE)</f>
        <v>1.7172943872375197</v>
      </c>
      <c r="AF125" s="2">
        <f>VLOOKUP($W125,feed_mix_n,MATCH(AF$5,feed_mix_w!$B$5:$AC$5,0),FALSE)/$Z125*VLOOKUP(AF$5,feed_intensity_w,11,FALSE)</f>
        <v>0.85864719361875985</v>
      </c>
      <c r="AG125" s="2">
        <f>VLOOKUP($W125,feed_mix_n,MATCH(AG$5,feed_mix_w!$B$5:$AC$5,0),FALSE)/$Z125*VLOOKUP(AG$5,feed_intensity_w,11,FALSE)</f>
        <v>0</v>
      </c>
      <c r="AH125" s="2">
        <f>VLOOKUP($W125,feed_mix_n,MATCH(AH$5,feed_mix_w!$B$5:$AC$5,0),FALSE)/$Z125*VLOOKUP(AH$5,feed_intensity_w,11,FALSE)</f>
        <v>0.85864719361875985</v>
      </c>
      <c r="AI125" s="2">
        <f>VLOOKUP($W125,feed_mix_n,MATCH(AI$5,feed_mix_w!$B$5:$AC$5,0),FALSE)/$Z125*VLOOKUP(AI$5,feed_intensity_w,11,FALSE)</f>
        <v>0</v>
      </c>
      <c r="AJ125" s="2">
        <f>VLOOKUP($W125,feed_mix_n,MATCH(AJ$5,feed_mix_w!$B$5:$AC$5,0),FALSE)/$Z125*VLOOKUP(AJ$5,feed_intensity_w,11,FALSE)</f>
        <v>0</v>
      </c>
      <c r="AK125" s="2">
        <f>VLOOKUP($W125,feed_mix_n,MATCH(AK$5,feed_mix_w!$B$5:$AC$5,0),FALSE)/$Z125*VLOOKUP(AK$5,feed_intensity_w,11,FALSE)</f>
        <v>0</v>
      </c>
      <c r="AL125" s="2">
        <f>VLOOKUP($W125,feed_mix_n,MATCH(AL$5,feed_mix_w!$B$5:$AC$5,0),FALSE)/$Z125*VLOOKUP(AL$5,feed_intensity_w,11,FALSE)</f>
        <v>0</v>
      </c>
      <c r="AM125" s="2">
        <f>VLOOKUP($W125,feed_mix_n,MATCH(AM$5,feed_mix_w!$B$5:$AC$5,0),FALSE)/$Z125*VLOOKUP(AM$5,feed_intensity_w,11,FALSE)</f>
        <v>0.59216675840832844</v>
      </c>
      <c r="AN125" s="2">
        <f>VLOOKUP($W125,feed_mix_n,MATCH(AN$5,feed_mix_w!$B$5:$AC$5,0),FALSE)/$Z125*VLOOKUP(AN$5,feed_intensity_w,11,FALSE)</f>
        <v>0</v>
      </c>
      <c r="AO125" s="2">
        <f>VLOOKUP($W125,feed_mix_n,MATCH(AO$5,feed_mix_w!$B$5:$AC$5,0),FALSE)/$Z125*VLOOKUP(AO$5,feed_intensity_w,11,FALSE)</f>
        <v>0</v>
      </c>
      <c r="AP125" s="2">
        <f>VLOOKUP($W125,feed_mix_n,MATCH(AP$5,feed_mix_w!$B$5:$AC$5,0),FALSE)/$Z125*VLOOKUP(AP$5,feed_intensity_w,11,FALSE)</f>
        <v>0</v>
      </c>
      <c r="AQ125" s="2">
        <f>VLOOKUP($W125,feed_mix_n,MATCH(AQ$5,feed_mix_w!$B$5:$AC$5,0),FALSE)/$Z125*VLOOKUP(AQ$5,feed_intensity_w,11,FALSE)</f>
        <v>0</v>
      </c>
      <c r="AR125" s="2">
        <f>VLOOKUP($W125,feed_mix_n,MATCH(AR$5,feed_mix_w!$B$5:$AC$5,0),FALSE)/$Z125*VLOOKUP(AR$5,feed_intensity_w,11,FALSE)</f>
        <v>0.68785418708018886</v>
      </c>
      <c r="AS125" s="389">
        <f>VLOOKUP($W125,feed_mix_n,MATCH(AS$5,feed_mix_w!$B$5:$AC$5,0),FALSE)/$Z125*VLOOKUP(AS$5,feed_intensity_w,11,FALSE)</f>
        <v>0</v>
      </c>
    </row>
    <row r="126" spans="1:45" ht="12.75" customHeight="1">
      <c r="A126" s="14" t="s">
        <v>5276</v>
      </c>
      <c r="B126" s="482">
        <v>1100</v>
      </c>
      <c r="C126" s="24">
        <v>503</v>
      </c>
      <c r="D126" s="513"/>
      <c r="E126" s="513"/>
      <c r="F126" s="25">
        <f t="shared" si="33"/>
        <v>0</v>
      </c>
      <c r="G126" s="25">
        <f t="shared" si="34"/>
        <v>0</v>
      </c>
      <c r="H126" s="2">
        <f t="shared" si="35"/>
        <v>7.1579973314148884</v>
      </c>
      <c r="I126" s="25">
        <f t="shared" si="36"/>
        <v>0</v>
      </c>
      <c r="J126" s="87">
        <f>IFERROR(G126*VLOOKUP(W126,livestock_intensity!$B$7:$I$29,8,FALSE)/Z126,0)</f>
        <v>0</v>
      </c>
      <c r="K126" s="2">
        <f>VLOOKUP($W126,feed_mix_n,MATCH(K$5,feed_mix_w!$B$5:$AC$5,0),FALSE)/$Z126*VLOOKUP(K$5,feed_intensity_w,11,FALSE)</f>
        <v>0</v>
      </c>
      <c r="L126" s="25">
        <f t="shared" si="37"/>
        <v>0</v>
      </c>
      <c r="M126" s="25">
        <f>IFERROR(G126*VLOOKUP(W126,livestock_intensity!$B$7:$M$29,12,FALSE)/Z126,0)</f>
        <v>0</v>
      </c>
      <c r="N126" s="2">
        <f>VLOOKUP($W126,feed_mix_n,MATCH(N$5,feed_mix_w!$B$5:$AC$5,0),FALSE)/$Z126*VLOOKUP(N$5,feed_intensity_w,11,FALSE)</f>
        <v>17.624809214090131</v>
      </c>
      <c r="O126" s="25">
        <f t="shared" si="38"/>
        <v>0</v>
      </c>
      <c r="P126" s="343">
        <f>IFERROR(G126*VLOOKUP(W126,livestock_intensity!$B$7:$Q$29,16,FALSE)/Z126,0)</f>
        <v>0</v>
      </c>
      <c r="Q126" s="758"/>
      <c r="R126" s="331">
        <f t="shared" si="39"/>
        <v>0</v>
      </c>
      <c r="S126" s="331">
        <f t="shared" si="40"/>
        <v>0</v>
      </c>
      <c r="T126" s="739" t="s">
        <v>2738</v>
      </c>
      <c r="U126" s="558" t="s">
        <v>2796</v>
      </c>
      <c r="V126" s="559" t="str">
        <f>IFERROR(VLOOKUP(W126,constant_ag_extr!$D$7:$E$594,2,FALSE),"")</f>
        <v>Horses</v>
      </c>
      <c r="W126" s="560">
        <f t="shared" si="41"/>
        <v>1096</v>
      </c>
      <c r="X126" s="2">
        <f>IFERROR(IF(VLOOKUP(B126,cnst_grazing!$C$10:$H$25,5,FALSE)="", IF(VLOOKUP(B126, cnst_grazing!$C$10:$H$25,3,FALSE)="", VLOOKUP(B126, cnst_grazing!$C$10:$H$25,4,FALSE),VLOOKUP(B126, cnst_grazing!$C$10:$H$25,3,FALSE)), VLOOKUP(B126,cnst_grazing!$C$10:$H$25,5,FALSE)),1)</f>
        <v>1</v>
      </c>
      <c r="Y126" s="2">
        <f>IFERROR(IF(VLOOKUP(B126,cnst_grazing!$C$10:$H$25,6,FALSE)="", IF(VLOOKUP(B126, cnst_grazing!$C$10:$H$25,4,FALSE)="", VLOOKUP(B126, cnst_grazing!$C$10:$H$25,3,FALSE),VLOOKUP(B126, cnst_grazing!$C$10:$H$25,4,FALSE)), VLOOKUP(B126,cnst_grazing!$C$10:$H$25,6,FALSE)),1)</f>
        <v>1</v>
      </c>
      <c r="Z126" s="400">
        <f t="shared" si="42"/>
        <v>1.8949531591441995</v>
      </c>
      <c r="AA126" s="2">
        <f t="shared" si="43"/>
        <v>24.782806545505018</v>
      </c>
      <c r="AB126" s="2">
        <f>VLOOKUP($W126,feed_mix_n,MATCH(AB$5,feed_mix_w!$B$5:$AC$5,0),FALSE)/$Z126*VLOOKUP(AB$5,feed_intensity_w,11,FALSE)</f>
        <v>2.0075855756871919</v>
      </c>
      <c r="AC126" s="2">
        <f>VLOOKUP($W126,feed_mix_n,MATCH(AC$5,feed_mix_w!$B$5:$AC$5,0),FALSE)/$Z126*VLOOKUP(AC$5,feed_intensity_w,11,FALSE)</f>
        <v>0.78908046863648085</v>
      </c>
      <c r="AD126" s="2">
        <f>VLOOKUP($W126,feed_mix_n,MATCH(AD$5,feed_mix_w!$B$5:$AC$5,0),FALSE)/$Z126*VLOOKUP(AD$5,feed_intensity_w,11,FALSE)</f>
        <v>0</v>
      </c>
      <c r="AE126" s="2">
        <f>VLOOKUP($W126,feed_mix_n,MATCH(AE$5,feed_mix_w!$B$5:$AC$5,0),FALSE)/$Z126*VLOOKUP(AE$5,feed_intensity_w,11,FALSE)</f>
        <v>1.5886128831599295</v>
      </c>
      <c r="AF126" s="2">
        <f>VLOOKUP($W126,feed_mix_n,MATCH(AF$5,feed_mix_w!$B$5:$AC$5,0),FALSE)/$Z126*VLOOKUP(AF$5,feed_intensity_w,11,FALSE)</f>
        <v>0.79430644157996477</v>
      </c>
      <c r="AG126" s="2">
        <f>VLOOKUP($W126,feed_mix_n,MATCH(AG$5,feed_mix_w!$B$5:$AC$5,0),FALSE)/$Z126*VLOOKUP(AG$5,feed_intensity_w,11,FALSE)</f>
        <v>0</v>
      </c>
      <c r="AH126" s="2">
        <f>VLOOKUP($W126,feed_mix_n,MATCH(AH$5,feed_mix_w!$B$5:$AC$5,0),FALSE)/$Z126*VLOOKUP(AH$5,feed_intensity_w,11,FALSE)</f>
        <v>0.79430644157996477</v>
      </c>
      <c r="AI126" s="2">
        <f>VLOOKUP($W126,feed_mix_n,MATCH(AI$5,feed_mix_w!$B$5:$AC$5,0),FALSE)/$Z126*VLOOKUP(AI$5,feed_intensity_w,11,FALSE)</f>
        <v>0</v>
      </c>
      <c r="AJ126" s="2">
        <f>VLOOKUP($W126,feed_mix_n,MATCH(AJ$5,feed_mix_w!$B$5:$AC$5,0),FALSE)/$Z126*VLOOKUP(AJ$5,feed_intensity_w,11,FALSE)</f>
        <v>0</v>
      </c>
      <c r="AK126" s="2">
        <f>VLOOKUP($W126,feed_mix_n,MATCH(AK$5,feed_mix_w!$B$5:$AC$5,0),FALSE)/$Z126*VLOOKUP(AK$5,feed_intensity_w,11,FALSE)</f>
        <v>0</v>
      </c>
      <c r="AL126" s="2">
        <f>VLOOKUP($W126,feed_mix_n,MATCH(AL$5,feed_mix_w!$B$5:$AC$5,0),FALSE)/$Z126*VLOOKUP(AL$5,feed_intensity_w,11,FALSE)</f>
        <v>0</v>
      </c>
      <c r="AM126" s="2">
        <f>VLOOKUP($W126,feed_mix_n,MATCH(AM$5,feed_mix_w!$B$5:$AC$5,0),FALSE)/$Z126*VLOOKUP(AM$5,feed_intensity_w,11,FALSE)</f>
        <v>0.54779410471363299</v>
      </c>
      <c r="AN126" s="2">
        <f>VLOOKUP($W126,feed_mix_n,MATCH(AN$5,feed_mix_w!$B$5:$AC$5,0),FALSE)/$Z126*VLOOKUP(AN$5,feed_intensity_w,11,FALSE)</f>
        <v>0</v>
      </c>
      <c r="AO126" s="2">
        <f>VLOOKUP($W126,feed_mix_n,MATCH(AO$5,feed_mix_w!$B$5:$AC$5,0),FALSE)/$Z126*VLOOKUP(AO$5,feed_intensity_w,11,FALSE)</f>
        <v>0</v>
      </c>
      <c r="AP126" s="2">
        <f>VLOOKUP($W126,feed_mix_n,MATCH(AP$5,feed_mix_w!$B$5:$AC$5,0),FALSE)/$Z126*VLOOKUP(AP$5,feed_intensity_w,11,FALSE)</f>
        <v>0</v>
      </c>
      <c r="AQ126" s="2">
        <f>VLOOKUP($W126,feed_mix_n,MATCH(AQ$5,feed_mix_w!$B$5:$AC$5,0),FALSE)/$Z126*VLOOKUP(AQ$5,feed_intensity_w,11,FALSE)</f>
        <v>0</v>
      </c>
      <c r="AR126" s="2">
        <f>VLOOKUP($W126,feed_mix_n,MATCH(AR$5,feed_mix_w!$B$5:$AC$5,0),FALSE)/$Z126*VLOOKUP(AR$5,feed_intensity_w,11,FALSE)</f>
        <v>0.63631141605772457</v>
      </c>
      <c r="AS126" s="389">
        <f>VLOOKUP($W126,feed_mix_n,MATCH(AS$5,feed_mix_w!$B$5:$AC$5,0),FALSE)/$Z126*VLOOKUP(AS$5,feed_intensity_w,11,FALSE)</f>
        <v>0</v>
      </c>
    </row>
    <row r="127" spans="1:45" ht="12.75" customHeight="1">
      <c r="A127" s="14" t="s">
        <v>295</v>
      </c>
      <c r="B127" s="482">
        <v>1103</v>
      </c>
      <c r="C127" s="24" t="s">
        <v>1554</v>
      </c>
      <c r="D127" s="513"/>
      <c r="E127" s="513"/>
      <c r="F127" s="25">
        <f t="shared" si="33"/>
        <v>0</v>
      </c>
      <c r="G127" s="25">
        <f t="shared" si="34"/>
        <v>0</v>
      </c>
      <c r="H127" s="2">
        <f t="shared" si="35"/>
        <v>38.754484732315419</v>
      </c>
      <c r="I127" s="25">
        <f t="shared" si="36"/>
        <v>0</v>
      </c>
      <c r="J127" s="87">
        <f>IFERROR(G127*VLOOKUP(W127,livestock_intensity!$B$7:$I$29,8,FALSE)/Z127,0)</f>
        <v>0</v>
      </c>
      <c r="K127" s="2">
        <f>VLOOKUP($W127,feed_mix_n,MATCH(K$5,feed_mix_w!$B$5:$AC$5,0),FALSE)/$Z127*VLOOKUP(K$5,feed_intensity_w,11,FALSE)</f>
        <v>0</v>
      </c>
      <c r="L127" s="25">
        <f t="shared" si="37"/>
        <v>0</v>
      </c>
      <c r="M127" s="25">
        <f>IFERROR(G127*VLOOKUP(W127,livestock_intensity!$B$7:$M$29,12,FALSE)/Z127,0)</f>
        <v>0</v>
      </c>
      <c r="N127" s="2">
        <f>VLOOKUP($W127,feed_mix_n,MATCH(N$5,feed_mix_w!$B$5:$AC$5,0),FALSE)/$Z127*VLOOKUP(N$5,feed_intensity_w,11,FALSE)</f>
        <v>95.423393998725416</v>
      </c>
      <c r="O127" s="25">
        <f t="shared" si="38"/>
        <v>0</v>
      </c>
      <c r="P127" s="343">
        <f>IFERROR(G127*VLOOKUP(W127,livestock_intensity!$B$7:$Q$29,16,FALSE)/Z127,0)</f>
        <v>0</v>
      </c>
      <c r="Q127" s="758"/>
      <c r="R127" s="331">
        <f t="shared" si="39"/>
        <v>0</v>
      </c>
      <c r="S127" s="331">
        <f t="shared" si="40"/>
        <v>0</v>
      </c>
      <c r="T127" s="739">
        <v>2748</v>
      </c>
      <c r="U127" s="558" t="s">
        <v>2796</v>
      </c>
      <c r="V127" s="559" t="str">
        <f>IFERROR(VLOOKUP(W127,constant_ag_extr!$D$7:$E$594,2,FALSE),"")</f>
        <v>Horses</v>
      </c>
      <c r="W127" s="560">
        <f t="shared" si="41"/>
        <v>1096</v>
      </c>
      <c r="X127" s="2">
        <f>IFERROR(IF(VLOOKUP(B127,cnst_grazing!$C$10:$H$25,5,FALSE)="", IF(VLOOKUP(B127, cnst_grazing!$C$10:$H$25,3,FALSE)="", VLOOKUP(B127, cnst_grazing!$C$10:$H$25,4,FALSE),VLOOKUP(B127, cnst_grazing!$C$10:$H$25,3,FALSE)), VLOOKUP(B127,cnst_grazing!$C$10:$H$25,5,FALSE)),1)</f>
        <v>1</v>
      </c>
      <c r="Y127" s="2">
        <f>IFERROR(IF(VLOOKUP(B127,cnst_grazing!$C$10:$H$25,6,FALSE)="", IF(VLOOKUP(B127, cnst_grazing!$C$10:$H$25,4,FALSE)="", VLOOKUP(B127, cnst_grazing!$C$10:$H$25,3,FALSE),VLOOKUP(B127, cnst_grazing!$C$10:$H$25,4,FALSE)), VLOOKUP(B127,cnst_grazing!$C$10:$H$25,6,FALSE)),1)</f>
        <v>1</v>
      </c>
      <c r="Z127" s="400">
        <f t="shared" si="42"/>
        <v>0.35</v>
      </c>
      <c r="AA127" s="2">
        <f t="shared" si="43"/>
        <v>134.17787873104083</v>
      </c>
      <c r="AB127" s="2">
        <f>VLOOKUP($W127,feed_mix_n,MATCH(AB$5,feed_mix_w!$B$5:$AC$5,0),FALSE)/$Z127*VLOOKUP(AB$5,feed_intensity_w,11,FALSE)</f>
        <v>10.869373225430774</v>
      </c>
      <c r="AC127" s="2">
        <f>VLOOKUP($W127,feed_mix_n,MATCH(AC$5,feed_mix_w!$B$5:$AC$5,0),FALSE)/$Z127*VLOOKUP(AC$5,feed_intensity_w,11,FALSE)</f>
        <v>4.2722015053190994</v>
      </c>
      <c r="AD127" s="2">
        <f>VLOOKUP($W127,feed_mix_n,MATCH(AD$5,feed_mix_w!$B$5:$AC$5,0),FALSE)/$Z127*VLOOKUP(AD$5,feed_intensity_w,11,FALSE)</f>
        <v>0</v>
      </c>
      <c r="AE127" s="2">
        <f>VLOOKUP($W127,feed_mix_n,MATCH(AE$5,feed_mix_w!$B$5:$AC$5,0),FALSE)/$Z127*VLOOKUP(AE$5,feed_intensity_w,11,FALSE)</f>
        <v>8.6009914331459534</v>
      </c>
      <c r="AF127" s="2">
        <f>VLOOKUP($W127,feed_mix_n,MATCH(AF$5,feed_mix_w!$B$5:$AC$5,0),FALSE)/$Z127*VLOOKUP(AF$5,feed_intensity_w,11,FALSE)</f>
        <v>4.3004957165729767</v>
      </c>
      <c r="AG127" s="2">
        <f>VLOOKUP($W127,feed_mix_n,MATCH(AG$5,feed_mix_w!$B$5:$AC$5,0),FALSE)/$Z127*VLOOKUP(AG$5,feed_intensity_w,11,FALSE)</f>
        <v>0</v>
      </c>
      <c r="AH127" s="2">
        <f>VLOOKUP($W127,feed_mix_n,MATCH(AH$5,feed_mix_w!$B$5:$AC$5,0),FALSE)/$Z127*VLOOKUP(AH$5,feed_intensity_w,11,FALSE)</f>
        <v>4.3004957165729767</v>
      </c>
      <c r="AI127" s="2">
        <f>VLOOKUP($W127,feed_mix_n,MATCH(AI$5,feed_mix_w!$B$5:$AC$5,0),FALSE)/$Z127*VLOOKUP(AI$5,feed_intensity_w,11,FALSE)</f>
        <v>0</v>
      </c>
      <c r="AJ127" s="2">
        <f>VLOOKUP($W127,feed_mix_n,MATCH(AJ$5,feed_mix_w!$B$5:$AC$5,0),FALSE)/$Z127*VLOOKUP(AJ$5,feed_intensity_w,11,FALSE)</f>
        <v>0</v>
      </c>
      <c r="AK127" s="2">
        <f>VLOOKUP($W127,feed_mix_n,MATCH(AK$5,feed_mix_w!$B$5:$AC$5,0),FALSE)/$Z127*VLOOKUP(AK$5,feed_intensity_w,11,FALSE)</f>
        <v>0</v>
      </c>
      <c r="AL127" s="2">
        <f>VLOOKUP($W127,feed_mix_n,MATCH(AL$5,feed_mix_w!$B$5:$AC$5,0),FALSE)/$Z127*VLOOKUP(AL$5,feed_intensity_w,11,FALSE)</f>
        <v>0</v>
      </c>
      <c r="AM127" s="2">
        <f>VLOOKUP($W127,feed_mix_n,MATCH(AM$5,feed_mix_w!$B$5:$AC$5,0),FALSE)/$Z127*VLOOKUP(AM$5,feed_intensity_w,11,FALSE)</f>
        <v>2.9658404836790493</v>
      </c>
      <c r="AN127" s="2">
        <f>VLOOKUP($W127,feed_mix_n,MATCH(AN$5,feed_mix_w!$B$5:$AC$5,0),FALSE)/$Z127*VLOOKUP(AN$5,feed_intensity_w,11,FALSE)</f>
        <v>0</v>
      </c>
      <c r="AO127" s="2">
        <f>VLOOKUP($W127,feed_mix_n,MATCH(AO$5,feed_mix_w!$B$5:$AC$5,0),FALSE)/$Z127*VLOOKUP(AO$5,feed_intensity_w,11,FALSE)</f>
        <v>0</v>
      </c>
      <c r="AP127" s="2">
        <f>VLOOKUP($W127,feed_mix_n,MATCH(AP$5,feed_mix_w!$B$5:$AC$5,0),FALSE)/$Z127*VLOOKUP(AP$5,feed_intensity_w,11,FALSE)</f>
        <v>0</v>
      </c>
      <c r="AQ127" s="2">
        <f>VLOOKUP($W127,feed_mix_n,MATCH(AQ$5,feed_mix_w!$B$5:$AC$5,0),FALSE)/$Z127*VLOOKUP(AQ$5,feed_intensity_w,11,FALSE)</f>
        <v>0</v>
      </c>
      <c r="AR127" s="2">
        <f>VLOOKUP($W127,feed_mix_n,MATCH(AR$5,feed_mix_w!$B$5:$AC$5,0),FALSE)/$Z127*VLOOKUP(AR$5,feed_intensity_w,11,FALSE)</f>
        <v>3.4450866515945839</v>
      </c>
      <c r="AS127" s="389">
        <f>VLOOKUP($W127,feed_mix_n,MATCH(AS$5,feed_mix_w!$B$5:$AC$5,0),FALSE)/$Z127*VLOOKUP(AS$5,feed_intensity_w,11,FALSE)</f>
        <v>0</v>
      </c>
    </row>
    <row r="128" spans="1:45" ht="12.75" customHeight="1">
      <c r="A128" s="14" t="s">
        <v>7186</v>
      </c>
      <c r="B128" s="482">
        <v>1104</v>
      </c>
      <c r="C128" s="24" t="s">
        <v>5337</v>
      </c>
      <c r="D128" s="513"/>
      <c r="E128" s="513"/>
      <c r="F128" s="25">
        <f t="shared" si="33"/>
        <v>0</v>
      </c>
      <c r="G128" s="25">
        <f t="shared" si="34"/>
        <v>0</v>
      </c>
      <c r="H128" s="2">
        <f t="shared" si="35"/>
        <v>79.788645037119949</v>
      </c>
      <c r="I128" s="25">
        <f t="shared" si="36"/>
        <v>0</v>
      </c>
      <c r="J128" s="87">
        <f>IFERROR(G128*VLOOKUP(W128,livestock_intensity!$B$7:$I$29,8,FALSE)/Z128,0)</f>
        <v>0</v>
      </c>
      <c r="K128" s="2">
        <f>VLOOKUP($W128,feed_mix_n,MATCH(K$5,feed_mix_w!$B$5:$AC$5,0),FALSE)/$Z128*VLOOKUP(K$5,feed_intensity_w,11,FALSE)</f>
        <v>0</v>
      </c>
      <c r="L128" s="25">
        <f t="shared" si="37"/>
        <v>0</v>
      </c>
      <c r="M128" s="25">
        <f>IFERROR(G128*VLOOKUP(W128,livestock_intensity!$B$7:$M$29,12,FALSE)/Z128,0)</f>
        <v>0</v>
      </c>
      <c r="N128" s="2">
        <f>VLOOKUP($W128,feed_mix_n,MATCH(N$5,feed_mix_w!$B$5:$AC$5,0),FALSE)/$Z128*VLOOKUP(N$5,feed_intensity_w,11,FALSE)</f>
        <v>196.45992882090522</v>
      </c>
      <c r="O128" s="25">
        <f t="shared" si="38"/>
        <v>0</v>
      </c>
      <c r="P128" s="343">
        <f>IFERROR(G128*VLOOKUP(W128,livestock_intensity!$B$7:$Q$29,16,FALSE)/Z128,0)</f>
        <v>0</v>
      </c>
      <c r="Q128" s="758"/>
      <c r="R128" s="331">
        <f t="shared" si="39"/>
        <v>0</v>
      </c>
      <c r="S128" s="331">
        <f t="shared" si="40"/>
        <v>0</v>
      </c>
      <c r="T128" s="739">
        <v>2748</v>
      </c>
      <c r="U128" s="558" t="s">
        <v>2796</v>
      </c>
      <c r="V128" s="559" t="str">
        <f>IFERROR(VLOOKUP(W128,constant_ag_extr!$D$7:$E$594,2,FALSE),"")</f>
        <v>Horses</v>
      </c>
      <c r="W128" s="560">
        <f t="shared" si="41"/>
        <v>1096</v>
      </c>
      <c r="X128" s="2">
        <f>IFERROR(IF(VLOOKUP(B128,cnst_grazing!$C$10:$H$25,5,FALSE)="", IF(VLOOKUP(B128, cnst_grazing!$C$10:$H$25,3,FALSE)="", VLOOKUP(B128, cnst_grazing!$C$10:$H$25,4,FALSE),VLOOKUP(B128, cnst_grazing!$C$10:$H$25,3,FALSE)), VLOOKUP(B128,cnst_grazing!$C$10:$H$25,5,FALSE)),1)</f>
        <v>1</v>
      </c>
      <c r="Y128" s="2">
        <f>IFERROR(IF(VLOOKUP(B128,cnst_grazing!$C$10:$H$25,6,FALSE)="", IF(VLOOKUP(B128, cnst_grazing!$C$10:$H$25,4,FALSE)="", VLOOKUP(B128, cnst_grazing!$C$10:$H$25,3,FALSE),VLOOKUP(B128, cnst_grazing!$C$10:$H$25,4,FALSE)), VLOOKUP(B128,cnst_grazing!$C$10:$H$25,6,FALSE)),1)</f>
        <v>1</v>
      </c>
      <c r="Z128" s="400">
        <f t="shared" si="42"/>
        <v>0.17</v>
      </c>
      <c r="AA128" s="2">
        <f t="shared" si="43"/>
        <v>276.24857385802517</v>
      </c>
      <c r="AB128" s="2">
        <f>VLOOKUP($W128,feed_mix_n,MATCH(AB$5,feed_mix_w!$B$5:$AC$5,0),FALSE)/$Z128*VLOOKUP(AB$5,feed_intensity_w,11,FALSE)</f>
        <v>22.378121346475119</v>
      </c>
      <c r="AC128" s="2">
        <f>VLOOKUP($W128,feed_mix_n,MATCH(AC$5,feed_mix_w!$B$5:$AC$5,0),FALSE)/$Z128*VLOOKUP(AC$5,feed_intensity_w,11,FALSE)</f>
        <v>8.7957089815393203</v>
      </c>
      <c r="AD128" s="2">
        <f>VLOOKUP($W128,feed_mix_n,MATCH(AD$5,feed_mix_w!$B$5:$AC$5,0),FALSE)/$Z128*VLOOKUP(AD$5,feed_intensity_w,11,FALSE)</f>
        <v>0</v>
      </c>
      <c r="AE128" s="2">
        <f>VLOOKUP($W128,feed_mix_n,MATCH(AE$5,feed_mix_w!$B$5:$AC$5,0),FALSE)/$Z128*VLOOKUP(AE$5,feed_intensity_w,11,FALSE)</f>
        <v>17.707923538829899</v>
      </c>
      <c r="AF128" s="2">
        <f>VLOOKUP($W128,feed_mix_n,MATCH(AF$5,feed_mix_w!$B$5:$AC$5,0),FALSE)/$Z128*VLOOKUP(AF$5,feed_intensity_w,11,FALSE)</f>
        <v>8.8539617694149495</v>
      </c>
      <c r="AG128" s="2">
        <f>VLOOKUP($W128,feed_mix_n,MATCH(AG$5,feed_mix_w!$B$5:$AC$5,0),FALSE)/$Z128*VLOOKUP(AG$5,feed_intensity_w,11,FALSE)</f>
        <v>0</v>
      </c>
      <c r="AH128" s="2">
        <f>VLOOKUP($W128,feed_mix_n,MATCH(AH$5,feed_mix_w!$B$5:$AC$5,0),FALSE)/$Z128*VLOOKUP(AH$5,feed_intensity_w,11,FALSE)</f>
        <v>8.8539617694149495</v>
      </c>
      <c r="AI128" s="2">
        <f>VLOOKUP($W128,feed_mix_n,MATCH(AI$5,feed_mix_w!$B$5:$AC$5,0),FALSE)/$Z128*VLOOKUP(AI$5,feed_intensity_w,11,FALSE)</f>
        <v>0</v>
      </c>
      <c r="AJ128" s="2">
        <f>VLOOKUP($W128,feed_mix_n,MATCH(AJ$5,feed_mix_w!$B$5:$AC$5,0),FALSE)/$Z128*VLOOKUP(AJ$5,feed_intensity_w,11,FALSE)</f>
        <v>0</v>
      </c>
      <c r="AK128" s="2">
        <f>VLOOKUP($W128,feed_mix_n,MATCH(AK$5,feed_mix_w!$B$5:$AC$5,0),FALSE)/$Z128*VLOOKUP(AK$5,feed_intensity_w,11,FALSE)</f>
        <v>0</v>
      </c>
      <c r="AL128" s="2">
        <f>VLOOKUP($W128,feed_mix_n,MATCH(AL$5,feed_mix_w!$B$5:$AC$5,0),FALSE)/$Z128*VLOOKUP(AL$5,feed_intensity_w,11,FALSE)</f>
        <v>0</v>
      </c>
      <c r="AM128" s="2">
        <f>VLOOKUP($W128,feed_mix_n,MATCH(AM$5,feed_mix_w!$B$5:$AC$5,0),FALSE)/$Z128*VLOOKUP(AM$5,feed_intensity_w,11,FALSE)</f>
        <v>6.1061421722803946</v>
      </c>
      <c r="AN128" s="2">
        <f>VLOOKUP($W128,feed_mix_n,MATCH(AN$5,feed_mix_w!$B$5:$AC$5,0),FALSE)/$Z128*VLOOKUP(AN$5,feed_intensity_w,11,FALSE)</f>
        <v>0</v>
      </c>
      <c r="AO128" s="2">
        <f>VLOOKUP($W128,feed_mix_n,MATCH(AO$5,feed_mix_w!$B$5:$AC$5,0),FALSE)/$Z128*VLOOKUP(AO$5,feed_intensity_w,11,FALSE)</f>
        <v>0</v>
      </c>
      <c r="AP128" s="2">
        <f>VLOOKUP($W128,feed_mix_n,MATCH(AP$5,feed_mix_w!$B$5:$AC$5,0),FALSE)/$Z128*VLOOKUP(AP$5,feed_intensity_w,11,FALSE)</f>
        <v>0</v>
      </c>
      <c r="AQ128" s="2">
        <f>VLOOKUP($W128,feed_mix_n,MATCH(AQ$5,feed_mix_w!$B$5:$AC$5,0),FALSE)/$Z128*VLOOKUP(AQ$5,feed_intensity_w,11,FALSE)</f>
        <v>0</v>
      </c>
      <c r="AR128" s="2">
        <f>VLOOKUP($W128,feed_mix_n,MATCH(AR$5,feed_mix_w!$B$5:$AC$5,0),FALSE)/$Z128*VLOOKUP(AR$5,feed_intensity_w,11,FALSE)</f>
        <v>7.0928254591653186</v>
      </c>
      <c r="AS128" s="389">
        <f>VLOOKUP($W128,feed_mix_n,MATCH(AS$5,feed_mix_w!$B$5:$AC$5,0),FALSE)/$Z128*VLOOKUP(AS$5,feed_intensity_w,11,FALSE)</f>
        <v>0</v>
      </c>
    </row>
    <row r="129" spans="1:45" ht="12.75" customHeight="1">
      <c r="A129" s="14" t="s">
        <v>1478</v>
      </c>
      <c r="B129" s="482">
        <v>1105</v>
      </c>
      <c r="C129" s="24" t="s">
        <v>1550</v>
      </c>
      <c r="D129" s="513"/>
      <c r="E129" s="513"/>
      <c r="F129" s="25">
        <f t="shared" si="33"/>
        <v>0</v>
      </c>
      <c r="G129" s="25">
        <f t="shared" si="34"/>
        <v>0</v>
      </c>
      <c r="H129" s="2">
        <f t="shared" si="35"/>
        <v>79.788645037119949</v>
      </c>
      <c r="I129" s="25">
        <f t="shared" si="36"/>
        <v>0</v>
      </c>
      <c r="J129" s="87">
        <f>IFERROR(G129*VLOOKUP(W129,livestock_intensity!$B$7:$I$29,8,FALSE)/Z129,0)</f>
        <v>0</v>
      </c>
      <c r="K129" s="2">
        <f>VLOOKUP($W129,feed_mix_n,MATCH(K$5,feed_mix_w!$B$5:$AC$5,0),FALSE)/$Z129*VLOOKUP(K$5,feed_intensity_w,11,FALSE)</f>
        <v>0</v>
      </c>
      <c r="L129" s="25">
        <f t="shared" si="37"/>
        <v>0</v>
      </c>
      <c r="M129" s="25">
        <f>IFERROR(G129*VLOOKUP(W129,livestock_intensity!$B$7:$M$29,12,FALSE)/Z129,0)</f>
        <v>0</v>
      </c>
      <c r="N129" s="2">
        <f>VLOOKUP($W129,feed_mix_n,MATCH(N$5,feed_mix_w!$B$5:$AC$5,0),FALSE)/$Z129*VLOOKUP(N$5,feed_intensity_w,11,FALSE)</f>
        <v>196.45992882090522</v>
      </c>
      <c r="O129" s="25">
        <f t="shared" si="38"/>
        <v>0</v>
      </c>
      <c r="P129" s="343">
        <f>IFERROR(G129*VLOOKUP(W129,livestock_intensity!$B$7:$Q$29,16,FALSE)/Z129,0)</f>
        <v>0</v>
      </c>
      <c r="Q129" s="758"/>
      <c r="R129" s="331">
        <f t="shared" si="39"/>
        <v>0</v>
      </c>
      <c r="S129" s="331">
        <f t="shared" si="40"/>
        <v>0</v>
      </c>
      <c r="T129" s="739">
        <v>2748</v>
      </c>
      <c r="U129" s="558" t="s">
        <v>2796</v>
      </c>
      <c r="V129" s="559" t="str">
        <f>IFERROR(VLOOKUP(W129,constant_ag_extr!$D$7:$E$594,2,FALSE),"")</f>
        <v>Horses</v>
      </c>
      <c r="W129" s="560">
        <f t="shared" si="41"/>
        <v>1096</v>
      </c>
      <c r="X129" s="2">
        <f>IFERROR(IF(VLOOKUP(B129,cnst_grazing!$C$10:$H$25,5,FALSE)="", IF(VLOOKUP(B129, cnst_grazing!$C$10:$H$25,3,FALSE)="", VLOOKUP(B129, cnst_grazing!$C$10:$H$25,4,FALSE),VLOOKUP(B129, cnst_grazing!$C$10:$H$25,3,FALSE)), VLOOKUP(B129,cnst_grazing!$C$10:$H$25,5,FALSE)),1)</f>
        <v>1</v>
      </c>
      <c r="Y129" s="2">
        <f>IFERROR(IF(VLOOKUP(B129,cnst_grazing!$C$10:$H$25,6,FALSE)="", IF(VLOOKUP(B129, cnst_grazing!$C$10:$H$25,4,FALSE)="", VLOOKUP(B129, cnst_grazing!$C$10:$H$25,3,FALSE),VLOOKUP(B129, cnst_grazing!$C$10:$H$25,4,FALSE)), VLOOKUP(B129,cnst_grazing!$C$10:$H$25,6,FALSE)),1)</f>
        <v>1</v>
      </c>
      <c r="Z129" s="400">
        <f t="shared" si="42"/>
        <v>0.17</v>
      </c>
      <c r="AA129" s="2">
        <f t="shared" si="43"/>
        <v>276.24857385802517</v>
      </c>
      <c r="AB129" s="2">
        <f>VLOOKUP($W129,feed_mix_n,MATCH(AB$5,feed_mix_w!$B$5:$AC$5,0),FALSE)/$Z129*VLOOKUP(AB$5,feed_intensity_w,11,FALSE)</f>
        <v>22.378121346475119</v>
      </c>
      <c r="AC129" s="2">
        <f>VLOOKUP($W129,feed_mix_n,MATCH(AC$5,feed_mix_w!$B$5:$AC$5,0),FALSE)/$Z129*VLOOKUP(AC$5,feed_intensity_w,11,FALSE)</f>
        <v>8.7957089815393203</v>
      </c>
      <c r="AD129" s="2">
        <f>VLOOKUP($W129,feed_mix_n,MATCH(AD$5,feed_mix_w!$B$5:$AC$5,0),FALSE)/$Z129*VLOOKUP(AD$5,feed_intensity_w,11,FALSE)</f>
        <v>0</v>
      </c>
      <c r="AE129" s="2">
        <f>VLOOKUP($W129,feed_mix_n,MATCH(AE$5,feed_mix_w!$B$5:$AC$5,0),FALSE)/$Z129*VLOOKUP(AE$5,feed_intensity_w,11,FALSE)</f>
        <v>17.707923538829899</v>
      </c>
      <c r="AF129" s="2">
        <f>VLOOKUP($W129,feed_mix_n,MATCH(AF$5,feed_mix_w!$B$5:$AC$5,0),FALSE)/$Z129*VLOOKUP(AF$5,feed_intensity_w,11,FALSE)</f>
        <v>8.8539617694149495</v>
      </c>
      <c r="AG129" s="2">
        <f>VLOOKUP($W129,feed_mix_n,MATCH(AG$5,feed_mix_w!$B$5:$AC$5,0),FALSE)/$Z129*VLOOKUP(AG$5,feed_intensity_w,11,FALSE)</f>
        <v>0</v>
      </c>
      <c r="AH129" s="2">
        <f>VLOOKUP($W129,feed_mix_n,MATCH(AH$5,feed_mix_w!$B$5:$AC$5,0),FALSE)/$Z129*VLOOKUP(AH$5,feed_intensity_w,11,FALSE)</f>
        <v>8.8539617694149495</v>
      </c>
      <c r="AI129" s="2">
        <f>VLOOKUP($W129,feed_mix_n,MATCH(AI$5,feed_mix_w!$B$5:$AC$5,0),FALSE)/$Z129*VLOOKUP(AI$5,feed_intensity_w,11,FALSE)</f>
        <v>0</v>
      </c>
      <c r="AJ129" s="2">
        <f>VLOOKUP($W129,feed_mix_n,MATCH(AJ$5,feed_mix_w!$B$5:$AC$5,0),FALSE)/$Z129*VLOOKUP(AJ$5,feed_intensity_w,11,FALSE)</f>
        <v>0</v>
      </c>
      <c r="AK129" s="2">
        <f>VLOOKUP($W129,feed_mix_n,MATCH(AK$5,feed_mix_w!$B$5:$AC$5,0),FALSE)/$Z129*VLOOKUP(AK$5,feed_intensity_w,11,FALSE)</f>
        <v>0</v>
      </c>
      <c r="AL129" s="2">
        <f>VLOOKUP($W129,feed_mix_n,MATCH(AL$5,feed_mix_w!$B$5:$AC$5,0),FALSE)/$Z129*VLOOKUP(AL$5,feed_intensity_w,11,FALSE)</f>
        <v>0</v>
      </c>
      <c r="AM129" s="2">
        <f>VLOOKUP($W129,feed_mix_n,MATCH(AM$5,feed_mix_w!$B$5:$AC$5,0),FALSE)/$Z129*VLOOKUP(AM$5,feed_intensity_w,11,FALSE)</f>
        <v>6.1061421722803946</v>
      </c>
      <c r="AN129" s="2">
        <f>VLOOKUP($W129,feed_mix_n,MATCH(AN$5,feed_mix_w!$B$5:$AC$5,0),FALSE)/$Z129*VLOOKUP(AN$5,feed_intensity_w,11,FALSE)</f>
        <v>0</v>
      </c>
      <c r="AO129" s="2">
        <f>VLOOKUP($W129,feed_mix_n,MATCH(AO$5,feed_mix_w!$B$5:$AC$5,0),FALSE)/$Z129*VLOOKUP(AO$5,feed_intensity_w,11,FALSE)</f>
        <v>0</v>
      </c>
      <c r="AP129" s="2">
        <f>VLOOKUP($W129,feed_mix_n,MATCH(AP$5,feed_mix_w!$B$5:$AC$5,0),FALSE)/$Z129*VLOOKUP(AP$5,feed_intensity_w,11,FALSE)</f>
        <v>0</v>
      </c>
      <c r="AQ129" s="2">
        <f>VLOOKUP($W129,feed_mix_n,MATCH(AQ$5,feed_mix_w!$B$5:$AC$5,0),FALSE)/$Z129*VLOOKUP(AQ$5,feed_intensity_w,11,FALSE)</f>
        <v>0</v>
      </c>
      <c r="AR129" s="2">
        <f>VLOOKUP($W129,feed_mix_n,MATCH(AR$5,feed_mix_w!$B$5:$AC$5,0),FALSE)/$Z129*VLOOKUP(AR$5,feed_intensity_w,11,FALSE)</f>
        <v>7.0928254591653186</v>
      </c>
      <c r="AS129" s="389">
        <f>VLOOKUP($W129,feed_mix_n,MATCH(AS$5,feed_mix_w!$B$5:$AC$5,0),FALSE)/$Z129*VLOOKUP(AS$5,feed_intensity_w,11,FALSE)</f>
        <v>0</v>
      </c>
    </row>
    <row r="130" spans="1:45" ht="12.75" customHeight="1">
      <c r="A130" s="14" t="s">
        <v>3253</v>
      </c>
      <c r="B130" s="482">
        <v>1107</v>
      </c>
      <c r="C130" s="24" t="s">
        <v>533</v>
      </c>
      <c r="D130" s="513">
        <v>21</v>
      </c>
      <c r="E130" s="513">
        <v>1</v>
      </c>
      <c r="F130" s="25">
        <f t="shared" si="33"/>
        <v>1.6564164610712324</v>
      </c>
      <c r="G130" s="25">
        <f t="shared" si="34"/>
        <v>6.7943182208022354E-2</v>
      </c>
      <c r="H130" s="2">
        <f t="shared" si="35"/>
        <v>10.08039347895528</v>
      </c>
      <c r="I130" s="25">
        <f t="shared" si="36"/>
        <v>16.697329692616634</v>
      </c>
      <c r="J130" s="87">
        <f>IFERROR(G130*VLOOKUP(W130,livestock_intensity!$B$7:$I$29,8,FALSE)/Z130,0)</f>
        <v>0.68489401086921897</v>
      </c>
      <c r="K130" s="2">
        <f>VLOOKUP($W130,feed_mix_n,MATCH(K$5,feed_mix_w!$B$5:$AC$5,0),FALSE)/$Z130*VLOOKUP(K$5,feed_intensity_w,11,FALSE)</f>
        <v>0</v>
      </c>
      <c r="L130" s="25">
        <f t="shared" si="37"/>
        <v>0</v>
      </c>
      <c r="M130" s="25">
        <f>IFERROR(G130*VLOOKUP(W130,livestock_intensity!$B$7:$M$29,12,FALSE)/Z130,0)</f>
        <v>0</v>
      </c>
      <c r="N130" s="2">
        <f>VLOOKUP($W130,feed_mix_n,MATCH(N$5,feed_mix_w!$B$5:$AC$5,0),FALSE)/$Z130*VLOOKUP(N$5,feed_intensity_w,11,FALSE)</f>
        <v>24.82049149275484</v>
      </c>
      <c r="O130" s="25">
        <f t="shared" si="38"/>
        <v>41.113070680477605</v>
      </c>
      <c r="P130" s="343">
        <f>IFERROR(G130*VLOOKUP(W130,livestock_intensity!$B$7:$Q$29,16,FALSE)/Z130,0)</f>
        <v>1.6863831759849108</v>
      </c>
      <c r="Q130" s="758"/>
      <c r="R130" s="331">
        <f t="shared" si="39"/>
        <v>57.81040037309424</v>
      </c>
      <c r="S130" s="331">
        <f t="shared" si="40"/>
        <v>2.3712771868541296</v>
      </c>
      <c r="T130" s="739" t="s">
        <v>2738</v>
      </c>
      <c r="U130" s="558" t="s">
        <v>413</v>
      </c>
      <c r="V130" s="559" t="str">
        <f>IFERROR(VLOOKUP(W130,constant_ag_extr!$D$7:$E$594,2,FALSE),"")</f>
        <v>Asses</v>
      </c>
      <c r="W130" s="560">
        <f t="shared" si="41"/>
        <v>1107</v>
      </c>
      <c r="X130" s="2">
        <f>IFERROR(IF(VLOOKUP(B130,cnst_grazing!$C$10:$H$25,5,FALSE)="", IF(VLOOKUP(B130, cnst_grazing!$C$10:$H$25,3,FALSE)="", VLOOKUP(B130, cnst_grazing!$C$10:$H$25,4,FALSE),VLOOKUP(B130, cnst_grazing!$C$10:$H$25,3,FALSE)), VLOOKUP(B130,cnst_grazing!$C$10:$H$25,5,FALSE)),1)</f>
        <v>7.8876974336725358E-2</v>
      </c>
      <c r="Y130" s="2">
        <f>IFERROR(IF(VLOOKUP(B130,cnst_grazing!$C$10:$H$25,6,FALSE)="", IF(VLOOKUP(B130, cnst_grazing!$C$10:$H$25,4,FALSE)="", VLOOKUP(B130, cnst_grazing!$C$10:$H$25,3,FALSE),VLOOKUP(B130, cnst_grazing!$C$10:$H$25,4,FALSE)), VLOOKUP(B130,cnst_grazing!$C$10:$H$25,6,FALSE)),1)</f>
        <v>6.7943182208022354E-2</v>
      </c>
      <c r="Z130" s="400">
        <f t="shared" si="42"/>
        <v>1</v>
      </c>
      <c r="AA130" s="2">
        <f t="shared" si="43"/>
        <v>34.90088497171012</v>
      </c>
      <c r="AB130" s="2">
        <f>VLOOKUP($W130,feed_mix_n,MATCH(AB$5,feed_mix_w!$B$5:$AC$5,0),FALSE)/$Z130*VLOOKUP(AB$5,feed_intensity_w,11,FALSE)</f>
        <v>2.8272227005149841</v>
      </c>
      <c r="AC130" s="2">
        <f>VLOOKUP($W130,feed_mix_n,MATCH(AC$5,feed_mix_w!$B$5:$AC$5,0),FALSE)/$Z130*VLOOKUP(AC$5,feed_intensity_w,11,FALSE)</f>
        <v>1.1112384151786041</v>
      </c>
      <c r="AD130" s="2">
        <f>VLOOKUP($W130,feed_mix_n,MATCH(AD$5,feed_mix_w!$B$5:$AC$5,0),FALSE)/$Z130*VLOOKUP(AD$5,feed_intensity_w,11,FALSE)</f>
        <v>0</v>
      </c>
      <c r="AE130" s="2">
        <f>VLOOKUP($W130,feed_mix_n,MATCH(AE$5,feed_mix_w!$B$5:$AC$5,0),FALSE)/$Z130*VLOOKUP(AE$5,feed_intensity_w,11,FALSE)</f>
        <v>2.2371959930340344</v>
      </c>
      <c r="AF130" s="2">
        <f>VLOOKUP($W130,feed_mix_n,MATCH(AF$5,feed_mix_w!$B$5:$AC$5,0),FALSE)/$Z130*VLOOKUP(AF$5,feed_intensity_w,11,FALSE)</f>
        <v>1.1185979965170172</v>
      </c>
      <c r="AG130" s="2">
        <f>VLOOKUP($W130,feed_mix_n,MATCH(AG$5,feed_mix_w!$B$5:$AC$5,0),FALSE)/$Z130*VLOOKUP(AG$5,feed_intensity_w,11,FALSE)</f>
        <v>0</v>
      </c>
      <c r="AH130" s="2">
        <f>VLOOKUP($W130,feed_mix_n,MATCH(AH$5,feed_mix_w!$B$5:$AC$5,0),FALSE)/$Z130*VLOOKUP(AH$5,feed_intensity_w,11,FALSE)</f>
        <v>1.1185979965170172</v>
      </c>
      <c r="AI130" s="2">
        <f>VLOOKUP($W130,feed_mix_n,MATCH(AI$5,feed_mix_w!$B$5:$AC$5,0),FALSE)/$Z130*VLOOKUP(AI$5,feed_intensity_w,11,FALSE)</f>
        <v>0</v>
      </c>
      <c r="AJ130" s="2">
        <f>VLOOKUP($W130,feed_mix_n,MATCH(AJ$5,feed_mix_w!$B$5:$AC$5,0),FALSE)/$Z130*VLOOKUP(AJ$5,feed_intensity_w,11,FALSE)</f>
        <v>0</v>
      </c>
      <c r="AK130" s="2">
        <f>VLOOKUP($W130,feed_mix_n,MATCH(AK$5,feed_mix_w!$B$5:$AC$5,0),FALSE)/$Z130*VLOOKUP(AK$5,feed_intensity_w,11,FALSE)</f>
        <v>0</v>
      </c>
      <c r="AL130" s="2">
        <f>VLOOKUP($W130,feed_mix_n,MATCH(AL$5,feed_mix_w!$B$5:$AC$5,0),FALSE)/$Z130*VLOOKUP(AL$5,feed_intensity_w,11,FALSE)</f>
        <v>0</v>
      </c>
      <c r="AM130" s="2">
        <f>VLOOKUP($W130,feed_mix_n,MATCH(AM$5,feed_mix_w!$B$5:$AC$5,0),FALSE)/$Z130*VLOOKUP(AM$5,feed_intensity_w,11,FALSE)</f>
        <v>0.77144204800561833</v>
      </c>
      <c r="AN130" s="2">
        <f>VLOOKUP($W130,feed_mix_n,MATCH(AN$5,feed_mix_w!$B$5:$AC$5,0),FALSE)/$Z130*VLOOKUP(AN$5,feed_intensity_w,11,FALSE)</f>
        <v>0</v>
      </c>
      <c r="AO130" s="2">
        <f>VLOOKUP($W130,feed_mix_n,MATCH(AO$5,feed_mix_w!$B$5:$AC$5,0),FALSE)/$Z130*VLOOKUP(AO$5,feed_intensity_w,11,FALSE)</f>
        <v>0</v>
      </c>
      <c r="AP130" s="2">
        <f>VLOOKUP($W130,feed_mix_n,MATCH(AP$5,feed_mix_w!$B$5:$AC$5,0),FALSE)/$Z130*VLOOKUP(AP$5,feed_intensity_w,11,FALSE)</f>
        <v>0</v>
      </c>
      <c r="AQ130" s="2">
        <f>VLOOKUP($W130,feed_mix_n,MATCH(AQ$5,feed_mix_w!$B$5:$AC$5,0),FALSE)/$Z130*VLOOKUP(AQ$5,feed_intensity_w,11,FALSE)</f>
        <v>0</v>
      </c>
      <c r="AR130" s="2">
        <f>VLOOKUP($W130,feed_mix_n,MATCH(AR$5,feed_mix_w!$B$5:$AC$5,0),FALSE)/$Z130*VLOOKUP(AR$5,feed_intensity_w,11,FALSE)</f>
        <v>0.89609832918800592</v>
      </c>
      <c r="AS130" s="389">
        <f>VLOOKUP($W130,feed_mix_n,MATCH(AS$5,feed_mix_w!$B$5:$AC$5,0),FALSE)/$Z130*VLOOKUP(AS$5,feed_intensity_w,11,FALSE)</f>
        <v>0</v>
      </c>
    </row>
    <row r="131" spans="1:45" ht="12.75" customHeight="1">
      <c r="A131" s="14" t="s">
        <v>7187</v>
      </c>
      <c r="B131" s="482">
        <v>1108</v>
      </c>
      <c r="C131" s="24" t="s">
        <v>14</v>
      </c>
      <c r="D131" s="513"/>
      <c r="E131" s="513"/>
      <c r="F131" s="25">
        <f t="shared" si="33"/>
        <v>0</v>
      </c>
      <c r="G131" s="25">
        <f t="shared" si="34"/>
        <v>0</v>
      </c>
      <c r="H131" s="2">
        <f t="shared" si="35"/>
        <v>13.263675630204316</v>
      </c>
      <c r="I131" s="25">
        <f t="shared" si="36"/>
        <v>0</v>
      </c>
      <c r="J131" s="87">
        <f>IFERROR(G131*VLOOKUP(W131,livestock_intensity!$B$7:$I$29,8,FALSE)/Z131,0)</f>
        <v>0</v>
      </c>
      <c r="K131" s="2">
        <f>VLOOKUP($W131,feed_mix_n,MATCH(K$5,feed_mix_w!$B$5:$AC$5,0),FALSE)/$Z131*VLOOKUP(K$5,feed_intensity_w,11,FALSE)</f>
        <v>0</v>
      </c>
      <c r="L131" s="25">
        <f t="shared" si="37"/>
        <v>0</v>
      </c>
      <c r="M131" s="25">
        <f>IFERROR(G131*VLOOKUP(W131,livestock_intensity!$B$7:$M$29,12,FALSE)/Z131,0)</f>
        <v>0</v>
      </c>
      <c r="N131" s="2">
        <f>VLOOKUP($W131,feed_mix_n,MATCH(N$5,feed_mix_w!$B$5:$AC$5,0),FALSE)/$Z131*VLOOKUP(N$5,feed_intensity_w,11,FALSE)</f>
        <v>32.658541437835318</v>
      </c>
      <c r="O131" s="25">
        <f t="shared" si="38"/>
        <v>0</v>
      </c>
      <c r="P131" s="343">
        <f>IFERROR(G131*VLOOKUP(W131,livestock_intensity!$B$7:$Q$29,16,FALSE)/Z131,0)</f>
        <v>0</v>
      </c>
      <c r="Q131" s="758"/>
      <c r="R131" s="331">
        <f t="shared" si="39"/>
        <v>0</v>
      </c>
      <c r="S131" s="331">
        <f t="shared" si="40"/>
        <v>0</v>
      </c>
      <c r="T131" s="739">
        <v>2735</v>
      </c>
      <c r="U131" s="558" t="s">
        <v>2796</v>
      </c>
      <c r="V131" s="559" t="str">
        <f>IFERROR(VLOOKUP(W131,constant_ag_extr!$D$7:$E$594,2,FALSE),"")</f>
        <v>Asses</v>
      </c>
      <c r="W131" s="560">
        <f t="shared" si="41"/>
        <v>1107</v>
      </c>
      <c r="X131" s="2">
        <f>IFERROR(IF(VLOOKUP(B131,cnst_grazing!$C$10:$H$25,5,FALSE)="", IF(VLOOKUP(B131, cnst_grazing!$C$10:$H$25,3,FALSE)="", VLOOKUP(B131, cnst_grazing!$C$10:$H$25,4,FALSE),VLOOKUP(B131, cnst_grazing!$C$10:$H$25,3,FALSE)), VLOOKUP(B131,cnst_grazing!$C$10:$H$25,5,FALSE)),1)</f>
        <v>1</v>
      </c>
      <c r="Y131" s="2">
        <f>IFERROR(IF(VLOOKUP(B131,cnst_grazing!$C$10:$H$25,6,FALSE)="", IF(VLOOKUP(B131, cnst_grazing!$C$10:$H$25,4,FALSE)="", VLOOKUP(B131, cnst_grazing!$C$10:$H$25,3,FALSE),VLOOKUP(B131, cnst_grazing!$C$10:$H$25,4,FALSE)), VLOOKUP(B131,cnst_grazing!$C$10:$H$25,6,FALSE)),1)</f>
        <v>1</v>
      </c>
      <c r="Z131" s="400">
        <f t="shared" si="42"/>
        <v>0.76</v>
      </c>
      <c r="AA131" s="2">
        <f t="shared" si="43"/>
        <v>45.922217068039636</v>
      </c>
      <c r="AB131" s="2">
        <f>VLOOKUP($W131,feed_mix_n,MATCH(AB$5,feed_mix_w!$B$5:$AC$5,0),FALSE)/$Z131*VLOOKUP(AB$5,feed_intensity_w,11,FALSE)</f>
        <v>3.7200298690986631</v>
      </c>
      <c r="AC131" s="2">
        <f>VLOOKUP($W131,feed_mix_n,MATCH(AC$5,feed_mix_w!$B$5:$AC$5,0),FALSE)/$Z131*VLOOKUP(AC$5,feed_intensity_w,11,FALSE)</f>
        <v>1.4621558094455316</v>
      </c>
      <c r="AD131" s="2">
        <f>VLOOKUP($W131,feed_mix_n,MATCH(AD$5,feed_mix_w!$B$5:$AC$5,0),FALSE)/$Z131*VLOOKUP(AD$5,feed_intensity_w,11,FALSE)</f>
        <v>0</v>
      </c>
      <c r="AE131" s="2">
        <f>VLOOKUP($W131,feed_mix_n,MATCH(AE$5,feed_mix_w!$B$5:$AC$5,0),FALSE)/$Z131*VLOOKUP(AE$5,feed_intensity_w,11,FALSE)</f>
        <v>2.9436789382026767</v>
      </c>
      <c r="AF131" s="2">
        <f>VLOOKUP($W131,feed_mix_n,MATCH(AF$5,feed_mix_w!$B$5:$AC$5,0),FALSE)/$Z131*VLOOKUP(AF$5,feed_intensity_w,11,FALSE)</f>
        <v>1.4718394691013383</v>
      </c>
      <c r="AG131" s="2">
        <f>VLOOKUP($W131,feed_mix_n,MATCH(AG$5,feed_mix_w!$B$5:$AC$5,0),FALSE)/$Z131*VLOOKUP(AG$5,feed_intensity_w,11,FALSE)</f>
        <v>0</v>
      </c>
      <c r="AH131" s="2">
        <f>VLOOKUP($W131,feed_mix_n,MATCH(AH$5,feed_mix_w!$B$5:$AC$5,0),FALSE)/$Z131*VLOOKUP(AH$5,feed_intensity_w,11,FALSE)</f>
        <v>1.4718394691013383</v>
      </c>
      <c r="AI131" s="2">
        <f>VLOOKUP($W131,feed_mix_n,MATCH(AI$5,feed_mix_w!$B$5:$AC$5,0),FALSE)/$Z131*VLOOKUP(AI$5,feed_intensity_w,11,FALSE)</f>
        <v>0</v>
      </c>
      <c r="AJ131" s="2">
        <f>VLOOKUP($W131,feed_mix_n,MATCH(AJ$5,feed_mix_w!$B$5:$AC$5,0),FALSE)/$Z131*VLOOKUP(AJ$5,feed_intensity_w,11,FALSE)</f>
        <v>0</v>
      </c>
      <c r="AK131" s="2">
        <f>VLOOKUP($W131,feed_mix_n,MATCH(AK$5,feed_mix_w!$B$5:$AC$5,0),FALSE)/$Z131*VLOOKUP(AK$5,feed_intensity_w,11,FALSE)</f>
        <v>0</v>
      </c>
      <c r="AL131" s="2">
        <f>VLOOKUP($W131,feed_mix_n,MATCH(AL$5,feed_mix_w!$B$5:$AC$5,0),FALSE)/$Z131*VLOOKUP(AL$5,feed_intensity_w,11,FALSE)</f>
        <v>0</v>
      </c>
      <c r="AM131" s="2">
        <f>VLOOKUP($W131,feed_mix_n,MATCH(AM$5,feed_mix_w!$B$5:$AC$5,0),FALSE)/$Z131*VLOOKUP(AM$5,feed_intensity_w,11,FALSE)</f>
        <v>1.0150553263231819</v>
      </c>
      <c r="AN131" s="2">
        <f>VLOOKUP($W131,feed_mix_n,MATCH(AN$5,feed_mix_w!$B$5:$AC$5,0),FALSE)/$Z131*VLOOKUP(AN$5,feed_intensity_w,11,FALSE)</f>
        <v>0</v>
      </c>
      <c r="AO131" s="2">
        <f>VLOOKUP($W131,feed_mix_n,MATCH(AO$5,feed_mix_w!$B$5:$AC$5,0),FALSE)/$Z131*VLOOKUP(AO$5,feed_intensity_w,11,FALSE)</f>
        <v>0</v>
      </c>
      <c r="AP131" s="2">
        <f>VLOOKUP($W131,feed_mix_n,MATCH(AP$5,feed_mix_w!$B$5:$AC$5,0),FALSE)/$Z131*VLOOKUP(AP$5,feed_intensity_w,11,FALSE)</f>
        <v>0</v>
      </c>
      <c r="AQ131" s="2">
        <f>VLOOKUP($W131,feed_mix_n,MATCH(AQ$5,feed_mix_w!$B$5:$AC$5,0),FALSE)/$Z131*VLOOKUP(AQ$5,feed_intensity_w,11,FALSE)</f>
        <v>0</v>
      </c>
      <c r="AR131" s="2">
        <f>VLOOKUP($W131,feed_mix_n,MATCH(AR$5,feed_mix_w!$B$5:$AC$5,0),FALSE)/$Z131*VLOOKUP(AR$5,feed_intensity_w,11,FALSE)</f>
        <v>1.1790767489315868</v>
      </c>
      <c r="AS131" s="389">
        <f>VLOOKUP($W131,feed_mix_n,MATCH(AS$5,feed_mix_w!$B$5:$AC$5,0),FALSE)/$Z131*VLOOKUP(AS$5,feed_intensity_w,11,FALSE)</f>
        <v>0</v>
      </c>
    </row>
    <row r="132" spans="1:45" ht="12.75" customHeight="1">
      <c r="A132" s="14" t="s">
        <v>4998</v>
      </c>
      <c r="B132" s="482">
        <v>1110</v>
      </c>
      <c r="C132" s="24"/>
      <c r="D132" s="513">
        <v>55</v>
      </c>
      <c r="E132" s="513">
        <v>4.5</v>
      </c>
      <c r="F132" s="25">
        <f t="shared" si="33"/>
        <v>5.4624918341727238</v>
      </c>
      <c r="G132" s="25">
        <f t="shared" si="34"/>
        <v>0.38497831361944951</v>
      </c>
      <c r="H132" s="2">
        <f t="shared" si="35"/>
        <v>11.478138758022606</v>
      </c>
      <c r="I132" s="25">
        <f t="shared" si="36"/>
        <v>62.699239237199933</v>
      </c>
      <c r="J132" s="87">
        <f>IFERROR(G132*VLOOKUP(W132,livestock_intensity!$B$7:$I$29,8,FALSE)/Z132,0)</f>
        <v>7.3227571054522116</v>
      </c>
      <c r="K132" s="2">
        <f>VLOOKUP($W132,feed_mix_n,MATCH(K$5,feed_mix_w!$B$5:$AC$5,0),FALSE)/$Z132*VLOOKUP(K$5,feed_intensity_w,11,FALSE)</f>
        <v>0</v>
      </c>
      <c r="L132" s="25">
        <f t="shared" si="37"/>
        <v>0</v>
      </c>
      <c r="M132" s="25">
        <f>IFERROR(G132*VLOOKUP(W132,livestock_intensity!$B$7:$M$29,12,FALSE)/Z132,0)</f>
        <v>0</v>
      </c>
      <c r="N132" s="2">
        <f>VLOOKUP($W132,feed_mix_n,MATCH(N$5,feed_mix_w!$B$5:$AC$5,0),FALSE)/$Z132*VLOOKUP(N$5,feed_intensity_w,11,FALSE)</f>
        <v>28.262095719867247</v>
      </c>
      <c r="O132" s="25">
        <f t="shared" si="38"/>
        <v>154.38146708638271</v>
      </c>
      <c r="P132" s="343">
        <f>IFERROR(G132*VLOOKUP(W132,livestock_intensity!$B$7:$Q$29,16,FALSE)/Z132,0)</f>
        <v>9.4062229193769795</v>
      </c>
      <c r="Q132" s="758"/>
      <c r="R132" s="331">
        <f t="shared" si="39"/>
        <v>217.08070632358266</v>
      </c>
      <c r="S132" s="331">
        <f t="shared" si="40"/>
        <v>16.728980024829191</v>
      </c>
      <c r="T132" s="739" t="s">
        <v>2738</v>
      </c>
      <c r="U132" s="558"/>
      <c r="V132" s="559" t="str">
        <f>IFERROR(VLOOKUP(W132,constant_ag_extr!$D$7:$E$594,2,FALSE),"")</f>
        <v>Mules</v>
      </c>
      <c r="W132" s="560">
        <f t="shared" si="41"/>
        <v>1110</v>
      </c>
      <c r="X132" s="2">
        <f>IFERROR(IF(VLOOKUP(B132,cnst_grazing!$C$10:$H$25,5,FALSE)="", IF(VLOOKUP(B132, cnst_grazing!$C$10:$H$25,3,FALSE)="", VLOOKUP(B132, cnst_grazing!$C$10:$H$25,4,FALSE),VLOOKUP(B132, cnst_grazing!$C$10:$H$25,3,FALSE)), VLOOKUP(B132,cnst_grazing!$C$10:$H$25,5,FALSE)),1)</f>
        <v>9.9318033348594972E-2</v>
      </c>
      <c r="Y132" s="2">
        <f>IFERROR(IF(VLOOKUP(B132,cnst_grazing!$C$10:$H$25,6,FALSE)="", IF(VLOOKUP(B132, cnst_grazing!$C$10:$H$25,4,FALSE)="", VLOOKUP(B132, cnst_grazing!$C$10:$H$25,3,FALSE),VLOOKUP(B132, cnst_grazing!$C$10:$H$25,4,FALSE)), VLOOKUP(B132,cnst_grazing!$C$10:$H$25,6,FALSE)),1)</f>
        <v>8.5550736359877672E-2</v>
      </c>
      <c r="Z132" s="400">
        <f t="shared" si="42"/>
        <v>1</v>
      </c>
      <c r="AA132" s="2">
        <f t="shared" si="43"/>
        <v>39.740234477889857</v>
      </c>
      <c r="AB132" s="2">
        <f>VLOOKUP($W132,feed_mix_n,MATCH(AB$5,feed_mix_w!$B$5:$AC$5,0),FALSE)/$Z132*VLOOKUP(AB$5,feed_intensity_w,11,FALSE)</f>
        <v>3.2192448165927727</v>
      </c>
      <c r="AC132" s="2">
        <f>VLOOKUP($W132,feed_mix_n,MATCH(AC$5,feed_mix_w!$B$5:$AC$5,0),FALSE)/$Z132*VLOOKUP(AC$5,feed_intensity_w,11,FALSE)</f>
        <v>1.2653225044531753</v>
      </c>
      <c r="AD132" s="2">
        <f>VLOOKUP($W132,feed_mix_n,MATCH(AD$5,feed_mix_w!$B$5:$AC$5,0),FALSE)/$Z132*VLOOKUP(AD$5,feed_intensity_w,11,FALSE)</f>
        <v>0</v>
      </c>
      <c r="AE132" s="2">
        <f>VLOOKUP($W132,feed_mix_n,MATCH(AE$5,feed_mix_w!$B$5:$AC$5,0),FALSE)/$Z132*VLOOKUP(AE$5,feed_intensity_w,11,FALSE)</f>
        <v>2.5474051276417184</v>
      </c>
      <c r="AF132" s="2">
        <f>VLOOKUP($W132,feed_mix_n,MATCH(AF$5,feed_mix_w!$B$5:$AC$5,0),FALSE)/$Z132*VLOOKUP(AF$5,feed_intensity_w,11,FALSE)</f>
        <v>1.2737025638208592</v>
      </c>
      <c r="AG132" s="2">
        <f>VLOOKUP($W132,feed_mix_n,MATCH(AG$5,feed_mix_w!$B$5:$AC$5,0),FALSE)/$Z132*VLOOKUP(AG$5,feed_intensity_w,11,FALSE)</f>
        <v>0</v>
      </c>
      <c r="AH132" s="2">
        <f>VLOOKUP($W132,feed_mix_n,MATCH(AH$5,feed_mix_w!$B$5:$AC$5,0),FALSE)/$Z132*VLOOKUP(AH$5,feed_intensity_w,11,FALSE)</f>
        <v>1.2737025638208592</v>
      </c>
      <c r="AI132" s="2">
        <f>VLOOKUP($W132,feed_mix_n,MATCH(AI$5,feed_mix_w!$B$5:$AC$5,0),FALSE)/$Z132*VLOOKUP(AI$5,feed_intensity_w,11,FALSE)</f>
        <v>0</v>
      </c>
      <c r="AJ132" s="2">
        <f>VLOOKUP($W132,feed_mix_n,MATCH(AJ$5,feed_mix_w!$B$5:$AC$5,0),FALSE)/$Z132*VLOOKUP(AJ$5,feed_intensity_w,11,FALSE)</f>
        <v>0</v>
      </c>
      <c r="AK132" s="2">
        <f>VLOOKUP($W132,feed_mix_n,MATCH(AK$5,feed_mix_w!$B$5:$AC$5,0),FALSE)/$Z132*VLOOKUP(AK$5,feed_intensity_w,11,FALSE)</f>
        <v>0</v>
      </c>
      <c r="AL132" s="2">
        <f>VLOOKUP($W132,feed_mix_n,MATCH(AL$5,feed_mix_w!$B$5:$AC$5,0),FALSE)/$Z132*VLOOKUP(AL$5,feed_intensity_w,11,FALSE)</f>
        <v>0</v>
      </c>
      <c r="AM132" s="2">
        <f>VLOOKUP($W132,feed_mix_n,MATCH(AM$5,feed_mix_w!$B$5:$AC$5,0),FALSE)/$Z132*VLOOKUP(AM$5,feed_intensity_w,11,FALSE)</f>
        <v>0.87841004314638271</v>
      </c>
      <c r="AN132" s="2">
        <f>VLOOKUP($W132,feed_mix_n,MATCH(AN$5,feed_mix_w!$B$5:$AC$5,0),FALSE)/$Z132*VLOOKUP(AN$5,feed_intensity_w,11,FALSE)</f>
        <v>0</v>
      </c>
      <c r="AO132" s="2">
        <f>VLOOKUP($W132,feed_mix_n,MATCH(AO$5,feed_mix_w!$B$5:$AC$5,0),FALSE)/$Z132*VLOOKUP(AO$5,feed_intensity_w,11,FALSE)</f>
        <v>0</v>
      </c>
      <c r="AP132" s="2">
        <f>VLOOKUP($W132,feed_mix_n,MATCH(AP$5,feed_mix_w!$B$5:$AC$5,0),FALSE)/$Z132*VLOOKUP(AP$5,feed_intensity_w,11,FALSE)</f>
        <v>0</v>
      </c>
      <c r="AQ132" s="2">
        <f>VLOOKUP($W132,feed_mix_n,MATCH(AQ$5,feed_mix_w!$B$5:$AC$5,0),FALSE)/$Z132*VLOOKUP(AQ$5,feed_intensity_w,11,FALSE)</f>
        <v>0</v>
      </c>
      <c r="AR132" s="2">
        <f>VLOOKUP($W132,feed_mix_n,MATCH(AR$5,feed_mix_w!$B$5:$AC$5,0),FALSE)/$Z132*VLOOKUP(AR$5,feed_intensity_w,11,FALSE)</f>
        <v>1.0203511385468387</v>
      </c>
      <c r="AS132" s="389">
        <f>VLOOKUP($W132,feed_mix_n,MATCH(AS$5,feed_mix_w!$B$5:$AC$5,0),FALSE)/$Z132*VLOOKUP(AS$5,feed_intensity_w,11,FALSE)</f>
        <v>0</v>
      </c>
    </row>
    <row r="133" spans="1:45" ht="12.75" customHeight="1">
      <c r="A133" s="14" t="s">
        <v>4903</v>
      </c>
      <c r="B133" s="482">
        <v>1126</v>
      </c>
      <c r="C133" s="24" t="s">
        <v>4904</v>
      </c>
      <c r="D133" s="513"/>
      <c r="E133" s="513"/>
      <c r="F133" s="25">
        <f t="shared" si="33"/>
        <v>0</v>
      </c>
      <c r="G133" s="25">
        <f t="shared" si="34"/>
        <v>0</v>
      </c>
      <c r="H133" s="2">
        <f t="shared" si="35"/>
        <v>10.893599774800212</v>
      </c>
      <c r="I133" s="25">
        <f t="shared" si="36"/>
        <v>0</v>
      </c>
      <c r="J133" s="87">
        <f>IFERROR(G133*VLOOKUP(W133,livestock_intensity!$B$7:$I$29,8,FALSE)/Z133,0)</f>
        <v>0</v>
      </c>
      <c r="K133" s="2">
        <f>VLOOKUP($W133,feed_mix_n,MATCH(K$5,feed_mix_w!$B$5:$AC$5,0),FALSE)/$Z133*VLOOKUP(K$5,feed_intensity_w,11,FALSE)</f>
        <v>0</v>
      </c>
      <c r="L133" s="25">
        <f t="shared" si="37"/>
        <v>0</v>
      </c>
      <c r="M133" s="25">
        <f>IFERROR(G133*VLOOKUP(W133,livestock_intensity!$B$7:$M$29,12,FALSE)/Z133,0)</f>
        <v>0</v>
      </c>
      <c r="N133" s="2">
        <f>VLOOKUP($W133,feed_mix_n,MATCH(N$5,feed_mix_w!$B$5:$AC$5,0),FALSE)/$Z133*VLOOKUP(N$5,feed_intensity_w,11,FALSE)</f>
        <v>26.822812135298417</v>
      </c>
      <c r="O133" s="25">
        <f t="shared" si="38"/>
        <v>0</v>
      </c>
      <c r="P133" s="343">
        <f>IFERROR(G133*VLOOKUP(W133,livestock_intensity!$B$7:$Q$29,16,FALSE)/Z133,0)</f>
        <v>0</v>
      </c>
      <c r="Q133" s="758"/>
      <c r="R133" s="331">
        <f t="shared" si="39"/>
        <v>0</v>
      </c>
      <c r="S133" s="331">
        <f t="shared" si="40"/>
        <v>0</v>
      </c>
      <c r="T133" s="739" t="s">
        <v>2738</v>
      </c>
      <c r="U133" s="558" t="s">
        <v>413</v>
      </c>
      <c r="V133" s="559" t="str">
        <f>IFERROR(VLOOKUP(W133,constant_ag_extr!$D$7:$E$594,2,FALSE),"")</f>
        <v>Camels</v>
      </c>
      <c r="W133" s="560">
        <f t="shared" si="41"/>
        <v>1126</v>
      </c>
      <c r="X133" s="2">
        <f>IFERROR(IF(VLOOKUP(B133,cnst_grazing!$C$10:$H$25,5,FALSE)="", IF(VLOOKUP(B133, cnst_grazing!$C$10:$H$25,3,FALSE)="", VLOOKUP(B133, cnst_grazing!$C$10:$H$25,4,FALSE),VLOOKUP(B133, cnst_grazing!$C$10:$H$25,3,FALSE)), VLOOKUP(B133,cnst_grazing!$C$10:$H$25,5,FALSE)),1)</f>
        <v>0.21649999916553497</v>
      </c>
      <c r="Y133" s="2">
        <f>IFERROR(IF(VLOOKUP(B133,cnst_grazing!$C$10:$H$25,6,FALSE)="", IF(VLOOKUP(B133, cnst_grazing!$C$10:$H$25,4,FALSE)="", VLOOKUP(B133, cnst_grazing!$C$10:$H$25,3,FALSE),VLOOKUP(B133, cnst_grazing!$C$10:$H$25,4,FALSE)), VLOOKUP(B133,cnst_grazing!$C$10:$H$25,6,FALSE)),1)</f>
        <v>0.21649999916553497</v>
      </c>
      <c r="Z133" s="400">
        <f t="shared" si="42"/>
        <v>1</v>
      </c>
      <c r="AA133" s="2">
        <f t="shared" si="43"/>
        <v>37.716411910098628</v>
      </c>
      <c r="AB133" s="2">
        <f>VLOOKUP($W133,feed_mix_n,MATCH(AB$5,feed_mix_w!$B$5:$AC$5,0),FALSE)/$Z133*VLOOKUP(AB$5,feed_intensity_w,11,FALSE)</f>
        <v>3.0553006326526857</v>
      </c>
      <c r="AC133" s="2">
        <f>VLOOKUP($W133,feed_mix_n,MATCH(AC$5,feed_mix_w!$B$5:$AC$5,0),FALSE)/$Z133*VLOOKUP(AC$5,feed_intensity_w,11,FALSE)</f>
        <v>1.2008843280385093</v>
      </c>
      <c r="AD133" s="2">
        <f>VLOOKUP($W133,feed_mix_n,MATCH(AD$5,feed_mix_w!$B$5:$AC$5,0),FALSE)/$Z133*VLOOKUP(AD$5,feed_intensity_w,11,FALSE)</f>
        <v>0</v>
      </c>
      <c r="AE133" s="2">
        <f>VLOOKUP($W133,feed_mix_n,MATCH(AE$5,feed_mix_w!$B$5:$AC$5,0),FALSE)/$Z133*VLOOKUP(AE$5,feed_intensity_w,11,FALSE)</f>
        <v>2.4176752442033922</v>
      </c>
      <c r="AF133" s="2">
        <f>VLOOKUP($W133,feed_mix_n,MATCH(AF$5,feed_mix_w!$B$5:$AC$5,0),FALSE)/$Z133*VLOOKUP(AF$5,feed_intensity_w,11,FALSE)</f>
        <v>1.2088376221016961</v>
      </c>
      <c r="AG133" s="2">
        <f>VLOOKUP($W133,feed_mix_n,MATCH(AG$5,feed_mix_w!$B$5:$AC$5,0),FALSE)/$Z133*VLOOKUP(AG$5,feed_intensity_w,11,FALSE)</f>
        <v>0</v>
      </c>
      <c r="AH133" s="2">
        <f>VLOOKUP($W133,feed_mix_n,MATCH(AH$5,feed_mix_w!$B$5:$AC$5,0),FALSE)/$Z133*VLOOKUP(AH$5,feed_intensity_w,11,FALSE)</f>
        <v>1.2088376221016961</v>
      </c>
      <c r="AI133" s="2">
        <f>VLOOKUP($W133,feed_mix_n,MATCH(AI$5,feed_mix_w!$B$5:$AC$5,0),FALSE)/$Z133*VLOOKUP(AI$5,feed_intensity_w,11,FALSE)</f>
        <v>0</v>
      </c>
      <c r="AJ133" s="2">
        <f>VLOOKUP($W133,feed_mix_n,MATCH(AJ$5,feed_mix_w!$B$5:$AC$5,0),FALSE)/$Z133*VLOOKUP(AJ$5,feed_intensity_w,11,FALSE)</f>
        <v>0</v>
      </c>
      <c r="AK133" s="2">
        <f>VLOOKUP($W133,feed_mix_n,MATCH(AK$5,feed_mix_w!$B$5:$AC$5,0),FALSE)/$Z133*VLOOKUP(AK$5,feed_intensity_w,11,FALSE)</f>
        <v>0</v>
      </c>
      <c r="AL133" s="2">
        <f>VLOOKUP($W133,feed_mix_n,MATCH(AL$5,feed_mix_w!$B$5:$AC$5,0),FALSE)/$Z133*VLOOKUP(AL$5,feed_intensity_w,11,FALSE)</f>
        <v>0</v>
      </c>
      <c r="AM133" s="2">
        <f>VLOOKUP($W133,feed_mix_n,MATCH(AM$5,feed_mix_w!$B$5:$AC$5,0),FALSE)/$Z133*VLOOKUP(AM$5,feed_intensity_w,11,FALSE)</f>
        <v>0.83367588159826211</v>
      </c>
      <c r="AN133" s="2">
        <f>VLOOKUP($W133,feed_mix_n,MATCH(AN$5,feed_mix_w!$B$5:$AC$5,0),FALSE)/$Z133*VLOOKUP(AN$5,feed_intensity_w,11,FALSE)</f>
        <v>0</v>
      </c>
      <c r="AO133" s="2">
        <f>VLOOKUP($W133,feed_mix_n,MATCH(AO$5,feed_mix_w!$B$5:$AC$5,0),FALSE)/$Z133*VLOOKUP(AO$5,feed_intensity_w,11,FALSE)</f>
        <v>0</v>
      </c>
      <c r="AP133" s="2">
        <f>VLOOKUP($W133,feed_mix_n,MATCH(AP$5,feed_mix_w!$B$5:$AC$5,0),FALSE)/$Z133*VLOOKUP(AP$5,feed_intensity_w,11,FALSE)</f>
        <v>0</v>
      </c>
      <c r="AQ133" s="2">
        <f>VLOOKUP($W133,feed_mix_n,MATCH(AQ$5,feed_mix_w!$B$5:$AC$5,0),FALSE)/$Z133*VLOOKUP(AQ$5,feed_intensity_w,11,FALSE)</f>
        <v>0</v>
      </c>
      <c r="AR133" s="2">
        <f>VLOOKUP($W133,feed_mix_n,MATCH(AR$5,feed_mix_w!$B$5:$AC$5,0),FALSE)/$Z133*VLOOKUP(AR$5,feed_intensity_w,11,FALSE)</f>
        <v>0.96838844410396963</v>
      </c>
      <c r="AS133" s="389">
        <f>VLOOKUP($W133,feed_mix_n,MATCH(AS$5,feed_mix_w!$B$5:$AC$5,0),FALSE)/$Z133*VLOOKUP(AS$5,feed_intensity_w,11,FALSE)</f>
        <v>0</v>
      </c>
    </row>
    <row r="134" spans="1:45" ht="12.75" customHeight="1">
      <c r="A134" s="14" t="s">
        <v>4475</v>
      </c>
      <c r="B134" s="482">
        <v>1127</v>
      </c>
      <c r="C134" s="24" t="s">
        <v>4476</v>
      </c>
      <c r="D134" s="513"/>
      <c r="E134" s="513"/>
      <c r="F134" s="25">
        <f t="shared" si="33"/>
        <v>0</v>
      </c>
      <c r="G134" s="25">
        <f t="shared" si="34"/>
        <v>0</v>
      </c>
      <c r="H134" s="2">
        <f t="shared" si="35"/>
        <v>12.639387643173103</v>
      </c>
      <c r="I134" s="25">
        <f t="shared" si="36"/>
        <v>0</v>
      </c>
      <c r="J134" s="87">
        <f>IFERROR(G134*VLOOKUP(W134,livestock_intensity!$B$7:$I$29,8,FALSE)/Z134,0)</f>
        <v>0</v>
      </c>
      <c r="K134" s="2">
        <f>VLOOKUP($W134,feed_mix_n,MATCH(K$5,feed_mix_w!$B$5:$AC$5,0),FALSE)/$Z134*VLOOKUP(K$5,feed_intensity_w,11,FALSE)</f>
        <v>0</v>
      </c>
      <c r="L134" s="25">
        <f t="shared" si="37"/>
        <v>0</v>
      </c>
      <c r="M134" s="25">
        <f>IFERROR(G134*VLOOKUP(W134,livestock_intensity!$B$7:$M$29,12,FALSE)/Z134,0)</f>
        <v>0</v>
      </c>
      <c r="N134" s="2">
        <f>VLOOKUP($W134,feed_mix_n,MATCH(N$5,feed_mix_w!$B$5:$AC$5,0),FALSE)/$Z134*VLOOKUP(N$5,feed_intensity_w,11,FALSE)</f>
        <v>31.121385700463932</v>
      </c>
      <c r="O134" s="25">
        <f t="shared" si="38"/>
        <v>0</v>
      </c>
      <c r="P134" s="343">
        <f>IFERROR(G134*VLOOKUP(W134,livestock_intensity!$B$7:$Q$29,16,FALSE)/Z134,0)</f>
        <v>0</v>
      </c>
      <c r="Q134" s="758"/>
      <c r="R134" s="331">
        <f t="shared" si="39"/>
        <v>0</v>
      </c>
      <c r="S134" s="331">
        <f t="shared" si="40"/>
        <v>0</v>
      </c>
      <c r="T134" s="739">
        <v>2735</v>
      </c>
      <c r="U134" s="558" t="s">
        <v>2796</v>
      </c>
      <c r="V134" s="559" t="str">
        <f>IFERROR(VLOOKUP(W134,constant_ag_extr!$D$7:$E$594,2,FALSE),"")</f>
        <v>Camels</v>
      </c>
      <c r="W134" s="560">
        <f t="shared" si="41"/>
        <v>1126</v>
      </c>
      <c r="X134" s="2">
        <f>IFERROR(IF(VLOOKUP(B134,cnst_grazing!$C$10:$H$25,5,FALSE)="", IF(VLOOKUP(B134, cnst_grazing!$C$10:$H$25,3,FALSE)="", VLOOKUP(B134, cnst_grazing!$C$10:$H$25,4,FALSE),VLOOKUP(B134, cnst_grazing!$C$10:$H$25,3,FALSE)), VLOOKUP(B134,cnst_grazing!$C$10:$H$25,5,FALSE)),1)</f>
        <v>1</v>
      </c>
      <c r="Y134" s="2">
        <f>IFERROR(IF(VLOOKUP(B134,cnst_grazing!$C$10:$H$25,6,FALSE)="", IF(VLOOKUP(B134, cnst_grazing!$C$10:$H$25,4,FALSE)="", VLOOKUP(B134, cnst_grazing!$C$10:$H$25,3,FALSE),VLOOKUP(B134, cnst_grazing!$C$10:$H$25,4,FALSE)), VLOOKUP(B134,cnst_grazing!$C$10:$H$25,6,FALSE)),1)</f>
        <v>1</v>
      </c>
      <c r="Z134" s="400">
        <f t="shared" si="42"/>
        <v>0.86187717968157707</v>
      </c>
      <c r="AA134" s="2">
        <f t="shared" si="43"/>
        <v>43.760773343637034</v>
      </c>
      <c r="AB134" s="2">
        <f>VLOOKUP($W134,feed_mix_n,MATCH(AB$5,feed_mix_w!$B$5:$AC$5,0),FALSE)/$Z134*VLOOKUP(AB$5,feed_intensity_w,11,FALSE)</f>
        <v>3.5449373816597336</v>
      </c>
      <c r="AC134" s="2">
        <f>VLOOKUP($W134,feed_mix_n,MATCH(AC$5,feed_mix_w!$B$5:$AC$5,0),FALSE)/$Z134*VLOOKUP(AC$5,feed_intensity_w,11,FALSE)</f>
        <v>1.3933357981263403</v>
      </c>
      <c r="AD134" s="2">
        <f>VLOOKUP($W134,feed_mix_n,MATCH(AD$5,feed_mix_w!$B$5:$AC$5,0),FALSE)/$Z134*VLOOKUP(AD$5,feed_intensity_w,11,FALSE)</f>
        <v>0</v>
      </c>
      <c r="AE134" s="2">
        <f>VLOOKUP($W134,feed_mix_n,MATCH(AE$5,feed_mix_w!$B$5:$AC$5,0),FALSE)/$Z134*VLOOKUP(AE$5,feed_intensity_w,11,FALSE)</f>
        <v>2.8051273443585187</v>
      </c>
      <c r="AF134" s="2">
        <f>VLOOKUP($W134,feed_mix_n,MATCH(AF$5,feed_mix_w!$B$5:$AC$5,0),FALSE)/$Z134*VLOOKUP(AF$5,feed_intensity_w,11,FALSE)</f>
        <v>1.4025636721792594</v>
      </c>
      <c r="AG134" s="2">
        <f>VLOOKUP($W134,feed_mix_n,MATCH(AG$5,feed_mix_w!$B$5:$AC$5,0),FALSE)/$Z134*VLOOKUP(AG$5,feed_intensity_w,11,FALSE)</f>
        <v>0</v>
      </c>
      <c r="AH134" s="2">
        <f>VLOOKUP($W134,feed_mix_n,MATCH(AH$5,feed_mix_w!$B$5:$AC$5,0),FALSE)/$Z134*VLOOKUP(AH$5,feed_intensity_w,11,FALSE)</f>
        <v>1.4025636721792594</v>
      </c>
      <c r="AI134" s="2">
        <f>VLOOKUP($W134,feed_mix_n,MATCH(AI$5,feed_mix_w!$B$5:$AC$5,0),FALSE)/$Z134*VLOOKUP(AI$5,feed_intensity_w,11,FALSE)</f>
        <v>0</v>
      </c>
      <c r="AJ134" s="2">
        <f>VLOOKUP($W134,feed_mix_n,MATCH(AJ$5,feed_mix_w!$B$5:$AC$5,0),FALSE)/$Z134*VLOOKUP(AJ$5,feed_intensity_w,11,FALSE)</f>
        <v>0</v>
      </c>
      <c r="AK134" s="2">
        <f>VLOOKUP($W134,feed_mix_n,MATCH(AK$5,feed_mix_w!$B$5:$AC$5,0),FALSE)/$Z134*VLOOKUP(AK$5,feed_intensity_w,11,FALSE)</f>
        <v>0</v>
      </c>
      <c r="AL134" s="2">
        <f>VLOOKUP($W134,feed_mix_n,MATCH(AL$5,feed_mix_w!$B$5:$AC$5,0),FALSE)/$Z134*VLOOKUP(AL$5,feed_intensity_w,11,FALSE)</f>
        <v>0</v>
      </c>
      <c r="AM134" s="2">
        <f>VLOOKUP($W134,feed_mix_n,MATCH(AM$5,feed_mix_w!$B$5:$AC$5,0),FALSE)/$Z134*VLOOKUP(AM$5,feed_intensity_w,11,FALSE)</f>
        <v>0.96727921477891554</v>
      </c>
      <c r="AN134" s="2">
        <f>VLOOKUP($W134,feed_mix_n,MATCH(AN$5,feed_mix_w!$B$5:$AC$5,0),FALSE)/$Z134*VLOOKUP(AN$5,feed_intensity_w,11,FALSE)</f>
        <v>0</v>
      </c>
      <c r="AO134" s="2">
        <f>VLOOKUP($W134,feed_mix_n,MATCH(AO$5,feed_mix_w!$B$5:$AC$5,0),FALSE)/$Z134*VLOOKUP(AO$5,feed_intensity_w,11,FALSE)</f>
        <v>0</v>
      </c>
      <c r="AP134" s="2">
        <f>VLOOKUP($W134,feed_mix_n,MATCH(AP$5,feed_mix_w!$B$5:$AC$5,0),FALSE)/$Z134*VLOOKUP(AP$5,feed_intensity_w,11,FALSE)</f>
        <v>0</v>
      </c>
      <c r="AQ134" s="2">
        <f>VLOOKUP($W134,feed_mix_n,MATCH(AQ$5,feed_mix_w!$B$5:$AC$5,0),FALSE)/$Z134*VLOOKUP(AQ$5,feed_intensity_w,11,FALSE)</f>
        <v>0</v>
      </c>
      <c r="AR134" s="2">
        <f>VLOOKUP($W134,feed_mix_n,MATCH(AR$5,feed_mix_w!$B$5:$AC$5,0),FALSE)/$Z134*VLOOKUP(AR$5,feed_intensity_w,11,FALSE)</f>
        <v>1.123580559891078</v>
      </c>
      <c r="AS134" s="389">
        <f>VLOOKUP($W134,feed_mix_n,MATCH(AS$5,feed_mix_w!$B$5:$AC$5,0),FALSE)/$Z134*VLOOKUP(AS$5,feed_intensity_w,11,FALSE)</f>
        <v>0</v>
      </c>
    </row>
    <row r="135" spans="1:45" ht="12.75" customHeight="1">
      <c r="A135" s="14" t="s">
        <v>7188</v>
      </c>
      <c r="B135" s="482">
        <v>1129</v>
      </c>
      <c r="C135" s="24" t="s">
        <v>1201</v>
      </c>
      <c r="D135" s="513"/>
      <c r="E135" s="513"/>
      <c r="F135" s="25">
        <f t="shared" ref="F135:F166" si="44">D135*X135</f>
        <v>0</v>
      </c>
      <c r="G135" s="25">
        <f t="shared" ref="G135:G166" si="45">E135*Y135</f>
        <v>0</v>
      </c>
      <c r="H135" s="2">
        <f t="shared" ref="H135:H166" si="46">SUM(AB135:AP135)+AR135+AS135</f>
        <v>21.461086099810839</v>
      </c>
      <c r="I135" s="25">
        <f t="shared" ref="I135:I166" si="47">IFERROR(F135*VLOOKUP(B135,livestock_intensity_w,7,FALSE),0)</f>
        <v>0</v>
      </c>
      <c r="J135" s="87">
        <f>IFERROR(G135*VLOOKUP(W135,livestock_intensity!$B$7:$I$29,8,FALSE)/Z135,0)</f>
        <v>0</v>
      </c>
      <c r="K135" s="2">
        <f>VLOOKUP($W135,feed_mix_n,MATCH(K$5,feed_mix_w!$B$5:$AC$5,0),FALSE)/$Z135*VLOOKUP(K$5,feed_intensity_w,11,FALSE)</f>
        <v>0</v>
      </c>
      <c r="L135" s="25">
        <f t="shared" ref="L135:L166" si="48">IFERROR(F135*VLOOKUP($B135,livestock_intensity_w,10,FALSE),0)</f>
        <v>0</v>
      </c>
      <c r="M135" s="25">
        <f>IFERROR(G135*VLOOKUP(W135,livestock_intensity!$B$7:$M$29,12,FALSE)/Z135,0)</f>
        <v>0</v>
      </c>
      <c r="N135" s="2">
        <f>VLOOKUP($W135,feed_mix_n,MATCH(N$5,feed_mix_w!$B$5:$AC$5,0),FALSE)/$Z135*VLOOKUP(N$5,feed_intensity_w,11,FALSE)</f>
        <v>52.842650049097067</v>
      </c>
      <c r="O135" s="25">
        <f t="shared" ref="O135:O166" si="49">IFERROR(F135*VLOOKUP(B135,livestock_intensity_w,13,FALSE),0)</f>
        <v>0</v>
      </c>
      <c r="P135" s="343">
        <f>IFERROR(G135*VLOOKUP(W135,livestock_intensity!$B$7:$Q$29,16,FALSE)/Z135,0)</f>
        <v>0</v>
      </c>
      <c r="Q135" s="758"/>
      <c r="R135" s="331">
        <f t="shared" ref="R135:R166" si="50">IFERROR(SUM(I135,L135,O135),0)</f>
        <v>0</v>
      </c>
      <c r="S135" s="331">
        <f t="shared" ref="S135:S166" si="51">IFERROR(SUM(J135,M135,P135),0)</f>
        <v>0</v>
      </c>
      <c r="T135" s="739">
        <v>2737</v>
      </c>
      <c r="U135" s="558" t="s">
        <v>2796</v>
      </c>
      <c r="V135" s="559" t="str">
        <f>IFERROR(VLOOKUP(W135,constant_ag_extr!$D$7:$E$594,2,FALSE),"")</f>
        <v>Camels</v>
      </c>
      <c r="W135" s="560">
        <f t="shared" ref="W135:W166" si="52">IFERROR(VLOOKUP(B135,constant_ag_extr,3,FALSE),"")</f>
        <v>1126</v>
      </c>
      <c r="X135" s="2">
        <f>IFERROR(IF(VLOOKUP(B135,cnst_grazing!$C$10:$H$25,5,FALSE)="", IF(VLOOKUP(B135, cnst_grazing!$C$10:$H$25,3,FALSE)="", VLOOKUP(B135, cnst_grazing!$C$10:$H$25,4,FALSE),VLOOKUP(B135, cnst_grazing!$C$10:$H$25,3,FALSE)), VLOOKUP(B135,cnst_grazing!$C$10:$H$25,5,FALSE)),1)</f>
        <v>1</v>
      </c>
      <c r="Y135" s="2">
        <f>IFERROR(IF(VLOOKUP(B135,cnst_grazing!$C$10:$H$25,6,FALSE)="", IF(VLOOKUP(B135, cnst_grazing!$C$10:$H$25,4,FALSE)="", VLOOKUP(B135, cnst_grazing!$C$10:$H$25,3,FALSE),VLOOKUP(B135, cnst_grazing!$C$10:$H$25,4,FALSE)), VLOOKUP(B135,cnst_grazing!$C$10:$H$25,6,FALSE)),1)</f>
        <v>1</v>
      </c>
      <c r="Z135" s="400">
        <f t="shared" ref="Z135:Z166" si="53">IFERROR(VLOOKUP(B135,constant_ag_extr,14,FALSE),"-")</f>
        <v>0.50759778531880695</v>
      </c>
      <c r="AA135" s="2">
        <f t="shared" ref="AA135:AA166" si="54">H135+N135</f>
        <v>74.303736148907902</v>
      </c>
      <c r="AB135" s="2">
        <f>VLOOKUP($W135,feed_mix_n,MATCH(AB$5,feed_mix_w!$B$5:$AC$5,0),FALSE)/$Z135*VLOOKUP(AB$5,feed_intensity_w,11,FALSE)</f>
        <v>6.0191370431881275</v>
      </c>
      <c r="AC135" s="2">
        <f>VLOOKUP($W135,feed_mix_n,MATCH(AC$5,feed_mix_w!$B$5:$AC$5,0),FALSE)/$Z135*VLOOKUP(AC$5,feed_intensity_w,11,FALSE)</f>
        <v>2.3658186910415102</v>
      </c>
      <c r="AD135" s="2">
        <f>VLOOKUP($W135,feed_mix_n,MATCH(AD$5,feed_mix_w!$B$5:$AC$5,0),FALSE)/$Z135*VLOOKUP(AD$5,feed_intensity_w,11,FALSE)</f>
        <v>0</v>
      </c>
      <c r="AE135" s="2">
        <f>VLOOKUP($W135,feed_mix_n,MATCH(AE$5,feed_mix_w!$B$5:$AC$5,0),FALSE)/$Z135*VLOOKUP(AE$5,feed_intensity_w,11,FALSE)</f>
        <v>4.7629743748486275</v>
      </c>
      <c r="AF135" s="2">
        <f>VLOOKUP($W135,feed_mix_n,MATCH(AF$5,feed_mix_w!$B$5:$AC$5,0),FALSE)/$Z135*VLOOKUP(AF$5,feed_intensity_w,11,FALSE)</f>
        <v>2.3814871874243138</v>
      </c>
      <c r="AG135" s="2">
        <f>VLOOKUP($W135,feed_mix_n,MATCH(AG$5,feed_mix_w!$B$5:$AC$5,0),FALSE)/$Z135*VLOOKUP(AG$5,feed_intensity_w,11,FALSE)</f>
        <v>0</v>
      </c>
      <c r="AH135" s="2">
        <f>VLOOKUP($W135,feed_mix_n,MATCH(AH$5,feed_mix_w!$B$5:$AC$5,0),FALSE)/$Z135*VLOOKUP(AH$5,feed_intensity_w,11,FALSE)</f>
        <v>2.3814871874243138</v>
      </c>
      <c r="AI135" s="2">
        <f>VLOOKUP($W135,feed_mix_n,MATCH(AI$5,feed_mix_w!$B$5:$AC$5,0),FALSE)/$Z135*VLOOKUP(AI$5,feed_intensity_w,11,FALSE)</f>
        <v>0</v>
      </c>
      <c r="AJ135" s="2">
        <f>VLOOKUP($W135,feed_mix_n,MATCH(AJ$5,feed_mix_w!$B$5:$AC$5,0),FALSE)/$Z135*VLOOKUP(AJ$5,feed_intensity_w,11,FALSE)</f>
        <v>0</v>
      </c>
      <c r="AK135" s="2">
        <f>VLOOKUP($W135,feed_mix_n,MATCH(AK$5,feed_mix_w!$B$5:$AC$5,0),FALSE)/$Z135*VLOOKUP(AK$5,feed_intensity_w,11,FALSE)</f>
        <v>0</v>
      </c>
      <c r="AL135" s="2">
        <f>VLOOKUP($W135,feed_mix_n,MATCH(AL$5,feed_mix_w!$B$5:$AC$5,0),FALSE)/$Z135*VLOOKUP(AL$5,feed_intensity_w,11,FALSE)</f>
        <v>0</v>
      </c>
      <c r="AM135" s="2">
        <f>VLOOKUP($W135,feed_mix_n,MATCH(AM$5,feed_mix_w!$B$5:$AC$5,0),FALSE)/$Z135*VLOOKUP(AM$5,feed_intensity_w,11,FALSE)</f>
        <v>1.6423946394381042</v>
      </c>
      <c r="AN135" s="2">
        <f>VLOOKUP($W135,feed_mix_n,MATCH(AN$5,feed_mix_w!$B$5:$AC$5,0),FALSE)/$Z135*VLOOKUP(AN$5,feed_intensity_w,11,FALSE)</f>
        <v>0</v>
      </c>
      <c r="AO135" s="2">
        <f>VLOOKUP($W135,feed_mix_n,MATCH(AO$5,feed_mix_w!$B$5:$AC$5,0),FALSE)/$Z135*VLOOKUP(AO$5,feed_intensity_w,11,FALSE)</f>
        <v>0</v>
      </c>
      <c r="AP135" s="2">
        <f>VLOOKUP($W135,feed_mix_n,MATCH(AP$5,feed_mix_w!$B$5:$AC$5,0),FALSE)/$Z135*VLOOKUP(AP$5,feed_intensity_w,11,FALSE)</f>
        <v>0</v>
      </c>
      <c r="AQ135" s="2">
        <f>VLOOKUP($W135,feed_mix_n,MATCH(AQ$5,feed_mix_w!$B$5:$AC$5,0),FALSE)/$Z135*VLOOKUP(AQ$5,feed_intensity_w,11,FALSE)</f>
        <v>0</v>
      </c>
      <c r="AR135" s="2">
        <f>VLOOKUP($W135,feed_mix_n,MATCH(AR$5,feed_mix_w!$B$5:$AC$5,0),FALSE)/$Z135*VLOOKUP(AR$5,feed_intensity_w,11,FALSE)</f>
        <v>1.9077869764458366</v>
      </c>
      <c r="AS135" s="389">
        <f>VLOOKUP($W135,feed_mix_n,MATCH(AS$5,feed_mix_w!$B$5:$AC$5,0),FALSE)/$Z135*VLOOKUP(AS$5,feed_intensity_w,11,FALSE)</f>
        <v>0</v>
      </c>
    </row>
    <row r="136" spans="1:45" ht="12.75" customHeight="1">
      <c r="A136" s="14" t="s">
        <v>7189</v>
      </c>
      <c r="B136" s="482">
        <v>1134</v>
      </c>
      <c r="C136" s="24" t="s">
        <v>1552</v>
      </c>
      <c r="D136" s="513"/>
      <c r="E136" s="513"/>
      <c r="F136" s="25">
        <f t="shared" si="44"/>
        <v>0</v>
      </c>
      <c r="G136" s="25">
        <f t="shared" si="45"/>
        <v>0</v>
      </c>
      <c r="H136" s="2">
        <f t="shared" si="46"/>
        <v>31.124570785143465</v>
      </c>
      <c r="I136" s="25">
        <f t="shared" si="47"/>
        <v>0</v>
      </c>
      <c r="J136" s="87">
        <f>IFERROR(G136*VLOOKUP(W136,livestock_intensity!$B$7:$I$29,8,FALSE)/Z136,0)</f>
        <v>0</v>
      </c>
      <c r="K136" s="2">
        <f>VLOOKUP($W136,feed_mix_n,MATCH(K$5,feed_mix_w!$B$5:$AC$5,0),FALSE)/$Z136*VLOOKUP(K$5,feed_intensity_w,11,FALSE)</f>
        <v>0</v>
      </c>
      <c r="L136" s="25">
        <f t="shared" si="48"/>
        <v>0</v>
      </c>
      <c r="M136" s="25">
        <f>IFERROR(G136*VLOOKUP(W136,livestock_intensity!$B$7:$M$29,12,FALSE)/Z136,0)</f>
        <v>0</v>
      </c>
      <c r="N136" s="2">
        <f>VLOOKUP($W136,feed_mix_n,MATCH(N$5,feed_mix_w!$B$5:$AC$5,0),FALSE)/$Z136*VLOOKUP(N$5,feed_intensity_w,11,FALSE)</f>
        <v>76.636606100852617</v>
      </c>
      <c r="O136" s="25">
        <f t="shared" si="49"/>
        <v>0</v>
      </c>
      <c r="P136" s="343">
        <f>IFERROR(G136*VLOOKUP(W136,livestock_intensity!$B$7:$Q$29,16,FALSE)/Z136,0)</f>
        <v>0</v>
      </c>
      <c r="Q136" s="758"/>
      <c r="R136" s="331">
        <f t="shared" si="50"/>
        <v>0</v>
      </c>
      <c r="S136" s="331">
        <f t="shared" si="51"/>
        <v>0</v>
      </c>
      <c r="T136" s="739">
        <v>2748</v>
      </c>
      <c r="U136" s="558" t="s">
        <v>2796</v>
      </c>
      <c r="V136" s="559" t="str">
        <f>IFERROR(VLOOKUP(W136,constant_ag_extr!$D$7:$E$594,2,FALSE),"")</f>
        <v>Camels</v>
      </c>
      <c r="W136" s="560">
        <f t="shared" si="52"/>
        <v>1126</v>
      </c>
      <c r="X136" s="2">
        <f>IFERROR(IF(VLOOKUP(B136,cnst_grazing!$C$10:$H$25,5,FALSE)="", IF(VLOOKUP(B136, cnst_grazing!$C$10:$H$25,3,FALSE)="", VLOOKUP(B136, cnst_grazing!$C$10:$H$25,4,FALSE),VLOOKUP(B136, cnst_grazing!$C$10:$H$25,3,FALSE)), VLOOKUP(B136,cnst_grazing!$C$10:$H$25,5,FALSE)),1)</f>
        <v>1</v>
      </c>
      <c r="Y136" s="2">
        <f>IFERROR(IF(VLOOKUP(B136,cnst_grazing!$C$10:$H$25,6,FALSE)="", IF(VLOOKUP(B136, cnst_grazing!$C$10:$H$25,4,FALSE)="", VLOOKUP(B136, cnst_grazing!$C$10:$H$25,3,FALSE),VLOOKUP(B136, cnst_grazing!$C$10:$H$25,4,FALSE)), VLOOKUP(B136,cnst_grazing!$C$10:$H$25,6,FALSE)),1)</f>
        <v>1</v>
      </c>
      <c r="Z136" s="400">
        <f t="shared" si="53"/>
        <v>0.35</v>
      </c>
      <c r="AA136" s="2">
        <f t="shared" si="54"/>
        <v>107.76117688599608</v>
      </c>
      <c r="AB136" s="2">
        <f>VLOOKUP($W136,feed_mix_n,MATCH(AB$5,feed_mix_w!$B$5:$AC$5,0),FALSE)/$Z136*VLOOKUP(AB$5,feed_intensity_w,11,FALSE)</f>
        <v>8.7294303790076739</v>
      </c>
      <c r="AC136" s="2">
        <f>VLOOKUP($W136,feed_mix_n,MATCH(AC$5,feed_mix_w!$B$5:$AC$5,0),FALSE)/$Z136*VLOOKUP(AC$5,feed_intensity_w,11,FALSE)</f>
        <v>3.4310980801100266</v>
      </c>
      <c r="AD136" s="2">
        <f>VLOOKUP($W136,feed_mix_n,MATCH(AD$5,feed_mix_w!$B$5:$AC$5,0),FALSE)/$Z136*VLOOKUP(AD$5,feed_intensity_w,11,FALSE)</f>
        <v>0</v>
      </c>
      <c r="AE136" s="2">
        <f>VLOOKUP($W136,feed_mix_n,MATCH(AE$5,feed_mix_w!$B$5:$AC$5,0),FALSE)/$Z136*VLOOKUP(AE$5,feed_intensity_w,11,FALSE)</f>
        <v>6.9076435548668353</v>
      </c>
      <c r="AF136" s="2">
        <f>VLOOKUP($W136,feed_mix_n,MATCH(AF$5,feed_mix_w!$B$5:$AC$5,0),FALSE)/$Z136*VLOOKUP(AF$5,feed_intensity_w,11,FALSE)</f>
        <v>3.4538217774334177</v>
      </c>
      <c r="AG136" s="2">
        <f>VLOOKUP($W136,feed_mix_n,MATCH(AG$5,feed_mix_w!$B$5:$AC$5,0),FALSE)/$Z136*VLOOKUP(AG$5,feed_intensity_w,11,FALSE)</f>
        <v>0</v>
      </c>
      <c r="AH136" s="2">
        <f>VLOOKUP($W136,feed_mix_n,MATCH(AH$5,feed_mix_w!$B$5:$AC$5,0),FALSE)/$Z136*VLOOKUP(AH$5,feed_intensity_w,11,FALSE)</f>
        <v>3.4538217774334177</v>
      </c>
      <c r="AI136" s="2">
        <f>VLOOKUP($W136,feed_mix_n,MATCH(AI$5,feed_mix_w!$B$5:$AC$5,0),FALSE)/$Z136*VLOOKUP(AI$5,feed_intensity_w,11,FALSE)</f>
        <v>0</v>
      </c>
      <c r="AJ136" s="2">
        <f>VLOOKUP($W136,feed_mix_n,MATCH(AJ$5,feed_mix_w!$B$5:$AC$5,0),FALSE)/$Z136*VLOOKUP(AJ$5,feed_intensity_w,11,FALSE)</f>
        <v>0</v>
      </c>
      <c r="AK136" s="2">
        <f>VLOOKUP($W136,feed_mix_n,MATCH(AK$5,feed_mix_w!$B$5:$AC$5,0),FALSE)/$Z136*VLOOKUP(AK$5,feed_intensity_w,11,FALSE)</f>
        <v>0</v>
      </c>
      <c r="AL136" s="2">
        <f>VLOOKUP($W136,feed_mix_n,MATCH(AL$5,feed_mix_w!$B$5:$AC$5,0),FALSE)/$Z136*VLOOKUP(AL$5,feed_intensity_w,11,FALSE)</f>
        <v>0</v>
      </c>
      <c r="AM136" s="2">
        <f>VLOOKUP($W136,feed_mix_n,MATCH(AM$5,feed_mix_w!$B$5:$AC$5,0),FALSE)/$Z136*VLOOKUP(AM$5,feed_intensity_w,11,FALSE)</f>
        <v>2.3819310902807489</v>
      </c>
      <c r="AN136" s="2">
        <f>VLOOKUP($W136,feed_mix_n,MATCH(AN$5,feed_mix_w!$B$5:$AC$5,0),FALSE)/$Z136*VLOOKUP(AN$5,feed_intensity_w,11,FALSE)</f>
        <v>0</v>
      </c>
      <c r="AO136" s="2">
        <f>VLOOKUP($W136,feed_mix_n,MATCH(AO$5,feed_mix_w!$B$5:$AC$5,0),FALSE)/$Z136*VLOOKUP(AO$5,feed_intensity_w,11,FALSE)</f>
        <v>0</v>
      </c>
      <c r="AP136" s="2">
        <f>VLOOKUP($W136,feed_mix_n,MATCH(AP$5,feed_mix_w!$B$5:$AC$5,0),FALSE)/$Z136*VLOOKUP(AP$5,feed_intensity_w,11,FALSE)</f>
        <v>0</v>
      </c>
      <c r="AQ136" s="2">
        <f>VLOOKUP($W136,feed_mix_n,MATCH(AQ$5,feed_mix_w!$B$5:$AC$5,0),FALSE)/$Z136*VLOOKUP(AQ$5,feed_intensity_w,11,FALSE)</f>
        <v>0</v>
      </c>
      <c r="AR136" s="2">
        <f>VLOOKUP($W136,feed_mix_n,MATCH(AR$5,feed_mix_w!$B$5:$AC$5,0),FALSE)/$Z136*VLOOKUP(AR$5,feed_intensity_w,11,FALSE)</f>
        <v>2.766824126011342</v>
      </c>
      <c r="AS136" s="389">
        <f>VLOOKUP($W136,feed_mix_n,MATCH(AS$5,feed_mix_w!$B$5:$AC$5,0),FALSE)/$Z136*VLOOKUP(AS$5,feed_intensity_w,11,FALSE)</f>
        <v>0</v>
      </c>
    </row>
    <row r="137" spans="1:45" ht="12.75" customHeight="1">
      <c r="A137" s="14" t="s">
        <v>7190</v>
      </c>
      <c r="B137" s="482">
        <v>1136</v>
      </c>
      <c r="C137" s="24" t="s">
        <v>1549</v>
      </c>
      <c r="D137" s="513"/>
      <c r="E137" s="513"/>
      <c r="F137" s="25">
        <f t="shared" si="44"/>
        <v>0</v>
      </c>
      <c r="G137" s="25">
        <f t="shared" si="45"/>
        <v>0</v>
      </c>
      <c r="H137" s="2">
        <f t="shared" si="46"/>
        <v>64.079998675295357</v>
      </c>
      <c r="I137" s="25">
        <f t="shared" si="47"/>
        <v>0</v>
      </c>
      <c r="J137" s="87">
        <f>IFERROR(G137*VLOOKUP(W137,livestock_intensity!$B$7:$I$29,8,FALSE)/Z137,0)</f>
        <v>0</v>
      </c>
      <c r="K137" s="2">
        <f>VLOOKUP($W137,feed_mix_n,MATCH(K$5,feed_mix_w!$B$5:$AC$5,0),FALSE)/$Z137*VLOOKUP(K$5,feed_intensity_w,11,FALSE)</f>
        <v>0</v>
      </c>
      <c r="L137" s="25">
        <f t="shared" si="48"/>
        <v>0</v>
      </c>
      <c r="M137" s="25">
        <f>IFERROR(G137*VLOOKUP(W137,livestock_intensity!$B$7:$M$29,12,FALSE)/Z137,0)</f>
        <v>0</v>
      </c>
      <c r="N137" s="2">
        <f>VLOOKUP($W137,feed_mix_n,MATCH(N$5,feed_mix_w!$B$5:$AC$5,0),FALSE)/$Z137*VLOOKUP(N$5,feed_intensity_w,11,FALSE)</f>
        <v>157.78124785469655</v>
      </c>
      <c r="O137" s="25">
        <f t="shared" si="49"/>
        <v>0</v>
      </c>
      <c r="P137" s="343">
        <f>IFERROR(G137*VLOOKUP(W137,livestock_intensity!$B$7:$Q$29,16,FALSE)/Z137,0)</f>
        <v>0</v>
      </c>
      <c r="Q137" s="758"/>
      <c r="R137" s="331">
        <f t="shared" si="50"/>
        <v>0</v>
      </c>
      <c r="S137" s="331">
        <f t="shared" si="51"/>
        <v>0</v>
      </c>
      <c r="T137" s="739">
        <v>2748</v>
      </c>
      <c r="U137" s="558" t="s">
        <v>2796</v>
      </c>
      <c r="V137" s="559" t="str">
        <f>IFERROR(VLOOKUP(W137,constant_ag_extr!$D$7:$E$594,2,FALSE),"")</f>
        <v>Camels</v>
      </c>
      <c r="W137" s="560">
        <f t="shared" si="52"/>
        <v>1126</v>
      </c>
      <c r="X137" s="2">
        <f>IFERROR(IF(VLOOKUP(B137,cnst_grazing!$C$10:$H$25,5,FALSE)="", IF(VLOOKUP(B137, cnst_grazing!$C$10:$H$25,3,FALSE)="", VLOOKUP(B137, cnst_grazing!$C$10:$H$25,4,FALSE),VLOOKUP(B137, cnst_grazing!$C$10:$H$25,3,FALSE)), VLOOKUP(B137,cnst_grazing!$C$10:$H$25,5,FALSE)),1)</f>
        <v>1</v>
      </c>
      <c r="Y137" s="2">
        <f>IFERROR(IF(VLOOKUP(B137,cnst_grazing!$C$10:$H$25,6,FALSE)="", IF(VLOOKUP(B137, cnst_grazing!$C$10:$H$25,4,FALSE)="", VLOOKUP(B137, cnst_grazing!$C$10:$H$25,3,FALSE),VLOOKUP(B137, cnst_grazing!$C$10:$H$25,4,FALSE)), VLOOKUP(B137,cnst_grazing!$C$10:$H$25,6,FALSE)),1)</f>
        <v>1</v>
      </c>
      <c r="Z137" s="400">
        <f t="shared" si="53"/>
        <v>0.17</v>
      </c>
      <c r="AA137" s="2">
        <f t="shared" si="54"/>
        <v>221.86124652999189</v>
      </c>
      <c r="AB137" s="2">
        <f>VLOOKUP($W137,feed_mix_n,MATCH(AB$5,feed_mix_w!$B$5:$AC$5,0),FALSE)/$Z137*VLOOKUP(AB$5,feed_intensity_w,11,FALSE)</f>
        <v>17.972356662662857</v>
      </c>
      <c r="AC137" s="2">
        <f>VLOOKUP($W137,feed_mix_n,MATCH(AC$5,feed_mix_w!$B$5:$AC$5,0),FALSE)/$Z137*VLOOKUP(AC$5,feed_intensity_w,11,FALSE)</f>
        <v>7.0640254590500549</v>
      </c>
      <c r="AD137" s="2">
        <f>VLOOKUP($W137,feed_mix_n,MATCH(AD$5,feed_mix_w!$B$5:$AC$5,0),FALSE)/$Z137*VLOOKUP(AD$5,feed_intensity_w,11,FALSE)</f>
        <v>0</v>
      </c>
      <c r="AE137" s="2">
        <f>VLOOKUP($W137,feed_mix_n,MATCH(AE$5,feed_mix_w!$B$5:$AC$5,0),FALSE)/$Z137*VLOOKUP(AE$5,feed_intensity_w,11,FALSE)</f>
        <v>14.221619083549365</v>
      </c>
      <c r="AF137" s="2">
        <f>VLOOKUP($W137,feed_mix_n,MATCH(AF$5,feed_mix_w!$B$5:$AC$5,0),FALSE)/$Z137*VLOOKUP(AF$5,feed_intensity_w,11,FALSE)</f>
        <v>7.1108095417746826</v>
      </c>
      <c r="AG137" s="2">
        <f>VLOOKUP($W137,feed_mix_n,MATCH(AG$5,feed_mix_w!$B$5:$AC$5,0),FALSE)/$Z137*VLOOKUP(AG$5,feed_intensity_w,11,FALSE)</f>
        <v>0</v>
      </c>
      <c r="AH137" s="2">
        <f>VLOOKUP($W137,feed_mix_n,MATCH(AH$5,feed_mix_w!$B$5:$AC$5,0),FALSE)/$Z137*VLOOKUP(AH$5,feed_intensity_w,11,FALSE)</f>
        <v>7.1108095417746826</v>
      </c>
      <c r="AI137" s="2">
        <f>VLOOKUP($W137,feed_mix_n,MATCH(AI$5,feed_mix_w!$B$5:$AC$5,0),FALSE)/$Z137*VLOOKUP(AI$5,feed_intensity_w,11,FALSE)</f>
        <v>0</v>
      </c>
      <c r="AJ137" s="2">
        <f>VLOOKUP($W137,feed_mix_n,MATCH(AJ$5,feed_mix_w!$B$5:$AC$5,0),FALSE)/$Z137*VLOOKUP(AJ$5,feed_intensity_w,11,FALSE)</f>
        <v>0</v>
      </c>
      <c r="AK137" s="2">
        <f>VLOOKUP($W137,feed_mix_n,MATCH(AK$5,feed_mix_w!$B$5:$AC$5,0),FALSE)/$Z137*VLOOKUP(AK$5,feed_intensity_w,11,FALSE)</f>
        <v>0</v>
      </c>
      <c r="AL137" s="2">
        <f>VLOOKUP($W137,feed_mix_n,MATCH(AL$5,feed_mix_w!$B$5:$AC$5,0),FALSE)/$Z137*VLOOKUP(AL$5,feed_intensity_w,11,FALSE)</f>
        <v>0</v>
      </c>
      <c r="AM137" s="2">
        <f>VLOOKUP($W137,feed_mix_n,MATCH(AM$5,feed_mix_w!$B$5:$AC$5,0),FALSE)/$Z137*VLOOKUP(AM$5,feed_intensity_w,11,FALSE)</f>
        <v>4.9039757741074244</v>
      </c>
      <c r="AN137" s="2">
        <f>VLOOKUP($W137,feed_mix_n,MATCH(AN$5,feed_mix_w!$B$5:$AC$5,0),FALSE)/$Z137*VLOOKUP(AN$5,feed_intensity_w,11,FALSE)</f>
        <v>0</v>
      </c>
      <c r="AO137" s="2">
        <f>VLOOKUP($W137,feed_mix_n,MATCH(AO$5,feed_mix_w!$B$5:$AC$5,0),FALSE)/$Z137*VLOOKUP(AO$5,feed_intensity_w,11,FALSE)</f>
        <v>0</v>
      </c>
      <c r="AP137" s="2">
        <f>VLOOKUP($W137,feed_mix_n,MATCH(AP$5,feed_mix_w!$B$5:$AC$5,0),FALSE)/$Z137*VLOOKUP(AP$5,feed_intensity_w,11,FALSE)</f>
        <v>0</v>
      </c>
      <c r="AQ137" s="2">
        <f>VLOOKUP($W137,feed_mix_n,MATCH(AQ$5,feed_mix_w!$B$5:$AC$5,0),FALSE)/$Z137*VLOOKUP(AQ$5,feed_intensity_w,11,FALSE)</f>
        <v>0</v>
      </c>
      <c r="AR137" s="2">
        <f>VLOOKUP($W137,feed_mix_n,MATCH(AR$5,feed_mix_w!$B$5:$AC$5,0),FALSE)/$Z137*VLOOKUP(AR$5,feed_intensity_w,11,FALSE)</f>
        <v>5.696402612376291</v>
      </c>
      <c r="AS137" s="389">
        <f>VLOOKUP($W137,feed_mix_n,MATCH(AS$5,feed_mix_w!$B$5:$AC$5,0),FALSE)/$Z137*VLOOKUP(AS$5,feed_intensity_w,11,FALSE)</f>
        <v>0</v>
      </c>
    </row>
    <row r="138" spans="1:45" ht="12.75" customHeight="1">
      <c r="A138" s="14" t="s">
        <v>3595</v>
      </c>
      <c r="B138" s="482">
        <v>1140</v>
      </c>
      <c r="C138" s="24" t="s">
        <v>5128</v>
      </c>
      <c r="D138" s="513">
        <v>6000</v>
      </c>
      <c r="E138" s="513">
        <v>91000</v>
      </c>
      <c r="F138" s="25">
        <f t="shared" si="44"/>
        <v>8.3538000471889973</v>
      </c>
      <c r="G138" s="25">
        <f t="shared" si="45"/>
        <v>126.69930071569979</v>
      </c>
      <c r="H138" s="2">
        <f t="shared" si="46"/>
        <v>0</v>
      </c>
      <c r="I138" s="25">
        <f t="shared" si="47"/>
        <v>0</v>
      </c>
      <c r="J138" s="87">
        <f>IFERROR(G138*VLOOKUP(W138,livestock_intensity!$B$7:$I$29,8,FALSE)/Z138,0)</f>
        <v>0</v>
      </c>
      <c r="K138" s="2">
        <f>VLOOKUP($W138,feed_mix_n,MATCH(K$5,feed_mix_w!$B$5:$AC$5,0),FALSE)/$Z138*VLOOKUP(K$5,feed_intensity_w,11,FALSE)</f>
        <v>0</v>
      </c>
      <c r="L138" s="25">
        <f t="shared" si="48"/>
        <v>0</v>
      </c>
      <c r="M138" s="25">
        <f>IFERROR(G138*VLOOKUP(W138,livestock_intensity!$B$7:$M$29,12,FALSE)/Z138,0)</f>
        <v>0</v>
      </c>
      <c r="N138" s="2">
        <f>VLOOKUP($W138,feed_mix_n,MATCH(N$5,feed_mix_w!$B$5:$AC$5,0),FALSE)/$Z138*VLOOKUP(N$5,feed_intensity_w,11,FALSE)</f>
        <v>0</v>
      </c>
      <c r="O138" s="25">
        <f t="shared" si="49"/>
        <v>0</v>
      </c>
      <c r="P138" s="343">
        <f>IFERROR(G138*VLOOKUP(W138,livestock_intensity!$B$7:$Q$29,16,FALSE)/Z138,0)</f>
        <v>0</v>
      </c>
      <c r="Q138" s="758"/>
      <c r="R138" s="331">
        <f t="shared" si="50"/>
        <v>0</v>
      </c>
      <c r="S138" s="331">
        <f t="shared" si="51"/>
        <v>0</v>
      </c>
      <c r="T138" s="739" t="s">
        <v>2738</v>
      </c>
      <c r="U138" s="558" t="s">
        <v>413</v>
      </c>
      <c r="V138" s="559" t="str">
        <f>IFERROR(VLOOKUP(W138,constant_ag_extr!$D$7:$E$594,2,FALSE),"")</f>
        <v>Rabbits and Hares</v>
      </c>
      <c r="W138" s="560">
        <f t="shared" si="52"/>
        <v>1140</v>
      </c>
      <c r="X138" s="2">
        <f>IFERROR(IF(VLOOKUP(B138,cnst_grazing!$C$10:$H$25,5,FALSE)="", IF(VLOOKUP(B138, cnst_grazing!$C$10:$H$25,3,FALSE)="", VLOOKUP(B138, cnst_grazing!$C$10:$H$25,4,FALSE),VLOOKUP(B138, cnst_grazing!$C$10:$H$25,3,FALSE)), VLOOKUP(B138,cnst_grazing!$C$10:$H$25,5,FALSE)),1)</f>
        <v>1.3923000078648329E-3</v>
      </c>
      <c r="Y138" s="483">
        <f>IFERROR(IF(VLOOKUP(B138,cnst_grazing!$C$10:$H$25,6,FALSE)="", IF(VLOOKUP(B138, cnst_grazing!$C$10:$H$25,4,FALSE)="", VLOOKUP(B138, cnst_grazing!$C$10:$H$25,3,FALSE),VLOOKUP(B138, cnst_grazing!$C$10:$H$25,4,FALSE)), VLOOKUP(B138,cnst_grazing!$C$10:$H$25,6,FALSE)),1)</f>
        <v>1.3923000078648329E-3</v>
      </c>
      <c r="Z138" s="400">
        <f t="shared" si="53"/>
        <v>1</v>
      </c>
      <c r="AA138" s="2">
        <f t="shared" si="54"/>
        <v>0</v>
      </c>
      <c r="AB138" s="2">
        <f>VLOOKUP($W138,feed_mix_n,MATCH(AB$5,feed_mix_w!$B$5:$AC$5,0),FALSE)/$Z138*VLOOKUP(AB$5,feed_intensity_w,11,FALSE)</f>
        <v>0</v>
      </c>
      <c r="AC138" s="2">
        <f>VLOOKUP($W138,feed_mix_n,MATCH(AC$5,feed_mix_w!$B$5:$AC$5,0),FALSE)/$Z138*VLOOKUP(AC$5,feed_intensity_w,11,FALSE)</f>
        <v>0</v>
      </c>
      <c r="AD138" s="2">
        <f>VLOOKUP($W138,feed_mix_n,MATCH(AD$5,feed_mix_w!$B$5:$AC$5,0),FALSE)/$Z138*VLOOKUP(AD$5,feed_intensity_w,11,FALSE)</f>
        <v>0</v>
      </c>
      <c r="AE138" s="2">
        <f>VLOOKUP($W138,feed_mix_n,MATCH(AE$5,feed_mix_w!$B$5:$AC$5,0),FALSE)/$Z138*VLOOKUP(AE$5,feed_intensity_w,11,FALSE)</f>
        <v>0</v>
      </c>
      <c r="AF138" s="2">
        <f>VLOOKUP($W138,feed_mix_n,MATCH(AF$5,feed_mix_w!$B$5:$AC$5,0),FALSE)/$Z138*VLOOKUP(AF$5,feed_intensity_w,11,FALSE)</f>
        <v>0</v>
      </c>
      <c r="AG138" s="2">
        <f>VLOOKUP($W138,feed_mix_n,MATCH(AG$5,feed_mix_w!$B$5:$AC$5,0),FALSE)/$Z138*VLOOKUP(AG$5,feed_intensity_w,11,FALSE)</f>
        <v>0</v>
      </c>
      <c r="AH138" s="2">
        <f>VLOOKUP($W138,feed_mix_n,MATCH(AH$5,feed_mix_w!$B$5:$AC$5,0),FALSE)/$Z138*VLOOKUP(AH$5,feed_intensity_w,11,FALSE)</f>
        <v>0</v>
      </c>
      <c r="AI138" s="2">
        <f>VLOOKUP($W138,feed_mix_n,MATCH(AI$5,feed_mix_w!$B$5:$AC$5,0),FALSE)/$Z138*VLOOKUP(AI$5,feed_intensity_w,11,FALSE)</f>
        <v>0</v>
      </c>
      <c r="AJ138" s="2">
        <f>VLOOKUP($W138,feed_mix_n,MATCH(AJ$5,feed_mix_w!$B$5:$AC$5,0),FALSE)/$Z138*VLOOKUP(AJ$5,feed_intensity_w,11,FALSE)</f>
        <v>0</v>
      </c>
      <c r="AK138" s="2">
        <f>VLOOKUP($W138,feed_mix_n,MATCH(AK$5,feed_mix_w!$B$5:$AC$5,0),FALSE)/$Z138*VLOOKUP(AK$5,feed_intensity_w,11,FALSE)</f>
        <v>0</v>
      </c>
      <c r="AL138" s="2">
        <f>VLOOKUP($W138,feed_mix_n,MATCH(AL$5,feed_mix_w!$B$5:$AC$5,0),FALSE)/$Z138*VLOOKUP(AL$5,feed_intensity_w,11,FALSE)</f>
        <v>0</v>
      </c>
      <c r="AM138" s="2">
        <f>VLOOKUP($W138,feed_mix_n,MATCH(AM$5,feed_mix_w!$B$5:$AC$5,0),FALSE)/$Z138*VLOOKUP(AM$5,feed_intensity_w,11,FALSE)</f>
        <v>0</v>
      </c>
      <c r="AN138" s="2">
        <f>VLOOKUP($W138,feed_mix_n,MATCH(AN$5,feed_mix_w!$B$5:$AC$5,0),FALSE)/$Z138*VLOOKUP(AN$5,feed_intensity_w,11,FALSE)</f>
        <v>0</v>
      </c>
      <c r="AO138" s="2">
        <f>VLOOKUP($W138,feed_mix_n,MATCH(AO$5,feed_mix_w!$B$5:$AC$5,0),FALSE)/$Z138*VLOOKUP(AO$5,feed_intensity_w,11,FALSE)</f>
        <v>0</v>
      </c>
      <c r="AP138" s="2">
        <f>VLOOKUP($W138,feed_mix_n,MATCH(AP$5,feed_mix_w!$B$5:$AC$5,0),FALSE)/$Z138*VLOOKUP(AP$5,feed_intensity_w,11,FALSE)</f>
        <v>0</v>
      </c>
      <c r="AQ138" s="2">
        <f>VLOOKUP($W138,feed_mix_n,MATCH(AQ$5,feed_mix_w!$B$5:$AC$5,0),FALSE)/$Z138*VLOOKUP(AQ$5,feed_intensity_w,11,FALSE)</f>
        <v>0</v>
      </c>
      <c r="AR138" s="2">
        <f>VLOOKUP($W138,feed_mix_n,MATCH(AR$5,feed_mix_w!$B$5:$AC$5,0),FALSE)/$Z138*VLOOKUP(AR$5,feed_intensity_w,11,FALSE)</f>
        <v>0</v>
      </c>
      <c r="AS138" s="389">
        <f>VLOOKUP($W138,feed_mix_n,MATCH(AS$5,feed_mix_w!$B$5:$AC$5,0),FALSE)/$Z138*VLOOKUP(AS$5,feed_intensity_w,11,FALSE)</f>
        <v>0</v>
      </c>
    </row>
    <row r="139" spans="1:45" ht="12.75" customHeight="1">
      <c r="A139" s="14" t="s">
        <v>7191</v>
      </c>
      <c r="B139" s="482">
        <v>1141</v>
      </c>
      <c r="C139" s="24" t="s">
        <v>1969</v>
      </c>
      <c r="D139" s="513">
        <v>41</v>
      </c>
      <c r="E139" s="513">
        <v>152</v>
      </c>
      <c r="F139" s="25">
        <f t="shared" si="44"/>
        <v>41</v>
      </c>
      <c r="G139" s="25">
        <f t="shared" si="45"/>
        <v>152</v>
      </c>
      <c r="H139" s="2">
        <f t="shared" si="46"/>
        <v>0</v>
      </c>
      <c r="I139" s="25">
        <f t="shared" si="47"/>
        <v>0</v>
      </c>
      <c r="J139" s="87">
        <f>IFERROR(G139*VLOOKUP(W139,livestock_intensity!$B$7:$I$29,8,FALSE)/Z139,0)</f>
        <v>0</v>
      </c>
      <c r="K139" s="2">
        <f>VLOOKUP($W139,feed_mix_n,MATCH(K$5,feed_mix_w!$B$5:$AC$5,0),FALSE)/$Z139*VLOOKUP(K$5,feed_intensity_w,11,FALSE)</f>
        <v>0</v>
      </c>
      <c r="L139" s="25">
        <f t="shared" si="48"/>
        <v>0</v>
      </c>
      <c r="M139" s="25">
        <f>IFERROR(G139*VLOOKUP(W139,livestock_intensity!$B$7:$M$29,12,FALSE)/Z139,0)</f>
        <v>0</v>
      </c>
      <c r="N139" s="2">
        <f>VLOOKUP($W139,feed_mix_n,MATCH(N$5,feed_mix_w!$B$5:$AC$5,0),FALSE)/$Z139*VLOOKUP(N$5,feed_intensity_w,11,FALSE)</f>
        <v>0</v>
      </c>
      <c r="O139" s="25">
        <f t="shared" si="49"/>
        <v>0</v>
      </c>
      <c r="P139" s="343">
        <f>IFERROR(G139*VLOOKUP(W139,livestock_intensity!$B$7:$Q$29,16,FALSE)/Z139,0)</f>
        <v>0</v>
      </c>
      <c r="Q139" s="758"/>
      <c r="R139" s="331">
        <f t="shared" si="50"/>
        <v>0</v>
      </c>
      <c r="S139" s="331">
        <f t="shared" si="51"/>
        <v>0</v>
      </c>
      <c r="T139" s="739">
        <v>2735</v>
      </c>
      <c r="U139" s="558" t="s">
        <v>2796</v>
      </c>
      <c r="V139" s="559" t="str">
        <f>IFERROR(VLOOKUP(W139,constant_ag_extr!$D$7:$E$594,2,FALSE),"")</f>
        <v>Rabbits and Hares</v>
      </c>
      <c r="W139" s="560">
        <f t="shared" si="52"/>
        <v>1140</v>
      </c>
      <c r="X139" s="2">
        <f>IFERROR(IF(VLOOKUP(B139,cnst_grazing!$C$10:$H$25,5,FALSE)="", IF(VLOOKUP(B139, cnst_grazing!$C$10:$H$25,3,FALSE)="", VLOOKUP(B139, cnst_grazing!$C$10:$H$25,4,FALSE),VLOOKUP(B139, cnst_grazing!$C$10:$H$25,3,FALSE)), VLOOKUP(B139,cnst_grazing!$C$10:$H$25,5,FALSE)),1)</f>
        <v>1</v>
      </c>
      <c r="Y139" s="2">
        <f>IFERROR(IF(VLOOKUP(B139,cnst_grazing!$C$10:$H$25,6,FALSE)="", IF(VLOOKUP(B139, cnst_grazing!$C$10:$H$25,4,FALSE)="", VLOOKUP(B139, cnst_grazing!$C$10:$H$25,3,FALSE),VLOOKUP(B139, cnst_grazing!$C$10:$H$25,4,FALSE)), VLOOKUP(B139,cnst_grazing!$C$10:$H$25,6,FALSE)),1)</f>
        <v>1</v>
      </c>
      <c r="Z139" s="400">
        <f t="shared" si="53"/>
        <v>0.98760619731419697</v>
      </c>
      <c r="AA139" s="2">
        <f t="shared" si="54"/>
        <v>0</v>
      </c>
      <c r="AB139" s="2">
        <f>VLOOKUP($W139,feed_mix_n,MATCH(AB$5,feed_mix_w!$B$5:$AC$5,0),FALSE)/$Z139*VLOOKUP(AB$5,feed_intensity_w,11,FALSE)</f>
        <v>0</v>
      </c>
      <c r="AC139" s="2">
        <f>VLOOKUP($W139,feed_mix_n,MATCH(AC$5,feed_mix_w!$B$5:$AC$5,0),FALSE)/$Z139*VLOOKUP(AC$5,feed_intensity_w,11,FALSE)</f>
        <v>0</v>
      </c>
      <c r="AD139" s="2">
        <f>VLOOKUP($W139,feed_mix_n,MATCH(AD$5,feed_mix_w!$B$5:$AC$5,0),FALSE)/$Z139*VLOOKUP(AD$5,feed_intensity_w,11,FALSE)</f>
        <v>0</v>
      </c>
      <c r="AE139" s="2">
        <f>VLOOKUP($W139,feed_mix_n,MATCH(AE$5,feed_mix_w!$B$5:$AC$5,0),FALSE)/$Z139*VLOOKUP(AE$5,feed_intensity_w,11,FALSE)</f>
        <v>0</v>
      </c>
      <c r="AF139" s="2">
        <f>VLOOKUP($W139,feed_mix_n,MATCH(AF$5,feed_mix_w!$B$5:$AC$5,0),FALSE)/$Z139*VLOOKUP(AF$5,feed_intensity_w,11,FALSE)</f>
        <v>0</v>
      </c>
      <c r="AG139" s="2">
        <f>VLOOKUP($W139,feed_mix_n,MATCH(AG$5,feed_mix_w!$B$5:$AC$5,0),FALSE)/$Z139*VLOOKUP(AG$5,feed_intensity_w,11,FALSE)</f>
        <v>0</v>
      </c>
      <c r="AH139" s="2">
        <f>VLOOKUP($W139,feed_mix_n,MATCH(AH$5,feed_mix_w!$B$5:$AC$5,0),FALSE)/$Z139*VLOOKUP(AH$5,feed_intensity_w,11,FALSE)</f>
        <v>0</v>
      </c>
      <c r="AI139" s="2">
        <f>VLOOKUP($W139,feed_mix_n,MATCH(AI$5,feed_mix_w!$B$5:$AC$5,0),FALSE)/$Z139*VLOOKUP(AI$5,feed_intensity_w,11,FALSE)</f>
        <v>0</v>
      </c>
      <c r="AJ139" s="2">
        <f>VLOOKUP($W139,feed_mix_n,MATCH(AJ$5,feed_mix_w!$B$5:$AC$5,0),FALSE)/$Z139*VLOOKUP(AJ$5,feed_intensity_w,11,FALSE)</f>
        <v>0</v>
      </c>
      <c r="AK139" s="2">
        <f>VLOOKUP($W139,feed_mix_n,MATCH(AK$5,feed_mix_w!$B$5:$AC$5,0),FALSE)/$Z139*VLOOKUP(AK$5,feed_intensity_w,11,FALSE)</f>
        <v>0</v>
      </c>
      <c r="AL139" s="2">
        <f>VLOOKUP($W139,feed_mix_n,MATCH(AL$5,feed_mix_w!$B$5:$AC$5,0),FALSE)/$Z139*VLOOKUP(AL$5,feed_intensity_w,11,FALSE)</f>
        <v>0</v>
      </c>
      <c r="AM139" s="2">
        <f>VLOOKUP($W139,feed_mix_n,MATCH(AM$5,feed_mix_w!$B$5:$AC$5,0),FALSE)/$Z139*VLOOKUP(AM$5,feed_intensity_w,11,FALSE)</f>
        <v>0</v>
      </c>
      <c r="AN139" s="2">
        <f>VLOOKUP($W139,feed_mix_n,MATCH(AN$5,feed_mix_w!$B$5:$AC$5,0),FALSE)/$Z139*VLOOKUP(AN$5,feed_intensity_w,11,FALSE)</f>
        <v>0</v>
      </c>
      <c r="AO139" s="2">
        <f>VLOOKUP($W139,feed_mix_n,MATCH(AO$5,feed_mix_w!$B$5:$AC$5,0),FALSE)/$Z139*VLOOKUP(AO$5,feed_intensity_w,11,FALSE)</f>
        <v>0</v>
      </c>
      <c r="AP139" s="2">
        <f>VLOOKUP($W139,feed_mix_n,MATCH(AP$5,feed_mix_w!$B$5:$AC$5,0),FALSE)/$Z139*VLOOKUP(AP$5,feed_intensity_w,11,FALSE)</f>
        <v>0</v>
      </c>
      <c r="AQ139" s="2">
        <f>VLOOKUP($W139,feed_mix_n,MATCH(AQ$5,feed_mix_w!$B$5:$AC$5,0),FALSE)/$Z139*VLOOKUP(AQ$5,feed_intensity_w,11,FALSE)</f>
        <v>0</v>
      </c>
      <c r="AR139" s="2">
        <f>VLOOKUP($W139,feed_mix_n,MATCH(AR$5,feed_mix_w!$B$5:$AC$5,0),FALSE)/$Z139*VLOOKUP(AR$5,feed_intensity_w,11,FALSE)</f>
        <v>0</v>
      </c>
      <c r="AS139" s="389">
        <f>VLOOKUP($W139,feed_mix_n,MATCH(AS$5,feed_mix_w!$B$5:$AC$5,0),FALSE)/$Z139*VLOOKUP(AS$5,feed_intensity_w,11,FALSE)</f>
        <v>0</v>
      </c>
    </row>
    <row r="140" spans="1:45" ht="12.75" customHeight="1">
      <c r="A140" s="14" t="s">
        <v>355</v>
      </c>
      <c r="B140" s="482">
        <v>1146</v>
      </c>
      <c r="C140" s="24">
        <v>4301.8</v>
      </c>
      <c r="D140" s="513"/>
      <c r="E140" s="513"/>
      <c r="F140" s="25">
        <f t="shared" si="44"/>
        <v>0</v>
      </c>
      <c r="G140" s="25">
        <f t="shared" si="45"/>
        <v>0</v>
      </c>
      <c r="H140" s="2">
        <f t="shared" si="46"/>
        <v>0</v>
      </c>
      <c r="I140" s="25">
        <f t="shared" si="47"/>
        <v>0</v>
      </c>
      <c r="J140" s="87">
        <f>IFERROR(G140*VLOOKUP(W140,livestock_intensity!$B$7:$I$29,8,FALSE)/Z140,0)</f>
        <v>0</v>
      </c>
      <c r="K140" s="2">
        <f>VLOOKUP($W140,feed_mix_n,MATCH(K$5,feed_mix_w!$B$5:$AC$5,0),FALSE)/$Z140*VLOOKUP(K$5,feed_intensity_w,11,FALSE)</f>
        <v>0</v>
      </c>
      <c r="L140" s="25">
        <f t="shared" si="48"/>
        <v>0</v>
      </c>
      <c r="M140" s="25">
        <f>IFERROR(G140*VLOOKUP(W140,livestock_intensity!$B$7:$M$29,12,FALSE)/Z140,0)</f>
        <v>0</v>
      </c>
      <c r="N140" s="2">
        <f>VLOOKUP($W140,feed_mix_n,MATCH(N$5,feed_mix_w!$B$5:$AC$5,0),FALSE)/$Z140*VLOOKUP(N$5,feed_intensity_w,11,FALSE)</f>
        <v>0</v>
      </c>
      <c r="O140" s="25">
        <f t="shared" si="49"/>
        <v>0</v>
      </c>
      <c r="P140" s="343">
        <f>IFERROR(G140*VLOOKUP(W140,livestock_intensity!$B$7:$Q$29,16,FALSE)/Z140,0)</f>
        <v>0</v>
      </c>
      <c r="Q140" s="758"/>
      <c r="R140" s="331">
        <f t="shared" si="50"/>
        <v>0</v>
      </c>
      <c r="S140" s="331">
        <f t="shared" si="51"/>
        <v>0</v>
      </c>
      <c r="T140" s="739">
        <v>2748</v>
      </c>
      <c r="U140" s="558" t="s">
        <v>2796</v>
      </c>
      <c r="V140" s="559" t="str">
        <f>IFERROR(VLOOKUP(W140,constant_ag_extr!$D$7:$E$594,2,FALSE),"")</f>
        <v>Rabbits and Hares</v>
      </c>
      <c r="W140" s="560">
        <f t="shared" si="52"/>
        <v>1140</v>
      </c>
      <c r="X140" s="2">
        <f>IFERROR(IF(VLOOKUP(B140,cnst_grazing!$C$10:$H$25,5,FALSE)="", IF(VLOOKUP(B140, cnst_grazing!$C$10:$H$25,3,FALSE)="", VLOOKUP(B140, cnst_grazing!$C$10:$H$25,4,FALSE),VLOOKUP(B140, cnst_grazing!$C$10:$H$25,3,FALSE)), VLOOKUP(B140,cnst_grazing!$C$10:$H$25,5,FALSE)),1)</f>
        <v>1</v>
      </c>
      <c r="Y140" s="2">
        <f>IFERROR(IF(VLOOKUP(B140,cnst_grazing!$C$10:$H$25,6,FALSE)="", IF(VLOOKUP(B140, cnst_grazing!$C$10:$H$25,4,FALSE)="", VLOOKUP(B140, cnst_grazing!$C$10:$H$25,3,FALSE),VLOOKUP(B140, cnst_grazing!$C$10:$H$25,4,FALSE)), VLOOKUP(B140,cnst_grazing!$C$10:$H$25,6,FALSE)),1)</f>
        <v>1</v>
      </c>
      <c r="Z140" s="400">
        <f t="shared" si="53"/>
        <v>0.50591367376759189</v>
      </c>
      <c r="AA140" s="2">
        <f t="shared" si="54"/>
        <v>0</v>
      </c>
      <c r="AB140" s="2">
        <f>VLOOKUP($W140,feed_mix_n,MATCH(AB$5,feed_mix_w!$B$5:$AC$5,0),FALSE)/$Z140*VLOOKUP(AB$5,feed_intensity_w,11,FALSE)</f>
        <v>0</v>
      </c>
      <c r="AC140" s="2">
        <f>VLOOKUP($W140,feed_mix_n,MATCH(AC$5,feed_mix_w!$B$5:$AC$5,0),FALSE)/$Z140*VLOOKUP(AC$5,feed_intensity_w,11,FALSE)</f>
        <v>0</v>
      </c>
      <c r="AD140" s="2">
        <f>VLOOKUP($W140,feed_mix_n,MATCH(AD$5,feed_mix_w!$B$5:$AC$5,0),FALSE)/$Z140*VLOOKUP(AD$5,feed_intensity_w,11,FALSE)</f>
        <v>0</v>
      </c>
      <c r="AE140" s="2">
        <f>VLOOKUP($W140,feed_mix_n,MATCH(AE$5,feed_mix_w!$B$5:$AC$5,0),FALSE)/$Z140*VLOOKUP(AE$5,feed_intensity_w,11,FALSE)</f>
        <v>0</v>
      </c>
      <c r="AF140" s="2">
        <f>VLOOKUP($W140,feed_mix_n,MATCH(AF$5,feed_mix_w!$B$5:$AC$5,0),FALSE)/$Z140*VLOOKUP(AF$5,feed_intensity_w,11,FALSE)</f>
        <v>0</v>
      </c>
      <c r="AG140" s="2">
        <f>VLOOKUP($W140,feed_mix_n,MATCH(AG$5,feed_mix_w!$B$5:$AC$5,0),FALSE)/$Z140*VLOOKUP(AG$5,feed_intensity_w,11,FALSE)</f>
        <v>0</v>
      </c>
      <c r="AH140" s="2">
        <f>VLOOKUP($W140,feed_mix_n,MATCH(AH$5,feed_mix_w!$B$5:$AC$5,0),FALSE)/$Z140*VLOOKUP(AH$5,feed_intensity_w,11,FALSE)</f>
        <v>0</v>
      </c>
      <c r="AI140" s="2">
        <f>VLOOKUP($W140,feed_mix_n,MATCH(AI$5,feed_mix_w!$B$5:$AC$5,0),FALSE)/$Z140*VLOOKUP(AI$5,feed_intensity_w,11,FALSE)</f>
        <v>0</v>
      </c>
      <c r="AJ140" s="2">
        <f>VLOOKUP($W140,feed_mix_n,MATCH(AJ$5,feed_mix_w!$B$5:$AC$5,0),FALSE)/$Z140*VLOOKUP(AJ$5,feed_intensity_w,11,FALSE)</f>
        <v>0</v>
      </c>
      <c r="AK140" s="2">
        <f>VLOOKUP($W140,feed_mix_n,MATCH(AK$5,feed_mix_w!$B$5:$AC$5,0),FALSE)/$Z140*VLOOKUP(AK$5,feed_intensity_w,11,FALSE)</f>
        <v>0</v>
      </c>
      <c r="AL140" s="2">
        <f>VLOOKUP($W140,feed_mix_n,MATCH(AL$5,feed_mix_w!$B$5:$AC$5,0),FALSE)/$Z140*VLOOKUP(AL$5,feed_intensity_w,11,FALSE)</f>
        <v>0</v>
      </c>
      <c r="AM140" s="2">
        <f>VLOOKUP($W140,feed_mix_n,MATCH(AM$5,feed_mix_w!$B$5:$AC$5,0),FALSE)/$Z140*VLOOKUP(AM$5,feed_intensity_w,11,FALSE)</f>
        <v>0</v>
      </c>
      <c r="AN140" s="2">
        <f>VLOOKUP($W140,feed_mix_n,MATCH(AN$5,feed_mix_w!$B$5:$AC$5,0),FALSE)/$Z140*VLOOKUP(AN$5,feed_intensity_w,11,FALSE)</f>
        <v>0</v>
      </c>
      <c r="AO140" s="2">
        <f>VLOOKUP($W140,feed_mix_n,MATCH(AO$5,feed_mix_w!$B$5:$AC$5,0),FALSE)/$Z140*VLOOKUP(AO$5,feed_intensity_w,11,FALSE)</f>
        <v>0</v>
      </c>
      <c r="AP140" s="2">
        <f>VLOOKUP($W140,feed_mix_n,MATCH(AP$5,feed_mix_w!$B$5:$AC$5,0),FALSE)/$Z140*VLOOKUP(AP$5,feed_intensity_w,11,FALSE)</f>
        <v>0</v>
      </c>
      <c r="AQ140" s="2">
        <f>VLOOKUP($W140,feed_mix_n,MATCH(AQ$5,feed_mix_w!$B$5:$AC$5,0),FALSE)/$Z140*VLOOKUP(AQ$5,feed_intensity_w,11,FALSE)</f>
        <v>0</v>
      </c>
      <c r="AR140" s="2">
        <f>VLOOKUP($W140,feed_mix_n,MATCH(AR$5,feed_mix_w!$B$5:$AC$5,0),FALSE)/$Z140*VLOOKUP(AR$5,feed_intensity_w,11,FALSE)</f>
        <v>0</v>
      </c>
      <c r="AS140" s="389">
        <f>VLOOKUP($W140,feed_mix_n,MATCH(AS$5,feed_mix_w!$B$5:$AC$5,0),FALSE)/$Z140*VLOOKUP(AS$5,feed_intensity_w,11,FALSE)</f>
        <v>0</v>
      </c>
    </row>
    <row r="141" spans="1:45" ht="12.75" customHeight="1">
      <c r="A141" s="14" t="s">
        <v>7192</v>
      </c>
      <c r="B141" s="482">
        <v>1150</v>
      </c>
      <c r="C141" s="24" t="s">
        <v>2976</v>
      </c>
      <c r="D141" s="513"/>
      <c r="E141" s="513"/>
      <c r="F141" s="25">
        <f t="shared" si="44"/>
        <v>0</v>
      </c>
      <c r="G141" s="25">
        <f t="shared" si="45"/>
        <v>0</v>
      </c>
      <c r="H141" s="2">
        <f t="shared" si="46"/>
        <v>0</v>
      </c>
      <c r="I141" s="25">
        <f t="shared" si="47"/>
        <v>0</v>
      </c>
      <c r="J141" s="87">
        <f>IFERROR(G141*VLOOKUP(W141,livestock_intensity!$B$7:$I$29,8,FALSE)/Z141,0)</f>
        <v>0</v>
      </c>
      <c r="K141" s="2">
        <f>VLOOKUP($W141,feed_mix_n,MATCH(K$5,feed_mix_w!$B$5:$AC$5,0),FALSE)/$Z141*VLOOKUP(K$5,feed_intensity_w,11,FALSE)</f>
        <v>0</v>
      </c>
      <c r="L141" s="25">
        <f t="shared" si="48"/>
        <v>0</v>
      </c>
      <c r="M141" s="25">
        <f>IFERROR(G141*VLOOKUP(W141,livestock_intensity!$B$7:$M$29,12,FALSE)/Z141,0)</f>
        <v>0</v>
      </c>
      <c r="N141" s="2">
        <f>VLOOKUP($W141,feed_mix_n,MATCH(N$5,feed_mix_w!$B$5:$AC$5,0),FALSE)/$Z141*VLOOKUP(N$5,feed_intensity_w,11,FALSE)</f>
        <v>0</v>
      </c>
      <c r="O141" s="25">
        <f t="shared" si="49"/>
        <v>0</v>
      </c>
      <c r="P141" s="343">
        <f>IFERROR(G141*VLOOKUP(W141,livestock_intensity!$B$7:$Q$29,16,FALSE)/Z141,0)</f>
        <v>0</v>
      </c>
      <c r="Q141" s="758"/>
      <c r="R141" s="331">
        <f t="shared" si="50"/>
        <v>0</v>
      </c>
      <c r="S141" s="331">
        <f t="shared" si="51"/>
        <v>0</v>
      </c>
      <c r="T141" s="739" t="s">
        <v>2738</v>
      </c>
      <c r="U141" s="558" t="s">
        <v>413</v>
      </c>
      <c r="V141" s="559" t="str">
        <f>IFERROR(VLOOKUP(W141,constant_ag_extr!$D$7:$E$594,2,FALSE),"")</f>
        <v>Other rodents</v>
      </c>
      <c r="W141" s="560">
        <f t="shared" si="52"/>
        <v>1150</v>
      </c>
      <c r="X141" s="2">
        <f>IFERROR(IF(VLOOKUP(B141,cnst_grazing!$C$10:$H$25,5,FALSE)="", IF(VLOOKUP(B141, cnst_grazing!$C$10:$H$25,3,FALSE)="", VLOOKUP(B141, cnst_grazing!$C$10:$H$25,4,FALSE),VLOOKUP(B141, cnst_grazing!$C$10:$H$25,3,FALSE)), VLOOKUP(B141,cnst_grazing!$C$10:$H$25,5,FALSE)),1)</f>
        <v>2.6420000358484685E-4</v>
      </c>
      <c r="Y141" s="483">
        <f>IFERROR(IF(VLOOKUP(B141,cnst_grazing!$C$10:$H$25,6,FALSE)="", IF(VLOOKUP(B141, cnst_grazing!$C$10:$H$25,4,FALSE)="", VLOOKUP(B141, cnst_grazing!$C$10:$H$25,3,FALSE),VLOOKUP(B141, cnst_grazing!$C$10:$H$25,4,FALSE)), VLOOKUP(B141,cnst_grazing!$C$10:$H$25,6,FALSE)),1)</f>
        <v>2.6420000358484685E-4</v>
      </c>
      <c r="Z141" s="400">
        <f t="shared" si="53"/>
        <v>1</v>
      </c>
      <c r="AA141" s="2">
        <f t="shared" si="54"/>
        <v>0</v>
      </c>
      <c r="AB141" s="2">
        <f>VLOOKUP($W141,feed_mix_n,MATCH(AB$5,feed_mix_w!$B$5:$AC$5,0),FALSE)/$Z141*VLOOKUP(AB$5,feed_intensity_w,11,FALSE)</f>
        <v>0</v>
      </c>
      <c r="AC141" s="2">
        <f>VLOOKUP($W141,feed_mix_n,MATCH(AC$5,feed_mix_w!$B$5:$AC$5,0),FALSE)/$Z141*VLOOKUP(AC$5,feed_intensity_w,11,FALSE)</f>
        <v>0</v>
      </c>
      <c r="AD141" s="2">
        <f>VLOOKUP($W141,feed_mix_n,MATCH(AD$5,feed_mix_w!$B$5:$AC$5,0),FALSE)/$Z141*VLOOKUP(AD$5,feed_intensity_w,11,FALSE)</f>
        <v>0</v>
      </c>
      <c r="AE141" s="2">
        <f>VLOOKUP($W141,feed_mix_n,MATCH(AE$5,feed_mix_w!$B$5:$AC$5,0),FALSE)/$Z141*VLOOKUP(AE$5,feed_intensity_w,11,FALSE)</f>
        <v>0</v>
      </c>
      <c r="AF141" s="2">
        <f>VLOOKUP($W141,feed_mix_n,MATCH(AF$5,feed_mix_w!$B$5:$AC$5,0),FALSE)/$Z141*VLOOKUP(AF$5,feed_intensity_w,11,FALSE)</f>
        <v>0</v>
      </c>
      <c r="AG141" s="2">
        <f>VLOOKUP($W141,feed_mix_n,MATCH(AG$5,feed_mix_w!$B$5:$AC$5,0),FALSE)/$Z141*VLOOKUP(AG$5,feed_intensity_w,11,FALSE)</f>
        <v>0</v>
      </c>
      <c r="AH141" s="2">
        <f>VLOOKUP($W141,feed_mix_n,MATCH(AH$5,feed_mix_w!$B$5:$AC$5,0),FALSE)/$Z141*VLOOKUP(AH$5,feed_intensity_w,11,FALSE)</f>
        <v>0</v>
      </c>
      <c r="AI141" s="2">
        <f>VLOOKUP($W141,feed_mix_n,MATCH(AI$5,feed_mix_w!$B$5:$AC$5,0),FALSE)/$Z141*VLOOKUP(AI$5,feed_intensity_w,11,FALSE)</f>
        <v>0</v>
      </c>
      <c r="AJ141" s="2">
        <f>VLOOKUP($W141,feed_mix_n,MATCH(AJ$5,feed_mix_w!$B$5:$AC$5,0),FALSE)/$Z141*VLOOKUP(AJ$5,feed_intensity_w,11,FALSE)</f>
        <v>0</v>
      </c>
      <c r="AK141" s="2">
        <f>VLOOKUP($W141,feed_mix_n,MATCH(AK$5,feed_mix_w!$B$5:$AC$5,0),FALSE)/$Z141*VLOOKUP(AK$5,feed_intensity_w,11,FALSE)</f>
        <v>0</v>
      </c>
      <c r="AL141" s="2">
        <f>VLOOKUP($W141,feed_mix_n,MATCH(AL$5,feed_mix_w!$B$5:$AC$5,0),FALSE)/$Z141*VLOOKUP(AL$5,feed_intensity_w,11,FALSE)</f>
        <v>0</v>
      </c>
      <c r="AM141" s="2">
        <f>VLOOKUP($W141,feed_mix_n,MATCH(AM$5,feed_mix_w!$B$5:$AC$5,0),FALSE)/$Z141*VLOOKUP(AM$5,feed_intensity_w,11,FALSE)</f>
        <v>0</v>
      </c>
      <c r="AN141" s="2">
        <f>VLOOKUP($W141,feed_mix_n,MATCH(AN$5,feed_mix_w!$B$5:$AC$5,0),FALSE)/$Z141*VLOOKUP(AN$5,feed_intensity_w,11,FALSE)</f>
        <v>0</v>
      </c>
      <c r="AO141" s="2">
        <f>VLOOKUP($W141,feed_mix_n,MATCH(AO$5,feed_mix_w!$B$5:$AC$5,0),FALSE)/$Z141*VLOOKUP(AO$5,feed_intensity_w,11,FALSE)</f>
        <v>0</v>
      </c>
      <c r="AP141" s="2">
        <f>VLOOKUP($W141,feed_mix_n,MATCH(AP$5,feed_mix_w!$B$5:$AC$5,0),FALSE)/$Z141*VLOOKUP(AP$5,feed_intensity_w,11,FALSE)</f>
        <v>0</v>
      </c>
      <c r="AQ141" s="2">
        <f>VLOOKUP($W141,feed_mix_n,MATCH(AQ$5,feed_mix_w!$B$5:$AC$5,0),FALSE)/$Z141*VLOOKUP(AQ$5,feed_intensity_w,11,FALSE)</f>
        <v>0</v>
      </c>
      <c r="AR141" s="2">
        <f>VLOOKUP($W141,feed_mix_n,MATCH(AR$5,feed_mix_w!$B$5:$AC$5,0),FALSE)/$Z141*VLOOKUP(AR$5,feed_intensity_w,11,FALSE)</f>
        <v>0</v>
      </c>
      <c r="AS141" s="389">
        <f>VLOOKUP($W141,feed_mix_n,MATCH(AS$5,feed_mix_w!$B$5:$AC$5,0),FALSE)/$Z141*VLOOKUP(AS$5,feed_intensity_w,11,FALSE)</f>
        <v>0</v>
      </c>
    </row>
    <row r="142" spans="1:45" ht="12.75" customHeight="1">
      <c r="A142" s="14" t="s">
        <v>7193</v>
      </c>
      <c r="B142" s="482">
        <v>1157</v>
      </c>
      <c r="C142" s="24" t="s">
        <v>2974</v>
      </c>
      <c r="D142" s="513">
        <v>205</v>
      </c>
      <c r="E142" s="513">
        <v>1</v>
      </c>
      <c r="F142" s="25">
        <f t="shared" si="44"/>
        <v>7.0724998228251934</v>
      </c>
      <c r="G142" s="25">
        <f t="shared" si="45"/>
        <v>3.4499999135732651E-2</v>
      </c>
      <c r="H142" s="2">
        <f t="shared" si="46"/>
        <v>69.393699907113046</v>
      </c>
      <c r="I142" s="25">
        <f t="shared" si="47"/>
        <v>490.78693029824166</v>
      </c>
      <c r="J142" s="87">
        <f>IFERROR(G142*VLOOKUP(W142,livestock_intensity!$B$7:$I$29,8,FALSE)/Z142,0)</f>
        <v>2.3940825868206912</v>
      </c>
      <c r="K142" s="2">
        <f>VLOOKUP($W142,feed_mix_n,MATCH(K$5,feed_mix_w!$B$5:$AC$5,0),FALSE)/$Z142*VLOOKUP(K$5,feed_intensity_w,11,FALSE)</f>
        <v>0</v>
      </c>
      <c r="L142" s="25">
        <f t="shared" si="48"/>
        <v>0</v>
      </c>
      <c r="M142" s="25">
        <f>IFERROR(G142*VLOOKUP(W142,livestock_intensity!$B$7:$M$29,12,FALSE)/Z142,0)</f>
        <v>0</v>
      </c>
      <c r="N142" s="2">
        <f>VLOOKUP($W142,feed_mix_n,MATCH(N$5,feed_mix_w!$B$5:$AC$5,0),FALSE)/$Z142*VLOOKUP(N$5,feed_intensity_w,11,FALSE)</f>
        <v>170.86493119451004</v>
      </c>
      <c r="O142" s="25">
        <f t="shared" si="49"/>
        <v>1208.4421956002111</v>
      </c>
      <c r="P142" s="343">
        <f>IFERROR(G142*VLOOKUP(W142,livestock_intensity!$B$7:$Q$29,16,FALSE)/Z142,0)</f>
        <v>5.8948399785376147</v>
      </c>
      <c r="Q142" s="758"/>
      <c r="R142" s="331">
        <f t="shared" si="50"/>
        <v>1699.2291258984528</v>
      </c>
      <c r="S142" s="331">
        <f t="shared" si="51"/>
        <v>8.2889225653583054</v>
      </c>
      <c r="T142" s="739" t="s">
        <v>2738</v>
      </c>
      <c r="U142" s="558" t="s">
        <v>413</v>
      </c>
      <c r="V142" s="559" t="str">
        <f>IFERROR(VLOOKUP(W142,constant_ag_extr!$D$7:$E$594,2,FALSE),"")</f>
        <v>Other camelids</v>
      </c>
      <c r="W142" s="560">
        <f t="shared" si="52"/>
        <v>1157</v>
      </c>
      <c r="X142" s="2">
        <f>IFERROR(IF(VLOOKUP(B142,cnst_grazing!$C$10:$H$25,5,FALSE)="", IF(VLOOKUP(B142, cnst_grazing!$C$10:$H$25,3,FALSE)="", VLOOKUP(B142, cnst_grazing!$C$10:$H$25,4,FALSE),VLOOKUP(B142, cnst_grazing!$C$10:$H$25,3,FALSE)), VLOOKUP(B142,cnst_grazing!$C$10:$H$25,5,FALSE)),1)</f>
        <v>3.4499999135732651E-2</v>
      </c>
      <c r="Y142" s="2">
        <f>IFERROR(IF(VLOOKUP(B142,cnst_grazing!$C$10:$H$25,6,FALSE)="", IF(VLOOKUP(B142, cnst_grazing!$C$10:$H$25,4,FALSE)="", VLOOKUP(B142, cnst_grazing!$C$10:$H$25,3,FALSE),VLOOKUP(B142, cnst_grazing!$C$10:$H$25,4,FALSE)), VLOOKUP(B142,cnst_grazing!$C$10:$H$25,6,FALSE)),1)</f>
        <v>3.4499999135732651E-2</v>
      </c>
      <c r="Z142" s="400">
        <f t="shared" si="53"/>
        <v>1</v>
      </c>
      <c r="AA142" s="2">
        <f t="shared" si="54"/>
        <v>240.25863110162308</v>
      </c>
      <c r="AB142" s="2">
        <f>VLOOKUP($W142,feed_mix_n,MATCH(AB$5,feed_mix_w!$B$5:$AC$5,0),FALSE)/$Z142*VLOOKUP(AB$5,feed_intensity_w,11,FALSE)</f>
        <v>19.46267713256443</v>
      </c>
      <c r="AC142" s="2">
        <f>VLOOKUP($W142,feed_mix_n,MATCH(AC$5,feed_mix_w!$B$5:$AC$5,0),FALSE)/$Z142*VLOOKUP(AC$5,feed_intensity_w,11,FALSE)</f>
        <v>7.6497951463053235</v>
      </c>
      <c r="AD142" s="2">
        <f>VLOOKUP($W142,feed_mix_n,MATCH(AD$5,feed_mix_w!$B$5:$AC$5,0),FALSE)/$Z142*VLOOKUP(AD$5,feed_intensity_w,11,FALSE)</f>
        <v>0</v>
      </c>
      <c r="AE142" s="2">
        <f>VLOOKUP($W142,feed_mix_n,MATCH(AE$5,feed_mix_w!$B$5:$AC$5,0),FALSE)/$Z142*VLOOKUP(AE$5,feed_intensity_w,11,FALSE)</f>
        <v>15.400917404475088</v>
      </c>
      <c r="AF142" s="2">
        <f>VLOOKUP($W142,feed_mix_n,MATCH(AF$5,feed_mix_w!$B$5:$AC$5,0),FALSE)/$Z142*VLOOKUP(AF$5,feed_intensity_w,11,FALSE)</f>
        <v>7.7004587022375439</v>
      </c>
      <c r="AG142" s="2">
        <f>VLOOKUP($W142,feed_mix_n,MATCH(AG$5,feed_mix_w!$B$5:$AC$5,0),FALSE)/$Z142*VLOOKUP(AG$5,feed_intensity_w,11,FALSE)</f>
        <v>0</v>
      </c>
      <c r="AH142" s="2">
        <f>VLOOKUP($W142,feed_mix_n,MATCH(AH$5,feed_mix_w!$B$5:$AC$5,0),FALSE)/$Z142*VLOOKUP(AH$5,feed_intensity_w,11,FALSE)</f>
        <v>7.7004587022375439</v>
      </c>
      <c r="AI142" s="2">
        <f>VLOOKUP($W142,feed_mix_n,MATCH(AI$5,feed_mix_w!$B$5:$AC$5,0),FALSE)/$Z142*VLOOKUP(AI$5,feed_intensity_w,11,FALSE)</f>
        <v>0</v>
      </c>
      <c r="AJ142" s="2">
        <f>VLOOKUP($W142,feed_mix_n,MATCH(AJ$5,feed_mix_w!$B$5:$AC$5,0),FALSE)/$Z142*VLOOKUP(AJ$5,feed_intensity_w,11,FALSE)</f>
        <v>0</v>
      </c>
      <c r="AK142" s="2">
        <f>VLOOKUP($W142,feed_mix_n,MATCH(AK$5,feed_mix_w!$B$5:$AC$5,0),FALSE)/$Z142*VLOOKUP(AK$5,feed_intensity_w,11,FALSE)</f>
        <v>0</v>
      </c>
      <c r="AL142" s="2">
        <f>VLOOKUP($W142,feed_mix_n,MATCH(AL$5,feed_mix_w!$B$5:$AC$5,0),FALSE)/$Z142*VLOOKUP(AL$5,feed_intensity_w,11,FALSE)</f>
        <v>0</v>
      </c>
      <c r="AM142" s="2">
        <f>VLOOKUP($W142,feed_mix_n,MATCH(AM$5,feed_mix_w!$B$5:$AC$5,0),FALSE)/$Z142*VLOOKUP(AM$5,feed_intensity_w,11,FALSE)</f>
        <v>5.3106278129709166</v>
      </c>
      <c r="AN142" s="2">
        <f>VLOOKUP($W142,feed_mix_n,MATCH(AN$5,feed_mix_w!$B$5:$AC$5,0),FALSE)/$Z142*VLOOKUP(AN$5,feed_intensity_w,11,FALSE)</f>
        <v>0</v>
      </c>
      <c r="AO142" s="2">
        <f>VLOOKUP($W142,feed_mix_n,MATCH(AO$5,feed_mix_w!$B$5:$AC$5,0),FALSE)/$Z142*VLOOKUP(AO$5,feed_intensity_w,11,FALSE)</f>
        <v>0</v>
      </c>
      <c r="AP142" s="2">
        <f>VLOOKUP($W142,feed_mix_n,MATCH(AP$5,feed_mix_w!$B$5:$AC$5,0),FALSE)/$Z142*VLOOKUP(AP$5,feed_intensity_w,11,FALSE)</f>
        <v>0</v>
      </c>
      <c r="AQ142" s="2">
        <f>VLOOKUP($W142,feed_mix_n,MATCH(AQ$5,feed_mix_w!$B$5:$AC$5,0),FALSE)/$Z142*VLOOKUP(AQ$5,feed_intensity_w,11,FALSE)</f>
        <v>0</v>
      </c>
      <c r="AR142" s="2">
        <f>VLOOKUP($W142,feed_mix_n,MATCH(AR$5,feed_mix_w!$B$5:$AC$5,0),FALSE)/$Z142*VLOOKUP(AR$5,feed_intensity_w,11,FALSE)</f>
        <v>6.1687650063222046</v>
      </c>
      <c r="AS142" s="389">
        <f>VLOOKUP($W142,feed_mix_n,MATCH(AS$5,feed_mix_w!$B$5:$AC$5,0),FALSE)/$Z142*VLOOKUP(AS$5,feed_intensity_w,11,FALSE)</f>
        <v>0</v>
      </c>
    </row>
    <row r="143" spans="1:45" ht="12.75" customHeight="1">
      <c r="A143" s="14" t="s">
        <v>7194</v>
      </c>
      <c r="B143" s="482">
        <v>1159</v>
      </c>
      <c r="C143" s="24">
        <v>5301.3</v>
      </c>
      <c r="D143" s="513"/>
      <c r="E143" s="513"/>
      <c r="F143" s="25">
        <f t="shared" si="44"/>
        <v>0</v>
      </c>
      <c r="G143" s="25">
        <f t="shared" si="45"/>
        <v>0</v>
      </c>
      <c r="H143" s="2">
        <f t="shared" si="46"/>
        <v>10.893599774800212</v>
      </c>
      <c r="I143" s="25">
        <f t="shared" si="47"/>
        <v>0</v>
      </c>
      <c r="J143" s="87">
        <f>IFERROR(G143*VLOOKUP(W143,livestock_intensity!$B$7:$I$29,8,FALSE)/Z143,0)</f>
        <v>0</v>
      </c>
      <c r="K143" s="2">
        <f>VLOOKUP($W143,feed_mix_n,MATCH(K$5,feed_mix_w!$B$5:$AC$5,0),FALSE)/$Z143*VLOOKUP(K$5,feed_intensity_w,11,FALSE)</f>
        <v>0</v>
      </c>
      <c r="L143" s="25">
        <f t="shared" si="48"/>
        <v>0</v>
      </c>
      <c r="M143" s="25">
        <f>IFERROR(G143*VLOOKUP(W143,livestock_intensity!$B$7:$M$29,12,FALSE)/Z143,0)</f>
        <v>0</v>
      </c>
      <c r="N143" s="2">
        <f>VLOOKUP($W143,feed_mix_n,MATCH(N$5,feed_mix_w!$B$5:$AC$5,0),FALSE)/$Z143*VLOOKUP(N$5,feed_intensity_w,11,FALSE)</f>
        <v>26.822812135298417</v>
      </c>
      <c r="O143" s="25">
        <f t="shared" si="49"/>
        <v>0</v>
      </c>
      <c r="P143" s="343">
        <f>IFERROR(G143*VLOOKUP(W143,livestock_intensity!$B$7:$Q$29,16,FALSE)/Z143,0)</f>
        <v>0</v>
      </c>
      <c r="Q143" s="758"/>
      <c r="R143" s="331">
        <f t="shared" si="50"/>
        <v>0</v>
      </c>
      <c r="S143" s="331">
        <f t="shared" si="51"/>
        <v>0</v>
      </c>
      <c r="T143" s="739">
        <v>2736</v>
      </c>
      <c r="U143" s="558" t="s">
        <v>2796</v>
      </c>
      <c r="V143" s="559" t="str">
        <f>IFERROR(VLOOKUP(W143,constant_ag_extr!$D$7:$E$594,2,FALSE),"")</f>
        <v>Camels</v>
      </c>
      <c r="W143" s="560">
        <f t="shared" si="52"/>
        <v>1126</v>
      </c>
      <c r="X143" s="2">
        <f>IFERROR(IF(VLOOKUP(B143,cnst_grazing!$C$10:$H$25,5,FALSE)="", IF(VLOOKUP(B143, cnst_grazing!$C$10:$H$25,3,FALSE)="", VLOOKUP(B143, cnst_grazing!$C$10:$H$25,4,FALSE),VLOOKUP(B143, cnst_grazing!$C$10:$H$25,3,FALSE)), VLOOKUP(B143,cnst_grazing!$C$10:$H$25,5,FALSE)),1)</f>
        <v>1</v>
      </c>
      <c r="Y143" s="2">
        <f>IFERROR(IF(VLOOKUP(B143,cnst_grazing!$C$10:$H$25,6,FALSE)="", IF(VLOOKUP(B143, cnst_grazing!$C$10:$H$25,4,FALSE)="", VLOOKUP(B143, cnst_grazing!$C$10:$H$25,3,FALSE),VLOOKUP(B143, cnst_grazing!$C$10:$H$25,4,FALSE)), VLOOKUP(B143,cnst_grazing!$C$10:$H$25,6,FALSE)),1)</f>
        <v>1</v>
      </c>
      <c r="Z143" s="400">
        <f t="shared" si="53"/>
        <v>1</v>
      </c>
      <c r="AA143" s="2">
        <f t="shared" si="54"/>
        <v>37.716411910098628</v>
      </c>
      <c r="AB143" s="2">
        <f>VLOOKUP($W143,feed_mix_n,MATCH(AB$5,feed_mix_w!$B$5:$AC$5,0),FALSE)/$Z143*VLOOKUP(AB$5,feed_intensity_w,11,FALSE)</f>
        <v>3.0553006326526857</v>
      </c>
      <c r="AC143" s="2">
        <f>VLOOKUP($W143,feed_mix_n,MATCH(AC$5,feed_mix_w!$B$5:$AC$5,0),FALSE)/$Z143*VLOOKUP(AC$5,feed_intensity_w,11,FALSE)</f>
        <v>1.2008843280385093</v>
      </c>
      <c r="AD143" s="2">
        <f>VLOOKUP($W143,feed_mix_n,MATCH(AD$5,feed_mix_w!$B$5:$AC$5,0),FALSE)/$Z143*VLOOKUP(AD$5,feed_intensity_w,11,FALSE)</f>
        <v>0</v>
      </c>
      <c r="AE143" s="2">
        <f>VLOOKUP($W143,feed_mix_n,MATCH(AE$5,feed_mix_w!$B$5:$AC$5,0),FALSE)/$Z143*VLOOKUP(AE$5,feed_intensity_w,11,FALSE)</f>
        <v>2.4176752442033922</v>
      </c>
      <c r="AF143" s="2">
        <f>VLOOKUP($W143,feed_mix_n,MATCH(AF$5,feed_mix_w!$B$5:$AC$5,0),FALSE)/$Z143*VLOOKUP(AF$5,feed_intensity_w,11,FALSE)</f>
        <v>1.2088376221016961</v>
      </c>
      <c r="AG143" s="2">
        <f>VLOOKUP($W143,feed_mix_n,MATCH(AG$5,feed_mix_w!$B$5:$AC$5,0),FALSE)/$Z143*VLOOKUP(AG$5,feed_intensity_w,11,FALSE)</f>
        <v>0</v>
      </c>
      <c r="AH143" s="2">
        <f>VLOOKUP($W143,feed_mix_n,MATCH(AH$5,feed_mix_w!$B$5:$AC$5,0),FALSE)/$Z143*VLOOKUP(AH$5,feed_intensity_w,11,FALSE)</f>
        <v>1.2088376221016961</v>
      </c>
      <c r="AI143" s="2">
        <f>VLOOKUP($W143,feed_mix_n,MATCH(AI$5,feed_mix_w!$B$5:$AC$5,0),FALSE)/$Z143*VLOOKUP(AI$5,feed_intensity_w,11,FALSE)</f>
        <v>0</v>
      </c>
      <c r="AJ143" s="2">
        <f>VLOOKUP($W143,feed_mix_n,MATCH(AJ$5,feed_mix_w!$B$5:$AC$5,0),FALSE)/$Z143*VLOOKUP(AJ$5,feed_intensity_w,11,FALSE)</f>
        <v>0</v>
      </c>
      <c r="AK143" s="2">
        <f>VLOOKUP($W143,feed_mix_n,MATCH(AK$5,feed_mix_w!$B$5:$AC$5,0),FALSE)/$Z143*VLOOKUP(AK$5,feed_intensity_w,11,FALSE)</f>
        <v>0</v>
      </c>
      <c r="AL143" s="2">
        <f>VLOOKUP($W143,feed_mix_n,MATCH(AL$5,feed_mix_w!$B$5:$AC$5,0),FALSE)/$Z143*VLOOKUP(AL$5,feed_intensity_w,11,FALSE)</f>
        <v>0</v>
      </c>
      <c r="AM143" s="2">
        <f>VLOOKUP($W143,feed_mix_n,MATCH(AM$5,feed_mix_w!$B$5:$AC$5,0),FALSE)/$Z143*VLOOKUP(AM$5,feed_intensity_w,11,FALSE)</f>
        <v>0.83367588159826211</v>
      </c>
      <c r="AN143" s="2">
        <f>VLOOKUP($W143,feed_mix_n,MATCH(AN$5,feed_mix_w!$B$5:$AC$5,0),FALSE)/$Z143*VLOOKUP(AN$5,feed_intensity_w,11,FALSE)</f>
        <v>0</v>
      </c>
      <c r="AO143" s="2">
        <f>VLOOKUP($W143,feed_mix_n,MATCH(AO$5,feed_mix_w!$B$5:$AC$5,0),FALSE)/$Z143*VLOOKUP(AO$5,feed_intensity_w,11,FALSE)</f>
        <v>0</v>
      </c>
      <c r="AP143" s="2">
        <f>VLOOKUP($W143,feed_mix_n,MATCH(AP$5,feed_mix_w!$B$5:$AC$5,0),FALSE)/$Z143*VLOOKUP(AP$5,feed_intensity_w,11,FALSE)</f>
        <v>0</v>
      </c>
      <c r="AQ143" s="2">
        <f>VLOOKUP($W143,feed_mix_n,MATCH(AQ$5,feed_mix_w!$B$5:$AC$5,0),FALSE)/$Z143*VLOOKUP(AQ$5,feed_intensity_w,11,FALSE)</f>
        <v>0</v>
      </c>
      <c r="AR143" s="2">
        <f>VLOOKUP($W143,feed_mix_n,MATCH(AR$5,feed_mix_w!$B$5:$AC$5,0),FALSE)/$Z143*VLOOKUP(AR$5,feed_intensity_w,11,FALSE)</f>
        <v>0.96838844410396963</v>
      </c>
      <c r="AS143" s="389">
        <f>VLOOKUP($W143,feed_mix_n,MATCH(AS$5,feed_mix_w!$B$5:$AC$5,0),FALSE)/$Z143*VLOOKUP(AS$5,feed_intensity_w,11,FALSE)</f>
        <v>0</v>
      </c>
    </row>
    <row r="144" spans="1:45" ht="12.75" customHeight="1">
      <c r="A144" s="14" t="s">
        <v>7195</v>
      </c>
      <c r="B144" s="482">
        <v>1163</v>
      </c>
      <c r="C144" s="24" t="s">
        <v>2808</v>
      </c>
      <c r="D144" s="513"/>
      <c r="E144" s="513">
        <v>0</v>
      </c>
      <c r="F144" s="25">
        <f t="shared" si="44"/>
        <v>0</v>
      </c>
      <c r="G144" s="25">
        <f t="shared" si="45"/>
        <v>0</v>
      </c>
      <c r="H144" s="2" t="e">
        <f t="shared" si="46"/>
        <v>#N/A</v>
      </c>
      <c r="I144" s="25">
        <f t="shared" si="47"/>
        <v>0</v>
      </c>
      <c r="J144" s="87">
        <f>IFERROR(G144*VLOOKUP(W144,livestock_intensity!$B$7:$I$29,8,FALSE)/Z144,0)</f>
        <v>0</v>
      </c>
      <c r="K144" s="2" t="e">
        <f>VLOOKUP($W144,feed_mix_n,MATCH(K$5,feed_mix_w!$B$5:$AC$5,0),FALSE)/$Z144*VLOOKUP(K$5,feed_intensity_w,11,FALSE)</f>
        <v>#N/A</v>
      </c>
      <c r="L144" s="25">
        <f t="shared" si="48"/>
        <v>0</v>
      </c>
      <c r="M144" s="25">
        <f>IFERROR(G144*VLOOKUP(W144,livestock_intensity!$B$7:$M$29,12,FALSE)/Z144,0)</f>
        <v>0</v>
      </c>
      <c r="N144" s="2" t="e">
        <f>VLOOKUP($W144,feed_mix_n,MATCH(N$5,feed_mix_w!$B$5:$AC$5,0),FALSE)/$Z144*VLOOKUP(N$5,feed_intensity_w,11,FALSE)</f>
        <v>#N/A</v>
      </c>
      <c r="O144" s="25">
        <f t="shared" si="49"/>
        <v>0</v>
      </c>
      <c r="P144" s="343">
        <f>IFERROR(G144*VLOOKUP(W144,livestock_intensity!$B$7:$Q$29,16,FALSE)/Z144,0)</f>
        <v>0</v>
      </c>
      <c r="Q144" s="758"/>
      <c r="R144" s="331">
        <f t="shared" si="50"/>
        <v>0</v>
      </c>
      <c r="S144" s="331">
        <f t="shared" si="51"/>
        <v>0</v>
      </c>
      <c r="T144" s="739" t="s">
        <v>2738</v>
      </c>
      <c r="U144" s="558" t="s">
        <v>2796</v>
      </c>
      <c r="V144" s="559">
        <f>IFERROR(VLOOKUP(W144,constant_ag_extr!$D$7:$E$594,2,FALSE),"")</f>
        <v>0</v>
      </c>
      <c r="W144" s="560" t="str">
        <f t="shared" si="52"/>
        <v/>
      </c>
      <c r="X144" s="2">
        <f>IFERROR(IF(VLOOKUP(B144,cnst_grazing!$C$10:$H$25,5,FALSE)="", IF(VLOOKUP(B144, cnst_grazing!$C$10:$H$25,3,FALSE)="", VLOOKUP(B144, cnst_grazing!$C$10:$H$25,4,FALSE),VLOOKUP(B144, cnst_grazing!$C$10:$H$25,3,FALSE)), VLOOKUP(B144,cnst_grazing!$C$10:$H$25,5,FALSE)),1)</f>
        <v>1</v>
      </c>
      <c r="Y144" s="2">
        <f>IFERROR(IF(VLOOKUP(B144,cnst_grazing!$C$10:$H$25,6,FALSE)="", IF(VLOOKUP(B144, cnst_grazing!$C$10:$H$25,4,FALSE)="", VLOOKUP(B144, cnst_grazing!$C$10:$H$25,3,FALSE),VLOOKUP(B144, cnst_grazing!$C$10:$H$25,4,FALSE)), VLOOKUP(B144,cnst_grazing!$C$10:$H$25,6,FALSE)),1)</f>
        <v>1</v>
      </c>
      <c r="Z144" s="400">
        <f t="shared" si="53"/>
        <v>1</v>
      </c>
      <c r="AA144" s="2" t="e">
        <f t="shared" si="54"/>
        <v>#N/A</v>
      </c>
      <c r="AB144" s="2" t="e">
        <f>VLOOKUP($W144,feed_mix_n,MATCH(AB$5,feed_mix_w!$B$5:$AC$5,0),FALSE)/$Z144*VLOOKUP(AB$5,feed_intensity_w,11,FALSE)</f>
        <v>#N/A</v>
      </c>
      <c r="AC144" s="2" t="e">
        <f>VLOOKUP($W144,feed_mix_n,MATCH(AC$5,feed_mix_w!$B$5:$AC$5,0),FALSE)/$Z144*VLOOKUP(AC$5,feed_intensity_w,11,FALSE)</f>
        <v>#N/A</v>
      </c>
      <c r="AD144" s="2" t="e">
        <f>VLOOKUP($W144,feed_mix_n,MATCH(AD$5,feed_mix_w!$B$5:$AC$5,0),FALSE)/$Z144*VLOOKUP(AD$5,feed_intensity_w,11,FALSE)</f>
        <v>#N/A</v>
      </c>
      <c r="AE144" s="2" t="e">
        <f>VLOOKUP($W144,feed_mix_n,MATCH(AE$5,feed_mix_w!$B$5:$AC$5,0),FALSE)/$Z144*VLOOKUP(AE$5,feed_intensity_w,11,FALSE)</f>
        <v>#N/A</v>
      </c>
      <c r="AF144" s="2" t="e">
        <f>VLOOKUP($W144,feed_mix_n,MATCH(AF$5,feed_mix_w!$B$5:$AC$5,0),FALSE)/$Z144*VLOOKUP(AF$5,feed_intensity_w,11,FALSE)</f>
        <v>#N/A</v>
      </c>
      <c r="AG144" s="2" t="e">
        <f>VLOOKUP($W144,feed_mix_n,MATCH(AG$5,feed_mix_w!$B$5:$AC$5,0),FALSE)/$Z144*VLOOKUP(AG$5,feed_intensity_w,11,FALSE)</f>
        <v>#N/A</v>
      </c>
      <c r="AH144" s="2" t="e">
        <f>VLOOKUP($W144,feed_mix_n,MATCH(AH$5,feed_mix_w!$B$5:$AC$5,0),FALSE)/$Z144*VLOOKUP(AH$5,feed_intensity_w,11,FALSE)</f>
        <v>#N/A</v>
      </c>
      <c r="AI144" s="2" t="e">
        <f>VLOOKUP($W144,feed_mix_n,MATCH(AI$5,feed_mix_w!$B$5:$AC$5,0),FALSE)/$Z144*VLOOKUP(AI$5,feed_intensity_w,11,FALSE)</f>
        <v>#N/A</v>
      </c>
      <c r="AJ144" s="2" t="e">
        <f>VLOOKUP($W144,feed_mix_n,MATCH(AJ$5,feed_mix_w!$B$5:$AC$5,0),FALSE)/$Z144*VLOOKUP(AJ$5,feed_intensity_w,11,FALSE)</f>
        <v>#N/A</v>
      </c>
      <c r="AK144" s="2" t="e">
        <f>VLOOKUP($W144,feed_mix_n,MATCH(AK$5,feed_mix_w!$B$5:$AC$5,0),FALSE)/$Z144*VLOOKUP(AK$5,feed_intensity_w,11,FALSE)</f>
        <v>#N/A</v>
      </c>
      <c r="AL144" s="2" t="e">
        <f>VLOOKUP($W144,feed_mix_n,MATCH(AL$5,feed_mix_w!$B$5:$AC$5,0),FALSE)/$Z144*VLOOKUP(AL$5,feed_intensity_w,11,FALSE)</f>
        <v>#N/A</v>
      </c>
      <c r="AM144" s="2" t="e">
        <f>VLOOKUP($W144,feed_mix_n,MATCH(AM$5,feed_mix_w!$B$5:$AC$5,0),FALSE)/$Z144*VLOOKUP(AM$5,feed_intensity_w,11,FALSE)</f>
        <v>#N/A</v>
      </c>
      <c r="AN144" s="2" t="e">
        <f>VLOOKUP($W144,feed_mix_n,MATCH(AN$5,feed_mix_w!$B$5:$AC$5,0),FALSE)/$Z144*VLOOKUP(AN$5,feed_intensity_w,11,FALSE)</f>
        <v>#N/A</v>
      </c>
      <c r="AO144" s="2" t="e">
        <f>VLOOKUP($W144,feed_mix_n,MATCH(AO$5,feed_mix_w!$B$5:$AC$5,0),FALSE)/$Z144*VLOOKUP(AO$5,feed_intensity_w,11,FALSE)</f>
        <v>#N/A</v>
      </c>
      <c r="AP144" s="2" t="e">
        <f>VLOOKUP($W144,feed_mix_n,MATCH(AP$5,feed_mix_w!$B$5:$AC$5,0),FALSE)/$Z144*VLOOKUP(AP$5,feed_intensity_w,11,FALSE)</f>
        <v>#N/A</v>
      </c>
      <c r="AQ144" s="2" t="e">
        <f>VLOOKUP($W144,feed_mix_n,MATCH(AQ$5,feed_mix_w!$B$5:$AC$5,0),FALSE)/$Z144*VLOOKUP(AQ$5,feed_intensity_w,11,FALSE)</f>
        <v>#N/A</v>
      </c>
      <c r="AR144" s="2" t="e">
        <f>VLOOKUP($W144,feed_mix_n,MATCH(AR$5,feed_mix_w!$B$5:$AC$5,0),FALSE)/$Z144*VLOOKUP(AR$5,feed_intensity_w,11,FALSE)</f>
        <v>#N/A</v>
      </c>
      <c r="AS144" s="389" t="e">
        <f>VLOOKUP($W144,feed_mix_n,MATCH(AS$5,feed_mix_w!$B$5:$AC$5,0),FALSE)/$Z144*VLOOKUP(AS$5,feed_intensity_w,11,FALSE)</f>
        <v>#N/A</v>
      </c>
    </row>
    <row r="145" spans="1:45" ht="12.75" customHeight="1">
      <c r="A145" s="14" t="s">
        <v>7196</v>
      </c>
      <c r="B145" s="482">
        <v>1164</v>
      </c>
      <c r="C145" s="24" t="s">
        <v>1561</v>
      </c>
      <c r="D145" s="513">
        <v>107</v>
      </c>
      <c r="E145" s="513">
        <v>4479</v>
      </c>
      <c r="F145" s="25">
        <f t="shared" si="44"/>
        <v>107</v>
      </c>
      <c r="G145" s="25">
        <f t="shared" si="45"/>
        <v>4479</v>
      </c>
      <c r="H145" s="2" t="e">
        <f t="shared" si="46"/>
        <v>#N/A</v>
      </c>
      <c r="I145" s="25">
        <f t="shared" si="47"/>
        <v>0</v>
      </c>
      <c r="J145" s="87">
        <f>IFERROR(G145*VLOOKUP(W145,livestock_intensity!$B$7:$I$29,8,FALSE)/Z145,0)</f>
        <v>0</v>
      </c>
      <c r="K145" s="2" t="e">
        <f>VLOOKUP($W145,feed_mix_n,MATCH(K$5,feed_mix_w!$B$5:$AC$5,0),FALSE)/$Z145*VLOOKUP(K$5,feed_intensity_w,11,FALSE)</f>
        <v>#N/A</v>
      </c>
      <c r="L145" s="25">
        <f t="shared" si="48"/>
        <v>0</v>
      </c>
      <c r="M145" s="25">
        <f>IFERROR(G145*VLOOKUP(W145,livestock_intensity!$B$7:$M$29,12,FALSE)/Z145,0)</f>
        <v>0</v>
      </c>
      <c r="N145" s="2" t="e">
        <f>VLOOKUP($W145,feed_mix_n,MATCH(N$5,feed_mix_w!$B$5:$AC$5,0),FALSE)/$Z145*VLOOKUP(N$5,feed_intensity_w,11,FALSE)</f>
        <v>#N/A</v>
      </c>
      <c r="O145" s="25">
        <f t="shared" si="49"/>
        <v>0</v>
      </c>
      <c r="P145" s="343">
        <f>IFERROR(G145*VLOOKUP(W145,livestock_intensity!$B$7:$Q$29,16,FALSE)/Z145,0)</f>
        <v>0</v>
      </c>
      <c r="Q145" s="758"/>
      <c r="R145" s="331">
        <f t="shared" si="50"/>
        <v>0</v>
      </c>
      <c r="S145" s="331">
        <f t="shared" si="51"/>
        <v>0</v>
      </c>
      <c r="T145" s="739" t="s">
        <v>2738</v>
      </c>
      <c r="U145" s="558" t="s">
        <v>2796</v>
      </c>
      <c r="V145" s="559">
        <f>IFERROR(VLOOKUP(W145,constant_ag_extr!$D$7:$E$594,2,FALSE),"")</f>
        <v>0</v>
      </c>
      <c r="W145" s="560" t="str">
        <f t="shared" si="52"/>
        <v/>
      </c>
      <c r="X145" s="2">
        <f>IFERROR(IF(VLOOKUP(B145,cnst_grazing!$C$10:$H$25,5,FALSE)="", IF(VLOOKUP(B145, cnst_grazing!$C$10:$H$25,3,FALSE)="", VLOOKUP(B145, cnst_grazing!$C$10:$H$25,4,FALSE),VLOOKUP(B145, cnst_grazing!$C$10:$H$25,3,FALSE)), VLOOKUP(B145,cnst_grazing!$C$10:$H$25,5,FALSE)),1)</f>
        <v>1</v>
      </c>
      <c r="Y145" s="2">
        <f>IFERROR(IF(VLOOKUP(B145,cnst_grazing!$C$10:$H$25,6,FALSE)="", IF(VLOOKUP(B145, cnst_grazing!$C$10:$H$25,4,FALSE)="", VLOOKUP(B145, cnst_grazing!$C$10:$H$25,3,FALSE),VLOOKUP(B145, cnst_grazing!$C$10:$H$25,4,FALSE)), VLOOKUP(B145,cnst_grazing!$C$10:$H$25,6,FALSE)),1)</f>
        <v>1</v>
      </c>
      <c r="Z145" s="400">
        <f t="shared" si="53"/>
        <v>1</v>
      </c>
      <c r="AA145" s="2" t="e">
        <f t="shared" si="54"/>
        <v>#N/A</v>
      </c>
      <c r="AB145" s="2" t="e">
        <f>VLOOKUP($W145,feed_mix_n,MATCH(AB$5,feed_mix_w!$B$5:$AC$5,0),FALSE)/$Z145*VLOOKUP(AB$5,feed_intensity_w,11,FALSE)</f>
        <v>#N/A</v>
      </c>
      <c r="AC145" s="2" t="e">
        <f>VLOOKUP($W145,feed_mix_n,MATCH(AC$5,feed_mix_w!$B$5:$AC$5,0),FALSE)/$Z145*VLOOKUP(AC$5,feed_intensity_w,11,FALSE)</f>
        <v>#N/A</v>
      </c>
      <c r="AD145" s="2" t="e">
        <f>VLOOKUP($W145,feed_mix_n,MATCH(AD$5,feed_mix_w!$B$5:$AC$5,0),FALSE)/$Z145*VLOOKUP(AD$5,feed_intensity_w,11,FALSE)</f>
        <v>#N/A</v>
      </c>
      <c r="AE145" s="2" t="e">
        <f>VLOOKUP($W145,feed_mix_n,MATCH(AE$5,feed_mix_w!$B$5:$AC$5,0),FALSE)/$Z145*VLOOKUP(AE$5,feed_intensity_w,11,FALSE)</f>
        <v>#N/A</v>
      </c>
      <c r="AF145" s="2" t="e">
        <f>VLOOKUP($W145,feed_mix_n,MATCH(AF$5,feed_mix_w!$B$5:$AC$5,0),FALSE)/$Z145*VLOOKUP(AF$5,feed_intensity_w,11,FALSE)</f>
        <v>#N/A</v>
      </c>
      <c r="AG145" s="2" t="e">
        <f>VLOOKUP($W145,feed_mix_n,MATCH(AG$5,feed_mix_w!$B$5:$AC$5,0),FALSE)/$Z145*VLOOKUP(AG$5,feed_intensity_w,11,FALSE)</f>
        <v>#N/A</v>
      </c>
      <c r="AH145" s="2" t="e">
        <f>VLOOKUP($W145,feed_mix_n,MATCH(AH$5,feed_mix_w!$B$5:$AC$5,0),FALSE)/$Z145*VLOOKUP(AH$5,feed_intensity_w,11,FALSE)</f>
        <v>#N/A</v>
      </c>
      <c r="AI145" s="2" t="e">
        <f>VLOOKUP($W145,feed_mix_n,MATCH(AI$5,feed_mix_w!$B$5:$AC$5,0),FALSE)/$Z145*VLOOKUP(AI$5,feed_intensity_w,11,FALSE)</f>
        <v>#N/A</v>
      </c>
      <c r="AJ145" s="2" t="e">
        <f>VLOOKUP($W145,feed_mix_n,MATCH(AJ$5,feed_mix_w!$B$5:$AC$5,0),FALSE)/$Z145*VLOOKUP(AJ$5,feed_intensity_w,11,FALSE)</f>
        <v>#N/A</v>
      </c>
      <c r="AK145" s="2" t="e">
        <f>VLOOKUP($W145,feed_mix_n,MATCH(AK$5,feed_mix_w!$B$5:$AC$5,0),FALSE)/$Z145*VLOOKUP(AK$5,feed_intensity_w,11,FALSE)</f>
        <v>#N/A</v>
      </c>
      <c r="AL145" s="2" t="e">
        <f>VLOOKUP($W145,feed_mix_n,MATCH(AL$5,feed_mix_w!$B$5:$AC$5,0),FALSE)/$Z145*VLOOKUP(AL$5,feed_intensity_w,11,FALSE)</f>
        <v>#N/A</v>
      </c>
      <c r="AM145" s="2" t="e">
        <f>VLOOKUP($W145,feed_mix_n,MATCH(AM$5,feed_mix_w!$B$5:$AC$5,0),FALSE)/$Z145*VLOOKUP(AM$5,feed_intensity_w,11,FALSE)</f>
        <v>#N/A</v>
      </c>
      <c r="AN145" s="2" t="e">
        <f>VLOOKUP($W145,feed_mix_n,MATCH(AN$5,feed_mix_w!$B$5:$AC$5,0),FALSE)/$Z145*VLOOKUP(AN$5,feed_intensity_w,11,FALSE)</f>
        <v>#N/A</v>
      </c>
      <c r="AO145" s="2" t="e">
        <f>VLOOKUP($W145,feed_mix_n,MATCH(AO$5,feed_mix_w!$B$5:$AC$5,0),FALSE)/$Z145*VLOOKUP(AO$5,feed_intensity_w,11,FALSE)</f>
        <v>#N/A</v>
      </c>
      <c r="AP145" s="2" t="e">
        <f>VLOOKUP($W145,feed_mix_n,MATCH(AP$5,feed_mix_w!$B$5:$AC$5,0),FALSE)/$Z145*VLOOKUP(AP$5,feed_intensity_w,11,FALSE)</f>
        <v>#N/A</v>
      </c>
      <c r="AQ145" s="2" t="e">
        <f>VLOOKUP($W145,feed_mix_n,MATCH(AQ$5,feed_mix_w!$B$5:$AC$5,0),FALSE)/$Z145*VLOOKUP(AQ$5,feed_intensity_w,11,FALSE)</f>
        <v>#N/A</v>
      </c>
      <c r="AR145" s="2" t="e">
        <f>VLOOKUP($W145,feed_mix_n,MATCH(AR$5,feed_mix_w!$B$5:$AC$5,0),FALSE)/$Z145*VLOOKUP(AR$5,feed_intensity_w,11,FALSE)</f>
        <v>#N/A</v>
      </c>
      <c r="AS145" s="389" t="e">
        <f>VLOOKUP($W145,feed_mix_n,MATCH(AS$5,feed_mix_w!$B$5:$AC$5,0),FALSE)/$Z145*VLOOKUP(AS$5,feed_intensity_w,11,FALSE)</f>
        <v>#N/A</v>
      </c>
    </row>
    <row r="146" spans="1:45" ht="12.75" customHeight="1">
      <c r="A146" s="14" t="s">
        <v>7197</v>
      </c>
      <c r="B146" s="482">
        <v>1166</v>
      </c>
      <c r="C146" s="24" t="s">
        <v>13</v>
      </c>
      <c r="D146" s="513">
        <v>860</v>
      </c>
      <c r="E146" s="513">
        <v>1348</v>
      </c>
      <c r="F146" s="25">
        <f t="shared" si="44"/>
        <v>860</v>
      </c>
      <c r="G146" s="25">
        <f t="shared" si="45"/>
        <v>1348</v>
      </c>
      <c r="H146" s="2" t="e">
        <f t="shared" si="46"/>
        <v>#N/A</v>
      </c>
      <c r="I146" s="25">
        <f t="shared" si="47"/>
        <v>0</v>
      </c>
      <c r="J146" s="87">
        <f>IFERROR(G146*VLOOKUP(W146,livestock_intensity!$B$7:$I$29,8,FALSE)/Z146,0)</f>
        <v>0</v>
      </c>
      <c r="K146" s="2" t="e">
        <f>VLOOKUP($W146,feed_mix_n,MATCH(K$5,feed_mix_w!$B$5:$AC$5,0),FALSE)/$Z146*VLOOKUP(K$5,feed_intensity_w,11,FALSE)</f>
        <v>#N/A</v>
      </c>
      <c r="L146" s="25">
        <f t="shared" si="48"/>
        <v>0</v>
      </c>
      <c r="M146" s="25">
        <f>IFERROR(G146*VLOOKUP(W146,livestock_intensity!$B$7:$M$29,12,FALSE)/Z146,0)</f>
        <v>0</v>
      </c>
      <c r="N146" s="2" t="e">
        <f>VLOOKUP($W146,feed_mix_n,MATCH(N$5,feed_mix_w!$B$5:$AC$5,0),FALSE)/$Z146*VLOOKUP(N$5,feed_intensity_w,11,FALSE)</f>
        <v>#N/A</v>
      </c>
      <c r="O146" s="25">
        <f t="shared" si="49"/>
        <v>0</v>
      </c>
      <c r="P146" s="343">
        <f>IFERROR(G146*VLOOKUP(W146,livestock_intensity!$B$7:$Q$29,16,FALSE)/Z146,0)</f>
        <v>0</v>
      </c>
      <c r="Q146" s="758"/>
      <c r="R146" s="331">
        <f t="shared" si="50"/>
        <v>0</v>
      </c>
      <c r="S146" s="331">
        <f t="shared" si="51"/>
        <v>0</v>
      </c>
      <c r="T146" s="739" t="s">
        <v>2738</v>
      </c>
      <c r="U146" s="558" t="s">
        <v>2796</v>
      </c>
      <c r="V146" s="559">
        <f>IFERROR(VLOOKUP(W146,constant_ag_extr!$D$7:$E$594,2,FALSE),"")</f>
        <v>0</v>
      </c>
      <c r="W146" s="560" t="str">
        <f t="shared" si="52"/>
        <v/>
      </c>
      <c r="X146" s="2">
        <f>IFERROR(IF(VLOOKUP(B146,cnst_grazing!$C$10:$H$25,5,FALSE)="", IF(VLOOKUP(B146, cnst_grazing!$C$10:$H$25,3,FALSE)="", VLOOKUP(B146, cnst_grazing!$C$10:$H$25,4,FALSE),VLOOKUP(B146, cnst_grazing!$C$10:$H$25,3,FALSE)), VLOOKUP(B146,cnst_grazing!$C$10:$H$25,5,FALSE)),1)</f>
        <v>1</v>
      </c>
      <c r="Y146" s="2">
        <f>IFERROR(IF(VLOOKUP(B146,cnst_grazing!$C$10:$H$25,6,FALSE)="", IF(VLOOKUP(B146, cnst_grazing!$C$10:$H$25,4,FALSE)="", VLOOKUP(B146, cnst_grazing!$C$10:$H$25,3,FALSE),VLOOKUP(B146, cnst_grazing!$C$10:$H$25,4,FALSE)), VLOOKUP(B146,cnst_grazing!$C$10:$H$25,6,FALSE)),1)</f>
        <v>1</v>
      </c>
      <c r="Z146" s="400">
        <f t="shared" si="53"/>
        <v>1</v>
      </c>
      <c r="AA146" s="2" t="e">
        <f t="shared" si="54"/>
        <v>#N/A</v>
      </c>
      <c r="AB146" s="2" t="e">
        <f>VLOOKUP($W146,feed_mix_n,MATCH(AB$5,feed_mix_w!$B$5:$AC$5,0),FALSE)/$Z146*VLOOKUP(AB$5,feed_intensity_w,11,FALSE)</f>
        <v>#N/A</v>
      </c>
      <c r="AC146" s="2" t="e">
        <f>VLOOKUP($W146,feed_mix_n,MATCH(AC$5,feed_mix_w!$B$5:$AC$5,0),FALSE)/$Z146*VLOOKUP(AC$5,feed_intensity_w,11,FALSE)</f>
        <v>#N/A</v>
      </c>
      <c r="AD146" s="2" t="e">
        <f>VLOOKUP($W146,feed_mix_n,MATCH(AD$5,feed_mix_w!$B$5:$AC$5,0),FALSE)/$Z146*VLOOKUP(AD$5,feed_intensity_w,11,FALSE)</f>
        <v>#N/A</v>
      </c>
      <c r="AE146" s="2" t="e">
        <f>VLOOKUP($W146,feed_mix_n,MATCH(AE$5,feed_mix_w!$B$5:$AC$5,0),FALSE)/$Z146*VLOOKUP(AE$5,feed_intensity_w,11,FALSE)</f>
        <v>#N/A</v>
      </c>
      <c r="AF146" s="2" t="e">
        <f>VLOOKUP($W146,feed_mix_n,MATCH(AF$5,feed_mix_w!$B$5:$AC$5,0),FALSE)/$Z146*VLOOKUP(AF$5,feed_intensity_w,11,FALSE)</f>
        <v>#N/A</v>
      </c>
      <c r="AG146" s="2" t="e">
        <f>VLOOKUP($W146,feed_mix_n,MATCH(AG$5,feed_mix_w!$B$5:$AC$5,0),FALSE)/$Z146*VLOOKUP(AG$5,feed_intensity_w,11,FALSE)</f>
        <v>#N/A</v>
      </c>
      <c r="AH146" s="2" t="e">
        <f>VLOOKUP($W146,feed_mix_n,MATCH(AH$5,feed_mix_w!$B$5:$AC$5,0),FALSE)/$Z146*VLOOKUP(AH$5,feed_intensity_w,11,FALSE)</f>
        <v>#N/A</v>
      </c>
      <c r="AI146" s="2" t="e">
        <f>VLOOKUP($W146,feed_mix_n,MATCH(AI$5,feed_mix_w!$B$5:$AC$5,0),FALSE)/$Z146*VLOOKUP(AI$5,feed_intensity_w,11,FALSE)</f>
        <v>#N/A</v>
      </c>
      <c r="AJ146" s="2" t="e">
        <f>VLOOKUP($W146,feed_mix_n,MATCH(AJ$5,feed_mix_w!$B$5:$AC$5,0),FALSE)/$Z146*VLOOKUP(AJ$5,feed_intensity_w,11,FALSE)</f>
        <v>#N/A</v>
      </c>
      <c r="AK146" s="2" t="e">
        <f>VLOOKUP($W146,feed_mix_n,MATCH(AK$5,feed_mix_w!$B$5:$AC$5,0),FALSE)/$Z146*VLOOKUP(AK$5,feed_intensity_w,11,FALSE)</f>
        <v>#N/A</v>
      </c>
      <c r="AL146" s="2" t="e">
        <f>VLOOKUP($W146,feed_mix_n,MATCH(AL$5,feed_mix_w!$B$5:$AC$5,0),FALSE)/$Z146*VLOOKUP(AL$5,feed_intensity_w,11,FALSE)</f>
        <v>#N/A</v>
      </c>
      <c r="AM146" s="2" t="e">
        <f>VLOOKUP($W146,feed_mix_n,MATCH(AM$5,feed_mix_w!$B$5:$AC$5,0),FALSE)/$Z146*VLOOKUP(AM$5,feed_intensity_w,11,FALSE)</f>
        <v>#N/A</v>
      </c>
      <c r="AN146" s="2" t="e">
        <f>VLOOKUP($W146,feed_mix_n,MATCH(AN$5,feed_mix_w!$B$5:$AC$5,0),FALSE)/$Z146*VLOOKUP(AN$5,feed_intensity_w,11,FALSE)</f>
        <v>#N/A</v>
      </c>
      <c r="AO146" s="2" t="e">
        <f>VLOOKUP($W146,feed_mix_n,MATCH(AO$5,feed_mix_w!$B$5:$AC$5,0),FALSE)/$Z146*VLOOKUP(AO$5,feed_intensity_w,11,FALSE)</f>
        <v>#N/A</v>
      </c>
      <c r="AP146" s="2" t="e">
        <f>VLOOKUP($W146,feed_mix_n,MATCH(AP$5,feed_mix_w!$B$5:$AC$5,0),FALSE)/$Z146*VLOOKUP(AP$5,feed_intensity_w,11,FALSE)</f>
        <v>#N/A</v>
      </c>
      <c r="AQ146" s="2" t="e">
        <f>VLOOKUP($W146,feed_mix_n,MATCH(AQ$5,feed_mix_w!$B$5:$AC$5,0),FALSE)/$Z146*VLOOKUP(AQ$5,feed_intensity_w,11,FALSE)</f>
        <v>#N/A</v>
      </c>
      <c r="AR146" s="2" t="e">
        <f>VLOOKUP($W146,feed_mix_n,MATCH(AR$5,feed_mix_w!$B$5:$AC$5,0),FALSE)/$Z146*VLOOKUP(AR$5,feed_intensity_w,11,FALSE)</f>
        <v>#N/A</v>
      </c>
      <c r="AS146" s="389" t="e">
        <f>VLOOKUP($W146,feed_mix_n,MATCH(AS$5,feed_mix_w!$B$5:$AC$5,0),FALSE)/$Z146*VLOOKUP(AS$5,feed_intensity_w,11,FALSE)</f>
        <v>#N/A</v>
      </c>
    </row>
    <row r="147" spans="1:45" ht="12.75" customHeight="1">
      <c r="A147" s="14" t="s">
        <v>896</v>
      </c>
      <c r="B147" s="482">
        <v>1167</v>
      </c>
      <c r="C147" s="24" t="s">
        <v>21</v>
      </c>
      <c r="D147" s="513"/>
      <c r="E147" s="513"/>
      <c r="F147" s="25">
        <f t="shared" si="44"/>
        <v>0</v>
      </c>
      <c r="G147" s="25">
        <f t="shared" si="45"/>
        <v>0</v>
      </c>
      <c r="H147" s="2" t="e">
        <f t="shared" si="46"/>
        <v>#N/A</v>
      </c>
      <c r="I147" s="25">
        <f t="shared" si="47"/>
        <v>0</v>
      </c>
      <c r="J147" s="87">
        <f>IFERROR(G147*VLOOKUP(W147,livestock_intensity!$B$7:$I$29,8,FALSE)/Z147,0)</f>
        <v>0</v>
      </c>
      <c r="K147" s="2" t="e">
        <f>VLOOKUP($W147,feed_mix_n,MATCH(K$5,feed_mix_w!$B$5:$AC$5,0),FALSE)/$Z147*VLOOKUP(K$5,feed_intensity_w,11,FALSE)</f>
        <v>#N/A</v>
      </c>
      <c r="L147" s="25">
        <f t="shared" si="48"/>
        <v>0</v>
      </c>
      <c r="M147" s="25">
        <f>IFERROR(G147*VLOOKUP(W147,livestock_intensity!$B$7:$M$29,12,FALSE)/Z147,0)</f>
        <v>0</v>
      </c>
      <c r="N147" s="2" t="e">
        <f>VLOOKUP($W147,feed_mix_n,MATCH(N$5,feed_mix_w!$B$5:$AC$5,0),FALSE)/$Z147*VLOOKUP(N$5,feed_intensity_w,11,FALSE)</f>
        <v>#N/A</v>
      </c>
      <c r="O147" s="25">
        <f t="shared" si="49"/>
        <v>0</v>
      </c>
      <c r="P147" s="343">
        <f>IFERROR(G147*VLOOKUP(W147,livestock_intensity!$B$7:$Q$29,16,FALSE)/Z147,0)</f>
        <v>0</v>
      </c>
      <c r="Q147" s="758"/>
      <c r="R147" s="331">
        <f t="shared" si="50"/>
        <v>0</v>
      </c>
      <c r="S147" s="331">
        <f t="shared" si="51"/>
        <v>0</v>
      </c>
      <c r="T147" s="739" t="s">
        <v>2738</v>
      </c>
      <c r="U147" s="558" t="s">
        <v>2796</v>
      </c>
      <c r="V147" s="559">
        <f>IFERROR(VLOOKUP(W147,constant_ag_extr!$D$7:$E$594,2,FALSE),"")</f>
        <v>0</v>
      </c>
      <c r="W147" s="560" t="str">
        <f t="shared" si="52"/>
        <v/>
      </c>
      <c r="X147" s="2">
        <f>IFERROR(IF(VLOOKUP(B147,cnst_grazing!$C$10:$H$25,5,FALSE)="", IF(VLOOKUP(B147, cnst_grazing!$C$10:$H$25,3,FALSE)="", VLOOKUP(B147, cnst_grazing!$C$10:$H$25,4,FALSE),VLOOKUP(B147, cnst_grazing!$C$10:$H$25,3,FALSE)), VLOOKUP(B147,cnst_grazing!$C$10:$H$25,5,FALSE)),1)</f>
        <v>1</v>
      </c>
      <c r="Y147" s="2">
        <f>IFERROR(IF(VLOOKUP(B147,cnst_grazing!$C$10:$H$25,6,FALSE)="", IF(VLOOKUP(B147, cnst_grazing!$C$10:$H$25,4,FALSE)="", VLOOKUP(B147, cnst_grazing!$C$10:$H$25,3,FALSE),VLOOKUP(B147, cnst_grazing!$C$10:$H$25,4,FALSE)), VLOOKUP(B147,cnst_grazing!$C$10:$H$25,6,FALSE)),1)</f>
        <v>1</v>
      </c>
      <c r="Z147" s="400">
        <f t="shared" si="53"/>
        <v>1</v>
      </c>
      <c r="AA147" s="2" t="e">
        <f t="shared" si="54"/>
        <v>#N/A</v>
      </c>
      <c r="AB147" s="2" t="e">
        <f>VLOOKUP($W147,feed_mix_n,MATCH(AB$5,feed_mix_w!$B$5:$AC$5,0),FALSE)/$Z147*VLOOKUP(AB$5,feed_intensity_w,11,FALSE)</f>
        <v>#N/A</v>
      </c>
      <c r="AC147" s="2" t="e">
        <f>VLOOKUP($W147,feed_mix_n,MATCH(AC$5,feed_mix_w!$B$5:$AC$5,0),FALSE)/$Z147*VLOOKUP(AC$5,feed_intensity_w,11,FALSE)</f>
        <v>#N/A</v>
      </c>
      <c r="AD147" s="2" t="e">
        <f>VLOOKUP($W147,feed_mix_n,MATCH(AD$5,feed_mix_w!$B$5:$AC$5,0),FALSE)/$Z147*VLOOKUP(AD$5,feed_intensity_w,11,FALSE)</f>
        <v>#N/A</v>
      </c>
      <c r="AE147" s="2" t="e">
        <f>VLOOKUP($W147,feed_mix_n,MATCH(AE$5,feed_mix_w!$B$5:$AC$5,0),FALSE)/$Z147*VLOOKUP(AE$5,feed_intensity_w,11,FALSE)</f>
        <v>#N/A</v>
      </c>
      <c r="AF147" s="2" t="e">
        <f>VLOOKUP($W147,feed_mix_n,MATCH(AF$5,feed_mix_w!$B$5:$AC$5,0),FALSE)/$Z147*VLOOKUP(AF$5,feed_intensity_w,11,FALSE)</f>
        <v>#N/A</v>
      </c>
      <c r="AG147" s="2" t="e">
        <f>VLOOKUP($W147,feed_mix_n,MATCH(AG$5,feed_mix_w!$B$5:$AC$5,0),FALSE)/$Z147*VLOOKUP(AG$5,feed_intensity_w,11,FALSE)</f>
        <v>#N/A</v>
      </c>
      <c r="AH147" s="2" t="e">
        <f>VLOOKUP($W147,feed_mix_n,MATCH(AH$5,feed_mix_w!$B$5:$AC$5,0),FALSE)/$Z147*VLOOKUP(AH$5,feed_intensity_w,11,FALSE)</f>
        <v>#N/A</v>
      </c>
      <c r="AI147" s="2" t="e">
        <f>VLOOKUP($W147,feed_mix_n,MATCH(AI$5,feed_mix_w!$B$5:$AC$5,0),FALSE)/$Z147*VLOOKUP(AI$5,feed_intensity_w,11,FALSE)</f>
        <v>#N/A</v>
      </c>
      <c r="AJ147" s="2" t="e">
        <f>VLOOKUP($W147,feed_mix_n,MATCH(AJ$5,feed_mix_w!$B$5:$AC$5,0),FALSE)/$Z147*VLOOKUP(AJ$5,feed_intensity_w,11,FALSE)</f>
        <v>#N/A</v>
      </c>
      <c r="AK147" s="2" t="e">
        <f>VLOOKUP($W147,feed_mix_n,MATCH(AK$5,feed_mix_w!$B$5:$AC$5,0),FALSE)/$Z147*VLOOKUP(AK$5,feed_intensity_w,11,FALSE)</f>
        <v>#N/A</v>
      </c>
      <c r="AL147" s="2" t="e">
        <f>VLOOKUP($W147,feed_mix_n,MATCH(AL$5,feed_mix_w!$B$5:$AC$5,0),FALSE)/$Z147*VLOOKUP(AL$5,feed_intensity_w,11,FALSE)</f>
        <v>#N/A</v>
      </c>
      <c r="AM147" s="2" t="e">
        <f>VLOOKUP($W147,feed_mix_n,MATCH(AM$5,feed_mix_w!$B$5:$AC$5,0),FALSE)/$Z147*VLOOKUP(AM$5,feed_intensity_w,11,FALSE)</f>
        <v>#N/A</v>
      </c>
      <c r="AN147" s="2" t="e">
        <f>VLOOKUP($W147,feed_mix_n,MATCH(AN$5,feed_mix_w!$B$5:$AC$5,0),FALSE)/$Z147*VLOOKUP(AN$5,feed_intensity_w,11,FALSE)</f>
        <v>#N/A</v>
      </c>
      <c r="AO147" s="2" t="e">
        <f>VLOOKUP($W147,feed_mix_n,MATCH(AO$5,feed_mix_w!$B$5:$AC$5,0),FALSE)/$Z147*VLOOKUP(AO$5,feed_intensity_w,11,FALSE)</f>
        <v>#N/A</v>
      </c>
      <c r="AP147" s="2" t="e">
        <f>VLOOKUP($W147,feed_mix_n,MATCH(AP$5,feed_mix_w!$B$5:$AC$5,0),FALSE)/$Z147*VLOOKUP(AP$5,feed_intensity_w,11,FALSE)</f>
        <v>#N/A</v>
      </c>
      <c r="AQ147" s="2" t="e">
        <f>VLOOKUP($W147,feed_mix_n,MATCH(AQ$5,feed_mix_w!$B$5:$AC$5,0),FALSE)/$Z147*VLOOKUP(AQ$5,feed_intensity_w,11,FALSE)</f>
        <v>#N/A</v>
      </c>
      <c r="AR147" s="2" t="e">
        <f>VLOOKUP($W147,feed_mix_n,MATCH(AR$5,feed_mix_w!$B$5:$AC$5,0),FALSE)/$Z147*VLOOKUP(AR$5,feed_intensity_w,11,FALSE)</f>
        <v>#N/A</v>
      </c>
      <c r="AS147" s="389" t="e">
        <f>VLOOKUP($W147,feed_mix_n,MATCH(AS$5,feed_mix_w!$B$5:$AC$5,0),FALSE)/$Z147*VLOOKUP(AS$5,feed_intensity_w,11,FALSE)</f>
        <v>#N/A</v>
      </c>
    </row>
    <row r="148" spans="1:45" ht="12.75" customHeight="1">
      <c r="A148" s="14" t="s">
        <v>7198</v>
      </c>
      <c r="B148" s="482">
        <v>1168</v>
      </c>
      <c r="C148" s="24">
        <v>403.1</v>
      </c>
      <c r="D148" s="513">
        <v>95698</v>
      </c>
      <c r="E148" s="513">
        <v>257</v>
      </c>
      <c r="F148" s="25">
        <f t="shared" si="44"/>
        <v>95698</v>
      </c>
      <c r="G148" s="25">
        <f t="shared" si="45"/>
        <v>257</v>
      </c>
      <c r="H148" s="2" t="e">
        <f t="shared" si="46"/>
        <v>#N/A</v>
      </c>
      <c r="I148" s="25">
        <f t="shared" si="47"/>
        <v>0</v>
      </c>
      <c r="J148" s="87">
        <f>IFERROR(G148*VLOOKUP(W148,livestock_intensity!$B$7:$I$29,8,FALSE)/Z148,0)</f>
        <v>0</v>
      </c>
      <c r="K148" s="2" t="e">
        <f>VLOOKUP($W148,feed_mix_n,MATCH(K$5,feed_mix_w!$B$5:$AC$5,0),FALSE)/$Z148*VLOOKUP(K$5,feed_intensity_w,11,FALSE)</f>
        <v>#N/A</v>
      </c>
      <c r="L148" s="25">
        <f t="shared" si="48"/>
        <v>0</v>
      </c>
      <c r="M148" s="25">
        <f>IFERROR(G148*VLOOKUP(W148,livestock_intensity!$B$7:$M$29,12,FALSE)/Z148,0)</f>
        <v>0</v>
      </c>
      <c r="N148" s="2" t="e">
        <f>VLOOKUP($W148,feed_mix_n,MATCH(N$5,feed_mix_w!$B$5:$AC$5,0),FALSE)/$Z148*VLOOKUP(N$5,feed_intensity_w,11,FALSE)</f>
        <v>#N/A</v>
      </c>
      <c r="O148" s="25">
        <f t="shared" si="49"/>
        <v>0</v>
      </c>
      <c r="P148" s="343">
        <f>IFERROR(G148*VLOOKUP(W148,livestock_intensity!$B$7:$Q$29,16,FALSE)/Z148,0)</f>
        <v>0</v>
      </c>
      <c r="Q148" s="758"/>
      <c r="R148" s="331">
        <f t="shared" si="50"/>
        <v>0</v>
      </c>
      <c r="S148" s="331">
        <f t="shared" si="51"/>
        <v>0</v>
      </c>
      <c r="T148" s="739" t="s">
        <v>2738</v>
      </c>
      <c r="U148" s="558" t="s">
        <v>413</v>
      </c>
      <c r="V148" s="559">
        <f>IFERROR(VLOOKUP(W148,constant_ag_extr!$D$7:$E$594,2,FALSE),"")</f>
        <v>0</v>
      </c>
      <c r="W148" s="560" t="str">
        <f t="shared" si="52"/>
        <v/>
      </c>
      <c r="X148" s="2">
        <f>IFERROR(IF(VLOOKUP(B148,cnst_grazing!$C$10:$H$25,5,FALSE)="", IF(VLOOKUP(B148, cnst_grazing!$C$10:$H$25,3,FALSE)="", VLOOKUP(B148, cnst_grazing!$C$10:$H$25,4,FALSE),VLOOKUP(B148, cnst_grazing!$C$10:$H$25,3,FALSE)), VLOOKUP(B148,cnst_grazing!$C$10:$H$25,5,FALSE)),1)</f>
        <v>1</v>
      </c>
      <c r="Y148" s="2">
        <f>IFERROR(IF(VLOOKUP(B148,cnst_grazing!$C$10:$H$25,6,FALSE)="", IF(VLOOKUP(B148, cnst_grazing!$C$10:$H$25,4,FALSE)="", VLOOKUP(B148, cnst_grazing!$C$10:$H$25,3,FALSE),VLOOKUP(B148, cnst_grazing!$C$10:$H$25,4,FALSE)), VLOOKUP(B148,cnst_grazing!$C$10:$H$25,6,FALSE)),1)</f>
        <v>1</v>
      </c>
      <c r="Z148" s="400">
        <f t="shared" si="53"/>
        <v>1</v>
      </c>
      <c r="AA148" s="2" t="e">
        <f t="shared" si="54"/>
        <v>#N/A</v>
      </c>
      <c r="AB148" s="2" t="e">
        <f>VLOOKUP($W148,feed_mix_n,MATCH(AB$5,feed_mix_w!$B$5:$AC$5,0),FALSE)/$Z148*VLOOKUP(AB$5,feed_intensity_w,11,FALSE)</f>
        <v>#N/A</v>
      </c>
      <c r="AC148" s="2" t="e">
        <f>VLOOKUP($W148,feed_mix_n,MATCH(AC$5,feed_mix_w!$B$5:$AC$5,0),FALSE)/$Z148*VLOOKUP(AC$5,feed_intensity_w,11,FALSE)</f>
        <v>#N/A</v>
      </c>
      <c r="AD148" s="2" t="e">
        <f>VLOOKUP($W148,feed_mix_n,MATCH(AD$5,feed_mix_w!$B$5:$AC$5,0),FALSE)/$Z148*VLOOKUP(AD$5,feed_intensity_w,11,FALSE)</f>
        <v>#N/A</v>
      </c>
      <c r="AE148" s="2" t="e">
        <f>VLOOKUP($W148,feed_mix_n,MATCH(AE$5,feed_mix_w!$B$5:$AC$5,0),FALSE)/$Z148*VLOOKUP(AE$5,feed_intensity_w,11,FALSE)</f>
        <v>#N/A</v>
      </c>
      <c r="AF148" s="2" t="e">
        <f>VLOOKUP($W148,feed_mix_n,MATCH(AF$5,feed_mix_w!$B$5:$AC$5,0),FALSE)/$Z148*VLOOKUP(AF$5,feed_intensity_w,11,FALSE)</f>
        <v>#N/A</v>
      </c>
      <c r="AG148" s="2" t="e">
        <f>VLOOKUP($W148,feed_mix_n,MATCH(AG$5,feed_mix_w!$B$5:$AC$5,0),FALSE)/$Z148*VLOOKUP(AG$5,feed_intensity_w,11,FALSE)</f>
        <v>#N/A</v>
      </c>
      <c r="AH148" s="2" t="e">
        <f>VLOOKUP($W148,feed_mix_n,MATCH(AH$5,feed_mix_w!$B$5:$AC$5,0),FALSE)/$Z148*VLOOKUP(AH$5,feed_intensity_w,11,FALSE)</f>
        <v>#N/A</v>
      </c>
      <c r="AI148" s="2" t="e">
        <f>VLOOKUP($W148,feed_mix_n,MATCH(AI$5,feed_mix_w!$B$5:$AC$5,0),FALSE)/$Z148*VLOOKUP(AI$5,feed_intensity_w,11,FALSE)</f>
        <v>#N/A</v>
      </c>
      <c r="AJ148" s="2" t="e">
        <f>VLOOKUP($W148,feed_mix_n,MATCH(AJ$5,feed_mix_w!$B$5:$AC$5,0),FALSE)/$Z148*VLOOKUP(AJ$5,feed_intensity_w,11,FALSE)</f>
        <v>#N/A</v>
      </c>
      <c r="AK148" s="2" t="e">
        <f>VLOOKUP($W148,feed_mix_n,MATCH(AK$5,feed_mix_w!$B$5:$AC$5,0),FALSE)/$Z148*VLOOKUP(AK$5,feed_intensity_w,11,FALSE)</f>
        <v>#N/A</v>
      </c>
      <c r="AL148" s="2" t="e">
        <f>VLOOKUP($W148,feed_mix_n,MATCH(AL$5,feed_mix_w!$B$5:$AC$5,0),FALSE)/$Z148*VLOOKUP(AL$5,feed_intensity_w,11,FALSE)</f>
        <v>#N/A</v>
      </c>
      <c r="AM148" s="2" t="e">
        <f>VLOOKUP($W148,feed_mix_n,MATCH(AM$5,feed_mix_w!$B$5:$AC$5,0),FALSE)/$Z148*VLOOKUP(AM$5,feed_intensity_w,11,FALSE)</f>
        <v>#N/A</v>
      </c>
      <c r="AN148" s="2" t="e">
        <f>VLOOKUP($W148,feed_mix_n,MATCH(AN$5,feed_mix_w!$B$5:$AC$5,0),FALSE)/$Z148*VLOOKUP(AN$5,feed_intensity_w,11,FALSE)</f>
        <v>#N/A</v>
      </c>
      <c r="AO148" s="2" t="e">
        <f>VLOOKUP($W148,feed_mix_n,MATCH(AO$5,feed_mix_w!$B$5:$AC$5,0),FALSE)/$Z148*VLOOKUP(AO$5,feed_intensity_w,11,FALSE)</f>
        <v>#N/A</v>
      </c>
      <c r="AP148" s="2" t="e">
        <f>VLOOKUP($W148,feed_mix_n,MATCH(AP$5,feed_mix_w!$B$5:$AC$5,0),FALSE)/$Z148*VLOOKUP(AP$5,feed_intensity_w,11,FALSE)</f>
        <v>#N/A</v>
      </c>
      <c r="AQ148" s="2" t="e">
        <f>VLOOKUP($W148,feed_mix_n,MATCH(AQ$5,feed_mix_w!$B$5:$AC$5,0),FALSE)/$Z148*VLOOKUP(AQ$5,feed_intensity_w,11,FALSE)</f>
        <v>#N/A</v>
      </c>
      <c r="AR148" s="2" t="e">
        <f>VLOOKUP($W148,feed_mix_n,MATCH(AR$5,feed_mix_w!$B$5:$AC$5,0),FALSE)/$Z148*VLOOKUP(AR$5,feed_intensity_w,11,FALSE)</f>
        <v>#N/A</v>
      </c>
      <c r="AS148" s="389" t="e">
        <f>VLOOKUP($W148,feed_mix_n,MATCH(AS$5,feed_mix_w!$B$5:$AC$5,0),FALSE)/$Z148*VLOOKUP(AS$5,feed_intensity_w,11,FALSE)</f>
        <v>#N/A</v>
      </c>
    </row>
    <row r="149" spans="1:45" ht="12.75" customHeight="1">
      <c r="A149" s="14" t="s">
        <v>1331</v>
      </c>
      <c r="B149" s="482">
        <v>1169</v>
      </c>
      <c r="C149" s="24" t="s">
        <v>1559</v>
      </c>
      <c r="D149" s="513"/>
      <c r="E149" s="513"/>
      <c r="F149" s="25">
        <f t="shared" si="44"/>
        <v>0</v>
      </c>
      <c r="G149" s="25">
        <f t="shared" si="45"/>
        <v>0</v>
      </c>
      <c r="H149" s="2" t="e">
        <f t="shared" si="46"/>
        <v>#N/A</v>
      </c>
      <c r="I149" s="25">
        <f t="shared" si="47"/>
        <v>0</v>
      </c>
      <c r="J149" s="87">
        <f>IFERROR(G149*VLOOKUP(W149,livestock_intensity!$B$7:$I$29,8,FALSE)/Z149,0)</f>
        <v>0</v>
      </c>
      <c r="K149" s="2" t="e">
        <f>VLOOKUP($W149,feed_mix_n,MATCH(K$5,feed_mix_w!$B$5:$AC$5,0),FALSE)/$Z149*VLOOKUP(K$5,feed_intensity_w,11,FALSE)</f>
        <v>#N/A</v>
      </c>
      <c r="L149" s="25">
        <f t="shared" si="48"/>
        <v>0</v>
      </c>
      <c r="M149" s="25">
        <f>IFERROR(G149*VLOOKUP(W149,livestock_intensity!$B$7:$M$29,12,FALSE)/Z149,0)</f>
        <v>0</v>
      </c>
      <c r="N149" s="2" t="e">
        <f>VLOOKUP($W149,feed_mix_n,MATCH(N$5,feed_mix_w!$B$5:$AC$5,0),FALSE)/$Z149*VLOOKUP(N$5,feed_intensity_w,11,FALSE)</f>
        <v>#N/A</v>
      </c>
      <c r="O149" s="25">
        <f t="shared" si="49"/>
        <v>0</v>
      </c>
      <c r="P149" s="343">
        <f>IFERROR(G149*VLOOKUP(W149,livestock_intensity!$B$7:$Q$29,16,FALSE)/Z149,0)</f>
        <v>0</v>
      </c>
      <c r="Q149" s="758"/>
      <c r="R149" s="331">
        <f t="shared" si="50"/>
        <v>0</v>
      </c>
      <c r="S149" s="331">
        <f t="shared" si="51"/>
        <v>0</v>
      </c>
      <c r="T149" s="739" t="s">
        <v>2738</v>
      </c>
      <c r="U149" s="558" t="s">
        <v>2796</v>
      </c>
      <c r="V149" s="559">
        <f>IFERROR(VLOOKUP(W149,constant_ag_extr!$D$7:$E$594,2,FALSE),"")</f>
        <v>0</v>
      </c>
      <c r="W149" s="560" t="str">
        <f t="shared" si="52"/>
        <v/>
      </c>
      <c r="X149" s="2">
        <f>IFERROR(IF(VLOOKUP(B149,cnst_grazing!$C$10:$H$25,5,FALSE)="", IF(VLOOKUP(B149, cnst_grazing!$C$10:$H$25,3,FALSE)="", VLOOKUP(B149, cnst_grazing!$C$10:$H$25,4,FALSE),VLOOKUP(B149, cnst_grazing!$C$10:$H$25,3,FALSE)), VLOOKUP(B149,cnst_grazing!$C$10:$H$25,5,FALSE)),1)</f>
        <v>1</v>
      </c>
      <c r="Y149" s="2">
        <f>IFERROR(IF(VLOOKUP(B149,cnst_grazing!$C$10:$H$25,6,FALSE)="", IF(VLOOKUP(B149, cnst_grazing!$C$10:$H$25,4,FALSE)="", VLOOKUP(B149, cnst_grazing!$C$10:$H$25,3,FALSE),VLOOKUP(B149, cnst_grazing!$C$10:$H$25,4,FALSE)), VLOOKUP(B149,cnst_grazing!$C$10:$H$25,6,FALSE)),1)</f>
        <v>1</v>
      </c>
      <c r="Z149" s="400" t="str">
        <f t="shared" si="53"/>
        <v>-</v>
      </c>
      <c r="AA149" s="2" t="e">
        <f t="shared" si="54"/>
        <v>#N/A</v>
      </c>
      <c r="AB149" s="2" t="e">
        <f>VLOOKUP($W149,feed_mix_n,MATCH(AB$5,feed_mix_w!$B$5:$AC$5,0),FALSE)/$Z149*VLOOKUP(AB$5,feed_intensity_w,11,FALSE)</f>
        <v>#N/A</v>
      </c>
      <c r="AC149" s="2" t="e">
        <f>VLOOKUP($W149,feed_mix_n,MATCH(AC$5,feed_mix_w!$B$5:$AC$5,0),FALSE)/$Z149*VLOOKUP(AC$5,feed_intensity_w,11,FALSE)</f>
        <v>#N/A</v>
      </c>
      <c r="AD149" s="2" t="e">
        <f>VLOOKUP($W149,feed_mix_n,MATCH(AD$5,feed_mix_w!$B$5:$AC$5,0),FALSE)/$Z149*VLOOKUP(AD$5,feed_intensity_w,11,FALSE)</f>
        <v>#N/A</v>
      </c>
      <c r="AE149" s="2" t="e">
        <f>VLOOKUP($W149,feed_mix_n,MATCH(AE$5,feed_mix_w!$B$5:$AC$5,0),FALSE)/$Z149*VLOOKUP(AE$5,feed_intensity_w,11,FALSE)</f>
        <v>#N/A</v>
      </c>
      <c r="AF149" s="2" t="e">
        <f>VLOOKUP($W149,feed_mix_n,MATCH(AF$5,feed_mix_w!$B$5:$AC$5,0),FALSE)/$Z149*VLOOKUP(AF$5,feed_intensity_w,11,FALSE)</f>
        <v>#N/A</v>
      </c>
      <c r="AG149" s="2" t="e">
        <f>VLOOKUP($W149,feed_mix_n,MATCH(AG$5,feed_mix_w!$B$5:$AC$5,0),FALSE)/$Z149*VLOOKUP(AG$5,feed_intensity_w,11,FALSE)</f>
        <v>#N/A</v>
      </c>
      <c r="AH149" s="2" t="e">
        <f>VLOOKUP($W149,feed_mix_n,MATCH(AH$5,feed_mix_w!$B$5:$AC$5,0),FALSE)/$Z149*VLOOKUP(AH$5,feed_intensity_w,11,FALSE)</f>
        <v>#N/A</v>
      </c>
      <c r="AI149" s="2" t="e">
        <f>VLOOKUP($W149,feed_mix_n,MATCH(AI$5,feed_mix_w!$B$5:$AC$5,0),FALSE)/$Z149*VLOOKUP(AI$5,feed_intensity_w,11,FALSE)</f>
        <v>#N/A</v>
      </c>
      <c r="AJ149" s="2" t="e">
        <f>VLOOKUP($W149,feed_mix_n,MATCH(AJ$5,feed_mix_w!$B$5:$AC$5,0),FALSE)/$Z149*VLOOKUP(AJ$5,feed_intensity_w,11,FALSE)</f>
        <v>#N/A</v>
      </c>
      <c r="AK149" s="2" t="e">
        <f>VLOOKUP($W149,feed_mix_n,MATCH(AK$5,feed_mix_w!$B$5:$AC$5,0),FALSE)/$Z149*VLOOKUP(AK$5,feed_intensity_w,11,FALSE)</f>
        <v>#N/A</v>
      </c>
      <c r="AL149" s="2" t="e">
        <f>VLOOKUP($W149,feed_mix_n,MATCH(AL$5,feed_mix_w!$B$5:$AC$5,0),FALSE)/$Z149*VLOOKUP(AL$5,feed_intensity_w,11,FALSE)</f>
        <v>#N/A</v>
      </c>
      <c r="AM149" s="2" t="e">
        <f>VLOOKUP($W149,feed_mix_n,MATCH(AM$5,feed_mix_w!$B$5:$AC$5,0),FALSE)/$Z149*VLOOKUP(AM$5,feed_intensity_w,11,FALSE)</f>
        <v>#N/A</v>
      </c>
      <c r="AN149" s="2" t="e">
        <f>VLOOKUP($W149,feed_mix_n,MATCH(AN$5,feed_mix_w!$B$5:$AC$5,0),FALSE)/$Z149*VLOOKUP(AN$5,feed_intensity_w,11,FALSE)</f>
        <v>#N/A</v>
      </c>
      <c r="AO149" s="2" t="e">
        <f>VLOOKUP($W149,feed_mix_n,MATCH(AO$5,feed_mix_w!$B$5:$AC$5,0),FALSE)/$Z149*VLOOKUP(AO$5,feed_intensity_w,11,FALSE)</f>
        <v>#N/A</v>
      </c>
      <c r="AP149" s="2" t="e">
        <f>VLOOKUP($W149,feed_mix_n,MATCH(AP$5,feed_mix_w!$B$5:$AC$5,0),FALSE)/$Z149*VLOOKUP(AP$5,feed_intensity_w,11,FALSE)</f>
        <v>#N/A</v>
      </c>
      <c r="AQ149" s="2" t="e">
        <f>VLOOKUP($W149,feed_mix_n,MATCH(AQ$5,feed_mix_w!$B$5:$AC$5,0),FALSE)/$Z149*VLOOKUP(AQ$5,feed_intensity_w,11,FALSE)</f>
        <v>#N/A</v>
      </c>
      <c r="AR149" s="2" t="e">
        <f>VLOOKUP($W149,feed_mix_n,MATCH(AR$5,feed_mix_w!$B$5:$AC$5,0),FALSE)/$Z149*VLOOKUP(AR$5,feed_intensity_w,11,FALSE)</f>
        <v>#N/A</v>
      </c>
      <c r="AS149" s="389" t="e">
        <f>VLOOKUP($W149,feed_mix_n,MATCH(AS$5,feed_mix_w!$B$5:$AC$5,0),FALSE)/$Z149*VLOOKUP(AS$5,feed_intensity_w,11,FALSE)</f>
        <v>#N/A</v>
      </c>
    </row>
    <row r="150" spans="1:45" ht="12.75" customHeight="1">
      <c r="A150" s="14" t="s">
        <v>7199</v>
      </c>
      <c r="B150" s="482">
        <v>1171</v>
      </c>
      <c r="C150" s="24" t="s">
        <v>532</v>
      </c>
      <c r="D150" s="513"/>
      <c r="E150" s="513"/>
      <c r="F150" s="25">
        <f t="shared" si="44"/>
        <v>0</v>
      </c>
      <c r="G150" s="25">
        <f t="shared" si="45"/>
        <v>0</v>
      </c>
      <c r="H150" s="2" t="e">
        <f t="shared" si="46"/>
        <v>#N/A</v>
      </c>
      <c r="I150" s="25">
        <f t="shared" si="47"/>
        <v>0</v>
      </c>
      <c r="J150" s="87">
        <f>IFERROR(G150*VLOOKUP(W150,livestock_intensity!$B$7:$I$29,8,FALSE)/Z150,0)</f>
        <v>0</v>
      </c>
      <c r="K150" s="2" t="e">
        <f>VLOOKUP($W150,feed_mix_n,MATCH(K$5,feed_mix_w!$B$5:$AC$5,0),FALSE)/$Z150*VLOOKUP(K$5,feed_intensity_w,11,FALSE)</f>
        <v>#N/A</v>
      </c>
      <c r="L150" s="25">
        <f t="shared" si="48"/>
        <v>0</v>
      </c>
      <c r="M150" s="25">
        <f>IFERROR(G150*VLOOKUP(W150,livestock_intensity!$B$7:$M$29,12,FALSE)/Z150,0)</f>
        <v>0</v>
      </c>
      <c r="N150" s="2" t="e">
        <f>VLOOKUP($W150,feed_mix_n,MATCH(N$5,feed_mix_w!$B$5:$AC$5,0),FALSE)/$Z150*VLOOKUP(N$5,feed_intensity_w,11,FALSE)</f>
        <v>#N/A</v>
      </c>
      <c r="O150" s="25">
        <f t="shared" si="49"/>
        <v>0</v>
      </c>
      <c r="P150" s="343">
        <f>IFERROR(G150*VLOOKUP(W150,livestock_intensity!$B$7:$Q$29,16,FALSE)/Z150,0)</f>
        <v>0</v>
      </c>
      <c r="Q150" s="758"/>
      <c r="R150" s="331">
        <f t="shared" si="50"/>
        <v>0</v>
      </c>
      <c r="S150" s="331">
        <f t="shared" si="51"/>
        <v>0</v>
      </c>
      <c r="T150" s="739" t="s">
        <v>2738</v>
      </c>
      <c r="U150" s="558" t="s">
        <v>2796</v>
      </c>
      <c r="V150" s="559" t="str">
        <f>IFERROR(VLOOKUP(W150,constant_ag_extr!$D$7:$E$594,2,FALSE),"")</f>
        <v>Animals live Nes</v>
      </c>
      <c r="W150" s="560">
        <f t="shared" si="52"/>
        <v>1171</v>
      </c>
      <c r="X150" s="2">
        <f>IFERROR(IF(VLOOKUP(B150,cnst_grazing!$C$10:$H$25,5,FALSE)="", IF(VLOOKUP(B150, cnst_grazing!$C$10:$H$25,3,FALSE)="", VLOOKUP(B150, cnst_grazing!$C$10:$H$25,4,FALSE),VLOOKUP(B150, cnst_grazing!$C$10:$H$25,3,FALSE)), VLOOKUP(B150,cnst_grazing!$C$10:$H$25,5,FALSE)),1)</f>
        <v>1</v>
      </c>
      <c r="Y150" s="2">
        <f>IFERROR(IF(VLOOKUP(B150,cnst_grazing!$C$10:$H$25,6,FALSE)="", IF(VLOOKUP(B150, cnst_grazing!$C$10:$H$25,4,FALSE)="", VLOOKUP(B150, cnst_grazing!$C$10:$H$25,3,FALSE),VLOOKUP(B150, cnst_grazing!$C$10:$H$25,4,FALSE)), VLOOKUP(B150,cnst_grazing!$C$10:$H$25,6,FALSE)),1)</f>
        <v>1</v>
      </c>
      <c r="Z150" s="400">
        <f t="shared" si="53"/>
        <v>1</v>
      </c>
      <c r="AA150" s="2" t="e">
        <f t="shared" si="54"/>
        <v>#N/A</v>
      </c>
      <c r="AB150" s="2" t="e">
        <f>VLOOKUP($W150,feed_mix_n,MATCH(AB$5,feed_mix_w!$B$5:$AC$5,0),FALSE)/$Z150*VLOOKUP(AB$5,feed_intensity_w,11,FALSE)</f>
        <v>#N/A</v>
      </c>
      <c r="AC150" s="2" t="e">
        <f>VLOOKUP($W150,feed_mix_n,MATCH(AC$5,feed_mix_w!$B$5:$AC$5,0),FALSE)/$Z150*VLOOKUP(AC$5,feed_intensity_w,11,FALSE)</f>
        <v>#N/A</v>
      </c>
      <c r="AD150" s="2" t="e">
        <f>VLOOKUP($W150,feed_mix_n,MATCH(AD$5,feed_mix_w!$B$5:$AC$5,0),FALSE)/$Z150*VLOOKUP(AD$5,feed_intensity_w,11,FALSE)</f>
        <v>#N/A</v>
      </c>
      <c r="AE150" s="2" t="e">
        <f>VLOOKUP($W150,feed_mix_n,MATCH(AE$5,feed_mix_w!$B$5:$AC$5,0),FALSE)/$Z150*VLOOKUP(AE$5,feed_intensity_w,11,FALSE)</f>
        <v>#N/A</v>
      </c>
      <c r="AF150" s="2" t="e">
        <f>VLOOKUP($W150,feed_mix_n,MATCH(AF$5,feed_mix_w!$B$5:$AC$5,0),FALSE)/$Z150*VLOOKUP(AF$5,feed_intensity_w,11,FALSE)</f>
        <v>#N/A</v>
      </c>
      <c r="AG150" s="2" t="e">
        <f>VLOOKUP($W150,feed_mix_n,MATCH(AG$5,feed_mix_w!$B$5:$AC$5,0),FALSE)/$Z150*VLOOKUP(AG$5,feed_intensity_w,11,FALSE)</f>
        <v>#N/A</v>
      </c>
      <c r="AH150" s="2" t="e">
        <f>VLOOKUP($W150,feed_mix_n,MATCH(AH$5,feed_mix_w!$B$5:$AC$5,0),FALSE)/$Z150*VLOOKUP(AH$5,feed_intensity_w,11,FALSE)</f>
        <v>#N/A</v>
      </c>
      <c r="AI150" s="2" t="e">
        <f>VLOOKUP($W150,feed_mix_n,MATCH(AI$5,feed_mix_w!$B$5:$AC$5,0),FALSE)/$Z150*VLOOKUP(AI$5,feed_intensity_w,11,FALSE)</f>
        <v>#N/A</v>
      </c>
      <c r="AJ150" s="2" t="e">
        <f>VLOOKUP($W150,feed_mix_n,MATCH(AJ$5,feed_mix_w!$B$5:$AC$5,0),FALSE)/$Z150*VLOOKUP(AJ$5,feed_intensity_w,11,FALSE)</f>
        <v>#N/A</v>
      </c>
      <c r="AK150" s="2" t="e">
        <f>VLOOKUP($W150,feed_mix_n,MATCH(AK$5,feed_mix_w!$B$5:$AC$5,0),FALSE)/$Z150*VLOOKUP(AK$5,feed_intensity_w,11,FALSE)</f>
        <v>#N/A</v>
      </c>
      <c r="AL150" s="2" t="e">
        <f>VLOOKUP($W150,feed_mix_n,MATCH(AL$5,feed_mix_w!$B$5:$AC$5,0),FALSE)/$Z150*VLOOKUP(AL$5,feed_intensity_w,11,FALSE)</f>
        <v>#N/A</v>
      </c>
      <c r="AM150" s="2" t="e">
        <f>VLOOKUP($W150,feed_mix_n,MATCH(AM$5,feed_mix_w!$B$5:$AC$5,0),FALSE)/$Z150*VLOOKUP(AM$5,feed_intensity_w,11,FALSE)</f>
        <v>#N/A</v>
      </c>
      <c r="AN150" s="2" t="e">
        <f>VLOOKUP($W150,feed_mix_n,MATCH(AN$5,feed_mix_w!$B$5:$AC$5,0),FALSE)/$Z150*VLOOKUP(AN$5,feed_intensity_w,11,FALSE)</f>
        <v>#N/A</v>
      </c>
      <c r="AO150" s="2" t="e">
        <f>VLOOKUP($W150,feed_mix_n,MATCH(AO$5,feed_mix_w!$B$5:$AC$5,0),FALSE)/$Z150*VLOOKUP(AO$5,feed_intensity_w,11,FALSE)</f>
        <v>#N/A</v>
      </c>
      <c r="AP150" s="2" t="e">
        <f>VLOOKUP($W150,feed_mix_n,MATCH(AP$5,feed_mix_w!$B$5:$AC$5,0),FALSE)/$Z150*VLOOKUP(AP$5,feed_intensity_w,11,FALSE)</f>
        <v>#N/A</v>
      </c>
      <c r="AQ150" s="2" t="e">
        <f>VLOOKUP($W150,feed_mix_n,MATCH(AQ$5,feed_mix_w!$B$5:$AC$5,0),FALSE)/$Z150*VLOOKUP(AQ$5,feed_intensity_w,11,FALSE)</f>
        <v>#N/A</v>
      </c>
      <c r="AR150" s="2" t="e">
        <f>VLOOKUP($W150,feed_mix_n,MATCH(AR$5,feed_mix_w!$B$5:$AC$5,0),FALSE)/$Z150*VLOOKUP(AR$5,feed_intensity_w,11,FALSE)</f>
        <v>#N/A</v>
      </c>
      <c r="AS150" s="389" t="e">
        <f>VLOOKUP($W150,feed_mix_n,MATCH(AS$5,feed_mix_w!$B$5:$AC$5,0),FALSE)/$Z150*VLOOKUP(AS$5,feed_intensity_w,11,FALSE)</f>
        <v>#N/A</v>
      </c>
    </row>
    <row r="151" spans="1:45" ht="12.75" customHeight="1">
      <c r="A151" s="14" t="s">
        <v>2892</v>
      </c>
      <c r="B151" s="482">
        <v>1172</v>
      </c>
      <c r="C151" s="24">
        <v>1602.9</v>
      </c>
      <c r="D151" s="513"/>
      <c r="E151" s="513"/>
      <c r="F151" s="25">
        <f t="shared" si="44"/>
        <v>0</v>
      </c>
      <c r="G151" s="25">
        <f t="shared" si="45"/>
        <v>0</v>
      </c>
      <c r="H151" s="2" t="e">
        <f t="shared" si="46"/>
        <v>#N/A</v>
      </c>
      <c r="I151" s="25">
        <f t="shared" si="47"/>
        <v>0</v>
      </c>
      <c r="J151" s="87">
        <f>IFERROR(G151*VLOOKUP(W151,livestock_intensity!$B$7:$I$29,8,FALSE)/Z151,0)</f>
        <v>0</v>
      </c>
      <c r="K151" s="2" t="e">
        <f>VLOOKUP($W151,feed_mix_n,MATCH(K$5,feed_mix_w!$B$5:$AC$5,0),FALSE)/$Z151*VLOOKUP(K$5,feed_intensity_w,11,FALSE)</f>
        <v>#N/A</v>
      </c>
      <c r="L151" s="25">
        <f t="shared" si="48"/>
        <v>0</v>
      </c>
      <c r="M151" s="25">
        <f>IFERROR(G151*VLOOKUP(W151,livestock_intensity!$B$7:$M$29,12,FALSE)/Z151,0)</f>
        <v>0</v>
      </c>
      <c r="N151" s="2" t="e">
        <f>VLOOKUP($W151,feed_mix_n,MATCH(N$5,feed_mix_w!$B$5:$AC$5,0),FALSE)/$Z151*VLOOKUP(N$5,feed_intensity_w,11,FALSE)</f>
        <v>#N/A</v>
      </c>
      <c r="O151" s="25">
        <f t="shared" si="49"/>
        <v>0</v>
      </c>
      <c r="P151" s="343">
        <f>IFERROR(G151*VLOOKUP(W151,livestock_intensity!$B$7:$Q$29,16,FALSE)/Z151,0)</f>
        <v>0</v>
      </c>
      <c r="Q151" s="758"/>
      <c r="R151" s="331">
        <f t="shared" si="50"/>
        <v>0</v>
      </c>
      <c r="S151" s="331">
        <f t="shared" si="51"/>
        <v>0</v>
      </c>
      <c r="T151" s="739" t="s">
        <v>2738</v>
      </c>
      <c r="U151" s="558" t="s">
        <v>2796</v>
      </c>
      <c r="V151" s="559">
        <f>IFERROR(VLOOKUP(W151,constant_ag_extr!$D$7:$E$594,2,FALSE),"")</f>
        <v>0</v>
      </c>
      <c r="W151" s="560" t="str">
        <f t="shared" si="52"/>
        <v/>
      </c>
      <c r="X151" s="2">
        <f>IFERROR(IF(VLOOKUP(B151,cnst_grazing!$C$10:$H$25,5,FALSE)="", IF(VLOOKUP(B151, cnst_grazing!$C$10:$H$25,3,FALSE)="", VLOOKUP(B151, cnst_grazing!$C$10:$H$25,4,FALSE),VLOOKUP(B151, cnst_grazing!$C$10:$H$25,3,FALSE)), VLOOKUP(B151,cnst_grazing!$C$10:$H$25,5,FALSE)),1)</f>
        <v>1</v>
      </c>
      <c r="Y151" s="2">
        <f>IFERROR(IF(VLOOKUP(B151,cnst_grazing!$C$10:$H$25,6,FALSE)="", IF(VLOOKUP(B151, cnst_grazing!$C$10:$H$25,4,FALSE)="", VLOOKUP(B151, cnst_grazing!$C$10:$H$25,3,FALSE),VLOOKUP(B151, cnst_grazing!$C$10:$H$25,4,FALSE)), VLOOKUP(B151,cnst_grazing!$C$10:$H$25,6,FALSE)),1)</f>
        <v>1</v>
      </c>
      <c r="Z151" s="400">
        <f t="shared" si="53"/>
        <v>1</v>
      </c>
      <c r="AA151" s="2" t="e">
        <f t="shared" si="54"/>
        <v>#N/A</v>
      </c>
      <c r="AB151" s="2" t="e">
        <f>VLOOKUP($W151,feed_mix_n,MATCH(AB$5,feed_mix_w!$B$5:$AC$5,0),FALSE)/$Z151*VLOOKUP(AB$5,feed_intensity_w,11,FALSE)</f>
        <v>#N/A</v>
      </c>
      <c r="AC151" s="2" t="e">
        <f>VLOOKUP($W151,feed_mix_n,MATCH(AC$5,feed_mix_w!$B$5:$AC$5,0),FALSE)/$Z151*VLOOKUP(AC$5,feed_intensity_w,11,FALSE)</f>
        <v>#N/A</v>
      </c>
      <c r="AD151" s="2" t="e">
        <f>VLOOKUP($W151,feed_mix_n,MATCH(AD$5,feed_mix_w!$B$5:$AC$5,0),FALSE)/$Z151*VLOOKUP(AD$5,feed_intensity_w,11,FALSE)</f>
        <v>#N/A</v>
      </c>
      <c r="AE151" s="2" t="e">
        <f>VLOOKUP($W151,feed_mix_n,MATCH(AE$5,feed_mix_w!$B$5:$AC$5,0),FALSE)/$Z151*VLOOKUP(AE$5,feed_intensity_w,11,FALSE)</f>
        <v>#N/A</v>
      </c>
      <c r="AF151" s="2" t="e">
        <f>VLOOKUP($W151,feed_mix_n,MATCH(AF$5,feed_mix_w!$B$5:$AC$5,0),FALSE)/$Z151*VLOOKUP(AF$5,feed_intensity_w,11,FALSE)</f>
        <v>#N/A</v>
      </c>
      <c r="AG151" s="2" t="e">
        <f>VLOOKUP($W151,feed_mix_n,MATCH(AG$5,feed_mix_w!$B$5:$AC$5,0),FALSE)/$Z151*VLOOKUP(AG$5,feed_intensity_w,11,FALSE)</f>
        <v>#N/A</v>
      </c>
      <c r="AH151" s="2" t="e">
        <f>VLOOKUP($W151,feed_mix_n,MATCH(AH$5,feed_mix_w!$B$5:$AC$5,0),FALSE)/$Z151*VLOOKUP(AH$5,feed_intensity_w,11,FALSE)</f>
        <v>#N/A</v>
      </c>
      <c r="AI151" s="2" t="e">
        <f>VLOOKUP($W151,feed_mix_n,MATCH(AI$5,feed_mix_w!$B$5:$AC$5,0),FALSE)/$Z151*VLOOKUP(AI$5,feed_intensity_w,11,FALSE)</f>
        <v>#N/A</v>
      </c>
      <c r="AJ151" s="2" t="e">
        <f>VLOOKUP($W151,feed_mix_n,MATCH(AJ$5,feed_mix_w!$B$5:$AC$5,0),FALSE)/$Z151*VLOOKUP(AJ$5,feed_intensity_w,11,FALSE)</f>
        <v>#N/A</v>
      </c>
      <c r="AK151" s="2" t="e">
        <f>VLOOKUP($W151,feed_mix_n,MATCH(AK$5,feed_mix_w!$B$5:$AC$5,0),FALSE)/$Z151*VLOOKUP(AK$5,feed_intensity_w,11,FALSE)</f>
        <v>#N/A</v>
      </c>
      <c r="AL151" s="2" t="e">
        <f>VLOOKUP($W151,feed_mix_n,MATCH(AL$5,feed_mix_w!$B$5:$AC$5,0),FALSE)/$Z151*VLOOKUP(AL$5,feed_intensity_w,11,FALSE)</f>
        <v>#N/A</v>
      </c>
      <c r="AM151" s="2" t="e">
        <f>VLOOKUP($W151,feed_mix_n,MATCH(AM$5,feed_mix_w!$B$5:$AC$5,0),FALSE)/$Z151*VLOOKUP(AM$5,feed_intensity_w,11,FALSE)</f>
        <v>#N/A</v>
      </c>
      <c r="AN151" s="2" t="e">
        <f>VLOOKUP($W151,feed_mix_n,MATCH(AN$5,feed_mix_w!$B$5:$AC$5,0),FALSE)/$Z151*VLOOKUP(AN$5,feed_intensity_w,11,FALSE)</f>
        <v>#N/A</v>
      </c>
      <c r="AO151" s="2" t="e">
        <f>VLOOKUP($W151,feed_mix_n,MATCH(AO$5,feed_mix_w!$B$5:$AC$5,0),FALSE)/$Z151*VLOOKUP(AO$5,feed_intensity_w,11,FALSE)</f>
        <v>#N/A</v>
      </c>
      <c r="AP151" s="2" t="e">
        <f>VLOOKUP($W151,feed_mix_n,MATCH(AP$5,feed_mix_w!$B$5:$AC$5,0),FALSE)/$Z151*VLOOKUP(AP$5,feed_intensity_w,11,FALSE)</f>
        <v>#N/A</v>
      </c>
      <c r="AQ151" s="2" t="e">
        <f>VLOOKUP($W151,feed_mix_n,MATCH(AQ$5,feed_mix_w!$B$5:$AC$5,0),FALSE)/$Z151*VLOOKUP(AQ$5,feed_intensity_w,11,FALSE)</f>
        <v>#N/A</v>
      </c>
      <c r="AR151" s="2" t="e">
        <f>VLOOKUP($W151,feed_mix_n,MATCH(AR$5,feed_mix_w!$B$5:$AC$5,0),FALSE)/$Z151*VLOOKUP(AR$5,feed_intensity_w,11,FALSE)</f>
        <v>#N/A</v>
      </c>
      <c r="AS151" s="389" t="e">
        <f>VLOOKUP($W151,feed_mix_n,MATCH(AS$5,feed_mix_w!$B$5:$AC$5,0),FALSE)/$Z151*VLOOKUP(AS$5,feed_intensity_w,11,FALSE)</f>
        <v>#N/A</v>
      </c>
    </row>
    <row r="152" spans="1:45" ht="12.75" customHeight="1">
      <c r="A152" s="14" t="s">
        <v>7200</v>
      </c>
      <c r="B152" s="482">
        <v>1173</v>
      </c>
      <c r="C152" s="24">
        <v>2301.1</v>
      </c>
      <c r="D152" s="513">
        <v>62215</v>
      </c>
      <c r="E152" s="513">
        <v>33546</v>
      </c>
      <c r="F152" s="25">
        <f t="shared" si="44"/>
        <v>62215</v>
      </c>
      <c r="G152" s="25">
        <f t="shared" si="45"/>
        <v>33546</v>
      </c>
      <c r="H152" s="2" t="e">
        <f t="shared" si="46"/>
        <v>#N/A</v>
      </c>
      <c r="I152" s="25">
        <f t="shared" si="47"/>
        <v>0</v>
      </c>
      <c r="J152" s="87">
        <f>IFERROR(G152*VLOOKUP(W152,livestock_intensity!$B$7:$I$29,8,FALSE)/Z152,0)</f>
        <v>0</v>
      </c>
      <c r="K152" s="2" t="e">
        <f>VLOOKUP($W152,feed_mix_n,MATCH(K$5,feed_mix_w!$B$5:$AC$5,0),FALSE)/$Z152*VLOOKUP(K$5,feed_intensity_w,11,FALSE)</f>
        <v>#N/A</v>
      </c>
      <c r="L152" s="25">
        <f t="shared" si="48"/>
        <v>0</v>
      </c>
      <c r="M152" s="25">
        <f>IFERROR(G152*VLOOKUP(W152,livestock_intensity!$B$7:$M$29,12,FALSE)/Z152,0)</f>
        <v>0</v>
      </c>
      <c r="N152" s="2" t="e">
        <f>VLOOKUP($W152,feed_mix_n,MATCH(N$5,feed_mix_w!$B$5:$AC$5,0),FALSE)/$Z152*VLOOKUP(N$5,feed_intensity_w,11,FALSE)</f>
        <v>#N/A</v>
      </c>
      <c r="O152" s="25">
        <f t="shared" si="49"/>
        <v>0</v>
      </c>
      <c r="P152" s="343">
        <f>IFERROR(G152*VLOOKUP(W152,livestock_intensity!$B$7:$Q$29,16,FALSE)/Z152,0)</f>
        <v>0</v>
      </c>
      <c r="Q152" s="758"/>
      <c r="R152" s="331">
        <f t="shared" si="50"/>
        <v>0</v>
      </c>
      <c r="S152" s="331">
        <f t="shared" si="51"/>
        <v>0</v>
      </c>
      <c r="T152" s="739">
        <v>2749</v>
      </c>
      <c r="U152" s="558" t="s">
        <v>2796</v>
      </c>
      <c r="V152" s="559">
        <f>IFERROR(VLOOKUP(W152,constant_ag_extr!$D$7:$E$594,2,FALSE),"")</f>
        <v>0</v>
      </c>
      <c r="W152" s="560" t="str">
        <f t="shared" si="52"/>
        <v/>
      </c>
      <c r="X152" s="2">
        <f>IFERROR(IF(VLOOKUP(B152,cnst_grazing!$C$10:$H$25,5,FALSE)="", IF(VLOOKUP(B152, cnst_grazing!$C$10:$H$25,3,FALSE)="", VLOOKUP(B152, cnst_grazing!$C$10:$H$25,4,FALSE),VLOOKUP(B152, cnst_grazing!$C$10:$H$25,3,FALSE)), VLOOKUP(B152,cnst_grazing!$C$10:$H$25,5,FALSE)),1)</f>
        <v>1</v>
      </c>
      <c r="Y152" s="2">
        <f>IFERROR(IF(VLOOKUP(B152,cnst_grazing!$C$10:$H$25,6,FALSE)="", IF(VLOOKUP(B152, cnst_grazing!$C$10:$H$25,4,FALSE)="", VLOOKUP(B152, cnst_grazing!$C$10:$H$25,3,FALSE),VLOOKUP(B152, cnst_grazing!$C$10:$H$25,4,FALSE)), VLOOKUP(B152,cnst_grazing!$C$10:$H$25,6,FALSE)),1)</f>
        <v>1</v>
      </c>
      <c r="Z152" s="400">
        <f t="shared" si="53"/>
        <v>1</v>
      </c>
      <c r="AA152" s="2" t="e">
        <f t="shared" si="54"/>
        <v>#N/A</v>
      </c>
      <c r="AB152" s="2" t="e">
        <f>VLOOKUP($W152,feed_mix_n,MATCH(AB$5,feed_mix_w!$B$5:$AC$5,0),FALSE)/$Z152*VLOOKUP(AB$5,feed_intensity_w,11,FALSE)</f>
        <v>#N/A</v>
      </c>
      <c r="AC152" s="2" t="e">
        <f>VLOOKUP($W152,feed_mix_n,MATCH(AC$5,feed_mix_w!$B$5:$AC$5,0),FALSE)/$Z152*VLOOKUP(AC$5,feed_intensity_w,11,FALSE)</f>
        <v>#N/A</v>
      </c>
      <c r="AD152" s="2" t="e">
        <f>VLOOKUP($W152,feed_mix_n,MATCH(AD$5,feed_mix_w!$B$5:$AC$5,0),FALSE)/$Z152*VLOOKUP(AD$5,feed_intensity_w,11,FALSE)</f>
        <v>#N/A</v>
      </c>
      <c r="AE152" s="2" t="e">
        <f>VLOOKUP($W152,feed_mix_n,MATCH(AE$5,feed_mix_w!$B$5:$AC$5,0),FALSE)/$Z152*VLOOKUP(AE$5,feed_intensity_w,11,FALSE)</f>
        <v>#N/A</v>
      </c>
      <c r="AF152" s="2" t="e">
        <f>VLOOKUP($W152,feed_mix_n,MATCH(AF$5,feed_mix_w!$B$5:$AC$5,0),FALSE)/$Z152*VLOOKUP(AF$5,feed_intensity_w,11,FALSE)</f>
        <v>#N/A</v>
      </c>
      <c r="AG152" s="2" t="e">
        <f>VLOOKUP($W152,feed_mix_n,MATCH(AG$5,feed_mix_w!$B$5:$AC$5,0),FALSE)/$Z152*VLOOKUP(AG$5,feed_intensity_w,11,FALSE)</f>
        <v>#N/A</v>
      </c>
      <c r="AH152" s="2" t="e">
        <f>VLOOKUP($W152,feed_mix_n,MATCH(AH$5,feed_mix_w!$B$5:$AC$5,0),FALSE)/$Z152*VLOOKUP(AH$5,feed_intensity_w,11,FALSE)</f>
        <v>#N/A</v>
      </c>
      <c r="AI152" s="2" t="e">
        <f>VLOOKUP($W152,feed_mix_n,MATCH(AI$5,feed_mix_w!$B$5:$AC$5,0),FALSE)/$Z152*VLOOKUP(AI$5,feed_intensity_w,11,FALSE)</f>
        <v>#N/A</v>
      </c>
      <c r="AJ152" s="2" t="e">
        <f>VLOOKUP($W152,feed_mix_n,MATCH(AJ$5,feed_mix_w!$B$5:$AC$5,0),FALSE)/$Z152*VLOOKUP(AJ$5,feed_intensity_w,11,FALSE)</f>
        <v>#N/A</v>
      </c>
      <c r="AK152" s="2" t="e">
        <f>VLOOKUP($W152,feed_mix_n,MATCH(AK$5,feed_mix_w!$B$5:$AC$5,0),FALSE)/$Z152*VLOOKUP(AK$5,feed_intensity_w,11,FALSE)</f>
        <v>#N/A</v>
      </c>
      <c r="AL152" s="2" t="e">
        <f>VLOOKUP($W152,feed_mix_n,MATCH(AL$5,feed_mix_w!$B$5:$AC$5,0),FALSE)/$Z152*VLOOKUP(AL$5,feed_intensity_w,11,FALSE)</f>
        <v>#N/A</v>
      </c>
      <c r="AM152" s="2" t="e">
        <f>VLOOKUP($W152,feed_mix_n,MATCH(AM$5,feed_mix_w!$B$5:$AC$5,0),FALSE)/$Z152*VLOOKUP(AM$5,feed_intensity_w,11,FALSE)</f>
        <v>#N/A</v>
      </c>
      <c r="AN152" s="2" t="e">
        <f>VLOOKUP($W152,feed_mix_n,MATCH(AN$5,feed_mix_w!$B$5:$AC$5,0),FALSE)/$Z152*VLOOKUP(AN$5,feed_intensity_w,11,FALSE)</f>
        <v>#N/A</v>
      </c>
      <c r="AO152" s="2" t="e">
        <f>VLOOKUP($W152,feed_mix_n,MATCH(AO$5,feed_mix_w!$B$5:$AC$5,0),FALSE)/$Z152*VLOOKUP(AO$5,feed_intensity_w,11,FALSE)</f>
        <v>#N/A</v>
      </c>
      <c r="AP152" s="2" t="e">
        <f>VLOOKUP($W152,feed_mix_n,MATCH(AP$5,feed_mix_w!$B$5:$AC$5,0),FALSE)/$Z152*VLOOKUP(AP$5,feed_intensity_w,11,FALSE)</f>
        <v>#N/A</v>
      </c>
      <c r="AQ152" s="2" t="e">
        <f>VLOOKUP($W152,feed_mix_n,MATCH(AQ$5,feed_mix_w!$B$5:$AC$5,0),FALSE)/$Z152*VLOOKUP(AQ$5,feed_intensity_w,11,FALSE)</f>
        <v>#N/A</v>
      </c>
      <c r="AR152" s="2" t="e">
        <f>VLOOKUP($W152,feed_mix_n,MATCH(AR$5,feed_mix_w!$B$5:$AC$5,0),FALSE)/$Z152*VLOOKUP(AR$5,feed_intensity_w,11,FALSE)</f>
        <v>#N/A</v>
      </c>
      <c r="AS152" s="389" t="e">
        <f>VLOOKUP($W152,feed_mix_n,MATCH(AS$5,feed_mix_w!$B$5:$AC$5,0),FALSE)/$Z152*VLOOKUP(AS$5,feed_intensity_w,11,FALSE)</f>
        <v>#N/A</v>
      </c>
    </row>
    <row r="153" spans="1:45" ht="12.75" customHeight="1">
      <c r="A153" s="14" t="s">
        <v>1412</v>
      </c>
      <c r="B153" s="482">
        <v>1181</v>
      </c>
      <c r="C153" s="24" t="s">
        <v>1413</v>
      </c>
      <c r="D153" s="513">
        <v>439893</v>
      </c>
      <c r="E153" s="513">
        <v>430217</v>
      </c>
      <c r="F153" s="25">
        <f t="shared" si="44"/>
        <v>439893</v>
      </c>
      <c r="G153" s="25">
        <f t="shared" si="45"/>
        <v>430217</v>
      </c>
      <c r="H153" s="2" t="e">
        <f t="shared" si="46"/>
        <v>#N/A</v>
      </c>
      <c r="I153" s="25">
        <f t="shared" si="47"/>
        <v>0</v>
      </c>
      <c r="J153" s="87">
        <f>IFERROR(G153*VLOOKUP(W153,livestock_intensity!$B$7:$I$29,8,FALSE)/Z153,0)</f>
        <v>0</v>
      </c>
      <c r="K153" s="2" t="e">
        <f>VLOOKUP($W153,feed_mix_n,MATCH(K$5,feed_mix_w!$B$5:$AC$5,0),FALSE)/$Z153*VLOOKUP(K$5,feed_intensity_w,11,FALSE)</f>
        <v>#N/A</v>
      </c>
      <c r="L153" s="25">
        <f t="shared" si="48"/>
        <v>0</v>
      </c>
      <c r="M153" s="25">
        <f>IFERROR(G153*VLOOKUP(W153,livestock_intensity!$B$7:$M$29,12,FALSE)/Z153,0)</f>
        <v>0</v>
      </c>
      <c r="N153" s="2" t="e">
        <f>VLOOKUP($W153,feed_mix_n,MATCH(N$5,feed_mix_w!$B$5:$AC$5,0),FALSE)/$Z153*VLOOKUP(N$5,feed_intensity_w,11,FALSE)</f>
        <v>#N/A</v>
      </c>
      <c r="O153" s="25">
        <f t="shared" si="49"/>
        <v>0</v>
      </c>
      <c r="P153" s="343">
        <f>IFERROR(G153*VLOOKUP(W153,livestock_intensity!$B$7:$Q$29,16,FALSE)/Z153,0)</f>
        <v>0</v>
      </c>
      <c r="Q153" s="758"/>
      <c r="R153" s="331">
        <f t="shared" si="50"/>
        <v>0</v>
      </c>
      <c r="S153" s="331">
        <f t="shared" si="51"/>
        <v>0</v>
      </c>
      <c r="T153" s="739" t="s">
        <v>2738</v>
      </c>
      <c r="U153" s="558" t="s">
        <v>2796</v>
      </c>
      <c r="V153" s="559">
        <f>IFERROR(VLOOKUP(W153,constant_ag_extr!$D$7:$E$594,2,FALSE),"")</f>
        <v>0</v>
      </c>
      <c r="W153" s="560" t="str">
        <f t="shared" si="52"/>
        <v/>
      </c>
      <c r="X153" s="2">
        <f>IFERROR(IF(VLOOKUP(B153,cnst_grazing!$C$10:$H$25,5,FALSE)="", IF(VLOOKUP(B153, cnst_grazing!$C$10:$H$25,3,FALSE)="", VLOOKUP(B153, cnst_grazing!$C$10:$H$25,4,FALSE),VLOOKUP(B153, cnst_grazing!$C$10:$H$25,3,FALSE)), VLOOKUP(B153,cnst_grazing!$C$10:$H$25,5,FALSE)),1)</f>
        <v>1</v>
      </c>
      <c r="Y153" s="2">
        <f>IFERROR(IF(VLOOKUP(B153,cnst_grazing!$C$10:$H$25,6,FALSE)="", IF(VLOOKUP(B153, cnst_grazing!$C$10:$H$25,4,FALSE)="", VLOOKUP(B153, cnst_grazing!$C$10:$H$25,3,FALSE),VLOOKUP(B153, cnst_grazing!$C$10:$H$25,4,FALSE)), VLOOKUP(B153,cnst_grazing!$C$10:$H$25,6,FALSE)),1)</f>
        <v>1</v>
      </c>
      <c r="Z153" s="400" t="str">
        <f t="shared" si="53"/>
        <v>-</v>
      </c>
      <c r="AA153" s="2" t="e">
        <f t="shared" si="54"/>
        <v>#N/A</v>
      </c>
      <c r="AB153" s="2" t="e">
        <f>VLOOKUP($W153,feed_mix_n,MATCH(AB$5,feed_mix_w!$B$5:$AC$5,0),FALSE)/$Z153*VLOOKUP(AB$5,feed_intensity_w,11,FALSE)</f>
        <v>#N/A</v>
      </c>
      <c r="AC153" s="2" t="e">
        <f>VLOOKUP($W153,feed_mix_n,MATCH(AC$5,feed_mix_w!$B$5:$AC$5,0),FALSE)/$Z153*VLOOKUP(AC$5,feed_intensity_w,11,FALSE)</f>
        <v>#N/A</v>
      </c>
      <c r="AD153" s="2" t="e">
        <f>VLOOKUP($W153,feed_mix_n,MATCH(AD$5,feed_mix_w!$B$5:$AC$5,0),FALSE)/$Z153*VLOOKUP(AD$5,feed_intensity_w,11,FALSE)</f>
        <v>#N/A</v>
      </c>
      <c r="AE153" s="2" t="e">
        <f>VLOOKUP($W153,feed_mix_n,MATCH(AE$5,feed_mix_w!$B$5:$AC$5,0),FALSE)/$Z153*VLOOKUP(AE$5,feed_intensity_w,11,FALSE)</f>
        <v>#N/A</v>
      </c>
      <c r="AF153" s="2" t="e">
        <f>VLOOKUP($W153,feed_mix_n,MATCH(AF$5,feed_mix_w!$B$5:$AC$5,0),FALSE)/$Z153*VLOOKUP(AF$5,feed_intensity_w,11,FALSE)</f>
        <v>#N/A</v>
      </c>
      <c r="AG153" s="2" t="e">
        <f>VLOOKUP($W153,feed_mix_n,MATCH(AG$5,feed_mix_w!$B$5:$AC$5,0),FALSE)/$Z153*VLOOKUP(AG$5,feed_intensity_w,11,FALSE)</f>
        <v>#N/A</v>
      </c>
      <c r="AH153" s="2" t="e">
        <f>VLOOKUP($W153,feed_mix_n,MATCH(AH$5,feed_mix_w!$B$5:$AC$5,0),FALSE)/$Z153*VLOOKUP(AH$5,feed_intensity_w,11,FALSE)</f>
        <v>#N/A</v>
      </c>
      <c r="AI153" s="2" t="e">
        <f>VLOOKUP($W153,feed_mix_n,MATCH(AI$5,feed_mix_w!$B$5:$AC$5,0),FALSE)/$Z153*VLOOKUP(AI$5,feed_intensity_w,11,FALSE)</f>
        <v>#N/A</v>
      </c>
      <c r="AJ153" s="2" t="e">
        <f>VLOOKUP($W153,feed_mix_n,MATCH(AJ$5,feed_mix_w!$B$5:$AC$5,0),FALSE)/$Z153*VLOOKUP(AJ$5,feed_intensity_w,11,FALSE)</f>
        <v>#N/A</v>
      </c>
      <c r="AK153" s="2" t="e">
        <f>VLOOKUP($W153,feed_mix_n,MATCH(AK$5,feed_mix_w!$B$5:$AC$5,0),FALSE)/$Z153*VLOOKUP(AK$5,feed_intensity_w,11,FALSE)</f>
        <v>#N/A</v>
      </c>
      <c r="AL153" s="2" t="e">
        <f>VLOOKUP($W153,feed_mix_n,MATCH(AL$5,feed_mix_w!$B$5:$AC$5,0),FALSE)/$Z153*VLOOKUP(AL$5,feed_intensity_w,11,FALSE)</f>
        <v>#N/A</v>
      </c>
      <c r="AM153" s="2" t="e">
        <f>VLOOKUP($W153,feed_mix_n,MATCH(AM$5,feed_mix_w!$B$5:$AC$5,0),FALSE)/$Z153*VLOOKUP(AM$5,feed_intensity_w,11,FALSE)</f>
        <v>#N/A</v>
      </c>
      <c r="AN153" s="2" t="e">
        <f>VLOOKUP($W153,feed_mix_n,MATCH(AN$5,feed_mix_w!$B$5:$AC$5,0),FALSE)/$Z153*VLOOKUP(AN$5,feed_intensity_w,11,FALSE)</f>
        <v>#N/A</v>
      </c>
      <c r="AO153" s="2" t="e">
        <f>VLOOKUP($W153,feed_mix_n,MATCH(AO$5,feed_mix_w!$B$5:$AC$5,0),FALSE)/$Z153*VLOOKUP(AO$5,feed_intensity_w,11,FALSE)</f>
        <v>#N/A</v>
      </c>
      <c r="AP153" s="2" t="e">
        <f>VLOOKUP($W153,feed_mix_n,MATCH(AP$5,feed_mix_w!$B$5:$AC$5,0),FALSE)/$Z153*VLOOKUP(AP$5,feed_intensity_w,11,FALSE)</f>
        <v>#N/A</v>
      </c>
      <c r="AQ153" s="2" t="e">
        <f>VLOOKUP($W153,feed_mix_n,MATCH(AQ$5,feed_mix_w!$B$5:$AC$5,0),FALSE)/$Z153*VLOOKUP(AQ$5,feed_intensity_w,11,FALSE)</f>
        <v>#N/A</v>
      </c>
      <c r="AR153" s="2" t="e">
        <f>VLOOKUP($W153,feed_mix_n,MATCH(AR$5,feed_mix_w!$B$5:$AC$5,0),FALSE)/$Z153*VLOOKUP(AR$5,feed_intensity_w,11,FALSE)</f>
        <v>#N/A</v>
      </c>
      <c r="AS153" s="389" t="e">
        <f>VLOOKUP($W153,feed_mix_n,MATCH(AS$5,feed_mix_w!$B$5:$AC$5,0),FALSE)/$Z153*VLOOKUP(AS$5,feed_intensity_w,11,FALSE)</f>
        <v>#N/A</v>
      </c>
    </row>
    <row r="154" spans="1:45" ht="12.75" customHeight="1">
      <c r="A154" s="14" t="s">
        <v>5998</v>
      </c>
      <c r="B154" s="482">
        <v>1182</v>
      </c>
      <c r="C154" s="24"/>
      <c r="D154" s="513">
        <v>5352</v>
      </c>
      <c r="E154" s="513">
        <v>18837</v>
      </c>
      <c r="F154" s="25">
        <f t="shared" si="44"/>
        <v>5352</v>
      </c>
      <c r="G154" s="25">
        <f t="shared" si="45"/>
        <v>18837</v>
      </c>
      <c r="H154" s="2" t="e">
        <f t="shared" si="46"/>
        <v>#N/A</v>
      </c>
      <c r="I154" s="25">
        <f t="shared" si="47"/>
        <v>0</v>
      </c>
      <c r="J154" s="87">
        <f>IFERROR(G154*VLOOKUP(W154,livestock_intensity!$B$7:$I$29,8,FALSE)/Z154,0)</f>
        <v>0</v>
      </c>
      <c r="K154" s="2" t="e">
        <f>VLOOKUP($W154,feed_mix_n,MATCH(K$5,feed_mix_w!$B$5:$AC$5,0),FALSE)/$Z154*VLOOKUP(K$5,feed_intensity_w,11,FALSE)</f>
        <v>#N/A</v>
      </c>
      <c r="L154" s="25">
        <f t="shared" si="48"/>
        <v>0</v>
      </c>
      <c r="M154" s="25">
        <f>IFERROR(G154*VLOOKUP(W154,livestock_intensity!$B$7:$M$29,12,FALSE)/Z154,0)</f>
        <v>0</v>
      </c>
      <c r="N154" s="2" t="e">
        <f>VLOOKUP($W154,feed_mix_n,MATCH(N$5,feed_mix_w!$B$5:$AC$5,0),FALSE)/$Z154*VLOOKUP(N$5,feed_intensity_w,11,FALSE)</f>
        <v>#N/A</v>
      </c>
      <c r="O154" s="25">
        <f t="shared" si="49"/>
        <v>0</v>
      </c>
      <c r="P154" s="343">
        <f>IFERROR(G154*VLOOKUP(W154,livestock_intensity!$B$7:$Q$29,16,FALSE)/Z154,0)</f>
        <v>0</v>
      </c>
      <c r="Q154" s="758"/>
      <c r="R154" s="331">
        <f t="shared" si="50"/>
        <v>0</v>
      </c>
      <c r="S154" s="331">
        <f t="shared" si="51"/>
        <v>0</v>
      </c>
      <c r="T154" s="739">
        <v>2745</v>
      </c>
      <c r="U154" s="558"/>
      <c r="V154" s="559">
        <f>IFERROR(VLOOKUP(W154,constant_ag_extr!$D$7:$E$594,2,FALSE),"")</f>
        <v>0</v>
      </c>
      <c r="W154" s="560" t="str">
        <f t="shared" si="52"/>
        <v/>
      </c>
      <c r="X154" s="2">
        <f>IFERROR(IF(VLOOKUP(B154,cnst_grazing!$C$10:$H$25,5,FALSE)="", IF(VLOOKUP(B154, cnst_grazing!$C$10:$H$25,3,FALSE)="", VLOOKUP(B154, cnst_grazing!$C$10:$H$25,4,FALSE),VLOOKUP(B154, cnst_grazing!$C$10:$H$25,3,FALSE)), VLOOKUP(B154,cnst_grazing!$C$10:$H$25,5,FALSE)),1)</f>
        <v>1</v>
      </c>
      <c r="Y154" s="2">
        <f>IFERROR(IF(VLOOKUP(B154,cnst_grazing!$C$10:$H$25,6,FALSE)="", IF(VLOOKUP(B154, cnst_grazing!$C$10:$H$25,4,FALSE)="", VLOOKUP(B154, cnst_grazing!$C$10:$H$25,3,FALSE),VLOOKUP(B154, cnst_grazing!$C$10:$H$25,4,FALSE)), VLOOKUP(B154,cnst_grazing!$C$10:$H$25,6,FALSE)),1)</f>
        <v>1</v>
      </c>
      <c r="Z154" s="400">
        <f t="shared" si="53"/>
        <v>1</v>
      </c>
      <c r="AA154" s="2" t="e">
        <f t="shared" si="54"/>
        <v>#N/A</v>
      </c>
      <c r="AB154" s="2" t="e">
        <f>VLOOKUP($W154,feed_mix_n,MATCH(AB$5,feed_mix_w!$B$5:$AC$5,0),FALSE)/$Z154*VLOOKUP(AB$5,feed_intensity_w,11,FALSE)</f>
        <v>#N/A</v>
      </c>
      <c r="AC154" s="2" t="e">
        <f>VLOOKUP($W154,feed_mix_n,MATCH(AC$5,feed_mix_w!$B$5:$AC$5,0),FALSE)/$Z154*VLOOKUP(AC$5,feed_intensity_w,11,FALSE)</f>
        <v>#N/A</v>
      </c>
      <c r="AD154" s="2" t="e">
        <f>VLOOKUP($W154,feed_mix_n,MATCH(AD$5,feed_mix_w!$B$5:$AC$5,0),FALSE)/$Z154*VLOOKUP(AD$5,feed_intensity_w,11,FALSE)</f>
        <v>#N/A</v>
      </c>
      <c r="AE154" s="2" t="e">
        <f>VLOOKUP($W154,feed_mix_n,MATCH(AE$5,feed_mix_w!$B$5:$AC$5,0),FALSE)/$Z154*VLOOKUP(AE$5,feed_intensity_w,11,FALSE)</f>
        <v>#N/A</v>
      </c>
      <c r="AF154" s="2" t="e">
        <f>VLOOKUP($W154,feed_mix_n,MATCH(AF$5,feed_mix_w!$B$5:$AC$5,0),FALSE)/$Z154*VLOOKUP(AF$5,feed_intensity_w,11,FALSE)</f>
        <v>#N/A</v>
      </c>
      <c r="AG154" s="2" t="e">
        <f>VLOOKUP($W154,feed_mix_n,MATCH(AG$5,feed_mix_w!$B$5:$AC$5,0),FALSE)/$Z154*VLOOKUP(AG$5,feed_intensity_w,11,FALSE)</f>
        <v>#N/A</v>
      </c>
      <c r="AH154" s="2" t="e">
        <f>VLOOKUP($W154,feed_mix_n,MATCH(AH$5,feed_mix_w!$B$5:$AC$5,0),FALSE)/$Z154*VLOOKUP(AH$5,feed_intensity_w,11,FALSE)</f>
        <v>#N/A</v>
      </c>
      <c r="AI154" s="2" t="e">
        <f>VLOOKUP($W154,feed_mix_n,MATCH(AI$5,feed_mix_w!$B$5:$AC$5,0),FALSE)/$Z154*VLOOKUP(AI$5,feed_intensity_w,11,FALSE)</f>
        <v>#N/A</v>
      </c>
      <c r="AJ154" s="2" t="e">
        <f>VLOOKUP($W154,feed_mix_n,MATCH(AJ$5,feed_mix_w!$B$5:$AC$5,0),FALSE)/$Z154*VLOOKUP(AJ$5,feed_intensity_w,11,FALSE)</f>
        <v>#N/A</v>
      </c>
      <c r="AK154" s="2" t="e">
        <f>VLOOKUP($W154,feed_mix_n,MATCH(AK$5,feed_mix_w!$B$5:$AC$5,0),FALSE)/$Z154*VLOOKUP(AK$5,feed_intensity_w,11,FALSE)</f>
        <v>#N/A</v>
      </c>
      <c r="AL154" s="2" t="e">
        <f>VLOOKUP($W154,feed_mix_n,MATCH(AL$5,feed_mix_w!$B$5:$AC$5,0),FALSE)/$Z154*VLOOKUP(AL$5,feed_intensity_w,11,FALSE)</f>
        <v>#N/A</v>
      </c>
      <c r="AM154" s="2" t="e">
        <f>VLOOKUP($W154,feed_mix_n,MATCH(AM$5,feed_mix_w!$B$5:$AC$5,0),FALSE)/$Z154*VLOOKUP(AM$5,feed_intensity_w,11,FALSE)</f>
        <v>#N/A</v>
      </c>
      <c r="AN154" s="2" t="e">
        <f>VLOOKUP($W154,feed_mix_n,MATCH(AN$5,feed_mix_w!$B$5:$AC$5,0),FALSE)/$Z154*VLOOKUP(AN$5,feed_intensity_w,11,FALSE)</f>
        <v>#N/A</v>
      </c>
      <c r="AO154" s="2" t="e">
        <f>VLOOKUP($W154,feed_mix_n,MATCH(AO$5,feed_mix_w!$B$5:$AC$5,0),FALSE)/$Z154*VLOOKUP(AO$5,feed_intensity_w,11,FALSE)</f>
        <v>#N/A</v>
      </c>
      <c r="AP154" s="2" t="e">
        <f>VLOOKUP($W154,feed_mix_n,MATCH(AP$5,feed_mix_w!$B$5:$AC$5,0),FALSE)/$Z154*VLOOKUP(AP$5,feed_intensity_w,11,FALSE)</f>
        <v>#N/A</v>
      </c>
      <c r="AQ154" s="2" t="e">
        <f>VLOOKUP($W154,feed_mix_n,MATCH(AQ$5,feed_mix_w!$B$5:$AC$5,0),FALSE)/$Z154*VLOOKUP(AQ$5,feed_intensity_w,11,FALSE)</f>
        <v>#N/A</v>
      </c>
      <c r="AR154" s="2" t="e">
        <f>VLOOKUP($W154,feed_mix_n,MATCH(AR$5,feed_mix_w!$B$5:$AC$5,0),FALSE)/$Z154*VLOOKUP(AR$5,feed_intensity_w,11,FALSE)</f>
        <v>#N/A</v>
      </c>
      <c r="AS154" s="389" t="e">
        <f>VLOOKUP($W154,feed_mix_n,MATCH(AS$5,feed_mix_w!$B$5:$AC$5,0),FALSE)/$Z154*VLOOKUP(AS$5,feed_intensity_w,11,FALSE)</f>
        <v>#N/A</v>
      </c>
    </row>
    <row r="155" spans="1:45" ht="12.75" customHeight="1">
      <c r="A155" s="14" t="s">
        <v>1414</v>
      </c>
      <c r="B155" s="482">
        <v>1183</v>
      </c>
      <c r="C155" s="24" t="s">
        <v>3496</v>
      </c>
      <c r="D155" s="513">
        <v>427</v>
      </c>
      <c r="E155" s="513">
        <v>408</v>
      </c>
      <c r="F155" s="25">
        <f t="shared" si="44"/>
        <v>427</v>
      </c>
      <c r="G155" s="25">
        <f t="shared" si="45"/>
        <v>408</v>
      </c>
      <c r="H155" s="2" t="e">
        <f t="shared" si="46"/>
        <v>#N/A</v>
      </c>
      <c r="I155" s="25">
        <f t="shared" si="47"/>
        <v>0</v>
      </c>
      <c r="J155" s="87">
        <f>IFERROR(G155*VLOOKUP(W155,livestock_intensity!$B$7:$I$29,8,FALSE)/Z155,0)</f>
        <v>0</v>
      </c>
      <c r="K155" s="2" t="e">
        <f>VLOOKUP($W155,feed_mix_n,MATCH(K$5,feed_mix_w!$B$5:$AC$5,0),FALSE)/$Z155*VLOOKUP(K$5,feed_intensity_w,11,FALSE)</f>
        <v>#N/A</v>
      </c>
      <c r="L155" s="25">
        <f t="shared" si="48"/>
        <v>0</v>
      </c>
      <c r="M155" s="25">
        <f>IFERROR(G155*VLOOKUP(W155,livestock_intensity!$B$7:$M$29,12,FALSE)/Z155,0)</f>
        <v>0</v>
      </c>
      <c r="N155" s="2" t="e">
        <f>VLOOKUP($W155,feed_mix_n,MATCH(N$5,feed_mix_w!$B$5:$AC$5,0),FALSE)/$Z155*VLOOKUP(N$5,feed_intensity_w,11,FALSE)</f>
        <v>#N/A</v>
      </c>
      <c r="O155" s="25">
        <f t="shared" si="49"/>
        <v>0</v>
      </c>
      <c r="P155" s="343">
        <f>IFERROR(G155*VLOOKUP(W155,livestock_intensity!$B$7:$Q$29,16,FALSE)/Z155,0)</f>
        <v>0</v>
      </c>
      <c r="Q155" s="758"/>
      <c r="R155" s="331">
        <f t="shared" si="50"/>
        <v>0</v>
      </c>
      <c r="S155" s="331">
        <f t="shared" si="51"/>
        <v>0</v>
      </c>
      <c r="T155" s="739" t="s">
        <v>2738</v>
      </c>
      <c r="U155" s="558" t="s">
        <v>2796</v>
      </c>
      <c r="V155" s="559" t="str">
        <f>IFERROR(VLOOKUP(W155,constant_ag_extr!$D$7:$E$594,2,FALSE),"")</f>
        <v>Beeswax</v>
      </c>
      <c r="W155" s="560">
        <f t="shared" si="52"/>
        <v>1183</v>
      </c>
      <c r="X155" s="2">
        <f>IFERROR(IF(VLOOKUP(B155,cnst_grazing!$C$10:$H$25,5,FALSE)="", IF(VLOOKUP(B155, cnst_grazing!$C$10:$H$25,3,FALSE)="", VLOOKUP(B155, cnst_grazing!$C$10:$H$25,4,FALSE),VLOOKUP(B155, cnst_grazing!$C$10:$H$25,3,FALSE)), VLOOKUP(B155,cnst_grazing!$C$10:$H$25,5,FALSE)),1)</f>
        <v>1</v>
      </c>
      <c r="Y155" s="2">
        <f>IFERROR(IF(VLOOKUP(B155,cnst_grazing!$C$10:$H$25,6,FALSE)="", IF(VLOOKUP(B155, cnst_grazing!$C$10:$H$25,4,FALSE)="", VLOOKUP(B155, cnst_grazing!$C$10:$H$25,3,FALSE),VLOOKUP(B155, cnst_grazing!$C$10:$H$25,4,FALSE)), VLOOKUP(B155,cnst_grazing!$C$10:$H$25,6,FALSE)),1)</f>
        <v>1</v>
      </c>
      <c r="Z155" s="400">
        <f t="shared" si="53"/>
        <v>1</v>
      </c>
      <c r="AA155" s="2" t="e">
        <f t="shared" si="54"/>
        <v>#N/A</v>
      </c>
      <c r="AB155" s="2" t="e">
        <f>VLOOKUP($W155,feed_mix_n,MATCH(AB$5,feed_mix_w!$B$5:$AC$5,0),FALSE)/$Z155*VLOOKUP(AB$5,feed_intensity_w,11,FALSE)</f>
        <v>#N/A</v>
      </c>
      <c r="AC155" s="2" t="e">
        <f>VLOOKUP($W155,feed_mix_n,MATCH(AC$5,feed_mix_w!$B$5:$AC$5,0),FALSE)/$Z155*VLOOKUP(AC$5,feed_intensity_w,11,FALSE)</f>
        <v>#N/A</v>
      </c>
      <c r="AD155" s="2" t="e">
        <f>VLOOKUP($W155,feed_mix_n,MATCH(AD$5,feed_mix_w!$B$5:$AC$5,0),FALSE)/$Z155*VLOOKUP(AD$5,feed_intensity_w,11,FALSE)</f>
        <v>#N/A</v>
      </c>
      <c r="AE155" s="2" t="e">
        <f>VLOOKUP($W155,feed_mix_n,MATCH(AE$5,feed_mix_w!$B$5:$AC$5,0),FALSE)/$Z155*VLOOKUP(AE$5,feed_intensity_w,11,FALSE)</f>
        <v>#N/A</v>
      </c>
      <c r="AF155" s="2" t="e">
        <f>VLOOKUP($W155,feed_mix_n,MATCH(AF$5,feed_mix_w!$B$5:$AC$5,0),FALSE)/$Z155*VLOOKUP(AF$5,feed_intensity_w,11,FALSE)</f>
        <v>#N/A</v>
      </c>
      <c r="AG155" s="2" t="e">
        <f>VLOOKUP($W155,feed_mix_n,MATCH(AG$5,feed_mix_w!$B$5:$AC$5,0),FALSE)/$Z155*VLOOKUP(AG$5,feed_intensity_w,11,FALSE)</f>
        <v>#N/A</v>
      </c>
      <c r="AH155" s="2" t="e">
        <f>VLOOKUP($W155,feed_mix_n,MATCH(AH$5,feed_mix_w!$B$5:$AC$5,0),FALSE)/$Z155*VLOOKUP(AH$5,feed_intensity_w,11,FALSE)</f>
        <v>#N/A</v>
      </c>
      <c r="AI155" s="2" t="e">
        <f>VLOOKUP($W155,feed_mix_n,MATCH(AI$5,feed_mix_w!$B$5:$AC$5,0),FALSE)/$Z155*VLOOKUP(AI$5,feed_intensity_w,11,FALSE)</f>
        <v>#N/A</v>
      </c>
      <c r="AJ155" s="2" t="e">
        <f>VLOOKUP($W155,feed_mix_n,MATCH(AJ$5,feed_mix_w!$B$5:$AC$5,0),FALSE)/$Z155*VLOOKUP(AJ$5,feed_intensity_w,11,FALSE)</f>
        <v>#N/A</v>
      </c>
      <c r="AK155" s="2" t="e">
        <f>VLOOKUP($W155,feed_mix_n,MATCH(AK$5,feed_mix_w!$B$5:$AC$5,0),FALSE)/$Z155*VLOOKUP(AK$5,feed_intensity_w,11,FALSE)</f>
        <v>#N/A</v>
      </c>
      <c r="AL155" s="2" t="e">
        <f>VLOOKUP($W155,feed_mix_n,MATCH(AL$5,feed_mix_w!$B$5:$AC$5,0),FALSE)/$Z155*VLOOKUP(AL$5,feed_intensity_w,11,FALSE)</f>
        <v>#N/A</v>
      </c>
      <c r="AM155" s="2" t="e">
        <f>VLOOKUP($W155,feed_mix_n,MATCH(AM$5,feed_mix_w!$B$5:$AC$5,0),FALSE)/$Z155*VLOOKUP(AM$5,feed_intensity_w,11,FALSE)</f>
        <v>#N/A</v>
      </c>
      <c r="AN155" s="2" t="e">
        <f>VLOOKUP($W155,feed_mix_n,MATCH(AN$5,feed_mix_w!$B$5:$AC$5,0),FALSE)/$Z155*VLOOKUP(AN$5,feed_intensity_w,11,FALSE)</f>
        <v>#N/A</v>
      </c>
      <c r="AO155" s="2" t="e">
        <f>VLOOKUP($W155,feed_mix_n,MATCH(AO$5,feed_mix_w!$B$5:$AC$5,0),FALSE)/$Z155*VLOOKUP(AO$5,feed_intensity_w,11,FALSE)</f>
        <v>#N/A</v>
      </c>
      <c r="AP155" s="2" t="e">
        <f>VLOOKUP($W155,feed_mix_n,MATCH(AP$5,feed_mix_w!$B$5:$AC$5,0),FALSE)/$Z155*VLOOKUP(AP$5,feed_intensity_w,11,FALSE)</f>
        <v>#N/A</v>
      </c>
      <c r="AQ155" s="2" t="e">
        <f>VLOOKUP($W155,feed_mix_n,MATCH(AQ$5,feed_mix_w!$B$5:$AC$5,0),FALSE)/$Z155*VLOOKUP(AQ$5,feed_intensity_w,11,FALSE)</f>
        <v>#N/A</v>
      </c>
      <c r="AR155" s="2" t="e">
        <f>VLOOKUP($W155,feed_mix_n,MATCH(AR$5,feed_mix_w!$B$5:$AC$5,0),FALSE)/$Z155*VLOOKUP(AR$5,feed_intensity_w,11,FALSE)</f>
        <v>#N/A</v>
      </c>
      <c r="AS155" s="389" t="e">
        <f>VLOOKUP($W155,feed_mix_n,MATCH(AS$5,feed_mix_w!$B$5:$AC$5,0),FALSE)/$Z155*VLOOKUP(AS$5,feed_intensity_w,11,FALSE)</f>
        <v>#N/A</v>
      </c>
    </row>
    <row r="156" spans="1:45" ht="12.75" customHeight="1">
      <c r="A156" s="14" t="s">
        <v>1864</v>
      </c>
      <c r="B156" s="482">
        <v>1185</v>
      </c>
      <c r="C156" s="24" t="s">
        <v>1974</v>
      </c>
      <c r="D156" s="513">
        <v>1</v>
      </c>
      <c r="E156" s="513">
        <v>0</v>
      </c>
      <c r="F156" s="25">
        <f t="shared" si="44"/>
        <v>1</v>
      </c>
      <c r="G156" s="25">
        <f t="shared" si="45"/>
        <v>0</v>
      </c>
      <c r="H156" s="2" t="e">
        <f t="shared" si="46"/>
        <v>#N/A</v>
      </c>
      <c r="I156" s="25">
        <f t="shared" si="47"/>
        <v>0</v>
      </c>
      <c r="J156" s="87">
        <f>IFERROR(G156*VLOOKUP(W156,livestock_intensity!$B$7:$I$29,8,FALSE)/Z156,0)</f>
        <v>0</v>
      </c>
      <c r="K156" s="2" t="e">
        <f>VLOOKUP($W156,feed_mix_n,MATCH(K$5,feed_mix_w!$B$5:$AC$5,0),FALSE)/$Z156*VLOOKUP(K$5,feed_intensity_w,11,FALSE)</f>
        <v>#N/A</v>
      </c>
      <c r="L156" s="25">
        <f t="shared" si="48"/>
        <v>0</v>
      </c>
      <c r="M156" s="25">
        <f>IFERROR(G156*VLOOKUP(W156,livestock_intensity!$B$7:$M$29,12,FALSE)/Z156,0)</f>
        <v>0</v>
      </c>
      <c r="N156" s="2" t="e">
        <f>VLOOKUP($W156,feed_mix_n,MATCH(N$5,feed_mix_w!$B$5:$AC$5,0),FALSE)/$Z156*VLOOKUP(N$5,feed_intensity_w,11,FALSE)</f>
        <v>#N/A</v>
      </c>
      <c r="O156" s="25">
        <f t="shared" si="49"/>
        <v>0</v>
      </c>
      <c r="P156" s="343">
        <f>IFERROR(G156*VLOOKUP(W156,livestock_intensity!$B$7:$Q$29,16,FALSE)/Z156,0)</f>
        <v>0</v>
      </c>
      <c r="Q156" s="758"/>
      <c r="R156" s="331">
        <f t="shared" si="50"/>
        <v>0</v>
      </c>
      <c r="S156" s="331">
        <f t="shared" si="51"/>
        <v>0</v>
      </c>
      <c r="T156" s="739" t="s">
        <v>2738</v>
      </c>
      <c r="U156" s="558" t="s">
        <v>2796</v>
      </c>
      <c r="V156" s="559">
        <f>IFERROR(VLOOKUP(W156,constant_ag_extr!$D$7:$E$594,2,FALSE),"")</f>
        <v>0</v>
      </c>
      <c r="W156" s="560" t="str">
        <f t="shared" si="52"/>
        <v/>
      </c>
      <c r="X156" s="2">
        <f>IFERROR(IF(VLOOKUP(B156,cnst_grazing!$C$10:$H$25,5,FALSE)="", IF(VLOOKUP(B156, cnst_grazing!$C$10:$H$25,3,FALSE)="", VLOOKUP(B156, cnst_grazing!$C$10:$H$25,4,FALSE),VLOOKUP(B156, cnst_grazing!$C$10:$H$25,3,FALSE)), VLOOKUP(B156,cnst_grazing!$C$10:$H$25,5,FALSE)),1)</f>
        <v>1</v>
      </c>
      <c r="Y156" s="2">
        <f>IFERROR(IF(VLOOKUP(B156,cnst_grazing!$C$10:$H$25,6,FALSE)="", IF(VLOOKUP(B156, cnst_grazing!$C$10:$H$25,4,FALSE)="", VLOOKUP(B156, cnst_grazing!$C$10:$H$25,3,FALSE),VLOOKUP(B156, cnst_grazing!$C$10:$H$25,4,FALSE)), VLOOKUP(B156,cnst_grazing!$C$10:$H$25,6,FALSE)),1)</f>
        <v>1</v>
      </c>
      <c r="Z156" s="400">
        <f t="shared" si="53"/>
        <v>1</v>
      </c>
      <c r="AA156" s="2" t="e">
        <f t="shared" si="54"/>
        <v>#N/A</v>
      </c>
      <c r="AB156" s="2" t="e">
        <f>VLOOKUP($W156,feed_mix_n,MATCH(AB$5,feed_mix_w!$B$5:$AC$5,0),FALSE)/$Z156*VLOOKUP(AB$5,feed_intensity_w,11,FALSE)</f>
        <v>#N/A</v>
      </c>
      <c r="AC156" s="2" t="e">
        <f>VLOOKUP($W156,feed_mix_n,MATCH(AC$5,feed_mix_w!$B$5:$AC$5,0),FALSE)/$Z156*VLOOKUP(AC$5,feed_intensity_w,11,FALSE)</f>
        <v>#N/A</v>
      </c>
      <c r="AD156" s="2" t="e">
        <f>VLOOKUP($W156,feed_mix_n,MATCH(AD$5,feed_mix_w!$B$5:$AC$5,0),FALSE)/$Z156*VLOOKUP(AD$5,feed_intensity_w,11,FALSE)</f>
        <v>#N/A</v>
      </c>
      <c r="AE156" s="2" t="e">
        <f>VLOOKUP($W156,feed_mix_n,MATCH(AE$5,feed_mix_w!$B$5:$AC$5,0),FALSE)/$Z156*VLOOKUP(AE$5,feed_intensity_w,11,FALSE)</f>
        <v>#N/A</v>
      </c>
      <c r="AF156" s="2" t="e">
        <f>VLOOKUP($W156,feed_mix_n,MATCH(AF$5,feed_mix_w!$B$5:$AC$5,0),FALSE)/$Z156*VLOOKUP(AF$5,feed_intensity_w,11,FALSE)</f>
        <v>#N/A</v>
      </c>
      <c r="AG156" s="2" t="e">
        <f>VLOOKUP($W156,feed_mix_n,MATCH(AG$5,feed_mix_w!$B$5:$AC$5,0),FALSE)/$Z156*VLOOKUP(AG$5,feed_intensity_w,11,FALSE)</f>
        <v>#N/A</v>
      </c>
      <c r="AH156" s="2" t="e">
        <f>VLOOKUP($W156,feed_mix_n,MATCH(AH$5,feed_mix_w!$B$5:$AC$5,0),FALSE)/$Z156*VLOOKUP(AH$5,feed_intensity_w,11,FALSE)</f>
        <v>#N/A</v>
      </c>
      <c r="AI156" s="2" t="e">
        <f>VLOOKUP($W156,feed_mix_n,MATCH(AI$5,feed_mix_w!$B$5:$AC$5,0),FALSE)/$Z156*VLOOKUP(AI$5,feed_intensity_w,11,FALSE)</f>
        <v>#N/A</v>
      </c>
      <c r="AJ156" s="2" t="e">
        <f>VLOOKUP($W156,feed_mix_n,MATCH(AJ$5,feed_mix_w!$B$5:$AC$5,0),FALSE)/$Z156*VLOOKUP(AJ$5,feed_intensity_w,11,FALSE)</f>
        <v>#N/A</v>
      </c>
      <c r="AK156" s="2" t="e">
        <f>VLOOKUP($W156,feed_mix_n,MATCH(AK$5,feed_mix_w!$B$5:$AC$5,0),FALSE)/$Z156*VLOOKUP(AK$5,feed_intensity_w,11,FALSE)</f>
        <v>#N/A</v>
      </c>
      <c r="AL156" s="2" t="e">
        <f>VLOOKUP($W156,feed_mix_n,MATCH(AL$5,feed_mix_w!$B$5:$AC$5,0),FALSE)/$Z156*VLOOKUP(AL$5,feed_intensity_w,11,FALSE)</f>
        <v>#N/A</v>
      </c>
      <c r="AM156" s="2" t="e">
        <f>VLOOKUP($W156,feed_mix_n,MATCH(AM$5,feed_mix_w!$B$5:$AC$5,0),FALSE)/$Z156*VLOOKUP(AM$5,feed_intensity_w,11,FALSE)</f>
        <v>#N/A</v>
      </c>
      <c r="AN156" s="2" t="e">
        <f>VLOOKUP($W156,feed_mix_n,MATCH(AN$5,feed_mix_w!$B$5:$AC$5,0),FALSE)/$Z156*VLOOKUP(AN$5,feed_intensity_w,11,FALSE)</f>
        <v>#N/A</v>
      </c>
      <c r="AO156" s="2" t="e">
        <f>VLOOKUP($W156,feed_mix_n,MATCH(AO$5,feed_mix_w!$B$5:$AC$5,0),FALSE)/$Z156*VLOOKUP(AO$5,feed_intensity_w,11,FALSE)</f>
        <v>#N/A</v>
      </c>
      <c r="AP156" s="2" t="e">
        <f>VLOOKUP($W156,feed_mix_n,MATCH(AP$5,feed_mix_w!$B$5:$AC$5,0),FALSE)/$Z156*VLOOKUP(AP$5,feed_intensity_w,11,FALSE)</f>
        <v>#N/A</v>
      </c>
      <c r="AQ156" s="2" t="e">
        <f>VLOOKUP($W156,feed_mix_n,MATCH(AQ$5,feed_mix_w!$B$5:$AC$5,0),FALSE)/$Z156*VLOOKUP(AQ$5,feed_intensity_w,11,FALSE)</f>
        <v>#N/A</v>
      </c>
      <c r="AR156" s="2" t="e">
        <f>VLOOKUP($W156,feed_mix_n,MATCH(AR$5,feed_mix_w!$B$5:$AC$5,0),FALSE)/$Z156*VLOOKUP(AR$5,feed_intensity_w,11,FALSE)</f>
        <v>#N/A</v>
      </c>
      <c r="AS156" s="389" t="e">
        <f>VLOOKUP($W156,feed_mix_n,MATCH(AS$5,feed_mix_w!$B$5:$AC$5,0),FALSE)/$Z156*VLOOKUP(AS$5,feed_intensity_w,11,FALSE)</f>
        <v>#N/A</v>
      </c>
    </row>
    <row r="157" spans="1:45" ht="12.75" customHeight="1">
      <c r="A157" s="14" t="s">
        <v>7201</v>
      </c>
      <c r="B157" s="482">
        <v>1186</v>
      </c>
      <c r="C157" s="24">
        <v>5002</v>
      </c>
      <c r="D157" s="513">
        <v>1</v>
      </c>
      <c r="E157" s="513">
        <v>0</v>
      </c>
      <c r="F157" s="25">
        <f t="shared" si="44"/>
        <v>1</v>
      </c>
      <c r="G157" s="25">
        <f t="shared" si="45"/>
        <v>0</v>
      </c>
      <c r="H157" s="2" t="e">
        <f t="shared" si="46"/>
        <v>#N/A</v>
      </c>
      <c r="I157" s="25">
        <f t="shared" si="47"/>
        <v>0</v>
      </c>
      <c r="J157" s="87">
        <f>IFERROR(G157*VLOOKUP(W157,livestock_intensity!$B$7:$I$29,8,FALSE)/Z157,0)</f>
        <v>0</v>
      </c>
      <c r="K157" s="2" t="e">
        <f>VLOOKUP($W157,feed_mix_n,MATCH(K$5,feed_mix_w!$B$5:$AC$5,0),FALSE)/$Z157*VLOOKUP(K$5,feed_intensity_w,11,FALSE)</f>
        <v>#N/A</v>
      </c>
      <c r="L157" s="25">
        <f t="shared" si="48"/>
        <v>0</v>
      </c>
      <c r="M157" s="25">
        <f>IFERROR(G157*VLOOKUP(W157,livestock_intensity!$B$7:$M$29,12,FALSE)/Z157,0)</f>
        <v>0</v>
      </c>
      <c r="N157" s="2" t="e">
        <f>VLOOKUP($W157,feed_mix_n,MATCH(N$5,feed_mix_w!$B$5:$AC$5,0),FALSE)/$Z157*VLOOKUP(N$5,feed_intensity_w,11,FALSE)</f>
        <v>#N/A</v>
      </c>
      <c r="O157" s="25">
        <f t="shared" si="49"/>
        <v>0</v>
      </c>
      <c r="P157" s="343">
        <f>IFERROR(G157*VLOOKUP(W157,livestock_intensity!$B$7:$Q$29,16,FALSE)/Z157,0)</f>
        <v>0</v>
      </c>
      <c r="Q157" s="758"/>
      <c r="R157" s="331">
        <f t="shared" si="50"/>
        <v>0</v>
      </c>
      <c r="S157" s="331">
        <f t="shared" si="51"/>
        <v>0</v>
      </c>
      <c r="T157" s="739" t="s">
        <v>2738</v>
      </c>
      <c r="U157" s="558" t="s">
        <v>2796</v>
      </c>
      <c r="V157" s="559">
        <f>IFERROR(VLOOKUP(W157,constant_ag_extr!$D$7:$E$594,2,FALSE),"")</f>
        <v>0</v>
      </c>
      <c r="W157" s="560" t="str">
        <f t="shared" si="52"/>
        <v/>
      </c>
      <c r="X157" s="2">
        <f>IFERROR(IF(VLOOKUP(B157,cnst_grazing!$C$10:$H$25,5,FALSE)="", IF(VLOOKUP(B157, cnst_grazing!$C$10:$H$25,3,FALSE)="", VLOOKUP(B157, cnst_grazing!$C$10:$H$25,4,FALSE),VLOOKUP(B157, cnst_grazing!$C$10:$H$25,3,FALSE)), VLOOKUP(B157,cnst_grazing!$C$10:$H$25,5,FALSE)),1)</f>
        <v>1</v>
      </c>
      <c r="Y157" s="2">
        <f>IFERROR(IF(VLOOKUP(B157,cnst_grazing!$C$10:$H$25,6,FALSE)="", IF(VLOOKUP(B157, cnst_grazing!$C$10:$H$25,4,FALSE)="", VLOOKUP(B157, cnst_grazing!$C$10:$H$25,3,FALSE),VLOOKUP(B157, cnst_grazing!$C$10:$H$25,4,FALSE)), VLOOKUP(B157,cnst_grazing!$C$10:$H$25,6,FALSE)),1)</f>
        <v>1</v>
      </c>
      <c r="Z157" s="400">
        <f t="shared" si="53"/>
        <v>1</v>
      </c>
      <c r="AA157" s="2" t="e">
        <f t="shared" si="54"/>
        <v>#N/A</v>
      </c>
      <c r="AB157" s="2" t="e">
        <f>VLOOKUP($W157,feed_mix_n,MATCH(AB$5,feed_mix_w!$B$5:$AC$5,0),FALSE)/$Z157*VLOOKUP(AB$5,feed_intensity_w,11,FALSE)</f>
        <v>#N/A</v>
      </c>
      <c r="AC157" s="2" t="e">
        <f>VLOOKUP($W157,feed_mix_n,MATCH(AC$5,feed_mix_w!$B$5:$AC$5,0),FALSE)/$Z157*VLOOKUP(AC$5,feed_intensity_w,11,FALSE)</f>
        <v>#N/A</v>
      </c>
      <c r="AD157" s="2" t="e">
        <f>VLOOKUP($W157,feed_mix_n,MATCH(AD$5,feed_mix_w!$B$5:$AC$5,0),FALSE)/$Z157*VLOOKUP(AD$5,feed_intensity_w,11,FALSE)</f>
        <v>#N/A</v>
      </c>
      <c r="AE157" s="2" t="e">
        <f>VLOOKUP($W157,feed_mix_n,MATCH(AE$5,feed_mix_w!$B$5:$AC$5,0),FALSE)/$Z157*VLOOKUP(AE$5,feed_intensity_w,11,FALSE)</f>
        <v>#N/A</v>
      </c>
      <c r="AF157" s="2" t="e">
        <f>VLOOKUP($W157,feed_mix_n,MATCH(AF$5,feed_mix_w!$B$5:$AC$5,0),FALSE)/$Z157*VLOOKUP(AF$5,feed_intensity_w,11,FALSE)</f>
        <v>#N/A</v>
      </c>
      <c r="AG157" s="2" t="e">
        <f>VLOOKUP($W157,feed_mix_n,MATCH(AG$5,feed_mix_w!$B$5:$AC$5,0),FALSE)/$Z157*VLOOKUP(AG$5,feed_intensity_w,11,FALSE)</f>
        <v>#N/A</v>
      </c>
      <c r="AH157" s="2" t="e">
        <f>VLOOKUP($W157,feed_mix_n,MATCH(AH$5,feed_mix_w!$B$5:$AC$5,0),FALSE)/$Z157*VLOOKUP(AH$5,feed_intensity_w,11,FALSE)</f>
        <v>#N/A</v>
      </c>
      <c r="AI157" s="2" t="e">
        <f>VLOOKUP($W157,feed_mix_n,MATCH(AI$5,feed_mix_w!$B$5:$AC$5,0),FALSE)/$Z157*VLOOKUP(AI$5,feed_intensity_w,11,FALSE)</f>
        <v>#N/A</v>
      </c>
      <c r="AJ157" s="2" t="e">
        <f>VLOOKUP($W157,feed_mix_n,MATCH(AJ$5,feed_mix_w!$B$5:$AC$5,0),FALSE)/$Z157*VLOOKUP(AJ$5,feed_intensity_w,11,FALSE)</f>
        <v>#N/A</v>
      </c>
      <c r="AK157" s="2" t="e">
        <f>VLOOKUP($W157,feed_mix_n,MATCH(AK$5,feed_mix_w!$B$5:$AC$5,0),FALSE)/$Z157*VLOOKUP(AK$5,feed_intensity_w,11,FALSE)</f>
        <v>#N/A</v>
      </c>
      <c r="AL157" s="2" t="e">
        <f>VLOOKUP($W157,feed_mix_n,MATCH(AL$5,feed_mix_w!$B$5:$AC$5,0),FALSE)/$Z157*VLOOKUP(AL$5,feed_intensity_w,11,FALSE)</f>
        <v>#N/A</v>
      </c>
      <c r="AM157" s="2" t="e">
        <f>VLOOKUP($W157,feed_mix_n,MATCH(AM$5,feed_mix_w!$B$5:$AC$5,0),FALSE)/$Z157*VLOOKUP(AM$5,feed_intensity_w,11,FALSE)</f>
        <v>#N/A</v>
      </c>
      <c r="AN157" s="2" t="e">
        <f>VLOOKUP($W157,feed_mix_n,MATCH(AN$5,feed_mix_w!$B$5:$AC$5,0),FALSE)/$Z157*VLOOKUP(AN$5,feed_intensity_w,11,FALSE)</f>
        <v>#N/A</v>
      </c>
      <c r="AO157" s="2" t="e">
        <f>VLOOKUP($W157,feed_mix_n,MATCH(AO$5,feed_mix_w!$B$5:$AC$5,0),FALSE)/$Z157*VLOOKUP(AO$5,feed_intensity_w,11,FALSE)</f>
        <v>#N/A</v>
      </c>
      <c r="AP157" s="2" t="e">
        <f>VLOOKUP($W157,feed_mix_n,MATCH(AP$5,feed_mix_w!$B$5:$AC$5,0),FALSE)/$Z157*VLOOKUP(AP$5,feed_intensity_w,11,FALSE)</f>
        <v>#N/A</v>
      </c>
      <c r="AQ157" s="2" t="e">
        <f>VLOOKUP($W157,feed_mix_n,MATCH(AQ$5,feed_mix_w!$B$5:$AC$5,0),FALSE)/$Z157*VLOOKUP(AQ$5,feed_intensity_w,11,FALSE)</f>
        <v>#N/A</v>
      </c>
      <c r="AR157" s="2" t="e">
        <f>VLOOKUP($W157,feed_mix_n,MATCH(AR$5,feed_mix_w!$B$5:$AC$5,0),FALSE)/$Z157*VLOOKUP(AR$5,feed_intensity_w,11,FALSE)</f>
        <v>#N/A</v>
      </c>
      <c r="AS157" s="389" t="e">
        <f>VLOOKUP($W157,feed_mix_n,MATCH(AS$5,feed_mix_w!$B$5:$AC$5,0),FALSE)/$Z157*VLOOKUP(AS$5,feed_intensity_w,11,FALSE)</f>
        <v>#N/A</v>
      </c>
    </row>
    <row r="158" spans="1:45" ht="12.75" customHeight="1">
      <c r="A158" s="14" t="s">
        <v>7202</v>
      </c>
      <c r="B158" s="482">
        <v>1187</v>
      </c>
      <c r="C158" s="24">
        <v>5003</v>
      </c>
      <c r="D158" s="513">
        <v>2</v>
      </c>
      <c r="E158" s="513">
        <v>1.5</v>
      </c>
      <c r="F158" s="25">
        <f t="shared" si="44"/>
        <v>2</v>
      </c>
      <c r="G158" s="25">
        <f t="shared" si="45"/>
        <v>1.5</v>
      </c>
      <c r="H158" s="2" t="e">
        <f t="shared" si="46"/>
        <v>#N/A</v>
      </c>
      <c r="I158" s="25">
        <f t="shared" si="47"/>
        <v>0</v>
      </c>
      <c r="J158" s="87">
        <f>IFERROR(G158*VLOOKUP(W158,livestock_intensity!$B$7:$I$29,8,FALSE)/Z158,0)</f>
        <v>0</v>
      </c>
      <c r="K158" s="2" t="e">
        <f>VLOOKUP($W158,feed_mix_n,MATCH(K$5,feed_mix_w!$B$5:$AC$5,0),FALSE)/$Z158*VLOOKUP(K$5,feed_intensity_w,11,FALSE)</f>
        <v>#N/A</v>
      </c>
      <c r="L158" s="25">
        <f t="shared" si="48"/>
        <v>0</v>
      </c>
      <c r="M158" s="25">
        <f>IFERROR(G158*VLOOKUP(W158,livestock_intensity!$B$7:$M$29,12,FALSE)/Z158,0)</f>
        <v>0</v>
      </c>
      <c r="N158" s="2" t="e">
        <f>VLOOKUP($W158,feed_mix_n,MATCH(N$5,feed_mix_w!$B$5:$AC$5,0),FALSE)/$Z158*VLOOKUP(N$5,feed_intensity_w,11,FALSE)</f>
        <v>#N/A</v>
      </c>
      <c r="O158" s="25">
        <f t="shared" si="49"/>
        <v>0</v>
      </c>
      <c r="P158" s="343">
        <f>IFERROR(G158*VLOOKUP(W158,livestock_intensity!$B$7:$Q$29,16,FALSE)/Z158,0)</f>
        <v>0</v>
      </c>
      <c r="Q158" s="758"/>
      <c r="R158" s="331">
        <f t="shared" si="50"/>
        <v>0</v>
      </c>
      <c r="S158" s="331">
        <f t="shared" si="51"/>
        <v>0</v>
      </c>
      <c r="T158" s="739" t="s">
        <v>2738</v>
      </c>
      <c r="U158" s="558" t="s">
        <v>2796</v>
      </c>
      <c r="V158" s="559">
        <f>IFERROR(VLOOKUP(W158,constant_ag_extr!$D$7:$E$594,2,FALSE),"")</f>
        <v>0</v>
      </c>
      <c r="W158" s="560" t="str">
        <f t="shared" si="52"/>
        <v/>
      </c>
      <c r="X158" s="2">
        <f>IFERROR(IF(VLOOKUP(B158,cnst_grazing!$C$10:$H$25,5,FALSE)="", IF(VLOOKUP(B158, cnst_grazing!$C$10:$H$25,3,FALSE)="", VLOOKUP(B158, cnst_grazing!$C$10:$H$25,4,FALSE),VLOOKUP(B158, cnst_grazing!$C$10:$H$25,3,FALSE)), VLOOKUP(B158,cnst_grazing!$C$10:$H$25,5,FALSE)),1)</f>
        <v>1</v>
      </c>
      <c r="Y158" s="2">
        <f>IFERROR(IF(VLOOKUP(B158,cnst_grazing!$C$10:$H$25,6,FALSE)="", IF(VLOOKUP(B158, cnst_grazing!$C$10:$H$25,4,FALSE)="", VLOOKUP(B158, cnst_grazing!$C$10:$H$25,3,FALSE),VLOOKUP(B158, cnst_grazing!$C$10:$H$25,4,FALSE)), VLOOKUP(B158,cnst_grazing!$C$10:$H$25,6,FALSE)),1)</f>
        <v>1</v>
      </c>
      <c r="Z158" s="400">
        <f t="shared" si="53"/>
        <v>1</v>
      </c>
      <c r="AA158" s="2" t="e">
        <f t="shared" si="54"/>
        <v>#N/A</v>
      </c>
      <c r="AB158" s="2" t="e">
        <f>VLOOKUP($W158,feed_mix_n,MATCH(AB$5,feed_mix_w!$B$5:$AC$5,0),FALSE)/$Z158*VLOOKUP(AB$5,feed_intensity_w,11,FALSE)</f>
        <v>#N/A</v>
      </c>
      <c r="AC158" s="2" t="e">
        <f>VLOOKUP($W158,feed_mix_n,MATCH(AC$5,feed_mix_w!$B$5:$AC$5,0),FALSE)/$Z158*VLOOKUP(AC$5,feed_intensity_w,11,FALSE)</f>
        <v>#N/A</v>
      </c>
      <c r="AD158" s="2" t="e">
        <f>VLOOKUP($W158,feed_mix_n,MATCH(AD$5,feed_mix_w!$B$5:$AC$5,0),FALSE)/$Z158*VLOOKUP(AD$5,feed_intensity_w,11,FALSE)</f>
        <v>#N/A</v>
      </c>
      <c r="AE158" s="2" t="e">
        <f>VLOOKUP($W158,feed_mix_n,MATCH(AE$5,feed_mix_w!$B$5:$AC$5,0),FALSE)/$Z158*VLOOKUP(AE$5,feed_intensity_w,11,FALSE)</f>
        <v>#N/A</v>
      </c>
      <c r="AF158" s="2" t="e">
        <f>VLOOKUP($W158,feed_mix_n,MATCH(AF$5,feed_mix_w!$B$5:$AC$5,0),FALSE)/$Z158*VLOOKUP(AF$5,feed_intensity_w,11,FALSE)</f>
        <v>#N/A</v>
      </c>
      <c r="AG158" s="2" t="e">
        <f>VLOOKUP($W158,feed_mix_n,MATCH(AG$5,feed_mix_w!$B$5:$AC$5,0),FALSE)/$Z158*VLOOKUP(AG$5,feed_intensity_w,11,FALSE)</f>
        <v>#N/A</v>
      </c>
      <c r="AH158" s="2" t="e">
        <f>VLOOKUP($W158,feed_mix_n,MATCH(AH$5,feed_mix_w!$B$5:$AC$5,0),FALSE)/$Z158*VLOOKUP(AH$5,feed_intensity_w,11,FALSE)</f>
        <v>#N/A</v>
      </c>
      <c r="AI158" s="2" t="e">
        <f>VLOOKUP($W158,feed_mix_n,MATCH(AI$5,feed_mix_w!$B$5:$AC$5,0),FALSE)/$Z158*VLOOKUP(AI$5,feed_intensity_w,11,FALSE)</f>
        <v>#N/A</v>
      </c>
      <c r="AJ158" s="2" t="e">
        <f>VLOOKUP($W158,feed_mix_n,MATCH(AJ$5,feed_mix_w!$B$5:$AC$5,0),FALSE)/$Z158*VLOOKUP(AJ$5,feed_intensity_w,11,FALSE)</f>
        <v>#N/A</v>
      </c>
      <c r="AK158" s="2" t="e">
        <f>VLOOKUP($W158,feed_mix_n,MATCH(AK$5,feed_mix_w!$B$5:$AC$5,0),FALSE)/$Z158*VLOOKUP(AK$5,feed_intensity_w,11,FALSE)</f>
        <v>#N/A</v>
      </c>
      <c r="AL158" s="2" t="e">
        <f>VLOOKUP($W158,feed_mix_n,MATCH(AL$5,feed_mix_w!$B$5:$AC$5,0),FALSE)/$Z158*VLOOKUP(AL$5,feed_intensity_w,11,FALSE)</f>
        <v>#N/A</v>
      </c>
      <c r="AM158" s="2" t="e">
        <f>VLOOKUP($W158,feed_mix_n,MATCH(AM$5,feed_mix_w!$B$5:$AC$5,0),FALSE)/$Z158*VLOOKUP(AM$5,feed_intensity_w,11,FALSE)</f>
        <v>#N/A</v>
      </c>
      <c r="AN158" s="2" t="e">
        <f>VLOOKUP($W158,feed_mix_n,MATCH(AN$5,feed_mix_w!$B$5:$AC$5,0),FALSE)/$Z158*VLOOKUP(AN$5,feed_intensity_w,11,FALSE)</f>
        <v>#N/A</v>
      </c>
      <c r="AO158" s="2" t="e">
        <f>VLOOKUP($W158,feed_mix_n,MATCH(AO$5,feed_mix_w!$B$5:$AC$5,0),FALSE)/$Z158*VLOOKUP(AO$5,feed_intensity_w,11,FALSE)</f>
        <v>#N/A</v>
      </c>
      <c r="AP158" s="2" t="e">
        <f>VLOOKUP($W158,feed_mix_n,MATCH(AP$5,feed_mix_w!$B$5:$AC$5,0),FALSE)/$Z158*VLOOKUP(AP$5,feed_intensity_w,11,FALSE)</f>
        <v>#N/A</v>
      </c>
      <c r="AQ158" s="2" t="e">
        <f>VLOOKUP($W158,feed_mix_n,MATCH(AQ$5,feed_mix_w!$B$5:$AC$5,0),FALSE)/$Z158*VLOOKUP(AQ$5,feed_intensity_w,11,FALSE)</f>
        <v>#N/A</v>
      </c>
      <c r="AR158" s="2" t="e">
        <f>VLOOKUP($W158,feed_mix_n,MATCH(AR$5,feed_mix_w!$B$5:$AC$5,0),FALSE)/$Z158*VLOOKUP(AR$5,feed_intensity_w,11,FALSE)</f>
        <v>#N/A</v>
      </c>
      <c r="AS158" s="389" t="e">
        <f>VLOOKUP($W158,feed_mix_n,MATCH(AS$5,feed_mix_w!$B$5:$AC$5,0),FALSE)/$Z158*VLOOKUP(AS$5,feed_intensity_w,11,FALSE)</f>
        <v>#N/A</v>
      </c>
    </row>
    <row r="159" spans="1:45" ht="12.75" customHeight="1">
      <c r="A159" s="14" t="s">
        <v>2730</v>
      </c>
      <c r="B159" s="482">
        <v>1195</v>
      </c>
      <c r="C159" s="24" t="s">
        <v>2731</v>
      </c>
      <c r="D159" s="513"/>
      <c r="E159" s="513"/>
      <c r="F159" s="25">
        <f t="shared" si="44"/>
        <v>0</v>
      </c>
      <c r="G159" s="25">
        <f t="shared" si="45"/>
        <v>0</v>
      </c>
      <c r="H159" s="2" t="e">
        <f t="shared" si="46"/>
        <v>#N/A</v>
      </c>
      <c r="I159" s="25">
        <f t="shared" si="47"/>
        <v>0</v>
      </c>
      <c r="J159" s="87">
        <f>IFERROR(G159*VLOOKUP(W159,livestock_intensity!$B$7:$I$29,8,FALSE)/Z159,0)</f>
        <v>0</v>
      </c>
      <c r="K159" s="2" t="e">
        <f>VLOOKUP($W159,feed_mix_n,MATCH(K$5,feed_mix_w!$B$5:$AC$5,0),FALSE)/$Z159*VLOOKUP(K$5,feed_intensity_w,11,FALSE)</f>
        <v>#N/A</v>
      </c>
      <c r="L159" s="25">
        <f t="shared" si="48"/>
        <v>0</v>
      </c>
      <c r="M159" s="25">
        <f>IFERROR(G159*VLOOKUP(W159,livestock_intensity!$B$7:$M$29,12,FALSE)/Z159,0)</f>
        <v>0</v>
      </c>
      <c r="N159" s="2" t="e">
        <f>VLOOKUP($W159,feed_mix_n,MATCH(N$5,feed_mix_w!$B$5:$AC$5,0),FALSE)/$Z159*VLOOKUP(N$5,feed_intensity_w,11,FALSE)</f>
        <v>#N/A</v>
      </c>
      <c r="O159" s="25">
        <f t="shared" si="49"/>
        <v>0</v>
      </c>
      <c r="P159" s="343">
        <f>IFERROR(G159*VLOOKUP(W159,livestock_intensity!$B$7:$Q$29,16,FALSE)/Z159,0)</f>
        <v>0</v>
      </c>
      <c r="Q159" s="758"/>
      <c r="R159" s="331">
        <f t="shared" si="50"/>
        <v>0</v>
      </c>
      <c r="S159" s="331">
        <f t="shared" si="51"/>
        <v>0</v>
      </c>
      <c r="T159" s="739" t="s">
        <v>2738</v>
      </c>
      <c r="U159" s="558" t="s">
        <v>2796</v>
      </c>
      <c r="V159" s="559">
        <f>IFERROR(VLOOKUP(W159,constant_ag_extr!$D$7:$E$594,2,FALSE),"")</f>
        <v>0</v>
      </c>
      <c r="W159" s="560" t="str">
        <f t="shared" si="52"/>
        <v/>
      </c>
      <c r="X159" s="2">
        <f>IFERROR(IF(VLOOKUP(B159,cnst_grazing!$C$10:$H$25,5,FALSE)="", IF(VLOOKUP(B159, cnst_grazing!$C$10:$H$25,3,FALSE)="", VLOOKUP(B159, cnst_grazing!$C$10:$H$25,4,FALSE),VLOOKUP(B159, cnst_grazing!$C$10:$H$25,3,FALSE)), VLOOKUP(B159,cnst_grazing!$C$10:$H$25,5,FALSE)),1)</f>
        <v>1</v>
      </c>
      <c r="Y159" s="2">
        <f>IFERROR(IF(VLOOKUP(B159,cnst_grazing!$C$10:$H$25,6,FALSE)="", IF(VLOOKUP(B159, cnst_grazing!$C$10:$H$25,4,FALSE)="", VLOOKUP(B159, cnst_grazing!$C$10:$H$25,3,FALSE),VLOOKUP(B159, cnst_grazing!$C$10:$H$25,4,FALSE)), VLOOKUP(B159,cnst_grazing!$C$10:$H$25,6,FALSE)),1)</f>
        <v>1</v>
      </c>
      <c r="Z159" s="400">
        <f t="shared" si="53"/>
        <v>1</v>
      </c>
      <c r="AA159" s="2" t="e">
        <f t="shared" si="54"/>
        <v>#N/A</v>
      </c>
      <c r="AB159" s="2" t="e">
        <f>VLOOKUP($W159,feed_mix_n,MATCH(AB$5,feed_mix_w!$B$5:$AC$5,0),FALSE)/$Z159*VLOOKUP(AB$5,feed_intensity_w,11,FALSE)</f>
        <v>#N/A</v>
      </c>
      <c r="AC159" s="2" t="e">
        <f>VLOOKUP($W159,feed_mix_n,MATCH(AC$5,feed_mix_w!$B$5:$AC$5,0),FALSE)/$Z159*VLOOKUP(AC$5,feed_intensity_w,11,FALSE)</f>
        <v>#N/A</v>
      </c>
      <c r="AD159" s="2" t="e">
        <f>VLOOKUP($W159,feed_mix_n,MATCH(AD$5,feed_mix_w!$B$5:$AC$5,0),FALSE)/$Z159*VLOOKUP(AD$5,feed_intensity_w,11,FALSE)</f>
        <v>#N/A</v>
      </c>
      <c r="AE159" s="2" t="e">
        <f>VLOOKUP($W159,feed_mix_n,MATCH(AE$5,feed_mix_w!$B$5:$AC$5,0),FALSE)/$Z159*VLOOKUP(AE$5,feed_intensity_w,11,FALSE)</f>
        <v>#N/A</v>
      </c>
      <c r="AF159" s="2" t="e">
        <f>VLOOKUP($W159,feed_mix_n,MATCH(AF$5,feed_mix_w!$B$5:$AC$5,0),FALSE)/$Z159*VLOOKUP(AF$5,feed_intensity_w,11,FALSE)</f>
        <v>#N/A</v>
      </c>
      <c r="AG159" s="2" t="e">
        <f>VLOOKUP($W159,feed_mix_n,MATCH(AG$5,feed_mix_w!$B$5:$AC$5,0),FALSE)/$Z159*VLOOKUP(AG$5,feed_intensity_w,11,FALSE)</f>
        <v>#N/A</v>
      </c>
      <c r="AH159" s="2" t="e">
        <f>VLOOKUP($W159,feed_mix_n,MATCH(AH$5,feed_mix_w!$B$5:$AC$5,0),FALSE)/$Z159*VLOOKUP(AH$5,feed_intensity_w,11,FALSE)</f>
        <v>#N/A</v>
      </c>
      <c r="AI159" s="2" t="e">
        <f>VLOOKUP($W159,feed_mix_n,MATCH(AI$5,feed_mix_w!$B$5:$AC$5,0),FALSE)/$Z159*VLOOKUP(AI$5,feed_intensity_w,11,FALSE)</f>
        <v>#N/A</v>
      </c>
      <c r="AJ159" s="2" t="e">
        <f>VLOOKUP($W159,feed_mix_n,MATCH(AJ$5,feed_mix_w!$B$5:$AC$5,0),FALSE)/$Z159*VLOOKUP(AJ$5,feed_intensity_w,11,FALSE)</f>
        <v>#N/A</v>
      </c>
      <c r="AK159" s="2" t="e">
        <f>VLOOKUP($W159,feed_mix_n,MATCH(AK$5,feed_mix_w!$B$5:$AC$5,0),FALSE)/$Z159*VLOOKUP(AK$5,feed_intensity_w,11,FALSE)</f>
        <v>#N/A</v>
      </c>
      <c r="AL159" s="2" t="e">
        <f>VLOOKUP($W159,feed_mix_n,MATCH(AL$5,feed_mix_w!$B$5:$AC$5,0),FALSE)/$Z159*VLOOKUP(AL$5,feed_intensity_w,11,FALSE)</f>
        <v>#N/A</v>
      </c>
      <c r="AM159" s="2" t="e">
        <f>VLOOKUP($W159,feed_mix_n,MATCH(AM$5,feed_mix_w!$B$5:$AC$5,0),FALSE)/$Z159*VLOOKUP(AM$5,feed_intensity_w,11,FALSE)</f>
        <v>#N/A</v>
      </c>
      <c r="AN159" s="2" t="e">
        <f>VLOOKUP($W159,feed_mix_n,MATCH(AN$5,feed_mix_w!$B$5:$AC$5,0),FALSE)/$Z159*VLOOKUP(AN$5,feed_intensity_w,11,FALSE)</f>
        <v>#N/A</v>
      </c>
      <c r="AO159" s="2" t="e">
        <f>VLOOKUP($W159,feed_mix_n,MATCH(AO$5,feed_mix_w!$B$5:$AC$5,0),FALSE)/$Z159*VLOOKUP(AO$5,feed_intensity_w,11,FALSE)</f>
        <v>#N/A</v>
      </c>
      <c r="AP159" s="2" t="e">
        <f>VLOOKUP($W159,feed_mix_n,MATCH(AP$5,feed_mix_w!$B$5:$AC$5,0),FALSE)/$Z159*VLOOKUP(AP$5,feed_intensity_w,11,FALSE)</f>
        <v>#N/A</v>
      </c>
      <c r="AQ159" s="2" t="e">
        <f>VLOOKUP($W159,feed_mix_n,MATCH(AQ$5,feed_mix_w!$B$5:$AC$5,0),FALSE)/$Z159*VLOOKUP(AQ$5,feed_intensity_w,11,FALSE)</f>
        <v>#N/A</v>
      </c>
      <c r="AR159" s="2" t="e">
        <f>VLOOKUP($W159,feed_mix_n,MATCH(AR$5,feed_mix_w!$B$5:$AC$5,0),FALSE)/$Z159*VLOOKUP(AR$5,feed_intensity_w,11,FALSE)</f>
        <v>#N/A</v>
      </c>
      <c r="AS159" s="389" t="e">
        <f>VLOOKUP($W159,feed_mix_n,MATCH(AS$5,feed_mix_w!$B$5:$AC$5,0),FALSE)/$Z159*VLOOKUP(AS$5,feed_intensity_w,11,FALSE)</f>
        <v>#N/A</v>
      </c>
    </row>
    <row r="160" spans="1:45" ht="12.75" customHeight="1">
      <c r="A160" s="14" t="s">
        <v>7203</v>
      </c>
      <c r="B160" s="482">
        <v>1213</v>
      </c>
      <c r="C160" s="24"/>
      <c r="D160" s="513"/>
      <c r="E160" s="513"/>
      <c r="F160" s="25">
        <f t="shared" si="44"/>
        <v>0</v>
      </c>
      <c r="G160" s="25">
        <f t="shared" si="45"/>
        <v>0</v>
      </c>
      <c r="H160" s="2" t="e">
        <f t="shared" si="46"/>
        <v>#N/A</v>
      </c>
      <c r="I160" s="25">
        <f t="shared" si="47"/>
        <v>0</v>
      </c>
      <c r="J160" s="87">
        <f>IFERROR(G160*VLOOKUP(W160,livestock_intensity!$B$7:$I$29,8,FALSE)/Z160,0)</f>
        <v>0</v>
      </c>
      <c r="K160" s="2" t="e">
        <f>VLOOKUP($W160,feed_mix_n,MATCH(K$5,feed_mix_w!$B$5:$AC$5,0),FALSE)/$Z160*VLOOKUP(K$5,feed_intensity_w,11,FALSE)</f>
        <v>#N/A</v>
      </c>
      <c r="L160" s="25">
        <f t="shared" si="48"/>
        <v>0</v>
      </c>
      <c r="M160" s="25">
        <f>IFERROR(G160*VLOOKUP(W160,livestock_intensity!$B$7:$M$29,12,FALSE)/Z160,0)</f>
        <v>0</v>
      </c>
      <c r="N160" s="2" t="e">
        <f>VLOOKUP($W160,feed_mix_n,MATCH(N$5,feed_mix_w!$B$5:$AC$5,0),FALSE)/$Z160*VLOOKUP(N$5,feed_intensity_w,11,FALSE)</f>
        <v>#N/A</v>
      </c>
      <c r="O160" s="25">
        <f t="shared" si="49"/>
        <v>0</v>
      </c>
      <c r="P160" s="343">
        <f>IFERROR(G160*VLOOKUP(W160,livestock_intensity!$B$7:$Q$29,16,FALSE)/Z160,0)</f>
        <v>0</v>
      </c>
      <c r="Q160" s="758"/>
      <c r="R160" s="331">
        <f t="shared" si="50"/>
        <v>0</v>
      </c>
      <c r="S160" s="331">
        <f t="shared" si="51"/>
        <v>0</v>
      </c>
      <c r="T160" s="739" t="s">
        <v>2738</v>
      </c>
      <c r="U160" s="558"/>
      <c r="V160" s="559">
        <f>IFERROR(VLOOKUP(W160,constant_ag_extr!$D$7:$E$594,2,FALSE),"")</f>
        <v>0</v>
      </c>
      <c r="W160" s="560" t="str">
        <f t="shared" si="52"/>
        <v/>
      </c>
      <c r="X160" s="2">
        <f>IFERROR(IF(VLOOKUP(B160,cnst_grazing!$C$10:$H$25,5,FALSE)="", IF(VLOOKUP(B160, cnst_grazing!$C$10:$H$25,3,FALSE)="", VLOOKUP(B160, cnst_grazing!$C$10:$H$25,4,FALSE),VLOOKUP(B160, cnst_grazing!$C$10:$H$25,3,FALSE)), VLOOKUP(B160,cnst_grazing!$C$10:$H$25,5,FALSE)),1)</f>
        <v>1</v>
      </c>
      <c r="Y160" s="2">
        <f>IFERROR(IF(VLOOKUP(B160,cnst_grazing!$C$10:$H$25,6,FALSE)="", IF(VLOOKUP(B160, cnst_grazing!$C$10:$H$25,4,FALSE)="", VLOOKUP(B160, cnst_grazing!$C$10:$H$25,3,FALSE),VLOOKUP(B160, cnst_grazing!$C$10:$H$25,4,FALSE)), VLOOKUP(B160,cnst_grazing!$C$10:$H$25,6,FALSE)),1)</f>
        <v>1</v>
      </c>
      <c r="Z160" s="400" t="str">
        <f t="shared" si="53"/>
        <v>-</v>
      </c>
      <c r="AA160" s="2" t="e">
        <f t="shared" si="54"/>
        <v>#N/A</v>
      </c>
      <c r="AB160" s="2" t="e">
        <f>VLOOKUP($W160,feed_mix_n,MATCH(AB$5,feed_mix_w!$B$5:$AC$5,0),FALSE)/$Z160*VLOOKUP(AB$5,feed_intensity_w,11,FALSE)</f>
        <v>#N/A</v>
      </c>
      <c r="AC160" s="2" t="e">
        <f>VLOOKUP($W160,feed_mix_n,MATCH(AC$5,feed_mix_w!$B$5:$AC$5,0),FALSE)/$Z160*VLOOKUP(AC$5,feed_intensity_w,11,FALSE)</f>
        <v>#N/A</v>
      </c>
      <c r="AD160" s="2" t="e">
        <f>VLOOKUP($W160,feed_mix_n,MATCH(AD$5,feed_mix_w!$B$5:$AC$5,0),FALSE)/$Z160*VLOOKUP(AD$5,feed_intensity_w,11,FALSE)</f>
        <v>#N/A</v>
      </c>
      <c r="AE160" s="2" t="e">
        <f>VLOOKUP($W160,feed_mix_n,MATCH(AE$5,feed_mix_w!$B$5:$AC$5,0),FALSE)/$Z160*VLOOKUP(AE$5,feed_intensity_w,11,FALSE)</f>
        <v>#N/A</v>
      </c>
      <c r="AF160" s="2" t="e">
        <f>VLOOKUP($W160,feed_mix_n,MATCH(AF$5,feed_mix_w!$B$5:$AC$5,0),FALSE)/$Z160*VLOOKUP(AF$5,feed_intensity_w,11,FALSE)</f>
        <v>#N/A</v>
      </c>
      <c r="AG160" s="2" t="e">
        <f>VLOOKUP($W160,feed_mix_n,MATCH(AG$5,feed_mix_w!$B$5:$AC$5,0),FALSE)/$Z160*VLOOKUP(AG$5,feed_intensity_w,11,FALSE)</f>
        <v>#N/A</v>
      </c>
      <c r="AH160" s="2" t="e">
        <f>VLOOKUP($W160,feed_mix_n,MATCH(AH$5,feed_mix_w!$B$5:$AC$5,0),FALSE)/$Z160*VLOOKUP(AH$5,feed_intensity_w,11,FALSE)</f>
        <v>#N/A</v>
      </c>
      <c r="AI160" s="2" t="e">
        <f>VLOOKUP($W160,feed_mix_n,MATCH(AI$5,feed_mix_w!$B$5:$AC$5,0),FALSE)/$Z160*VLOOKUP(AI$5,feed_intensity_w,11,FALSE)</f>
        <v>#N/A</v>
      </c>
      <c r="AJ160" s="2" t="e">
        <f>VLOOKUP($W160,feed_mix_n,MATCH(AJ$5,feed_mix_w!$B$5:$AC$5,0),FALSE)/$Z160*VLOOKUP(AJ$5,feed_intensity_w,11,FALSE)</f>
        <v>#N/A</v>
      </c>
      <c r="AK160" s="2" t="e">
        <f>VLOOKUP($W160,feed_mix_n,MATCH(AK$5,feed_mix_w!$B$5:$AC$5,0),FALSE)/$Z160*VLOOKUP(AK$5,feed_intensity_w,11,FALSE)</f>
        <v>#N/A</v>
      </c>
      <c r="AL160" s="2" t="e">
        <f>VLOOKUP($W160,feed_mix_n,MATCH(AL$5,feed_mix_w!$B$5:$AC$5,0),FALSE)/$Z160*VLOOKUP(AL$5,feed_intensity_w,11,FALSE)</f>
        <v>#N/A</v>
      </c>
      <c r="AM160" s="2" t="e">
        <f>VLOOKUP($W160,feed_mix_n,MATCH(AM$5,feed_mix_w!$B$5:$AC$5,0),FALSE)/$Z160*VLOOKUP(AM$5,feed_intensity_w,11,FALSE)</f>
        <v>#N/A</v>
      </c>
      <c r="AN160" s="2" t="e">
        <f>VLOOKUP($W160,feed_mix_n,MATCH(AN$5,feed_mix_w!$B$5:$AC$5,0),FALSE)/$Z160*VLOOKUP(AN$5,feed_intensity_w,11,FALSE)</f>
        <v>#N/A</v>
      </c>
      <c r="AO160" s="2" t="e">
        <f>VLOOKUP($W160,feed_mix_n,MATCH(AO$5,feed_mix_w!$B$5:$AC$5,0),FALSE)/$Z160*VLOOKUP(AO$5,feed_intensity_w,11,FALSE)</f>
        <v>#N/A</v>
      </c>
      <c r="AP160" s="2" t="e">
        <f>VLOOKUP($W160,feed_mix_n,MATCH(AP$5,feed_mix_w!$B$5:$AC$5,0),FALSE)/$Z160*VLOOKUP(AP$5,feed_intensity_w,11,FALSE)</f>
        <v>#N/A</v>
      </c>
      <c r="AQ160" s="2" t="e">
        <f>VLOOKUP($W160,feed_mix_n,MATCH(AQ$5,feed_mix_w!$B$5:$AC$5,0),FALSE)/$Z160*VLOOKUP(AQ$5,feed_intensity_w,11,FALSE)</f>
        <v>#N/A</v>
      </c>
      <c r="AR160" s="2" t="e">
        <f>VLOOKUP($W160,feed_mix_n,MATCH(AR$5,feed_mix_w!$B$5:$AC$5,0),FALSE)/$Z160*VLOOKUP(AR$5,feed_intensity_w,11,FALSE)</f>
        <v>#N/A</v>
      </c>
      <c r="AS160" s="389" t="e">
        <f>VLOOKUP($W160,feed_mix_n,MATCH(AS$5,feed_mix_w!$B$5:$AC$5,0),FALSE)/$Z160*VLOOKUP(AS$5,feed_intensity_w,11,FALSE)</f>
        <v>#N/A</v>
      </c>
    </row>
    <row r="161" spans="1:45" ht="12.75" customHeight="1">
      <c r="A161" s="14" t="s">
        <v>296</v>
      </c>
      <c r="B161" s="482">
        <v>1214</v>
      </c>
      <c r="C161" s="24" t="s">
        <v>1555</v>
      </c>
      <c r="D161" s="513"/>
      <c r="E161" s="513"/>
      <c r="F161" s="25">
        <f t="shared" si="44"/>
        <v>0</v>
      </c>
      <c r="G161" s="25">
        <f t="shared" si="45"/>
        <v>0</v>
      </c>
      <c r="H161" s="2" t="e">
        <f t="shared" si="46"/>
        <v>#N/A</v>
      </c>
      <c r="I161" s="25">
        <f t="shared" si="47"/>
        <v>0</v>
      </c>
      <c r="J161" s="87">
        <f>IFERROR(G161*VLOOKUP(W161,livestock_intensity!$B$7:$I$29,8,FALSE)/Z161,0)</f>
        <v>0</v>
      </c>
      <c r="K161" s="2" t="e">
        <f>VLOOKUP($W161,feed_mix_n,MATCH(K$5,feed_mix_w!$B$5:$AC$5,0),FALSE)/$Z161*VLOOKUP(K$5,feed_intensity_w,11,FALSE)</f>
        <v>#N/A</v>
      </c>
      <c r="L161" s="25">
        <f t="shared" si="48"/>
        <v>0</v>
      </c>
      <c r="M161" s="25">
        <f>IFERROR(G161*VLOOKUP(W161,livestock_intensity!$B$7:$M$29,12,FALSE)/Z161,0)</f>
        <v>0</v>
      </c>
      <c r="N161" s="2" t="e">
        <f>VLOOKUP($W161,feed_mix_n,MATCH(N$5,feed_mix_w!$B$5:$AC$5,0),FALSE)/$Z161*VLOOKUP(N$5,feed_intensity_w,11,FALSE)</f>
        <v>#N/A</v>
      </c>
      <c r="O161" s="25">
        <f t="shared" si="49"/>
        <v>0</v>
      </c>
      <c r="P161" s="343">
        <f>IFERROR(G161*VLOOKUP(W161,livestock_intensity!$B$7:$Q$29,16,FALSE)/Z161,0)</f>
        <v>0</v>
      </c>
      <c r="Q161" s="758"/>
      <c r="R161" s="331">
        <f t="shared" si="50"/>
        <v>0</v>
      </c>
      <c r="S161" s="331">
        <f t="shared" si="51"/>
        <v>0</v>
      </c>
      <c r="T161" s="739" t="s">
        <v>2738</v>
      </c>
      <c r="U161" s="558" t="s">
        <v>2796</v>
      </c>
      <c r="V161" s="559">
        <f>IFERROR(VLOOKUP(W161,constant_ag_extr!$D$7:$E$594,2,FALSE),"")</f>
        <v>0</v>
      </c>
      <c r="W161" s="560" t="str">
        <f t="shared" si="52"/>
        <v/>
      </c>
      <c r="X161" s="2">
        <f>IFERROR(IF(VLOOKUP(B161,cnst_grazing!$C$10:$H$25,5,FALSE)="", IF(VLOOKUP(B161, cnst_grazing!$C$10:$H$25,3,FALSE)="", VLOOKUP(B161, cnst_grazing!$C$10:$H$25,4,FALSE),VLOOKUP(B161, cnst_grazing!$C$10:$H$25,3,FALSE)), VLOOKUP(B161,cnst_grazing!$C$10:$H$25,5,FALSE)),1)</f>
        <v>1</v>
      </c>
      <c r="Y161" s="2">
        <f>IFERROR(IF(VLOOKUP(B161,cnst_grazing!$C$10:$H$25,6,FALSE)="", IF(VLOOKUP(B161, cnst_grazing!$C$10:$H$25,4,FALSE)="", VLOOKUP(B161, cnst_grazing!$C$10:$H$25,3,FALSE),VLOOKUP(B161, cnst_grazing!$C$10:$H$25,4,FALSE)), VLOOKUP(B161,cnst_grazing!$C$10:$H$25,6,FALSE)),1)</f>
        <v>1</v>
      </c>
      <c r="Z161" s="400">
        <f t="shared" si="53"/>
        <v>1</v>
      </c>
      <c r="AA161" s="2" t="e">
        <f t="shared" si="54"/>
        <v>#N/A</v>
      </c>
      <c r="AB161" s="2" t="e">
        <f>VLOOKUP($W161,feed_mix_n,MATCH(AB$5,feed_mix_w!$B$5:$AC$5,0),FALSE)/$Z161*VLOOKUP(AB$5,feed_intensity_w,11,FALSE)</f>
        <v>#N/A</v>
      </c>
      <c r="AC161" s="2" t="e">
        <f>VLOOKUP($W161,feed_mix_n,MATCH(AC$5,feed_mix_w!$B$5:$AC$5,0),FALSE)/$Z161*VLOOKUP(AC$5,feed_intensity_w,11,FALSE)</f>
        <v>#N/A</v>
      </c>
      <c r="AD161" s="2" t="e">
        <f>VLOOKUP($W161,feed_mix_n,MATCH(AD$5,feed_mix_w!$B$5:$AC$5,0),FALSE)/$Z161*VLOOKUP(AD$5,feed_intensity_w,11,FALSE)</f>
        <v>#N/A</v>
      </c>
      <c r="AE161" s="2" t="e">
        <f>VLOOKUP($W161,feed_mix_n,MATCH(AE$5,feed_mix_w!$B$5:$AC$5,0),FALSE)/$Z161*VLOOKUP(AE$5,feed_intensity_w,11,FALSE)</f>
        <v>#N/A</v>
      </c>
      <c r="AF161" s="2" t="e">
        <f>VLOOKUP($W161,feed_mix_n,MATCH(AF$5,feed_mix_w!$B$5:$AC$5,0),FALSE)/$Z161*VLOOKUP(AF$5,feed_intensity_w,11,FALSE)</f>
        <v>#N/A</v>
      </c>
      <c r="AG161" s="2" t="e">
        <f>VLOOKUP($W161,feed_mix_n,MATCH(AG$5,feed_mix_w!$B$5:$AC$5,0),FALSE)/$Z161*VLOOKUP(AG$5,feed_intensity_w,11,FALSE)</f>
        <v>#N/A</v>
      </c>
      <c r="AH161" s="2" t="e">
        <f>VLOOKUP($W161,feed_mix_n,MATCH(AH$5,feed_mix_w!$B$5:$AC$5,0),FALSE)/$Z161*VLOOKUP(AH$5,feed_intensity_w,11,FALSE)</f>
        <v>#N/A</v>
      </c>
      <c r="AI161" s="2" t="e">
        <f>VLOOKUP($W161,feed_mix_n,MATCH(AI$5,feed_mix_w!$B$5:$AC$5,0),FALSE)/$Z161*VLOOKUP(AI$5,feed_intensity_w,11,FALSE)</f>
        <v>#N/A</v>
      </c>
      <c r="AJ161" s="2" t="e">
        <f>VLOOKUP($W161,feed_mix_n,MATCH(AJ$5,feed_mix_w!$B$5:$AC$5,0),FALSE)/$Z161*VLOOKUP(AJ$5,feed_intensity_w,11,FALSE)</f>
        <v>#N/A</v>
      </c>
      <c r="AK161" s="2" t="e">
        <f>VLOOKUP($W161,feed_mix_n,MATCH(AK$5,feed_mix_w!$B$5:$AC$5,0),FALSE)/$Z161*VLOOKUP(AK$5,feed_intensity_w,11,FALSE)</f>
        <v>#N/A</v>
      </c>
      <c r="AL161" s="2" t="e">
        <f>VLOOKUP($W161,feed_mix_n,MATCH(AL$5,feed_mix_w!$B$5:$AC$5,0),FALSE)/$Z161*VLOOKUP(AL$5,feed_intensity_w,11,FALSE)</f>
        <v>#N/A</v>
      </c>
      <c r="AM161" s="2" t="e">
        <f>VLOOKUP($W161,feed_mix_n,MATCH(AM$5,feed_mix_w!$B$5:$AC$5,0),FALSE)/$Z161*VLOOKUP(AM$5,feed_intensity_w,11,FALSE)</f>
        <v>#N/A</v>
      </c>
      <c r="AN161" s="2" t="e">
        <f>VLOOKUP($W161,feed_mix_n,MATCH(AN$5,feed_mix_w!$B$5:$AC$5,0),FALSE)/$Z161*VLOOKUP(AN$5,feed_intensity_w,11,FALSE)</f>
        <v>#N/A</v>
      </c>
      <c r="AO161" s="2" t="e">
        <f>VLOOKUP($W161,feed_mix_n,MATCH(AO$5,feed_mix_w!$B$5:$AC$5,0),FALSE)/$Z161*VLOOKUP(AO$5,feed_intensity_w,11,FALSE)</f>
        <v>#N/A</v>
      </c>
      <c r="AP161" s="2" t="e">
        <f>VLOOKUP($W161,feed_mix_n,MATCH(AP$5,feed_mix_w!$B$5:$AC$5,0),FALSE)/$Z161*VLOOKUP(AP$5,feed_intensity_w,11,FALSE)</f>
        <v>#N/A</v>
      </c>
      <c r="AQ161" s="2" t="e">
        <f>VLOOKUP($W161,feed_mix_n,MATCH(AQ$5,feed_mix_w!$B$5:$AC$5,0),FALSE)/$Z161*VLOOKUP(AQ$5,feed_intensity_w,11,FALSE)</f>
        <v>#N/A</v>
      </c>
      <c r="AR161" s="2" t="e">
        <f>VLOOKUP($W161,feed_mix_n,MATCH(AR$5,feed_mix_w!$B$5:$AC$5,0),FALSE)/$Z161*VLOOKUP(AR$5,feed_intensity_w,11,FALSE)</f>
        <v>#N/A</v>
      </c>
      <c r="AS161" s="389" t="e">
        <f>VLOOKUP($W161,feed_mix_n,MATCH(AS$5,feed_mix_w!$B$5:$AC$5,0),FALSE)/$Z161*VLOOKUP(AS$5,feed_intensity_w,11,FALSE)</f>
        <v>#N/A</v>
      </c>
    </row>
    <row r="162" spans="1:45" ht="12.75" customHeight="1">
      <c r="A162" s="14" t="s">
        <v>69</v>
      </c>
      <c r="B162" s="482">
        <v>1215</v>
      </c>
      <c r="C162" s="24" t="s">
        <v>5338</v>
      </c>
      <c r="D162" s="513"/>
      <c r="E162" s="513"/>
      <c r="F162" s="25">
        <f t="shared" si="44"/>
        <v>0</v>
      </c>
      <c r="G162" s="25">
        <f t="shared" si="45"/>
        <v>0</v>
      </c>
      <c r="H162" s="2" t="e">
        <f t="shared" si="46"/>
        <v>#N/A</v>
      </c>
      <c r="I162" s="25">
        <f t="shared" si="47"/>
        <v>0</v>
      </c>
      <c r="J162" s="87">
        <f>IFERROR(G162*VLOOKUP(W162,livestock_intensity!$B$7:$I$29,8,FALSE)/Z162,0)</f>
        <v>0</v>
      </c>
      <c r="K162" s="2" t="e">
        <f>VLOOKUP($W162,feed_mix_n,MATCH(K$5,feed_mix_w!$B$5:$AC$5,0),FALSE)/$Z162*VLOOKUP(K$5,feed_intensity_w,11,FALSE)</f>
        <v>#N/A</v>
      </c>
      <c r="L162" s="25">
        <f t="shared" si="48"/>
        <v>0</v>
      </c>
      <c r="M162" s="25">
        <f>IFERROR(G162*VLOOKUP(W162,livestock_intensity!$B$7:$M$29,12,FALSE)/Z162,0)</f>
        <v>0</v>
      </c>
      <c r="N162" s="2" t="e">
        <f>VLOOKUP($W162,feed_mix_n,MATCH(N$5,feed_mix_w!$B$5:$AC$5,0),FALSE)/$Z162*VLOOKUP(N$5,feed_intensity_w,11,FALSE)</f>
        <v>#N/A</v>
      </c>
      <c r="O162" s="25">
        <f t="shared" si="49"/>
        <v>0</v>
      </c>
      <c r="P162" s="343">
        <f>IFERROR(G162*VLOOKUP(W162,livestock_intensity!$B$7:$Q$29,16,FALSE)/Z162,0)</f>
        <v>0</v>
      </c>
      <c r="Q162" s="758"/>
      <c r="R162" s="331">
        <f t="shared" si="50"/>
        <v>0</v>
      </c>
      <c r="S162" s="331">
        <f t="shared" si="51"/>
        <v>0</v>
      </c>
      <c r="T162" s="739" t="s">
        <v>2738</v>
      </c>
      <c r="U162" s="558" t="s">
        <v>2796</v>
      </c>
      <c r="V162" s="559">
        <f>IFERROR(VLOOKUP(W162,constant_ag_extr!$D$7:$E$594,2,FALSE),"")</f>
        <v>0</v>
      </c>
      <c r="W162" s="560" t="str">
        <f t="shared" si="52"/>
        <v/>
      </c>
      <c r="X162" s="2">
        <f>IFERROR(IF(VLOOKUP(B162,cnst_grazing!$C$10:$H$25,5,FALSE)="", IF(VLOOKUP(B162, cnst_grazing!$C$10:$H$25,3,FALSE)="", VLOOKUP(B162, cnst_grazing!$C$10:$H$25,4,FALSE),VLOOKUP(B162, cnst_grazing!$C$10:$H$25,3,FALSE)), VLOOKUP(B162,cnst_grazing!$C$10:$H$25,5,FALSE)),1)</f>
        <v>1</v>
      </c>
      <c r="Y162" s="2">
        <f>IFERROR(IF(VLOOKUP(B162,cnst_grazing!$C$10:$H$25,6,FALSE)="", IF(VLOOKUP(B162, cnst_grazing!$C$10:$H$25,4,FALSE)="", VLOOKUP(B162, cnst_grazing!$C$10:$H$25,3,FALSE),VLOOKUP(B162, cnst_grazing!$C$10:$H$25,4,FALSE)), VLOOKUP(B162,cnst_grazing!$C$10:$H$25,6,FALSE)),1)</f>
        <v>1</v>
      </c>
      <c r="Z162" s="400">
        <f t="shared" si="53"/>
        <v>1</v>
      </c>
      <c r="AA162" s="2" t="e">
        <f t="shared" si="54"/>
        <v>#N/A</v>
      </c>
      <c r="AB162" s="2" t="e">
        <f>VLOOKUP($W162,feed_mix_n,MATCH(AB$5,feed_mix_w!$B$5:$AC$5,0),FALSE)/$Z162*VLOOKUP(AB$5,feed_intensity_w,11,FALSE)</f>
        <v>#N/A</v>
      </c>
      <c r="AC162" s="2" t="e">
        <f>VLOOKUP($W162,feed_mix_n,MATCH(AC$5,feed_mix_w!$B$5:$AC$5,0),FALSE)/$Z162*VLOOKUP(AC$5,feed_intensity_w,11,FALSE)</f>
        <v>#N/A</v>
      </c>
      <c r="AD162" s="2" t="e">
        <f>VLOOKUP($W162,feed_mix_n,MATCH(AD$5,feed_mix_w!$B$5:$AC$5,0),FALSE)/$Z162*VLOOKUP(AD$5,feed_intensity_w,11,FALSE)</f>
        <v>#N/A</v>
      </c>
      <c r="AE162" s="2" t="e">
        <f>VLOOKUP($W162,feed_mix_n,MATCH(AE$5,feed_mix_w!$B$5:$AC$5,0),FALSE)/$Z162*VLOOKUP(AE$5,feed_intensity_w,11,FALSE)</f>
        <v>#N/A</v>
      </c>
      <c r="AF162" s="2" t="e">
        <f>VLOOKUP($W162,feed_mix_n,MATCH(AF$5,feed_mix_w!$B$5:$AC$5,0),FALSE)/$Z162*VLOOKUP(AF$5,feed_intensity_w,11,FALSE)</f>
        <v>#N/A</v>
      </c>
      <c r="AG162" s="2" t="e">
        <f>VLOOKUP($W162,feed_mix_n,MATCH(AG$5,feed_mix_w!$B$5:$AC$5,0),FALSE)/$Z162*VLOOKUP(AG$5,feed_intensity_w,11,FALSE)</f>
        <v>#N/A</v>
      </c>
      <c r="AH162" s="2" t="e">
        <f>VLOOKUP($W162,feed_mix_n,MATCH(AH$5,feed_mix_w!$B$5:$AC$5,0),FALSE)/$Z162*VLOOKUP(AH$5,feed_intensity_w,11,FALSE)</f>
        <v>#N/A</v>
      </c>
      <c r="AI162" s="2" t="e">
        <f>VLOOKUP($W162,feed_mix_n,MATCH(AI$5,feed_mix_w!$B$5:$AC$5,0),FALSE)/$Z162*VLOOKUP(AI$5,feed_intensity_w,11,FALSE)</f>
        <v>#N/A</v>
      </c>
      <c r="AJ162" s="2" t="e">
        <f>VLOOKUP($W162,feed_mix_n,MATCH(AJ$5,feed_mix_w!$B$5:$AC$5,0),FALSE)/$Z162*VLOOKUP(AJ$5,feed_intensity_w,11,FALSE)</f>
        <v>#N/A</v>
      </c>
      <c r="AK162" s="2" t="e">
        <f>VLOOKUP($W162,feed_mix_n,MATCH(AK$5,feed_mix_w!$B$5:$AC$5,0),FALSE)/$Z162*VLOOKUP(AK$5,feed_intensity_w,11,FALSE)</f>
        <v>#N/A</v>
      </c>
      <c r="AL162" s="2" t="e">
        <f>VLOOKUP($W162,feed_mix_n,MATCH(AL$5,feed_mix_w!$B$5:$AC$5,0),FALSE)/$Z162*VLOOKUP(AL$5,feed_intensity_w,11,FALSE)</f>
        <v>#N/A</v>
      </c>
      <c r="AM162" s="2" t="e">
        <f>VLOOKUP($W162,feed_mix_n,MATCH(AM$5,feed_mix_w!$B$5:$AC$5,0),FALSE)/$Z162*VLOOKUP(AM$5,feed_intensity_w,11,FALSE)</f>
        <v>#N/A</v>
      </c>
      <c r="AN162" s="2" t="e">
        <f>VLOOKUP($W162,feed_mix_n,MATCH(AN$5,feed_mix_w!$B$5:$AC$5,0),FALSE)/$Z162*VLOOKUP(AN$5,feed_intensity_w,11,FALSE)</f>
        <v>#N/A</v>
      </c>
      <c r="AO162" s="2" t="e">
        <f>VLOOKUP($W162,feed_mix_n,MATCH(AO$5,feed_mix_w!$B$5:$AC$5,0),FALSE)/$Z162*VLOOKUP(AO$5,feed_intensity_w,11,FALSE)</f>
        <v>#N/A</v>
      </c>
      <c r="AP162" s="2" t="e">
        <f>VLOOKUP($W162,feed_mix_n,MATCH(AP$5,feed_mix_w!$B$5:$AC$5,0),FALSE)/$Z162*VLOOKUP(AP$5,feed_intensity_w,11,FALSE)</f>
        <v>#N/A</v>
      </c>
      <c r="AQ162" s="2" t="e">
        <f>VLOOKUP($W162,feed_mix_n,MATCH(AQ$5,feed_mix_w!$B$5:$AC$5,0),FALSE)/$Z162*VLOOKUP(AQ$5,feed_intensity_w,11,FALSE)</f>
        <v>#N/A</v>
      </c>
      <c r="AR162" s="2" t="e">
        <f>VLOOKUP($W162,feed_mix_n,MATCH(AR$5,feed_mix_w!$B$5:$AC$5,0),FALSE)/$Z162*VLOOKUP(AR$5,feed_intensity_w,11,FALSE)</f>
        <v>#N/A</v>
      </c>
      <c r="AS162" s="389" t="e">
        <f>VLOOKUP($W162,feed_mix_n,MATCH(AS$5,feed_mix_w!$B$5:$AC$5,0),FALSE)/$Z162*VLOOKUP(AS$5,feed_intensity_w,11,FALSE)</f>
        <v>#N/A</v>
      </c>
    </row>
    <row r="163" spans="1:45" ht="12.75" customHeight="1">
      <c r="A163" s="14" t="s">
        <v>7204</v>
      </c>
      <c r="B163" s="482">
        <v>1216</v>
      </c>
      <c r="C163" s="24" t="s">
        <v>1547</v>
      </c>
      <c r="D163" s="513">
        <v>42</v>
      </c>
      <c r="E163" s="513">
        <v>513</v>
      </c>
      <c r="F163" s="25">
        <f t="shared" si="44"/>
        <v>42</v>
      </c>
      <c r="G163" s="25">
        <f t="shared" si="45"/>
        <v>513</v>
      </c>
      <c r="H163" s="2" t="e">
        <f t="shared" si="46"/>
        <v>#N/A</v>
      </c>
      <c r="I163" s="25">
        <f t="shared" si="47"/>
        <v>0</v>
      </c>
      <c r="J163" s="87">
        <f>IFERROR(G163*VLOOKUP(W163,livestock_intensity!$B$7:$I$29,8,FALSE)/Z163,0)</f>
        <v>0</v>
      </c>
      <c r="K163" s="2" t="e">
        <f>VLOOKUP($W163,feed_mix_n,MATCH(K$5,feed_mix_w!$B$5:$AC$5,0),FALSE)/$Z163*VLOOKUP(K$5,feed_intensity_w,11,FALSE)</f>
        <v>#N/A</v>
      </c>
      <c r="L163" s="25">
        <f t="shared" si="48"/>
        <v>0</v>
      </c>
      <c r="M163" s="25">
        <f>IFERROR(G163*VLOOKUP(W163,livestock_intensity!$B$7:$M$29,12,FALSE)/Z163,0)</f>
        <v>0</v>
      </c>
      <c r="N163" s="2" t="e">
        <f>VLOOKUP($W163,feed_mix_n,MATCH(N$5,feed_mix_w!$B$5:$AC$5,0),FALSE)/$Z163*VLOOKUP(N$5,feed_intensity_w,11,FALSE)</f>
        <v>#N/A</v>
      </c>
      <c r="O163" s="25">
        <f t="shared" si="49"/>
        <v>0</v>
      </c>
      <c r="P163" s="343">
        <f>IFERROR(G163*VLOOKUP(W163,livestock_intensity!$B$7:$Q$29,16,FALSE)/Z163,0)</f>
        <v>0</v>
      </c>
      <c r="Q163" s="758"/>
      <c r="R163" s="331">
        <f t="shared" si="50"/>
        <v>0</v>
      </c>
      <c r="S163" s="331">
        <f t="shared" si="51"/>
        <v>0</v>
      </c>
      <c r="T163" s="739" t="s">
        <v>2738</v>
      </c>
      <c r="U163" s="558" t="s">
        <v>2796</v>
      </c>
      <c r="V163" s="559">
        <f>IFERROR(VLOOKUP(W163,constant_ag_extr!$D$7:$E$594,2,FALSE),"")</f>
        <v>0</v>
      </c>
      <c r="W163" s="560" t="str">
        <f t="shared" si="52"/>
        <v/>
      </c>
      <c r="X163" s="2">
        <f>IFERROR(IF(VLOOKUP(B163,cnst_grazing!$C$10:$H$25,5,FALSE)="", IF(VLOOKUP(B163, cnst_grazing!$C$10:$H$25,3,FALSE)="", VLOOKUP(B163, cnst_grazing!$C$10:$H$25,4,FALSE),VLOOKUP(B163, cnst_grazing!$C$10:$H$25,3,FALSE)), VLOOKUP(B163,cnst_grazing!$C$10:$H$25,5,FALSE)),1)</f>
        <v>1</v>
      </c>
      <c r="Y163" s="2">
        <f>IFERROR(IF(VLOOKUP(B163,cnst_grazing!$C$10:$H$25,6,FALSE)="", IF(VLOOKUP(B163, cnst_grazing!$C$10:$H$25,4,FALSE)="", VLOOKUP(B163, cnst_grazing!$C$10:$H$25,3,FALSE),VLOOKUP(B163, cnst_grazing!$C$10:$H$25,4,FALSE)), VLOOKUP(B163,cnst_grazing!$C$10:$H$25,6,FALSE)),1)</f>
        <v>1</v>
      </c>
      <c r="Z163" s="400">
        <f t="shared" si="53"/>
        <v>1</v>
      </c>
      <c r="AA163" s="2" t="e">
        <f t="shared" si="54"/>
        <v>#N/A</v>
      </c>
      <c r="AB163" s="2" t="e">
        <f>VLOOKUP($W163,feed_mix_n,MATCH(AB$5,feed_mix_w!$B$5:$AC$5,0),FALSE)/$Z163*VLOOKUP(AB$5,feed_intensity_w,11,FALSE)</f>
        <v>#N/A</v>
      </c>
      <c r="AC163" s="2" t="e">
        <f>VLOOKUP($W163,feed_mix_n,MATCH(AC$5,feed_mix_w!$B$5:$AC$5,0),FALSE)/$Z163*VLOOKUP(AC$5,feed_intensity_w,11,FALSE)</f>
        <v>#N/A</v>
      </c>
      <c r="AD163" s="2" t="e">
        <f>VLOOKUP($W163,feed_mix_n,MATCH(AD$5,feed_mix_w!$B$5:$AC$5,0),FALSE)/$Z163*VLOOKUP(AD$5,feed_intensity_w,11,FALSE)</f>
        <v>#N/A</v>
      </c>
      <c r="AE163" s="2" t="e">
        <f>VLOOKUP($W163,feed_mix_n,MATCH(AE$5,feed_mix_w!$B$5:$AC$5,0),FALSE)/$Z163*VLOOKUP(AE$5,feed_intensity_w,11,FALSE)</f>
        <v>#N/A</v>
      </c>
      <c r="AF163" s="2" t="e">
        <f>VLOOKUP($W163,feed_mix_n,MATCH(AF$5,feed_mix_w!$B$5:$AC$5,0),FALSE)/$Z163*VLOOKUP(AF$5,feed_intensity_w,11,FALSE)</f>
        <v>#N/A</v>
      </c>
      <c r="AG163" s="2" t="e">
        <f>VLOOKUP($W163,feed_mix_n,MATCH(AG$5,feed_mix_w!$B$5:$AC$5,0),FALSE)/$Z163*VLOOKUP(AG$5,feed_intensity_w,11,FALSE)</f>
        <v>#N/A</v>
      </c>
      <c r="AH163" s="2" t="e">
        <f>VLOOKUP($W163,feed_mix_n,MATCH(AH$5,feed_mix_w!$B$5:$AC$5,0),FALSE)/$Z163*VLOOKUP(AH$5,feed_intensity_w,11,FALSE)</f>
        <v>#N/A</v>
      </c>
      <c r="AI163" s="2" t="e">
        <f>VLOOKUP($W163,feed_mix_n,MATCH(AI$5,feed_mix_w!$B$5:$AC$5,0),FALSE)/$Z163*VLOOKUP(AI$5,feed_intensity_w,11,FALSE)</f>
        <v>#N/A</v>
      </c>
      <c r="AJ163" s="2" t="e">
        <f>VLOOKUP($W163,feed_mix_n,MATCH(AJ$5,feed_mix_w!$B$5:$AC$5,0),FALSE)/$Z163*VLOOKUP(AJ$5,feed_intensity_w,11,FALSE)</f>
        <v>#N/A</v>
      </c>
      <c r="AK163" s="2" t="e">
        <f>VLOOKUP($W163,feed_mix_n,MATCH(AK$5,feed_mix_w!$B$5:$AC$5,0),FALSE)/$Z163*VLOOKUP(AK$5,feed_intensity_w,11,FALSE)</f>
        <v>#N/A</v>
      </c>
      <c r="AL163" s="2" t="e">
        <f>VLOOKUP($W163,feed_mix_n,MATCH(AL$5,feed_mix_w!$B$5:$AC$5,0),FALSE)/$Z163*VLOOKUP(AL$5,feed_intensity_w,11,FALSE)</f>
        <v>#N/A</v>
      </c>
      <c r="AM163" s="2" t="e">
        <f>VLOOKUP($W163,feed_mix_n,MATCH(AM$5,feed_mix_w!$B$5:$AC$5,0),FALSE)/$Z163*VLOOKUP(AM$5,feed_intensity_w,11,FALSE)</f>
        <v>#N/A</v>
      </c>
      <c r="AN163" s="2" t="e">
        <f>VLOOKUP($W163,feed_mix_n,MATCH(AN$5,feed_mix_w!$B$5:$AC$5,0),FALSE)/$Z163*VLOOKUP(AN$5,feed_intensity_w,11,FALSE)</f>
        <v>#N/A</v>
      </c>
      <c r="AO163" s="2" t="e">
        <f>VLOOKUP($W163,feed_mix_n,MATCH(AO$5,feed_mix_w!$B$5:$AC$5,0),FALSE)/$Z163*VLOOKUP(AO$5,feed_intensity_w,11,FALSE)</f>
        <v>#N/A</v>
      </c>
      <c r="AP163" s="2" t="e">
        <f>VLOOKUP($W163,feed_mix_n,MATCH(AP$5,feed_mix_w!$B$5:$AC$5,0),FALSE)/$Z163*VLOOKUP(AP$5,feed_intensity_w,11,FALSE)</f>
        <v>#N/A</v>
      </c>
      <c r="AQ163" s="2" t="e">
        <f>VLOOKUP($W163,feed_mix_n,MATCH(AQ$5,feed_mix_w!$B$5:$AC$5,0),FALSE)/$Z163*VLOOKUP(AQ$5,feed_intensity_w,11,FALSE)</f>
        <v>#N/A</v>
      </c>
      <c r="AR163" s="2" t="e">
        <f>VLOOKUP($W163,feed_mix_n,MATCH(AR$5,feed_mix_w!$B$5:$AC$5,0),FALSE)/$Z163*VLOOKUP(AR$5,feed_intensity_w,11,FALSE)</f>
        <v>#N/A</v>
      </c>
      <c r="AS163" s="389" t="e">
        <f>VLOOKUP($W163,feed_mix_n,MATCH(AS$5,feed_mix_w!$B$5:$AC$5,0),FALSE)/$Z163*VLOOKUP(AS$5,feed_intensity_w,11,FALSE)</f>
        <v>#N/A</v>
      </c>
    </row>
    <row r="164" spans="1:45" ht="12.75" customHeight="1">
      <c r="A164" s="14" t="s">
        <v>1088</v>
      </c>
      <c r="B164" s="482">
        <v>1217</v>
      </c>
      <c r="C164" s="24">
        <v>4115.2</v>
      </c>
      <c r="D164" s="513"/>
      <c r="E164" s="513"/>
      <c r="F164" s="25">
        <f t="shared" si="44"/>
        <v>0</v>
      </c>
      <c r="G164" s="25">
        <f t="shared" si="45"/>
        <v>0</v>
      </c>
      <c r="H164" s="2" t="e">
        <f t="shared" si="46"/>
        <v>#N/A</v>
      </c>
      <c r="I164" s="25">
        <f t="shared" si="47"/>
        <v>0</v>
      </c>
      <c r="J164" s="87">
        <f>IFERROR(G164*VLOOKUP(W164,livestock_intensity!$B$7:$I$29,8,FALSE)/Z164,0)</f>
        <v>0</v>
      </c>
      <c r="K164" s="2" t="e">
        <f>VLOOKUP($W164,feed_mix_n,MATCH(K$5,feed_mix_w!$B$5:$AC$5,0),FALSE)/$Z164*VLOOKUP(K$5,feed_intensity_w,11,FALSE)</f>
        <v>#N/A</v>
      </c>
      <c r="L164" s="25">
        <f t="shared" si="48"/>
        <v>0</v>
      </c>
      <c r="M164" s="25">
        <f>IFERROR(G164*VLOOKUP(W164,livestock_intensity!$B$7:$M$29,12,FALSE)/Z164,0)</f>
        <v>0</v>
      </c>
      <c r="N164" s="2" t="e">
        <f>VLOOKUP($W164,feed_mix_n,MATCH(N$5,feed_mix_w!$B$5:$AC$5,0),FALSE)/$Z164*VLOOKUP(N$5,feed_intensity_w,11,FALSE)</f>
        <v>#N/A</v>
      </c>
      <c r="O164" s="25">
        <f t="shared" si="49"/>
        <v>0</v>
      </c>
      <c r="P164" s="343">
        <f>IFERROR(G164*VLOOKUP(W164,livestock_intensity!$B$7:$Q$29,16,FALSE)/Z164,0)</f>
        <v>0</v>
      </c>
      <c r="Q164" s="758"/>
      <c r="R164" s="331">
        <f t="shared" si="50"/>
        <v>0</v>
      </c>
      <c r="S164" s="331">
        <f t="shared" si="51"/>
        <v>0</v>
      </c>
      <c r="T164" s="739" t="s">
        <v>2738</v>
      </c>
      <c r="U164" s="558" t="s">
        <v>2796</v>
      </c>
      <c r="V164" s="559" t="str">
        <f>IFERROR(VLOOKUP(W164,constant_ag_extr!$D$7:$E$594,2,FALSE),"")</f>
        <v/>
      </c>
      <c r="W164" s="560">
        <f t="shared" si="52"/>
        <v>0</v>
      </c>
      <c r="X164" s="2">
        <f>IFERROR(IF(VLOOKUP(B164,cnst_grazing!$C$10:$H$25,5,FALSE)="", IF(VLOOKUP(B164, cnst_grazing!$C$10:$H$25,3,FALSE)="", VLOOKUP(B164, cnst_grazing!$C$10:$H$25,4,FALSE),VLOOKUP(B164, cnst_grazing!$C$10:$H$25,3,FALSE)), VLOOKUP(B164,cnst_grazing!$C$10:$H$25,5,FALSE)),1)</f>
        <v>1</v>
      </c>
      <c r="Y164" s="2">
        <f>IFERROR(IF(VLOOKUP(B164,cnst_grazing!$C$10:$H$25,6,FALSE)="", IF(VLOOKUP(B164, cnst_grazing!$C$10:$H$25,4,FALSE)="", VLOOKUP(B164, cnst_grazing!$C$10:$H$25,3,FALSE),VLOOKUP(B164, cnst_grazing!$C$10:$H$25,4,FALSE)), VLOOKUP(B164,cnst_grazing!$C$10:$H$25,6,FALSE)),1)</f>
        <v>1</v>
      </c>
      <c r="Z164" s="400">
        <f t="shared" si="53"/>
        <v>1</v>
      </c>
      <c r="AA164" s="2" t="e">
        <f t="shared" si="54"/>
        <v>#N/A</v>
      </c>
      <c r="AB164" s="2" t="e">
        <f>VLOOKUP($W164,feed_mix_n,MATCH(AB$5,feed_mix_w!$B$5:$AC$5,0),FALSE)/$Z164*VLOOKUP(AB$5,feed_intensity_w,11,FALSE)</f>
        <v>#N/A</v>
      </c>
      <c r="AC164" s="2" t="e">
        <f>VLOOKUP($W164,feed_mix_n,MATCH(AC$5,feed_mix_w!$B$5:$AC$5,0),FALSE)/$Z164*VLOOKUP(AC$5,feed_intensity_w,11,FALSE)</f>
        <v>#N/A</v>
      </c>
      <c r="AD164" s="2" t="e">
        <f>VLOOKUP($W164,feed_mix_n,MATCH(AD$5,feed_mix_w!$B$5:$AC$5,0),FALSE)/$Z164*VLOOKUP(AD$5,feed_intensity_w,11,FALSE)</f>
        <v>#N/A</v>
      </c>
      <c r="AE164" s="2" t="e">
        <f>VLOOKUP($W164,feed_mix_n,MATCH(AE$5,feed_mix_w!$B$5:$AC$5,0),FALSE)/$Z164*VLOOKUP(AE$5,feed_intensity_w,11,FALSE)</f>
        <v>#N/A</v>
      </c>
      <c r="AF164" s="2" t="e">
        <f>VLOOKUP($W164,feed_mix_n,MATCH(AF$5,feed_mix_w!$B$5:$AC$5,0),FALSE)/$Z164*VLOOKUP(AF$5,feed_intensity_w,11,FALSE)</f>
        <v>#N/A</v>
      </c>
      <c r="AG164" s="2" t="e">
        <f>VLOOKUP($W164,feed_mix_n,MATCH(AG$5,feed_mix_w!$B$5:$AC$5,0),FALSE)/$Z164*VLOOKUP(AG$5,feed_intensity_w,11,FALSE)</f>
        <v>#N/A</v>
      </c>
      <c r="AH164" s="2" t="e">
        <f>VLOOKUP($W164,feed_mix_n,MATCH(AH$5,feed_mix_w!$B$5:$AC$5,0),FALSE)/$Z164*VLOOKUP(AH$5,feed_intensity_w,11,FALSE)</f>
        <v>#N/A</v>
      </c>
      <c r="AI164" s="2" t="e">
        <f>VLOOKUP($W164,feed_mix_n,MATCH(AI$5,feed_mix_w!$B$5:$AC$5,0),FALSE)/$Z164*VLOOKUP(AI$5,feed_intensity_w,11,FALSE)</f>
        <v>#N/A</v>
      </c>
      <c r="AJ164" s="2" t="e">
        <f>VLOOKUP($W164,feed_mix_n,MATCH(AJ$5,feed_mix_w!$B$5:$AC$5,0),FALSE)/$Z164*VLOOKUP(AJ$5,feed_intensity_w,11,FALSE)</f>
        <v>#N/A</v>
      </c>
      <c r="AK164" s="2" t="e">
        <f>VLOOKUP($W164,feed_mix_n,MATCH(AK$5,feed_mix_w!$B$5:$AC$5,0),FALSE)/$Z164*VLOOKUP(AK$5,feed_intensity_w,11,FALSE)</f>
        <v>#N/A</v>
      </c>
      <c r="AL164" s="2" t="e">
        <f>VLOOKUP($W164,feed_mix_n,MATCH(AL$5,feed_mix_w!$B$5:$AC$5,0),FALSE)/$Z164*VLOOKUP(AL$5,feed_intensity_w,11,FALSE)</f>
        <v>#N/A</v>
      </c>
      <c r="AM164" s="2" t="e">
        <f>VLOOKUP($W164,feed_mix_n,MATCH(AM$5,feed_mix_w!$B$5:$AC$5,0),FALSE)/$Z164*VLOOKUP(AM$5,feed_intensity_w,11,FALSE)</f>
        <v>#N/A</v>
      </c>
      <c r="AN164" s="2" t="e">
        <f>VLOOKUP($W164,feed_mix_n,MATCH(AN$5,feed_mix_w!$B$5:$AC$5,0),FALSE)/$Z164*VLOOKUP(AN$5,feed_intensity_w,11,FALSE)</f>
        <v>#N/A</v>
      </c>
      <c r="AO164" s="2" t="e">
        <f>VLOOKUP($W164,feed_mix_n,MATCH(AO$5,feed_mix_w!$B$5:$AC$5,0),FALSE)/$Z164*VLOOKUP(AO$5,feed_intensity_w,11,FALSE)</f>
        <v>#N/A</v>
      </c>
      <c r="AP164" s="2" t="e">
        <f>VLOOKUP($W164,feed_mix_n,MATCH(AP$5,feed_mix_w!$B$5:$AC$5,0),FALSE)/$Z164*VLOOKUP(AP$5,feed_intensity_w,11,FALSE)</f>
        <v>#N/A</v>
      </c>
      <c r="AQ164" s="2" t="e">
        <f>VLOOKUP($W164,feed_mix_n,MATCH(AQ$5,feed_mix_w!$B$5:$AC$5,0),FALSE)/$Z164*VLOOKUP(AQ$5,feed_intensity_w,11,FALSE)</f>
        <v>#N/A</v>
      </c>
      <c r="AR164" s="2" t="e">
        <f>VLOOKUP($W164,feed_mix_n,MATCH(AR$5,feed_mix_w!$B$5:$AC$5,0),FALSE)/$Z164*VLOOKUP(AR$5,feed_intensity_w,11,FALSE)</f>
        <v>#N/A</v>
      </c>
      <c r="AS164" s="389" t="e">
        <f>VLOOKUP($W164,feed_mix_n,MATCH(AS$5,feed_mix_w!$B$5:$AC$5,0),FALSE)/$Z164*VLOOKUP(AS$5,feed_intensity_w,11,FALSE)</f>
        <v>#N/A</v>
      </c>
    </row>
    <row r="165" spans="1:45" ht="12.75" customHeight="1">
      <c r="A165" s="14" t="s">
        <v>7205</v>
      </c>
      <c r="B165" s="482">
        <v>1218</v>
      </c>
      <c r="C165" s="24" t="s">
        <v>5336</v>
      </c>
      <c r="D165" s="513">
        <v>51</v>
      </c>
      <c r="E165" s="513">
        <v>12</v>
      </c>
      <c r="F165" s="25">
        <f t="shared" si="44"/>
        <v>51</v>
      </c>
      <c r="G165" s="25">
        <f t="shared" si="45"/>
        <v>12</v>
      </c>
      <c r="H165" s="2" t="e">
        <f t="shared" si="46"/>
        <v>#N/A</v>
      </c>
      <c r="I165" s="25">
        <f t="shared" si="47"/>
        <v>0</v>
      </c>
      <c r="J165" s="87">
        <f>IFERROR(G165*VLOOKUP(W165,livestock_intensity!$B$7:$I$29,8,FALSE)/Z165,0)</f>
        <v>0</v>
      </c>
      <c r="K165" s="2" t="e">
        <f>VLOOKUP($W165,feed_mix_n,MATCH(K$5,feed_mix_w!$B$5:$AC$5,0),FALSE)/$Z165*VLOOKUP(K$5,feed_intensity_w,11,FALSE)</f>
        <v>#N/A</v>
      </c>
      <c r="L165" s="25">
        <f t="shared" si="48"/>
        <v>0</v>
      </c>
      <c r="M165" s="25">
        <f>IFERROR(G165*VLOOKUP(W165,livestock_intensity!$B$7:$M$29,12,FALSE)/Z165,0)</f>
        <v>0</v>
      </c>
      <c r="N165" s="2" t="e">
        <f>VLOOKUP($W165,feed_mix_n,MATCH(N$5,feed_mix_w!$B$5:$AC$5,0),FALSE)/$Z165*VLOOKUP(N$5,feed_intensity_w,11,FALSE)</f>
        <v>#N/A</v>
      </c>
      <c r="O165" s="25">
        <f t="shared" si="49"/>
        <v>0</v>
      </c>
      <c r="P165" s="343">
        <f>IFERROR(G165*VLOOKUP(W165,livestock_intensity!$B$7:$Q$29,16,FALSE)/Z165,0)</f>
        <v>0</v>
      </c>
      <c r="Q165" s="758"/>
      <c r="R165" s="331">
        <f t="shared" si="50"/>
        <v>0</v>
      </c>
      <c r="S165" s="331">
        <f t="shared" si="51"/>
        <v>0</v>
      </c>
      <c r="T165" s="739" t="s">
        <v>2738</v>
      </c>
      <c r="U165" s="558" t="s">
        <v>2796</v>
      </c>
      <c r="V165" s="559">
        <f>IFERROR(VLOOKUP(W165,constant_ag_extr!$D$7:$E$594,2,FALSE),"")</f>
        <v>0</v>
      </c>
      <c r="W165" s="560" t="str">
        <f t="shared" si="52"/>
        <v/>
      </c>
      <c r="X165" s="2">
        <f>IFERROR(IF(VLOOKUP(B165,cnst_grazing!$C$10:$H$25,5,FALSE)="", IF(VLOOKUP(B165, cnst_grazing!$C$10:$H$25,3,FALSE)="", VLOOKUP(B165, cnst_grazing!$C$10:$H$25,4,FALSE),VLOOKUP(B165, cnst_grazing!$C$10:$H$25,3,FALSE)), VLOOKUP(B165,cnst_grazing!$C$10:$H$25,5,FALSE)),1)</f>
        <v>1</v>
      </c>
      <c r="Y165" s="2">
        <f>IFERROR(IF(VLOOKUP(B165,cnst_grazing!$C$10:$H$25,6,FALSE)="", IF(VLOOKUP(B165, cnst_grazing!$C$10:$H$25,4,FALSE)="", VLOOKUP(B165, cnst_grazing!$C$10:$H$25,3,FALSE),VLOOKUP(B165, cnst_grazing!$C$10:$H$25,4,FALSE)), VLOOKUP(B165,cnst_grazing!$C$10:$H$25,6,FALSE)),1)</f>
        <v>1</v>
      </c>
      <c r="Z165" s="400">
        <f t="shared" si="53"/>
        <v>1</v>
      </c>
      <c r="AA165" s="2" t="e">
        <f t="shared" si="54"/>
        <v>#N/A</v>
      </c>
      <c r="AB165" s="2" t="e">
        <f>VLOOKUP($W165,feed_mix_n,MATCH(AB$5,feed_mix_w!$B$5:$AC$5,0),FALSE)/$Z165*VLOOKUP(AB$5,feed_intensity_w,11,FALSE)</f>
        <v>#N/A</v>
      </c>
      <c r="AC165" s="2" t="e">
        <f>VLOOKUP($W165,feed_mix_n,MATCH(AC$5,feed_mix_w!$B$5:$AC$5,0),FALSE)/$Z165*VLOOKUP(AC$5,feed_intensity_w,11,FALSE)</f>
        <v>#N/A</v>
      </c>
      <c r="AD165" s="2" t="e">
        <f>VLOOKUP($W165,feed_mix_n,MATCH(AD$5,feed_mix_w!$B$5:$AC$5,0),FALSE)/$Z165*VLOOKUP(AD$5,feed_intensity_w,11,FALSE)</f>
        <v>#N/A</v>
      </c>
      <c r="AE165" s="2" t="e">
        <f>VLOOKUP($W165,feed_mix_n,MATCH(AE$5,feed_mix_w!$B$5:$AC$5,0),FALSE)/$Z165*VLOOKUP(AE$5,feed_intensity_w,11,FALSE)</f>
        <v>#N/A</v>
      </c>
      <c r="AF165" s="2" t="e">
        <f>VLOOKUP($W165,feed_mix_n,MATCH(AF$5,feed_mix_w!$B$5:$AC$5,0),FALSE)/$Z165*VLOOKUP(AF$5,feed_intensity_w,11,FALSE)</f>
        <v>#N/A</v>
      </c>
      <c r="AG165" s="2" t="e">
        <f>VLOOKUP($W165,feed_mix_n,MATCH(AG$5,feed_mix_w!$B$5:$AC$5,0),FALSE)/$Z165*VLOOKUP(AG$5,feed_intensity_w,11,FALSE)</f>
        <v>#N/A</v>
      </c>
      <c r="AH165" s="2" t="e">
        <f>VLOOKUP($W165,feed_mix_n,MATCH(AH$5,feed_mix_w!$B$5:$AC$5,0),FALSE)/$Z165*VLOOKUP(AH$5,feed_intensity_w,11,FALSE)</f>
        <v>#N/A</v>
      </c>
      <c r="AI165" s="2" t="e">
        <f>VLOOKUP($W165,feed_mix_n,MATCH(AI$5,feed_mix_w!$B$5:$AC$5,0),FALSE)/$Z165*VLOOKUP(AI$5,feed_intensity_w,11,FALSE)</f>
        <v>#N/A</v>
      </c>
      <c r="AJ165" s="2" t="e">
        <f>VLOOKUP($W165,feed_mix_n,MATCH(AJ$5,feed_mix_w!$B$5:$AC$5,0),FALSE)/$Z165*VLOOKUP(AJ$5,feed_intensity_w,11,FALSE)</f>
        <v>#N/A</v>
      </c>
      <c r="AK165" s="2" t="e">
        <f>VLOOKUP($W165,feed_mix_n,MATCH(AK$5,feed_mix_w!$B$5:$AC$5,0),FALSE)/$Z165*VLOOKUP(AK$5,feed_intensity_w,11,FALSE)</f>
        <v>#N/A</v>
      </c>
      <c r="AL165" s="2" t="e">
        <f>VLOOKUP($W165,feed_mix_n,MATCH(AL$5,feed_mix_w!$B$5:$AC$5,0),FALSE)/$Z165*VLOOKUP(AL$5,feed_intensity_w,11,FALSE)</f>
        <v>#N/A</v>
      </c>
      <c r="AM165" s="2" t="e">
        <f>VLOOKUP($W165,feed_mix_n,MATCH(AM$5,feed_mix_w!$B$5:$AC$5,0),FALSE)/$Z165*VLOOKUP(AM$5,feed_intensity_w,11,FALSE)</f>
        <v>#N/A</v>
      </c>
      <c r="AN165" s="2" t="e">
        <f>VLOOKUP($W165,feed_mix_n,MATCH(AN$5,feed_mix_w!$B$5:$AC$5,0),FALSE)/$Z165*VLOOKUP(AN$5,feed_intensity_w,11,FALSE)</f>
        <v>#N/A</v>
      </c>
      <c r="AO165" s="2" t="e">
        <f>VLOOKUP($W165,feed_mix_n,MATCH(AO$5,feed_mix_w!$B$5:$AC$5,0),FALSE)/$Z165*VLOOKUP(AO$5,feed_intensity_w,11,FALSE)</f>
        <v>#N/A</v>
      </c>
      <c r="AP165" s="2" t="e">
        <f>VLOOKUP($W165,feed_mix_n,MATCH(AP$5,feed_mix_w!$B$5:$AC$5,0),FALSE)/$Z165*VLOOKUP(AP$5,feed_intensity_w,11,FALSE)</f>
        <v>#N/A</v>
      </c>
      <c r="AQ165" s="2" t="e">
        <f>VLOOKUP($W165,feed_mix_n,MATCH(AQ$5,feed_mix_w!$B$5:$AC$5,0),FALSE)/$Z165*VLOOKUP(AQ$5,feed_intensity_w,11,FALSE)</f>
        <v>#N/A</v>
      </c>
      <c r="AR165" s="2" t="e">
        <f>VLOOKUP($W165,feed_mix_n,MATCH(AR$5,feed_mix_w!$B$5:$AC$5,0),FALSE)/$Z165*VLOOKUP(AR$5,feed_intensity_w,11,FALSE)</f>
        <v>#N/A</v>
      </c>
      <c r="AS165" s="389" t="e">
        <f>VLOOKUP($W165,feed_mix_n,MATCH(AS$5,feed_mix_w!$B$5:$AC$5,0),FALSE)/$Z165*VLOOKUP(AS$5,feed_intensity_w,11,FALSE)</f>
        <v>#N/A</v>
      </c>
    </row>
    <row r="166" spans="1:45" ht="12.75" customHeight="1">
      <c r="A166" s="14" t="s">
        <v>5274</v>
      </c>
      <c r="B166" s="482">
        <v>1219</v>
      </c>
      <c r="C166" s="24" t="s">
        <v>1212</v>
      </c>
      <c r="D166" s="513"/>
      <c r="E166" s="513"/>
      <c r="F166" s="25">
        <f t="shared" si="44"/>
        <v>0</v>
      </c>
      <c r="G166" s="25">
        <f t="shared" si="45"/>
        <v>0</v>
      </c>
      <c r="H166" s="2" t="e">
        <f t="shared" si="46"/>
        <v>#N/A</v>
      </c>
      <c r="I166" s="25">
        <f t="shared" si="47"/>
        <v>0</v>
      </c>
      <c r="J166" s="87">
        <f>IFERROR(G166*VLOOKUP(W166,livestock_intensity!$B$7:$I$29,8,FALSE)/Z166,0)</f>
        <v>0</v>
      </c>
      <c r="K166" s="2" t="e">
        <f>VLOOKUP($W166,feed_mix_n,MATCH(K$5,feed_mix_w!$B$5:$AC$5,0),FALSE)/$Z166*VLOOKUP(K$5,feed_intensity_w,11,FALSE)</f>
        <v>#N/A</v>
      </c>
      <c r="L166" s="25">
        <f t="shared" si="48"/>
        <v>0</v>
      </c>
      <c r="M166" s="25">
        <f>IFERROR(G166*VLOOKUP(W166,livestock_intensity!$B$7:$M$29,12,FALSE)/Z166,0)</f>
        <v>0</v>
      </c>
      <c r="N166" s="2" t="e">
        <f>VLOOKUP($W166,feed_mix_n,MATCH(N$5,feed_mix_w!$B$5:$AC$5,0),FALSE)/$Z166*VLOOKUP(N$5,feed_intensity_w,11,FALSE)</f>
        <v>#N/A</v>
      </c>
      <c r="O166" s="25">
        <f t="shared" si="49"/>
        <v>0</v>
      </c>
      <c r="P166" s="343">
        <f>IFERROR(G166*VLOOKUP(W166,livestock_intensity!$B$7:$Q$29,16,FALSE)/Z166,0)</f>
        <v>0</v>
      </c>
      <c r="Q166" s="758"/>
      <c r="R166" s="331">
        <f t="shared" si="50"/>
        <v>0</v>
      </c>
      <c r="S166" s="331">
        <f t="shared" si="51"/>
        <v>0</v>
      </c>
      <c r="T166" s="739" t="s">
        <v>2738</v>
      </c>
      <c r="U166" s="558" t="s">
        <v>2796</v>
      </c>
      <c r="V166" s="559">
        <f>IFERROR(VLOOKUP(W166,constant_ag_extr!$D$7:$E$594,2,FALSE),"")</f>
        <v>0</v>
      </c>
      <c r="W166" s="560" t="str">
        <f t="shared" si="52"/>
        <v/>
      </c>
      <c r="X166" s="2">
        <f>IFERROR(IF(VLOOKUP(B166,cnst_grazing!$C$10:$H$25,5,FALSE)="", IF(VLOOKUP(B166, cnst_grazing!$C$10:$H$25,3,FALSE)="", VLOOKUP(B166, cnst_grazing!$C$10:$H$25,4,FALSE),VLOOKUP(B166, cnst_grazing!$C$10:$H$25,3,FALSE)), VLOOKUP(B166,cnst_grazing!$C$10:$H$25,5,FALSE)),1)</f>
        <v>1</v>
      </c>
      <c r="Y166" s="2">
        <f>IFERROR(IF(VLOOKUP(B166,cnst_grazing!$C$10:$H$25,6,FALSE)="", IF(VLOOKUP(B166, cnst_grazing!$C$10:$H$25,4,FALSE)="", VLOOKUP(B166, cnst_grazing!$C$10:$H$25,3,FALSE),VLOOKUP(B166, cnst_grazing!$C$10:$H$25,4,FALSE)), VLOOKUP(B166,cnst_grazing!$C$10:$H$25,6,FALSE)),1)</f>
        <v>1</v>
      </c>
      <c r="Z166" s="400">
        <f t="shared" si="53"/>
        <v>1</v>
      </c>
      <c r="AA166" s="2" t="e">
        <f t="shared" si="54"/>
        <v>#N/A</v>
      </c>
      <c r="AB166" s="2" t="e">
        <f>VLOOKUP($W166,feed_mix_n,MATCH(AB$5,feed_mix_w!$B$5:$AC$5,0),FALSE)/$Z166*VLOOKUP(AB$5,feed_intensity_w,11,FALSE)</f>
        <v>#N/A</v>
      </c>
      <c r="AC166" s="2" t="e">
        <f>VLOOKUP($W166,feed_mix_n,MATCH(AC$5,feed_mix_w!$B$5:$AC$5,0),FALSE)/$Z166*VLOOKUP(AC$5,feed_intensity_w,11,FALSE)</f>
        <v>#N/A</v>
      </c>
      <c r="AD166" s="2" t="e">
        <f>VLOOKUP($W166,feed_mix_n,MATCH(AD$5,feed_mix_w!$B$5:$AC$5,0),FALSE)/$Z166*VLOOKUP(AD$5,feed_intensity_w,11,FALSE)</f>
        <v>#N/A</v>
      </c>
      <c r="AE166" s="2" t="e">
        <f>VLOOKUP($W166,feed_mix_n,MATCH(AE$5,feed_mix_w!$B$5:$AC$5,0),FALSE)/$Z166*VLOOKUP(AE$5,feed_intensity_w,11,FALSE)</f>
        <v>#N/A</v>
      </c>
      <c r="AF166" s="2" t="e">
        <f>VLOOKUP($W166,feed_mix_n,MATCH(AF$5,feed_mix_w!$B$5:$AC$5,0),FALSE)/$Z166*VLOOKUP(AF$5,feed_intensity_w,11,FALSE)</f>
        <v>#N/A</v>
      </c>
      <c r="AG166" s="2" t="e">
        <f>VLOOKUP($W166,feed_mix_n,MATCH(AG$5,feed_mix_w!$B$5:$AC$5,0),FALSE)/$Z166*VLOOKUP(AG$5,feed_intensity_w,11,FALSE)</f>
        <v>#N/A</v>
      </c>
      <c r="AH166" s="2" t="e">
        <f>VLOOKUP($W166,feed_mix_n,MATCH(AH$5,feed_mix_w!$B$5:$AC$5,0),FALSE)/$Z166*VLOOKUP(AH$5,feed_intensity_w,11,FALSE)</f>
        <v>#N/A</v>
      </c>
      <c r="AI166" s="2" t="e">
        <f>VLOOKUP($W166,feed_mix_n,MATCH(AI$5,feed_mix_w!$B$5:$AC$5,0),FALSE)/$Z166*VLOOKUP(AI$5,feed_intensity_w,11,FALSE)</f>
        <v>#N/A</v>
      </c>
      <c r="AJ166" s="2" t="e">
        <f>VLOOKUP($W166,feed_mix_n,MATCH(AJ$5,feed_mix_w!$B$5:$AC$5,0),FALSE)/$Z166*VLOOKUP(AJ$5,feed_intensity_w,11,FALSE)</f>
        <v>#N/A</v>
      </c>
      <c r="AK166" s="2" t="e">
        <f>VLOOKUP($W166,feed_mix_n,MATCH(AK$5,feed_mix_w!$B$5:$AC$5,0),FALSE)/$Z166*VLOOKUP(AK$5,feed_intensity_w,11,FALSE)</f>
        <v>#N/A</v>
      </c>
      <c r="AL166" s="2" t="e">
        <f>VLOOKUP($W166,feed_mix_n,MATCH(AL$5,feed_mix_w!$B$5:$AC$5,0),FALSE)/$Z166*VLOOKUP(AL$5,feed_intensity_w,11,FALSE)</f>
        <v>#N/A</v>
      </c>
      <c r="AM166" s="2" t="e">
        <f>VLOOKUP($W166,feed_mix_n,MATCH(AM$5,feed_mix_w!$B$5:$AC$5,0),FALSE)/$Z166*VLOOKUP(AM$5,feed_intensity_w,11,FALSE)</f>
        <v>#N/A</v>
      </c>
      <c r="AN166" s="2" t="e">
        <f>VLOOKUP($W166,feed_mix_n,MATCH(AN$5,feed_mix_w!$B$5:$AC$5,0),FALSE)/$Z166*VLOOKUP(AN$5,feed_intensity_w,11,FALSE)</f>
        <v>#N/A</v>
      </c>
      <c r="AO166" s="2" t="e">
        <f>VLOOKUP($W166,feed_mix_n,MATCH(AO$5,feed_mix_w!$B$5:$AC$5,0),FALSE)/$Z166*VLOOKUP(AO$5,feed_intensity_w,11,FALSE)</f>
        <v>#N/A</v>
      </c>
      <c r="AP166" s="2" t="e">
        <f>VLOOKUP($W166,feed_mix_n,MATCH(AP$5,feed_mix_w!$B$5:$AC$5,0),FALSE)/$Z166*VLOOKUP(AP$5,feed_intensity_w,11,FALSE)</f>
        <v>#N/A</v>
      </c>
      <c r="AQ166" s="2" t="e">
        <f>VLOOKUP($W166,feed_mix_n,MATCH(AQ$5,feed_mix_w!$B$5:$AC$5,0),FALSE)/$Z166*VLOOKUP(AQ$5,feed_intensity_w,11,FALSE)</f>
        <v>#N/A</v>
      </c>
      <c r="AR166" s="2" t="e">
        <f>VLOOKUP($W166,feed_mix_n,MATCH(AR$5,feed_mix_w!$B$5:$AC$5,0),FALSE)/$Z166*VLOOKUP(AR$5,feed_intensity_w,11,FALSE)</f>
        <v>#N/A</v>
      </c>
      <c r="AS166" s="389" t="e">
        <f>VLOOKUP($W166,feed_mix_n,MATCH(AS$5,feed_mix_w!$B$5:$AC$5,0),FALSE)/$Z166*VLOOKUP(AS$5,feed_intensity_w,11,FALSE)</f>
        <v>#N/A</v>
      </c>
    </row>
    <row r="167" spans="1:45" ht="12.75" customHeight="1">
      <c r="A167" s="14" t="s">
        <v>1424</v>
      </c>
      <c r="B167" s="482">
        <v>1221</v>
      </c>
      <c r="C167" s="24">
        <v>1503</v>
      </c>
      <c r="D167" s="513"/>
      <c r="E167" s="513"/>
      <c r="F167" s="25">
        <f t="shared" ref="F167:F172" si="55">D167*X167</f>
        <v>0</v>
      </c>
      <c r="G167" s="25">
        <f t="shared" ref="G167:G172" si="56">E167*Y167</f>
        <v>0</v>
      </c>
      <c r="H167" s="2" t="e">
        <f t="shared" ref="H167:H172" si="57">SUM(AB167:AP167)+AR167+AS167</f>
        <v>#N/A</v>
      </c>
      <c r="I167" s="25">
        <f t="shared" ref="I167:I172" si="58">IFERROR(F167*VLOOKUP(B167,livestock_intensity_w,7,FALSE),0)</f>
        <v>0</v>
      </c>
      <c r="J167" s="87">
        <f>IFERROR(G167*VLOOKUP(W167,livestock_intensity!$B$7:$I$29,8,FALSE)/Z167,0)</f>
        <v>0</v>
      </c>
      <c r="K167" s="2" t="e">
        <f>VLOOKUP($W167,feed_mix_n,MATCH(K$5,feed_mix_w!$B$5:$AC$5,0),FALSE)/$Z167*VLOOKUP(K$5,feed_intensity_w,11,FALSE)</f>
        <v>#N/A</v>
      </c>
      <c r="L167" s="25">
        <f t="shared" ref="L167:L172" si="59">IFERROR(F167*VLOOKUP($B167,livestock_intensity_w,10,FALSE),0)</f>
        <v>0</v>
      </c>
      <c r="M167" s="25">
        <f>IFERROR(G167*VLOOKUP(W167,livestock_intensity!$B$7:$M$29,12,FALSE)/Z167,0)</f>
        <v>0</v>
      </c>
      <c r="N167" s="2" t="e">
        <f>VLOOKUP($W167,feed_mix_n,MATCH(N$5,feed_mix_w!$B$5:$AC$5,0),FALSE)/$Z167*VLOOKUP(N$5,feed_intensity_w,11,FALSE)</f>
        <v>#N/A</v>
      </c>
      <c r="O167" s="25">
        <f t="shared" ref="O167:O172" si="60">IFERROR(F167*VLOOKUP(B167,livestock_intensity_w,13,FALSE),0)</f>
        <v>0</v>
      </c>
      <c r="P167" s="343">
        <f>IFERROR(G167*VLOOKUP(W167,livestock_intensity!$B$7:$Q$29,16,FALSE)/Z167,0)</f>
        <v>0</v>
      </c>
      <c r="Q167" s="758"/>
      <c r="R167" s="331">
        <f t="shared" ref="R167:R172" si="61">IFERROR(SUM(I167,L167,O167),0)</f>
        <v>0</v>
      </c>
      <c r="S167" s="331">
        <f t="shared" ref="S167:S172" si="62">IFERROR(SUM(J167,M167,P167),0)</f>
        <v>0</v>
      </c>
      <c r="T167" s="739" t="s">
        <v>2738</v>
      </c>
      <c r="U167" s="558" t="s">
        <v>2796</v>
      </c>
      <c r="V167" s="559">
        <f>IFERROR(VLOOKUP(W167,constant_ag_extr!$D$7:$E$594,2,FALSE),"")</f>
        <v>0</v>
      </c>
      <c r="W167" s="560" t="str">
        <f t="shared" ref="W167:W172" si="63">IFERROR(VLOOKUP(B167,constant_ag_extr,3,FALSE),"")</f>
        <v/>
      </c>
      <c r="X167" s="2">
        <f>IFERROR(IF(VLOOKUP(B167,cnst_grazing!$C$10:$H$25,5,FALSE)="", IF(VLOOKUP(B167, cnst_grazing!$C$10:$H$25,3,FALSE)="", VLOOKUP(B167, cnst_grazing!$C$10:$H$25,4,FALSE),VLOOKUP(B167, cnst_grazing!$C$10:$H$25,3,FALSE)), VLOOKUP(B167,cnst_grazing!$C$10:$H$25,5,FALSE)),1)</f>
        <v>1</v>
      </c>
      <c r="Y167" s="2">
        <f>IFERROR(IF(VLOOKUP(B167,cnst_grazing!$C$10:$H$25,6,FALSE)="", IF(VLOOKUP(B167, cnst_grazing!$C$10:$H$25,4,FALSE)="", VLOOKUP(B167, cnst_grazing!$C$10:$H$25,3,FALSE),VLOOKUP(B167, cnst_grazing!$C$10:$H$25,4,FALSE)), VLOOKUP(B167,cnst_grazing!$C$10:$H$25,6,FALSE)),1)</f>
        <v>1</v>
      </c>
      <c r="Z167" s="400">
        <f t="shared" ref="Z167:Z172" si="64">IFERROR(VLOOKUP(B167,constant_ag_extr,14,FALSE),"-")</f>
        <v>1</v>
      </c>
      <c r="AA167" s="2" t="e">
        <f t="shared" ref="AA167:AA172" si="65">H167+N167</f>
        <v>#N/A</v>
      </c>
      <c r="AB167" s="2" t="e">
        <f>VLOOKUP($W167,feed_mix_n,MATCH(AB$5,feed_mix_w!$B$5:$AC$5,0),FALSE)/$Z167*VLOOKUP(AB$5,feed_intensity_w,11,FALSE)</f>
        <v>#N/A</v>
      </c>
      <c r="AC167" s="2" t="e">
        <f>VLOOKUP($W167,feed_mix_n,MATCH(AC$5,feed_mix_w!$B$5:$AC$5,0),FALSE)/$Z167*VLOOKUP(AC$5,feed_intensity_w,11,FALSE)</f>
        <v>#N/A</v>
      </c>
      <c r="AD167" s="2" t="e">
        <f>VLOOKUP($W167,feed_mix_n,MATCH(AD$5,feed_mix_w!$B$5:$AC$5,0),FALSE)/$Z167*VLOOKUP(AD$5,feed_intensity_w,11,FALSE)</f>
        <v>#N/A</v>
      </c>
      <c r="AE167" s="2" t="e">
        <f>VLOOKUP($W167,feed_mix_n,MATCH(AE$5,feed_mix_w!$B$5:$AC$5,0),FALSE)/$Z167*VLOOKUP(AE$5,feed_intensity_w,11,FALSE)</f>
        <v>#N/A</v>
      </c>
      <c r="AF167" s="2" t="e">
        <f>VLOOKUP($W167,feed_mix_n,MATCH(AF$5,feed_mix_w!$B$5:$AC$5,0),FALSE)/$Z167*VLOOKUP(AF$5,feed_intensity_w,11,FALSE)</f>
        <v>#N/A</v>
      </c>
      <c r="AG167" s="2" t="e">
        <f>VLOOKUP($W167,feed_mix_n,MATCH(AG$5,feed_mix_w!$B$5:$AC$5,0),FALSE)/$Z167*VLOOKUP(AG$5,feed_intensity_w,11,FALSE)</f>
        <v>#N/A</v>
      </c>
      <c r="AH167" s="2" t="e">
        <f>VLOOKUP($W167,feed_mix_n,MATCH(AH$5,feed_mix_w!$B$5:$AC$5,0),FALSE)/$Z167*VLOOKUP(AH$5,feed_intensity_w,11,FALSE)</f>
        <v>#N/A</v>
      </c>
      <c r="AI167" s="2" t="e">
        <f>VLOOKUP($W167,feed_mix_n,MATCH(AI$5,feed_mix_w!$B$5:$AC$5,0),FALSE)/$Z167*VLOOKUP(AI$5,feed_intensity_w,11,FALSE)</f>
        <v>#N/A</v>
      </c>
      <c r="AJ167" s="2" t="e">
        <f>VLOOKUP($W167,feed_mix_n,MATCH(AJ$5,feed_mix_w!$B$5:$AC$5,0),FALSE)/$Z167*VLOOKUP(AJ$5,feed_intensity_w,11,FALSE)</f>
        <v>#N/A</v>
      </c>
      <c r="AK167" s="2" t="e">
        <f>VLOOKUP($W167,feed_mix_n,MATCH(AK$5,feed_mix_w!$B$5:$AC$5,0),FALSE)/$Z167*VLOOKUP(AK$5,feed_intensity_w,11,FALSE)</f>
        <v>#N/A</v>
      </c>
      <c r="AL167" s="2" t="e">
        <f>VLOOKUP($W167,feed_mix_n,MATCH(AL$5,feed_mix_w!$B$5:$AC$5,0),FALSE)/$Z167*VLOOKUP(AL$5,feed_intensity_w,11,FALSE)</f>
        <v>#N/A</v>
      </c>
      <c r="AM167" s="2" t="e">
        <f>VLOOKUP($W167,feed_mix_n,MATCH(AM$5,feed_mix_w!$B$5:$AC$5,0),FALSE)/$Z167*VLOOKUP(AM$5,feed_intensity_w,11,FALSE)</f>
        <v>#N/A</v>
      </c>
      <c r="AN167" s="2" t="e">
        <f>VLOOKUP($W167,feed_mix_n,MATCH(AN$5,feed_mix_w!$B$5:$AC$5,0),FALSE)/$Z167*VLOOKUP(AN$5,feed_intensity_w,11,FALSE)</f>
        <v>#N/A</v>
      </c>
      <c r="AO167" s="2" t="e">
        <f>VLOOKUP($W167,feed_mix_n,MATCH(AO$5,feed_mix_w!$B$5:$AC$5,0),FALSE)/$Z167*VLOOKUP(AO$5,feed_intensity_w,11,FALSE)</f>
        <v>#N/A</v>
      </c>
      <c r="AP167" s="2" t="e">
        <f>VLOOKUP($W167,feed_mix_n,MATCH(AP$5,feed_mix_w!$B$5:$AC$5,0),FALSE)/$Z167*VLOOKUP(AP$5,feed_intensity_w,11,FALSE)</f>
        <v>#N/A</v>
      </c>
      <c r="AQ167" s="2" t="e">
        <f>VLOOKUP($W167,feed_mix_n,MATCH(AQ$5,feed_mix_w!$B$5:$AC$5,0),FALSE)/$Z167*VLOOKUP(AQ$5,feed_intensity_w,11,FALSE)</f>
        <v>#N/A</v>
      </c>
      <c r="AR167" s="2" t="e">
        <f>VLOOKUP($W167,feed_mix_n,MATCH(AR$5,feed_mix_w!$B$5:$AC$5,0),FALSE)/$Z167*VLOOKUP(AR$5,feed_intensity_w,11,FALSE)</f>
        <v>#N/A</v>
      </c>
      <c r="AS167" s="389" t="e">
        <f>VLOOKUP($W167,feed_mix_n,MATCH(AS$5,feed_mix_w!$B$5:$AC$5,0),FALSE)/$Z167*VLOOKUP(AS$5,feed_intensity_w,11,FALSE)</f>
        <v>#N/A</v>
      </c>
    </row>
    <row r="168" spans="1:45" ht="12.75" customHeight="1">
      <c r="A168" s="14" t="s">
        <v>4645</v>
      </c>
      <c r="B168" s="482">
        <v>1225</v>
      </c>
      <c r="C168" s="24" t="s">
        <v>1693</v>
      </c>
      <c r="D168" s="513">
        <v>39066</v>
      </c>
      <c r="E168" s="513">
        <v>169800</v>
      </c>
      <c r="F168" s="25">
        <f t="shared" si="55"/>
        <v>39066</v>
      </c>
      <c r="G168" s="25">
        <f t="shared" si="56"/>
        <v>169800</v>
      </c>
      <c r="H168" s="2" t="e">
        <f t="shared" si="57"/>
        <v>#N/A</v>
      </c>
      <c r="I168" s="25">
        <f t="shared" si="58"/>
        <v>0</v>
      </c>
      <c r="J168" s="87">
        <f>IFERROR(G168*VLOOKUP(W168,livestock_intensity!$B$7:$I$29,8,FALSE)/Z168,0)</f>
        <v>0</v>
      </c>
      <c r="K168" s="2" t="e">
        <f>VLOOKUP($W168,feed_mix_n,MATCH(K$5,feed_mix_w!$B$5:$AC$5,0),FALSE)/$Z168*VLOOKUP(K$5,feed_intensity_w,11,FALSE)</f>
        <v>#N/A</v>
      </c>
      <c r="L168" s="25">
        <f t="shared" si="59"/>
        <v>0</v>
      </c>
      <c r="M168" s="25">
        <f>IFERROR(G168*VLOOKUP(W168,livestock_intensity!$B$7:$M$29,12,FALSE)/Z168,0)</f>
        <v>0</v>
      </c>
      <c r="N168" s="2" t="e">
        <f>VLOOKUP($W168,feed_mix_n,MATCH(N$5,feed_mix_w!$B$5:$AC$5,0),FALSE)/$Z168*VLOOKUP(N$5,feed_intensity_w,11,FALSE)</f>
        <v>#N/A</v>
      </c>
      <c r="O168" s="25">
        <f t="shared" si="60"/>
        <v>0</v>
      </c>
      <c r="P168" s="343">
        <f>IFERROR(G168*VLOOKUP(W168,livestock_intensity!$B$7:$Q$29,16,FALSE)/Z168,0)</f>
        <v>0</v>
      </c>
      <c r="Q168" s="758"/>
      <c r="R168" s="331">
        <f t="shared" si="61"/>
        <v>0</v>
      </c>
      <c r="S168" s="331">
        <f t="shared" si="62"/>
        <v>0</v>
      </c>
      <c r="T168" s="739" t="s">
        <v>2738</v>
      </c>
      <c r="U168" s="558" t="s">
        <v>413</v>
      </c>
      <c r="V168" s="559">
        <f>IFERROR(VLOOKUP(W168,constant_ag_extr!$D$7:$E$594,2,FALSE),"")</f>
        <v>0</v>
      </c>
      <c r="W168" s="560" t="str">
        <f t="shared" si="63"/>
        <v/>
      </c>
      <c r="X168" s="2">
        <f>IFERROR(IF(VLOOKUP(B168,cnst_grazing!$C$10:$H$25,5,FALSE)="", IF(VLOOKUP(B168, cnst_grazing!$C$10:$H$25,3,FALSE)="", VLOOKUP(B168, cnst_grazing!$C$10:$H$25,4,FALSE),VLOOKUP(B168, cnst_grazing!$C$10:$H$25,3,FALSE)), VLOOKUP(B168,cnst_grazing!$C$10:$H$25,5,FALSE)),1)</f>
        <v>1</v>
      </c>
      <c r="Y168" s="2">
        <f>IFERROR(IF(VLOOKUP(B168,cnst_grazing!$C$10:$H$25,6,FALSE)="", IF(VLOOKUP(B168, cnst_grazing!$C$10:$H$25,4,FALSE)="", VLOOKUP(B168, cnst_grazing!$C$10:$H$25,3,FALSE),VLOOKUP(B168, cnst_grazing!$C$10:$H$25,4,FALSE)), VLOOKUP(B168,cnst_grazing!$C$10:$H$25,6,FALSE)),1)</f>
        <v>1</v>
      </c>
      <c r="Z168" s="400">
        <f t="shared" si="64"/>
        <v>1</v>
      </c>
      <c r="AA168" s="2" t="e">
        <f t="shared" si="65"/>
        <v>#N/A</v>
      </c>
      <c r="AB168" s="2" t="e">
        <f>VLOOKUP($W168,feed_mix_n,MATCH(AB$5,feed_mix_w!$B$5:$AC$5,0),FALSE)/$Z168*VLOOKUP(AB$5,feed_intensity_w,11,FALSE)</f>
        <v>#N/A</v>
      </c>
      <c r="AC168" s="2" t="e">
        <f>VLOOKUP($W168,feed_mix_n,MATCH(AC$5,feed_mix_w!$B$5:$AC$5,0),FALSE)/$Z168*VLOOKUP(AC$5,feed_intensity_w,11,FALSE)</f>
        <v>#N/A</v>
      </c>
      <c r="AD168" s="2" t="e">
        <f>VLOOKUP($W168,feed_mix_n,MATCH(AD$5,feed_mix_w!$B$5:$AC$5,0),FALSE)/$Z168*VLOOKUP(AD$5,feed_intensity_w,11,FALSE)</f>
        <v>#N/A</v>
      </c>
      <c r="AE168" s="2" t="e">
        <f>VLOOKUP($W168,feed_mix_n,MATCH(AE$5,feed_mix_w!$B$5:$AC$5,0),FALSE)/$Z168*VLOOKUP(AE$5,feed_intensity_w,11,FALSE)</f>
        <v>#N/A</v>
      </c>
      <c r="AF168" s="2" t="e">
        <f>VLOOKUP($W168,feed_mix_n,MATCH(AF$5,feed_mix_w!$B$5:$AC$5,0),FALSE)/$Z168*VLOOKUP(AF$5,feed_intensity_w,11,FALSE)</f>
        <v>#N/A</v>
      </c>
      <c r="AG168" s="2" t="e">
        <f>VLOOKUP($W168,feed_mix_n,MATCH(AG$5,feed_mix_w!$B$5:$AC$5,0),FALSE)/$Z168*VLOOKUP(AG$5,feed_intensity_w,11,FALSE)</f>
        <v>#N/A</v>
      </c>
      <c r="AH168" s="2" t="e">
        <f>VLOOKUP($W168,feed_mix_n,MATCH(AH$5,feed_mix_w!$B$5:$AC$5,0),FALSE)/$Z168*VLOOKUP(AH$5,feed_intensity_w,11,FALSE)</f>
        <v>#N/A</v>
      </c>
      <c r="AI168" s="2" t="e">
        <f>VLOOKUP($W168,feed_mix_n,MATCH(AI$5,feed_mix_w!$B$5:$AC$5,0),FALSE)/$Z168*VLOOKUP(AI$5,feed_intensity_w,11,FALSE)</f>
        <v>#N/A</v>
      </c>
      <c r="AJ168" s="2" t="e">
        <f>VLOOKUP($W168,feed_mix_n,MATCH(AJ$5,feed_mix_w!$B$5:$AC$5,0),FALSE)/$Z168*VLOOKUP(AJ$5,feed_intensity_w,11,FALSE)</f>
        <v>#N/A</v>
      </c>
      <c r="AK168" s="2" t="e">
        <f>VLOOKUP($W168,feed_mix_n,MATCH(AK$5,feed_mix_w!$B$5:$AC$5,0),FALSE)/$Z168*VLOOKUP(AK$5,feed_intensity_w,11,FALSE)</f>
        <v>#N/A</v>
      </c>
      <c r="AL168" s="2" t="e">
        <f>VLOOKUP($W168,feed_mix_n,MATCH(AL$5,feed_mix_w!$B$5:$AC$5,0),FALSE)/$Z168*VLOOKUP(AL$5,feed_intensity_w,11,FALSE)</f>
        <v>#N/A</v>
      </c>
      <c r="AM168" s="2" t="e">
        <f>VLOOKUP($W168,feed_mix_n,MATCH(AM$5,feed_mix_w!$B$5:$AC$5,0),FALSE)/$Z168*VLOOKUP(AM$5,feed_intensity_w,11,FALSE)</f>
        <v>#N/A</v>
      </c>
      <c r="AN168" s="2" t="e">
        <f>VLOOKUP($W168,feed_mix_n,MATCH(AN$5,feed_mix_w!$B$5:$AC$5,0),FALSE)/$Z168*VLOOKUP(AN$5,feed_intensity_w,11,FALSE)</f>
        <v>#N/A</v>
      </c>
      <c r="AO168" s="2" t="e">
        <f>VLOOKUP($W168,feed_mix_n,MATCH(AO$5,feed_mix_w!$B$5:$AC$5,0),FALSE)/$Z168*VLOOKUP(AO$5,feed_intensity_w,11,FALSE)</f>
        <v>#N/A</v>
      </c>
      <c r="AP168" s="2" t="e">
        <f>VLOOKUP($W168,feed_mix_n,MATCH(AP$5,feed_mix_w!$B$5:$AC$5,0),FALSE)/$Z168*VLOOKUP(AP$5,feed_intensity_w,11,FALSE)</f>
        <v>#N/A</v>
      </c>
      <c r="AQ168" s="2" t="e">
        <f>VLOOKUP($W168,feed_mix_n,MATCH(AQ$5,feed_mix_w!$B$5:$AC$5,0),FALSE)/$Z168*VLOOKUP(AQ$5,feed_intensity_w,11,FALSE)</f>
        <v>#N/A</v>
      </c>
      <c r="AR168" s="2" t="e">
        <f>VLOOKUP($W168,feed_mix_n,MATCH(AR$5,feed_mix_w!$B$5:$AC$5,0),FALSE)/$Z168*VLOOKUP(AR$5,feed_intensity_w,11,FALSE)</f>
        <v>#N/A</v>
      </c>
      <c r="AS168" s="389" t="e">
        <f>VLOOKUP($W168,feed_mix_n,MATCH(AS$5,feed_mix_w!$B$5:$AC$5,0),FALSE)/$Z168*VLOOKUP(AS$5,feed_intensity_w,11,FALSE)</f>
        <v>#N/A</v>
      </c>
    </row>
    <row r="169" spans="1:45" ht="12.75" customHeight="1">
      <c r="A169" s="14" t="s">
        <v>7206</v>
      </c>
      <c r="B169" s="482">
        <v>1243</v>
      </c>
      <c r="C169" s="24" t="s">
        <v>1207</v>
      </c>
      <c r="D169" s="513">
        <v>76460</v>
      </c>
      <c r="E169" s="513">
        <v>86989</v>
      </c>
      <c r="F169" s="25">
        <f t="shared" si="55"/>
        <v>76460</v>
      </c>
      <c r="G169" s="25">
        <f t="shared" si="56"/>
        <v>86989</v>
      </c>
      <c r="H169" s="2" t="e">
        <f t="shared" si="57"/>
        <v>#N/A</v>
      </c>
      <c r="I169" s="25">
        <f t="shared" si="58"/>
        <v>0</v>
      </c>
      <c r="J169" s="87">
        <f>IFERROR(G169*VLOOKUP(W169,livestock_intensity!$B$7:$I$29,8,FALSE)/Z169,0)</f>
        <v>0</v>
      </c>
      <c r="K169" s="2" t="e">
        <f>VLOOKUP($W169,feed_mix_n,MATCH(K$5,feed_mix_w!$B$5:$AC$5,0),FALSE)/$Z169*VLOOKUP(K$5,feed_intensity_w,11,FALSE)</f>
        <v>#N/A</v>
      </c>
      <c r="L169" s="25">
        <f t="shared" si="59"/>
        <v>0</v>
      </c>
      <c r="M169" s="25">
        <f>IFERROR(G169*VLOOKUP(W169,livestock_intensity!$B$7:$M$29,12,FALSE)/Z169,0)</f>
        <v>0</v>
      </c>
      <c r="N169" s="2" t="e">
        <f>VLOOKUP($W169,feed_mix_n,MATCH(N$5,feed_mix_w!$B$5:$AC$5,0),FALSE)/$Z169*VLOOKUP(N$5,feed_intensity_w,11,FALSE)</f>
        <v>#N/A</v>
      </c>
      <c r="O169" s="25">
        <f t="shared" si="60"/>
        <v>0</v>
      </c>
      <c r="P169" s="343">
        <f>IFERROR(G169*VLOOKUP(W169,livestock_intensity!$B$7:$Q$29,16,FALSE)/Z169,0)</f>
        <v>0</v>
      </c>
      <c r="Q169" s="758"/>
      <c r="R169" s="331">
        <f t="shared" si="61"/>
        <v>0</v>
      </c>
      <c r="S169" s="331">
        <f t="shared" si="62"/>
        <v>0</v>
      </c>
      <c r="T169" s="739" t="s">
        <v>2738</v>
      </c>
      <c r="U169" s="558" t="s">
        <v>2796</v>
      </c>
      <c r="V169" s="559">
        <f>IFERROR(VLOOKUP(W169,constant_ag_extr!$D$7:$E$594,2,FALSE),"")</f>
        <v>0</v>
      </c>
      <c r="W169" s="560" t="str">
        <f t="shared" si="63"/>
        <v/>
      </c>
      <c r="X169" s="2">
        <f>IFERROR(IF(VLOOKUP(B169,cnst_grazing!$C$10:$H$25,5,FALSE)="", IF(VLOOKUP(B169, cnst_grazing!$C$10:$H$25,3,FALSE)="", VLOOKUP(B169, cnst_grazing!$C$10:$H$25,4,FALSE),VLOOKUP(B169, cnst_grazing!$C$10:$H$25,3,FALSE)), VLOOKUP(B169,cnst_grazing!$C$10:$H$25,5,FALSE)),1)</f>
        <v>1</v>
      </c>
      <c r="Y169" s="2">
        <f>IFERROR(IF(VLOOKUP(B169,cnst_grazing!$C$10:$H$25,6,FALSE)="", IF(VLOOKUP(B169, cnst_grazing!$C$10:$H$25,4,FALSE)="", VLOOKUP(B169, cnst_grazing!$C$10:$H$25,3,FALSE),VLOOKUP(B169, cnst_grazing!$C$10:$H$25,4,FALSE)), VLOOKUP(B169,cnst_grazing!$C$10:$H$25,6,FALSE)),1)</f>
        <v>1</v>
      </c>
      <c r="Z169" s="400">
        <f t="shared" si="64"/>
        <v>1</v>
      </c>
      <c r="AA169" s="2" t="e">
        <f t="shared" si="65"/>
        <v>#N/A</v>
      </c>
      <c r="AB169" s="2" t="e">
        <f>VLOOKUP($W169,feed_mix_n,MATCH(AB$5,feed_mix_w!$B$5:$AC$5,0),FALSE)/$Z169*VLOOKUP(AB$5,feed_intensity_w,11,FALSE)</f>
        <v>#N/A</v>
      </c>
      <c r="AC169" s="2" t="e">
        <f>VLOOKUP($W169,feed_mix_n,MATCH(AC$5,feed_mix_w!$B$5:$AC$5,0),FALSE)/$Z169*VLOOKUP(AC$5,feed_intensity_w,11,FALSE)</f>
        <v>#N/A</v>
      </c>
      <c r="AD169" s="2" t="e">
        <f>VLOOKUP($W169,feed_mix_n,MATCH(AD$5,feed_mix_w!$B$5:$AC$5,0),FALSE)/$Z169*VLOOKUP(AD$5,feed_intensity_w,11,FALSE)</f>
        <v>#N/A</v>
      </c>
      <c r="AE169" s="2" t="e">
        <f>VLOOKUP($W169,feed_mix_n,MATCH(AE$5,feed_mix_w!$B$5:$AC$5,0),FALSE)/$Z169*VLOOKUP(AE$5,feed_intensity_w,11,FALSE)</f>
        <v>#N/A</v>
      </c>
      <c r="AF169" s="2" t="e">
        <f>VLOOKUP($W169,feed_mix_n,MATCH(AF$5,feed_mix_w!$B$5:$AC$5,0),FALSE)/$Z169*VLOOKUP(AF$5,feed_intensity_w,11,FALSE)</f>
        <v>#N/A</v>
      </c>
      <c r="AG169" s="2" t="e">
        <f>VLOOKUP($W169,feed_mix_n,MATCH(AG$5,feed_mix_w!$B$5:$AC$5,0),FALSE)/$Z169*VLOOKUP(AG$5,feed_intensity_w,11,FALSE)</f>
        <v>#N/A</v>
      </c>
      <c r="AH169" s="2" t="e">
        <f>VLOOKUP($W169,feed_mix_n,MATCH(AH$5,feed_mix_w!$B$5:$AC$5,0),FALSE)/$Z169*VLOOKUP(AH$5,feed_intensity_w,11,FALSE)</f>
        <v>#N/A</v>
      </c>
      <c r="AI169" s="2" t="e">
        <f>VLOOKUP($W169,feed_mix_n,MATCH(AI$5,feed_mix_w!$B$5:$AC$5,0),FALSE)/$Z169*VLOOKUP(AI$5,feed_intensity_w,11,FALSE)</f>
        <v>#N/A</v>
      </c>
      <c r="AJ169" s="2" t="e">
        <f>VLOOKUP($W169,feed_mix_n,MATCH(AJ$5,feed_mix_w!$B$5:$AC$5,0),FALSE)/$Z169*VLOOKUP(AJ$5,feed_intensity_w,11,FALSE)</f>
        <v>#N/A</v>
      </c>
      <c r="AK169" s="2" t="e">
        <f>VLOOKUP($W169,feed_mix_n,MATCH(AK$5,feed_mix_w!$B$5:$AC$5,0),FALSE)/$Z169*VLOOKUP(AK$5,feed_intensity_w,11,FALSE)</f>
        <v>#N/A</v>
      </c>
      <c r="AL169" s="2" t="e">
        <f>VLOOKUP($W169,feed_mix_n,MATCH(AL$5,feed_mix_w!$B$5:$AC$5,0),FALSE)/$Z169*VLOOKUP(AL$5,feed_intensity_w,11,FALSE)</f>
        <v>#N/A</v>
      </c>
      <c r="AM169" s="2" t="e">
        <f>VLOOKUP($W169,feed_mix_n,MATCH(AM$5,feed_mix_w!$B$5:$AC$5,0),FALSE)/$Z169*VLOOKUP(AM$5,feed_intensity_w,11,FALSE)</f>
        <v>#N/A</v>
      </c>
      <c r="AN169" s="2" t="e">
        <f>VLOOKUP($W169,feed_mix_n,MATCH(AN$5,feed_mix_w!$B$5:$AC$5,0),FALSE)/$Z169*VLOOKUP(AN$5,feed_intensity_w,11,FALSE)</f>
        <v>#N/A</v>
      </c>
      <c r="AO169" s="2" t="e">
        <f>VLOOKUP($W169,feed_mix_n,MATCH(AO$5,feed_mix_w!$B$5:$AC$5,0),FALSE)/$Z169*VLOOKUP(AO$5,feed_intensity_w,11,FALSE)</f>
        <v>#N/A</v>
      </c>
      <c r="AP169" s="2" t="e">
        <f>VLOOKUP($W169,feed_mix_n,MATCH(AP$5,feed_mix_w!$B$5:$AC$5,0),FALSE)/$Z169*VLOOKUP(AP$5,feed_intensity_w,11,FALSE)</f>
        <v>#N/A</v>
      </c>
      <c r="AQ169" s="2" t="e">
        <f>VLOOKUP($W169,feed_mix_n,MATCH(AQ$5,feed_mix_w!$B$5:$AC$5,0),FALSE)/$Z169*VLOOKUP(AQ$5,feed_intensity_w,11,FALSE)</f>
        <v>#N/A</v>
      </c>
      <c r="AR169" s="2" t="e">
        <f>VLOOKUP($W169,feed_mix_n,MATCH(AR$5,feed_mix_w!$B$5:$AC$5,0),FALSE)/$Z169*VLOOKUP(AR$5,feed_intensity_w,11,FALSE)</f>
        <v>#N/A</v>
      </c>
      <c r="AS169" s="389" t="e">
        <f>VLOOKUP($W169,feed_mix_n,MATCH(AS$5,feed_mix_w!$B$5:$AC$5,0),FALSE)/$Z169*VLOOKUP(AS$5,feed_intensity_w,11,FALSE)</f>
        <v>#N/A</v>
      </c>
    </row>
    <row r="170" spans="1:45" ht="12.75" customHeight="1">
      <c r="A170" s="14" t="s">
        <v>7207</v>
      </c>
      <c r="B170" s="482">
        <v>1276</v>
      </c>
      <c r="C170" s="24">
        <v>3823.1</v>
      </c>
      <c r="D170" s="513">
        <v>61810</v>
      </c>
      <c r="E170" s="513">
        <v>14489</v>
      </c>
      <c r="F170" s="25">
        <f t="shared" si="55"/>
        <v>61810</v>
      </c>
      <c r="G170" s="25">
        <f t="shared" si="56"/>
        <v>14489</v>
      </c>
      <c r="H170" s="2" t="e">
        <f t="shared" si="57"/>
        <v>#N/A</v>
      </c>
      <c r="I170" s="25">
        <f t="shared" si="58"/>
        <v>0</v>
      </c>
      <c r="J170" s="87">
        <f>IFERROR(G170*VLOOKUP(W170,livestock_intensity!$B$7:$I$29,8,FALSE)/Z170,0)</f>
        <v>0</v>
      </c>
      <c r="K170" s="2" t="e">
        <f>VLOOKUP($W170,feed_mix_n,MATCH(K$5,feed_mix_w!$B$5:$AC$5,0),FALSE)/$Z170*VLOOKUP(K$5,feed_intensity_w,11,FALSE)</f>
        <v>#N/A</v>
      </c>
      <c r="L170" s="25">
        <f t="shared" si="59"/>
        <v>0</v>
      </c>
      <c r="M170" s="25">
        <f>IFERROR(G170*VLOOKUP(W170,livestock_intensity!$B$7:$M$29,12,FALSE)/Z170,0)</f>
        <v>0</v>
      </c>
      <c r="N170" s="2" t="e">
        <f>VLOOKUP($W170,feed_mix_n,MATCH(N$5,feed_mix_w!$B$5:$AC$5,0),FALSE)/$Z170*VLOOKUP(N$5,feed_intensity_w,11,FALSE)</f>
        <v>#N/A</v>
      </c>
      <c r="O170" s="25">
        <f t="shared" si="60"/>
        <v>0</v>
      </c>
      <c r="P170" s="343">
        <f>IFERROR(G170*VLOOKUP(W170,livestock_intensity!$B$7:$Q$29,16,FALSE)/Z170,0)</f>
        <v>0</v>
      </c>
      <c r="Q170" s="758"/>
      <c r="R170" s="331">
        <f t="shared" si="61"/>
        <v>0</v>
      </c>
      <c r="S170" s="331">
        <f t="shared" si="62"/>
        <v>0</v>
      </c>
      <c r="T170" s="739" t="s">
        <v>2738</v>
      </c>
      <c r="U170" s="558" t="s">
        <v>2796</v>
      </c>
      <c r="V170" s="559">
        <f>IFERROR(VLOOKUP(W170,constant_ag_extr!$D$7:$E$594,2,FALSE),"")</f>
        <v>0</v>
      </c>
      <c r="W170" s="560" t="str">
        <f t="shared" si="63"/>
        <v/>
      </c>
      <c r="X170" s="2">
        <f>IFERROR(IF(VLOOKUP(B170,cnst_grazing!$C$10:$H$25,5,FALSE)="", IF(VLOOKUP(B170, cnst_grazing!$C$10:$H$25,3,FALSE)="", VLOOKUP(B170, cnst_grazing!$C$10:$H$25,4,FALSE),VLOOKUP(B170, cnst_grazing!$C$10:$H$25,3,FALSE)), VLOOKUP(B170,cnst_grazing!$C$10:$H$25,5,FALSE)),1)</f>
        <v>1</v>
      </c>
      <c r="Y170" s="2">
        <f>IFERROR(IF(VLOOKUP(B170,cnst_grazing!$C$10:$H$25,6,FALSE)="", IF(VLOOKUP(B170, cnst_grazing!$C$10:$H$25,4,FALSE)="", VLOOKUP(B170, cnst_grazing!$C$10:$H$25,3,FALSE),VLOOKUP(B170, cnst_grazing!$C$10:$H$25,4,FALSE)), VLOOKUP(B170,cnst_grazing!$C$10:$H$25,6,FALSE)),1)</f>
        <v>1</v>
      </c>
      <c r="Z170" s="400">
        <f t="shared" si="64"/>
        <v>1</v>
      </c>
      <c r="AA170" s="2" t="e">
        <f t="shared" si="65"/>
        <v>#N/A</v>
      </c>
      <c r="AB170" s="2" t="e">
        <f>VLOOKUP($W170,feed_mix_n,MATCH(AB$5,feed_mix_w!$B$5:$AC$5,0),FALSE)/$Z170*VLOOKUP(AB$5,feed_intensity_w,11,FALSE)</f>
        <v>#N/A</v>
      </c>
      <c r="AC170" s="2" t="e">
        <f>VLOOKUP($W170,feed_mix_n,MATCH(AC$5,feed_mix_w!$B$5:$AC$5,0),FALSE)/$Z170*VLOOKUP(AC$5,feed_intensity_w,11,FALSE)</f>
        <v>#N/A</v>
      </c>
      <c r="AD170" s="2" t="e">
        <f>VLOOKUP($W170,feed_mix_n,MATCH(AD$5,feed_mix_w!$B$5:$AC$5,0),FALSE)/$Z170*VLOOKUP(AD$5,feed_intensity_w,11,FALSE)</f>
        <v>#N/A</v>
      </c>
      <c r="AE170" s="2" t="e">
        <f>VLOOKUP($W170,feed_mix_n,MATCH(AE$5,feed_mix_w!$B$5:$AC$5,0),FALSE)/$Z170*VLOOKUP(AE$5,feed_intensity_w,11,FALSE)</f>
        <v>#N/A</v>
      </c>
      <c r="AF170" s="2" t="e">
        <f>VLOOKUP($W170,feed_mix_n,MATCH(AF$5,feed_mix_w!$B$5:$AC$5,0),FALSE)/$Z170*VLOOKUP(AF$5,feed_intensity_w,11,FALSE)</f>
        <v>#N/A</v>
      </c>
      <c r="AG170" s="2" t="e">
        <f>VLOOKUP($W170,feed_mix_n,MATCH(AG$5,feed_mix_w!$B$5:$AC$5,0),FALSE)/$Z170*VLOOKUP(AG$5,feed_intensity_w,11,FALSE)</f>
        <v>#N/A</v>
      </c>
      <c r="AH170" s="2" t="e">
        <f>VLOOKUP($W170,feed_mix_n,MATCH(AH$5,feed_mix_w!$B$5:$AC$5,0),FALSE)/$Z170*VLOOKUP(AH$5,feed_intensity_w,11,FALSE)</f>
        <v>#N/A</v>
      </c>
      <c r="AI170" s="2" t="e">
        <f>VLOOKUP($W170,feed_mix_n,MATCH(AI$5,feed_mix_w!$B$5:$AC$5,0),FALSE)/$Z170*VLOOKUP(AI$5,feed_intensity_w,11,FALSE)</f>
        <v>#N/A</v>
      </c>
      <c r="AJ170" s="2" t="e">
        <f>VLOOKUP($W170,feed_mix_n,MATCH(AJ$5,feed_mix_w!$B$5:$AC$5,0),FALSE)/$Z170*VLOOKUP(AJ$5,feed_intensity_w,11,FALSE)</f>
        <v>#N/A</v>
      </c>
      <c r="AK170" s="2" t="e">
        <f>VLOOKUP($W170,feed_mix_n,MATCH(AK$5,feed_mix_w!$B$5:$AC$5,0),FALSE)/$Z170*VLOOKUP(AK$5,feed_intensity_w,11,FALSE)</f>
        <v>#N/A</v>
      </c>
      <c r="AL170" s="2" t="e">
        <f>VLOOKUP($W170,feed_mix_n,MATCH(AL$5,feed_mix_w!$B$5:$AC$5,0),FALSE)/$Z170*VLOOKUP(AL$5,feed_intensity_w,11,FALSE)</f>
        <v>#N/A</v>
      </c>
      <c r="AM170" s="2" t="e">
        <f>VLOOKUP($W170,feed_mix_n,MATCH(AM$5,feed_mix_w!$B$5:$AC$5,0),FALSE)/$Z170*VLOOKUP(AM$5,feed_intensity_w,11,FALSE)</f>
        <v>#N/A</v>
      </c>
      <c r="AN170" s="2" t="e">
        <f>VLOOKUP($W170,feed_mix_n,MATCH(AN$5,feed_mix_w!$B$5:$AC$5,0),FALSE)/$Z170*VLOOKUP(AN$5,feed_intensity_w,11,FALSE)</f>
        <v>#N/A</v>
      </c>
      <c r="AO170" s="2" t="e">
        <f>VLOOKUP($W170,feed_mix_n,MATCH(AO$5,feed_mix_w!$B$5:$AC$5,0),FALSE)/$Z170*VLOOKUP(AO$5,feed_intensity_w,11,FALSE)</f>
        <v>#N/A</v>
      </c>
      <c r="AP170" s="2" t="e">
        <f>VLOOKUP($W170,feed_mix_n,MATCH(AP$5,feed_mix_w!$B$5:$AC$5,0),FALSE)/$Z170*VLOOKUP(AP$5,feed_intensity_w,11,FALSE)</f>
        <v>#N/A</v>
      </c>
      <c r="AQ170" s="2" t="e">
        <f>VLOOKUP($W170,feed_mix_n,MATCH(AQ$5,feed_mix_w!$B$5:$AC$5,0),FALSE)/$Z170*VLOOKUP(AQ$5,feed_intensity_w,11,FALSE)</f>
        <v>#N/A</v>
      </c>
      <c r="AR170" s="2" t="e">
        <f>VLOOKUP($W170,feed_mix_n,MATCH(AR$5,feed_mix_w!$B$5:$AC$5,0),FALSE)/$Z170*VLOOKUP(AR$5,feed_intensity_w,11,FALSE)</f>
        <v>#N/A</v>
      </c>
      <c r="AS170" s="389" t="e">
        <f>VLOOKUP($W170,feed_mix_n,MATCH(AS$5,feed_mix_w!$B$5:$AC$5,0),FALSE)/$Z170*VLOOKUP(AS$5,feed_intensity_w,11,FALSE)</f>
        <v>#N/A</v>
      </c>
    </row>
    <row r="171" spans="1:45" ht="12.75" customHeight="1">
      <c r="A171" s="14" t="s">
        <v>7208</v>
      </c>
      <c r="B171" s="482">
        <v>1277</v>
      </c>
      <c r="C171" s="24" t="s">
        <v>683</v>
      </c>
      <c r="D171" s="513">
        <v>233</v>
      </c>
      <c r="E171" s="513">
        <v>1205</v>
      </c>
      <c r="F171" s="25">
        <f t="shared" si="55"/>
        <v>233</v>
      </c>
      <c r="G171" s="25">
        <f t="shared" si="56"/>
        <v>1205</v>
      </c>
      <c r="H171" s="2" t="e">
        <f t="shared" si="57"/>
        <v>#N/A</v>
      </c>
      <c r="I171" s="25">
        <f t="shared" si="58"/>
        <v>0</v>
      </c>
      <c r="J171" s="87">
        <f>IFERROR(G171*VLOOKUP(W171,livestock_intensity!$B$7:$I$29,8,FALSE)/Z171,0)</f>
        <v>0</v>
      </c>
      <c r="K171" s="2" t="e">
        <f>VLOOKUP($W171,feed_mix_n,MATCH(K$5,feed_mix_w!$B$5:$AC$5,0),FALSE)/$Z171*VLOOKUP(K$5,feed_intensity_w,11,FALSE)</f>
        <v>#N/A</v>
      </c>
      <c r="L171" s="25">
        <f t="shared" si="59"/>
        <v>0</v>
      </c>
      <c r="M171" s="25">
        <f>IFERROR(G171*VLOOKUP(W171,livestock_intensity!$B$7:$M$29,12,FALSE)/Z171,0)</f>
        <v>0</v>
      </c>
      <c r="N171" s="2" t="e">
        <f>VLOOKUP($W171,feed_mix_n,MATCH(N$5,feed_mix_w!$B$5:$AC$5,0),FALSE)/$Z171*VLOOKUP(N$5,feed_intensity_w,11,FALSE)</f>
        <v>#N/A</v>
      </c>
      <c r="O171" s="25">
        <f t="shared" si="60"/>
        <v>0</v>
      </c>
      <c r="P171" s="343">
        <f>IFERROR(G171*VLOOKUP(W171,livestock_intensity!$B$7:$Q$29,16,FALSE)/Z171,0)</f>
        <v>0</v>
      </c>
      <c r="Q171" s="758"/>
      <c r="R171" s="331">
        <f t="shared" si="61"/>
        <v>0</v>
      </c>
      <c r="S171" s="331">
        <f t="shared" si="62"/>
        <v>0</v>
      </c>
      <c r="T171" s="739" t="s">
        <v>2738</v>
      </c>
      <c r="U171" s="558" t="s">
        <v>2796</v>
      </c>
      <c r="V171" s="559">
        <f>IFERROR(VLOOKUP(W171,constant_ag_extr!$D$7:$E$594,2,FALSE),"")</f>
        <v>0</v>
      </c>
      <c r="W171" s="560" t="str">
        <f t="shared" si="63"/>
        <v/>
      </c>
      <c r="X171" s="2">
        <f>IFERROR(IF(VLOOKUP(B171,cnst_grazing!$C$10:$H$25,5,FALSE)="", IF(VLOOKUP(B171, cnst_grazing!$C$10:$H$25,3,FALSE)="", VLOOKUP(B171, cnst_grazing!$C$10:$H$25,4,FALSE),VLOOKUP(B171, cnst_grazing!$C$10:$H$25,3,FALSE)), VLOOKUP(B171,cnst_grazing!$C$10:$H$25,5,FALSE)),1)</f>
        <v>1</v>
      </c>
      <c r="Y171" s="2">
        <f>IFERROR(IF(VLOOKUP(B171,cnst_grazing!$C$10:$H$25,6,FALSE)="", IF(VLOOKUP(B171, cnst_grazing!$C$10:$H$25,4,FALSE)="", VLOOKUP(B171, cnst_grazing!$C$10:$H$25,3,FALSE),VLOOKUP(B171, cnst_grazing!$C$10:$H$25,4,FALSE)), VLOOKUP(B171,cnst_grazing!$C$10:$H$25,6,FALSE)),1)</f>
        <v>1</v>
      </c>
      <c r="Z171" s="400">
        <f t="shared" si="64"/>
        <v>1</v>
      </c>
      <c r="AA171" s="2" t="e">
        <f t="shared" si="65"/>
        <v>#N/A</v>
      </c>
      <c r="AB171" s="2" t="e">
        <f>VLOOKUP($W171,feed_mix_n,MATCH(AB$5,feed_mix_w!$B$5:$AC$5,0),FALSE)/$Z171*VLOOKUP(AB$5,feed_intensity_w,11,FALSE)</f>
        <v>#N/A</v>
      </c>
      <c r="AC171" s="2" t="e">
        <f>VLOOKUP($W171,feed_mix_n,MATCH(AC$5,feed_mix_w!$B$5:$AC$5,0),FALSE)/$Z171*VLOOKUP(AC$5,feed_intensity_w,11,FALSE)</f>
        <v>#N/A</v>
      </c>
      <c r="AD171" s="2" t="e">
        <f>VLOOKUP($W171,feed_mix_n,MATCH(AD$5,feed_mix_w!$B$5:$AC$5,0),FALSE)/$Z171*VLOOKUP(AD$5,feed_intensity_w,11,FALSE)</f>
        <v>#N/A</v>
      </c>
      <c r="AE171" s="2" t="e">
        <f>VLOOKUP($W171,feed_mix_n,MATCH(AE$5,feed_mix_w!$B$5:$AC$5,0),FALSE)/$Z171*VLOOKUP(AE$5,feed_intensity_w,11,FALSE)</f>
        <v>#N/A</v>
      </c>
      <c r="AF171" s="2" t="e">
        <f>VLOOKUP($W171,feed_mix_n,MATCH(AF$5,feed_mix_w!$B$5:$AC$5,0),FALSE)/$Z171*VLOOKUP(AF$5,feed_intensity_w,11,FALSE)</f>
        <v>#N/A</v>
      </c>
      <c r="AG171" s="2" t="e">
        <f>VLOOKUP($W171,feed_mix_n,MATCH(AG$5,feed_mix_w!$B$5:$AC$5,0),FALSE)/$Z171*VLOOKUP(AG$5,feed_intensity_w,11,FALSE)</f>
        <v>#N/A</v>
      </c>
      <c r="AH171" s="2" t="e">
        <f>VLOOKUP($W171,feed_mix_n,MATCH(AH$5,feed_mix_w!$B$5:$AC$5,0),FALSE)/$Z171*VLOOKUP(AH$5,feed_intensity_w,11,FALSE)</f>
        <v>#N/A</v>
      </c>
      <c r="AI171" s="2" t="e">
        <f>VLOOKUP($W171,feed_mix_n,MATCH(AI$5,feed_mix_w!$B$5:$AC$5,0),FALSE)/$Z171*VLOOKUP(AI$5,feed_intensity_w,11,FALSE)</f>
        <v>#N/A</v>
      </c>
      <c r="AJ171" s="2" t="e">
        <f>VLOOKUP($W171,feed_mix_n,MATCH(AJ$5,feed_mix_w!$B$5:$AC$5,0),FALSE)/$Z171*VLOOKUP(AJ$5,feed_intensity_w,11,FALSE)</f>
        <v>#N/A</v>
      </c>
      <c r="AK171" s="2" t="e">
        <f>VLOOKUP($W171,feed_mix_n,MATCH(AK$5,feed_mix_w!$B$5:$AC$5,0),FALSE)/$Z171*VLOOKUP(AK$5,feed_intensity_w,11,FALSE)</f>
        <v>#N/A</v>
      </c>
      <c r="AL171" s="2" t="e">
        <f>VLOOKUP($W171,feed_mix_n,MATCH(AL$5,feed_mix_w!$B$5:$AC$5,0),FALSE)/$Z171*VLOOKUP(AL$5,feed_intensity_w,11,FALSE)</f>
        <v>#N/A</v>
      </c>
      <c r="AM171" s="2" t="e">
        <f>VLOOKUP($W171,feed_mix_n,MATCH(AM$5,feed_mix_w!$B$5:$AC$5,0),FALSE)/$Z171*VLOOKUP(AM$5,feed_intensity_w,11,FALSE)</f>
        <v>#N/A</v>
      </c>
      <c r="AN171" s="2" t="e">
        <f>VLOOKUP($W171,feed_mix_n,MATCH(AN$5,feed_mix_w!$B$5:$AC$5,0),FALSE)/$Z171*VLOOKUP(AN$5,feed_intensity_w,11,FALSE)</f>
        <v>#N/A</v>
      </c>
      <c r="AO171" s="2" t="e">
        <f>VLOOKUP($W171,feed_mix_n,MATCH(AO$5,feed_mix_w!$B$5:$AC$5,0),FALSE)/$Z171*VLOOKUP(AO$5,feed_intensity_w,11,FALSE)</f>
        <v>#N/A</v>
      </c>
      <c r="AP171" s="2" t="e">
        <f>VLOOKUP($W171,feed_mix_n,MATCH(AP$5,feed_mix_w!$B$5:$AC$5,0),FALSE)/$Z171*VLOOKUP(AP$5,feed_intensity_w,11,FALSE)</f>
        <v>#N/A</v>
      </c>
      <c r="AQ171" s="2" t="e">
        <f>VLOOKUP($W171,feed_mix_n,MATCH(AQ$5,feed_mix_w!$B$5:$AC$5,0),FALSE)/$Z171*VLOOKUP(AQ$5,feed_intensity_w,11,FALSE)</f>
        <v>#N/A</v>
      </c>
      <c r="AR171" s="2" t="e">
        <f>VLOOKUP($W171,feed_mix_n,MATCH(AR$5,feed_mix_w!$B$5:$AC$5,0),FALSE)/$Z171*VLOOKUP(AR$5,feed_intensity_w,11,FALSE)</f>
        <v>#N/A</v>
      </c>
      <c r="AS171" s="389" t="e">
        <f>VLOOKUP($W171,feed_mix_n,MATCH(AS$5,feed_mix_w!$B$5:$AC$5,0),FALSE)/$Z171*VLOOKUP(AS$5,feed_intensity_w,11,FALSE)</f>
        <v>#N/A</v>
      </c>
    </row>
    <row r="172" spans="1:45" ht="12.75" customHeight="1">
      <c r="A172" s="19" t="s">
        <v>2025</v>
      </c>
      <c r="B172" s="484">
        <v>1295</v>
      </c>
      <c r="C172" s="59" t="s">
        <v>1692</v>
      </c>
      <c r="D172" s="522"/>
      <c r="E172" s="522"/>
      <c r="F172" s="26">
        <f t="shared" si="55"/>
        <v>0</v>
      </c>
      <c r="G172" s="26">
        <f t="shared" si="56"/>
        <v>0</v>
      </c>
      <c r="H172" s="57" t="e">
        <f t="shared" si="57"/>
        <v>#N/A</v>
      </c>
      <c r="I172" s="26">
        <f t="shared" si="58"/>
        <v>0</v>
      </c>
      <c r="J172" s="88">
        <f>IFERROR(G172*VLOOKUP(W172,livestock_intensity!$B$7:$I$29,8,FALSE)/Z172,0)</f>
        <v>0</v>
      </c>
      <c r="K172" s="57" t="e">
        <f>VLOOKUP($W172,feed_mix_n,MATCH(K$5,feed_mix_w!$B$5:$AC$5,0),FALSE)/$Z172*VLOOKUP(K$5,feed_intensity_w,11,FALSE)</f>
        <v>#N/A</v>
      </c>
      <c r="L172" s="26">
        <f t="shared" si="59"/>
        <v>0</v>
      </c>
      <c r="M172" s="26">
        <f>IFERROR(G172*VLOOKUP(W172,livestock_intensity!$B$7:$M$29,12,FALSE)/Z172,0)</f>
        <v>0</v>
      </c>
      <c r="N172" s="57" t="e">
        <f>VLOOKUP($W172,feed_mix_n,MATCH(N$5,feed_mix_w!$B$5:$AC$5,0),FALSE)/$Z172*VLOOKUP(N$5,feed_intensity_w,11,FALSE)</f>
        <v>#N/A</v>
      </c>
      <c r="O172" s="26">
        <f t="shared" si="60"/>
        <v>0</v>
      </c>
      <c r="P172" s="44">
        <f>IFERROR(G172*VLOOKUP(W172,livestock_intensity!$B$7:$Q$29,16,FALSE)/Z172,0)</f>
        <v>0</v>
      </c>
      <c r="Q172" s="758"/>
      <c r="R172" s="388">
        <f t="shared" si="61"/>
        <v>0</v>
      </c>
      <c r="S172" s="388">
        <f t="shared" si="62"/>
        <v>0</v>
      </c>
      <c r="T172" s="740" t="s">
        <v>2738</v>
      </c>
      <c r="U172" s="561" t="s">
        <v>2796</v>
      </c>
      <c r="V172" s="562">
        <f>IFERROR(VLOOKUP(W172,constant_ag_extr!$D$7:$E$594,2,FALSE),"")</f>
        <v>0</v>
      </c>
      <c r="W172" s="563" t="str">
        <f t="shared" si="63"/>
        <v/>
      </c>
      <c r="X172" s="57">
        <f>IFERROR(IF(VLOOKUP(B172,cnst_grazing!$C$10:$H$25,5,FALSE)="", IF(VLOOKUP(B172, cnst_grazing!$C$10:$H$25,3,FALSE)="", VLOOKUP(B172, cnst_grazing!$C$10:$H$25,4,FALSE),VLOOKUP(B172, cnst_grazing!$C$10:$H$25,3,FALSE)), VLOOKUP(B172,cnst_grazing!$C$10:$H$25,5,FALSE)),1)</f>
        <v>1</v>
      </c>
      <c r="Y172" s="57">
        <f>IFERROR(IF(VLOOKUP(B172,cnst_grazing!$C$10:$H$25,6,FALSE)="", IF(VLOOKUP(B172, cnst_grazing!$C$10:$H$25,4,FALSE)="", VLOOKUP(B172, cnst_grazing!$C$10:$H$25,3,FALSE),VLOOKUP(B172, cnst_grazing!$C$10:$H$25,4,FALSE)), VLOOKUP(B172,cnst_grazing!$C$10:$H$25,6,FALSE)),1)</f>
        <v>1</v>
      </c>
      <c r="Z172" s="485">
        <f t="shared" si="64"/>
        <v>1</v>
      </c>
      <c r="AA172" s="57" t="e">
        <f t="shared" si="65"/>
        <v>#N/A</v>
      </c>
      <c r="AB172" s="57" t="e">
        <f>VLOOKUP($W172,feed_mix_n,MATCH(AB$5,feed_mix_w!$B$5:$AC$5,0),FALSE)/$Z172*VLOOKUP(AB$5,feed_intensity_w,11,FALSE)</f>
        <v>#N/A</v>
      </c>
      <c r="AC172" s="57" t="e">
        <f>VLOOKUP($W172,feed_mix_n,MATCH(AC$5,feed_mix_w!$B$5:$AC$5,0),FALSE)/$Z172*VLOOKUP(AC$5,feed_intensity_w,11,FALSE)</f>
        <v>#N/A</v>
      </c>
      <c r="AD172" s="57" t="e">
        <f>VLOOKUP($W172,feed_mix_n,MATCH(AD$5,feed_mix_w!$B$5:$AC$5,0),FALSE)/$Z172*VLOOKUP(AD$5,feed_intensity_w,11,FALSE)</f>
        <v>#N/A</v>
      </c>
      <c r="AE172" s="57" t="e">
        <f>VLOOKUP($W172,feed_mix_n,MATCH(AE$5,feed_mix_w!$B$5:$AC$5,0),FALSE)/$Z172*VLOOKUP(AE$5,feed_intensity_w,11,FALSE)</f>
        <v>#N/A</v>
      </c>
      <c r="AF172" s="57" t="e">
        <f>VLOOKUP($W172,feed_mix_n,MATCH(AF$5,feed_mix_w!$B$5:$AC$5,0),FALSE)/$Z172*VLOOKUP(AF$5,feed_intensity_w,11,FALSE)</f>
        <v>#N/A</v>
      </c>
      <c r="AG172" s="57" t="e">
        <f>VLOOKUP($W172,feed_mix_n,MATCH(AG$5,feed_mix_w!$B$5:$AC$5,0),FALSE)/$Z172*VLOOKUP(AG$5,feed_intensity_w,11,FALSE)</f>
        <v>#N/A</v>
      </c>
      <c r="AH172" s="57" t="e">
        <f>VLOOKUP($W172,feed_mix_n,MATCH(AH$5,feed_mix_w!$B$5:$AC$5,0),FALSE)/$Z172*VLOOKUP(AH$5,feed_intensity_w,11,FALSE)</f>
        <v>#N/A</v>
      </c>
      <c r="AI172" s="57" t="e">
        <f>VLOOKUP($W172,feed_mix_n,MATCH(AI$5,feed_mix_w!$B$5:$AC$5,0),FALSE)/$Z172*VLOOKUP(AI$5,feed_intensity_w,11,FALSE)</f>
        <v>#N/A</v>
      </c>
      <c r="AJ172" s="57" t="e">
        <f>VLOOKUP($W172,feed_mix_n,MATCH(AJ$5,feed_mix_w!$B$5:$AC$5,0),FALSE)/$Z172*VLOOKUP(AJ$5,feed_intensity_w,11,FALSE)</f>
        <v>#N/A</v>
      </c>
      <c r="AK172" s="57" t="e">
        <f>VLOOKUP($W172,feed_mix_n,MATCH(AK$5,feed_mix_w!$B$5:$AC$5,0),FALSE)/$Z172*VLOOKUP(AK$5,feed_intensity_w,11,FALSE)</f>
        <v>#N/A</v>
      </c>
      <c r="AL172" s="57" t="e">
        <f>VLOOKUP($W172,feed_mix_n,MATCH(AL$5,feed_mix_w!$B$5:$AC$5,0),FALSE)/$Z172*VLOOKUP(AL$5,feed_intensity_w,11,FALSE)</f>
        <v>#N/A</v>
      </c>
      <c r="AM172" s="57" t="e">
        <f>VLOOKUP($W172,feed_mix_n,MATCH(AM$5,feed_mix_w!$B$5:$AC$5,0),FALSE)/$Z172*VLOOKUP(AM$5,feed_intensity_w,11,FALSE)</f>
        <v>#N/A</v>
      </c>
      <c r="AN172" s="57" t="e">
        <f>VLOOKUP($W172,feed_mix_n,MATCH(AN$5,feed_mix_w!$B$5:$AC$5,0),FALSE)/$Z172*VLOOKUP(AN$5,feed_intensity_w,11,FALSE)</f>
        <v>#N/A</v>
      </c>
      <c r="AO172" s="57" t="e">
        <f>VLOOKUP($W172,feed_mix_n,MATCH(AO$5,feed_mix_w!$B$5:$AC$5,0),FALSE)/$Z172*VLOOKUP(AO$5,feed_intensity_w,11,FALSE)</f>
        <v>#N/A</v>
      </c>
      <c r="AP172" s="57" t="e">
        <f>VLOOKUP($W172,feed_mix_n,MATCH(AP$5,feed_mix_w!$B$5:$AC$5,0),FALSE)/$Z172*VLOOKUP(AP$5,feed_intensity_w,11,FALSE)</f>
        <v>#N/A</v>
      </c>
      <c r="AQ172" s="57" t="e">
        <f>VLOOKUP($W172,feed_mix_n,MATCH(AQ$5,feed_mix_w!$B$5:$AC$5,0),FALSE)/$Z172*VLOOKUP(AQ$5,feed_intensity_w,11,FALSE)</f>
        <v>#N/A</v>
      </c>
      <c r="AR172" s="57" t="e">
        <f>VLOOKUP($W172,feed_mix_n,MATCH(AR$5,feed_mix_w!$B$5:$AC$5,0),FALSE)/$Z172*VLOOKUP(AR$5,feed_intensity_w,11,FALSE)</f>
        <v>#N/A</v>
      </c>
      <c r="AS172" s="81" t="e">
        <f>VLOOKUP($W172,feed_mix_n,MATCH(AS$5,feed_mix_w!$B$5:$AC$5,0),FALSE)/$Z172*VLOOKUP(AS$5,feed_intensity_w,11,FALSE)</f>
        <v>#N/A</v>
      </c>
    </row>
  </sheetData>
  <sortState xmlns:xlrd2="http://schemas.microsoft.com/office/spreadsheetml/2017/richdata2" ref="A7:AT174">
    <sortCondition ref="B7:B174"/>
  </sortState>
  <phoneticPr fontId="5" type="noConversion"/>
  <conditionalFormatting sqref="X7:Y172">
    <cfRule type="cellIs" dxfId="13" priority="7" stopIfTrue="1" operator="equal">
      <formula>1</formula>
    </cfRule>
  </conditionalFormatting>
  <conditionalFormatting sqref="B7:B172">
    <cfRule type="duplicateValues" dxfId="12" priority="13"/>
  </conditionalFormatting>
  <conditionalFormatting sqref="X7:Y172">
    <cfRule type="cellIs" dxfId="11" priority="2" stopIfTrue="1" operator="equal">
      <formula>1</formula>
    </cfRule>
  </conditionalFormatting>
  <conditionalFormatting sqref="X7:Y172">
    <cfRule type="cellIs" dxfId="10" priority="1" stopIfTrue="1" operator="equal">
      <formula>1</formula>
    </cfRule>
  </conditionalFormatting>
  <hyperlinks>
    <hyperlink ref="D2" location="tbl_liveweight" tooltip="Go to cnst_grazing" display="cnst_grazing" xr:uid="{00000000-0004-0000-1C00-000000000000}"/>
    <hyperlink ref="G3" location="livestock_intensity!A1" tooltip="Go to livestock_intensity_n_crop" display="livestock_intensity" xr:uid="{00000000-0004-0000-1C00-000001000000}"/>
    <hyperlink ref="E3" location="ef_grazing!A1" tooltip="Go to ef_grazing" display="ef_grazing" xr:uid="{00000000-0004-0000-1C00-000002000000}"/>
    <hyperlink ref="D3" location="ef_crop!A1" tooltip="Go to ef_crop" display="ef_crop" xr:uid="{00000000-0004-0000-1C00-000003000000}"/>
    <hyperlink ref="F3" location="ef_fish!A1" display="ef_fish" xr:uid="{00000000-0004-0000-1C00-000004000000}"/>
    <hyperlink ref="E2" location="constant_ag_extr" display="constant_ag_extr" xr:uid="{00000000-0004-0000-1C00-000005000000}"/>
  </hyperlinks>
  <pageMargins left="0.75" right="0.75" top="1" bottom="1" header="0.5" footer="0.5"/>
  <pageSetup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7">
    <tabColor theme="7"/>
  </sheetPr>
  <dimension ref="A1:Q29"/>
  <sheetViews>
    <sheetView zoomScaleNormal="100" workbookViewId="0">
      <selection activeCell="A65536" sqref="A65536"/>
    </sheetView>
  </sheetViews>
  <sheetFormatPr defaultColWidth="9.1796875" defaultRowHeight="12.5"/>
  <cols>
    <col min="1" max="1" width="50.7265625" style="36" customWidth="1"/>
    <col min="2" max="2" width="14.81640625" style="36" customWidth="1"/>
    <col min="3" max="9" width="21.7265625" style="36" customWidth="1"/>
    <col min="10" max="10" width="16.81640625" style="36" customWidth="1"/>
    <col min="11" max="11" width="23.1796875" style="36" customWidth="1"/>
    <col min="12" max="12" width="17.1796875" style="36" customWidth="1"/>
    <col min="13" max="13" width="19.453125" style="36" customWidth="1"/>
    <col min="14" max="14" width="16.1796875" style="36" customWidth="1"/>
    <col min="15" max="15" width="20.453125" style="36" customWidth="1"/>
    <col min="16" max="16" width="15.26953125" style="36" customWidth="1"/>
    <col min="17" max="17" width="20.7265625" style="36" customWidth="1"/>
    <col min="18" max="16384" width="9.1796875" style="36"/>
  </cols>
  <sheetData>
    <row r="1" spans="1:17" ht="12.75" customHeight="1">
      <c r="B1" s="97"/>
      <c r="D1" s="97"/>
      <c r="E1" s="97"/>
      <c r="H1" s="97"/>
      <c r="I1" s="97"/>
    </row>
    <row r="2" spans="1:17" ht="12.75" customHeight="1">
      <c r="B2" s="37" t="s">
        <v>985</v>
      </c>
      <c r="C2" s="466" t="s">
        <v>8824</v>
      </c>
      <c r="D2" s="466" t="s">
        <v>1754</v>
      </c>
      <c r="E2" s="466" t="s">
        <v>1752</v>
      </c>
      <c r="F2" s="466" t="s">
        <v>1748</v>
      </c>
      <c r="G2" s="466" t="s">
        <v>5089</v>
      </c>
      <c r="H2" s="466" t="s">
        <v>1747</v>
      </c>
    </row>
    <row r="3" spans="1:17" ht="12.75" customHeight="1">
      <c r="B3" s="37" t="s">
        <v>986</v>
      </c>
      <c r="C3" s="466" t="s">
        <v>8824</v>
      </c>
      <c r="D3" s="466"/>
      <c r="E3" s="466"/>
      <c r="F3" s="466"/>
      <c r="G3" s="466"/>
      <c r="H3" s="466"/>
    </row>
    <row r="4" spans="1:17" ht="12.75" customHeight="1">
      <c r="F4" s="1202" t="s">
        <v>7585</v>
      </c>
      <c r="G4" s="1203"/>
      <c r="H4" s="1203"/>
      <c r="I4" s="1204"/>
      <c r="J4" s="1205" t="s">
        <v>7588</v>
      </c>
      <c r="K4" s="1206"/>
      <c r="L4" s="1206"/>
      <c r="M4" s="1207"/>
      <c r="N4" s="1208" t="s">
        <v>7589</v>
      </c>
      <c r="O4" s="1209"/>
      <c r="P4" s="1209"/>
      <c r="Q4" s="1210"/>
    </row>
    <row r="5" spans="1:17" ht="15">
      <c r="A5" s="982" t="s">
        <v>7548</v>
      </c>
      <c r="B5" s="928" t="s">
        <v>1907</v>
      </c>
      <c r="C5" s="928" t="s">
        <v>1906</v>
      </c>
      <c r="D5" s="928" t="s">
        <v>4883</v>
      </c>
      <c r="E5" s="928" t="s">
        <v>5060</v>
      </c>
      <c r="F5" s="747" t="s">
        <v>5061</v>
      </c>
      <c r="G5" s="743" t="s">
        <v>6919</v>
      </c>
      <c r="H5" s="743" t="s">
        <v>1301</v>
      </c>
      <c r="I5" s="744" t="s">
        <v>3987</v>
      </c>
      <c r="J5" s="1017" t="s">
        <v>5061</v>
      </c>
      <c r="K5" s="1017" t="s">
        <v>7586</v>
      </c>
      <c r="L5" s="1017" t="s">
        <v>1301</v>
      </c>
      <c r="M5" s="1019" t="s">
        <v>3987</v>
      </c>
      <c r="N5" s="928" t="s">
        <v>5061</v>
      </c>
      <c r="O5" s="928" t="s">
        <v>6919</v>
      </c>
      <c r="P5" s="928" t="s">
        <v>1301</v>
      </c>
      <c r="Q5" s="929" t="s">
        <v>3987</v>
      </c>
    </row>
    <row r="6" spans="1:17" s="120" customFormat="1" ht="14.5">
      <c r="A6" s="1111" t="s">
        <v>542</v>
      </c>
      <c r="B6" s="1091" t="s">
        <v>542</v>
      </c>
      <c r="C6" s="1091" t="s">
        <v>542</v>
      </c>
      <c r="D6" s="1091" t="s">
        <v>542</v>
      </c>
      <c r="E6" s="1091" t="s">
        <v>2977</v>
      </c>
      <c r="F6" s="1067" t="s">
        <v>720</v>
      </c>
      <c r="G6" s="1066" t="s">
        <v>2977</v>
      </c>
      <c r="H6" s="1066" t="s">
        <v>720</v>
      </c>
      <c r="I6" s="1112" t="s">
        <v>9248</v>
      </c>
      <c r="J6" s="1034" t="s">
        <v>720</v>
      </c>
      <c r="K6" s="1034" t="s">
        <v>2977</v>
      </c>
      <c r="L6" s="1034" t="s">
        <v>720</v>
      </c>
      <c r="M6" s="1047" t="s">
        <v>7587</v>
      </c>
      <c r="N6" s="1110" t="s">
        <v>720</v>
      </c>
      <c r="O6" s="1110" t="s">
        <v>2977</v>
      </c>
      <c r="P6" s="1110" t="s">
        <v>720</v>
      </c>
      <c r="Q6" s="1113" t="s">
        <v>2838</v>
      </c>
    </row>
    <row r="7" spans="1:17">
      <c r="A7" s="82" t="s">
        <v>3253</v>
      </c>
      <c r="B7" s="234">
        <v>1107</v>
      </c>
      <c r="C7" s="83" t="s">
        <v>5002</v>
      </c>
      <c r="D7" s="83" t="str">
        <f>A7</f>
        <v>Asses</v>
      </c>
      <c r="E7" s="25">
        <f>VLOOKUP(A7,resourcestat_livestock_n!$A$7:$D$22,4,FALSE)*IF(VLOOKUP(D7,cnst_grazing!$A$10:$F$25,6,FALSE)=0, VLOOKUP(D7, cnst_grazing!$A$10:$E$25, 5, FALSE), VLOOKUP(D7,cnst_grazing!$A$10:$F$25,6,FALSE))</f>
        <v>0</v>
      </c>
      <c r="F7" s="748">
        <f>VLOOKUP($B7,livestock_intensity_w,7,FALSE)*E7*livestock_feed_ef_n!$E$7*VLOOKUP(B7,livestock_feed_ef_n!$B$13:$E$34,4,FALSE)</f>
        <v>0</v>
      </c>
      <c r="G7" s="27">
        <f>VLOOKUP(B7,livestock_efi_efe!$B$7:$F$172,5,FALSE)</f>
        <v>1.6564164610712324</v>
      </c>
      <c r="H7" s="27">
        <f>VLOOKUP($B7,livestock_efi_efe!$B$7:$I$172,8,FALSE)</f>
        <v>16.697329692616634</v>
      </c>
      <c r="I7" s="121">
        <f>IF(ISERROR((F7+H7)/(E7+G7)),0,(F7+H7)/(E7+G7))</f>
        <v>10.08039347895528</v>
      </c>
      <c r="J7" s="748">
        <f>VLOOKUP($B7,livestock_intensity_w,10,FALSE)*E7*livestock_feed_ef_n!$E$9*VLOOKUP(B7,livestock_feed_ef_n!$B$13:$E$34,4,0)</f>
        <v>0</v>
      </c>
      <c r="K7" s="27">
        <f>VLOOKUP(B7,livestock_efi_efe!$B$7:$F$172,5,FALSE)</f>
        <v>1.6564164610712324</v>
      </c>
      <c r="L7" s="27">
        <f>VLOOKUP($B7,livestock_efi_efe!$B$7:$O$172,11,FALSE)</f>
        <v>0</v>
      </c>
      <c r="M7" s="121">
        <f>IF(ISERROR((J7+L7)/(E7+K7)),0,(J7+L7)/(E7+K7))</f>
        <v>0</v>
      </c>
      <c r="N7" s="27">
        <f>VLOOKUP($B7,livestock_intensity_w,13,FALSE)*E7*livestock_feed_ef_n!$E$8*VLOOKUP(B7,livestock_feed_ef_n!$B$13:$E$34,4,FALSE)</f>
        <v>0</v>
      </c>
      <c r="O7" s="27">
        <f>VLOOKUP(B7,livestock_efi_efe!$B$7:$F$172,5,FALSE)</f>
        <v>1.6564164610712324</v>
      </c>
      <c r="P7" s="27">
        <f>VLOOKUP($B7,livestock_efi_efe!$B$7:$P$172,14,FALSE)</f>
        <v>41.113070680477605</v>
      </c>
      <c r="Q7" s="121">
        <f>IF(ISERROR((N7+P7)/(E7+O7)),0,(N7+P7)/(E7+O7))</f>
        <v>24.82049149275484</v>
      </c>
    </row>
    <row r="8" spans="1:17">
      <c r="A8" s="84" t="s">
        <v>2157</v>
      </c>
      <c r="B8" s="233">
        <v>946</v>
      </c>
      <c r="C8" s="24" t="s">
        <v>2158</v>
      </c>
      <c r="D8" s="24" t="str">
        <f t="shared" ref="D8:D21" si="0">A8</f>
        <v>Buffaloes</v>
      </c>
      <c r="E8" s="25">
        <f>VLOOKUP(A8,resourcestat_livestock_n!$A$7:$D$22,4,FALSE)*IF(VLOOKUP(D8,cnst_grazing!$A$10:$F$25,6,FALSE)=0, VLOOKUP(D8, cnst_grazing!$A$10:$E$25, 5, FALSE), VLOOKUP(D8,cnst_grazing!$A$10:$F$25,6,FALSE))</f>
        <v>0</v>
      </c>
      <c r="F8" s="741">
        <f>VLOOKUP($B8,livestock_intensity_w,7,FALSE)*E8*livestock_feed_ef_n!$E$7*VLOOKUP(B8,livestock_feed_ef_n!$B$13:$E$34,4,FALSE)</f>
        <v>0</v>
      </c>
      <c r="G8" s="25">
        <f>VLOOKUP(B8,livestock_efi_efe!$B$7:$F$172,5,FALSE)</f>
        <v>0.41841201685665524</v>
      </c>
      <c r="H8" s="25">
        <f>VLOOKUP($B8,livestock_efi_efe!$B$7:$I$172,8,FALSE)</f>
        <v>3.1429914897284772</v>
      </c>
      <c r="I8" s="654">
        <f t="shared" ref="I8:I29" si="1">IF(ISERROR((F8+H8)/(E8+G8)),0,(F8+H8)/(E8+G8))</f>
        <v>7.5117142030011106</v>
      </c>
      <c r="J8" s="741">
        <f>VLOOKUP($B8,livestock_intensity_w,10,FALSE)*E8*livestock_feed_ef_n!$E$9*VLOOKUP(B8,livestock_feed_ef_n!$B$13:$E$34,4,0)</f>
        <v>0</v>
      </c>
      <c r="K8" s="25">
        <f>VLOOKUP(B8,livestock_efi_efe!$B$7:$F$172,5,FALSE)</f>
        <v>0.41841201685665524</v>
      </c>
      <c r="L8" s="25">
        <f>VLOOKUP($B8,livestock_efi_efe!$B$7:$O$172,11,FALSE)</f>
        <v>0</v>
      </c>
      <c r="M8" s="654">
        <f t="shared" ref="M8:M21" si="2">IF(ISERROR((J8+L8)/(E8+K8)),0,(J8+L8)/(E8+K8))</f>
        <v>0</v>
      </c>
      <c r="N8" s="25">
        <f>VLOOKUP($B8,livestock_intensity_w,13,FALSE)*E8*livestock_feed_ef_n!$E$8*VLOOKUP(B8,livestock_feed_ef_n!$B$13:$E$34,4,FALSE)</f>
        <v>0</v>
      </c>
      <c r="O8" s="25">
        <f>VLOOKUP(B8,livestock_efi_efe!$B$7:$F$172,5,FALSE)</f>
        <v>0.41841201685665524</v>
      </c>
      <c r="P8" s="25">
        <f>VLOOKUP($B8,livestock_efi_efe!$B$7:$P$172,14,FALSE)</f>
        <v>7.7388440932854783</v>
      </c>
      <c r="Q8" s="654">
        <f t="shared" ref="Q8:Q21" si="3">IF(ISERROR((N8+P8)/(E8+O8)),0,(N8+P8)/(E8+O8))</f>
        <v>18.495750077696137</v>
      </c>
    </row>
    <row r="9" spans="1:17">
      <c r="A9" s="84" t="s">
        <v>4903</v>
      </c>
      <c r="B9" s="233">
        <v>1126</v>
      </c>
      <c r="C9" s="24" t="s">
        <v>4904</v>
      </c>
      <c r="D9" s="24" t="str">
        <f t="shared" si="0"/>
        <v>Camels</v>
      </c>
      <c r="E9" s="25">
        <f>VLOOKUP(A9,resourcestat_livestock_n!$A$7:$D$22,4,FALSE)*IF(VLOOKUP(D9,cnst_grazing!$A$10:$F$25,6,FALSE)=0, VLOOKUP(D9, cnst_grazing!$A$10:$E$25, 5, FALSE), VLOOKUP(D9,cnst_grazing!$A$10:$F$25,6,FALSE))</f>
        <v>0</v>
      </c>
      <c r="F9" s="741">
        <f>VLOOKUP($B9,livestock_intensity_w,7,FALSE)*E9*livestock_feed_ef_n!$E$7*VLOOKUP(B9,livestock_feed_ef_n!$B$13:$E$34,4,FALSE)</f>
        <v>0</v>
      </c>
      <c r="G9" s="25">
        <f>VLOOKUP(B9,livestock_efi_efe!$B$7:$F$172,5,FALSE)</f>
        <v>0</v>
      </c>
      <c r="H9" s="25">
        <f>VLOOKUP($B9,livestock_efi_efe!$B$7:$I$172,8,FALSE)</f>
        <v>0</v>
      </c>
      <c r="I9" s="654">
        <f t="shared" si="1"/>
        <v>0</v>
      </c>
      <c r="J9" s="741">
        <f>VLOOKUP($B9,livestock_intensity_w,10,FALSE)*E9*livestock_feed_ef_n!$E$9*VLOOKUP(B9,livestock_feed_ef_n!$B$13:$E$34,4,0)</f>
        <v>0</v>
      </c>
      <c r="K9" s="25">
        <f>VLOOKUP(B9,livestock_efi_efe!$B$7:$F$172,5,FALSE)</f>
        <v>0</v>
      </c>
      <c r="L9" s="25">
        <f>VLOOKUP($B9,livestock_efi_efe!$B$7:$O$172,11,FALSE)</f>
        <v>0</v>
      </c>
      <c r="M9" s="654">
        <f t="shared" si="2"/>
        <v>0</v>
      </c>
      <c r="N9" s="25">
        <f>VLOOKUP($B9,livestock_intensity_w,13,FALSE)*E9*livestock_feed_ef_n!$E$8*VLOOKUP(B9,livestock_feed_ef_n!$B$13:$E$34,4,FALSE)</f>
        <v>0</v>
      </c>
      <c r="O9" s="25">
        <f>VLOOKUP(B9,livestock_efi_efe!$B$7:$F$172,5,FALSE)</f>
        <v>0</v>
      </c>
      <c r="P9" s="25">
        <f>VLOOKUP($B9,livestock_efi_efe!$B$7:$P$172,14,FALSE)</f>
        <v>0</v>
      </c>
      <c r="Q9" s="654">
        <f t="shared" si="3"/>
        <v>0</v>
      </c>
    </row>
    <row r="10" spans="1:17">
      <c r="A10" s="84" t="s">
        <v>4668</v>
      </c>
      <c r="B10" s="233">
        <v>866</v>
      </c>
      <c r="C10" s="24" t="s">
        <v>27</v>
      </c>
      <c r="D10" s="24" t="str">
        <f t="shared" si="0"/>
        <v>Cattle</v>
      </c>
      <c r="E10" s="25">
        <f>VLOOKUP(A10,resourcestat_livestock_n!$A$7:$D$22,4,FALSE)*IF(VLOOKUP(D10,cnst_grazing!$A$10:$F$25,6,FALSE)=0, VLOOKUP(D10, cnst_grazing!$A$10:$E$25, 5, FALSE), VLOOKUP(D10,cnst_grazing!$A$10:$F$25,6,FALSE))</f>
        <v>4110200.9542286396</v>
      </c>
      <c r="F10" s="741">
        <f>VLOOKUP($B10,livestock_intensity_w,7,FALSE)*E10*livestock_feed_ef_n!$E$7*VLOOKUP(B10,livestock_feed_ef_n!$B$13:$E$34,4,FALSE)</f>
        <v>17371178.655023959</v>
      </c>
      <c r="G10" s="25">
        <f>VLOOKUP(B10,livestock_efi_efe!$B$7:$F$172,5,FALSE)</f>
        <v>28771.094060133837</v>
      </c>
      <c r="H10" s="25">
        <f>VLOOKUP($B10,livestock_efi_efe!$B$7:$I$172,8,FALSE)</f>
        <v>104273.36969067347</v>
      </c>
      <c r="I10" s="654">
        <f t="shared" si="1"/>
        <v>4.2221720322899321</v>
      </c>
      <c r="J10" s="741">
        <f>VLOOKUP($B10,livestock_intensity_w,10,FALSE)*E10*livestock_feed_ef_n!$E$9*VLOOKUP(B10,livestock_feed_ef_n!$B$13:$E$34,4,0)</f>
        <v>0</v>
      </c>
      <c r="K10" s="25">
        <f>VLOOKUP(B10,livestock_efi_efe!$B$7:$F$172,5,FALSE)</f>
        <v>28771.094060133837</v>
      </c>
      <c r="L10" s="25">
        <f>VLOOKUP($B10,livestock_efi_efe!$B$7:$O$172,11,FALSE)</f>
        <v>0</v>
      </c>
      <c r="M10" s="654">
        <f t="shared" si="2"/>
        <v>0</v>
      </c>
      <c r="N10" s="25">
        <f>VLOOKUP($B10,livestock_intensity_w,13,FALSE)*E10*livestock_feed_ef_n!$E$8*VLOOKUP(B10,livestock_feed_ef_n!$B$13:$E$34,4,FALSE)</f>
        <v>22169568.626439106</v>
      </c>
      <c r="O10" s="25">
        <f>VLOOKUP(B10,livestock_efi_efe!$B$7:$F$172,5,FALSE)</f>
        <v>28771.094060133837</v>
      </c>
      <c r="P10" s="25">
        <f>VLOOKUP($B10,livestock_efi_efe!$B$7:$P$172,14,FALSE)</f>
        <v>256747.54569168569</v>
      </c>
      <c r="Q10" s="654">
        <f t="shared" si="3"/>
        <v>5.4183299404988201</v>
      </c>
    </row>
    <row r="11" spans="1:17">
      <c r="A11" s="84" t="s">
        <v>4551</v>
      </c>
      <c r="B11" s="233">
        <v>1057</v>
      </c>
      <c r="C11" s="24" t="s">
        <v>4552</v>
      </c>
      <c r="D11" s="24" t="str">
        <f t="shared" si="0"/>
        <v>Chickens</v>
      </c>
      <c r="E11" s="25">
        <f>VLOOKUP(A11,resourcestat_livestock_n!$A$7:$D$22,4,FALSE)*IF(VLOOKUP(D11,cnst_grazing!$A$10:$F$25,6,FALSE)=0, VLOOKUP(D11, cnst_grazing!$A$10:$E$25, 5, FALSE), VLOOKUP(D11,cnst_grazing!$A$10:$F$25,6,FALSE))</f>
        <v>293415.21121045575</v>
      </c>
      <c r="F11" s="741">
        <f>VLOOKUP($B11,livestock_intensity_w,7,FALSE)*E11*livestock_feed_ef_n!$E$7*VLOOKUP(B11,livestock_feed_ef_n!$B$13:$E$34,4,FALSE)</f>
        <v>493442.65713107411</v>
      </c>
      <c r="G11" s="25">
        <f>VLOOKUP(B11,livestock_efi_efe!$B$7:$F$172,5,FALSE)</f>
        <v>21537.982329770923</v>
      </c>
      <c r="H11" s="25">
        <f>VLOOKUP($B11,livestock_efi_efe!$B$7:$I$172,8,FALSE)</f>
        <v>28869.077185173908</v>
      </c>
      <c r="I11" s="654">
        <f t="shared" si="1"/>
        <v>1.6583789116256</v>
      </c>
      <c r="J11" s="741">
        <f>VLOOKUP($B11,livestock_intensity_w,10,FALSE)*E11*livestock_feed_ef_n!$E$9*VLOOKUP(B11,livestock_feed_ef_n!$B$13:$E$34,4,0)</f>
        <v>41103.734021960874</v>
      </c>
      <c r="K11" s="25">
        <f>VLOOKUP(B11,livestock_efi_efe!$B$7:$F$172,5,FALSE)</f>
        <v>21537.982329770923</v>
      </c>
      <c r="L11" s="25">
        <f>VLOOKUP($B11,livestock_efi_efe!$B$7:$O$172,11,FALSE)</f>
        <v>2299.4071959405319</v>
      </c>
      <c r="M11" s="654">
        <f t="shared" si="2"/>
        <v>0.13780822708933047</v>
      </c>
      <c r="N11" s="25">
        <f>VLOOKUP($B11,livestock_intensity_w,13,FALSE)*E11*livestock_feed_ef_n!$E$8*VLOOKUP(B11,livestock_feed_ef_n!$B$13:$E$34,4,FALSE)</f>
        <v>0</v>
      </c>
      <c r="O11" s="25">
        <f>VLOOKUP(B11,livestock_efi_efe!$B$7:$F$172,5,FALSE)</f>
        <v>21537.982329770923</v>
      </c>
      <c r="P11" s="25">
        <f>VLOOKUP($B11,livestock_efi_efe!$B$7:$P$172,14,FALSE)</f>
        <v>0</v>
      </c>
      <c r="Q11" s="654">
        <f t="shared" si="3"/>
        <v>0</v>
      </c>
    </row>
    <row r="12" spans="1:17">
      <c r="A12" s="84" t="s">
        <v>3071</v>
      </c>
      <c r="B12" s="233">
        <v>1068</v>
      </c>
      <c r="C12" s="24" t="s">
        <v>3072</v>
      </c>
      <c r="D12" s="24" t="str">
        <f t="shared" si="0"/>
        <v>Ducks</v>
      </c>
      <c r="E12" s="25">
        <f>VLOOKUP(A12,resourcestat_livestock_n!$A$7:$D$22,4,FALSE)*IF(VLOOKUP(D12,cnst_grazing!$A$10:$F$25,6,FALSE)=0, VLOOKUP(D12, cnst_grazing!$A$10:$E$25, 5, FALSE), VLOOKUP(D12,cnst_grazing!$A$10:$F$25,6,FALSE))</f>
        <v>2992.7238514646888</v>
      </c>
      <c r="F12" s="741">
        <f>VLOOKUP($B12,livestock_intensity_w,7,FALSE)*E12*livestock_feed_ef_n!$E$7*VLOOKUP(B12,livestock_feed_ef_n!$B$13:$E$34,4,FALSE)</f>
        <v>5580.588943173072</v>
      </c>
      <c r="G12" s="25">
        <f>VLOOKUP(B12,livestock_efi_efe!$B$7:$F$172,5,FALSE)</f>
        <v>60.124511053608082</v>
      </c>
      <c r="H12" s="25">
        <f>VLOOKUP($B12,livestock_efi_efe!$B$7:$I$172,8,FALSE)</f>
        <v>152.13314546426898</v>
      </c>
      <c r="I12" s="654">
        <f t="shared" si="1"/>
        <v>1.8778273297231227</v>
      </c>
      <c r="J12" s="741">
        <f>VLOOKUP($B12,livestock_intensity_w,10,FALSE)*E12*livestock_feed_ef_n!$E$9*VLOOKUP(B12,livestock_feed_ef_n!$B$13:$E$34,4,0)</f>
        <v>464.86261431011684</v>
      </c>
      <c r="K12" s="25">
        <f>VLOOKUP(B12,livestock_efi_efe!$B$7:$F$172,5,FALSE)</f>
        <v>60.124511053608082</v>
      </c>
      <c r="L12" s="25">
        <f>VLOOKUP($B12,livestock_efi_efe!$B$7:$O$172,11,FALSE)</f>
        <v>12.117327033967692</v>
      </c>
      <c r="M12" s="654">
        <f t="shared" si="2"/>
        <v>0.1562409542512041</v>
      </c>
      <c r="N12" s="25">
        <f>VLOOKUP($B12,livestock_intensity_w,13,FALSE)*E12*livestock_feed_ef_n!$E$8*VLOOKUP(B12,livestock_feed_ef_n!$B$13:$E$34,4,FALSE)</f>
        <v>0</v>
      </c>
      <c r="O12" s="25">
        <f>VLOOKUP(B12,livestock_efi_efe!$B$7:$F$172,5,FALSE)</f>
        <v>60.124511053608082</v>
      </c>
      <c r="P12" s="25">
        <f>VLOOKUP($B12,livestock_efi_efe!$B$7:$P$172,14,FALSE)</f>
        <v>0</v>
      </c>
      <c r="Q12" s="654">
        <f t="shared" si="3"/>
        <v>0</v>
      </c>
    </row>
    <row r="13" spans="1:17">
      <c r="A13" s="84" t="s">
        <v>3620</v>
      </c>
      <c r="B13" s="233">
        <v>1072</v>
      </c>
      <c r="C13" s="24" t="s">
        <v>3621</v>
      </c>
      <c r="D13" s="24" t="str">
        <f t="shared" si="0"/>
        <v>Geese and guinea fowls</v>
      </c>
      <c r="E13" s="25">
        <f>VLOOKUP(A13,resourcestat_livestock_n!$A$7:$D$22,4,FALSE)*IF(VLOOKUP(D13,cnst_grazing!$A$10:$F$25,6,FALSE)=0, VLOOKUP(D13, cnst_grazing!$A$10:$E$25, 5, FALSE), VLOOKUP(D13,cnst_grazing!$A$10:$F$25,6,FALSE))</f>
        <v>1619.9999637901783</v>
      </c>
      <c r="F13" s="741">
        <f>VLOOKUP($B13,livestock_intensity_w,7,FALSE)*E13*livestock_feed_ef_n!$E$7*VLOOKUP(B13,livestock_feed_ef_n!$B$13:$E$34,4,FALSE)</f>
        <v>8619.2774763114376</v>
      </c>
      <c r="G13" s="25">
        <f>VLOOKUP(B13,livestock_efi_efe!$B$7:$F$172,5,FALSE)</f>
        <v>0</v>
      </c>
      <c r="H13" s="25">
        <f>VLOOKUP($B13,livestock_efi_efe!$B$7:$I$172,8,FALSE)</f>
        <v>0</v>
      </c>
      <c r="I13" s="654">
        <f t="shared" si="1"/>
        <v>5.3205417709674734</v>
      </c>
      <c r="J13" s="741">
        <f>VLOOKUP($B13,livestock_intensity_w,10,FALSE)*E13*livestock_feed_ef_n!$E$9*VLOOKUP(B13,livestock_feed_ef_n!$B$13:$E$34,4,0)</f>
        <v>717.98512700063213</v>
      </c>
      <c r="K13" s="25">
        <f>VLOOKUP(B13,livestock_efi_efe!$B$7:$F$172,5,FALSE)</f>
        <v>0</v>
      </c>
      <c r="L13" s="25">
        <f>VLOOKUP($B13,livestock_efi_efe!$B$7:$O$172,11,FALSE)</f>
        <v>0</v>
      </c>
      <c r="M13" s="654">
        <f t="shared" si="2"/>
        <v>0.44320070558571029</v>
      </c>
      <c r="N13" s="25">
        <f>VLOOKUP($B13,livestock_intensity_w,13,FALSE)*E13*livestock_feed_ef_n!$E$8*VLOOKUP(B13,livestock_feed_ef_n!$B$13:$E$34,4,FALSE)</f>
        <v>0</v>
      </c>
      <c r="O13" s="25">
        <f>VLOOKUP(B13,livestock_efi_efe!$B$7:$F$172,5,FALSE)</f>
        <v>0</v>
      </c>
      <c r="P13" s="25">
        <f>VLOOKUP($B13,livestock_efi_efe!$B$7:$P$172,14,FALSE)</f>
        <v>0</v>
      </c>
      <c r="Q13" s="654">
        <f t="shared" si="3"/>
        <v>0</v>
      </c>
    </row>
    <row r="14" spans="1:17">
      <c r="A14" s="84" t="s">
        <v>406</v>
      </c>
      <c r="B14" s="233">
        <v>1016</v>
      </c>
      <c r="C14" s="24" t="s">
        <v>407</v>
      </c>
      <c r="D14" s="24" t="str">
        <f t="shared" si="0"/>
        <v>Goats</v>
      </c>
      <c r="E14" s="25">
        <f>VLOOKUP(A14,resourcestat_livestock_n!$A$7:$D$22,4,FALSE)*IF(VLOOKUP(D14,cnst_grazing!$A$10:$F$25,6,FALSE)=0, VLOOKUP(D14, cnst_grazing!$A$10:$E$25, 5, FALSE), VLOOKUP(D14,cnst_grazing!$A$10:$F$25,6,FALSE))</f>
        <v>375.75000559911132</v>
      </c>
      <c r="F14" s="741">
        <f>VLOOKUP($B14,livestock_intensity_w,7,FALSE)*E14*livestock_feed_ef_n!$E$7*VLOOKUP(B14,livestock_feed_ef_n!$B$13:$E$34,4,FALSE)</f>
        <v>0</v>
      </c>
      <c r="G14" s="25">
        <f>VLOOKUP(B14,livestock_efi_efe!$B$7:$F$172,5,FALSE)</f>
        <v>0.79390306368516594</v>
      </c>
      <c r="H14" s="25">
        <f>VLOOKUP($B14,livestock_efi_efe!$B$7:$I$172,8,FALSE)</f>
        <v>0</v>
      </c>
      <c r="I14" s="654">
        <f t="shared" si="1"/>
        <v>0</v>
      </c>
      <c r="J14" s="741">
        <f>VLOOKUP($B14,livestock_intensity_w,10,FALSE)*E14*livestock_feed_ef_n!$E$9*VLOOKUP(B14,livestock_feed_ef_n!$B$13:$E$34,4,0)</f>
        <v>0</v>
      </c>
      <c r="K14" s="25">
        <f>VLOOKUP(B14,livestock_efi_efe!$B$7:$F$172,5,FALSE)</f>
        <v>0.79390306368516594</v>
      </c>
      <c r="L14" s="25">
        <f>VLOOKUP($B14,livestock_efi_efe!$B$7:$O$172,11,FALSE)</f>
        <v>0</v>
      </c>
      <c r="M14" s="654">
        <f t="shared" si="2"/>
        <v>0</v>
      </c>
      <c r="N14" s="25">
        <f>VLOOKUP($B14,livestock_intensity_w,13,FALSE)*E14*livestock_feed_ef_n!$E$8*VLOOKUP(B14,livestock_feed_ef_n!$B$13:$E$34,4,FALSE)</f>
        <v>6045.6823826689088</v>
      </c>
      <c r="O14" s="25">
        <f>VLOOKUP(B14,livestock_efi_efe!$B$7:$F$172,5,FALSE)</f>
        <v>0.79390306368516594</v>
      </c>
      <c r="P14" s="25">
        <f>VLOOKUP($B14,livestock_efi_efe!$B$7:$P$172,14,FALSE)</f>
        <v>11.555896015364429</v>
      </c>
      <c r="Q14" s="654">
        <f t="shared" si="3"/>
        <v>16.086406231334543</v>
      </c>
    </row>
    <row r="15" spans="1:17">
      <c r="A15" s="84" t="s">
        <v>2659</v>
      </c>
      <c r="B15" s="233">
        <v>1096</v>
      </c>
      <c r="C15" s="24" t="s">
        <v>2660</v>
      </c>
      <c r="D15" s="24" t="str">
        <f t="shared" si="0"/>
        <v>Horses</v>
      </c>
      <c r="E15" s="25">
        <f>VLOOKUP(A15,resourcestat_livestock_n!$A$7:$D$22,4,FALSE)*IF(VLOOKUP(D15,cnst_grazing!$A$10:$F$25,6,FALSE)=0, VLOOKUP(D15, cnst_grazing!$A$10:$E$25, 5, FALSE), VLOOKUP(D15,cnst_grazing!$A$10:$F$25,6,FALSE))</f>
        <v>85512.003601759672</v>
      </c>
      <c r="F15" s="741">
        <f>VLOOKUP($B15,livestock_intensity_w,7,FALSE)*E15*livestock_feed_ef_n!$E$7*VLOOKUP(B15,livestock_feed_ef_n!$B$13:$E$34,4,FALSE)</f>
        <v>1724154.7531850494</v>
      </c>
      <c r="G15" s="25">
        <f>VLOOKUP(B15,livestock_efi_efe!$B$7:$F$172,5,FALSE)</f>
        <v>3382.6799814098067</v>
      </c>
      <c r="H15" s="25">
        <f>VLOOKUP($B15,livestock_efi_efe!$B$7:$I$172,8,FALSE)</f>
        <v>45882.906892849365</v>
      </c>
      <c r="I15" s="654">
        <f t="shared" si="1"/>
        <v>19.911625630815809</v>
      </c>
      <c r="J15" s="741">
        <f>VLOOKUP($B15,livestock_intensity_w,10,FALSE)*E15*livestock_feed_ef_n!$E$9*VLOOKUP(B15,livestock_feed_ef_n!$B$13:$E$34,4,0)</f>
        <v>0</v>
      </c>
      <c r="K15" s="25">
        <f>VLOOKUP(B15,livestock_efi_efe!$B$7:$F$172,5,FALSE)</f>
        <v>3382.6799814098067</v>
      </c>
      <c r="L15" s="25">
        <f>VLOOKUP($B15,livestock_efi_efe!$B$7:$O$172,11,FALSE)</f>
        <v>0</v>
      </c>
      <c r="M15" s="654">
        <f t="shared" si="2"/>
        <v>0</v>
      </c>
      <c r="N15" s="25">
        <f>VLOOKUP($B15,livestock_intensity_w,13,FALSE)*E15*livestock_feed_ef_n!$E$8*VLOOKUP(B15,livestock_feed_ef_n!$B$13:$E$34,4,FALSE)</f>
        <v>2200412.9876519544</v>
      </c>
      <c r="O15" s="25">
        <f>VLOOKUP(B15,livestock_efi_efe!$B$7:$F$172,5,FALSE)</f>
        <v>3382.6799814098067</v>
      </c>
      <c r="P15" s="25">
        <f>VLOOKUP($B15,livestock_efi_efe!$B$7:$P$172,14,FALSE)</f>
        <v>112975.38162318418</v>
      </c>
      <c r="Q15" s="654">
        <f t="shared" si="3"/>
        <v>26.023922646743465</v>
      </c>
    </row>
    <row r="16" spans="1:17">
      <c r="A16" s="84" t="s">
        <v>4998</v>
      </c>
      <c r="B16" s="233">
        <v>1110</v>
      </c>
      <c r="C16" s="24" t="s">
        <v>5003</v>
      </c>
      <c r="D16" s="24" t="s">
        <v>4998</v>
      </c>
      <c r="E16" s="25">
        <f>VLOOKUP(A16,resourcestat_livestock_n!$A$7:$D$22,4,FALSE)*IF(VLOOKUP(D16,cnst_grazing!$A$10:$F$25,6,FALSE)=0, VLOOKUP(D16, cnst_grazing!$A$10:$E$25, 5, FALSE), VLOOKUP(D16,cnst_grazing!$A$10:$F$25,6,FALSE))</f>
        <v>465.99999070167542</v>
      </c>
      <c r="F16" s="741">
        <f>VLOOKUP($B16,livestock_intensity_w,7,FALSE)*E16*livestock_feed_ef_n!$E$7*VLOOKUP(B16,livestock_feed_ef_n!$B$13:$E$34,4,FALSE)</f>
        <v>8905.0922487691059</v>
      </c>
      <c r="G16" s="25">
        <f>VLOOKUP(B16,livestock_efi_efe!$B$7:$F$172,5,FALSE)</f>
        <v>5.4624918341727238</v>
      </c>
      <c r="H16" s="25">
        <f>VLOOKUP($B16,livestock_efi_efe!$B$7:$I$172,8,FALSE)</f>
        <v>62.699239237199933</v>
      </c>
      <c r="I16" s="654">
        <f t="shared" ref="I16:I18" si="4">IF(ISERROR((F16+H16)/(E16+G16)),0,(F16+H16)/(E16+G16))</f>
        <v>19.021219758084207</v>
      </c>
      <c r="J16" s="741">
        <f>VLOOKUP($B16,livestock_intensity_w,10,FALSE)*E16*livestock_feed_ef_n!$E$9*VLOOKUP(B16,livestock_feed_ef_n!$B$13:$E$34,4,0)</f>
        <v>0</v>
      </c>
      <c r="K16" s="25">
        <f>VLOOKUP(B16,livestock_efi_efe!$B$7:$F$172,5,FALSE)</f>
        <v>5.4624918341727238</v>
      </c>
      <c r="L16" s="25">
        <f>VLOOKUP($B16,livestock_efi_efe!$B$7:$O$172,11,FALSE)</f>
        <v>0</v>
      </c>
      <c r="M16" s="654">
        <f t="shared" si="2"/>
        <v>0</v>
      </c>
      <c r="N16" s="25">
        <f>VLOOKUP($B16,livestock_intensity_w,13,FALSE)*E16*livestock_feed_ef_n!$E$8*VLOOKUP(B16,livestock_feed_ef_n!$B$13:$E$34,4,FALSE)</f>
        <v>11364.919885661344</v>
      </c>
      <c r="O16" s="25">
        <f>VLOOKUP(B16,livestock_efi_efe!$B$7:$F$172,5,FALSE)</f>
        <v>5.4624918341727238</v>
      </c>
      <c r="P16" s="25">
        <f>VLOOKUP($B16,livestock_efi_efe!$B$7:$P$172,14,FALSE)</f>
        <v>154.38146708638271</v>
      </c>
      <c r="Q16" s="654">
        <f t="shared" si="3"/>
        <v>24.433124117934124</v>
      </c>
    </row>
    <row r="17" spans="1:17">
      <c r="A17" s="84" t="s">
        <v>2973</v>
      </c>
      <c r="B17" s="233">
        <v>1157</v>
      </c>
      <c r="C17" s="24" t="s">
        <v>2974</v>
      </c>
      <c r="D17" s="24" t="s">
        <v>2973</v>
      </c>
      <c r="E17" s="25">
        <f>VLOOKUP(A17,resourcestat_livestock_n!$A$7:$D$22,4,FALSE)*IF(VLOOKUP(D17,cnst_grazing!$A$10:$F$25,6,FALSE)=0, VLOOKUP(D17, cnst_grazing!$A$10:$E$25, 5, FALSE), VLOOKUP(D17,cnst_grazing!$A$10:$F$25,6,FALSE))</f>
        <v>0</v>
      </c>
      <c r="F17" s="741">
        <f>VLOOKUP($B17,livestock_intensity_w,7,FALSE)*E17*livestock_feed_ef_n!$E$7*VLOOKUP(B17,livestock_feed_ef_n!$B$13:$E$34,4,FALSE)</f>
        <v>0</v>
      </c>
      <c r="G17" s="25">
        <f>VLOOKUP(B17,livestock_efi_efe!$B$7:$F$172,5,FALSE)</f>
        <v>7.0724998228251934</v>
      </c>
      <c r="H17" s="25">
        <f>VLOOKUP($B17,livestock_efi_efe!$B$7:$I$172,8,FALSE)</f>
        <v>490.78693029824166</v>
      </c>
      <c r="I17" s="654">
        <f t="shared" si="4"/>
        <v>69.393699907113046</v>
      </c>
      <c r="J17" s="741">
        <f>VLOOKUP($B17,livestock_intensity_w,10,FALSE)*E17*livestock_feed_ef_n!$E$9*VLOOKUP(B17,livestock_feed_ef_n!$B$13:$E$34,4,0)</f>
        <v>0</v>
      </c>
      <c r="K17" s="25">
        <f>VLOOKUP(B17,livestock_efi_efe!$B$7:$F$172,5,FALSE)</f>
        <v>7.0724998228251934</v>
      </c>
      <c r="L17" s="25">
        <f>VLOOKUP($B17,livestock_efi_efe!$B$7:$O$172,11,FALSE)</f>
        <v>0</v>
      </c>
      <c r="M17" s="654">
        <f t="shared" si="2"/>
        <v>0</v>
      </c>
      <c r="N17" s="25">
        <f>VLOOKUP($B17,livestock_intensity_w,13,FALSE)*E17*livestock_feed_ef_n!$E$8*VLOOKUP(B17,livestock_feed_ef_n!$B$13:$E$34,4,FALSE)</f>
        <v>0</v>
      </c>
      <c r="O17" s="25">
        <f>VLOOKUP(B17,livestock_efi_efe!$B$7:$F$172,5,FALSE)</f>
        <v>7.0724998228251934</v>
      </c>
      <c r="P17" s="25">
        <f>VLOOKUP($B17,livestock_efi_efe!$B$7:$P$172,14,FALSE)</f>
        <v>1208.4421956002111</v>
      </c>
      <c r="Q17" s="654">
        <f t="shared" si="3"/>
        <v>170.86493119451004</v>
      </c>
    </row>
    <row r="18" spans="1:17">
      <c r="A18" s="84" t="s">
        <v>2975</v>
      </c>
      <c r="B18" s="233">
        <v>1150</v>
      </c>
      <c r="C18" s="24" t="s">
        <v>2976</v>
      </c>
      <c r="D18" s="24" t="s">
        <v>2975</v>
      </c>
      <c r="E18" s="25">
        <f>VLOOKUP(A18,resourcestat_livestock_n!$A$7:$D$22,4,FALSE)*IF(VLOOKUP(D18,cnst_grazing!$A$10:$F$25,6,FALSE)=0, VLOOKUP(D18, cnst_grazing!$A$10:$E$25, 5, FALSE), VLOOKUP(D18,cnst_grazing!$A$10:$F$25,6,FALSE))</f>
        <v>0</v>
      </c>
      <c r="F18" s="741">
        <f>VLOOKUP($B18,livestock_intensity_w,7,FALSE)*E18*livestock_feed_ef_n!$E$7*VLOOKUP(B18,livestock_feed_ef_n!$B$13:$E$34,4,FALSE)</f>
        <v>0</v>
      </c>
      <c r="G18" s="25">
        <f>VLOOKUP(B18,livestock_efi_efe!$B$7:$F$172,5,FALSE)</f>
        <v>0</v>
      </c>
      <c r="H18" s="25">
        <f>VLOOKUP($B18,livestock_efi_efe!$B$7:$I$172,8,FALSE)</f>
        <v>0</v>
      </c>
      <c r="I18" s="654">
        <f t="shared" si="4"/>
        <v>0</v>
      </c>
      <c r="J18" s="741">
        <f>VLOOKUP($B18,livestock_intensity_w,10,FALSE)*E18*livestock_feed_ef_n!$E$9*VLOOKUP(B18,livestock_feed_ef_n!$B$13:$E$34,4,0)</f>
        <v>0</v>
      </c>
      <c r="K18" s="25">
        <f>VLOOKUP(B18,livestock_efi_efe!$B$7:$F$172,5,FALSE)</f>
        <v>0</v>
      </c>
      <c r="L18" s="25">
        <f>VLOOKUP($B18,livestock_efi_efe!$B$7:$O$172,11,FALSE)</f>
        <v>0</v>
      </c>
      <c r="M18" s="654">
        <f t="shared" si="2"/>
        <v>0</v>
      </c>
      <c r="N18" s="25">
        <f>VLOOKUP($B18,livestock_intensity_w,13,FALSE)*E18*livestock_feed_ef_n!$E$8*VLOOKUP(B18,livestock_feed_ef_n!$B$13:$E$34,4,FALSE)</f>
        <v>0</v>
      </c>
      <c r="O18" s="25">
        <f>VLOOKUP(B18,livestock_efi_efe!$B$7:$F$172,5,FALSE)</f>
        <v>0</v>
      </c>
      <c r="P18" s="25">
        <f>VLOOKUP($B18,livestock_efi_efe!$B$7:$P$172,14,FALSE)</f>
        <v>0</v>
      </c>
      <c r="Q18" s="654">
        <f t="shared" si="3"/>
        <v>0</v>
      </c>
    </row>
    <row r="19" spans="1:17">
      <c r="A19" s="84" t="s">
        <v>1682</v>
      </c>
      <c r="B19" s="233">
        <v>1034</v>
      </c>
      <c r="C19" s="24" t="s">
        <v>3332</v>
      </c>
      <c r="D19" s="24" t="str">
        <f t="shared" si="0"/>
        <v>Pigs</v>
      </c>
      <c r="E19" s="25">
        <f>VLOOKUP(A19,resourcestat_livestock_n!$A$7:$D$22,4,FALSE)*IF(VLOOKUP(D19,cnst_grazing!$A$10:$F$25,6,FALSE)=0, VLOOKUP(D19, cnst_grazing!$A$10:$E$25, 5, FALSE), VLOOKUP(D19,cnst_grazing!$A$10:$F$25,6,FALSE))</f>
        <v>1397162.0020270348</v>
      </c>
      <c r="F19" s="741">
        <f>VLOOKUP($B19,livestock_intensity_w,7,FALSE)*E19*livestock_feed_ef_n!$E$7*VLOOKUP(B19,livestock_feed_ef_n!$B$13:$E$34,4,FALSE)</f>
        <v>2321826.6168677369</v>
      </c>
      <c r="G19" s="25">
        <f>VLOOKUP(B19,livestock_efi_efe!$B$7:$F$172,5,FALSE)</f>
        <v>362.81718103015777</v>
      </c>
      <c r="H19" s="25">
        <f>VLOOKUP($B19,livestock_efi_efe!$B$7:$I$172,8,FALSE)</f>
        <v>475.89057173457229</v>
      </c>
      <c r="I19" s="654">
        <f t="shared" si="1"/>
        <v>1.6617254130452224</v>
      </c>
      <c r="J19" s="741">
        <f>VLOOKUP($B19,livestock_intensity_w,10,FALSE)*E19*livestock_feed_ef_n!$E$9*VLOOKUP(B19,livestock_feed_ef_n!$B$13:$E$34,4,0)</f>
        <v>204883.19628565726</v>
      </c>
      <c r="K19" s="25">
        <f>VLOOKUP(B19,livestock_efi_efe!$B$7:$F$172,5,FALSE)</f>
        <v>362.81718103015777</v>
      </c>
      <c r="L19" s="25">
        <f>VLOOKUP($B19,livestock_efi_efe!$B$7:$O$172,11,FALSE)</f>
        <v>40.153374965720957</v>
      </c>
      <c r="M19" s="654">
        <f t="shared" si="2"/>
        <v>0.14663306643580531</v>
      </c>
      <c r="N19" s="25">
        <f>VLOOKUP($B19,livestock_intensity_w,13,FALSE)*E19*livestock_feed_ef_n!$E$8*VLOOKUP(B19,livestock_feed_ef_n!$B$13:$E$34,4,FALSE)</f>
        <v>0</v>
      </c>
      <c r="O19" s="25">
        <f>VLOOKUP(B19,livestock_efi_efe!$B$7:$F$172,5,FALSE)</f>
        <v>362.81718103015777</v>
      </c>
      <c r="P19" s="25">
        <f>VLOOKUP($B19,livestock_efi_efe!$B$7:$P$172,14,FALSE)</f>
        <v>0</v>
      </c>
      <c r="Q19" s="654">
        <f t="shared" si="3"/>
        <v>0</v>
      </c>
    </row>
    <row r="20" spans="1:17">
      <c r="A20" s="84" t="s">
        <v>1867</v>
      </c>
      <c r="B20" s="233">
        <v>976</v>
      </c>
      <c r="C20" s="24" t="s">
        <v>1678</v>
      </c>
      <c r="D20" s="24" t="str">
        <f t="shared" si="0"/>
        <v>Sheep</v>
      </c>
      <c r="E20" s="25">
        <f>VLOOKUP(A20,resourcestat_livestock_n!$A$7:$D$22,4,FALSE)*IF(VLOOKUP(D20,cnst_grazing!$A$10:$F$25,6,FALSE)=0, VLOOKUP(D20, cnst_grazing!$A$10:$E$25, 5, FALSE), VLOOKUP(D20,cnst_grazing!$A$10:$F$25,6,FALSE))</f>
        <v>18661.500741541386</v>
      </c>
      <c r="F20" s="741">
        <f>VLOOKUP($B20,livestock_intensity_w,7,FALSE)*E20*livestock_feed_ef_n!$E$7*VLOOKUP(B20,livestock_feed_ef_n!$B$13:$E$34,4,FALSE)</f>
        <v>0</v>
      </c>
      <c r="G20" s="25">
        <f>VLOOKUP(B20,livestock_efi_efe!$B$7:$F$172,5,FALSE)</f>
        <v>6.5446525941557363</v>
      </c>
      <c r="H20" s="25">
        <f>VLOOKUP($B20,livestock_efi_efe!$B$7:$I$172,8,FALSE)</f>
        <v>0</v>
      </c>
      <c r="I20" s="654">
        <f t="shared" si="1"/>
        <v>0</v>
      </c>
      <c r="J20" s="741">
        <f>VLOOKUP($B20,livestock_intensity_w,10,FALSE)*E20*livestock_feed_ef_n!$E$9*VLOOKUP(B20,livestock_feed_ef_n!$B$13:$E$34,4,0)</f>
        <v>0</v>
      </c>
      <c r="K20" s="25">
        <f>VLOOKUP(B20,livestock_efi_efe!$B$7:$F$172,5,FALSE)</f>
        <v>6.5446525941557363</v>
      </c>
      <c r="L20" s="25">
        <f>VLOOKUP($B20,livestock_efi_efe!$B$7:$O$172,11,FALSE)</f>
        <v>0</v>
      </c>
      <c r="M20" s="654">
        <f t="shared" si="2"/>
        <v>0</v>
      </c>
      <c r="N20" s="25">
        <f>VLOOKUP($B20,livestock_intensity_w,13,FALSE)*E20*livestock_feed_ef_n!$E$8*VLOOKUP(B20,livestock_feed_ef_n!$B$13:$E$34,4,FALSE)</f>
        <v>61549.430056389734</v>
      </c>
      <c r="O20" s="25">
        <f>VLOOKUP(B20,livestock_efi_efe!$B$7:$F$172,5,FALSE)</f>
        <v>6.5446525941557363</v>
      </c>
      <c r="P20" s="25">
        <f>VLOOKUP($B20,livestock_efi_efe!$B$7:$P$172,14,FALSE)</f>
        <v>23.516901125775039</v>
      </c>
      <c r="Q20" s="654">
        <f t="shared" si="3"/>
        <v>3.2983071155836323</v>
      </c>
    </row>
    <row r="21" spans="1:17">
      <c r="A21" s="85" t="s">
        <v>4652</v>
      </c>
      <c r="B21" s="235">
        <v>1079</v>
      </c>
      <c r="C21" s="59" t="s">
        <v>4192</v>
      </c>
      <c r="D21" s="59" t="str">
        <f t="shared" si="0"/>
        <v>Turkeys</v>
      </c>
      <c r="E21" s="44">
        <f>VLOOKUP(A21,resourcestat_livestock_n!$A$7:$D$22,4,FALSE)*IF(VLOOKUP(D21,cnst_grazing!$A$10:$F$25,6,FALSE)=0, VLOOKUP(D21, cnst_grazing!$A$10:$E$25, 5, FALSE), VLOOKUP(D21,cnst_grazing!$A$10:$F$25,6,FALSE))</f>
        <v>47376.576248556376</v>
      </c>
      <c r="F21" s="749">
        <f>VLOOKUP($B21,livestock_intensity_w,7,FALSE)*E21*livestock_feed_ef_n!$E$7*VLOOKUP(B21,livestock_feed_ef_n!$B$13:$E$34,4,FALSE)</f>
        <v>79990.025324962917</v>
      </c>
      <c r="G21" s="26">
        <f>VLOOKUP(B21,livestock_efi_efe!$B$7:$F$172,5,FALSE)</f>
        <v>11736.247723052451</v>
      </c>
      <c r="H21" s="26">
        <f>VLOOKUP($B21,livestock_efi_efe!$B$7:$I$172,8,FALSE)</f>
        <v>9823.7321431901855</v>
      </c>
      <c r="I21" s="246">
        <f t="shared" si="1"/>
        <v>1.5193616449670813</v>
      </c>
      <c r="J21" s="749">
        <f>VLOOKUP($B21,livestock_intensity_w,10,FALSE)*E21*livestock_feed_ef_n!$E$9*VLOOKUP(B21,livestock_feed_ef_n!$B$13:$E$34,4,0)</f>
        <v>6663.1627360376788</v>
      </c>
      <c r="K21" s="26">
        <f>VLOOKUP(B21,livestock_efi_efe!$B$7:$F$172,5,FALSE)</f>
        <v>11736.247723052451</v>
      </c>
      <c r="L21" s="26">
        <f>VLOOKUP($B21,livestock_efi_efe!$B$7:$O$172,11,FALSE)</f>
        <v>782.45522834531619</v>
      </c>
      <c r="M21" s="246">
        <f t="shared" si="2"/>
        <v>0.12595605258106152</v>
      </c>
      <c r="N21" s="26">
        <f>VLOOKUP($B21,livestock_intensity_w,13,FALSE)*E21*livestock_feed_ef_n!$E$8*VLOOKUP(B21,livestock_feed_ef_n!$B$13:$E$34,4,FALSE)</f>
        <v>0</v>
      </c>
      <c r="O21" s="26">
        <f>VLOOKUP(B21,livestock_efi_efe!$B$7:$F$172,5,FALSE)</f>
        <v>11736.247723052451</v>
      </c>
      <c r="P21" s="26">
        <f>VLOOKUP($B21,livestock_efi_efe!$B$7:$P$172,14,FALSE)</f>
        <v>0</v>
      </c>
      <c r="Q21" s="246">
        <f t="shared" si="3"/>
        <v>0</v>
      </c>
    </row>
    <row r="22" spans="1:17" s="253" customFormat="1">
      <c r="A22" s="410"/>
      <c r="B22" s="325"/>
      <c r="C22" s="410"/>
      <c r="D22" s="410"/>
      <c r="E22" s="411"/>
      <c r="F22" s="411"/>
      <c r="G22" s="411"/>
      <c r="H22" s="411"/>
      <c r="I22" s="412"/>
      <c r="J22" s="411"/>
      <c r="K22" s="411"/>
      <c r="L22" s="411"/>
      <c r="M22" s="412"/>
      <c r="N22" s="411"/>
      <c r="O22" s="411"/>
      <c r="P22" s="411"/>
      <c r="Q22" s="412"/>
    </row>
    <row r="23" spans="1:17" ht="15">
      <c r="A23" s="982" t="s">
        <v>7549</v>
      </c>
      <c r="B23" s="928" t="s">
        <v>1907</v>
      </c>
      <c r="C23" s="928" t="s">
        <v>1906</v>
      </c>
      <c r="D23" s="928" t="s">
        <v>4883</v>
      </c>
      <c r="E23" s="928" t="s">
        <v>5060</v>
      </c>
      <c r="F23" s="747" t="s">
        <v>5061</v>
      </c>
      <c r="G23" s="743" t="s">
        <v>6919</v>
      </c>
      <c r="H23" s="743" t="s">
        <v>1301</v>
      </c>
      <c r="I23" s="744" t="s">
        <v>3987</v>
      </c>
      <c r="J23" s="1017" t="s">
        <v>5061</v>
      </c>
      <c r="K23" s="1017" t="s">
        <v>7586</v>
      </c>
      <c r="L23" s="1017" t="s">
        <v>1301</v>
      </c>
      <c r="M23" s="1019" t="s">
        <v>3987</v>
      </c>
      <c r="N23" s="928" t="s">
        <v>5061</v>
      </c>
      <c r="O23" s="928" t="s">
        <v>6919</v>
      </c>
      <c r="P23" s="928" t="s">
        <v>1301</v>
      </c>
      <c r="Q23" s="929" t="s">
        <v>3987</v>
      </c>
    </row>
    <row r="24" spans="1:17" ht="14.5">
      <c r="A24" s="1111" t="s">
        <v>542</v>
      </c>
      <c r="B24" s="1091" t="s">
        <v>542</v>
      </c>
      <c r="C24" s="1091" t="s">
        <v>542</v>
      </c>
      <c r="D24" s="1091" t="s">
        <v>542</v>
      </c>
      <c r="E24" s="1091" t="s">
        <v>2977</v>
      </c>
      <c r="F24" s="1067" t="s">
        <v>720</v>
      </c>
      <c r="G24" s="1066" t="s">
        <v>2977</v>
      </c>
      <c r="H24" s="1066" t="s">
        <v>720</v>
      </c>
      <c r="I24" s="1112" t="s">
        <v>9248</v>
      </c>
      <c r="J24" s="1021" t="s">
        <v>720</v>
      </c>
      <c r="K24" s="1021" t="s">
        <v>2977</v>
      </c>
      <c r="L24" s="1021" t="s">
        <v>720</v>
      </c>
      <c r="M24" s="1047" t="s">
        <v>7587</v>
      </c>
      <c r="N24" s="1110" t="s">
        <v>720</v>
      </c>
      <c r="O24" s="1110" t="s">
        <v>2977</v>
      </c>
      <c r="P24" s="1110" t="s">
        <v>720</v>
      </c>
      <c r="Q24" s="1114" t="s">
        <v>2838</v>
      </c>
    </row>
    <row r="25" spans="1:17">
      <c r="A25" s="14" t="s">
        <v>1866</v>
      </c>
      <c r="B25" s="233">
        <v>987</v>
      </c>
      <c r="C25" t="s">
        <v>1068</v>
      </c>
      <c r="D25" t="s">
        <v>1867</v>
      </c>
      <c r="E25" s="25">
        <f>VLOOKUP(B25,prodstat_livestock_n!$B$7:$D$47,3,FALSE)</f>
        <v>1222</v>
      </c>
      <c r="F25" s="741">
        <f>VLOOKUP($B25,livestock_intensity_w,7,FALSE)*E25*livestock_feed_ef_n!$E$7*VLOOKUP(B25,livestock_feed_ef_n!$B$13:$E$34,4,FALSE)</f>
        <v>0</v>
      </c>
      <c r="G25" s="27">
        <f>VLOOKUP(B25,livestock_efi_efe!$B$7:$F$172,5,FALSE)</f>
        <v>6</v>
      </c>
      <c r="H25" s="27">
        <f>VLOOKUP($B25,livestock_efi_efe!$B$7:$I$172,8,FALSE)</f>
        <v>0</v>
      </c>
      <c r="I25" s="121">
        <f t="shared" si="1"/>
        <v>0</v>
      </c>
      <c r="J25" s="748">
        <f>VLOOKUP($B25,livestock_intensity_w,10,FALSE)*E25*livestock_feed_ef_n!$E$9*VLOOKUP(B25,livestock_feed_ef_n!$B$13:$E$34,4,0)</f>
        <v>0</v>
      </c>
      <c r="K25" s="27">
        <f>VLOOKUP(B25,livestock_efi_efe!$B$7:$F$172,5,FALSE)</f>
        <v>6</v>
      </c>
      <c r="L25" s="27">
        <f>VLOOKUP($B25,livestock_efi_efe!$B$7:$O$172,11,FALSE)</f>
        <v>0</v>
      </c>
      <c r="M25" s="121">
        <f>IF(ISERROR((J25+L25)/(E25+K25)),0,(J25+L25)/(E25+K25))</f>
        <v>0</v>
      </c>
      <c r="N25" s="27">
        <f>VLOOKUP($B25,livestock_intensity_w,13,FALSE)*E25*livestock_feed_ef_n!$E$8*VLOOKUP(B25,livestock_feed_ef_n!$B$13:$E$34,4,FALSE)</f>
        <v>41604.391869045401</v>
      </c>
      <c r="O25" s="27">
        <f>VLOOKUP(B25,livestock_efi_efe!$B$7:$F$172,5,FALSE)</f>
        <v>6</v>
      </c>
      <c r="P25" s="27">
        <f>VLOOKUP($B25,livestock_efi_efe!$B$7:$P$172,14,FALSE)</f>
        <v>403.97237120605007</v>
      </c>
      <c r="Q25" s="121">
        <f>IF(ISERROR((N25+P25)/(E25+O25)),0,(N25+P25)/(E25+O25))</f>
        <v>34.208765667957209</v>
      </c>
    </row>
    <row r="26" spans="1:17">
      <c r="A26" s="14" t="s">
        <v>1862</v>
      </c>
      <c r="B26" s="233">
        <v>982</v>
      </c>
      <c r="C26" t="s">
        <v>1863</v>
      </c>
      <c r="D26" t="s">
        <v>1867</v>
      </c>
      <c r="E26" s="25">
        <f>VLOOKUP(B26,prodstat_livestock_n!$B$7:$D$47,3,FALSE)</f>
        <v>0</v>
      </c>
      <c r="F26" s="741">
        <f>VLOOKUP($B26,livestock_intensity_w,7,FALSE)*E26*livestock_feed_ef_n!$E$7*VLOOKUP(B26,livestock_feed_ef_n!$B$13:$E$34,4,FALSE)</f>
        <v>0</v>
      </c>
      <c r="G26" s="25">
        <f>VLOOKUP(B26,livestock_efi_efe!$B$7:$F$172,5,FALSE)</f>
        <v>0</v>
      </c>
      <c r="H26" s="25">
        <f>VLOOKUP($B26,livestock_efi_efe!$B$7:$I$172,8,FALSE)</f>
        <v>0</v>
      </c>
      <c r="I26" s="654">
        <f t="shared" si="1"/>
        <v>0</v>
      </c>
      <c r="J26" s="741">
        <f>VLOOKUP($B26,livestock_intensity_w,10,FALSE)*E26*livestock_feed_ef_n!$E$9*VLOOKUP(B26,livestock_feed_ef_n!$B$13:$E$34,4,0)</f>
        <v>0</v>
      </c>
      <c r="K26" s="25">
        <f>VLOOKUP(B26,livestock_efi_efe!$B$7:$F$172,5,FALSE)</f>
        <v>0</v>
      </c>
      <c r="L26" s="25">
        <f>VLOOKUP($B26,livestock_efi_efe!$B$7:$O$172,11,FALSE)</f>
        <v>0</v>
      </c>
      <c r="M26" s="654">
        <f t="shared" ref="M26:M29" si="5">IF(ISERROR((J26+L26)/(E26+K26)),0,(J26+L26)/(E26+K26))</f>
        <v>0</v>
      </c>
      <c r="N26" s="25">
        <f>VLOOKUP($B26,livestock_intensity_w,13,FALSE)*E26*livestock_feed_ef_n!$E$8*VLOOKUP(B26,livestock_feed_ef_n!$B$13:$E$34,4,FALSE)</f>
        <v>0</v>
      </c>
      <c r="O26" s="25">
        <f>VLOOKUP(B26,livestock_efi_efe!$B$7:$F$172,5,FALSE)</f>
        <v>0</v>
      </c>
      <c r="P26" s="25">
        <f>VLOOKUP($B26,livestock_efi_efe!$B$7:$P$172,14,FALSE)</f>
        <v>0</v>
      </c>
      <c r="Q26" s="654">
        <f t="shared" ref="Q26:Q29" si="6">IF(ISERROR((N26+P26)/(E26+O26)),0,(N26+P26)/(E26+O26))</f>
        <v>0</v>
      </c>
    </row>
    <row r="27" spans="1:17">
      <c r="A27" s="14" t="s">
        <v>5420</v>
      </c>
      <c r="B27" s="233">
        <v>882</v>
      </c>
      <c r="C27" t="s">
        <v>5421</v>
      </c>
      <c r="D27" t="s">
        <v>4668</v>
      </c>
      <c r="E27" s="25">
        <f>VLOOKUP(B27,prodstat_livestock_n!$B$7:$D$47,3,FALSE)</f>
        <v>9218750</v>
      </c>
      <c r="F27" s="741">
        <f>VLOOKUP($B27,livestock_intensity_w,7,FALSE)*E27*livestock_feed_ef_n!$E$7*VLOOKUP(B27,livestock_feed_ef_n!$B$13:$E$34,4,FALSE)</f>
        <v>1592540.8837808121</v>
      </c>
      <c r="G27" s="25">
        <f>VLOOKUP(B27,livestock_efi_efe!$B$7:$F$172,5,FALSE)</f>
        <v>38971</v>
      </c>
      <c r="H27" s="25">
        <f>VLOOKUP($B27,livestock_efi_efe!$B$7:$I$172,8,FALSE)</f>
        <v>7385.6695235390107</v>
      </c>
      <c r="I27" s="654">
        <f t="shared" si="1"/>
        <v>0.17282077881849661</v>
      </c>
      <c r="J27" s="741">
        <f>VLOOKUP($B27,livestock_intensity_w,10,FALSE)*E27*livestock_feed_ef_n!$E$9*VLOOKUP(B27,livestock_feed_ef_n!$B$13:$E$34,4,0)</f>
        <v>0</v>
      </c>
      <c r="K27" s="25">
        <f>VLOOKUP(B27,livestock_efi_efe!$B$7:$F$172,5,FALSE)</f>
        <v>38971</v>
      </c>
      <c r="L27" s="25">
        <f>VLOOKUP($B27,livestock_efi_efe!$B$7:$O$172,11,FALSE)</f>
        <v>0</v>
      </c>
      <c r="M27" s="654">
        <f t="shared" si="5"/>
        <v>0</v>
      </c>
      <c r="N27" s="25">
        <f>VLOOKUP($B27,livestock_intensity_w,13,FALSE)*E27*livestock_feed_ef_n!$E$8*VLOOKUP(B27,livestock_feed_ef_n!$B$13:$E$34,4,FALSE)</f>
        <v>1546827.6437008141</v>
      </c>
      <c r="O27" s="25">
        <f>VLOOKUP(B27,livestock_efi_efe!$B$7:$F$172,5,FALSE)</f>
        <v>38971</v>
      </c>
      <c r="P27" s="25">
        <f>VLOOKUP($B27,livestock_efi_efe!$B$7:$P$172,14,FALSE)</f>
        <v>13840.320332068852</v>
      </c>
      <c r="Q27" s="654">
        <f t="shared" si="6"/>
        <v>0.16858014667247836</v>
      </c>
    </row>
    <row r="28" spans="1:17">
      <c r="A28" s="84" t="s">
        <v>5022</v>
      </c>
      <c r="B28" s="233">
        <v>1062</v>
      </c>
      <c r="C28" s="24" t="s">
        <v>5023</v>
      </c>
      <c r="D28" t="s">
        <v>4551</v>
      </c>
      <c r="E28" s="25">
        <f>VLOOKUP(B28,prodstat_livestock_n!$B$7:$D$47,3,FALSE)</f>
        <v>570040</v>
      </c>
      <c r="F28" s="741">
        <f>VLOOKUP($B28,livestock_intensity_w,7,FALSE)*E28*livestock_feed_ef_n!$E$7*VLOOKUP(B28,livestock_feed_ef_n!$B$13:$E$34,4,FALSE)</f>
        <v>833106.8181915934</v>
      </c>
      <c r="G28" s="25">
        <f>VLOOKUP(B28,livestock_efi_efe!$B$7:$F$172,5,FALSE)</f>
        <v>49410</v>
      </c>
      <c r="H28" s="25">
        <f>VLOOKUP($B28,livestock_efi_efe!$B$7:$I$172,8,FALSE)</f>
        <v>52688.894401818136</v>
      </c>
      <c r="I28" s="654">
        <f t="shared" si="1"/>
        <v>1.4299712851616944</v>
      </c>
      <c r="J28" s="741">
        <f>VLOOKUP($B28,livestock_intensity_w,10,FALSE)*E28*livestock_feed_ef_n!$E$9*VLOOKUP(B28,livestock_feed_ef_n!$B$13:$E$34,4,0)</f>
        <v>0</v>
      </c>
      <c r="K28" s="25">
        <f>VLOOKUP(B28,livestock_efi_efe!$B$7:$F$172,5,FALSE)</f>
        <v>49410</v>
      </c>
      <c r="L28" s="25">
        <f>VLOOKUP($B28,livestock_efi_efe!$B$7:$O$172,11,FALSE)</f>
        <v>0</v>
      </c>
      <c r="M28" s="654">
        <f t="shared" si="5"/>
        <v>0</v>
      </c>
      <c r="N28" s="25">
        <f>VLOOKUP($B28,livestock_intensity_w,13,FALSE)*E28*livestock_feed_ef_n!$E$8*VLOOKUP(B28,livestock_feed_ef_n!$B$13:$E$34,4,FALSE)</f>
        <v>0</v>
      </c>
      <c r="O28" s="25">
        <f>VLOOKUP(B28,livestock_efi_efe!$B$7:$F$172,5,FALSE)</f>
        <v>49410</v>
      </c>
      <c r="P28" s="25">
        <f>VLOOKUP($B28,livestock_efi_efe!$B$7:$P$172,14,FALSE)</f>
        <v>0</v>
      </c>
      <c r="Q28" s="654">
        <f t="shared" si="6"/>
        <v>0</v>
      </c>
    </row>
    <row r="29" spans="1:17">
      <c r="A29" s="19" t="s">
        <v>3821</v>
      </c>
      <c r="B29" s="235">
        <v>1091</v>
      </c>
      <c r="C29" s="20" t="s">
        <v>3523</v>
      </c>
      <c r="D29" s="20" t="s">
        <v>4551</v>
      </c>
      <c r="E29" s="26">
        <f>VLOOKUP(B29,prodstat_livestock_n!$B$7:$D$47,3,FALSE)</f>
        <v>0</v>
      </c>
      <c r="F29" s="749">
        <f>VLOOKUP($B29,livestock_intensity_w,7,FALSE)*E29*livestock_feed_ef_n!$E$7*VLOOKUP(B29,livestock_feed_ef_n!$B$13:$E$34,4,FALSE)</f>
        <v>0</v>
      </c>
      <c r="G29" s="26">
        <f>VLOOKUP(B29,livestock_efi_efe!$B$7:$F$172,5,FALSE)</f>
        <v>164</v>
      </c>
      <c r="H29" s="26">
        <f>VLOOKUP($B29,livestock_efi_efe!$B$7:$I$172,8,FALSE)</f>
        <v>174.88319534301101</v>
      </c>
      <c r="I29" s="246">
        <f t="shared" si="1"/>
        <v>1.0663609472134818</v>
      </c>
      <c r="J29" s="749">
        <f>VLOOKUP($B29,livestock_intensity_w,10,FALSE)*E29*livestock_feed_ef_n!$E$9*VLOOKUP(B29,livestock_feed_ef_n!$B$13:$E$34,4,0)</f>
        <v>0</v>
      </c>
      <c r="K29" s="26">
        <f>VLOOKUP(B29,livestock_efi_efe!$B$7:$F$172,5,FALSE)</f>
        <v>164</v>
      </c>
      <c r="L29" s="26">
        <f>VLOOKUP($B29,livestock_efi_efe!$B$7:$O$172,11,FALSE)</f>
        <v>0</v>
      </c>
      <c r="M29" s="246">
        <f t="shared" si="5"/>
        <v>0</v>
      </c>
      <c r="N29" s="26">
        <f>VLOOKUP($B29,livestock_intensity_w,13,FALSE)*E29*livestock_feed_ef_n!$E$8*VLOOKUP(B29,livestock_feed_ef_n!$B$13:$E$34,4,FALSE)</f>
        <v>0</v>
      </c>
      <c r="O29" s="26">
        <f>VLOOKUP(B29,livestock_efi_efe!$B$7:$F$172,5,FALSE)</f>
        <v>164</v>
      </c>
      <c r="P29" s="26">
        <f>VLOOKUP($B29,livestock_efi_efe!$B$7:$P$172,14,FALSE)</f>
        <v>0</v>
      </c>
      <c r="Q29" s="246">
        <f t="shared" si="6"/>
        <v>0</v>
      </c>
    </row>
  </sheetData>
  <mergeCells count="3">
    <mergeCell ref="F4:I4"/>
    <mergeCell ref="J4:M4"/>
    <mergeCell ref="N4:Q4"/>
  </mergeCells>
  <phoneticPr fontId="5" type="noConversion"/>
  <hyperlinks>
    <hyperlink ref="C2" location="livestock_efi_efe!A1" tooltip="Go to livestock_efi" display="livestock_efi_efe" xr:uid="{00000000-0004-0000-1D00-000000000000}"/>
    <hyperlink ref="H2" location="tbl_liveweight_n" tooltip="Go to cnst_grazing" display="cnst_grazing" xr:uid="{00000000-0004-0000-1D00-000001000000}"/>
    <hyperlink ref="D2" location="livestock_intensity_w" tooltip="Go to livestock_intensity_w" display="livestock_intensity_w" xr:uid="{00000000-0004-0000-1D00-000002000000}"/>
    <hyperlink ref="F2" location="resourcestat_livestock_n!A1" tooltip="Go to resourcestat_livestock_n" display="resourcestat_livestock_n" xr:uid="{00000000-0004-0000-1D00-000003000000}"/>
    <hyperlink ref="E2" location="livestock_feed_ef_n!A1" tooltip="Go to livesstock_feed_ef_n" display="livestock_feed_ef_n" xr:uid="{00000000-0004-0000-1D00-000004000000}"/>
    <hyperlink ref="C3" location="livestock_efi_efe!A1" tooltip="Go to livestock_efe" display="livestock_efi_efe" xr:uid="{00000000-0004-0000-1D00-000005000000}"/>
    <hyperlink ref="G2" location="prodstat_livestock_n!A1" display="prodstat_livestock_n" xr:uid="{00000000-0004-0000-1D00-000006000000}"/>
  </hyperlinks>
  <pageMargins left="0.75" right="0.75" top="1" bottom="1" header="0.5" footer="0.5"/>
  <pageSetup orientation="portrait" verticalDpi="0" r:id="rId1"/>
  <headerFooter alignWithMargins="0"/>
  <ignoredErrors>
    <ignoredError sqref="C29 C7 C8 C9 C10 C11 C12 C13 C14 C15 C19 C20 C21 C25 C26 C27 C28" numberStoredAsText="1"/>
  </ignoredError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79">
    <tabColor theme="7"/>
  </sheetPr>
  <dimension ref="A1:E34"/>
  <sheetViews>
    <sheetView zoomScaleNormal="100" workbookViewId="0">
      <selection activeCell="A65536" sqref="A65536"/>
    </sheetView>
  </sheetViews>
  <sheetFormatPr defaultColWidth="9.1796875" defaultRowHeight="12.5"/>
  <cols>
    <col min="1" max="1" width="50.7265625" style="36" customWidth="1"/>
    <col min="2" max="2" width="14.81640625" style="36" customWidth="1"/>
    <col min="3" max="5" width="21.7265625" style="36" customWidth="1"/>
    <col min="6" max="16384" width="9.1796875" style="36"/>
  </cols>
  <sheetData>
    <row r="1" spans="1:5" ht="12.75" customHeight="1">
      <c r="B1" s="97"/>
      <c r="C1" s="97"/>
      <c r="E1" s="97"/>
    </row>
    <row r="2" spans="1:5" ht="12.75" customHeight="1">
      <c r="B2" s="37" t="s">
        <v>985</v>
      </c>
      <c r="C2" s="466" t="s">
        <v>1746</v>
      </c>
      <c r="D2" s="466" t="s">
        <v>8828</v>
      </c>
      <c r="E2" s="466" t="s">
        <v>1753</v>
      </c>
    </row>
    <row r="3" spans="1:5" ht="12.75" customHeight="1">
      <c r="B3" s="37" t="s">
        <v>986</v>
      </c>
      <c r="C3" s="466" t="s">
        <v>8827</v>
      </c>
      <c r="D3" s="466"/>
      <c r="E3" s="466"/>
    </row>
    <row r="4" spans="1:5" ht="12.75" customHeight="1"/>
    <row r="5" spans="1:5" ht="13">
      <c r="A5" s="982" t="s">
        <v>2521</v>
      </c>
      <c r="B5" s="928" t="s">
        <v>1023</v>
      </c>
      <c r="C5" s="928" t="s">
        <v>1024</v>
      </c>
      <c r="D5" s="928" t="s">
        <v>1025</v>
      </c>
      <c r="E5" s="929" t="s">
        <v>3917</v>
      </c>
    </row>
    <row r="6" spans="1:5">
      <c r="A6" s="1104" t="s">
        <v>542</v>
      </c>
      <c r="B6" s="1115" t="s">
        <v>2977</v>
      </c>
      <c r="C6" s="1115" t="s">
        <v>720</v>
      </c>
      <c r="D6" s="1115" t="s">
        <v>720</v>
      </c>
      <c r="E6" s="1116" t="s">
        <v>542</v>
      </c>
    </row>
    <row r="7" spans="1:5">
      <c r="A7" s="244" t="s">
        <v>6183</v>
      </c>
      <c r="B7" s="27">
        <f>feed_demand_n!L22</f>
        <v>32644819.379172005</v>
      </c>
      <c r="C7" s="27">
        <f>feed_demand_n!O22</f>
        <v>14338990.061089387</v>
      </c>
      <c r="D7" s="27">
        <f>grazing_efp!C10</f>
        <v>23872593.766721796</v>
      </c>
      <c r="E7" s="121">
        <f>IF(ISERROR(D7/C7),0,D7/C7)</f>
        <v>1.6648727466171425</v>
      </c>
    </row>
    <row r="8" spans="1:5">
      <c r="A8" s="653" t="s">
        <v>888</v>
      </c>
      <c r="B8" s="25">
        <f>feed_demand_n!M22</f>
        <v>43130509.115999997</v>
      </c>
      <c r="C8" s="25">
        <f>feed_demand_n!P22</f>
        <v>15034496.451657681</v>
      </c>
      <c r="D8" s="25">
        <f>grazing_efp!D10</f>
        <v>12973734.154959811</v>
      </c>
      <c r="E8" s="654">
        <f>IF(ISERROR(D8/C8),0,D8/C8)</f>
        <v>0.86293107299442318</v>
      </c>
    </row>
    <row r="9" spans="1:5">
      <c r="A9" s="19" t="s">
        <v>2799</v>
      </c>
      <c r="B9" s="26">
        <f>feed_demand_n!N22</f>
        <v>136149.017628</v>
      </c>
      <c r="C9" s="26">
        <f>feed_demand_n!Q22</f>
        <v>380616.5500340602</v>
      </c>
      <c r="D9" s="26">
        <f>grazing_efp!E7</f>
        <v>662720.3614070426</v>
      </c>
      <c r="E9" s="246">
        <f>IF(ISERROR(D9/C9),0,D9/C9)</f>
        <v>1.7411758930286605</v>
      </c>
    </row>
    <row r="11" spans="1:5" ht="13">
      <c r="A11" s="982" t="s">
        <v>1923</v>
      </c>
      <c r="B11" s="928" t="s">
        <v>1907</v>
      </c>
      <c r="C11" s="928" t="s">
        <v>2050</v>
      </c>
      <c r="D11" s="928" t="s">
        <v>2051</v>
      </c>
      <c r="E11" s="929" t="s">
        <v>2052</v>
      </c>
    </row>
    <row r="12" spans="1:5">
      <c r="A12" s="1104" t="s">
        <v>542</v>
      </c>
      <c r="B12" s="1115" t="s">
        <v>542</v>
      </c>
      <c r="C12" s="1115" t="s">
        <v>2053</v>
      </c>
      <c r="D12" s="1115" t="s">
        <v>2053</v>
      </c>
      <c r="E12" s="1116" t="s">
        <v>542</v>
      </c>
    </row>
    <row r="13" spans="1:5">
      <c r="A13" s="82" t="s">
        <v>2157</v>
      </c>
      <c r="B13" s="234">
        <v>946</v>
      </c>
      <c r="C13" s="234">
        <f>VLOOKUP(B13,feed_mix_w!$B$7:$I$28,8,FALSE)</f>
        <v>76.898621634833887</v>
      </c>
      <c r="D13" s="55">
        <f>VLOOKUP(B13,regional_tfr,MATCH(residue_supply_n!$C$56,livestock_demand_headings,0),FALSE)</f>
        <v>76.898621634833887</v>
      </c>
      <c r="E13" s="56">
        <f>D13/C13</f>
        <v>1</v>
      </c>
    </row>
    <row r="14" spans="1:5">
      <c r="A14" s="84" t="s">
        <v>4668</v>
      </c>
      <c r="B14" s="233">
        <v>866</v>
      </c>
      <c r="C14" s="233">
        <f>VLOOKUP(B14,feed_mix_w!$B$7:$I$28,8,FALSE)</f>
        <v>37.101932493773369</v>
      </c>
      <c r="D14" s="2">
        <f>VLOOKUP(B14,regional_tfr,MATCH(residue_supply_n!$C$56,livestock_demand_headings,0),FALSE)</f>
        <v>25.987511009685317</v>
      </c>
      <c r="E14" s="54">
        <f t="shared" ref="E14:E34" si="0">D14/C14</f>
        <v>0.7004355100383699</v>
      </c>
    </row>
    <row r="15" spans="1:5">
      <c r="A15" s="84" t="s">
        <v>4551</v>
      </c>
      <c r="B15" s="233">
        <v>1057</v>
      </c>
      <c r="C15" s="233">
        <f>VLOOKUP(B15,feed_mix_w!$B$7:$I$28,8,FALSE)</f>
        <v>3.8188949630106408</v>
      </c>
      <c r="D15" s="2">
        <f>VLOOKUP(B15,regional_tfr,MATCH(residue_supply_n!$C$56,livestock_demand_headings,0),FALSE)</f>
        <v>2.8779473855037678</v>
      </c>
      <c r="E15" s="54">
        <f t="shared" si="0"/>
        <v>0.75360736898480363</v>
      </c>
    </row>
    <row r="16" spans="1:5">
      <c r="A16" s="14" t="s">
        <v>3071</v>
      </c>
      <c r="B16" s="233">
        <v>1068</v>
      </c>
      <c r="C16" s="233">
        <f>VLOOKUP(B16,feed_mix_w!$B$7:$I$28,8,FALSE)</f>
        <v>7.2091176853858947</v>
      </c>
      <c r="D16" s="2">
        <f>VLOOKUP(B16,regional_tfr,MATCH(residue_supply_n!$C$56,livestock_demand_headings,0),FALSE)</f>
        <v>3.1911129280115875</v>
      </c>
      <c r="E16" s="54">
        <f t="shared" si="0"/>
        <v>0.44264958172073054</v>
      </c>
    </row>
    <row r="17" spans="1:5">
      <c r="A17" s="14" t="s">
        <v>3620</v>
      </c>
      <c r="B17" s="233">
        <v>1072</v>
      </c>
      <c r="C17" s="233">
        <f>VLOOKUP(B17,feed_mix_w!$B$7:$I$28,8,FALSE)</f>
        <v>2.9626956221559522</v>
      </c>
      <c r="D17" s="2">
        <f>VLOOKUP(B17,regional_tfr,MATCH(residue_supply_n!$C$56,livestock_demand_headings,0),FALSE)</f>
        <v>9.1050983478790783</v>
      </c>
      <c r="E17" s="54">
        <f t="shared" si="0"/>
        <v>3.0732479839603983</v>
      </c>
    </row>
    <row r="18" spans="1:5">
      <c r="A18" s="14" t="s">
        <v>4652</v>
      </c>
      <c r="B18" s="233">
        <v>1079</v>
      </c>
      <c r="C18" s="233">
        <f>VLOOKUP(B18,feed_mix_w!$B$7:$I$28,8,FALSE)</f>
        <v>2.3848280582867658</v>
      </c>
      <c r="D18" s="2">
        <f>VLOOKUP(B18,regional_tfr,MATCH(residue_supply_n!$C$56,livestock_demand_headings,0),FALSE)</f>
        <v>2.8893552741438469</v>
      </c>
      <c r="E18" s="54">
        <f t="shared" si="0"/>
        <v>1.2115570613587665</v>
      </c>
    </row>
    <row r="19" spans="1:5">
      <c r="A19" s="84" t="s">
        <v>406</v>
      </c>
      <c r="B19" s="233">
        <v>1016</v>
      </c>
      <c r="C19" s="233">
        <f>VLOOKUP(B19,feed_mix_w!$B$7:$I$28,8,FALSE)</f>
        <v>41.757245708311125</v>
      </c>
      <c r="D19" s="2">
        <f>VLOOKUP(B19,regional_tfr,MATCH(residue_supply_n!$C$56,livestock_demand_headings,0),FALSE)</f>
        <v>53.489177717677755</v>
      </c>
      <c r="E19" s="54">
        <f>D19/C19</f>
        <v>1.2809555996896504</v>
      </c>
    </row>
    <row r="20" spans="1:5">
      <c r="A20" s="84" t="s">
        <v>1682</v>
      </c>
      <c r="B20" s="233">
        <v>1034</v>
      </c>
      <c r="C20" s="233">
        <f>VLOOKUP(B20,feed_mix_w!$B$7:$I$28,8,FALSE)</f>
        <v>3.9587771364368303</v>
      </c>
      <c r="D20" s="2">
        <f>VLOOKUP(B20,regional_tfr,MATCH(residue_supply_n!$C$56,livestock_demand_headings,0),FALSE)</f>
        <v>3.0126159627880931</v>
      </c>
      <c r="E20" s="54">
        <f t="shared" si="0"/>
        <v>0.76099660550723836</v>
      </c>
    </row>
    <row r="21" spans="1:5">
      <c r="A21" s="84" t="s">
        <v>1867</v>
      </c>
      <c r="B21" s="233">
        <v>976</v>
      </c>
      <c r="C21" s="233">
        <f>VLOOKUP(B21,feed_mix_w!$B$7:$I$28,8,FALSE)</f>
        <v>10.308350880000001</v>
      </c>
      <c r="D21" s="2">
        <f>VLOOKUP(B21,regional_tfr,MATCH(residue_supply_n!$C$56,livestock_demand_headings,0),FALSE)</f>
        <v>10.96470772</v>
      </c>
      <c r="E21" s="54">
        <f t="shared" si="0"/>
        <v>1.0636723417393024</v>
      </c>
    </row>
    <row r="22" spans="1:5">
      <c r="A22" s="14" t="s">
        <v>4903</v>
      </c>
      <c r="B22" s="233">
        <v>1126</v>
      </c>
      <c r="C22" s="233">
        <f>VLOOKUP(B22,feed_mix_w!$B$7:$I$28,8,FALSE)</f>
        <v>111.51952599434503</v>
      </c>
      <c r="D22" s="2">
        <f>VLOOKUP(B22,regional_tfr,MATCH(residue_supply_n!$C$56,livestock_demand_headings,0),FALSE)</f>
        <v>111.51952599434503</v>
      </c>
      <c r="E22" s="54">
        <f t="shared" si="0"/>
        <v>1</v>
      </c>
    </row>
    <row r="23" spans="1:5">
      <c r="A23" s="14" t="s">
        <v>2973</v>
      </c>
      <c r="B23" s="233">
        <v>1157</v>
      </c>
      <c r="C23" s="233">
        <f>VLOOKUP(B23,feed_mix_w!$B$7:$I$28,8,FALSE)</f>
        <v>710.3944224696836</v>
      </c>
      <c r="D23" s="2">
        <f>VLOOKUP(B23,regional_tfr,MATCH(residue_supply_n!$C$56,livestock_demand_headings,0),FALSE)</f>
        <v>710.3944224696836</v>
      </c>
      <c r="E23" s="54">
        <f t="shared" si="0"/>
        <v>1</v>
      </c>
    </row>
    <row r="24" spans="1:5">
      <c r="A24" s="14" t="s">
        <v>2659</v>
      </c>
      <c r="B24" s="233">
        <v>1096</v>
      </c>
      <c r="C24" s="233">
        <f>VLOOKUP(B24,feed_mix_w!$B$7:$I$28,8,FALSE)</f>
        <v>138.8575539671647</v>
      </c>
      <c r="D24" s="2">
        <f>VLOOKUP(B24,regional_tfr,MATCH(residue_supply_n!$C$56,livestock_demand_headings,0),FALSE)</f>
        <v>123.9788537163454</v>
      </c>
      <c r="E24" s="54">
        <f t="shared" si="0"/>
        <v>0.89284918374453259</v>
      </c>
    </row>
    <row r="25" spans="1:5">
      <c r="A25" s="14" t="s">
        <v>4998</v>
      </c>
      <c r="B25" s="233">
        <v>1110</v>
      </c>
      <c r="C25" s="233">
        <f>VLOOKUP(B25,feed_mix_w!$B$7:$I$28,8,FALSE)</f>
        <v>117.50354520578824</v>
      </c>
      <c r="D25" s="2">
        <f>VLOOKUP(B25,regional_tfr,MATCH(residue_supply_n!$C$56,livestock_demand_headings,0),FALSE)</f>
        <v>117.50354520578824</v>
      </c>
      <c r="E25" s="54">
        <f t="shared" si="0"/>
        <v>1</v>
      </c>
    </row>
    <row r="26" spans="1:5">
      <c r="A26" s="14" t="s">
        <v>3253</v>
      </c>
      <c r="B26" s="233">
        <v>1107</v>
      </c>
      <c r="C26" s="233">
        <f>VLOOKUP(B26,feed_mix_w!$B$7:$I$28,8,FALSE)</f>
        <v>103.19460287223529</v>
      </c>
      <c r="D26" s="2">
        <f>VLOOKUP(B26,regional_tfr,MATCH(residue_supply_n!$C$56,livestock_demand_headings,0),FALSE)</f>
        <v>103.19460287223529</v>
      </c>
      <c r="E26" s="54">
        <f t="shared" si="0"/>
        <v>1</v>
      </c>
    </row>
    <row r="27" spans="1:5">
      <c r="A27" s="14" t="s">
        <v>3595</v>
      </c>
      <c r="B27" s="233">
        <v>1140</v>
      </c>
      <c r="C27" s="233">
        <f>VLOOKUP(B27,feed_mix_w!$B$7:$I$28,8,FALSE)</f>
        <v>10.418392721620096</v>
      </c>
      <c r="D27" s="2">
        <f>VLOOKUP(B27,regional_tfr,MATCH(residue_supply_n!$C$56,livestock_demand_headings,0),FALSE)</f>
        <v>10.418392721620096</v>
      </c>
      <c r="E27" s="54">
        <f t="shared" si="0"/>
        <v>1</v>
      </c>
    </row>
    <row r="28" spans="1:5">
      <c r="A28" s="14" t="s">
        <v>2975</v>
      </c>
      <c r="B28" s="233">
        <v>1150</v>
      </c>
      <c r="C28" s="233">
        <f>VLOOKUP(B28,feed_mix_w!$B$7:$I$28,8,FALSE)</f>
        <v>30.515022953937244</v>
      </c>
      <c r="D28" s="2">
        <f>VLOOKUP(B28,regional_tfr,MATCH(residue_supply_n!$C$56,livestock_demand_headings,0),FALSE)</f>
        <v>30.515022953937244</v>
      </c>
      <c r="E28" s="54">
        <f t="shared" si="0"/>
        <v>1</v>
      </c>
    </row>
    <row r="29" spans="1:5" ht="13">
      <c r="A29" s="122" t="s">
        <v>5420</v>
      </c>
      <c r="B29" s="233">
        <v>882</v>
      </c>
      <c r="C29" s="233">
        <f>VLOOKUP(B29,feed_mix_w!$B$7:$I$28,8,FALSE)</f>
        <v>1.5674255905914334</v>
      </c>
      <c r="D29" s="2">
        <f>VLOOKUP(B29,regional_tfr,MATCH(residue_supply_n!$C$56,livestock_demand_headings,0),FALSE)</f>
        <v>0.85817551756708677</v>
      </c>
      <c r="E29" s="54">
        <f t="shared" si="0"/>
        <v>0.54750638417436659</v>
      </c>
    </row>
    <row r="30" spans="1:5" ht="13">
      <c r="A30" s="122" t="s">
        <v>1680</v>
      </c>
      <c r="B30" s="233">
        <v>1062</v>
      </c>
      <c r="C30" s="233">
        <f>VLOOKUP(B30,feed_mix_w!$B$7:$I$28,8,FALSE)</f>
        <v>2.6758408644881384</v>
      </c>
      <c r="D30" s="2">
        <f>VLOOKUP(B30,regional_tfr,MATCH(residue_supply_n!$C$56,livestock_demand_headings,0),FALSE)</f>
        <v>2.2027761384143378</v>
      </c>
      <c r="E30" s="54">
        <f t="shared" si="0"/>
        <v>0.82320894625985419</v>
      </c>
    </row>
    <row r="31" spans="1:5" ht="13">
      <c r="A31" s="124" t="s">
        <v>3821</v>
      </c>
      <c r="B31" s="233">
        <v>1091</v>
      </c>
      <c r="C31" s="233">
        <f>VLOOKUP(B31,feed_mix_w!$B$7:$I$28,8,FALSE)</f>
        <v>2.6758408644881384</v>
      </c>
      <c r="D31" s="2">
        <f>VLOOKUP(B31,regional_tfr,MATCH(residue_supply_n!$C$56,livestock_demand_headings,0),FALSE)</f>
        <v>2.2027761384143378</v>
      </c>
      <c r="E31" s="54">
        <f t="shared" si="0"/>
        <v>0.82320894625985419</v>
      </c>
    </row>
    <row r="32" spans="1:5" ht="13">
      <c r="A32" s="122" t="s">
        <v>4473</v>
      </c>
      <c r="B32" s="233">
        <v>951</v>
      </c>
      <c r="C32" s="233">
        <f>VLOOKUP(B32,feed_mix_w!$B$7:$I$28,8,FALSE)</f>
        <v>3.2486951306882763</v>
      </c>
      <c r="D32" s="2">
        <f>VLOOKUP(B32,regional_tfr,MATCH(residue_supply_n!$C$56,livestock_demand_headings,0),FALSE)</f>
        <v>2.539393418518392</v>
      </c>
      <c r="E32" s="54">
        <f t="shared" si="0"/>
        <v>0.78166565847635883</v>
      </c>
    </row>
    <row r="33" spans="1:5" ht="13">
      <c r="A33" s="124" t="s">
        <v>1862</v>
      </c>
      <c r="B33" s="233">
        <v>982</v>
      </c>
      <c r="C33" s="233">
        <f>VLOOKUP(B33,feed_mix_w!$B$7:$I$28,8,FALSE)</f>
        <v>10.224594922011988</v>
      </c>
      <c r="D33" s="2">
        <f>VLOOKUP(B33,regional_tfr,MATCH(residue_supply_n!$C$56,livestock_demand_headings,0),FALSE)</f>
        <v>10.224594922011988</v>
      </c>
      <c r="E33" s="54">
        <f t="shared" si="0"/>
        <v>1</v>
      </c>
    </row>
    <row r="34" spans="1:5" ht="13">
      <c r="A34" s="102" t="s">
        <v>1866</v>
      </c>
      <c r="B34" s="235">
        <v>987</v>
      </c>
      <c r="C34" s="235">
        <f>VLOOKUP(B34,feed_mix_w!$B$7:$I$28,8,FALSE)</f>
        <v>193.150621915171</v>
      </c>
      <c r="D34" s="57">
        <f>VLOOKUP(B34,regional_tfr,MATCH(residue_supply_n!$C$56,livestock_demand_headings,0),FALSE)</f>
        <v>113.18465788685307</v>
      </c>
      <c r="E34" s="81">
        <f t="shared" si="0"/>
        <v>0.58599168236984589</v>
      </c>
    </row>
  </sheetData>
  <phoneticPr fontId="5" type="noConversion"/>
  <hyperlinks>
    <hyperlink ref="D2" location="grazing_efp!A1" tooltip="Go to livestock_feed_balance_n" display="grazing_efp" xr:uid="{00000000-0004-0000-1E00-000000000000}"/>
    <hyperlink ref="C2" location="feed_demand_n!A1" tooltip="Go to feed_demand_n" display="feed_demand_n" xr:uid="{00000000-0004-0000-1E00-000001000000}"/>
    <hyperlink ref="E2" location="feed_mix_w!A1" display="feed_mix_w" xr:uid="{00000000-0004-0000-1E00-000002000000}"/>
    <hyperlink ref="C3" location="livestock_intensity!A1" display="livestock_intensity" xr:uid="{00000000-0004-0000-1E00-000003000000}"/>
  </hyperlinks>
  <pageMargins left="0.75" right="0.75" top="1" bottom="1" header="0.5" footer="0.5"/>
  <pageSetup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1">
    <tabColor theme="7"/>
    <pageSetUpPr autoPageBreaks="0"/>
  </sheetPr>
  <dimension ref="A1:K26"/>
  <sheetViews>
    <sheetView zoomScaleNormal="100" workbookViewId="0">
      <selection activeCell="A65536" sqref="A65536"/>
    </sheetView>
  </sheetViews>
  <sheetFormatPr defaultColWidth="9.1796875" defaultRowHeight="12.75" customHeight="1"/>
  <cols>
    <col min="1" max="1" width="50.7265625" style="86" customWidth="1"/>
    <col min="2" max="4" width="21.7265625" style="86" customWidth="1"/>
    <col min="5" max="5" width="21.7265625" style="36" customWidth="1"/>
    <col min="6" max="6" width="12.26953125" style="36" customWidth="1"/>
    <col min="7" max="11" width="21.7265625" style="36" customWidth="1"/>
    <col min="12" max="16384" width="9.1796875" style="36"/>
  </cols>
  <sheetData>
    <row r="1" spans="1:11" ht="12.75" customHeight="1">
      <c r="A1" s="36"/>
      <c r="B1" s="97"/>
      <c r="C1" s="97"/>
      <c r="D1" s="36"/>
      <c r="E1" s="97"/>
      <c r="H1" s="97"/>
      <c r="I1" s="97"/>
      <c r="J1" s="97"/>
      <c r="K1" s="97"/>
    </row>
    <row r="2" spans="1:11" ht="12.75" customHeight="1">
      <c r="A2" s="36"/>
      <c r="B2" s="37" t="s">
        <v>985</v>
      </c>
      <c r="C2" s="466" t="s">
        <v>2005</v>
      </c>
      <c r="D2" s="466" t="s">
        <v>5091</v>
      </c>
      <c r="E2" s="466" t="s">
        <v>5092</v>
      </c>
      <c r="F2" s="466" t="s">
        <v>1747</v>
      </c>
      <c r="G2" s="466" t="s">
        <v>6145</v>
      </c>
      <c r="H2" s="466" t="s">
        <v>2004</v>
      </c>
      <c r="I2" s="466" t="s">
        <v>6152</v>
      </c>
      <c r="J2" s="466" t="s">
        <v>6153</v>
      </c>
    </row>
    <row r="3" spans="1:11" ht="12.75" customHeight="1">
      <c r="A3" s="36"/>
      <c r="B3" s="37" t="s">
        <v>986</v>
      </c>
      <c r="C3" s="466" t="s">
        <v>1754</v>
      </c>
      <c r="D3" s="466" t="s">
        <v>1746</v>
      </c>
      <c r="E3" s="466" t="s">
        <v>8828</v>
      </c>
      <c r="F3" s="466"/>
      <c r="G3" s="466"/>
      <c r="H3" s="466"/>
      <c r="I3" s="466"/>
      <c r="J3" s="466"/>
    </row>
    <row r="4" spans="1:11" ht="12.75" customHeight="1">
      <c r="A4" s="36"/>
      <c r="B4" s="36"/>
      <c r="C4" s="36"/>
      <c r="D4" s="36"/>
      <c r="H4" s="74"/>
    </row>
    <row r="5" spans="1:11" s="86" customFormat="1" ht="13">
      <c r="A5" s="975" t="s">
        <v>1923</v>
      </c>
      <c r="B5" s="976" t="s">
        <v>1907</v>
      </c>
      <c r="C5" s="976" t="s">
        <v>1906</v>
      </c>
      <c r="D5" s="976" t="s">
        <v>2797</v>
      </c>
      <c r="E5" s="976" t="s">
        <v>3546</v>
      </c>
      <c r="F5" s="976" t="s">
        <v>3547</v>
      </c>
      <c r="G5" s="976" t="s">
        <v>5253</v>
      </c>
      <c r="H5" s="976" t="s">
        <v>1926</v>
      </c>
      <c r="I5" s="976" t="s">
        <v>1771</v>
      </c>
      <c r="J5" s="976" t="s">
        <v>6022</v>
      </c>
      <c r="K5" s="977" t="s">
        <v>591</v>
      </c>
    </row>
    <row r="6" spans="1:11" s="86" customFormat="1" ht="14.5">
      <c r="A6" s="1094" t="s">
        <v>542</v>
      </c>
      <c r="B6" s="1092" t="s">
        <v>542</v>
      </c>
      <c r="C6" s="1092" t="s">
        <v>542</v>
      </c>
      <c r="D6" s="1092" t="s">
        <v>542</v>
      </c>
      <c r="E6" s="1092" t="s">
        <v>542</v>
      </c>
      <c r="F6" s="1092" t="s">
        <v>542</v>
      </c>
      <c r="G6" s="1088" t="s">
        <v>9233</v>
      </c>
      <c r="H6" s="1092" t="s">
        <v>9220</v>
      </c>
      <c r="I6" s="1092" t="s">
        <v>9208</v>
      </c>
      <c r="J6" s="1092" t="s">
        <v>542</v>
      </c>
      <c r="K6" s="1117" t="s">
        <v>9238</v>
      </c>
    </row>
    <row r="7" spans="1:11" ht="12.5">
      <c r="A7" s="82" t="s">
        <v>615</v>
      </c>
      <c r="B7" s="345">
        <v>44</v>
      </c>
      <c r="C7" s="83">
        <v>1003</v>
      </c>
      <c r="D7" s="83" t="s">
        <v>413</v>
      </c>
      <c r="E7" s="18"/>
      <c r="F7" s="234"/>
      <c r="G7" s="2">
        <f t="shared" ref="G7:G21" si="0">IFERROR(VLOOKUP(B7*1,constant_ag_extr,14,FALSE),VLOOKUP(B7,constant_ag_extr,14,FALSE))</f>
        <v>1</v>
      </c>
      <c r="H7" s="55">
        <f t="shared" ref="H7:H21" si="1">IF(D7="p",VLOOKUP(B7,crop_efp,4,FALSE),(G7*(VLOOKUP(F7,crop_efp,4,FALSE))))*(1-VLOOKUP(B7,constant_crop_factor,2,FALSE))</f>
        <v>2.2677643560808365</v>
      </c>
      <c r="I7" s="55">
        <f t="shared" ref="I7:I21" si="2">VLOOKUP("Crop Land",eqf,2,FALSE)</f>
        <v>2.4993969139811365</v>
      </c>
      <c r="J7" s="55">
        <f t="shared" ref="J7:J21" si="3">VLOOKUP("Crop Land",iyf,2,FALSE)</f>
        <v>1</v>
      </c>
      <c r="K7" s="56">
        <f>IF(ISERROR(I7/H7),0,I7/H7)*J7</f>
        <v>1.1021413698822786</v>
      </c>
    </row>
    <row r="8" spans="1:11" ht="12.5">
      <c r="A8" s="84" t="s">
        <v>4505</v>
      </c>
      <c r="B8" s="233">
        <v>125</v>
      </c>
      <c r="C8" s="24" t="s">
        <v>5308</v>
      </c>
      <c r="D8" s="24" t="s">
        <v>413</v>
      </c>
      <c r="E8"/>
      <c r="F8" s="233"/>
      <c r="G8" s="2">
        <f t="shared" si="0"/>
        <v>1</v>
      </c>
      <c r="H8" s="2">
        <f t="shared" si="1"/>
        <v>3.0202380744740345</v>
      </c>
      <c r="I8" s="2">
        <f t="shared" si="2"/>
        <v>2.4993969139811365</v>
      </c>
      <c r="J8" s="2">
        <f t="shared" si="3"/>
        <v>1</v>
      </c>
      <c r="K8" s="54">
        <f t="shared" ref="K8:K21" si="4">IF(ISERROR(I8/H8),0,I8/H8)*J8</f>
        <v>0.82754963428384665</v>
      </c>
    </row>
    <row r="9" spans="1:11" ht="12.5">
      <c r="A9" s="84" t="s">
        <v>2057</v>
      </c>
      <c r="B9" s="233">
        <v>56</v>
      </c>
      <c r="C9" s="24" t="s">
        <v>1001</v>
      </c>
      <c r="D9" s="24" t="s">
        <v>413</v>
      </c>
      <c r="E9"/>
      <c r="F9" s="233"/>
      <c r="G9" s="2">
        <f t="shared" si="0"/>
        <v>1</v>
      </c>
      <c r="H9" s="2">
        <f t="shared" si="1"/>
        <v>4.4862342553040833</v>
      </c>
      <c r="I9" s="2">
        <f t="shared" si="2"/>
        <v>2.4993969139811365</v>
      </c>
      <c r="J9" s="2">
        <f t="shared" si="3"/>
        <v>1</v>
      </c>
      <c r="K9" s="54">
        <f t="shared" si="4"/>
        <v>0.55712581460187793</v>
      </c>
    </row>
    <row r="10" spans="1:11" ht="12.5">
      <c r="A10" s="84" t="s">
        <v>792</v>
      </c>
      <c r="B10" s="233">
        <v>75</v>
      </c>
      <c r="C10" s="24" t="s">
        <v>2851</v>
      </c>
      <c r="D10" s="24" t="s">
        <v>413</v>
      </c>
      <c r="E10"/>
      <c r="F10" s="233"/>
      <c r="G10" s="2">
        <f t="shared" si="0"/>
        <v>1</v>
      </c>
      <c r="H10" s="2">
        <f t="shared" si="1"/>
        <v>2.2677643560808365</v>
      </c>
      <c r="I10" s="2">
        <f t="shared" si="2"/>
        <v>2.4993969139811365</v>
      </c>
      <c r="J10" s="2">
        <f t="shared" si="3"/>
        <v>1</v>
      </c>
      <c r="K10" s="54">
        <f t="shared" si="4"/>
        <v>1.1021413698822786</v>
      </c>
    </row>
    <row r="11" spans="1:11" ht="12.5">
      <c r="A11" s="84" t="s">
        <v>5096</v>
      </c>
      <c r="B11" s="233">
        <v>417</v>
      </c>
      <c r="C11" s="24">
        <v>708.1</v>
      </c>
      <c r="D11" s="24" t="s">
        <v>413</v>
      </c>
      <c r="E11"/>
      <c r="F11" s="233"/>
      <c r="G11" s="2">
        <f t="shared" si="0"/>
        <v>1</v>
      </c>
      <c r="H11" s="2">
        <f t="shared" si="1"/>
        <v>1.5651418850669463</v>
      </c>
      <c r="I11" s="2">
        <f t="shared" si="2"/>
        <v>2.4993969139811365</v>
      </c>
      <c r="J11" s="2">
        <f t="shared" si="3"/>
        <v>1</v>
      </c>
      <c r="K11" s="54">
        <f t="shared" si="4"/>
        <v>1.5969139525482887</v>
      </c>
    </row>
    <row r="12" spans="1:11" ht="12.5">
      <c r="A12" s="84" t="s">
        <v>5387</v>
      </c>
      <c r="B12" s="233">
        <v>270</v>
      </c>
      <c r="C12" s="24">
        <v>1205</v>
      </c>
      <c r="D12" s="24" t="s">
        <v>413</v>
      </c>
      <c r="E12"/>
      <c r="F12" s="233"/>
      <c r="G12" s="2">
        <f t="shared" si="0"/>
        <v>1</v>
      </c>
      <c r="H12" s="2">
        <f t="shared" si="1"/>
        <v>1.6331396665971194</v>
      </c>
      <c r="I12" s="2">
        <f t="shared" si="2"/>
        <v>2.4993969139811365</v>
      </c>
      <c r="J12" s="2">
        <f t="shared" si="3"/>
        <v>1</v>
      </c>
      <c r="K12" s="54">
        <f t="shared" si="4"/>
        <v>1.5304244732411578</v>
      </c>
    </row>
    <row r="13" spans="1:11" ht="13">
      <c r="A13" s="84" t="s">
        <v>4462</v>
      </c>
      <c r="B13" s="348">
        <v>272</v>
      </c>
      <c r="C13" s="51" t="s">
        <v>593</v>
      </c>
      <c r="D13" s="24" t="s">
        <v>2796</v>
      </c>
      <c r="E13" t="s">
        <v>5387</v>
      </c>
      <c r="F13" s="233">
        <v>270</v>
      </c>
      <c r="G13" s="2">
        <f t="shared" si="0"/>
        <v>2.464992193064226</v>
      </c>
      <c r="H13" s="2">
        <f t="shared" si="1"/>
        <v>4.1171691767168985</v>
      </c>
      <c r="I13" s="2">
        <f t="shared" si="2"/>
        <v>2.4993969139811365</v>
      </c>
      <c r="J13" s="2">
        <f t="shared" si="3"/>
        <v>1</v>
      </c>
      <c r="K13" s="54">
        <f t="shared" si="4"/>
        <v>0.60706684780298448</v>
      </c>
    </row>
    <row r="14" spans="1:11" ht="13">
      <c r="A14" s="84" t="s">
        <v>4466</v>
      </c>
      <c r="B14" s="348">
        <v>35</v>
      </c>
      <c r="C14" s="51" t="s">
        <v>2156</v>
      </c>
      <c r="D14" s="24" t="s">
        <v>2796</v>
      </c>
      <c r="E14" t="s">
        <v>5392</v>
      </c>
      <c r="F14" s="233">
        <v>27</v>
      </c>
      <c r="G14" s="2">
        <f t="shared" si="0"/>
        <v>1.6853177062656854</v>
      </c>
      <c r="H14" s="2">
        <f t="shared" si="1"/>
        <v>6.4018639677425462</v>
      </c>
      <c r="I14" s="2">
        <f t="shared" si="2"/>
        <v>2.4993969139811365</v>
      </c>
      <c r="J14" s="2">
        <f t="shared" si="3"/>
        <v>1</v>
      </c>
      <c r="K14" s="54">
        <f t="shared" si="4"/>
        <v>0.39041706080838279</v>
      </c>
    </row>
    <row r="15" spans="1:11" ht="12.5">
      <c r="A15" s="84" t="s">
        <v>5394</v>
      </c>
      <c r="B15" s="233">
        <v>71</v>
      </c>
      <c r="C15" s="24" t="s">
        <v>1972</v>
      </c>
      <c r="D15" s="24" t="s">
        <v>413</v>
      </c>
      <c r="E15"/>
      <c r="F15" s="233"/>
      <c r="G15" s="2">
        <f t="shared" si="0"/>
        <v>1</v>
      </c>
      <c r="H15" s="2">
        <f t="shared" si="1"/>
        <v>2.2677643560808365</v>
      </c>
      <c r="I15" s="2">
        <f t="shared" si="2"/>
        <v>2.4993969139811365</v>
      </c>
      <c r="J15" s="2">
        <f t="shared" si="3"/>
        <v>1</v>
      </c>
      <c r="K15" s="54">
        <f t="shared" si="4"/>
        <v>1.1021413698822786</v>
      </c>
    </row>
    <row r="16" spans="1:11" ht="12.5">
      <c r="A16" s="84" t="s">
        <v>2681</v>
      </c>
      <c r="B16" s="233">
        <v>83</v>
      </c>
      <c r="C16" s="24" t="s">
        <v>3930</v>
      </c>
      <c r="D16" s="24" t="s">
        <v>413</v>
      </c>
      <c r="E16"/>
      <c r="F16" s="233"/>
      <c r="G16" s="2">
        <f t="shared" si="0"/>
        <v>1</v>
      </c>
      <c r="H16" s="2">
        <f t="shared" si="1"/>
        <v>2.2677643560808365</v>
      </c>
      <c r="I16" s="2">
        <f t="shared" si="2"/>
        <v>2.4993969139811365</v>
      </c>
      <c r="J16" s="2">
        <f t="shared" si="3"/>
        <v>1</v>
      </c>
      <c r="K16" s="54">
        <f t="shared" si="4"/>
        <v>1.1021413698822786</v>
      </c>
    </row>
    <row r="17" spans="1:11" ht="13">
      <c r="A17" s="84" t="s">
        <v>4461</v>
      </c>
      <c r="B17" s="348">
        <v>238</v>
      </c>
      <c r="C17" s="51" t="s">
        <v>592</v>
      </c>
      <c r="D17" s="24" t="s">
        <v>2796</v>
      </c>
      <c r="E17" t="s">
        <v>3905</v>
      </c>
      <c r="F17" s="233">
        <v>236</v>
      </c>
      <c r="G17" s="2">
        <f t="shared" si="0"/>
        <v>1.302795963706525</v>
      </c>
      <c r="H17" s="2">
        <f t="shared" si="1"/>
        <v>2.9740010671506973</v>
      </c>
      <c r="I17" s="2">
        <f t="shared" si="2"/>
        <v>2.4993969139811365</v>
      </c>
      <c r="J17" s="2">
        <f t="shared" si="3"/>
        <v>1</v>
      </c>
      <c r="K17" s="54">
        <f t="shared" si="4"/>
        <v>0.84041560764325307</v>
      </c>
    </row>
    <row r="18" spans="1:11" ht="12.5">
      <c r="A18" s="84" t="s">
        <v>3905</v>
      </c>
      <c r="B18" s="233">
        <v>236</v>
      </c>
      <c r="C18" s="24" t="s">
        <v>3931</v>
      </c>
      <c r="D18" s="24" t="s">
        <v>413</v>
      </c>
      <c r="E18"/>
      <c r="F18" s="233"/>
      <c r="G18" s="2">
        <f t="shared" si="0"/>
        <v>1</v>
      </c>
      <c r="H18" s="2">
        <f t="shared" si="1"/>
        <v>2.2827834518994852</v>
      </c>
      <c r="I18" s="2">
        <f t="shared" si="2"/>
        <v>2.4993969139811365</v>
      </c>
      <c r="J18" s="2">
        <f t="shared" si="3"/>
        <v>1</v>
      </c>
      <c r="K18" s="54">
        <f t="shared" si="4"/>
        <v>1.0948900614735966</v>
      </c>
    </row>
    <row r="19" spans="1:11" ht="13">
      <c r="A19" s="84" t="s">
        <v>4464</v>
      </c>
      <c r="B19" s="348">
        <v>269</v>
      </c>
      <c r="C19" s="51" t="s">
        <v>594</v>
      </c>
      <c r="D19" s="24" t="s">
        <v>2796</v>
      </c>
      <c r="E19" t="s">
        <v>3774</v>
      </c>
      <c r="F19" s="233">
        <v>267</v>
      </c>
      <c r="G19" s="2">
        <f t="shared" si="0"/>
        <v>2.8312604891100324</v>
      </c>
      <c r="H19" s="2">
        <f t="shared" si="1"/>
        <v>4.5048262902606107</v>
      </c>
      <c r="I19" s="2">
        <f t="shared" si="2"/>
        <v>2.4993969139811365</v>
      </c>
      <c r="J19" s="2">
        <f t="shared" si="3"/>
        <v>1</v>
      </c>
      <c r="K19" s="54">
        <f t="shared" si="4"/>
        <v>0.55482648007644775</v>
      </c>
    </row>
    <row r="20" spans="1:11" ht="12.5">
      <c r="A20" s="84" t="s">
        <v>3774</v>
      </c>
      <c r="B20" s="233">
        <v>267</v>
      </c>
      <c r="C20" s="24" t="s">
        <v>3551</v>
      </c>
      <c r="D20" s="24" t="s">
        <v>413</v>
      </c>
      <c r="E20"/>
      <c r="F20" s="233"/>
      <c r="G20" s="2">
        <f t="shared" si="0"/>
        <v>1</v>
      </c>
      <c r="H20" s="2">
        <f t="shared" si="1"/>
        <v>1.6441394864609795</v>
      </c>
      <c r="I20" s="2">
        <f t="shared" si="2"/>
        <v>2.4993969139811365</v>
      </c>
      <c r="J20" s="2">
        <f t="shared" si="3"/>
        <v>1</v>
      </c>
      <c r="K20" s="54">
        <f t="shared" si="4"/>
        <v>1.5201854432442978</v>
      </c>
    </row>
    <row r="21" spans="1:11" ht="12.5">
      <c r="A21" s="84" t="s">
        <v>1151</v>
      </c>
      <c r="B21" s="233">
        <v>15</v>
      </c>
      <c r="C21" s="24" t="s">
        <v>4053</v>
      </c>
      <c r="D21" s="24" t="s">
        <v>413</v>
      </c>
      <c r="E21"/>
      <c r="F21" s="233"/>
      <c r="G21" s="2">
        <f t="shared" si="0"/>
        <v>1</v>
      </c>
      <c r="H21" s="2">
        <f t="shared" si="1"/>
        <v>2.2677643560808365</v>
      </c>
      <c r="I21" s="2">
        <f t="shared" si="2"/>
        <v>2.4993969139811365</v>
      </c>
      <c r="J21" s="2">
        <f t="shared" si="3"/>
        <v>1</v>
      </c>
      <c r="K21" s="54">
        <f t="shared" si="4"/>
        <v>1.1021413698822786</v>
      </c>
    </row>
    <row r="22" spans="1:11" s="105" customFormat="1" ht="13">
      <c r="A22" s="122" t="s">
        <v>4467</v>
      </c>
      <c r="B22" s="233">
        <v>2855</v>
      </c>
      <c r="C22" s="24"/>
      <c r="D22" s="51"/>
      <c r="E22" s="111"/>
      <c r="F22" s="348"/>
      <c r="G22"/>
      <c r="H22" s="2"/>
      <c r="I22" s="198"/>
      <c r="J22" s="198"/>
      <c r="K22" s="54">
        <f>fish_feed_group_yield_w!C21*(1-VLOOKUP(B22,constant_crop_factor,2,FALSE))</f>
        <v>2.7955879275898923</v>
      </c>
    </row>
    <row r="23" spans="1:11" s="105" customFormat="1" ht="13">
      <c r="A23" s="122" t="s">
        <v>4468</v>
      </c>
      <c r="B23" s="2"/>
      <c r="C23" s="24"/>
      <c r="D23" s="51"/>
      <c r="E23" s="111"/>
      <c r="F23" s="348"/>
      <c r="G23"/>
      <c r="H23"/>
      <c r="I23" s="111"/>
      <c r="J23" s="111"/>
      <c r="K23" s="89">
        <f>IF(ISERROR(I23/H23),0,I23/H23)</f>
        <v>0</v>
      </c>
    </row>
    <row r="24" spans="1:11" s="105" customFormat="1" ht="13">
      <c r="A24" s="102" t="s">
        <v>4469</v>
      </c>
      <c r="B24" s="57"/>
      <c r="C24" s="59"/>
      <c r="D24" s="103" t="s">
        <v>413</v>
      </c>
      <c r="E24" s="123"/>
      <c r="F24" s="351"/>
      <c r="G24" s="20"/>
      <c r="H24" s="57">
        <f>VLOOKUP(5001,constant_grazing_npp,4,FALSE)*cnst_grazing!C6*cnst_grazing!C7</f>
        <v>1.2999000000000001</v>
      </c>
      <c r="I24" s="201">
        <f>VLOOKUP("Grazing land",eqf,2,FALSE)</f>
        <v>0.45312105834289551</v>
      </c>
      <c r="J24" s="201">
        <f>VLOOKUP("Grazing land",iyf,2,FALSE)</f>
        <v>1</v>
      </c>
      <c r="K24" s="81">
        <f>IF(ISERROR(I24/H24),0,I24/H24)*J24</f>
        <v>0.34858147422332142</v>
      </c>
    </row>
    <row r="25" spans="1:11" ht="12.75" customHeight="1">
      <c r="A25" s="203" t="s">
        <v>1536</v>
      </c>
      <c r="B25" s="2"/>
      <c r="C25" s="24"/>
      <c r="D25" s="24"/>
      <c r="E25"/>
      <c r="F25"/>
      <c r="G25"/>
      <c r="H25"/>
      <c r="I25"/>
      <c r="J25"/>
      <c r="K25" s="54">
        <f>crop_feed_cnst!D8</f>
        <v>8.9845353419586493E-2</v>
      </c>
    </row>
    <row r="26" spans="1:11" ht="12.75" customHeight="1">
      <c r="A26" s="204" t="s">
        <v>1546</v>
      </c>
      <c r="B26" s="57"/>
      <c r="C26" s="59"/>
      <c r="D26" s="59"/>
      <c r="E26" s="20"/>
      <c r="F26" s="20"/>
      <c r="G26" s="20"/>
      <c r="H26" s="205"/>
      <c r="I26" s="20"/>
      <c r="J26" s="20"/>
      <c r="K26" s="206">
        <v>0</v>
      </c>
    </row>
  </sheetData>
  <phoneticPr fontId="5" type="noConversion"/>
  <hyperlinks>
    <hyperlink ref="C3" location="livestock_intensity_w" tooltip="Go to livestock_intensity_n_grazing" display="livestock_intensity_w" xr:uid="{00000000-0004-0000-1F00-000000000000}"/>
    <hyperlink ref="F2" location="cnst_grazing!A1" display="cnst_grazing" xr:uid="{00000000-0004-0000-1F00-000001000000}"/>
    <hyperlink ref="D2" location="fish_feed_group_yield_n!A1" display="fish_feed_group_yield_n" xr:uid="{00000000-0004-0000-1F00-000002000000}"/>
    <hyperlink ref="E2" location="crop_feed_cnst!A1" display="crop_feed_cnst" xr:uid="{00000000-0004-0000-1F00-000003000000}"/>
    <hyperlink ref="H2" location="eqf" display="eqf" xr:uid="{00000000-0004-0000-1F00-000004000000}"/>
    <hyperlink ref="C2" location="crop_efp!A1" display="crop_efp" xr:uid="{00000000-0004-0000-1F00-000005000000}"/>
    <hyperlink ref="D3" location="feed_demand_n!A1" display="feed_demand_n" xr:uid="{00000000-0004-0000-1F00-000006000000}"/>
    <hyperlink ref="E3" location="grazing_efp!A1" display="grazing_efp" xr:uid="{00000000-0004-0000-1F00-000007000000}"/>
    <hyperlink ref="I2" location="constant_grazing_npp" display="const_grazing_npp" xr:uid="{00000000-0004-0000-1F00-000008000000}"/>
    <hyperlink ref="J2" location="constant_ag_extr" display="constant_ag_extr" xr:uid="{00000000-0004-0000-1F00-000009000000}"/>
    <hyperlink ref="G2" location="iyf" display="iyf" xr:uid="{00000000-0004-0000-1F00-00000A000000}"/>
  </hyperlinks>
  <pageMargins left="0.75" right="0.75" top="1" bottom="1" header="0.5" footer="0.5"/>
  <headerFooter alignWithMargins="0"/>
  <drawing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0">
    <tabColor theme="7"/>
    <pageSetUpPr autoPageBreaks="0"/>
  </sheetPr>
  <dimension ref="A1:AG83"/>
  <sheetViews>
    <sheetView zoomScaleNormal="100" workbookViewId="0">
      <selection activeCell="A65536" sqref="A65536"/>
    </sheetView>
  </sheetViews>
  <sheetFormatPr defaultColWidth="9.1796875" defaultRowHeight="12.75" customHeight="1"/>
  <cols>
    <col min="1" max="1" width="50.7265625" style="86" customWidth="1"/>
    <col min="2" max="2" width="14.81640625" style="86" customWidth="1"/>
    <col min="3" max="4" width="21.7265625" style="86" customWidth="1"/>
    <col min="5" max="33" width="21.7265625" style="36" customWidth="1"/>
    <col min="34" max="16384" width="9.1796875" style="36"/>
  </cols>
  <sheetData>
    <row r="1" spans="1:29" ht="12.75" customHeight="1">
      <c r="A1" s="36"/>
      <c r="B1" s="97"/>
      <c r="C1" s="97"/>
      <c r="D1" s="36"/>
      <c r="E1" s="97"/>
      <c r="F1" s="97"/>
      <c r="G1" s="97"/>
      <c r="J1" s="97"/>
      <c r="K1" s="97"/>
      <c r="L1" s="97"/>
      <c r="M1" s="97"/>
      <c r="N1" s="97"/>
      <c r="O1" s="97"/>
      <c r="P1" s="97"/>
      <c r="Q1" s="97"/>
      <c r="R1" s="97"/>
      <c r="S1" s="97"/>
    </row>
    <row r="2" spans="1:29" ht="12.75" customHeight="1">
      <c r="A2" s="36"/>
      <c r="B2" s="37" t="s">
        <v>985</v>
      </c>
      <c r="C2" s="96" t="s">
        <v>1745</v>
      </c>
      <c r="D2" s="466" t="s">
        <v>5092</v>
      </c>
      <c r="E2" s="466"/>
      <c r="F2" s="97"/>
      <c r="G2" s="97"/>
    </row>
    <row r="3" spans="1:29" ht="12.75" customHeight="1">
      <c r="A3" s="36"/>
      <c r="B3" s="37" t="s">
        <v>986</v>
      </c>
      <c r="C3" s="466" t="s">
        <v>1746</v>
      </c>
      <c r="D3" s="466" t="s">
        <v>1754</v>
      </c>
      <c r="E3" s="466" t="s">
        <v>1752</v>
      </c>
      <c r="F3" s="97"/>
      <c r="G3" s="97"/>
      <c r="H3" s="97"/>
    </row>
    <row r="4" spans="1:29" ht="12.75" customHeight="1">
      <c r="A4" s="36"/>
      <c r="B4" s="36"/>
      <c r="C4" s="36"/>
      <c r="D4" s="36"/>
      <c r="J4" s="74"/>
    </row>
    <row r="5" spans="1:29" s="86" customFormat="1" ht="13">
      <c r="A5" s="975" t="s">
        <v>1923</v>
      </c>
      <c r="B5" s="976" t="s">
        <v>1907</v>
      </c>
      <c r="C5" s="976" t="s">
        <v>1906</v>
      </c>
      <c r="D5" s="976" t="s">
        <v>2797</v>
      </c>
      <c r="E5" s="928" t="s">
        <v>2196</v>
      </c>
      <c r="F5" s="928" t="s">
        <v>4754</v>
      </c>
      <c r="G5" s="928" t="s">
        <v>2195</v>
      </c>
      <c r="H5" s="928" t="s">
        <v>4755</v>
      </c>
      <c r="I5" s="976" t="s">
        <v>949</v>
      </c>
      <c r="J5" s="976" t="s">
        <v>2057</v>
      </c>
      <c r="K5" s="976" t="s">
        <v>3905</v>
      </c>
      <c r="L5" s="976" t="s">
        <v>4461</v>
      </c>
      <c r="M5" s="976" t="s">
        <v>1151</v>
      </c>
      <c r="N5" s="976" t="s">
        <v>615</v>
      </c>
      <c r="O5" s="976" t="s">
        <v>4505</v>
      </c>
      <c r="P5" s="976" t="s">
        <v>2681</v>
      </c>
      <c r="Q5" s="976" t="s">
        <v>792</v>
      </c>
      <c r="R5" s="976" t="s">
        <v>5394</v>
      </c>
      <c r="S5" s="976" t="s">
        <v>5387</v>
      </c>
      <c r="T5" s="976" t="s">
        <v>4462</v>
      </c>
      <c r="U5" s="976" t="s">
        <v>4463</v>
      </c>
      <c r="V5" s="976" t="s">
        <v>4464</v>
      </c>
      <c r="W5" s="976" t="s">
        <v>5096</v>
      </c>
      <c r="X5" s="976" t="s">
        <v>4466</v>
      </c>
      <c r="Y5" s="976" t="s">
        <v>4467</v>
      </c>
      <c r="Z5" s="976" t="s">
        <v>4468</v>
      </c>
      <c r="AA5" s="976" t="s">
        <v>4469</v>
      </c>
      <c r="AB5" s="976" t="s">
        <v>1536</v>
      </c>
      <c r="AC5" s="977" t="s">
        <v>1546</v>
      </c>
    </row>
    <row r="6" spans="1:29" s="86" customFormat="1" ht="16">
      <c r="A6" s="1090" t="s">
        <v>542</v>
      </c>
      <c r="B6" s="1088" t="s">
        <v>542</v>
      </c>
      <c r="C6" s="1088" t="s">
        <v>542</v>
      </c>
      <c r="D6" s="1092" t="s">
        <v>542</v>
      </c>
      <c r="E6" s="1092" t="s">
        <v>542</v>
      </c>
      <c r="F6" s="1092"/>
      <c r="G6" s="1092"/>
      <c r="H6" s="1092" t="s">
        <v>9237</v>
      </c>
      <c r="I6" s="1092" t="s">
        <v>9237</v>
      </c>
      <c r="J6" s="1092" t="s">
        <v>9237</v>
      </c>
      <c r="K6" s="1092" t="s">
        <v>9237</v>
      </c>
      <c r="L6" s="1092" t="s">
        <v>9237</v>
      </c>
      <c r="M6" s="1092" t="s">
        <v>9237</v>
      </c>
      <c r="N6" s="1092" t="s">
        <v>9237</v>
      </c>
      <c r="O6" s="1092" t="s">
        <v>9237</v>
      </c>
      <c r="P6" s="1092" t="s">
        <v>9237</v>
      </c>
      <c r="Q6" s="1092" t="s">
        <v>9237</v>
      </c>
      <c r="R6" s="1092" t="s">
        <v>9237</v>
      </c>
      <c r="S6" s="1092" t="s">
        <v>9237</v>
      </c>
      <c r="T6" s="1092" t="s">
        <v>9237</v>
      </c>
      <c r="U6" s="1092" t="s">
        <v>9237</v>
      </c>
      <c r="V6" s="1092" t="s">
        <v>9237</v>
      </c>
      <c r="W6" s="1092" t="s">
        <v>9237</v>
      </c>
      <c r="X6" s="1092" t="s">
        <v>9237</v>
      </c>
      <c r="Y6" s="1092" t="s">
        <v>9237</v>
      </c>
      <c r="Z6" s="1092" t="s">
        <v>9237</v>
      </c>
      <c r="AA6" s="1092" t="s">
        <v>9237</v>
      </c>
      <c r="AB6" s="1092" t="s">
        <v>9237</v>
      </c>
      <c r="AC6" s="1117" t="s">
        <v>9237</v>
      </c>
    </row>
    <row r="7" spans="1:29" ht="12.5">
      <c r="A7" s="82" t="s">
        <v>2157</v>
      </c>
      <c r="B7" s="234">
        <v>946</v>
      </c>
      <c r="C7" s="83" t="s">
        <v>2158</v>
      </c>
      <c r="D7" s="83" t="s">
        <v>413</v>
      </c>
      <c r="E7" s="181">
        <f>AA7/I7</f>
        <v>0.69</v>
      </c>
      <c r="F7" s="181">
        <f>1-E7-G7</f>
        <v>0.31000000000000005</v>
      </c>
      <c r="G7" s="181">
        <f>Y7/I7</f>
        <v>0</v>
      </c>
      <c r="H7" s="55">
        <f>SUM(J7:X7,AB7:AC7)</f>
        <v>16.148710543315119</v>
      </c>
      <c r="I7" s="55">
        <f t="shared" ref="I7:I28" si="0">VLOOKUP(B7,regional_tfr,MATCH("WORLD",livestock_demand_headings,0),FALSE)</f>
        <v>76.898621634833887</v>
      </c>
      <c r="J7" s="195">
        <f t="shared" ref="J7:J27" si="1">$I7*J62</f>
        <v>3.7815366029217681</v>
      </c>
      <c r="K7" s="55">
        <f t="shared" ref="K7:X7" si="2">$I7*K62</f>
        <v>0.75630732058435346</v>
      </c>
      <c r="L7" s="55">
        <f t="shared" si="2"/>
        <v>0</v>
      </c>
      <c r="M7" s="55">
        <f t="shared" si="2"/>
        <v>1.5126146411687069</v>
      </c>
      <c r="N7" s="55">
        <f t="shared" si="2"/>
        <v>0.75630732058435346</v>
      </c>
      <c r="O7" s="55">
        <f t="shared" si="2"/>
        <v>0</v>
      </c>
      <c r="P7" s="55">
        <f t="shared" si="2"/>
        <v>0.75630732058435346</v>
      </c>
      <c r="Q7" s="55">
        <f t="shared" si="2"/>
        <v>0</v>
      </c>
      <c r="R7" s="55">
        <f t="shared" si="2"/>
        <v>0</v>
      </c>
      <c r="S7" s="55">
        <f t="shared" si="2"/>
        <v>0</v>
      </c>
      <c r="T7" s="55">
        <f t="shared" si="2"/>
        <v>0</v>
      </c>
      <c r="U7" s="55">
        <f t="shared" si="2"/>
        <v>0.37815366029217673</v>
      </c>
      <c r="V7" s="55">
        <f t="shared" si="2"/>
        <v>0</v>
      </c>
      <c r="W7" s="55">
        <f t="shared" si="2"/>
        <v>0</v>
      </c>
      <c r="X7" s="55">
        <f t="shared" si="2"/>
        <v>0</v>
      </c>
      <c r="Y7" s="55">
        <f t="shared" ref="Y7:AA28" si="3">$I7*Y35</f>
        <v>0</v>
      </c>
      <c r="Z7" s="55">
        <f t="shared" si="3"/>
        <v>7.6898621634833892</v>
      </c>
      <c r="AA7" s="55">
        <f t="shared" si="3"/>
        <v>53.060048928035378</v>
      </c>
      <c r="AB7" s="55">
        <f t="shared" ref="AB7:AC28" si="4">$I7*AC35</f>
        <v>7.4322723811484241</v>
      </c>
      <c r="AC7" s="56">
        <f t="shared" si="4"/>
        <v>0.7752112960309806</v>
      </c>
    </row>
    <row r="8" spans="1:29" ht="12.5">
      <c r="A8" s="84" t="s">
        <v>4668</v>
      </c>
      <c r="B8" s="233">
        <v>866</v>
      </c>
      <c r="C8" s="24" t="s">
        <v>27</v>
      </c>
      <c r="D8" s="1150" t="s">
        <v>413</v>
      </c>
      <c r="E8" s="182">
        <f t="shared" ref="E8:E28" si="5">AA8/I8</f>
        <v>0.69</v>
      </c>
      <c r="F8" s="182">
        <f t="shared" ref="F8:F26" si="6">1-E8-G8</f>
        <v>0.31000000000000005</v>
      </c>
      <c r="G8" s="182">
        <f t="shared" ref="G8:G28" si="7">Y8/I8</f>
        <v>0</v>
      </c>
      <c r="H8" s="2">
        <f t="shared" ref="H8:H28" si="8">SUM(J8:X8,AB8:AC8)</f>
        <v>7.7914058236924078</v>
      </c>
      <c r="I8" s="2">
        <f t="shared" si="0"/>
        <v>37.101932493773369</v>
      </c>
      <c r="J8" s="196">
        <f t="shared" si="1"/>
        <v>1.8245101509177342</v>
      </c>
      <c r="K8" s="2">
        <f t="shared" ref="K8:X8" si="9">$I8*K63</f>
        <v>0.36490203018354678</v>
      </c>
      <c r="L8" s="2">
        <f t="shared" si="9"/>
        <v>0</v>
      </c>
      <c r="M8" s="2">
        <f t="shared" si="9"/>
        <v>0.72980406036709355</v>
      </c>
      <c r="N8" s="2">
        <f t="shared" si="9"/>
        <v>0.36490203018354678</v>
      </c>
      <c r="O8" s="2">
        <f t="shared" si="9"/>
        <v>0</v>
      </c>
      <c r="P8" s="2">
        <f t="shared" si="9"/>
        <v>0.36490203018354678</v>
      </c>
      <c r="Q8" s="2">
        <f t="shared" si="9"/>
        <v>0</v>
      </c>
      <c r="R8" s="2">
        <f t="shared" si="9"/>
        <v>0</v>
      </c>
      <c r="S8" s="2">
        <f t="shared" si="9"/>
        <v>0</v>
      </c>
      <c r="T8" s="2">
        <f t="shared" si="9"/>
        <v>0</v>
      </c>
      <c r="U8" s="2">
        <f t="shared" si="9"/>
        <v>0.18245101509177339</v>
      </c>
      <c r="V8" s="2">
        <f t="shared" si="9"/>
        <v>0</v>
      </c>
      <c r="W8" s="2">
        <f t="shared" si="9"/>
        <v>0</v>
      </c>
      <c r="X8" s="2">
        <f t="shared" si="9"/>
        <v>0</v>
      </c>
      <c r="Y8" s="2">
        <f t="shared" si="3"/>
        <v>0</v>
      </c>
      <c r="Z8" s="2">
        <f t="shared" si="3"/>
        <v>3.7101932493773369</v>
      </c>
      <c r="AA8" s="2">
        <f t="shared" si="3"/>
        <v>25.600333420703624</v>
      </c>
      <c r="AB8" s="2">
        <f t="shared" si="4"/>
        <v>3.5859117146489119</v>
      </c>
      <c r="AC8" s="54">
        <f t="shared" si="4"/>
        <v>0.37402279211625472</v>
      </c>
    </row>
    <row r="9" spans="1:29" ht="12.5">
      <c r="A9" s="84" t="s">
        <v>4551</v>
      </c>
      <c r="B9" s="233">
        <v>1057</v>
      </c>
      <c r="C9" s="24" t="s">
        <v>4552</v>
      </c>
      <c r="D9" s="1150" t="s">
        <v>413</v>
      </c>
      <c r="E9" s="182">
        <f t="shared" si="5"/>
        <v>0</v>
      </c>
      <c r="F9" s="182">
        <f t="shared" si="6"/>
        <v>0.99</v>
      </c>
      <c r="G9" s="182">
        <f t="shared" si="7"/>
        <v>0.01</v>
      </c>
      <c r="H9" s="2">
        <f t="shared" si="8"/>
        <v>3.2460607185590447</v>
      </c>
      <c r="I9" s="2">
        <f t="shared" si="0"/>
        <v>3.8188949630106408</v>
      </c>
      <c r="J9" s="196">
        <f t="shared" si="1"/>
        <v>0.80752489897459345</v>
      </c>
      <c r="K9" s="2">
        <f t="shared" ref="K9:X9" si="10">$I9*K64</f>
        <v>0</v>
      </c>
      <c r="L9" s="2">
        <f t="shared" si="10"/>
        <v>0.43193192270734071</v>
      </c>
      <c r="M9" s="2">
        <f t="shared" si="10"/>
        <v>0</v>
      </c>
      <c r="N9" s="2">
        <f t="shared" si="10"/>
        <v>0</v>
      </c>
      <c r="O9" s="2">
        <f t="shared" si="10"/>
        <v>0</v>
      </c>
      <c r="P9" s="2">
        <f t="shared" si="10"/>
        <v>0.35681332745389016</v>
      </c>
      <c r="Q9" s="2">
        <f t="shared" si="10"/>
        <v>0</v>
      </c>
      <c r="R9" s="2">
        <f t="shared" si="10"/>
        <v>0</v>
      </c>
      <c r="S9" s="2">
        <f t="shared" si="10"/>
        <v>0</v>
      </c>
      <c r="T9" s="2">
        <f>$I9*T64</f>
        <v>0</v>
      </c>
      <c r="U9" s="2">
        <f t="shared" si="10"/>
        <v>0</v>
      </c>
      <c r="V9" s="2">
        <f t="shared" si="10"/>
        <v>0</v>
      </c>
      <c r="W9" s="2">
        <f t="shared" si="10"/>
        <v>0</v>
      </c>
      <c r="X9" s="2">
        <f t="shared" si="10"/>
        <v>0</v>
      </c>
      <c r="Y9" s="2">
        <f t="shared" si="3"/>
        <v>3.8188949630106411E-2</v>
      </c>
      <c r="Z9" s="2">
        <f t="shared" si="3"/>
        <v>0.53464529482148981</v>
      </c>
      <c r="AA9" s="2">
        <f t="shared" si="3"/>
        <v>0</v>
      </c>
      <c r="AB9" s="2">
        <f t="shared" si="4"/>
        <v>1.4939649429820376</v>
      </c>
      <c r="AC9" s="54">
        <f t="shared" si="4"/>
        <v>0.15582562644118295</v>
      </c>
    </row>
    <row r="10" spans="1:29" ht="12.5">
      <c r="A10" s="14" t="s">
        <v>3071</v>
      </c>
      <c r="B10" s="233">
        <v>1068</v>
      </c>
      <c r="C10" s="24" t="s">
        <v>3072</v>
      </c>
      <c r="D10" s="1150" t="s">
        <v>413</v>
      </c>
      <c r="E10" s="182">
        <f t="shared" si="5"/>
        <v>0</v>
      </c>
      <c r="F10" s="182">
        <f t="shared" si="6"/>
        <v>0.99</v>
      </c>
      <c r="G10" s="182">
        <f t="shared" si="7"/>
        <v>0.01</v>
      </c>
      <c r="H10" s="2">
        <f t="shared" si="8"/>
        <v>6.1277500325780103</v>
      </c>
      <c r="I10" s="2">
        <f t="shared" si="0"/>
        <v>7.2091176853858947</v>
      </c>
      <c r="J10" s="196">
        <f t="shared" si="1"/>
        <v>1.5244048571573607</v>
      </c>
      <c r="K10" s="2">
        <f t="shared" ref="K10:X10" si="11">$I10*K65</f>
        <v>0</v>
      </c>
      <c r="L10" s="2">
        <f t="shared" si="11"/>
        <v>0.81537934220044872</v>
      </c>
      <c r="M10" s="2">
        <f t="shared" si="11"/>
        <v>0</v>
      </c>
      <c r="N10" s="2">
        <f t="shared" si="11"/>
        <v>0</v>
      </c>
      <c r="O10" s="2">
        <f t="shared" si="11"/>
        <v>0</v>
      </c>
      <c r="P10" s="2">
        <f t="shared" si="11"/>
        <v>0.67357423920906634</v>
      </c>
      <c r="Q10" s="2">
        <f t="shared" si="11"/>
        <v>0</v>
      </c>
      <c r="R10" s="2">
        <f t="shared" si="11"/>
        <v>0</v>
      </c>
      <c r="S10" s="2">
        <f t="shared" si="11"/>
        <v>0</v>
      </c>
      <c r="T10" s="2">
        <f t="shared" si="11"/>
        <v>0</v>
      </c>
      <c r="U10" s="2">
        <f t="shared" si="11"/>
        <v>0</v>
      </c>
      <c r="V10" s="2">
        <f t="shared" si="11"/>
        <v>0</v>
      </c>
      <c r="W10" s="2">
        <f t="shared" si="11"/>
        <v>0</v>
      </c>
      <c r="X10" s="2">
        <f t="shared" si="11"/>
        <v>0</v>
      </c>
      <c r="Y10" s="2">
        <f t="shared" si="3"/>
        <v>7.2091176853858949E-2</v>
      </c>
      <c r="Z10" s="2">
        <f t="shared" si="3"/>
        <v>1.0092764759540254</v>
      </c>
      <c r="AA10" s="2">
        <f t="shared" si="3"/>
        <v>0</v>
      </c>
      <c r="AB10" s="2">
        <f t="shared" si="4"/>
        <v>2.8202318199680549</v>
      </c>
      <c r="AC10" s="54">
        <f t="shared" si="4"/>
        <v>0.29415977404308036</v>
      </c>
    </row>
    <row r="11" spans="1:29" ht="12.5">
      <c r="A11" s="14" t="s">
        <v>3620</v>
      </c>
      <c r="B11" s="233">
        <v>1072</v>
      </c>
      <c r="C11" s="24" t="s">
        <v>3621</v>
      </c>
      <c r="D11" s="1150" t="s">
        <v>413</v>
      </c>
      <c r="E11" s="182">
        <f t="shared" si="5"/>
        <v>0</v>
      </c>
      <c r="F11" s="182">
        <f t="shared" si="6"/>
        <v>0.99</v>
      </c>
      <c r="G11" s="182">
        <f t="shared" si="7"/>
        <v>0.01</v>
      </c>
      <c r="H11" s="2">
        <f t="shared" si="8"/>
        <v>2.5182912788325598</v>
      </c>
      <c r="I11" s="2">
        <f t="shared" si="0"/>
        <v>2.9626956221559522</v>
      </c>
      <c r="J11" s="196">
        <f t="shared" si="1"/>
        <v>0.62647716319693114</v>
      </c>
      <c r="K11" s="2">
        <f t="shared" ref="K11:X11" si="12">$I11*K66</f>
        <v>0</v>
      </c>
      <c r="L11" s="2">
        <f t="shared" si="12"/>
        <v>0.33509243612859113</v>
      </c>
      <c r="M11" s="2">
        <f t="shared" si="12"/>
        <v>0</v>
      </c>
      <c r="N11" s="2">
        <f t="shared" si="12"/>
        <v>0</v>
      </c>
      <c r="O11" s="2">
        <f t="shared" si="12"/>
        <v>0</v>
      </c>
      <c r="P11" s="2">
        <f t="shared" si="12"/>
        <v>0.27681549071492306</v>
      </c>
      <c r="Q11" s="2">
        <f t="shared" si="12"/>
        <v>0</v>
      </c>
      <c r="R11" s="2">
        <f t="shared" si="12"/>
        <v>0</v>
      </c>
      <c r="S11" s="2">
        <f t="shared" si="12"/>
        <v>0</v>
      </c>
      <c r="T11" s="2">
        <f t="shared" si="12"/>
        <v>0</v>
      </c>
      <c r="U11" s="2">
        <f t="shared" si="12"/>
        <v>0</v>
      </c>
      <c r="V11" s="2">
        <f t="shared" si="12"/>
        <v>0</v>
      </c>
      <c r="W11" s="2">
        <f t="shared" si="12"/>
        <v>0</v>
      </c>
      <c r="X11" s="2">
        <f t="shared" si="12"/>
        <v>0</v>
      </c>
      <c r="Y11" s="2">
        <f t="shared" si="3"/>
        <v>2.9626956221559524E-2</v>
      </c>
      <c r="Z11" s="2">
        <f t="shared" si="3"/>
        <v>0.41477738710183332</v>
      </c>
      <c r="AA11" s="2">
        <f t="shared" si="3"/>
        <v>0</v>
      </c>
      <c r="AB11" s="2">
        <f t="shared" si="4"/>
        <v>1.1590167938889753</v>
      </c>
      <c r="AC11" s="54">
        <f t="shared" si="4"/>
        <v>0.12088939490313894</v>
      </c>
    </row>
    <row r="12" spans="1:29" ht="12.5">
      <c r="A12" s="14" t="s">
        <v>4652</v>
      </c>
      <c r="B12" s="233">
        <v>1079</v>
      </c>
      <c r="C12" s="24" t="s">
        <v>4192</v>
      </c>
      <c r="D12" s="1150" t="s">
        <v>413</v>
      </c>
      <c r="E12" s="182">
        <f t="shared" si="5"/>
        <v>0</v>
      </c>
      <c r="F12" s="182">
        <f t="shared" si="6"/>
        <v>0.99</v>
      </c>
      <c r="G12" s="182">
        <f t="shared" si="7"/>
        <v>0.01</v>
      </c>
      <c r="H12" s="2">
        <f t="shared" si="8"/>
        <v>2.0271038495437512</v>
      </c>
      <c r="I12" s="2">
        <f t="shared" si="0"/>
        <v>2.3848280582867658</v>
      </c>
      <c r="J12" s="196">
        <f t="shared" si="1"/>
        <v>0.50428410718098893</v>
      </c>
      <c r="K12" s="2">
        <f t="shared" ref="K12:X12" si="13">$I12*K67</f>
        <v>0</v>
      </c>
      <c r="L12" s="2">
        <f t="shared" si="13"/>
        <v>0.26973335965494755</v>
      </c>
      <c r="M12" s="2">
        <f t="shared" si="13"/>
        <v>0</v>
      </c>
      <c r="N12" s="2">
        <f t="shared" si="13"/>
        <v>0</v>
      </c>
      <c r="O12" s="2">
        <f t="shared" si="13"/>
        <v>0</v>
      </c>
      <c r="P12" s="2">
        <f t="shared" si="13"/>
        <v>0.22282321014973927</v>
      </c>
      <c r="Q12" s="2">
        <f t="shared" si="13"/>
        <v>0</v>
      </c>
      <c r="R12" s="2">
        <f t="shared" si="13"/>
        <v>0</v>
      </c>
      <c r="S12" s="2">
        <f t="shared" si="13"/>
        <v>0</v>
      </c>
      <c r="T12" s="2">
        <f t="shared" si="13"/>
        <v>0</v>
      </c>
      <c r="U12" s="2">
        <f t="shared" si="13"/>
        <v>0</v>
      </c>
      <c r="V12" s="2">
        <f t="shared" si="13"/>
        <v>0</v>
      </c>
      <c r="W12" s="2">
        <f t="shared" si="13"/>
        <v>0</v>
      </c>
      <c r="X12" s="2">
        <f t="shared" si="13"/>
        <v>0</v>
      </c>
      <c r="Y12" s="2">
        <f t="shared" si="3"/>
        <v>2.384828058286766E-2</v>
      </c>
      <c r="Z12" s="2">
        <f t="shared" si="3"/>
        <v>0.33387592816014722</v>
      </c>
      <c r="AA12" s="2">
        <f t="shared" si="3"/>
        <v>0</v>
      </c>
      <c r="AB12" s="2">
        <f t="shared" si="4"/>
        <v>0.93295300044376328</v>
      </c>
      <c r="AC12" s="54">
        <f t="shared" si="4"/>
        <v>9.7310172114312171E-2</v>
      </c>
    </row>
    <row r="13" spans="1:29" ht="12.5">
      <c r="A13" s="84" t="s">
        <v>406</v>
      </c>
      <c r="B13" s="233">
        <v>1016</v>
      </c>
      <c r="C13" s="24">
        <v>104.2</v>
      </c>
      <c r="D13" s="1150" t="s">
        <v>413</v>
      </c>
      <c r="E13" s="182">
        <f t="shared" si="5"/>
        <v>1</v>
      </c>
      <c r="F13" s="182">
        <f t="shared" si="6"/>
        <v>0</v>
      </c>
      <c r="G13" s="182">
        <f t="shared" si="7"/>
        <v>0</v>
      </c>
      <c r="H13" s="2">
        <f t="shared" si="8"/>
        <v>0</v>
      </c>
      <c r="I13" s="2">
        <f t="shared" si="0"/>
        <v>41.757245708311125</v>
      </c>
      <c r="J13" s="196">
        <f t="shared" si="1"/>
        <v>0</v>
      </c>
      <c r="K13" s="2">
        <f t="shared" ref="K13:X13" si="14">$I13*K68</f>
        <v>0</v>
      </c>
      <c r="L13" s="2">
        <f t="shared" si="14"/>
        <v>0</v>
      </c>
      <c r="M13" s="2">
        <f t="shared" si="14"/>
        <v>0</v>
      </c>
      <c r="N13" s="2">
        <f t="shared" si="14"/>
        <v>0</v>
      </c>
      <c r="O13" s="2">
        <f t="shared" si="14"/>
        <v>0</v>
      </c>
      <c r="P13" s="2">
        <f t="shared" si="14"/>
        <v>0</v>
      </c>
      <c r="Q13" s="2">
        <f t="shared" si="14"/>
        <v>0</v>
      </c>
      <c r="R13" s="2">
        <f t="shared" si="14"/>
        <v>0</v>
      </c>
      <c r="S13" s="2">
        <f t="shared" si="14"/>
        <v>0</v>
      </c>
      <c r="T13" s="2">
        <f t="shared" si="14"/>
        <v>0</v>
      </c>
      <c r="U13" s="2">
        <f t="shared" si="14"/>
        <v>0</v>
      </c>
      <c r="V13" s="2">
        <f t="shared" si="14"/>
        <v>0</v>
      </c>
      <c r="W13" s="2">
        <f t="shared" si="14"/>
        <v>0</v>
      </c>
      <c r="X13" s="2">
        <f t="shared" si="14"/>
        <v>0</v>
      </c>
      <c r="Y13" s="2">
        <f t="shared" si="3"/>
        <v>0</v>
      </c>
      <c r="Z13" s="2">
        <f t="shared" si="3"/>
        <v>0</v>
      </c>
      <c r="AA13" s="2">
        <f t="shared" si="3"/>
        <v>41.757245708311125</v>
      </c>
      <c r="AB13" s="2">
        <f t="shared" si="4"/>
        <v>0</v>
      </c>
      <c r="AC13" s="54">
        <f t="shared" si="4"/>
        <v>0</v>
      </c>
    </row>
    <row r="14" spans="1:29" ht="12.5">
      <c r="A14" s="84" t="s">
        <v>1682</v>
      </c>
      <c r="B14" s="233">
        <v>1034</v>
      </c>
      <c r="C14" s="24">
        <v>103</v>
      </c>
      <c r="D14" s="1150" t="s">
        <v>413</v>
      </c>
      <c r="E14" s="182">
        <f>AA14/I14</f>
        <v>0</v>
      </c>
      <c r="F14" s="182">
        <f t="shared" si="6"/>
        <v>0.99</v>
      </c>
      <c r="G14" s="182">
        <f t="shared" si="7"/>
        <v>0.01</v>
      </c>
      <c r="H14" s="2">
        <f t="shared" si="8"/>
        <v>3.3253727946069382</v>
      </c>
      <c r="I14" s="2">
        <f t="shared" si="0"/>
        <v>3.9587771364368303</v>
      </c>
      <c r="J14" s="196">
        <f t="shared" si="1"/>
        <v>1.0123114523396721</v>
      </c>
      <c r="K14" s="2">
        <f t="shared" ref="K14:X14" si="15">$I14*K69</f>
        <v>0</v>
      </c>
      <c r="L14" s="2">
        <f t="shared" si="15"/>
        <v>0.29201291894413617</v>
      </c>
      <c r="M14" s="2">
        <f t="shared" si="15"/>
        <v>9.7337639648045399E-2</v>
      </c>
      <c r="N14" s="2">
        <f t="shared" si="15"/>
        <v>0</v>
      </c>
      <c r="O14" s="2">
        <f t="shared" si="15"/>
        <v>0</v>
      </c>
      <c r="P14" s="2">
        <f t="shared" si="15"/>
        <v>0.23361033515530893</v>
      </c>
      <c r="Q14" s="2">
        <f t="shared" si="15"/>
        <v>0</v>
      </c>
      <c r="R14" s="2">
        <f t="shared" si="15"/>
        <v>0</v>
      </c>
      <c r="S14" s="2">
        <f t="shared" si="15"/>
        <v>0</v>
      </c>
      <c r="T14" s="2">
        <f t="shared" si="15"/>
        <v>0</v>
      </c>
      <c r="U14" s="2">
        <f t="shared" si="15"/>
        <v>0</v>
      </c>
      <c r="V14" s="2">
        <f t="shared" si="15"/>
        <v>0</v>
      </c>
      <c r="W14" s="2">
        <f t="shared" si="15"/>
        <v>0</v>
      </c>
      <c r="X14" s="2">
        <f t="shared" si="15"/>
        <v>0</v>
      </c>
      <c r="Y14" s="2">
        <f t="shared" si="3"/>
        <v>3.95877713643683E-2</v>
      </c>
      <c r="Z14" s="2">
        <f t="shared" si="3"/>
        <v>0.5938165704655245</v>
      </c>
      <c r="AA14" s="2">
        <f t="shared" si="3"/>
        <v>0</v>
      </c>
      <c r="AB14" s="2">
        <f t="shared" si="4"/>
        <v>1.5304674829663407</v>
      </c>
      <c r="AC14" s="54">
        <f t="shared" si="4"/>
        <v>0.15963296555343465</v>
      </c>
    </row>
    <row r="15" spans="1:29" ht="12.5">
      <c r="A15" s="84" t="s">
        <v>1867</v>
      </c>
      <c r="B15" s="233">
        <v>976</v>
      </c>
      <c r="C15" s="24">
        <v>104.1</v>
      </c>
      <c r="D15" s="1150" t="s">
        <v>413</v>
      </c>
      <c r="E15" s="182">
        <f t="shared" si="5"/>
        <v>1</v>
      </c>
      <c r="F15" s="182">
        <f t="shared" si="6"/>
        <v>0</v>
      </c>
      <c r="G15" s="182">
        <f t="shared" si="7"/>
        <v>0</v>
      </c>
      <c r="H15" s="2">
        <f t="shared" si="8"/>
        <v>0</v>
      </c>
      <c r="I15" s="2">
        <f t="shared" si="0"/>
        <v>10.308350880000001</v>
      </c>
      <c r="J15" s="196">
        <f t="shared" si="1"/>
        <v>0</v>
      </c>
      <c r="K15" s="2">
        <f t="shared" ref="K15:X15" si="16">$I15*K70</f>
        <v>0</v>
      </c>
      <c r="L15" s="2">
        <f t="shared" si="16"/>
        <v>0</v>
      </c>
      <c r="M15" s="2">
        <f t="shared" si="16"/>
        <v>0</v>
      </c>
      <c r="N15" s="2">
        <f t="shared" si="16"/>
        <v>0</v>
      </c>
      <c r="O15" s="2">
        <f t="shared" si="16"/>
        <v>0</v>
      </c>
      <c r="P15" s="2">
        <f t="shared" si="16"/>
        <v>0</v>
      </c>
      <c r="Q15" s="2">
        <f t="shared" si="16"/>
        <v>0</v>
      </c>
      <c r="R15" s="2">
        <f t="shared" si="16"/>
        <v>0</v>
      </c>
      <c r="S15" s="2">
        <f t="shared" si="16"/>
        <v>0</v>
      </c>
      <c r="T15" s="2">
        <f t="shared" si="16"/>
        <v>0</v>
      </c>
      <c r="U15" s="2">
        <f t="shared" si="16"/>
        <v>0</v>
      </c>
      <c r="V15" s="2">
        <f t="shared" si="16"/>
        <v>0</v>
      </c>
      <c r="W15" s="2">
        <f t="shared" si="16"/>
        <v>0</v>
      </c>
      <c r="X15" s="2">
        <f t="shared" si="16"/>
        <v>0</v>
      </c>
      <c r="Y15" s="2">
        <f t="shared" si="3"/>
        <v>0</v>
      </c>
      <c r="Z15" s="2">
        <f t="shared" si="3"/>
        <v>0</v>
      </c>
      <c r="AA15" s="2">
        <f t="shared" si="3"/>
        <v>10.308350880000001</v>
      </c>
      <c r="AB15" s="2">
        <f t="shared" si="4"/>
        <v>0</v>
      </c>
      <c r="AC15" s="54">
        <f t="shared" si="4"/>
        <v>0</v>
      </c>
    </row>
    <row r="16" spans="1:29" ht="12.5">
      <c r="A16" s="14" t="s">
        <v>4903</v>
      </c>
      <c r="B16" s="233">
        <v>1126</v>
      </c>
      <c r="C16" s="24" t="s">
        <v>4904</v>
      </c>
      <c r="D16" s="1150" t="s">
        <v>413</v>
      </c>
      <c r="E16" s="182">
        <f t="shared" si="5"/>
        <v>0.69</v>
      </c>
      <c r="F16" s="182">
        <f t="shared" si="6"/>
        <v>0.31000000000000005</v>
      </c>
      <c r="G16" s="182">
        <f>Y16/I16</f>
        <v>0</v>
      </c>
      <c r="H16" s="2">
        <f>SUM(J16:X16,AB16:AC16)</f>
        <v>23.419100458812458</v>
      </c>
      <c r="I16" s="2">
        <f t="shared" si="0"/>
        <v>111.51952599434503</v>
      </c>
      <c r="J16" s="196">
        <f t="shared" si="1"/>
        <v>5.4840406826885291</v>
      </c>
      <c r="K16" s="2">
        <f t="shared" ref="K16:X16" si="17">$I16*K71</f>
        <v>1.0968081365377056</v>
      </c>
      <c r="L16" s="2">
        <f t="shared" si="17"/>
        <v>0</v>
      </c>
      <c r="M16" s="2">
        <f t="shared" si="17"/>
        <v>2.1936162730754112</v>
      </c>
      <c r="N16" s="2">
        <f t="shared" si="17"/>
        <v>1.0968081365377056</v>
      </c>
      <c r="O16" s="2">
        <f t="shared" si="17"/>
        <v>0</v>
      </c>
      <c r="P16" s="2">
        <f t="shared" si="17"/>
        <v>1.0968081365377056</v>
      </c>
      <c r="Q16" s="2">
        <f t="shared" si="17"/>
        <v>0</v>
      </c>
      <c r="R16" s="2">
        <f t="shared" si="17"/>
        <v>0</v>
      </c>
      <c r="S16" s="2">
        <f t="shared" si="17"/>
        <v>0</v>
      </c>
      <c r="T16" s="2">
        <f t="shared" si="17"/>
        <v>0</v>
      </c>
      <c r="U16" s="2">
        <f t="shared" si="17"/>
        <v>0.5484040682688528</v>
      </c>
      <c r="V16" s="2">
        <f t="shared" si="17"/>
        <v>0</v>
      </c>
      <c r="W16" s="2">
        <f t="shared" si="17"/>
        <v>0</v>
      </c>
      <c r="X16" s="2">
        <f t="shared" si="17"/>
        <v>0</v>
      </c>
      <c r="Y16" s="2">
        <f t="shared" si="3"/>
        <v>0</v>
      </c>
      <c r="Z16" s="2">
        <f t="shared" si="3"/>
        <v>11.151952599434503</v>
      </c>
      <c r="AA16" s="2">
        <f t="shared" si="3"/>
        <v>76.948472936098071</v>
      </c>
      <c r="AB16" s="2">
        <f t="shared" si="4"/>
        <v>10.778392061985686</v>
      </c>
      <c r="AC16" s="54">
        <f t="shared" si="4"/>
        <v>1.1242229631808613</v>
      </c>
    </row>
    <row r="17" spans="1:29" ht="12.5">
      <c r="A17" s="14" t="s">
        <v>2973</v>
      </c>
      <c r="B17" s="233">
        <v>1157</v>
      </c>
      <c r="C17" s="24" t="s">
        <v>2974</v>
      </c>
      <c r="D17" s="1150" t="s">
        <v>413</v>
      </c>
      <c r="E17" s="182">
        <f t="shared" si="5"/>
        <v>0.69</v>
      </c>
      <c r="F17" s="182">
        <f t="shared" si="6"/>
        <v>0.31000000000000005</v>
      </c>
      <c r="G17" s="182">
        <f t="shared" si="7"/>
        <v>0</v>
      </c>
      <c r="H17" s="2">
        <f>SUM(J17:X17,AB17:AC17)</f>
        <v>149.18282871863357</v>
      </c>
      <c r="I17" s="2">
        <f t="shared" si="0"/>
        <v>710.3944224696836</v>
      </c>
      <c r="J17" s="196">
        <f t="shared" si="1"/>
        <v>34.934078842626342</v>
      </c>
      <c r="K17" s="2">
        <f t="shared" ref="K17:X17" si="18">$I17*K72</f>
        <v>6.9868157685252674</v>
      </c>
      <c r="L17" s="2">
        <f t="shared" si="18"/>
        <v>0</v>
      </c>
      <c r="M17" s="2">
        <f t="shared" si="18"/>
        <v>13.973631537050535</v>
      </c>
      <c r="N17" s="2">
        <f t="shared" si="18"/>
        <v>6.9868157685252674</v>
      </c>
      <c r="O17" s="2">
        <f t="shared" si="18"/>
        <v>0</v>
      </c>
      <c r="P17" s="2">
        <f t="shared" si="18"/>
        <v>6.9868157685252674</v>
      </c>
      <c r="Q17" s="2">
        <f t="shared" si="18"/>
        <v>0</v>
      </c>
      <c r="R17" s="2">
        <f t="shared" si="18"/>
        <v>0</v>
      </c>
      <c r="S17" s="2">
        <f t="shared" si="18"/>
        <v>0</v>
      </c>
      <c r="T17" s="2">
        <f t="shared" si="18"/>
        <v>0</v>
      </c>
      <c r="U17" s="2">
        <f t="shared" si="18"/>
        <v>3.4934078842626337</v>
      </c>
      <c r="V17" s="2">
        <f t="shared" si="18"/>
        <v>0</v>
      </c>
      <c r="W17" s="2">
        <f t="shared" si="18"/>
        <v>0</v>
      </c>
      <c r="X17" s="2">
        <f t="shared" si="18"/>
        <v>0</v>
      </c>
      <c r="Y17" s="2">
        <f t="shared" si="3"/>
        <v>0</v>
      </c>
      <c r="Z17" s="2">
        <f t="shared" si="3"/>
        <v>71.039442246968363</v>
      </c>
      <c r="AA17" s="2">
        <f t="shared" si="3"/>
        <v>490.17215150408163</v>
      </c>
      <c r="AB17" s="2">
        <f t="shared" si="4"/>
        <v>68.659811237131819</v>
      </c>
      <c r="AC17" s="54">
        <f t="shared" si="4"/>
        <v>7.1614519119864459</v>
      </c>
    </row>
    <row r="18" spans="1:29" ht="12.5">
      <c r="A18" s="14" t="s">
        <v>2659</v>
      </c>
      <c r="B18" s="233">
        <v>1096</v>
      </c>
      <c r="C18" s="24" t="s">
        <v>2660</v>
      </c>
      <c r="D18" s="1150" t="s">
        <v>413</v>
      </c>
      <c r="E18" s="182">
        <f t="shared" si="5"/>
        <v>0.69</v>
      </c>
      <c r="F18" s="182">
        <f t="shared" si="6"/>
        <v>0.31000000000000005</v>
      </c>
      <c r="G18" s="182">
        <f t="shared" si="7"/>
        <v>0</v>
      </c>
      <c r="H18" s="2">
        <f t="shared" si="8"/>
        <v>29.160086333104591</v>
      </c>
      <c r="I18" s="2">
        <f t="shared" si="0"/>
        <v>138.8575539671647</v>
      </c>
      <c r="J18" s="196">
        <f t="shared" si="1"/>
        <v>6.8284048758704694</v>
      </c>
      <c r="K18" s="2">
        <f t="shared" ref="K18:X18" si="19">$I18*K73</f>
        <v>1.3656809751740937</v>
      </c>
      <c r="L18" s="2">
        <f t="shared" si="19"/>
        <v>0</v>
      </c>
      <c r="M18" s="2">
        <f t="shared" si="19"/>
        <v>2.7313619503481874</v>
      </c>
      <c r="N18" s="2">
        <f t="shared" si="19"/>
        <v>1.3656809751740937</v>
      </c>
      <c r="O18" s="2">
        <f t="shared" si="19"/>
        <v>0</v>
      </c>
      <c r="P18" s="2">
        <f t="shared" si="19"/>
        <v>1.3656809751740937</v>
      </c>
      <c r="Q18" s="2">
        <f t="shared" si="19"/>
        <v>0</v>
      </c>
      <c r="R18" s="2">
        <f t="shared" si="19"/>
        <v>0</v>
      </c>
      <c r="S18" s="2">
        <f t="shared" si="19"/>
        <v>0</v>
      </c>
      <c r="T18" s="2">
        <f t="shared" si="19"/>
        <v>0</v>
      </c>
      <c r="U18" s="2">
        <f t="shared" si="19"/>
        <v>0.68284048758704685</v>
      </c>
      <c r="V18" s="2">
        <f t="shared" si="19"/>
        <v>0</v>
      </c>
      <c r="W18" s="2">
        <f t="shared" si="19"/>
        <v>0</v>
      </c>
      <c r="X18" s="2">
        <f t="shared" si="19"/>
        <v>0</v>
      </c>
      <c r="Y18" s="2">
        <f t="shared" si="3"/>
        <v>0</v>
      </c>
      <c r="Z18" s="2">
        <f t="shared" si="3"/>
        <v>13.885755396716471</v>
      </c>
      <c r="AA18" s="2">
        <f t="shared" si="3"/>
        <v>95.811712237343642</v>
      </c>
      <c r="AB18" s="2">
        <f t="shared" si="4"/>
        <v>13.420619789061249</v>
      </c>
      <c r="AC18" s="54">
        <f t="shared" si="4"/>
        <v>1.3998163047153571</v>
      </c>
    </row>
    <row r="19" spans="1:29" ht="12.5">
      <c r="A19" s="14" t="s">
        <v>4998</v>
      </c>
      <c r="B19" s="233">
        <v>1110</v>
      </c>
      <c r="C19" s="24" t="s">
        <v>5003</v>
      </c>
      <c r="D19" s="1150" t="s">
        <v>413</v>
      </c>
      <c r="E19" s="182">
        <f t="shared" si="5"/>
        <v>0.69</v>
      </c>
      <c r="F19" s="182">
        <f t="shared" si="6"/>
        <v>0.31000000000000005</v>
      </c>
      <c r="G19" s="182">
        <f t="shared" si="7"/>
        <v>0</v>
      </c>
      <c r="H19" s="2">
        <f t="shared" si="8"/>
        <v>24.675744493215532</v>
      </c>
      <c r="I19" s="2">
        <f t="shared" si="0"/>
        <v>117.50354520578824</v>
      </c>
      <c r="J19" s="196">
        <f t="shared" si="1"/>
        <v>5.7783084757852139</v>
      </c>
      <c r="K19" s="2">
        <f t="shared" ref="K19:X19" si="20">$I19*K74</f>
        <v>1.1556616951570426</v>
      </c>
      <c r="L19" s="2">
        <f t="shared" si="20"/>
        <v>0</v>
      </c>
      <c r="M19" s="2">
        <f t="shared" si="20"/>
        <v>2.3113233903140853</v>
      </c>
      <c r="N19" s="2">
        <f t="shared" si="20"/>
        <v>1.1556616951570426</v>
      </c>
      <c r="O19" s="2">
        <f t="shared" si="20"/>
        <v>0</v>
      </c>
      <c r="P19" s="2">
        <f t="shared" si="20"/>
        <v>1.1556616951570426</v>
      </c>
      <c r="Q19" s="2">
        <f t="shared" si="20"/>
        <v>0</v>
      </c>
      <c r="R19" s="2">
        <f t="shared" si="20"/>
        <v>0</v>
      </c>
      <c r="S19" s="2">
        <f t="shared" si="20"/>
        <v>0</v>
      </c>
      <c r="T19" s="2">
        <f t="shared" si="20"/>
        <v>0</v>
      </c>
      <c r="U19" s="2">
        <f t="shared" si="20"/>
        <v>0.57783084757852132</v>
      </c>
      <c r="V19" s="2">
        <f t="shared" si="20"/>
        <v>0</v>
      </c>
      <c r="W19" s="2">
        <f t="shared" si="20"/>
        <v>0</v>
      </c>
      <c r="X19" s="2">
        <f t="shared" si="20"/>
        <v>0</v>
      </c>
      <c r="Y19" s="2">
        <f t="shared" si="3"/>
        <v>0</v>
      </c>
      <c r="Z19" s="2">
        <f t="shared" si="3"/>
        <v>11.750354520578824</v>
      </c>
      <c r="AA19" s="2">
        <f t="shared" si="3"/>
        <v>81.077446191993886</v>
      </c>
      <c r="AB19" s="2">
        <f t="shared" si="4"/>
        <v>11.35674912181268</v>
      </c>
      <c r="AC19" s="54">
        <f t="shared" si="4"/>
        <v>1.1845475722539041</v>
      </c>
    </row>
    <row r="20" spans="1:29" ht="12.5">
      <c r="A20" s="14" t="s">
        <v>3253</v>
      </c>
      <c r="B20" s="233">
        <v>1107</v>
      </c>
      <c r="C20" s="24" t="s">
        <v>5002</v>
      </c>
      <c r="D20" s="1150" t="s">
        <v>413</v>
      </c>
      <c r="E20" s="182">
        <f t="shared" si="5"/>
        <v>0.69</v>
      </c>
      <c r="F20" s="182">
        <f t="shared" si="6"/>
        <v>0.31000000000000005</v>
      </c>
      <c r="G20" s="182">
        <f t="shared" si="7"/>
        <v>0</v>
      </c>
      <c r="H20" s="2">
        <f t="shared" si="8"/>
        <v>21.670866603169415</v>
      </c>
      <c r="I20" s="2">
        <f t="shared" si="0"/>
        <v>103.19460287223529</v>
      </c>
      <c r="J20" s="196">
        <f t="shared" si="1"/>
        <v>5.0746575125679954</v>
      </c>
      <c r="K20" s="2">
        <f t="shared" ref="K20:X20" si="21">$I20*K75</f>
        <v>1.014931502513599</v>
      </c>
      <c r="L20" s="2">
        <f t="shared" si="21"/>
        <v>0</v>
      </c>
      <c r="M20" s="2">
        <f t="shared" si="21"/>
        <v>2.029863005027198</v>
      </c>
      <c r="N20" s="2">
        <f t="shared" si="21"/>
        <v>1.014931502513599</v>
      </c>
      <c r="O20" s="2">
        <f t="shared" si="21"/>
        <v>0</v>
      </c>
      <c r="P20" s="2">
        <f t="shared" si="21"/>
        <v>1.014931502513599</v>
      </c>
      <c r="Q20" s="2">
        <f t="shared" si="21"/>
        <v>0</v>
      </c>
      <c r="R20" s="2">
        <f t="shared" si="21"/>
        <v>0</v>
      </c>
      <c r="S20" s="2">
        <f t="shared" si="21"/>
        <v>0</v>
      </c>
      <c r="T20" s="2">
        <f t="shared" si="21"/>
        <v>0</v>
      </c>
      <c r="U20" s="2">
        <f t="shared" si="21"/>
        <v>0.50746575125679949</v>
      </c>
      <c r="V20" s="2">
        <f t="shared" si="21"/>
        <v>0</v>
      </c>
      <c r="W20" s="2">
        <f t="shared" si="21"/>
        <v>0</v>
      </c>
      <c r="X20" s="2">
        <f t="shared" si="21"/>
        <v>0</v>
      </c>
      <c r="Y20" s="2">
        <f t="shared" si="3"/>
        <v>0</v>
      </c>
      <c r="Z20" s="2">
        <f t="shared" si="3"/>
        <v>10.31946028722353</v>
      </c>
      <c r="AA20" s="2">
        <f t="shared" si="3"/>
        <v>71.204275981842343</v>
      </c>
      <c r="AB20" s="2">
        <f t="shared" si="4"/>
        <v>9.9737860120950277</v>
      </c>
      <c r="AC20" s="54">
        <f t="shared" si="4"/>
        <v>1.0402998146815963</v>
      </c>
    </row>
    <row r="21" spans="1:29" ht="12.5">
      <c r="A21" s="14" t="s">
        <v>3595</v>
      </c>
      <c r="B21" s="233">
        <v>1140</v>
      </c>
      <c r="C21" s="24" t="s">
        <v>5128</v>
      </c>
      <c r="D21" s="1150" t="s">
        <v>413</v>
      </c>
      <c r="E21" s="182">
        <f t="shared" si="5"/>
        <v>0</v>
      </c>
      <c r="F21" s="182">
        <v>0</v>
      </c>
      <c r="G21" s="182">
        <f t="shared" si="7"/>
        <v>0</v>
      </c>
      <c r="H21" s="2">
        <f t="shared" si="8"/>
        <v>0</v>
      </c>
      <c r="I21" s="2">
        <f t="shared" si="0"/>
        <v>10.418392721620096</v>
      </c>
      <c r="J21" s="196">
        <f t="shared" si="1"/>
        <v>0</v>
      </c>
      <c r="K21" s="2">
        <f t="shared" ref="K21:X21" si="22">$I21*K76</f>
        <v>0</v>
      </c>
      <c r="L21" s="2">
        <f t="shared" si="22"/>
        <v>0</v>
      </c>
      <c r="M21" s="2">
        <f t="shared" si="22"/>
        <v>0</v>
      </c>
      <c r="N21" s="2">
        <f t="shared" si="22"/>
        <v>0</v>
      </c>
      <c r="O21" s="2">
        <f t="shared" si="22"/>
        <v>0</v>
      </c>
      <c r="P21" s="2">
        <f t="shared" si="22"/>
        <v>0</v>
      </c>
      <c r="Q21" s="2">
        <f t="shared" si="22"/>
        <v>0</v>
      </c>
      <c r="R21" s="2">
        <f t="shared" si="22"/>
        <v>0</v>
      </c>
      <c r="S21" s="2">
        <f t="shared" si="22"/>
        <v>0</v>
      </c>
      <c r="T21" s="2">
        <f t="shared" si="22"/>
        <v>0</v>
      </c>
      <c r="U21" s="2">
        <f t="shared" si="22"/>
        <v>0</v>
      </c>
      <c r="V21" s="2">
        <f t="shared" si="22"/>
        <v>0</v>
      </c>
      <c r="W21" s="2">
        <f t="shared" si="22"/>
        <v>0</v>
      </c>
      <c r="X21" s="2">
        <f t="shared" si="22"/>
        <v>0</v>
      </c>
      <c r="Y21" s="2">
        <f t="shared" si="3"/>
        <v>0</v>
      </c>
      <c r="Z21" s="2">
        <f t="shared" si="3"/>
        <v>0</v>
      </c>
      <c r="AA21" s="2">
        <f t="shared" si="3"/>
        <v>0</v>
      </c>
      <c r="AB21" s="2">
        <f t="shared" si="4"/>
        <v>0</v>
      </c>
      <c r="AC21" s="54">
        <f t="shared" si="4"/>
        <v>0</v>
      </c>
    </row>
    <row r="22" spans="1:29" ht="12.5">
      <c r="A22" s="14" t="s">
        <v>2975</v>
      </c>
      <c r="B22" s="233">
        <v>1150</v>
      </c>
      <c r="C22" s="24" t="s">
        <v>2976</v>
      </c>
      <c r="D22" s="1150" t="s">
        <v>413</v>
      </c>
      <c r="E22" s="182">
        <f t="shared" si="5"/>
        <v>0</v>
      </c>
      <c r="F22" s="182">
        <v>0</v>
      </c>
      <c r="G22" s="182">
        <f t="shared" si="7"/>
        <v>0</v>
      </c>
      <c r="H22" s="2">
        <f t="shared" si="8"/>
        <v>0</v>
      </c>
      <c r="I22" s="2">
        <f t="shared" si="0"/>
        <v>30.515022953937244</v>
      </c>
      <c r="J22" s="196">
        <f t="shared" si="1"/>
        <v>0</v>
      </c>
      <c r="K22" s="2">
        <f t="shared" ref="K22:X22" si="23">$I22*K77</f>
        <v>0</v>
      </c>
      <c r="L22" s="2">
        <f t="shared" si="23"/>
        <v>0</v>
      </c>
      <c r="M22" s="2">
        <f t="shared" si="23"/>
        <v>0</v>
      </c>
      <c r="N22" s="2">
        <f t="shared" si="23"/>
        <v>0</v>
      </c>
      <c r="O22" s="2">
        <f t="shared" si="23"/>
        <v>0</v>
      </c>
      <c r="P22" s="2">
        <f t="shared" si="23"/>
        <v>0</v>
      </c>
      <c r="Q22" s="2">
        <f t="shared" si="23"/>
        <v>0</v>
      </c>
      <c r="R22" s="2">
        <f t="shared" si="23"/>
        <v>0</v>
      </c>
      <c r="S22" s="2">
        <f t="shared" si="23"/>
        <v>0</v>
      </c>
      <c r="T22" s="2">
        <f t="shared" si="23"/>
        <v>0</v>
      </c>
      <c r="U22" s="2">
        <f t="shared" si="23"/>
        <v>0</v>
      </c>
      <c r="V22" s="2">
        <f t="shared" si="23"/>
        <v>0</v>
      </c>
      <c r="W22" s="2">
        <f t="shared" si="23"/>
        <v>0</v>
      </c>
      <c r="X22" s="2">
        <f t="shared" si="23"/>
        <v>0</v>
      </c>
      <c r="Y22" s="2">
        <f t="shared" si="3"/>
        <v>0</v>
      </c>
      <c r="Z22" s="2">
        <f t="shared" si="3"/>
        <v>0</v>
      </c>
      <c r="AA22" s="2">
        <f t="shared" si="3"/>
        <v>0</v>
      </c>
      <c r="AB22" s="2">
        <f t="shared" si="4"/>
        <v>0</v>
      </c>
      <c r="AC22" s="54">
        <f t="shared" si="4"/>
        <v>0</v>
      </c>
    </row>
    <row r="23" spans="1:29" ht="13">
      <c r="A23" s="122" t="s">
        <v>5420</v>
      </c>
      <c r="B23" s="233">
        <v>882</v>
      </c>
      <c r="C23" s="24" t="s">
        <v>5421</v>
      </c>
      <c r="D23" s="1151" t="s">
        <v>413</v>
      </c>
      <c r="E23" s="182">
        <f t="shared" si="5"/>
        <v>0.65000000000000013</v>
      </c>
      <c r="F23" s="182">
        <f t="shared" si="6"/>
        <v>0.34999999999999987</v>
      </c>
      <c r="G23" s="182">
        <f t="shared" si="7"/>
        <v>0</v>
      </c>
      <c r="H23" s="2">
        <f t="shared" si="8"/>
        <v>0.3918563976478584</v>
      </c>
      <c r="I23" s="198">
        <f t="shared" si="0"/>
        <v>1.5674255905914334</v>
      </c>
      <c r="J23" s="197">
        <f>$I23*J78</f>
        <v>7.7079109055094033E-2</v>
      </c>
      <c r="K23" s="198">
        <f t="shared" ref="K23:X23" si="24">$I23*K78</f>
        <v>3.8539554527547017E-2</v>
      </c>
      <c r="L23" s="198">
        <f t="shared" si="24"/>
        <v>0</v>
      </c>
      <c r="M23" s="198">
        <f t="shared" si="24"/>
        <v>3.8539554527547017E-2</v>
      </c>
      <c r="N23" s="198">
        <f t="shared" si="24"/>
        <v>1.5415821811018806E-2</v>
      </c>
      <c r="O23" s="198">
        <f t="shared" si="24"/>
        <v>0</v>
      </c>
      <c r="P23" s="198">
        <f t="shared" si="24"/>
        <v>1.5415821811018806E-2</v>
      </c>
      <c r="Q23" s="198">
        <f t="shared" si="24"/>
        <v>0</v>
      </c>
      <c r="R23" s="198">
        <f t="shared" si="24"/>
        <v>0</v>
      </c>
      <c r="S23" s="198">
        <f t="shared" si="24"/>
        <v>0</v>
      </c>
      <c r="T23" s="198">
        <f t="shared" si="24"/>
        <v>0</v>
      </c>
      <c r="U23" s="198">
        <f t="shared" si="24"/>
        <v>7.7079109055094028E-3</v>
      </c>
      <c r="V23" s="198">
        <f t="shared" si="24"/>
        <v>0</v>
      </c>
      <c r="W23" s="198">
        <f t="shared" si="24"/>
        <v>0</v>
      </c>
      <c r="X23" s="198">
        <f t="shared" si="24"/>
        <v>0</v>
      </c>
      <c r="Y23" s="198">
        <f t="shared" si="3"/>
        <v>0</v>
      </c>
      <c r="Z23" s="198">
        <f t="shared" si="3"/>
        <v>0.15674255905914336</v>
      </c>
      <c r="AA23" s="198">
        <f t="shared" si="3"/>
        <v>1.0188266338844318</v>
      </c>
      <c r="AB23" s="198">
        <f t="shared" si="4"/>
        <v>0.18034774193287498</v>
      </c>
      <c r="AC23" s="199">
        <f t="shared" si="4"/>
        <v>1.8810883077248305E-2</v>
      </c>
    </row>
    <row r="24" spans="1:29" ht="13">
      <c r="A24" s="122" t="s">
        <v>1680</v>
      </c>
      <c r="B24" s="233">
        <v>1062</v>
      </c>
      <c r="C24" s="51" t="s">
        <v>5023</v>
      </c>
      <c r="D24" s="1151" t="s">
        <v>413</v>
      </c>
      <c r="E24" s="182">
        <f t="shared" si="5"/>
        <v>0</v>
      </c>
      <c r="F24" s="182">
        <f t="shared" si="6"/>
        <v>1</v>
      </c>
      <c r="G24" s="182">
        <f t="shared" si="7"/>
        <v>0</v>
      </c>
      <c r="H24" s="2">
        <f t="shared" si="8"/>
        <v>2.2395041306312526</v>
      </c>
      <c r="I24" s="198">
        <f t="shared" si="0"/>
        <v>2.6758408644881384</v>
      </c>
      <c r="J24" s="197">
        <f t="shared" si="1"/>
        <v>0.43053329035433308</v>
      </c>
      <c r="K24" s="198">
        <f t="shared" ref="K24:X24" si="25">$I24*K79</f>
        <v>0.24042609139031718</v>
      </c>
      <c r="L24" s="198">
        <f t="shared" si="25"/>
        <v>0</v>
      </c>
      <c r="M24" s="198">
        <f t="shared" si="25"/>
        <v>0.2367636114418083</v>
      </c>
      <c r="N24" s="198">
        <f t="shared" si="25"/>
        <v>1.5625850079717916E-2</v>
      </c>
      <c r="O24" s="198">
        <f t="shared" si="25"/>
        <v>7.4930976990460118E-3</v>
      </c>
      <c r="P24" s="198">
        <f t="shared" si="25"/>
        <v>9.9603371853172612E-2</v>
      </c>
      <c r="Q24" s="198">
        <f t="shared" si="25"/>
        <v>0</v>
      </c>
      <c r="R24" s="198">
        <f t="shared" si="25"/>
        <v>0</v>
      </c>
      <c r="S24" s="198">
        <f t="shared" si="25"/>
        <v>1.7739451906290286E-2</v>
      </c>
      <c r="T24" s="198">
        <f t="shared" si="25"/>
        <v>0</v>
      </c>
      <c r="U24" s="198">
        <f t="shared" si="25"/>
        <v>9.3343893897262289E-3</v>
      </c>
      <c r="V24" s="198">
        <f t="shared" si="25"/>
        <v>0</v>
      </c>
      <c r="W24" s="198">
        <f t="shared" si="25"/>
        <v>1.498619539809205E-2</v>
      </c>
      <c r="X24" s="198">
        <f t="shared" si="25"/>
        <v>2.8784460673164581E-2</v>
      </c>
      <c r="Y24" s="198">
        <f t="shared" si="3"/>
        <v>0</v>
      </c>
      <c r="Z24" s="198">
        <f t="shared" si="3"/>
        <v>0.43633673385688587</v>
      </c>
      <c r="AA24" s="198">
        <f t="shared" si="3"/>
        <v>0</v>
      </c>
      <c r="AB24" s="198">
        <f t="shared" si="4"/>
        <v>1.030707972188444</v>
      </c>
      <c r="AC24" s="199">
        <f t="shared" si="4"/>
        <v>0.1075063482571403</v>
      </c>
    </row>
    <row r="25" spans="1:29" ht="13">
      <c r="A25" s="124" t="s">
        <v>3821</v>
      </c>
      <c r="B25" s="233">
        <v>1091</v>
      </c>
      <c r="C25" s="51" t="s">
        <v>3523</v>
      </c>
      <c r="D25" s="1151" t="s">
        <v>413</v>
      </c>
      <c r="E25" s="182">
        <f t="shared" si="5"/>
        <v>0</v>
      </c>
      <c r="F25" s="182">
        <f t="shared" si="6"/>
        <v>1</v>
      </c>
      <c r="G25" s="182">
        <f t="shared" si="7"/>
        <v>0</v>
      </c>
      <c r="H25" s="2">
        <f t="shared" si="8"/>
        <v>2.2395041306312526</v>
      </c>
      <c r="I25" s="198">
        <f t="shared" si="0"/>
        <v>2.6758408644881384</v>
      </c>
      <c r="J25" s="197">
        <f t="shared" si="1"/>
        <v>0.43053329035433308</v>
      </c>
      <c r="K25" s="198">
        <f t="shared" ref="K25:X25" si="26">$I25*K80</f>
        <v>0.24042609139031718</v>
      </c>
      <c r="L25" s="198">
        <f t="shared" si="26"/>
        <v>0</v>
      </c>
      <c r="M25" s="198">
        <f t="shared" si="26"/>
        <v>0.2367636114418083</v>
      </c>
      <c r="N25" s="198">
        <f t="shared" si="26"/>
        <v>1.5625850079717916E-2</v>
      </c>
      <c r="O25" s="198">
        <f t="shared" si="26"/>
        <v>7.4930976990460118E-3</v>
      </c>
      <c r="P25" s="198">
        <f t="shared" si="26"/>
        <v>9.9603371853172612E-2</v>
      </c>
      <c r="Q25" s="198">
        <f t="shared" si="26"/>
        <v>0</v>
      </c>
      <c r="R25" s="198">
        <f t="shared" si="26"/>
        <v>0</v>
      </c>
      <c r="S25" s="198">
        <f t="shared" si="26"/>
        <v>1.7739451906290286E-2</v>
      </c>
      <c r="T25" s="198">
        <f t="shared" si="26"/>
        <v>0</v>
      </c>
      <c r="U25" s="198">
        <f t="shared" si="26"/>
        <v>9.3343893897262289E-3</v>
      </c>
      <c r="V25" s="198">
        <f t="shared" si="26"/>
        <v>0</v>
      </c>
      <c r="W25" s="198">
        <f t="shared" si="26"/>
        <v>1.498619539809205E-2</v>
      </c>
      <c r="X25" s="198">
        <f t="shared" si="26"/>
        <v>2.8784460673164581E-2</v>
      </c>
      <c r="Y25" s="198">
        <f t="shared" si="3"/>
        <v>0</v>
      </c>
      <c r="Z25" s="198">
        <f t="shared" si="3"/>
        <v>0.43633673385688587</v>
      </c>
      <c r="AA25" s="198">
        <f t="shared" si="3"/>
        <v>0</v>
      </c>
      <c r="AB25" s="198">
        <f t="shared" si="4"/>
        <v>1.030707972188444</v>
      </c>
      <c r="AC25" s="199">
        <f t="shared" si="4"/>
        <v>0.1075063482571403</v>
      </c>
    </row>
    <row r="26" spans="1:29" ht="12.75" customHeight="1">
      <c r="A26" s="122" t="s">
        <v>4473</v>
      </c>
      <c r="B26" s="233">
        <v>951</v>
      </c>
      <c r="C26" s="24" t="s">
        <v>2812</v>
      </c>
      <c r="D26" s="1151" t="s">
        <v>413</v>
      </c>
      <c r="E26" s="182">
        <f t="shared" si="5"/>
        <v>0.69</v>
      </c>
      <c r="F26" s="182">
        <f t="shared" si="6"/>
        <v>0.31000000000000005</v>
      </c>
      <c r="G26" s="182">
        <f t="shared" si="7"/>
        <v>0</v>
      </c>
      <c r="H26" s="2">
        <f t="shared" si="8"/>
        <v>0.68222597744453806</v>
      </c>
      <c r="I26" s="198">
        <f t="shared" si="0"/>
        <v>3.2486951306882763</v>
      </c>
      <c r="J26" s="197">
        <f t="shared" si="1"/>
        <v>0.15975656373620215</v>
      </c>
      <c r="K26" s="198">
        <f t="shared" ref="K26:X26" si="27">$I26*K81</f>
        <v>3.1951312747240425E-2</v>
      </c>
      <c r="L26" s="198">
        <f t="shared" si="27"/>
        <v>0</v>
      </c>
      <c r="M26" s="198">
        <f t="shared" si="27"/>
        <v>6.390262549448085E-2</v>
      </c>
      <c r="N26" s="198">
        <f t="shared" si="27"/>
        <v>3.1951312747240425E-2</v>
      </c>
      <c r="O26" s="198">
        <f t="shared" si="27"/>
        <v>0</v>
      </c>
      <c r="P26" s="198">
        <f t="shared" si="27"/>
        <v>3.1951312747240425E-2</v>
      </c>
      <c r="Q26" s="198">
        <f t="shared" si="27"/>
        <v>0</v>
      </c>
      <c r="R26" s="198">
        <f t="shared" si="27"/>
        <v>0</v>
      </c>
      <c r="S26" s="198">
        <f t="shared" si="27"/>
        <v>0</v>
      </c>
      <c r="T26" s="198">
        <f t="shared" si="27"/>
        <v>0</v>
      </c>
      <c r="U26" s="198">
        <f t="shared" si="27"/>
        <v>1.5975656373620212E-2</v>
      </c>
      <c r="V26" s="198">
        <f t="shared" si="27"/>
        <v>0</v>
      </c>
      <c r="W26" s="198">
        <f t="shared" si="27"/>
        <v>0</v>
      </c>
      <c r="X26" s="198">
        <f t="shared" si="27"/>
        <v>0</v>
      </c>
      <c r="Y26" s="198">
        <f t="shared" si="3"/>
        <v>0</v>
      </c>
      <c r="Z26" s="198">
        <f t="shared" si="3"/>
        <v>0.32486951306882766</v>
      </c>
      <c r="AA26" s="198">
        <f t="shared" si="3"/>
        <v>2.2415996401749103</v>
      </c>
      <c r="AB26" s="198">
        <f t="shared" si="4"/>
        <v>0.31398725466424293</v>
      </c>
      <c r="AC26" s="199">
        <f t="shared" si="4"/>
        <v>3.274993893427066E-2</v>
      </c>
    </row>
    <row r="27" spans="1:29" ht="12.75" customHeight="1">
      <c r="A27" s="124" t="s">
        <v>1862</v>
      </c>
      <c r="B27" s="233">
        <v>982</v>
      </c>
      <c r="C27" s="24" t="s">
        <v>1863</v>
      </c>
      <c r="D27" s="1151" t="s">
        <v>413</v>
      </c>
      <c r="E27" s="182">
        <f t="shared" ref="E27" si="28">AA27/I27</f>
        <v>0.65</v>
      </c>
      <c r="F27" s="182">
        <f t="shared" ref="F27" si="29">1-E27-G27</f>
        <v>0.35</v>
      </c>
      <c r="G27" s="182">
        <f t="shared" ref="G27" si="30">Y27/I27</f>
        <v>0</v>
      </c>
      <c r="H27" s="2">
        <f t="shared" si="8"/>
        <v>2.5561487305029971</v>
      </c>
      <c r="I27" s="198">
        <f t="shared" si="0"/>
        <v>10.224594922011988</v>
      </c>
      <c r="J27" s="197">
        <f t="shared" si="1"/>
        <v>0.50280068908441744</v>
      </c>
      <c r="K27" s="198">
        <f t="shared" ref="K27:X27" si="31">$I27*K82</f>
        <v>0.25140034454220872</v>
      </c>
      <c r="L27" s="198">
        <f t="shared" si="31"/>
        <v>0</v>
      </c>
      <c r="M27" s="198">
        <f t="shared" si="31"/>
        <v>0.25140034454220872</v>
      </c>
      <c r="N27" s="198">
        <f t="shared" si="31"/>
        <v>0.10056013781688349</v>
      </c>
      <c r="O27" s="198">
        <f t="shared" si="31"/>
        <v>0</v>
      </c>
      <c r="P27" s="198">
        <f t="shared" si="31"/>
        <v>0.10056013781688349</v>
      </c>
      <c r="Q27" s="198">
        <f t="shared" si="31"/>
        <v>0</v>
      </c>
      <c r="R27" s="198">
        <f t="shared" si="31"/>
        <v>0</v>
      </c>
      <c r="S27" s="198">
        <f t="shared" si="31"/>
        <v>0</v>
      </c>
      <c r="T27" s="198">
        <f t="shared" si="31"/>
        <v>0</v>
      </c>
      <c r="U27" s="198">
        <f t="shared" si="31"/>
        <v>5.0280068908441743E-2</v>
      </c>
      <c r="V27" s="198">
        <f t="shared" si="31"/>
        <v>0</v>
      </c>
      <c r="W27" s="198">
        <f t="shared" si="31"/>
        <v>0</v>
      </c>
      <c r="X27" s="198">
        <f t="shared" si="31"/>
        <v>0</v>
      </c>
      <c r="Y27" s="198">
        <f t="shared" si="3"/>
        <v>0</v>
      </c>
      <c r="Z27" s="198">
        <f t="shared" si="3"/>
        <v>1.0224594922011989</v>
      </c>
      <c r="AA27" s="198">
        <f t="shared" si="3"/>
        <v>6.6459866993077927</v>
      </c>
      <c r="AB27" s="198">
        <f t="shared" si="4"/>
        <v>1.1764402836292955</v>
      </c>
      <c r="AC27" s="199">
        <f t="shared" si="4"/>
        <v>0.12270672416265796</v>
      </c>
    </row>
    <row r="28" spans="1:29" ht="12.75" customHeight="1">
      <c r="A28" s="102" t="s">
        <v>1866</v>
      </c>
      <c r="B28" s="235">
        <v>987</v>
      </c>
      <c r="C28" s="103" t="s">
        <v>272</v>
      </c>
      <c r="D28" s="103" t="s">
        <v>413</v>
      </c>
      <c r="E28" s="183">
        <f t="shared" si="5"/>
        <v>1</v>
      </c>
      <c r="F28" s="183">
        <v>0</v>
      </c>
      <c r="G28" s="183">
        <f t="shared" si="7"/>
        <v>0</v>
      </c>
      <c r="H28" s="57">
        <f t="shared" si="8"/>
        <v>0</v>
      </c>
      <c r="I28" s="201">
        <f t="shared" si="0"/>
        <v>193.150621915171</v>
      </c>
      <c r="J28" s="200">
        <f>$I28*J83</f>
        <v>0</v>
      </c>
      <c r="K28" s="201">
        <f t="shared" ref="K28:X28" si="32">$I28*K83</f>
        <v>0</v>
      </c>
      <c r="L28" s="201">
        <f t="shared" si="32"/>
        <v>0</v>
      </c>
      <c r="M28" s="201">
        <f t="shared" si="32"/>
        <v>0</v>
      </c>
      <c r="N28" s="201">
        <f t="shared" si="32"/>
        <v>0</v>
      </c>
      <c r="O28" s="201">
        <f t="shared" si="32"/>
        <v>0</v>
      </c>
      <c r="P28" s="201">
        <f t="shared" si="32"/>
        <v>0</v>
      </c>
      <c r="Q28" s="201">
        <f t="shared" si="32"/>
        <v>0</v>
      </c>
      <c r="R28" s="201">
        <f t="shared" si="32"/>
        <v>0</v>
      </c>
      <c r="S28" s="201">
        <f t="shared" si="32"/>
        <v>0</v>
      </c>
      <c r="T28" s="201">
        <f t="shared" si="32"/>
        <v>0</v>
      </c>
      <c r="U28" s="201">
        <f t="shared" si="32"/>
        <v>0</v>
      </c>
      <c r="V28" s="201">
        <f t="shared" si="32"/>
        <v>0</v>
      </c>
      <c r="W28" s="201">
        <f t="shared" si="32"/>
        <v>0</v>
      </c>
      <c r="X28" s="201">
        <f t="shared" si="32"/>
        <v>0</v>
      </c>
      <c r="Y28" s="201">
        <f t="shared" si="3"/>
        <v>0</v>
      </c>
      <c r="Z28" s="201">
        <f t="shared" si="3"/>
        <v>0</v>
      </c>
      <c r="AA28" s="201">
        <f t="shared" si="3"/>
        <v>193.150621915171</v>
      </c>
      <c r="AB28" s="201">
        <f t="shared" si="4"/>
        <v>0</v>
      </c>
      <c r="AC28" s="202">
        <f t="shared" si="4"/>
        <v>0</v>
      </c>
    </row>
    <row r="30" spans="1:29" ht="12.75" customHeight="1">
      <c r="A30" s="192" t="s">
        <v>1539</v>
      </c>
      <c r="B30" s="193"/>
    </row>
    <row r="31" spans="1:29" ht="12.75" customHeight="1">
      <c r="A31" s="36"/>
      <c r="G31" s="120"/>
      <c r="H31" s="120"/>
      <c r="I31" s="120"/>
    </row>
    <row r="32" spans="1:29" ht="12.75" customHeight="1">
      <c r="A32" s="893" t="s">
        <v>1540</v>
      </c>
      <c r="G32" s="120"/>
      <c r="H32" s="120"/>
      <c r="I32" s="120"/>
    </row>
    <row r="33" spans="1:33" ht="12.75" customHeight="1">
      <c r="A33" s="975" t="s">
        <v>1923</v>
      </c>
      <c r="B33" s="977" t="s">
        <v>1907</v>
      </c>
      <c r="G33" s="120"/>
      <c r="H33" s="120"/>
      <c r="I33" s="120"/>
      <c r="J33" s="118" t="s">
        <v>2057</v>
      </c>
      <c r="K33" s="119" t="s">
        <v>3081</v>
      </c>
      <c r="L33" s="119" t="s">
        <v>4461</v>
      </c>
      <c r="M33" s="119" t="s">
        <v>1151</v>
      </c>
      <c r="N33" s="119" t="s">
        <v>615</v>
      </c>
      <c r="O33" s="119" t="s">
        <v>4505</v>
      </c>
      <c r="P33" s="119" t="s">
        <v>2681</v>
      </c>
      <c r="Q33" s="119" t="s">
        <v>792</v>
      </c>
      <c r="R33" s="119" t="s">
        <v>5394</v>
      </c>
      <c r="S33" s="119" t="s">
        <v>5387</v>
      </c>
      <c r="T33" s="119" t="s">
        <v>4462</v>
      </c>
      <c r="U33" s="119" t="s">
        <v>4463</v>
      </c>
      <c r="V33" s="119" t="s">
        <v>4464</v>
      </c>
      <c r="W33" s="119" t="s">
        <v>4465</v>
      </c>
      <c r="X33" s="119" t="s">
        <v>4466</v>
      </c>
      <c r="Y33" s="119" t="s">
        <v>4467</v>
      </c>
      <c r="Z33" s="119" t="s">
        <v>4468</v>
      </c>
      <c r="AA33" s="119" t="s">
        <v>4469</v>
      </c>
      <c r="AB33" s="236" t="s">
        <v>1542</v>
      </c>
      <c r="AC33" s="236" t="s">
        <v>1543</v>
      </c>
      <c r="AD33" s="236" t="s">
        <v>1544</v>
      </c>
      <c r="AE33" s="287" t="s">
        <v>1545</v>
      </c>
    </row>
    <row r="34" spans="1:33" ht="12.75" customHeight="1">
      <c r="A34" s="1090" t="s">
        <v>542</v>
      </c>
      <c r="B34" s="1089" t="s">
        <v>542</v>
      </c>
      <c r="G34" s="120"/>
      <c r="H34" s="120"/>
      <c r="I34" s="120"/>
      <c r="J34" s="288" t="s">
        <v>1534</v>
      </c>
      <c r="K34" s="237" t="s">
        <v>1534</v>
      </c>
      <c r="L34" s="237" t="s">
        <v>1534</v>
      </c>
      <c r="M34" s="237" t="s">
        <v>1534</v>
      </c>
      <c r="N34" s="237" t="s">
        <v>1534</v>
      </c>
      <c r="O34" s="237" t="s">
        <v>1534</v>
      </c>
      <c r="P34" s="237" t="s">
        <v>1534</v>
      </c>
      <c r="Q34" s="237" t="s">
        <v>1534</v>
      </c>
      <c r="R34" s="237" t="s">
        <v>1534</v>
      </c>
      <c r="S34" s="237" t="s">
        <v>1534</v>
      </c>
      <c r="T34" s="237" t="s">
        <v>1534</v>
      </c>
      <c r="U34" s="237" t="s">
        <v>1534</v>
      </c>
      <c r="V34" s="237" t="s">
        <v>1534</v>
      </c>
      <c r="W34" s="237" t="s">
        <v>1534</v>
      </c>
      <c r="X34" s="237" t="s">
        <v>1534</v>
      </c>
      <c r="Y34" s="237" t="s">
        <v>1534</v>
      </c>
      <c r="Z34" s="237" t="s">
        <v>1534</v>
      </c>
      <c r="AA34" s="237" t="s">
        <v>1534</v>
      </c>
      <c r="AB34" s="237" t="s">
        <v>1534</v>
      </c>
      <c r="AC34" s="237" t="s">
        <v>1534</v>
      </c>
      <c r="AD34" s="237" t="s">
        <v>1534</v>
      </c>
      <c r="AE34" s="289" t="s">
        <v>1534</v>
      </c>
    </row>
    <row r="35" spans="1:33" ht="12.75" customHeight="1">
      <c r="A35" s="82" t="s">
        <v>2157</v>
      </c>
      <c r="B35" s="889">
        <v>946</v>
      </c>
      <c r="G35" s="120"/>
      <c r="H35" s="120"/>
      <c r="I35" s="120"/>
      <c r="J35" s="901">
        <v>0.1</v>
      </c>
      <c r="K35" s="444">
        <v>0.02</v>
      </c>
      <c r="L35" s="444">
        <v>0</v>
      </c>
      <c r="M35" s="444">
        <v>0.04</v>
      </c>
      <c r="N35" s="444">
        <v>0.02</v>
      </c>
      <c r="O35" s="444">
        <v>0</v>
      </c>
      <c r="P35" s="444">
        <v>0.02</v>
      </c>
      <c r="Q35" s="444">
        <v>0</v>
      </c>
      <c r="R35" s="444">
        <v>0</v>
      </c>
      <c r="S35" s="444">
        <v>0</v>
      </c>
      <c r="T35" s="444">
        <v>0</v>
      </c>
      <c r="U35" s="444">
        <v>0.01</v>
      </c>
      <c r="V35" s="444">
        <v>0</v>
      </c>
      <c r="W35" s="444">
        <v>0</v>
      </c>
      <c r="X35" s="444">
        <v>0</v>
      </c>
      <c r="Y35" s="564">
        <v>0</v>
      </c>
      <c r="Z35" s="564">
        <v>0.1</v>
      </c>
      <c r="AA35" s="564">
        <v>0.69</v>
      </c>
      <c r="AB35" s="444">
        <f>SUM(J35:X35)</f>
        <v>0.21</v>
      </c>
      <c r="AC35" s="564">
        <v>9.6650267887008784E-2</v>
      </c>
      <c r="AD35" s="564">
        <v>1.0080951771960264E-2</v>
      </c>
      <c r="AE35" s="841">
        <f>AB35*crop_feed_cnst!$C$7/100</f>
        <v>0.10326878034103096</v>
      </c>
      <c r="AG35" s="194"/>
    </row>
    <row r="36" spans="1:33" ht="12.75" customHeight="1">
      <c r="A36" s="84" t="s">
        <v>4668</v>
      </c>
      <c r="B36" s="890">
        <v>866</v>
      </c>
      <c r="G36" s="120"/>
      <c r="H36" s="120"/>
      <c r="I36" s="120"/>
      <c r="J36" s="901">
        <v>0.1</v>
      </c>
      <c r="K36" s="444">
        <v>0.02</v>
      </c>
      <c r="L36" s="444">
        <v>0</v>
      </c>
      <c r="M36" s="444">
        <v>0.04</v>
      </c>
      <c r="N36" s="444">
        <v>0.02</v>
      </c>
      <c r="O36" s="444">
        <v>0</v>
      </c>
      <c r="P36" s="444">
        <v>0.02</v>
      </c>
      <c r="Q36" s="444">
        <v>0</v>
      </c>
      <c r="R36" s="444">
        <v>0</v>
      </c>
      <c r="S36" s="444">
        <v>0</v>
      </c>
      <c r="T36" s="444">
        <v>0</v>
      </c>
      <c r="U36" s="444">
        <v>0.01</v>
      </c>
      <c r="V36" s="444">
        <v>0</v>
      </c>
      <c r="W36" s="444">
        <v>0</v>
      </c>
      <c r="X36" s="444">
        <v>0</v>
      </c>
      <c r="Y36" s="565">
        <v>0</v>
      </c>
      <c r="Z36" s="565">
        <v>0.1</v>
      </c>
      <c r="AA36" s="565">
        <v>0.69</v>
      </c>
      <c r="AB36" s="444">
        <f t="shared" ref="AB36:AB56" si="33">SUM(J36:X36)</f>
        <v>0.21</v>
      </c>
      <c r="AC36" s="565">
        <v>9.6650267887008784E-2</v>
      </c>
      <c r="AD36" s="565">
        <v>1.0080951771960264E-2</v>
      </c>
      <c r="AE36" s="841">
        <f>AB36*crop_feed_cnst!$C$7/100</f>
        <v>0.10326878034103096</v>
      </c>
      <c r="AG36" s="194"/>
    </row>
    <row r="37" spans="1:33" ht="12.75" customHeight="1">
      <c r="A37" s="84" t="s">
        <v>4551</v>
      </c>
      <c r="B37" s="890">
        <v>1057</v>
      </c>
      <c r="G37" s="120"/>
      <c r="H37" s="120"/>
      <c r="I37" s="120"/>
      <c r="J37" s="901">
        <v>0.43</v>
      </c>
      <c r="K37" s="444">
        <v>0</v>
      </c>
      <c r="L37" s="444">
        <v>0.23</v>
      </c>
      <c r="M37" s="444">
        <v>0</v>
      </c>
      <c r="N37" s="444">
        <v>0</v>
      </c>
      <c r="O37" s="444">
        <v>0</v>
      </c>
      <c r="P37" s="444">
        <v>0.19</v>
      </c>
      <c r="Q37" s="444">
        <v>0</v>
      </c>
      <c r="R37" s="444">
        <v>0</v>
      </c>
      <c r="S37" s="444">
        <v>0</v>
      </c>
      <c r="T37" s="444">
        <v>0</v>
      </c>
      <c r="U37" s="444">
        <v>0</v>
      </c>
      <c r="V37" s="444">
        <v>0</v>
      </c>
      <c r="W37" s="444">
        <v>0</v>
      </c>
      <c r="X37" s="444">
        <v>0</v>
      </c>
      <c r="Y37" s="565">
        <v>0.01</v>
      </c>
      <c r="Z37" s="565">
        <v>0.14000000000000001</v>
      </c>
      <c r="AA37" s="565">
        <v>0</v>
      </c>
      <c r="AB37" s="444">
        <f>SUM(J37:X37)</f>
        <v>0.85000000000000009</v>
      </c>
      <c r="AC37" s="565">
        <v>0.39120346525694033</v>
      </c>
      <c r="AD37" s="565">
        <v>4.0803852410315367E-2</v>
      </c>
      <c r="AE37" s="841">
        <f>AB37*crop_feed_cnst!$C$7/100</f>
        <v>0.41799268233274439</v>
      </c>
      <c r="AG37" s="194"/>
    </row>
    <row r="38" spans="1:33" ht="12.75" customHeight="1">
      <c r="A38" s="14" t="s">
        <v>3071</v>
      </c>
      <c r="B38" s="890">
        <v>1068</v>
      </c>
      <c r="G38" s="120"/>
      <c r="H38" s="120"/>
      <c r="I38" s="120"/>
      <c r="J38" s="901">
        <v>0.43</v>
      </c>
      <c r="K38" s="444">
        <v>0</v>
      </c>
      <c r="L38" s="444">
        <v>0.23</v>
      </c>
      <c r="M38" s="444">
        <v>0</v>
      </c>
      <c r="N38" s="444">
        <v>0</v>
      </c>
      <c r="O38" s="444">
        <v>0</v>
      </c>
      <c r="P38" s="444">
        <v>0.19</v>
      </c>
      <c r="Q38" s="444">
        <v>0</v>
      </c>
      <c r="R38" s="444">
        <v>0</v>
      </c>
      <c r="S38" s="444">
        <v>0</v>
      </c>
      <c r="T38" s="444">
        <v>0</v>
      </c>
      <c r="U38" s="444">
        <v>0</v>
      </c>
      <c r="V38" s="444">
        <v>0</v>
      </c>
      <c r="W38" s="444">
        <v>0</v>
      </c>
      <c r="X38" s="444">
        <v>0</v>
      </c>
      <c r="Y38" s="565">
        <v>0.01</v>
      </c>
      <c r="Z38" s="565">
        <v>0.14000000000000001</v>
      </c>
      <c r="AA38" s="565">
        <v>0</v>
      </c>
      <c r="AB38" s="444">
        <f t="shared" si="33"/>
        <v>0.85000000000000009</v>
      </c>
      <c r="AC38" s="565">
        <v>0.39120346525694033</v>
      </c>
      <c r="AD38" s="565">
        <v>4.0803852410315367E-2</v>
      </c>
      <c r="AE38" s="841">
        <f>AB38*crop_feed_cnst!$C$7/100</f>
        <v>0.41799268233274439</v>
      </c>
      <c r="AG38" s="194"/>
    </row>
    <row r="39" spans="1:33" ht="12.75" customHeight="1">
      <c r="A39" s="14" t="s">
        <v>3620</v>
      </c>
      <c r="B39" s="890">
        <v>1072</v>
      </c>
      <c r="G39" s="120"/>
      <c r="H39" s="120"/>
      <c r="I39" s="120"/>
      <c r="J39" s="901">
        <v>0.43</v>
      </c>
      <c r="K39" s="444">
        <v>0</v>
      </c>
      <c r="L39" s="444">
        <v>0.23</v>
      </c>
      <c r="M39" s="444">
        <v>0</v>
      </c>
      <c r="N39" s="444">
        <v>0</v>
      </c>
      <c r="O39" s="444">
        <v>0</v>
      </c>
      <c r="P39" s="444">
        <v>0.19</v>
      </c>
      <c r="Q39" s="444">
        <v>0</v>
      </c>
      <c r="R39" s="444">
        <v>0</v>
      </c>
      <c r="S39" s="444">
        <v>0</v>
      </c>
      <c r="T39" s="444">
        <v>0</v>
      </c>
      <c r="U39" s="444">
        <v>0</v>
      </c>
      <c r="V39" s="444">
        <v>0</v>
      </c>
      <c r="W39" s="444">
        <v>0</v>
      </c>
      <c r="X39" s="444">
        <v>0</v>
      </c>
      <c r="Y39" s="565">
        <v>0.01</v>
      </c>
      <c r="Z39" s="565">
        <v>0.14000000000000001</v>
      </c>
      <c r="AA39" s="565">
        <v>0</v>
      </c>
      <c r="AB39" s="444">
        <f t="shared" si="33"/>
        <v>0.85000000000000009</v>
      </c>
      <c r="AC39" s="565">
        <v>0.39120346525694033</v>
      </c>
      <c r="AD39" s="565">
        <v>4.0803852410315367E-2</v>
      </c>
      <c r="AE39" s="841">
        <f>AB39*crop_feed_cnst!$C$7/100</f>
        <v>0.41799268233274439</v>
      </c>
      <c r="AG39" s="194"/>
    </row>
    <row r="40" spans="1:33" ht="12.75" customHeight="1">
      <c r="A40" s="14" t="s">
        <v>4652</v>
      </c>
      <c r="B40" s="890">
        <v>1079</v>
      </c>
      <c r="G40" s="120"/>
      <c r="H40" s="120"/>
      <c r="I40" s="120"/>
      <c r="J40" s="901">
        <v>0.43</v>
      </c>
      <c r="K40" s="444">
        <v>0</v>
      </c>
      <c r="L40" s="444">
        <v>0.23</v>
      </c>
      <c r="M40" s="444">
        <v>0</v>
      </c>
      <c r="N40" s="444">
        <v>0</v>
      </c>
      <c r="O40" s="444">
        <v>0</v>
      </c>
      <c r="P40" s="444">
        <v>0.19</v>
      </c>
      <c r="Q40" s="444">
        <v>0</v>
      </c>
      <c r="R40" s="444">
        <v>0</v>
      </c>
      <c r="S40" s="444">
        <v>0</v>
      </c>
      <c r="T40" s="444">
        <v>0</v>
      </c>
      <c r="U40" s="444">
        <v>0</v>
      </c>
      <c r="V40" s="444">
        <v>0</v>
      </c>
      <c r="W40" s="444">
        <v>0</v>
      </c>
      <c r="X40" s="444">
        <v>0</v>
      </c>
      <c r="Y40" s="565">
        <v>0.01</v>
      </c>
      <c r="Z40" s="565">
        <v>0.14000000000000001</v>
      </c>
      <c r="AA40" s="565">
        <v>0</v>
      </c>
      <c r="AB40" s="444">
        <f t="shared" si="33"/>
        <v>0.85000000000000009</v>
      </c>
      <c r="AC40" s="565">
        <v>0.39120346525694033</v>
      </c>
      <c r="AD40" s="565">
        <v>4.0803852410315367E-2</v>
      </c>
      <c r="AE40" s="841">
        <f>AB40*crop_feed_cnst!$C$7/100</f>
        <v>0.41799268233274439</v>
      </c>
      <c r="AG40" s="194"/>
    </row>
    <row r="41" spans="1:33" ht="12.75" customHeight="1">
      <c r="A41" s="84" t="s">
        <v>406</v>
      </c>
      <c r="B41" s="890">
        <v>1016</v>
      </c>
      <c r="G41" s="120"/>
      <c r="H41" s="120"/>
      <c r="I41" s="120"/>
      <c r="J41" s="901">
        <v>0</v>
      </c>
      <c r="K41" s="444">
        <v>0</v>
      </c>
      <c r="L41" s="444">
        <v>0</v>
      </c>
      <c r="M41" s="444">
        <v>0</v>
      </c>
      <c r="N41" s="444">
        <v>0</v>
      </c>
      <c r="O41" s="444">
        <v>0</v>
      </c>
      <c r="P41" s="444">
        <v>0</v>
      </c>
      <c r="Q41" s="444">
        <v>0</v>
      </c>
      <c r="R41" s="444">
        <v>0</v>
      </c>
      <c r="S41" s="444">
        <v>0</v>
      </c>
      <c r="T41" s="444">
        <v>0</v>
      </c>
      <c r="U41" s="444">
        <v>0</v>
      </c>
      <c r="V41" s="444">
        <v>0</v>
      </c>
      <c r="W41" s="444">
        <v>0</v>
      </c>
      <c r="X41" s="444">
        <v>0</v>
      </c>
      <c r="Y41" s="565">
        <v>0</v>
      </c>
      <c r="Z41" s="565">
        <v>0</v>
      </c>
      <c r="AA41" s="565">
        <v>1</v>
      </c>
      <c r="AB41" s="444">
        <f t="shared" si="33"/>
        <v>0</v>
      </c>
      <c r="AC41" s="565">
        <v>0</v>
      </c>
      <c r="AD41" s="565">
        <v>0</v>
      </c>
      <c r="AE41" s="841">
        <f>AB41*crop_feed_cnst!$C$7/100</f>
        <v>0</v>
      </c>
      <c r="AG41" s="194"/>
    </row>
    <row r="42" spans="1:33" ht="12.75" customHeight="1">
      <c r="A42" s="84" t="s">
        <v>1682</v>
      </c>
      <c r="B42" s="890">
        <v>1034</v>
      </c>
      <c r="G42" s="120"/>
      <c r="H42" s="120"/>
      <c r="I42" s="120"/>
      <c r="J42" s="901">
        <v>0.52</v>
      </c>
      <c r="K42" s="444">
        <v>0</v>
      </c>
      <c r="L42" s="444">
        <v>0.15</v>
      </c>
      <c r="M42" s="444">
        <v>0.05</v>
      </c>
      <c r="N42" s="444">
        <v>0</v>
      </c>
      <c r="O42" s="444">
        <v>0</v>
      </c>
      <c r="P42" s="444">
        <v>0.12</v>
      </c>
      <c r="Q42" s="444">
        <v>0</v>
      </c>
      <c r="R42" s="444">
        <v>0</v>
      </c>
      <c r="S42" s="444">
        <v>0</v>
      </c>
      <c r="T42" s="444">
        <v>0</v>
      </c>
      <c r="U42" s="444">
        <v>0</v>
      </c>
      <c r="V42" s="444">
        <v>0</v>
      </c>
      <c r="W42" s="444">
        <v>0</v>
      </c>
      <c r="X42" s="444">
        <v>0</v>
      </c>
      <c r="Y42" s="565">
        <v>0.01</v>
      </c>
      <c r="Z42" s="565">
        <v>0.15</v>
      </c>
      <c r="AA42" s="565">
        <v>0</v>
      </c>
      <c r="AB42" s="444">
        <f t="shared" si="33"/>
        <v>0.84000000000000008</v>
      </c>
      <c r="AC42" s="565">
        <v>0.38660107154803514</v>
      </c>
      <c r="AD42" s="565">
        <v>4.0323807087841071E-2</v>
      </c>
      <c r="AE42" s="841">
        <f>AB42*crop_feed_cnst!$C$7/100</f>
        <v>0.41307512136412394</v>
      </c>
      <c r="AG42" s="194"/>
    </row>
    <row r="43" spans="1:33" ht="12.75" customHeight="1">
      <c r="A43" s="84" t="s">
        <v>1867</v>
      </c>
      <c r="B43" s="890">
        <v>976</v>
      </c>
      <c r="G43" s="120"/>
      <c r="H43" s="120"/>
      <c r="I43" s="120"/>
      <c r="J43" s="901">
        <v>0</v>
      </c>
      <c r="K43" s="444">
        <v>0</v>
      </c>
      <c r="L43" s="444">
        <v>0</v>
      </c>
      <c r="M43" s="444">
        <v>0</v>
      </c>
      <c r="N43" s="444">
        <v>0</v>
      </c>
      <c r="O43" s="444">
        <v>0</v>
      </c>
      <c r="P43" s="444">
        <v>0</v>
      </c>
      <c r="Q43" s="444">
        <v>0</v>
      </c>
      <c r="R43" s="444">
        <v>0</v>
      </c>
      <c r="S43" s="444">
        <v>0</v>
      </c>
      <c r="T43" s="444">
        <v>0</v>
      </c>
      <c r="U43" s="444">
        <v>0</v>
      </c>
      <c r="V43" s="444">
        <v>0</v>
      </c>
      <c r="W43" s="444">
        <v>0</v>
      </c>
      <c r="X43" s="444">
        <v>0</v>
      </c>
      <c r="Y43" s="565">
        <v>0</v>
      </c>
      <c r="Z43" s="565">
        <v>0</v>
      </c>
      <c r="AA43" s="565">
        <v>1</v>
      </c>
      <c r="AB43" s="444">
        <f t="shared" si="33"/>
        <v>0</v>
      </c>
      <c r="AC43" s="565">
        <v>0</v>
      </c>
      <c r="AD43" s="565">
        <v>0</v>
      </c>
      <c r="AE43" s="841">
        <f>AB43*crop_feed_cnst!$C$7/100</f>
        <v>0</v>
      </c>
      <c r="AG43" s="194"/>
    </row>
    <row r="44" spans="1:33" ht="12.75" customHeight="1">
      <c r="A44" s="14" t="s">
        <v>4903</v>
      </c>
      <c r="B44" s="890">
        <v>1126</v>
      </c>
      <c r="G44" s="120"/>
      <c r="H44" s="120"/>
      <c r="I44" s="120"/>
      <c r="J44" s="901">
        <v>0.1</v>
      </c>
      <c r="K44" s="444">
        <v>0.02</v>
      </c>
      <c r="L44" s="444">
        <v>0</v>
      </c>
      <c r="M44" s="444">
        <v>0.04</v>
      </c>
      <c r="N44" s="444">
        <v>0.02</v>
      </c>
      <c r="O44" s="444">
        <v>0</v>
      </c>
      <c r="P44" s="444">
        <v>0.02</v>
      </c>
      <c r="Q44" s="444">
        <v>0</v>
      </c>
      <c r="R44" s="444">
        <v>0</v>
      </c>
      <c r="S44" s="444">
        <v>0</v>
      </c>
      <c r="T44" s="444">
        <v>0</v>
      </c>
      <c r="U44" s="444">
        <v>0.01</v>
      </c>
      <c r="V44" s="444">
        <v>0</v>
      </c>
      <c r="W44" s="444">
        <v>0</v>
      </c>
      <c r="X44" s="444">
        <v>0</v>
      </c>
      <c r="Y44" s="565">
        <v>0</v>
      </c>
      <c r="Z44" s="565">
        <v>0.1</v>
      </c>
      <c r="AA44" s="565">
        <v>0.69</v>
      </c>
      <c r="AB44" s="444">
        <f t="shared" si="33"/>
        <v>0.21</v>
      </c>
      <c r="AC44" s="565">
        <v>9.6650267887008784E-2</v>
      </c>
      <c r="AD44" s="565">
        <v>1.0080951771960264E-2</v>
      </c>
      <c r="AE44" s="841">
        <f>AB44*crop_feed_cnst!$C$7/100</f>
        <v>0.10326878034103096</v>
      </c>
      <c r="AG44" s="194"/>
    </row>
    <row r="45" spans="1:33" ht="12.75" customHeight="1">
      <c r="A45" s="14" t="s">
        <v>2973</v>
      </c>
      <c r="B45" s="890">
        <v>1157</v>
      </c>
      <c r="G45" s="120"/>
      <c r="H45" s="120"/>
      <c r="I45" s="120"/>
      <c r="J45" s="901">
        <v>0.1</v>
      </c>
      <c r="K45" s="444">
        <v>0.02</v>
      </c>
      <c r="L45" s="444">
        <v>0</v>
      </c>
      <c r="M45" s="444">
        <v>0.04</v>
      </c>
      <c r="N45" s="444">
        <v>0.02</v>
      </c>
      <c r="O45" s="444">
        <v>0</v>
      </c>
      <c r="P45" s="444">
        <v>0.02</v>
      </c>
      <c r="Q45" s="444">
        <v>0</v>
      </c>
      <c r="R45" s="444">
        <v>0</v>
      </c>
      <c r="S45" s="444">
        <v>0</v>
      </c>
      <c r="T45" s="444">
        <v>0</v>
      </c>
      <c r="U45" s="444">
        <v>0.01</v>
      </c>
      <c r="V45" s="444">
        <v>0</v>
      </c>
      <c r="W45" s="444">
        <v>0</v>
      </c>
      <c r="X45" s="444">
        <v>0</v>
      </c>
      <c r="Y45" s="565">
        <v>0</v>
      </c>
      <c r="Z45" s="565">
        <v>0.1</v>
      </c>
      <c r="AA45" s="565">
        <v>0.69</v>
      </c>
      <c r="AB45" s="444">
        <f t="shared" si="33"/>
        <v>0.21</v>
      </c>
      <c r="AC45" s="565">
        <v>9.6650267887008798E-2</v>
      </c>
      <c r="AD45" s="565">
        <v>1.0080951771960264E-2</v>
      </c>
      <c r="AE45" s="841">
        <f>AB45*crop_feed_cnst!$C$7/100</f>
        <v>0.10326878034103096</v>
      </c>
      <c r="AG45" s="194"/>
    </row>
    <row r="46" spans="1:33" ht="12.75" customHeight="1">
      <c r="A46" s="14" t="s">
        <v>2659</v>
      </c>
      <c r="B46" s="890">
        <v>1096</v>
      </c>
      <c r="G46" s="120"/>
      <c r="H46" s="120"/>
      <c r="I46" s="120"/>
      <c r="J46" s="901">
        <v>0.1</v>
      </c>
      <c r="K46" s="444">
        <v>0.02</v>
      </c>
      <c r="L46" s="444">
        <v>0</v>
      </c>
      <c r="M46" s="444">
        <v>0.04</v>
      </c>
      <c r="N46" s="444">
        <v>0.02</v>
      </c>
      <c r="O46" s="444">
        <v>0</v>
      </c>
      <c r="P46" s="444">
        <v>0.02</v>
      </c>
      <c r="Q46" s="444">
        <v>0</v>
      </c>
      <c r="R46" s="444">
        <v>0</v>
      </c>
      <c r="S46" s="444">
        <v>0</v>
      </c>
      <c r="T46" s="444">
        <v>0</v>
      </c>
      <c r="U46" s="444">
        <v>0.01</v>
      </c>
      <c r="V46" s="444">
        <v>0</v>
      </c>
      <c r="W46" s="444">
        <v>0</v>
      </c>
      <c r="X46" s="444">
        <v>0</v>
      </c>
      <c r="Y46" s="565">
        <v>0</v>
      </c>
      <c r="Z46" s="565">
        <v>0.1</v>
      </c>
      <c r="AA46" s="565">
        <v>0.69</v>
      </c>
      <c r="AB46" s="444">
        <f t="shared" si="33"/>
        <v>0.21</v>
      </c>
      <c r="AC46" s="565">
        <v>9.6650267887008784E-2</v>
      </c>
      <c r="AD46" s="565">
        <v>1.0080951771960264E-2</v>
      </c>
      <c r="AE46" s="841">
        <f>AB46*crop_feed_cnst!$C$7/100</f>
        <v>0.10326878034103096</v>
      </c>
      <c r="AG46" s="194"/>
    </row>
    <row r="47" spans="1:33" ht="12.75" customHeight="1">
      <c r="A47" s="14" t="s">
        <v>4998</v>
      </c>
      <c r="B47" s="890">
        <v>1110</v>
      </c>
      <c r="G47" s="120"/>
      <c r="H47" s="120"/>
      <c r="I47" s="120"/>
      <c r="J47" s="901">
        <v>0.1</v>
      </c>
      <c r="K47" s="444">
        <v>0.02</v>
      </c>
      <c r="L47" s="444">
        <v>0</v>
      </c>
      <c r="M47" s="444">
        <v>0.04</v>
      </c>
      <c r="N47" s="444">
        <v>0.02</v>
      </c>
      <c r="O47" s="444">
        <v>0</v>
      </c>
      <c r="P47" s="444">
        <v>0.02</v>
      </c>
      <c r="Q47" s="444">
        <v>0</v>
      </c>
      <c r="R47" s="444">
        <v>0</v>
      </c>
      <c r="S47" s="444">
        <v>0</v>
      </c>
      <c r="T47" s="444">
        <v>0</v>
      </c>
      <c r="U47" s="444">
        <v>0.01</v>
      </c>
      <c r="V47" s="444">
        <v>0</v>
      </c>
      <c r="W47" s="444">
        <v>0</v>
      </c>
      <c r="X47" s="444">
        <v>0</v>
      </c>
      <c r="Y47" s="565">
        <v>0</v>
      </c>
      <c r="Z47" s="565">
        <v>0.1</v>
      </c>
      <c r="AA47" s="565">
        <v>0.69</v>
      </c>
      <c r="AB47" s="444">
        <f t="shared" si="33"/>
        <v>0.21</v>
      </c>
      <c r="AC47" s="565">
        <v>9.6650267887008784E-2</v>
      </c>
      <c r="AD47" s="565">
        <v>1.0080951771960264E-2</v>
      </c>
      <c r="AE47" s="841">
        <f>AB47*crop_feed_cnst!$C$7/100</f>
        <v>0.10326878034103096</v>
      </c>
      <c r="AG47" s="194"/>
    </row>
    <row r="48" spans="1:33" ht="12.75" customHeight="1">
      <c r="A48" s="14" t="s">
        <v>3253</v>
      </c>
      <c r="B48" s="890">
        <v>1107</v>
      </c>
      <c r="G48" s="120"/>
      <c r="H48" s="120"/>
      <c r="I48" s="120"/>
      <c r="J48" s="901">
        <v>0.1</v>
      </c>
      <c r="K48" s="444">
        <v>0.02</v>
      </c>
      <c r="L48" s="444">
        <v>0</v>
      </c>
      <c r="M48" s="444">
        <v>0.04</v>
      </c>
      <c r="N48" s="444">
        <v>0.02</v>
      </c>
      <c r="O48" s="444">
        <v>0</v>
      </c>
      <c r="P48" s="444">
        <v>0.02</v>
      </c>
      <c r="Q48" s="444">
        <v>0</v>
      </c>
      <c r="R48" s="444">
        <v>0</v>
      </c>
      <c r="S48" s="444">
        <v>0</v>
      </c>
      <c r="T48" s="444">
        <v>0</v>
      </c>
      <c r="U48" s="444">
        <v>0.01</v>
      </c>
      <c r="V48" s="444">
        <v>0</v>
      </c>
      <c r="W48" s="444">
        <v>0</v>
      </c>
      <c r="X48" s="444">
        <v>0</v>
      </c>
      <c r="Y48" s="565">
        <v>0</v>
      </c>
      <c r="Z48" s="565">
        <v>0.1</v>
      </c>
      <c r="AA48" s="565">
        <v>0.69</v>
      </c>
      <c r="AB48" s="444">
        <f t="shared" si="33"/>
        <v>0.21</v>
      </c>
      <c r="AC48" s="565">
        <v>9.6650267887008784E-2</v>
      </c>
      <c r="AD48" s="565">
        <v>1.0080951771960264E-2</v>
      </c>
      <c r="AE48" s="841">
        <f>AB48*crop_feed_cnst!$C$7/100</f>
        <v>0.10326878034103096</v>
      </c>
      <c r="AG48" s="194"/>
    </row>
    <row r="49" spans="1:33" ht="12.75" customHeight="1">
      <c r="A49" s="14" t="s">
        <v>3595</v>
      </c>
      <c r="B49" s="890">
        <v>1140</v>
      </c>
      <c r="G49" s="120"/>
      <c r="H49" s="120"/>
      <c r="I49" s="120"/>
      <c r="J49" s="901"/>
      <c r="K49" s="444"/>
      <c r="L49" s="444"/>
      <c r="M49" s="444"/>
      <c r="N49" s="444"/>
      <c r="O49" s="444"/>
      <c r="P49" s="444"/>
      <c r="Q49" s="444"/>
      <c r="R49" s="444"/>
      <c r="S49" s="444"/>
      <c r="T49" s="444"/>
      <c r="U49" s="444"/>
      <c r="V49" s="444"/>
      <c r="W49" s="444"/>
      <c r="X49" s="444"/>
      <c r="Y49" s="565"/>
      <c r="Z49" s="565"/>
      <c r="AA49" s="565"/>
      <c r="AB49" s="444">
        <f t="shared" si="33"/>
        <v>0</v>
      </c>
      <c r="AC49" s="565">
        <v>0</v>
      </c>
      <c r="AD49" s="565">
        <v>0</v>
      </c>
      <c r="AE49" s="841">
        <f>AB49*crop_feed_cnst!$C$7/100</f>
        <v>0</v>
      </c>
      <c r="AG49" s="194"/>
    </row>
    <row r="50" spans="1:33" ht="12.75" customHeight="1">
      <c r="A50" s="14" t="s">
        <v>2975</v>
      </c>
      <c r="B50" s="890">
        <v>1150</v>
      </c>
      <c r="G50" s="120"/>
      <c r="H50" s="120"/>
      <c r="I50" s="120"/>
      <c r="J50" s="901"/>
      <c r="K50" s="444"/>
      <c r="L50" s="444"/>
      <c r="M50" s="444"/>
      <c r="N50" s="444"/>
      <c r="O50" s="444"/>
      <c r="P50" s="444"/>
      <c r="Q50" s="444"/>
      <c r="R50" s="444"/>
      <c r="S50" s="444"/>
      <c r="T50" s="444"/>
      <c r="U50" s="444"/>
      <c r="V50" s="444"/>
      <c r="W50" s="444"/>
      <c r="X50" s="444"/>
      <c r="Y50" s="565"/>
      <c r="Z50" s="565"/>
      <c r="AA50" s="565"/>
      <c r="AB50" s="444">
        <f t="shared" si="33"/>
        <v>0</v>
      </c>
      <c r="AC50" s="565">
        <v>0</v>
      </c>
      <c r="AD50" s="565">
        <v>0</v>
      </c>
      <c r="AE50" s="841">
        <f>AB50*crop_feed_cnst!$C$7/100</f>
        <v>0</v>
      </c>
      <c r="AG50" s="194"/>
    </row>
    <row r="51" spans="1:33" ht="12.75" customHeight="1">
      <c r="A51" s="122" t="s">
        <v>5420</v>
      </c>
      <c r="B51" s="890">
        <v>882</v>
      </c>
      <c r="G51" s="120"/>
      <c r="H51" s="120"/>
      <c r="I51" s="120"/>
      <c r="J51" s="901">
        <v>0.1</v>
      </c>
      <c r="K51" s="444">
        <v>0.05</v>
      </c>
      <c r="L51" s="444">
        <v>0</v>
      </c>
      <c r="M51" s="444">
        <v>0.05</v>
      </c>
      <c r="N51" s="444">
        <v>0.02</v>
      </c>
      <c r="O51" s="444">
        <v>0</v>
      </c>
      <c r="P51" s="444">
        <v>0.02</v>
      </c>
      <c r="Q51" s="444">
        <v>0</v>
      </c>
      <c r="R51" s="444">
        <v>0</v>
      </c>
      <c r="S51" s="444">
        <v>0</v>
      </c>
      <c r="T51" s="444">
        <v>0</v>
      </c>
      <c r="U51" s="444">
        <v>0.01</v>
      </c>
      <c r="V51" s="444">
        <v>0</v>
      </c>
      <c r="W51" s="444">
        <v>0</v>
      </c>
      <c r="X51" s="444">
        <v>0</v>
      </c>
      <c r="Y51" s="565">
        <v>0</v>
      </c>
      <c r="Z51" s="565">
        <v>0.1</v>
      </c>
      <c r="AA51" s="565">
        <v>0.65</v>
      </c>
      <c r="AB51" s="444">
        <f t="shared" si="33"/>
        <v>0.25</v>
      </c>
      <c r="AC51" s="565">
        <v>0.11505984272262949</v>
      </c>
      <c r="AD51" s="565">
        <v>1.2001133061857459E-2</v>
      </c>
      <c r="AE51" s="841">
        <f>AB51*crop_feed_cnst!$C$7/100</f>
        <v>0.12293902421551305</v>
      </c>
      <c r="AG51" s="194"/>
    </row>
    <row r="52" spans="1:33" ht="12.75" customHeight="1">
      <c r="A52" s="122" t="s">
        <v>1680</v>
      </c>
      <c r="B52" s="890">
        <v>1062</v>
      </c>
      <c r="G52" s="120"/>
      <c r="H52" s="120"/>
      <c r="I52" s="120"/>
      <c r="J52" s="901">
        <v>0.32718750000000002</v>
      </c>
      <c r="K52" s="444">
        <v>0.18271388888888901</v>
      </c>
      <c r="L52" s="444">
        <v>0</v>
      </c>
      <c r="M52" s="444">
        <v>0.17993055555555601</v>
      </c>
      <c r="N52" s="444">
        <v>1.1875E-2</v>
      </c>
      <c r="O52" s="444">
        <v>5.6944444444444403E-3</v>
      </c>
      <c r="P52" s="444">
        <v>7.5694444444444398E-2</v>
      </c>
      <c r="Q52" s="444">
        <v>0</v>
      </c>
      <c r="R52" s="444">
        <v>0</v>
      </c>
      <c r="S52" s="444">
        <v>1.348125E-2</v>
      </c>
      <c r="T52" s="444">
        <v>0</v>
      </c>
      <c r="U52" s="444">
        <v>7.0937500000000002E-3</v>
      </c>
      <c r="V52" s="444">
        <v>0</v>
      </c>
      <c r="W52" s="444">
        <v>1.13888888888889E-2</v>
      </c>
      <c r="X52" s="444">
        <v>2.1874999999999999E-2</v>
      </c>
      <c r="Y52" s="565">
        <v>0</v>
      </c>
      <c r="Z52" s="565">
        <v>0.16306527777777724</v>
      </c>
      <c r="AA52" s="565">
        <v>0</v>
      </c>
      <c r="AB52" s="444">
        <f t="shared" si="33"/>
        <v>0.83693472222222276</v>
      </c>
      <c r="AC52" s="565">
        <v>0.38519031003198623</v>
      </c>
      <c r="AD52" s="565">
        <v>4.0176659861910428E-2</v>
      </c>
      <c r="AE52" s="841">
        <f>AB52*crop_feed_cnst!$C$7/100</f>
        <v>0.41156775232832615</v>
      </c>
      <c r="AG52" s="194"/>
    </row>
    <row r="53" spans="1:33" ht="12.75" customHeight="1">
      <c r="A53" s="124" t="s">
        <v>3821</v>
      </c>
      <c r="B53" s="890">
        <v>1091</v>
      </c>
      <c r="G53" s="120"/>
      <c r="H53" s="120"/>
      <c r="I53" s="120"/>
      <c r="J53" s="901">
        <v>0.32718750000000002</v>
      </c>
      <c r="K53" s="444">
        <v>0.18271388888888901</v>
      </c>
      <c r="L53" s="444">
        <v>0</v>
      </c>
      <c r="M53" s="444">
        <v>0.17993055555555601</v>
      </c>
      <c r="N53" s="444">
        <v>1.1875E-2</v>
      </c>
      <c r="O53" s="444">
        <v>5.6944444444444403E-3</v>
      </c>
      <c r="P53" s="444">
        <v>7.5694444444444398E-2</v>
      </c>
      <c r="Q53" s="444">
        <v>0</v>
      </c>
      <c r="R53" s="444">
        <v>0</v>
      </c>
      <c r="S53" s="444">
        <v>1.348125E-2</v>
      </c>
      <c r="T53" s="444">
        <v>0</v>
      </c>
      <c r="U53" s="444">
        <v>7.0937500000000002E-3</v>
      </c>
      <c r="V53" s="444">
        <v>0</v>
      </c>
      <c r="W53" s="444">
        <v>1.13888888888889E-2</v>
      </c>
      <c r="X53" s="444">
        <v>2.1874999999999999E-2</v>
      </c>
      <c r="Y53" s="565">
        <v>0</v>
      </c>
      <c r="Z53" s="565">
        <v>0.16306527777777724</v>
      </c>
      <c r="AA53" s="565">
        <v>0</v>
      </c>
      <c r="AB53" s="444">
        <f t="shared" si="33"/>
        <v>0.83693472222222276</v>
      </c>
      <c r="AC53" s="565">
        <v>0.38519031003198623</v>
      </c>
      <c r="AD53" s="565">
        <v>4.0176659861910428E-2</v>
      </c>
      <c r="AE53" s="841">
        <f>AB53*crop_feed_cnst!$C$7/100</f>
        <v>0.41156775232832615</v>
      </c>
      <c r="AG53" s="194"/>
    </row>
    <row r="54" spans="1:33" ht="12.75" customHeight="1">
      <c r="A54" s="122" t="s">
        <v>4473</v>
      </c>
      <c r="B54" s="890">
        <v>951</v>
      </c>
      <c r="G54" s="120"/>
      <c r="H54" s="120"/>
      <c r="I54" s="120"/>
      <c r="J54" s="901">
        <v>0.1</v>
      </c>
      <c r="K54" s="444">
        <v>0.02</v>
      </c>
      <c r="L54" s="444">
        <v>0</v>
      </c>
      <c r="M54" s="444">
        <v>0.04</v>
      </c>
      <c r="N54" s="444">
        <v>0.02</v>
      </c>
      <c r="O54" s="444">
        <v>0</v>
      </c>
      <c r="P54" s="444">
        <v>0.02</v>
      </c>
      <c r="Q54" s="444">
        <v>0</v>
      </c>
      <c r="R54" s="444">
        <v>0</v>
      </c>
      <c r="S54" s="444">
        <v>0</v>
      </c>
      <c r="T54" s="444">
        <v>0</v>
      </c>
      <c r="U54" s="444">
        <v>0.01</v>
      </c>
      <c r="V54" s="444">
        <v>0</v>
      </c>
      <c r="W54" s="444">
        <v>0</v>
      </c>
      <c r="X54" s="444">
        <v>0</v>
      </c>
      <c r="Y54" s="565">
        <v>0</v>
      </c>
      <c r="Z54" s="565">
        <v>0.1</v>
      </c>
      <c r="AA54" s="565">
        <v>0.69</v>
      </c>
      <c r="AB54" s="444">
        <f t="shared" si="33"/>
        <v>0.21</v>
      </c>
      <c r="AC54" s="565">
        <v>9.6650267887008784E-2</v>
      </c>
      <c r="AD54" s="565">
        <v>1.0080951771960264E-2</v>
      </c>
      <c r="AE54" s="841">
        <f>AB54*crop_feed_cnst!$C$7/100</f>
        <v>0.10326878034103096</v>
      </c>
      <c r="AG54" s="194"/>
    </row>
    <row r="55" spans="1:33" ht="12.75" customHeight="1">
      <c r="A55" s="124" t="s">
        <v>1862</v>
      </c>
      <c r="B55" s="890">
        <v>982</v>
      </c>
      <c r="G55" s="120"/>
      <c r="H55" s="120"/>
      <c r="I55" s="120"/>
      <c r="J55" s="901">
        <v>0.1</v>
      </c>
      <c r="K55" s="444">
        <v>0.05</v>
      </c>
      <c r="L55" s="444">
        <v>0</v>
      </c>
      <c r="M55" s="444">
        <v>0.05</v>
      </c>
      <c r="N55" s="444">
        <v>0.02</v>
      </c>
      <c r="O55" s="444">
        <v>0</v>
      </c>
      <c r="P55" s="444">
        <v>0.02</v>
      </c>
      <c r="Q55" s="444">
        <v>0</v>
      </c>
      <c r="R55" s="444">
        <v>0</v>
      </c>
      <c r="S55" s="444">
        <v>0</v>
      </c>
      <c r="T55" s="444">
        <v>0</v>
      </c>
      <c r="U55" s="444">
        <v>0.01</v>
      </c>
      <c r="V55" s="444">
        <v>0</v>
      </c>
      <c r="W55" s="444">
        <v>0</v>
      </c>
      <c r="X55" s="444">
        <v>0</v>
      </c>
      <c r="Y55" s="565">
        <v>0</v>
      </c>
      <c r="Z55" s="565">
        <v>0.1</v>
      </c>
      <c r="AA55" s="565">
        <v>0.65</v>
      </c>
      <c r="AB55" s="444">
        <f t="shared" si="33"/>
        <v>0.25</v>
      </c>
      <c r="AC55" s="565">
        <v>0.11505984272262949</v>
      </c>
      <c r="AD55" s="565">
        <v>1.2001133061857459E-2</v>
      </c>
      <c r="AE55" s="841">
        <f>AB55*crop_feed_cnst!$C$7/100</f>
        <v>0.12293902421551305</v>
      </c>
      <c r="AG55" s="194"/>
    </row>
    <row r="56" spans="1:33" ht="12.75" customHeight="1">
      <c r="A56" s="102" t="s">
        <v>1866</v>
      </c>
      <c r="B56" s="891">
        <v>987</v>
      </c>
      <c r="G56" s="120"/>
      <c r="H56" s="120"/>
      <c r="I56" s="120"/>
      <c r="J56" s="902">
        <v>0</v>
      </c>
      <c r="K56" s="445">
        <v>0</v>
      </c>
      <c r="L56" s="445">
        <v>0</v>
      </c>
      <c r="M56" s="445">
        <v>0</v>
      </c>
      <c r="N56" s="445">
        <v>0</v>
      </c>
      <c r="O56" s="445">
        <v>0</v>
      </c>
      <c r="P56" s="445">
        <v>0</v>
      </c>
      <c r="Q56" s="445">
        <v>0</v>
      </c>
      <c r="R56" s="445">
        <v>0</v>
      </c>
      <c r="S56" s="445">
        <v>0</v>
      </c>
      <c r="T56" s="445">
        <v>0</v>
      </c>
      <c r="U56" s="445">
        <v>0</v>
      </c>
      <c r="V56" s="445">
        <v>0</v>
      </c>
      <c r="W56" s="445">
        <v>0</v>
      </c>
      <c r="X56" s="445">
        <v>0</v>
      </c>
      <c r="Y56" s="566">
        <v>0</v>
      </c>
      <c r="Z56" s="566">
        <v>0</v>
      </c>
      <c r="AA56" s="566">
        <v>1</v>
      </c>
      <c r="AB56" s="445">
        <f t="shared" si="33"/>
        <v>0</v>
      </c>
      <c r="AC56" s="566">
        <v>0</v>
      </c>
      <c r="AD56" s="566">
        <v>0</v>
      </c>
      <c r="AE56" s="842">
        <f>AB56*crop_feed_cnst!$C$7/100</f>
        <v>0</v>
      </c>
      <c r="AG56" s="194"/>
    </row>
    <row r="59" spans="1:33" ht="12.75" customHeight="1">
      <c r="A59" s="893" t="s">
        <v>1541</v>
      </c>
    </row>
    <row r="60" spans="1:33" ht="12.75" customHeight="1">
      <c r="A60" s="975" t="s">
        <v>1923</v>
      </c>
      <c r="B60" s="977" t="s">
        <v>1907</v>
      </c>
      <c r="J60" s="897" t="s">
        <v>2057</v>
      </c>
      <c r="K60" s="230" t="s">
        <v>3081</v>
      </c>
      <c r="L60" s="230" t="s">
        <v>4461</v>
      </c>
      <c r="M60" s="230" t="s">
        <v>1151</v>
      </c>
      <c r="N60" s="230" t="s">
        <v>615</v>
      </c>
      <c r="O60" s="230" t="s">
        <v>4505</v>
      </c>
      <c r="P60" s="230" t="s">
        <v>2681</v>
      </c>
      <c r="Q60" s="230" t="s">
        <v>792</v>
      </c>
      <c r="R60" s="230" t="s">
        <v>5394</v>
      </c>
      <c r="S60" s="230" t="s">
        <v>5387</v>
      </c>
      <c r="T60" s="230" t="s">
        <v>4462</v>
      </c>
      <c r="U60" s="230" t="s">
        <v>4463</v>
      </c>
      <c r="V60" s="230" t="s">
        <v>4464</v>
      </c>
      <c r="W60" s="230" t="s">
        <v>4465</v>
      </c>
      <c r="X60" s="231" t="s">
        <v>4466</v>
      </c>
    </row>
    <row r="61" spans="1:33" ht="12.75" customHeight="1">
      <c r="A61" s="1090" t="s">
        <v>542</v>
      </c>
      <c r="B61" s="1089" t="s">
        <v>542</v>
      </c>
      <c r="J61" s="288" t="s">
        <v>1534</v>
      </c>
      <c r="K61" s="237" t="s">
        <v>1534</v>
      </c>
      <c r="L61" s="237" t="s">
        <v>1534</v>
      </c>
      <c r="M61" s="237" t="s">
        <v>1534</v>
      </c>
      <c r="N61" s="237" t="s">
        <v>1534</v>
      </c>
      <c r="O61" s="237" t="s">
        <v>1534</v>
      </c>
      <c r="P61" s="237" t="s">
        <v>1534</v>
      </c>
      <c r="Q61" s="237" t="s">
        <v>1534</v>
      </c>
      <c r="R61" s="237" t="s">
        <v>1534</v>
      </c>
      <c r="S61" s="237" t="s">
        <v>1534</v>
      </c>
      <c r="T61" s="237" t="s">
        <v>1534</v>
      </c>
      <c r="U61" s="237" t="s">
        <v>1534</v>
      </c>
      <c r="V61" s="237" t="s">
        <v>1534</v>
      </c>
      <c r="W61" s="237" t="s">
        <v>1534</v>
      </c>
      <c r="X61" s="289" t="s">
        <v>1534</v>
      </c>
    </row>
    <row r="62" spans="1:33" ht="12.75" customHeight="1">
      <c r="A62" s="82" t="s">
        <v>2157</v>
      </c>
      <c r="B62" s="889">
        <v>946</v>
      </c>
      <c r="J62" s="898">
        <v>4.9175609686205227E-2</v>
      </c>
      <c r="K62" s="894">
        <v>9.8351219372410439E-3</v>
      </c>
      <c r="L62" s="564">
        <v>0</v>
      </c>
      <c r="M62" s="564">
        <v>1.9670243874482088E-2</v>
      </c>
      <c r="N62" s="564">
        <v>9.8351219372410439E-3</v>
      </c>
      <c r="O62" s="564">
        <v>0</v>
      </c>
      <c r="P62" s="564">
        <v>9.8351219372410439E-3</v>
      </c>
      <c r="Q62" s="564">
        <v>0</v>
      </c>
      <c r="R62" s="564">
        <v>0</v>
      </c>
      <c r="S62" s="564">
        <v>0</v>
      </c>
      <c r="T62" s="564">
        <v>0</v>
      </c>
      <c r="U62" s="564">
        <v>4.917560968620522E-3</v>
      </c>
      <c r="V62" s="564">
        <v>0</v>
      </c>
      <c r="W62" s="564">
        <v>0</v>
      </c>
      <c r="X62" s="903">
        <v>0</v>
      </c>
    </row>
    <row r="63" spans="1:33" ht="12.75" customHeight="1">
      <c r="A63" s="84" t="s">
        <v>4668</v>
      </c>
      <c r="B63" s="890">
        <v>866</v>
      </c>
      <c r="J63" s="899">
        <v>4.9175609686205227E-2</v>
      </c>
      <c r="K63" s="895">
        <v>9.8351219372410439E-3</v>
      </c>
      <c r="L63" s="565">
        <v>0</v>
      </c>
      <c r="M63" s="565">
        <v>1.9670243874482088E-2</v>
      </c>
      <c r="N63" s="565">
        <v>9.8351219372410439E-3</v>
      </c>
      <c r="O63" s="565">
        <v>0</v>
      </c>
      <c r="P63" s="565">
        <v>9.8351219372410439E-3</v>
      </c>
      <c r="Q63" s="565">
        <v>0</v>
      </c>
      <c r="R63" s="565">
        <v>0</v>
      </c>
      <c r="S63" s="565">
        <v>0</v>
      </c>
      <c r="T63" s="565">
        <v>0</v>
      </c>
      <c r="U63" s="565">
        <v>4.917560968620522E-3</v>
      </c>
      <c r="V63" s="565">
        <v>0</v>
      </c>
      <c r="W63" s="565">
        <v>0</v>
      </c>
      <c r="X63" s="904">
        <v>0</v>
      </c>
    </row>
    <row r="64" spans="1:33" ht="12.75" customHeight="1">
      <c r="A64" s="84" t="s">
        <v>4551</v>
      </c>
      <c r="B64" s="890">
        <v>1057</v>
      </c>
      <c r="J64" s="899">
        <v>0.21145512165068245</v>
      </c>
      <c r="K64" s="895">
        <v>0</v>
      </c>
      <c r="L64" s="565">
        <v>0.11310390227827201</v>
      </c>
      <c r="M64" s="565">
        <v>0</v>
      </c>
      <c r="N64" s="565">
        <v>0</v>
      </c>
      <c r="O64" s="565">
        <v>0</v>
      </c>
      <c r="P64" s="565">
        <v>9.3433658403789921E-2</v>
      </c>
      <c r="Q64" s="565">
        <v>0</v>
      </c>
      <c r="R64" s="565">
        <v>0</v>
      </c>
      <c r="S64" s="565">
        <v>0</v>
      </c>
      <c r="T64" s="565">
        <v>0</v>
      </c>
      <c r="U64" s="565">
        <v>0</v>
      </c>
      <c r="V64" s="565">
        <v>0</v>
      </c>
      <c r="W64" s="565">
        <v>0</v>
      </c>
      <c r="X64" s="904">
        <v>0</v>
      </c>
    </row>
    <row r="65" spans="1:24" ht="12.75" customHeight="1">
      <c r="A65" s="14" t="s">
        <v>3071</v>
      </c>
      <c r="B65" s="890">
        <v>1068</v>
      </c>
      <c r="J65" s="899">
        <v>0.21145512165068245</v>
      </c>
      <c r="K65" s="895">
        <v>0</v>
      </c>
      <c r="L65" s="565">
        <v>0.11310390227827201</v>
      </c>
      <c r="M65" s="565">
        <v>0</v>
      </c>
      <c r="N65" s="565">
        <v>0</v>
      </c>
      <c r="O65" s="565">
        <v>0</v>
      </c>
      <c r="P65" s="565">
        <v>9.3433658403789921E-2</v>
      </c>
      <c r="Q65" s="565">
        <v>0</v>
      </c>
      <c r="R65" s="565">
        <v>0</v>
      </c>
      <c r="S65" s="565">
        <v>0</v>
      </c>
      <c r="T65" s="565">
        <v>0</v>
      </c>
      <c r="U65" s="565">
        <v>0</v>
      </c>
      <c r="V65" s="565">
        <v>0</v>
      </c>
      <c r="W65" s="565">
        <v>0</v>
      </c>
      <c r="X65" s="904">
        <v>0</v>
      </c>
    </row>
    <row r="66" spans="1:24" ht="12.75" customHeight="1">
      <c r="A66" s="14" t="s">
        <v>3620</v>
      </c>
      <c r="B66" s="890">
        <v>1072</v>
      </c>
      <c r="J66" s="899">
        <v>0.21145512165068245</v>
      </c>
      <c r="K66" s="895">
        <v>0</v>
      </c>
      <c r="L66" s="565">
        <v>0.11310390227827201</v>
      </c>
      <c r="M66" s="565">
        <v>0</v>
      </c>
      <c r="N66" s="565">
        <v>0</v>
      </c>
      <c r="O66" s="565">
        <v>0</v>
      </c>
      <c r="P66" s="565">
        <v>9.3433658403789921E-2</v>
      </c>
      <c r="Q66" s="565">
        <v>0</v>
      </c>
      <c r="R66" s="565">
        <v>0</v>
      </c>
      <c r="S66" s="565">
        <v>0</v>
      </c>
      <c r="T66" s="565">
        <v>0</v>
      </c>
      <c r="U66" s="565">
        <v>0</v>
      </c>
      <c r="V66" s="565">
        <v>0</v>
      </c>
      <c r="W66" s="565">
        <v>0</v>
      </c>
      <c r="X66" s="904">
        <v>0</v>
      </c>
    </row>
    <row r="67" spans="1:24" ht="12.75" customHeight="1">
      <c r="A67" s="14" t="s">
        <v>4652</v>
      </c>
      <c r="B67" s="890">
        <v>1079</v>
      </c>
      <c r="J67" s="899">
        <v>0.21145512165068245</v>
      </c>
      <c r="K67" s="895">
        <v>0</v>
      </c>
      <c r="L67" s="565">
        <v>0.11310390227827201</v>
      </c>
      <c r="M67" s="565">
        <v>0</v>
      </c>
      <c r="N67" s="565">
        <v>0</v>
      </c>
      <c r="O67" s="565">
        <v>0</v>
      </c>
      <c r="P67" s="565">
        <v>9.3433658403789921E-2</v>
      </c>
      <c r="Q67" s="565">
        <v>0</v>
      </c>
      <c r="R67" s="565">
        <v>0</v>
      </c>
      <c r="S67" s="565">
        <v>0</v>
      </c>
      <c r="T67" s="565">
        <v>0</v>
      </c>
      <c r="U67" s="565">
        <v>0</v>
      </c>
      <c r="V67" s="565">
        <v>0</v>
      </c>
      <c r="W67" s="565">
        <v>0</v>
      </c>
      <c r="X67" s="904">
        <v>0</v>
      </c>
    </row>
    <row r="68" spans="1:24" ht="12.75" customHeight="1">
      <c r="A68" s="84" t="s">
        <v>406</v>
      </c>
      <c r="B68" s="890">
        <v>1016</v>
      </c>
      <c r="J68" s="899">
        <v>0</v>
      </c>
      <c r="K68" s="895">
        <v>0</v>
      </c>
      <c r="L68" s="565">
        <v>0</v>
      </c>
      <c r="M68" s="565">
        <v>0</v>
      </c>
      <c r="N68" s="565">
        <v>0</v>
      </c>
      <c r="O68" s="565">
        <v>0</v>
      </c>
      <c r="P68" s="565">
        <v>0</v>
      </c>
      <c r="Q68" s="565">
        <v>0</v>
      </c>
      <c r="R68" s="565">
        <v>0</v>
      </c>
      <c r="S68" s="565">
        <v>0</v>
      </c>
      <c r="T68" s="565">
        <v>0</v>
      </c>
      <c r="U68" s="565">
        <v>0</v>
      </c>
      <c r="V68" s="565">
        <v>0</v>
      </c>
      <c r="W68" s="565">
        <v>0</v>
      </c>
      <c r="X68" s="904">
        <v>0</v>
      </c>
    </row>
    <row r="69" spans="1:24" ht="12.75" customHeight="1">
      <c r="A69" s="84" t="s">
        <v>1682</v>
      </c>
      <c r="B69" s="890">
        <v>1034</v>
      </c>
      <c r="J69" s="899">
        <v>0.25571317036826718</v>
      </c>
      <c r="K69" s="895">
        <v>0</v>
      </c>
      <c r="L69" s="565">
        <v>7.3763414529307833E-2</v>
      </c>
      <c r="M69" s="565">
        <v>2.4587804843102617E-2</v>
      </c>
      <c r="N69" s="565">
        <v>0</v>
      </c>
      <c r="O69" s="565">
        <v>0</v>
      </c>
      <c r="P69" s="565">
        <v>5.9010731623446271E-2</v>
      </c>
      <c r="Q69" s="565">
        <v>0</v>
      </c>
      <c r="R69" s="565">
        <v>0</v>
      </c>
      <c r="S69" s="565">
        <v>0</v>
      </c>
      <c r="T69" s="565">
        <v>0</v>
      </c>
      <c r="U69" s="565">
        <v>0</v>
      </c>
      <c r="V69" s="565">
        <v>0</v>
      </c>
      <c r="W69" s="565">
        <v>0</v>
      </c>
      <c r="X69" s="904">
        <v>0</v>
      </c>
    </row>
    <row r="70" spans="1:24" ht="12.75" customHeight="1">
      <c r="A70" s="84" t="s">
        <v>1867</v>
      </c>
      <c r="B70" s="890">
        <v>976</v>
      </c>
      <c r="J70" s="899">
        <v>0</v>
      </c>
      <c r="K70" s="895">
        <v>0</v>
      </c>
      <c r="L70" s="565">
        <v>0</v>
      </c>
      <c r="M70" s="565">
        <v>0</v>
      </c>
      <c r="N70" s="565">
        <v>0</v>
      </c>
      <c r="O70" s="565">
        <v>0</v>
      </c>
      <c r="P70" s="565">
        <v>0</v>
      </c>
      <c r="Q70" s="565">
        <v>0</v>
      </c>
      <c r="R70" s="565">
        <v>0</v>
      </c>
      <c r="S70" s="565">
        <v>0</v>
      </c>
      <c r="T70" s="565">
        <v>0</v>
      </c>
      <c r="U70" s="565">
        <v>0</v>
      </c>
      <c r="V70" s="565">
        <v>0</v>
      </c>
      <c r="W70" s="565">
        <v>0</v>
      </c>
      <c r="X70" s="904">
        <v>0</v>
      </c>
    </row>
    <row r="71" spans="1:24" ht="12.75" customHeight="1">
      <c r="A71" s="14" t="s">
        <v>4903</v>
      </c>
      <c r="B71" s="890">
        <v>1126</v>
      </c>
      <c r="J71" s="899">
        <v>4.9175609686205227E-2</v>
      </c>
      <c r="K71" s="895">
        <v>9.8351219372410439E-3</v>
      </c>
      <c r="L71" s="565">
        <v>0</v>
      </c>
      <c r="M71" s="565">
        <v>1.9670243874482088E-2</v>
      </c>
      <c r="N71" s="565">
        <v>9.8351219372410439E-3</v>
      </c>
      <c r="O71" s="565">
        <v>0</v>
      </c>
      <c r="P71" s="565">
        <v>9.8351219372410439E-3</v>
      </c>
      <c r="Q71" s="565">
        <v>0</v>
      </c>
      <c r="R71" s="565">
        <v>0</v>
      </c>
      <c r="S71" s="565">
        <v>0</v>
      </c>
      <c r="T71" s="565">
        <v>0</v>
      </c>
      <c r="U71" s="565">
        <v>4.917560968620522E-3</v>
      </c>
      <c r="V71" s="565">
        <v>0</v>
      </c>
      <c r="W71" s="565">
        <v>0</v>
      </c>
      <c r="X71" s="904">
        <v>0</v>
      </c>
    </row>
    <row r="72" spans="1:24" ht="12.75" customHeight="1">
      <c r="A72" s="14" t="s">
        <v>2973</v>
      </c>
      <c r="B72" s="890">
        <v>1157</v>
      </c>
      <c r="J72" s="899">
        <v>4.9175609686205227E-2</v>
      </c>
      <c r="K72" s="895">
        <v>9.8351219372410439E-3</v>
      </c>
      <c r="L72" s="565">
        <v>0</v>
      </c>
      <c r="M72" s="565">
        <v>1.9670243874482088E-2</v>
      </c>
      <c r="N72" s="565">
        <v>9.8351219372410439E-3</v>
      </c>
      <c r="O72" s="565">
        <v>0</v>
      </c>
      <c r="P72" s="565">
        <v>9.8351219372410439E-3</v>
      </c>
      <c r="Q72" s="565">
        <v>0</v>
      </c>
      <c r="R72" s="565">
        <v>0</v>
      </c>
      <c r="S72" s="565">
        <v>0</v>
      </c>
      <c r="T72" s="565">
        <v>0</v>
      </c>
      <c r="U72" s="565">
        <v>4.917560968620522E-3</v>
      </c>
      <c r="V72" s="565">
        <v>0</v>
      </c>
      <c r="W72" s="565">
        <v>0</v>
      </c>
      <c r="X72" s="904">
        <v>0</v>
      </c>
    </row>
    <row r="73" spans="1:24" ht="12.75" customHeight="1">
      <c r="A73" s="14" t="s">
        <v>2659</v>
      </c>
      <c r="B73" s="890">
        <v>1096</v>
      </c>
      <c r="J73" s="899">
        <v>4.9175609686205227E-2</v>
      </c>
      <c r="K73" s="895">
        <v>9.8351219372410439E-3</v>
      </c>
      <c r="L73" s="565">
        <v>0</v>
      </c>
      <c r="M73" s="565">
        <v>1.9670243874482088E-2</v>
      </c>
      <c r="N73" s="565">
        <v>9.8351219372410439E-3</v>
      </c>
      <c r="O73" s="565">
        <v>0</v>
      </c>
      <c r="P73" s="565">
        <v>9.8351219372410439E-3</v>
      </c>
      <c r="Q73" s="565">
        <v>0</v>
      </c>
      <c r="R73" s="565">
        <v>0</v>
      </c>
      <c r="S73" s="565">
        <v>0</v>
      </c>
      <c r="T73" s="565">
        <v>0</v>
      </c>
      <c r="U73" s="565">
        <v>4.917560968620522E-3</v>
      </c>
      <c r="V73" s="565">
        <v>0</v>
      </c>
      <c r="W73" s="565">
        <v>0</v>
      </c>
      <c r="X73" s="904">
        <v>0</v>
      </c>
    </row>
    <row r="74" spans="1:24" ht="12.75" customHeight="1">
      <c r="A74" s="14" t="s">
        <v>4998</v>
      </c>
      <c r="B74" s="890">
        <v>1110</v>
      </c>
      <c r="J74" s="899">
        <v>4.9175609686205227E-2</v>
      </c>
      <c r="K74" s="895">
        <v>9.8351219372410439E-3</v>
      </c>
      <c r="L74" s="565">
        <v>0</v>
      </c>
      <c r="M74" s="565">
        <v>1.9670243874482088E-2</v>
      </c>
      <c r="N74" s="565">
        <v>9.8351219372410439E-3</v>
      </c>
      <c r="O74" s="565">
        <v>0</v>
      </c>
      <c r="P74" s="565">
        <v>9.8351219372410439E-3</v>
      </c>
      <c r="Q74" s="565">
        <v>0</v>
      </c>
      <c r="R74" s="565">
        <v>0</v>
      </c>
      <c r="S74" s="565">
        <v>0</v>
      </c>
      <c r="T74" s="565">
        <v>0</v>
      </c>
      <c r="U74" s="565">
        <v>4.917560968620522E-3</v>
      </c>
      <c r="V74" s="565">
        <v>0</v>
      </c>
      <c r="W74" s="565">
        <v>0</v>
      </c>
      <c r="X74" s="904">
        <v>0</v>
      </c>
    </row>
    <row r="75" spans="1:24" ht="12.75" customHeight="1">
      <c r="A75" s="14" t="s">
        <v>3253</v>
      </c>
      <c r="B75" s="890">
        <v>1107</v>
      </c>
      <c r="J75" s="899">
        <v>4.9175609686205227E-2</v>
      </c>
      <c r="K75" s="895">
        <v>9.8351219372410439E-3</v>
      </c>
      <c r="L75" s="565">
        <v>0</v>
      </c>
      <c r="M75" s="565">
        <v>1.9670243874482088E-2</v>
      </c>
      <c r="N75" s="565">
        <v>9.8351219372410439E-3</v>
      </c>
      <c r="O75" s="565">
        <v>0</v>
      </c>
      <c r="P75" s="565">
        <v>9.8351219372410439E-3</v>
      </c>
      <c r="Q75" s="565">
        <v>0</v>
      </c>
      <c r="R75" s="565">
        <v>0</v>
      </c>
      <c r="S75" s="565">
        <v>0</v>
      </c>
      <c r="T75" s="565">
        <v>0</v>
      </c>
      <c r="U75" s="565">
        <v>4.917560968620522E-3</v>
      </c>
      <c r="V75" s="565">
        <v>0</v>
      </c>
      <c r="W75" s="565">
        <v>0</v>
      </c>
      <c r="X75" s="904">
        <v>0</v>
      </c>
    </row>
    <row r="76" spans="1:24" ht="12.75" customHeight="1">
      <c r="A76" s="153" t="s">
        <v>3595</v>
      </c>
      <c r="B76" s="892">
        <v>1140</v>
      </c>
      <c r="J76" s="899">
        <v>0</v>
      </c>
      <c r="K76" s="895">
        <v>0</v>
      </c>
      <c r="L76" s="565">
        <v>0</v>
      </c>
      <c r="M76" s="565">
        <v>0</v>
      </c>
      <c r="N76" s="565">
        <v>0</v>
      </c>
      <c r="O76" s="565">
        <v>0</v>
      </c>
      <c r="P76" s="565">
        <v>0</v>
      </c>
      <c r="Q76" s="565">
        <v>0</v>
      </c>
      <c r="R76" s="565">
        <v>0</v>
      </c>
      <c r="S76" s="565">
        <v>0</v>
      </c>
      <c r="T76" s="565">
        <v>0</v>
      </c>
      <c r="U76" s="565">
        <v>0</v>
      </c>
      <c r="V76" s="565">
        <v>0</v>
      </c>
      <c r="W76" s="565">
        <v>0</v>
      </c>
      <c r="X76" s="904">
        <v>0</v>
      </c>
    </row>
    <row r="77" spans="1:24" ht="12.75" customHeight="1">
      <c r="A77" s="153" t="s">
        <v>2975</v>
      </c>
      <c r="B77" s="892">
        <v>1150</v>
      </c>
      <c r="J77" s="899">
        <v>0</v>
      </c>
      <c r="K77" s="895">
        <v>0</v>
      </c>
      <c r="L77" s="565">
        <v>0</v>
      </c>
      <c r="M77" s="565">
        <v>0</v>
      </c>
      <c r="N77" s="565">
        <v>0</v>
      </c>
      <c r="O77" s="565">
        <v>0</v>
      </c>
      <c r="P77" s="565">
        <v>0</v>
      </c>
      <c r="Q77" s="565">
        <v>0</v>
      </c>
      <c r="R77" s="565">
        <v>0</v>
      </c>
      <c r="S77" s="565">
        <v>0</v>
      </c>
      <c r="T77" s="565">
        <v>0</v>
      </c>
      <c r="U77" s="565">
        <v>0</v>
      </c>
      <c r="V77" s="565">
        <v>0</v>
      </c>
      <c r="W77" s="565">
        <v>0</v>
      </c>
      <c r="X77" s="904">
        <v>0</v>
      </c>
    </row>
    <row r="78" spans="1:24" ht="12.75" customHeight="1">
      <c r="A78" s="122" t="s">
        <v>5420</v>
      </c>
      <c r="B78" s="890">
        <v>882</v>
      </c>
      <c r="J78" s="899">
        <v>4.917560968620522E-2</v>
      </c>
      <c r="K78" s="895">
        <v>2.458780484310261E-2</v>
      </c>
      <c r="L78" s="565">
        <v>0</v>
      </c>
      <c r="M78" s="565">
        <v>2.458780484310261E-2</v>
      </c>
      <c r="N78" s="565">
        <v>9.8351219372410439E-3</v>
      </c>
      <c r="O78" s="565">
        <v>0</v>
      </c>
      <c r="P78" s="565">
        <v>9.8351219372410439E-3</v>
      </c>
      <c r="Q78" s="565">
        <v>0</v>
      </c>
      <c r="R78" s="565">
        <v>0</v>
      </c>
      <c r="S78" s="565">
        <v>0</v>
      </c>
      <c r="T78" s="565">
        <v>0</v>
      </c>
      <c r="U78" s="565">
        <v>4.917560968620522E-3</v>
      </c>
      <c r="V78" s="565">
        <v>0</v>
      </c>
      <c r="W78" s="565">
        <v>0</v>
      </c>
      <c r="X78" s="904">
        <v>0</v>
      </c>
    </row>
    <row r="79" spans="1:24" ht="12.75" customHeight="1">
      <c r="A79" s="122" t="s">
        <v>1680</v>
      </c>
      <c r="B79" s="890">
        <v>1062</v>
      </c>
      <c r="J79" s="899">
        <v>0.16089644794205271</v>
      </c>
      <c r="K79" s="895">
        <v>8.9850668842486742E-2</v>
      </c>
      <c r="L79" s="565">
        <v>0</v>
      </c>
      <c r="M79" s="565">
        <v>8.8481947706220865E-2</v>
      </c>
      <c r="N79" s="565">
        <v>5.8396036502368701E-3</v>
      </c>
      <c r="O79" s="565">
        <v>2.8002777737977953E-3</v>
      </c>
      <c r="P79" s="565">
        <v>3.722320455414143E-2</v>
      </c>
      <c r="Q79" s="565">
        <v>0</v>
      </c>
      <c r="R79" s="565">
        <v>0</v>
      </c>
      <c r="S79" s="565">
        <v>6.629486880821542E-3</v>
      </c>
      <c r="T79" s="565">
        <v>0</v>
      </c>
      <c r="U79" s="565">
        <v>3.488394812115183E-3</v>
      </c>
      <c r="V79" s="565">
        <v>0</v>
      </c>
      <c r="W79" s="565">
        <v>5.6005555475956001E-3</v>
      </c>
      <c r="X79" s="904">
        <v>1.0757164618857392E-2</v>
      </c>
    </row>
    <row r="80" spans="1:24" ht="12.75" customHeight="1">
      <c r="A80" s="124" t="s">
        <v>3821</v>
      </c>
      <c r="B80" s="890">
        <v>1091</v>
      </c>
      <c r="J80" s="899">
        <v>0.16089644794205271</v>
      </c>
      <c r="K80" s="895">
        <v>8.9850668842486742E-2</v>
      </c>
      <c r="L80" s="565">
        <v>0</v>
      </c>
      <c r="M80" s="565">
        <v>8.8481947706220865E-2</v>
      </c>
      <c r="N80" s="565">
        <v>5.8396036502368701E-3</v>
      </c>
      <c r="O80" s="565">
        <v>2.8002777737977953E-3</v>
      </c>
      <c r="P80" s="565">
        <v>3.722320455414143E-2</v>
      </c>
      <c r="Q80" s="565">
        <v>0</v>
      </c>
      <c r="R80" s="565">
        <v>0</v>
      </c>
      <c r="S80" s="565">
        <v>6.629486880821542E-3</v>
      </c>
      <c r="T80" s="565">
        <v>0</v>
      </c>
      <c r="U80" s="565">
        <v>3.488394812115183E-3</v>
      </c>
      <c r="V80" s="565">
        <v>0</v>
      </c>
      <c r="W80" s="565">
        <v>5.6005555475956001E-3</v>
      </c>
      <c r="X80" s="904">
        <v>1.0757164618857392E-2</v>
      </c>
    </row>
    <row r="81" spans="1:24" ht="12.75" customHeight="1">
      <c r="A81" s="122" t="s">
        <v>4473</v>
      </c>
      <c r="B81" s="890">
        <v>951</v>
      </c>
      <c r="J81" s="899">
        <v>4.9175609686205227E-2</v>
      </c>
      <c r="K81" s="895">
        <v>9.8351219372410439E-3</v>
      </c>
      <c r="L81" s="565">
        <v>0</v>
      </c>
      <c r="M81" s="565">
        <v>1.9670243874482088E-2</v>
      </c>
      <c r="N81" s="565">
        <v>9.8351219372410439E-3</v>
      </c>
      <c r="O81" s="565">
        <v>0</v>
      </c>
      <c r="P81" s="565">
        <v>9.8351219372410439E-3</v>
      </c>
      <c r="Q81" s="565">
        <v>0</v>
      </c>
      <c r="R81" s="565">
        <v>0</v>
      </c>
      <c r="S81" s="565">
        <v>0</v>
      </c>
      <c r="T81" s="565">
        <v>0</v>
      </c>
      <c r="U81" s="565">
        <v>4.917560968620522E-3</v>
      </c>
      <c r="V81" s="565">
        <v>0</v>
      </c>
      <c r="W81" s="565">
        <v>0</v>
      </c>
      <c r="X81" s="904">
        <v>0</v>
      </c>
    </row>
    <row r="82" spans="1:24" ht="12.75" customHeight="1">
      <c r="A82" s="124" t="s">
        <v>1862</v>
      </c>
      <c r="B82" s="890">
        <v>982</v>
      </c>
      <c r="J82" s="899">
        <v>4.917560968620522E-2</v>
      </c>
      <c r="K82" s="895">
        <v>2.458780484310261E-2</v>
      </c>
      <c r="L82" s="565">
        <v>0</v>
      </c>
      <c r="M82" s="565">
        <v>2.458780484310261E-2</v>
      </c>
      <c r="N82" s="565">
        <v>9.8351219372410439E-3</v>
      </c>
      <c r="O82" s="565">
        <v>0</v>
      </c>
      <c r="P82" s="565">
        <v>9.8351219372410439E-3</v>
      </c>
      <c r="Q82" s="565">
        <v>0</v>
      </c>
      <c r="R82" s="565">
        <v>0</v>
      </c>
      <c r="S82" s="565">
        <v>0</v>
      </c>
      <c r="T82" s="565">
        <v>0</v>
      </c>
      <c r="U82" s="565">
        <v>4.917560968620522E-3</v>
      </c>
      <c r="V82" s="565">
        <v>0</v>
      </c>
      <c r="W82" s="565">
        <v>0</v>
      </c>
      <c r="X82" s="904">
        <v>0</v>
      </c>
    </row>
    <row r="83" spans="1:24" ht="12.75" customHeight="1">
      <c r="A83" s="102" t="s">
        <v>1866</v>
      </c>
      <c r="B83" s="891">
        <v>987</v>
      </c>
      <c r="J83" s="900">
        <v>0</v>
      </c>
      <c r="K83" s="896">
        <v>0</v>
      </c>
      <c r="L83" s="566">
        <v>0</v>
      </c>
      <c r="M83" s="566">
        <v>0</v>
      </c>
      <c r="N83" s="566">
        <v>0</v>
      </c>
      <c r="O83" s="566">
        <v>0</v>
      </c>
      <c r="P83" s="566">
        <v>0</v>
      </c>
      <c r="Q83" s="566">
        <v>0</v>
      </c>
      <c r="R83" s="566">
        <v>0</v>
      </c>
      <c r="S83" s="566">
        <v>0</v>
      </c>
      <c r="T83" s="566">
        <v>0</v>
      </c>
      <c r="U83" s="566">
        <v>0</v>
      </c>
      <c r="V83" s="566">
        <v>0</v>
      </c>
      <c r="W83" s="566">
        <v>0</v>
      </c>
      <c r="X83" s="905">
        <v>0</v>
      </c>
    </row>
  </sheetData>
  <phoneticPr fontId="5" type="noConversion"/>
  <conditionalFormatting sqref="I7:AC28">
    <cfRule type="cellIs" dxfId="9" priority="1" stopIfTrue="1" operator="equal">
      <formula>0</formula>
    </cfRule>
  </conditionalFormatting>
  <hyperlinks>
    <hyperlink ref="C3" location="feed_demand_n!A1" tooltip="Go to feed_demand_n" display="feed_demand_n" xr:uid="{00000000-0004-0000-2000-000000000000}"/>
    <hyperlink ref="D3" location="livestock_intensity_w" tooltip="Go to livestock_intensity_w" display="livestock_intensity_w" xr:uid="{00000000-0004-0000-2000-000001000000}"/>
    <hyperlink ref="E3" location="livestock_feed_ef_n!A1" display="livestock_feed_ef_n" xr:uid="{00000000-0004-0000-2000-000002000000}"/>
    <hyperlink ref="D2" location="crop_feed_cnst!A1" display="crop_feed_cnst" xr:uid="{00000000-0004-0000-2000-000003000000}"/>
  </hyperlinks>
  <pageMargins left="0.75" right="0.75" top="1" bottom="1" header="0.5" footer="0.5"/>
  <pageSetup orientation="portrait" r:id="rId1"/>
  <headerFooter alignWithMargins="0"/>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5">
    <tabColor theme="7"/>
  </sheetPr>
  <dimension ref="A1:E10"/>
  <sheetViews>
    <sheetView zoomScaleNormal="100" workbookViewId="0">
      <selection activeCell="A65536" sqref="A65536"/>
    </sheetView>
  </sheetViews>
  <sheetFormatPr defaultColWidth="9.1796875" defaultRowHeight="12.5"/>
  <cols>
    <col min="1" max="1" width="50.7265625" style="253" customWidth="1"/>
    <col min="2" max="5" width="21.7265625" style="253" customWidth="1"/>
    <col min="6" max="16384" width="9.1796875" style="253"/>
  </cols>
  <sheetData>
    <row r="1" spans="1:5">
      <c r="A1" s="36"/>
      <c r="B1" s="36"/>
      <c r="C1" s="36"/>
      <c r="D1" s="36"/>
      <c r="E1" s="36"/>
    </row>
    <row r="2" spans="1:5" ht="13">
      <c r="A2" s="36"/>
      <c r="B2" s="37" t="s">
        <v>985</v>
      </c>
      <c r="C2" s="155" t="s">
        <v>1745</v>
      </c>
      <c r="D2" s="36"/>
      <c r="E2" s="36"/>
    </row>
    <row r="3" spans="1:5" ht="13">
      <c r="A3" s="36"/>
      <c r="B3" s="37" t="s">
        <v>986</v>
      </c>
      <c r="C3" s="466" t="s">
        <v>1750</v>
      </c>
      <c r="D3" s="466" t="s">
        <v>1753</v>
      </c>
      <c r="E3" s="466" t="s">
        <v>8825</v>
      </c>
    </row>
    <row r="4" spans="1:5">
      <c r="A4" s="36"/>
      <c r="B4" s="36"/>
      <c r="C4" s="466"/>
      <c r="D4" s="466"/>
      <c r="E4" s="466"/>
    </row>
    <row r="5" spans="1:5" ht="13">
      <c r="A5" s="1118" t="s">
        <v>6148</v>
      </c>
      <c r="B5" s="928" t="s">
        <v>1533</v>
      </c>
      <c r="C5" s="928" t="s">
        <v>1534</v>
      </c>
      <c r="D5" s="929" t="s">
        <v>591</v>
      </c>
      <c r="E5" s="36"/>
    </row>
    <row r="6" spans="1:5">
      <c r="A6" s="1119"/>
      <c r="B6" s="1115" t="s">
        <v>2977</v>
      </c>
      <c r="C6" s="1115" t="s">
        <v>542</v>
      </c>
      <c r="D6" s="1116" t="s">
        <v>927</v>
      </c>
      <c r="E6" s="36"/>
    </row>
    <row r="7" spans="1:5" ht="13">
      <c r="A7" s="248" t="s">
        <v>1535</v>
      </c>
      <c r="B7" s="285">
        <v>1038321000</v>
      </c>
      <c r="C7" s="286">
        <v>49.17560968620522</v>
      </c>
      <c r="D7" s="298" t="s">
        <v>6189</v>
      </c>
      <c r="E7" s="36"/>
    </row>
    <row r="8" spans="1:5" ht="13">
      <c r="A8" s="229" t="s">
        <v>1536</v>
      </c>
      <c r="B8" s="212">
        <v>971774843</v>
      </c>
      <c r="C8" s="213">
        <v>46.023937089051799</v>
      </c>
      <c r="D8" s="214">
        <v>8.9845353419586493E-2</v>
      </c>
      <c r="E8" s="36"/>
    </row>
    <row r="9" spans="1:5" ht="13">
      <c r="A9" s="229" t="s">
        <v>1537</v>
      </c>
      <c r="B9" s="212">
        <v>101359422.37573498</v>
      </c>
      <c r="C9" s="213">
        <v>4.8004532247429834</v>
      </c>
      <c r="D9" s="297" t="s">
        <v>6189</v>
      </c>
      <c r="E9" s="36"/>
    </row>
    <row r="10" spans="1:5" ht="13">
      <c r="A10" s="77" t="s">
        <v>1538</v>
      </c>
      <c r="B10" s="215">
        <v>2111455265.375735</v>
      </c>
      <c r="C10" s="216">
        <v>100</v>
      </c>
      <c r="D10" s="296" t="s">
        <v>6189</v>
      </c>
      <c r="E10" s="36"/>
    </row>
  </sheetData>
  <phoneticPr fontId="44" type="noConversion"/>
  <hyperlinks>
    <hyperlink ref="C3" location="feed_intensity_w!A1" tooltip="Go to feed_intensity_w" display="feed_intensity_w" xr:uid="{00000000-0004-0000-2100-000000000000}"/>
    <hyperlink ref="D3" location="feed_mix_w!A1" display="feed_mix_w" xr:uid="{00000000-0004-0000-2100-000001000000}"/>
    <hyperlink ref="E3" location="crop_efi_efe!A1" display="crop_efi_efe" xr:uid="{00000000-0004-0000-2100-000002000000}"/>
  </hyperlinks>
  <pageMargins left="0.75" right="0.75" top="1" bottom="1" header="0.5" footer="0.5"/>
  <headerFooter alignWithMargins="0"/>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7">
    <tabColor theme="7"/>
    <pageSetUpPr autoPageBreaks="0"/>
  </sheetPr>
  <dimension ref="A1:P598"/>
  <sheetViews>
    <sheetView zoomScaleNormal="100" workbookViewId="0">
      <pane xSplit="2" ySplit="6" topLeftCell="C7" activePane="bottomRight" state="frozen"/>
      <selection activeCell="C7" sqref="C7"/>
      <selection pane="topRight" activeCell="C7" sqref="C7"/>
      <selection pane="bottomLeft" activeCell="C7" sqref="C7"/>
      <selection pane="bottomRight" activeCell="A65536" sqref="A65536"/>
    </sheetView>
  </sheetViews>
  <sheetFormatPr defaultColWidth="9.1796875" defaultRowHeight="12.5"/>
  <cols>
    <col min="1" max="1" width="51.26953125" style="273" customWidth="1"/>
    <col min="2" max="2" width="10.81640625" style="273" customWidth="1"/>
    <col min="3" max="3" width="8.1796875" style="273" customWidth="1"/>
    <col min="4" max="4" width="15.7265625" style="273" customWidth="1"/>
    <col min="5" max="5" width="20" style="273" customWidth="1"/>
    <col min="6" max="6" width="17.453125" style="273" customWidth="1"/>
    <col min="7" max="7" width="10.54296875" style="273" customWidth="1"/>
    <col min="8" max="8" width="14.81640625" style="273" customWidth="1"/>
    <col min="9" max="9" width="11.453125" style="467" customWidth="1"/>
    <col min="10" max="10" width="12" style="273" bestFit="1" customWidth="1"/>
    <col min="11" max="11" width="12.26953125" style="273" customWidth="1"/>
    <col min="12" max="12" width="13.54296875" style="273" customWidth="1"/>
    <col min="13" max="14" width="12.1796875" style="273" bestFit="1" customWidth="1"/>
    <col min="15" max="15" width="9.7265625" style="273" customWidth="1"/>
    <col min="16" max="16" width="34.1796875" style="468" customWidth="1"/>
    <col min="17" max="16384" width="9.1796875" style="273"/>
  </cols>
  <sheetData>
    <row r="1" spans="1:16">
      <c r="A1" s="36"/>
      <c r="B1" s="36"/>
    </row>
    <row r="2" spans="1:16" ht="13">
      <c r="A2" s="36"/>
      <c r="C2" s="37" t="s">
        <v>985</v>
      </c>
      <c r="E2" s="466"/>
      <c r="F2" s="466"/>
      <c r="G2" s="466"/>
      <c r="H2" s="466"/>
      <c r="I2" s="466"/>
      <c r="J2" s="467"/>
    </row>
    <row r="3" spans="1:16" ht="13">
      <c r="A3" s="36"/>
      <c r="C3" s="37" t="s">
        <v>986</v>
      </c>
      <c r="E3" s="466" t="s">
        <v>1750</v>
      </c>
      <c r="F3" s="466" t="s">
        <v>8824</v>
      </c>
      <c r="G3" s="466" t="s">
        <v>8825</v>
      </c>
      <c r="I3" s="466"/>
      <c r="J3" s="467"/>
    </row>
    <row r="4" spans="1:16">
      <c r="A4" s="36"/>
      <c r="B4" s="36"/>
    </row>
    <row r="5" spans="1:16" ht="13">
      <c r="A5" s="1120" t="s">
        <v>5794</v>
      </c>
      <c r="B5" s="1121" t="s">
        <v>7515</v>
      </c>
      <c r="C5" s="1121" t="s">
        <v>5996</v>
      </c>
      <c r="D5" s="1121" t="s">
        <v>7210</v>
      </c>
      <c r="E5" s="1121" t="s">
        <v>6012</v>
      </c>
      <c r="F5" s="1121" t="s">
        <v>1382</v>
      </c>
      <c r="G5" s="1120" t="s">
        <v>7512</v>
      </c>
      <c r="H5" s="1121" t="s">
        <v>7209</v>
      </c>
      <c r="I5" s="1121" t="s">
        <v>6001</v>
      </c>
      <c r="J5" s="1122" t="s">
        <v>5790</v>
      </c>
      <c r="K5" s="1120" t="s">
        <v>4713</v>
      </c>
      <c r="L5" s="1121" t="s">
        <v>2533</v>
      </c>
      <c r="M5" s="1121" t="s">
        <v>6002</v>
      </c>
      <c r="N5" s="1122" t="s">
        <v>7516</v>
      </c>
      <c r="O5" s="1123" t="s">
        <v>5791</v>
      </c>
      <c r="P5" s="1122" t="s">
        <v>7513</v>
      </c>
    </row>
    <row r="6" spans="1:16" ht="14.5">
      <c r="A6" s="1111" t="s">
        <v>542</v>
      </c>
      <c r="B6" s="1091" t="s">
        <v>542</v>
      </c>
      <c r="C6" s="1091" t="s">
        <v>542</v>
      </c>
      <c r="D6" s="1091" t="s">
        <v>542</v>
      </c>
      <c r="E6" s="1091" t="s">
        <v>542</v>
      </c>
      <c r="F6" s="1091" t="s">
        <v>542</v>
      </c>
      <c r="G6" s="1111" t="s">
        <v>542</v>
      </c>
      <c r="H6" s="1091" t="s">
        <v>542</v>
      </c>
      <c r="I6" s="1091" t="s">
        <v>542</v>
      </c>
      <c r="J6" s="1088" t="s">
        <v>9233</v>
      </c>
      <c r="K6" s="1090" t="s">
        <v>2977</v>
      </c>
      <c r="L6" s="1091" t="s">
        <v>7577</v>
      </c>
      <c r="M6" s="1091" t="s">
        <v>9234</v>
      </c>
      <c r="N6" s="1091" t="s">
        <v>9235</v>
      </c>
      <c r="O6" s="1124" t="s">
        <v>9236</v>
      </c>
      <c r="P6" s="1125" t="s">
        <v>542</v>
      </c>
    </row>
    <row r="7" spans="1:16">
      <c r="A7" s="14" t="s">
        <v>1151</v>
      </c>
      <c r="B7" s="233">
        <v>15</v>
      </c>
      <c r="C7">
        <v>1</v>
      </c>
      <c r="D7">
        <v>15</v>
      </c>
      <c r="E7" t="s">
        <v>1151</v>
      </c>
      <c r="F7"/>
      <c r="G7"/>
      <c r="H7" t="str">
        <f>F7&amp;G7</f>
        <v/>
      </c>
      <c r="I7" t="str">
        <f>IFERROR(VLOOKUP(F7,$A$7:$B$590,2,FALSE),"")</f>
        <v/>
      </c>
      <c r="J7" s="421"/>
      <c r="K7" s="655">
        <v>147206000</v>
      </c>
      <c r="L7" s="469">
        <v>51184300</v>
      </c>
      <c r="M7" s="470">
        <v>0.34770525657921603</v>
      </c>
      <c r="N7" s="656" t="str">
        <f>IF(ISBLANK(J7),"",J7*M7)</f>
        <v/>
      </c>
      <c r="O7" s="665">
        <f>IF(ISBLANK(F7),1,J7/(N7/SUMIF(H$7:H$601,H7,N$7:N$601))*VLOOKUP(F7,A$7:O$601,15,FALSE))</f>
        <v>1</v>
      </c>
      <c r="P7" s="662">
        <v>2011</v>
      </c>
    </row>
    <row r="8" spans="1:16">
      <c r="A8" s="14" t="s">
        <v>7041</v>
      </c>
      <c r="B8" s="233">
        <v>16</v>
      </c>
      <c r="C8">
        <v>2</v>
      </c>
      <c r="D8">
        <v>15</v>
      </c>
      <c r="E8" t="s">
        <v>1151</v>
      </c>
      <c r="F8" t="s">
        <v>1151</v>
      </c>
      <c r="G8" t="s">
        <v>6003</v>
      </c>
      <c r="H8" t="str">
        <f t="shared" ref="H8:H71" si="0">F8&amp;G8</f>
        <v>Wheata</v>
      </c>
      <c r="I8">
        <f t="shared" ref="I8:I71" si="1">IFERROR(VLOOKUP(F8,$A$7:$B$590,2,FALSE),"")</f>
        <v>15</v>
      </c>
      <c r="J8" s="421">
        <v>0.79</v>
      </c>
      <c r="K8" s="655">
        <v>12893500</v>
      </c>
      <c r="L8" s="469">
        <v>5915520</v>
      </c>
      <c r="M8" s="470">
        <v>0.45879861945941802</v>
      </c>
      <c r="N8" s="656">
        <f t="shared" ref="N8:N71" si="2">IF(ISBLANK(J8),"",J8*M8)</f>
        <v>0.36245090937294028</v>
      </c>
      <c r="O8" s="666">
        <f t="shared" ref="O8:O71" si="3">IF(ISBLANK(F8),1,J8/(N8/SUMIF(H$7:H$601,H8,N$7:N$601))*VLOOKUP(F8,A$7:O$601,15,FALSE))</f>
        <v>0.9053857362898009</v>
      </c>
      <c r="P8" s="662">
        <v>2011</v>
      </c>
    </row>
    <row r="9" spans="1:16">
      <c r="A9" s="14" t="s">
        <v>4893</v>
      </c>
      <c r="B9" s="233">
        <v>17</v>
      </c>
      <c r="C9">
        <v>2</v>
      </c>
      <c r="D9">
        <v>15</v>
      </c>
      <c r="E9" t="s">
        <v>1151</v>
      </c>
      <c r="F9" t="s">
        <v>1151</v>
      </c>
      <c r="G9" t="s">
        <v>6003</v>
      </c>
      <c r="H9" t="str">
        <f t="shared" si="0"/>
        <v>Wheata</v>
      </c>
      <c r="I9">
        <f t="shared" si="1"/>
        <v>15</v>
      </c>
      <c r="J9" s="421">
        <v>0.18</v>
      </c>
      <c r="K9" s="655">
        <v>4287150</v>
      </c>
      <c r="L9" s="469">
        <v>923021</v>
      </c>
      <c r="M9" s="470">
        <v>0.21529944135381299</v>
      </c>
      <c r="N9" s="656">
        <f t="shared" si="2"/>
        <v>3.8753899443686339E-2</v>
      </c>
      <c r="O9" s="666">
        <f t="shared" si="3"/>
        <v>1.9293581222320844</v>
      </c>
      <c r="P9" s="662">
        <v>2011</v>
      </c>
    </row>
    <row r="10" spans="1:16">
      <c r="A10" s="14" t="s">
        <v>1333</v>
      </c>
      <c r="B10" s="233">
        <v>18</v>
      </c>
      <c r="C10">
        <v>3</v>
      </c>
      <c r="D10">
        <v>15</v>
      </c>
      <c r="E10" t="s">
        <v>1151</v>
      </c>
      <c r="F10" t="s">
        <v>7041</v>
      </c>
      <c r="G10" t="s">
        <v>6003</v>
      </c>
      <c r="H10" t="str">
        <f t="shared" si="0"/>
        <v>Flour, wheata</v>
      </c>
      <c r="I10">
        <f t="shared" si="1"/>
        <v>16</v>
      </c>
      <c r="J10" s="421">
        <v>1</v>
      </c>
      <c r="K10" s="655">
        <v>3342400</v>
      </c>
      <c r="L10" s="469">
        <v>4251340</v>
      </c>
      <c r="M10" s="470">
        <v>1.2719423168980399</v>
      </c>
      <c r="N10" s="656">
        <f t="shared" si="2"/>
        <v>1.2719423168980399</v>
      </c>
      <c r="O10" s="666">
        <f t="shared" si="3"/>
        <v>0.9053857362898009</v>
      </c>
      <c r="P10" s="662">
        <v>2011</v>
      </c>
    </row>
    <row r="11" spans="1:16">
      <c r="A11" s="14" t="s">
        <v>92</v>
      </c>
      <c r="B11" s="233">
        <v>19</v>
      </c>
      <c r="C11">
        <v>2</v>
      </c>
      <c r="D11">
        <v>15</v>
      </c>
      <c r="E11" t="s">
        <v>1151</v>
      </c>
      <c r="F11" t="s">
        <v>1151</v>
      </c>
      <c r="G11" t="s">
        <v>6003</v>
      </c>
      <c r="H11" t="str">
        <f t="shared" si="0"/>
        <v>Wheata</v>
      </c>
      <c r="I11">
        <f t="shared" si="1"/>
        <v>15</v>
      </c>
      <c r="J11" s="421">
        <v>0.02</v>
      </c>
      <c r="K11" s="655" t="s">
        <v>7211</v>
      </c>
      <c r="L11" s="469" t="s">
        <v>7212</v>
      </c>
      <c r="M11" s="470">
        <v>0.70924585356913772</v>
      </c>
      <c r="N11" s="656">
        <f t="shared" si="2"/>
        <v>1.4184917071382754E-2</v>
      </c>
      <c r="O11" s="666">
        <f t="shared" si="3"/>
        <v>0.58567804633279663</v>
      </c>
      <c r="P11" s="662" t="s">
        <v>7514</v>
      </c>
    </row>
    <row r="12" spans="1:16">
      <c r="A12" s="14" t="s">
        <v>4897</v>
      </c>
      <c r="B12" s="233">
        <v>20</v>
      </c>
      <c r="C12">
        <v>3</v>
      </c>
      <c r="D12">
        <v>15</v>
      </c>
      <c r="E12" t="s">
        <v>1151</v>
      </c>
      <c r="F12" t="s">
        <v>7041</v>
      </c>
      <c r="G12" t="s">
        <v>6004</v>
      </c>
      <c r="H12" t="str">
        <f t="shared" si="0"/>
        <v>Flour, wheatb</v>
      </c>
      <c r="I12">
        <f t="shared" si="1"/>
        <v>16</v>
      </c>
      <c r="J12" s="421">
        <v>1.1499999999999999</v>
      </c>
      <c r="K12" s="655">
        <v>1237480</v>
      </c>
      <c r="L12" s="469">
        <v>2666800</v>
      </c>
      <c r="M12" s="470">
        <v>2.15502472767237</v>
      </c>
      <c r="N12" s="656">
        <f t="shared" si="2"/>
        <v>2.4782784368232251</v>
      </c>
      <c r="O12" s="666">
        <f t="shared" si="3"/>
        <v>1.0411935967332711</v>
      </c>
      <c r="P12" s="662">
        <v>2011</v>
      </c>
    </row>
    <row r="13" spans="1:16">
      <c r="A13" s="14" t="s">
        <v>4901</v>
      </c>
      <c r="B13" s="233">
        <v>21</v>
      </c>
      <c r="C13">
        <v>2</v>
      </c>
      <c r="D13">
        <v>15</v>
      </c>
      <c r="E13" t="s">
        <v>1151</v>
      </c>
      <c r="F13" t="s">
        <v>1151</v>
      </c>
      <c r="G13" t="s">
        <v>6004</v>
      </c>
      <c r="H13" t="str">
        <f t="shared" si="0"/>
        <v>Wheatb</v>
      </c>
      <c r="I13">
        <f t="shared" si="1"/>
        <v>15</v>
      </c>
      <c r="J13" s="421">
        <v>0.95</v>
      </c>
      <c r="K13" s="655">
        <v>14058</v>
      </c>
      <c r="L13" s="469">
        <v>8163</v>
      </c>
      <c r="M13" s="470">
        <v>0.58066581306017895</v>
      </c>
      <c r="N13" s="656">
        <f t="shared" si="2"/>
        <v>0.55163252240716998</v>
      </c>
      <c r="O13" s="666">
        <f t="shared" si="3"/>
        <v>0.95</v>
      </c>
      <c r="P13" s="662">
        <v>2011</v>
      </c>
    </row>
    <row r="14" spans="1:16">
      <c r="A14" s="14" t="s">
        <v>5227</v>
      </c>
      <c r="B14" s="233">
        <v>22</v>
      </c>
      <c r="C14">
        <v>3</v>
      </c>
      <c r="D14">
        <v>15</v>
      </c>
      <c r="E14" t="s">
        <v>1151</v>
      </c>
      <c r="F14" t="s">
        <v>7041</v>
      </c>
      <c r="G14" t="s">
        <v>6005</v>
      </c>
      <c r="H14" t="str">
        <f t="shared" si="0"/>
        <v>Flour, wheatc</v>
      </c>
      <c r="I14">
        <f t="shared" si="1"/>
        <v>16</v>
      </c>
      <c r="J14" s="421">
        <v>1.1499999999999999</v>
      </c>
      <c r="K14" s="655">
        <v>6958050</v>
      </c>
      <c r="L14" s="469">
        <v>22542300</v>
      </c>
      <c r="M14" s="470">
        <v>3.23974389376334</v>
      </c>
      <c r="N14" s="656">
        <f t="shared" si="2"/>
        <v>3.7257054778278409</v>
      </c>
      <c r="O14" s="666">
        <f t="shared" si="3"/>
        <v>1.0411935967332711</v>
      </c>
      <c r="P14" s="662">
        <v>2011</v>
      </c>
    </row>
    <row r="15" spans="1:16">
      <c r="A15" s="14" t="s">
        <v>5392</v>
      </c>
      <c r="B15" s="233">
        <v>27</v>
      </c>
      <c r="C15">
        <v>1</v>
      </c>
      <c r="D15">
        <v>27</v>
      </c>
      <c r="E15" t="s">
        <v>5392</v>
      </c>
      <c r="F15"/>
      <c r="G15"/>
      <c r="H15" t="str">
        <f t="shared" si="0"/>
        <v/>
      </c>
      <c r="I15" t="str">
        <f t="shared" si="1"/>
        <v/>
      </c>
      <c r="J15" s="421"/>
      <c r="K15" s="655" t="s">
        <v>7213</v>
      </c>
      <c r="L15" s="469" t="s">
        <v>7214</v>
      </c>
      <c r="M15" s="470">
        <v>0.49227479681715669</v>
      </c>
      <c r="N15" s="656" t="str">
        <f t="shared" si="2"/>
        <v/>
      </c>
      <c r="O15" s="666">
        <f t="shared" si="3"/>
        <v>1</v>
      </c>
      <c r="P15" s="662" t="s">
        <v>7514</v>
      </c>
    </row>
    <row r="16" spans="1:16">
      <c r="A16" s="14" t="s">
        <v>2640</v>
      </c>
      <c r="B16" s="233">
        <v>28</v>
      </c>
      <c r="C16">
        <v>2</v>
      </c>
      <c r="D16">
        <v>27</v>
      </c>
      <c r="E16" t="s">
        <v>5392</v>
      </c>
      <c r="F16" t="s">
        <v>5392</v>
      </c>
      <c r="G16" t="s">
        <v>6003</v>
      </c>
      <c r="H16" t="str">
        <f t="shared" si="0"/>
        <v>Rice, paddya</v>
      </c>
      <c r="I16">
        <f t="shared" si="1"/>
        <v>27</v>
      </c>
      <c r="J16" s="421">
        <v>0.77</v>
      </c>
      <c r="K16" s="655" t="s">
        <v>7215</v>
      </c>
      <c r="L16" s="469" t="s">
        <v>7216</v>
      </c>
      <c r="M16" s="470">
        <v>0.78421886802338525</v>
      </c>
      <c r="N16" s="656">
        <f t="shared" si="2"/>
        <v>0.60384852837800662</v>
      </c>
      <c r="O16" s="666">
        <f t="shared" si="3"/>
        <v>0.77</v>
      </c>
      <c r="P16" s="662" t="s">
        <v>7514</v>
      </c>
    </row>
    <row r="17" spans="1:16">
      <c r="A17" s="14" t="s">
        <v>4997</v>
      </c>
      <c r="B17" s="233">
        <v>29</v>
      </c>
      <c r="C17">
        <v>3</v>
      </c>
      <c r="D17">
        <v>27</v>
      </c>
      <c r="E17" t="s">
        <v>5392</v>
      </c>
      <c r="F17" t="s">
        <v>2640</v>
      </c>
      <c r="G17" t="s">
        <v>6003</v>
      </c>
      <c r="H17" t="str">
        <f t="shared" si="0"/>
        <v>Rice Huskeda</v>
      </c>
      <c r="I17">
        <f t="shared" si="1"/>
        <v>28</v>
      </c>
      <c r="J17" s="421">
        <v>0.9</v>
      </c>
      <c r="K17" s="655">
        <v>355353</v>
      </c>
      <c r="L17" s="469">
        <v>388392</v>
      </c>
      <c r="M17" s="470">
        <v>1.09297515428321</v>
      </c>
      <c r="N17" s="656">
        <f t="shared" si="2"/>
        <v>0.98367763885488901</v>
      </c>
      <c r="O17" s="666">
        <f t="shared" si="3"/>
        <v>0.69300000000000006</v>
      </c>
      <c r="P17" s="662">
        <v>2011</v>
      </c>
    </row>
    <row r="18" spans="1:16">
      <c r="A18" s="84" t="s">
        <v>6958</v>
      </c>
      <c r="B18" s="399">
        <v>30</v>
      </c>
      <c r="C18">
        <v>2</v>
      </c>
      <c r="D18">
        <v>27</v>
      </c>
      <c r="E18" t="s">
        <v>5392</v>
      </c>
      <c r="F18" t="s">
        <v>5392</v>
      </c>
      <c r="G18" t="s">
        <v>6004</v>
      </c>
      <c r="H18" t="str">
        <f t="shared" si="0"/>
        <v>Rice, paddyb</v>
      </c>
      <c r="I18">
        <f t="shared" si="1"/>
        <v>27</v>
      </c>
      <c r="J18" s="421">
        <v>0.67</v>
      </c>
      <c r="K18" s="655">
        <v>33532600</v>
      </c>
      <c r="L18" s="469">
        <v>22788400</v>
      </c>
      <c r="M18" s="470">
        <v>0.67958941448023702</v>
      </c>
      <c r="N18" s="656">
        <f t="shared" si="2"/>
        <v>0.45532490770175882</v>
      </c>
      <c r="O18" s="666">
        <f t="shared" si="3"/>
        <v>0.70338902934340974</v>
      </c>
      <c r="P18" s="662">
        <v>2011</v>
      </c>
    </row>
    <row r="19" spans="1:16">
      <c r="A19" s="14" t="s">
        <v>658</v>
      </c>
      <c r="B19" s="233">
        <v>31</v>
      </c>
      <c r="C19">
        <v>2</v>
      </c>
      <c r="D19">
        <v>27</v>
      </c>
      <c r="E19" t="s">
        <v>5392</v>
      </c>
      <c r="F19" t="s">
        <v>5392</v>
      </c>
      <c r="G19" s="13" t="s">
        <v>6005</v>
      </c>
      <c r="H19" t="str">
        <f t="shared" si="0"/>
        <v>Rice, paddyc</v>
      </c>
      <c r="I19">
        <f t="shared" si="1"/>
        <v>27</v>
      </c>
      <c r="J19" s="421">
        <v>0.67</v>
      </c>
      <c r="K19" s="655" t="s">
        <v>7217</v>
      </c>
      <c r="L19" s="469" t="s">
        <v>7218</v>
      </c>
      <c r="M19" s="470">
        <v>0.70917946933951392</v>
      </c>
      <c r="N19" s="656">
        <f t="shared" si="2"/>
        <v>0.47515024445747434</v>
      </c>
      <c r="O19" s="666">
        <f t="shared" si="3"/>
        <v>0.67</v>
      </c>
      <c r="P19" s="662" t="s">
        <v>7514</v>
      </c>
    </row>
    <row r="20" spans="1:16">
      <c r="A20" s="14" t="s">
        <v>3600</v>
      </c>
      <c r="B20" s="233">
        <v>32</v>
      </c>
      <c r="C20">
        <v>3</v>
      </c>
      <c r="D20">
        <v>27</v>
      </c>
      <c r="E20" t="s">
        <v>5392</v>
      </c>
      <c r="F20" t="s">
        <v>658</v>
      </c>
      <c r="G20" t="s">
        <v>6003</v>
      </c>
      <c r="H20" t="str">
        <f t="shared" si="0"/>
        <v>Rice Milleda</v>
      </c>
      <c r="I20">
        <f t="shared" si="1"/>
        <v>31</v>
      </c>
      <c r="J20" s="421">
        <v>1</v>
      </c>
      <c r="K20" s="655" t="s">
        <v>7219</v>
      </c>
      <c r="L20" s="469" t="s">
        <v>7220</v>
      </c>
      <c r="M20" s="470">
        <v>0.51762182731255157</v>
      </c>
      <c r="N20" s="656">
        <f t="shared" si="2"/>
        <v>0.51762182731255157</v>
      </c>
      <c r="O20" s="666">
        <f t="shared" si="3"/>
        <v>0.67</v>
      </c>
      <c r="P20" s="662" t="s">
        <v>7514</v>
      </c>
    </row>
    <row r="21" spans="1:16">
      <c r="A21" s="14" t="s">
        <v>6959</v>
      </c>
      <c r="B21" s="233">
        <v>35</v>
      </c>
      <c r="C21">
        <v>2</v>
      </c>
      <c r="D21">
        <v>27</v>
      </c>
      <c r="E21" t="s">
        <v>5392</v>
      </c>
      <c r="F21" t="s">
        <v>5392</v>
      </c>
      <c r="G21" t="s">
        <v>6004</v>
      </c>
      <c r="H21" t="str">
        <f t="shared" si="0"/>
        <v>Rice, paddyb</v>
      </c>
      <c r="I21">
        <f t="shared" si="1"/>
        <v>27</v>
      </c>
      <c r="J21" s="421">
        <v>0.08</v>
      </c>
      <c r="K21" s="655">
        <v>52088</v>
      </c>
      <c r="L21" s="469">
        <v>14774</v>
      </c>
      <c r="M21" s="470">
        <v>0.28363538626939</v>
      </c>
      <c r="N21" s="656">
        <f t="shared" si="2"/>
        <v>2.26908309015512E-2</v>
      </c>
      <c r="O21" s="666">
        <f t="shared" si="3"/>
        <v>1.6853177062656854</v>
      </c>
      <c r="P21" s="662">
        <v>2011</v>
      </c>
    </row>
    <row r="22" spans="1:16">
      <c r="A22" s="14" t="s">
        <v>5390</v>
      </c>
      <c r="B22" s="233">
        <v>36</v>
      </c>
      <c r="C22">
        <v>3</v>
      </c>
      <c r="D22">
        <v>27</v>
      </c>
      <c r="E22" t="s">
        <v>5392</v>
      </c>
      <c r="F22" t="s">
        <v>6959</v>
      </c>
      <c r="G22" t="s">
        <v>6003</v>
      </c>
      <c r="H22" t="str">
        <f t="shared" si="0"/>
        <v>Bran, ricea</v>
      </c>
      <c r="I22">
        <f t="shared" si="1"/>
        <v>35</v>
      </c>
      <c r="J22" s="421">
        <v>0.14000000000000001</v>
      </c>
      <c r="K22" s="655">
        <v>36922</v>
      </c>
      <c r="L22" s="469">
        <v>60303</v>
      </c>
      <c r="M22" s="470">
        <v>1.6332538865716899</v>
      </c>
      <c r="N22" s="656">
        <f t="shared" si="2"/>
        <v>0.22865554412003661</v>
      </c>
      <c r="O22" s="666">
        <f t="shared" si="3"/>
        <v>2.8156378751734707</v>
      </c>
      <c r="P22" s="662">
        <v>2011</v>
      </c>
    </row>
    <row r="23" spans="1:16">
      <c r="A23" s="14" t="s">
        <v>1457</v>
      </c>
      <c r="B23" s="233">
        <v>37</v>
      </c>
      <c r="C23">
        <v>3</v>
      </c>
      <c r="D23">
        <v>27</v>
      </c>
      <c r="E23" t="s">
        <v>5392</v>
      </c>
      <c r="F23" t="s">
        <v>6959</v>
      </c>
      <c r="G23" t="s">
        <v>6003</v>
      </c>
      <c r="H23" t="str">
        <f t="shared" si="0"/>
        <v>Bran, ricea</v>
      </c>
      <c r="I23">
        <f t="shared" si="1"/>
        <v>35</v>
      </c>
      <c r="J23" s="421">
        <v>0.8</v>
      </c>
      <c r="K23" s="655">
        <v>25</v>
      </c>
      <c r="L23" s="469">
        <v>8</v>
      </c>
      <c r="M23" s="470">
        <v>3.125</v>
      </c>
      <c r="N23" s="656">
        <f t="shared" si="2"/>
        <v>2.5</v>
      </c>
      <c r="O23" s="666">
        <f t="shared" si="3"/>
        <v>1.4715684808977683</v>
      </c>
      <c r="P23" s="662">
        <v>2005</v>
      </c>
    </row>
    <row r="24" spans="1:16">
      <c r="A24" s="14" t="s">
        <v>2638</v>
      </c>
      <c r="B24" s="233">
        <v>38</v>
      </c>
      <c r="C24">
        <v>4</v>
      </c>
      <c r="D24">
        <v>27</v>
      </c>
      <c r="E24" t="s">
        <v>5392</v>
      </c>
      <c r="F24" t="s">
        <v>3600</v>
      </c>
      <c r="G24" t="s">
        <v>6003</v>
      </c>
      <c r="H24" t="str">
        <f t="shared" si="0"/>
        <v>Rice Brokena</v>
      </c>
      <c r="I24">
        <f t="shared" si="1"/>
        <v>32</v>
      </c>
      <c r="J24" s="421">
        <v>0.95</v>
      </c>
      <c r="K24" s="655" t="s">
        <v>7221</v>
      </c>
      <c r="L24" s="469" t="s">
        <v>7222</v>
      </c>
      <c r="M24" s="470">
        <v>0.89130487924122426</v>
      </c>
      <c r="N24" s="656">
        <f t="shared" si="2"/>
        <v>0.84673963527916296</v>
      </c>
      <c r="O24" s="666">
        <f t="shared" si="3"/>
        <v>0.63649999999999995</v>
      </c>
      <c r="P24" s="662" t="s">
        <v>7514</v>
      </c>
    </row>
    <row r="25" spans="1:16">
      <c r="A25" s="14" t="s">
        <v>2636</v>
      </c>
      <c r="B25" s="233">
        <v>39</v>
      </c>
      <c r="C25">
        <v>4</v>
      </c>
      <c r="D25">
        <v>27</v>
      </c>
      <c r="E25" t="s">
        <v>5392</v>
      </c>
      <c r="F25" t="s">
        <v>3600</v>
      </c>
      <c r="G25" t="s">
        <v>6004</v>
      </c>
      <c r="H25" t="str">
        <f t="shared" si="0"/>
        <v>Rice Brokenb</v>
      </c>
      <c r="I25">
        <f t="shared" si="1"/>
        <v>32</v>
      </c>
      <c r="J25" s="421">
        <v>1</v>
      </c>
      <c r="K25" s="655">
        <v>12529</v>
      </c>
      <c r="L25" s="469">
        <v>68594</v>
      </c>
      <c r="M25" s="470">
        <v>5.47481842126267</v>
      </c>
      <c r="N25" s="656">
        <f t="shared" si="2"/>
        <v>5.47481842126267</v>
      </c>
      <c r="O25" s="666">
        <f t="shared" si="3"/>
        <v>0.67</v>
      </c>
      <c r="P25" s="662">
        <v>2011</v>
      </c>
    </row>
    <row r="26" spans="1:16">
      <c r="A26" s="14" t="s">
        <v>4899</v>
      </c>
      <c r="B26" s="233">
        <v>41</v>
      </c>
      <c r="C26">
        <v>2</v>
      </c>
      <c r="D26">
        <v>15</v>
      </c>
      <c r="E26" t="s">
        <v>1151</v>
      </c>
      <c r="F26" t="s">
        <v>1151</v>
      </c>
      <c r="G26" t="s">
        <v>6005</v>
      </c>
      <c r="H26" t="str">
        <f t="shared" si="0"/>
        <v>Wheatc</v>
      </c>
      <c r="I26">
        <f t="shared" si="1"/>
        <v>15</v>
      </c>
      <c r="J26" s="421">
        <v>0.85</v>
      </c>
      <c r="K26" s="655">
        <v>2127990</v>
      </c>
      <c r="L26" s="469">
        <v>5579220</v>
      </c>
      <c r="M26" s="470">
        <v>2.6218262303864202</v>
      </c>
      <c r="N26" s="656">
        <f t="shared" si="2"/>
        <v>2.2285522958284569</v>
      </c>
      <c r="O26" s="666">
        <f t="shared" si="3"/>
        <v>0.85</v>
      </c>
      <c r="P26" s="662">
        <v>2011</v>
      </c>
    </row>
    <row r="27" spans="1:16">
      <c r="A27" s="14" t="s">
        <v>615</v>
      </c>
      <c r="B27" s="233">
        <v>44</v>
      </c>
      <c r="C27">
        <v>1</v>
      </c>
      <c r="D27">
        <v>44</v>
      </c>
      <c r="E27" t="s">
        <v>615</v>
      </c>
      <c r="F27"/>
      <c r="G27"/>
      <c r="H27" t="str">
        <f t="shared" si="0"/>
        <v/>
      </c>
      <c r="I27" t="str">
        <f t="shared" si="1"/>
        <v/>
      </c>
      <c r="J27" s="421"/>
      <c r="K27" s="655">
        <v>24260300</v>
      </c>
      <c r="L27" s="469">
        <v>7339630</v>
      </c>
      <c r="M27" s="470">
        <v>0.30253665453436301</v>
      </c>
      <c r="N27" s="656" t="str">
        <f t="shared" si="2"/>
        <v/>
      </c>
      <c r="O27" s="666">
        <f t="shared" si="3"/>
        <v>1</v>
      </c>
      <c r="P27" s="662">
        <v>2011</v>
      </c>
    </row>
    <row r="28" spans="1:16">
      <c r="A28" s="14" t="s">
        <v>5015</v>
      </c>
      <c r="B28" s="233">
        <v>45</v>
      </c>
      <c r="C28">
        <v>2</v>
      </c>
      <c r="D28">
        <v>44</v>
      </c>
      <c r="E28" t="s">
        <v>615</v>
      </c>
      <c r="F28" t="s">
        <v>615</v>
      </c>
      <c r="G28" t="s">
        <v>6003</v>
      </c>
      <c r="H28" t="str">
        <f t="shared" si="0"/>
        <v>Barleya</v>
      </c>
      <c r="I28">
        <f t="shared" si="1"/>
        <v>44</v>
      </c>
      <c r="J28" s="421">
        <v>0.72</v>
      </c>
      <c r="K28" s="655" t="s">
        <v>7223</v>
      </c>
      <c r="L28" s="469" t="s">
        <v>7224</v>
      </c>
      <c r="M28" s="470">
        <v>0.76810447170557972</v>
      </c>
      <c r="N28" s="656">
        <f t="shared" si="2"/>
        <v>0.55303521962801738</v>
      </c>
      <c r="O28" s="666">
        <f t="shared" si="3"/>
        <v>1.2169731160133015</v>
      </c>
      <c r="P28" s="662" t="s">
        <v>7514</v>
      </c>
    </row>
    <row r="29" spans="1:16">
      <c r="A29" s="14" t="s">
        <v>3254</v>
      </c>
      <c r="B29" s="233">
        <v>46</v>
      </c>
      <c r="C29">
        <v>3</v>
      </c>
      <c r="D29">
        <v>44</v>
      </c>
      <c r="E29" t="s">
        <v>615</v>
      </c>
      <c r="F29" t="s">
        <v>5015</v>
      </c>
      <c r="G29" t="s">
        <v>6003</v>
      </c>
      <c r="H29" t="str">
        <f t="shared" si="0"/>
        <v>Pot Barleya</v>
      </c>
      <c r="I29">
        <f t="shared" si="1"/>
        <v>45</v>
      </c>
      <c r="J29" s="421">
        <v>0.55000000000000004</v>
      </c>
      <c r="K29" s="655">
        <v>29488</v>
      </c>
      <c r="L29" s="469">
        <v>14380</v>
      </c>
      <c r="M29" s="470">
        <v>0.487655995659251</v>
      </c>
      <c r="N29" s="656">
        <f t="shared" si="2"/>
        <v>0.26821079761258809</v>
      </c>
      <c r="O29" s="666">
        <f t="shared" si="3"/>
        <v>1.0748311332270455</v>
      </c>
      <c r="P29" s="662">
        <v>2011</v>
      </c>
    </row>
    <row r="30" spans="1:16">
      <c r="A30" s="14" t="s">
        <v>958</v>
      </c>
      <c r="B30" s="233">
        <v>47</v>
      </c>
      <c r="C30">
        <v>2</v>
      </c>
      <c r="D30">
        <v>44</v>
      </c>
      <c r="E30" t="s">
        <v>615</v>
      </c>
      <c r="F30" t="s">
        <v>615</v>
      </c>
      <c r="G30" t="s">
        <v>6003</v>
      </c>
      <c r="H30" t="str">
        <f t="shared" si="0"/>
        <v>Barleya</v>
      </c>
      <c r="I30">
        <f t="shared" si="1"/>
        <v>44</v>
      </c>
      <c r="J30" s="421">
        <v>0.19</v>
      </c>
      <c r="K30" s="655" t="s">
        <v>7225</v>
      </c>
      <c r="L30" s="469" t="s">
        <v>7226</v>
      </c>
      <c r="M30" s="470">
        <v>2.0090909090909093</v>
      </c>
      <c r="N30" s="656">
        <f t="shared" si="2"/>
        <v>0.38172727272727275</v>
      </c>
      <c r="O30" s="666">
        <f t="shared" si="3"/>
        <v>0.46526639890987292</v>
      </c>
      <c r="P30" s="662" t="s">
        <v>7514</v>
      </c>
    </row>
    <row r="31" spans="1:16">
      <c r="A31" s="14" t="s">
        <v>1410</v>
      </c>
      <c r="B31" s="233">
        <v>48</v>
      </c>
      <c r="C31">
        <v>3</v>
      </c>
      <c r="D31">
        <v>44</v>
      </c>
      <c r="E31" t="s">
        <v>615</v>
      </c>
      <c r="F31" t="s">
        <v>5015</v>
      </c>
      <c r="G31" t="s">
        <v>6003</v>
      </c>
      <c r="H31" t="str">
        <f t="shared" si="0"/>
        <v>Pot Barleya</v>
      </c>
      <c r="I31">
        <f t="shared" si="1"/>
        <v>45</v>
      </c>
      <c r="J31" s="421">
        <v>0.45</v>
      </c>
      <c r="K31" s="655" t="s">
        <v>7227</v>
      </c>
      <c r="L31" s="469" t="s">
        <v>7228</v>
      </c>
      <c r="M31" s="470">
        <v>0.36108259768699102</v>
      </c>
      <c r="N31" s="656">
        <f t="shared" si="2"/>
        <v>0.16248716895914597</v>
      </c>
      <c r="O31" s="666">
        <f t="shared" si="3"/>
        <v>1.4516009627629856</v>
      </c>
      <c r="P31" s="662" t="s">
        <v>7514</v>
      </c>
    </row>
    <row r="32" spans="1:16">
      <c r="A32" s="14" t="s">
        <v>1335</v>
      </c>
      <c r="B32" s="233">
        <v>49</v>
      </c>
      <c r="C32">
        <v>2</v>
      </c>
      <c r="D32">
        <v>44</v>
      </c>
      <c r="E32" t="s">
        <v>615</v>
      </c>
      <c r="F32" t="s">
        <v>615</v>
      </c>
      <c r="G32" t="s">
        <v>6004</v>
      </c>
      <c r="H32" t="str">
        <f t="shared" si="0"/>
        <v>Barleyb</v>
      </c>
      <c r="I32">
        <f t="shared" si="1"/>
        <v>44</v>
      </c>
      <c r="J32" s="421">
        <v>0.73</v>
      </c>
      <c r="K32" s="655">
        <v>6883250</v>
      </c>
      <c r="L32" s="469">
        <v>3877130</v>
      </c>
      <c r="M32" s="470">
        <v>0.56327025750917104</v>
      </c>
      <c r="N32" s="656">
        <f t="shared" si="2"/>
        <v>0.41118728798169485</v>
      </c>
      <c r="O32" s="666">
        <f t="shared" si="3"/>
        <v>0.73</v>
      </c>
      <c r="P32" s="662">
        <v>2011</v>
      </c>
    </row>
    <row r="33" spans="1:16">
      <c r="A33" s="14" t="s">
        <v>1337</v>
      </c>
      <c r="B33" s="233">
        <v>50</v>
      </c>
      <c r="C33">
        <v>3</v>
      </c>
      <c r="D33">
        <v>44</v>
      </c>
      <c r="E33" t="s">
        <v>615</v>
      </c>
      <c r="F33" t="s">
        <v>1335</v>
      </c>
      <c r="G33" t="s">
        <v>6003</v>
      </c>
      <c r="H33" t="str">
        <f t="shared" si="0"/>
        <v>Malta</v>
      </c>
      <c r="I33">
        <f t="shared" si="1"/>
        <v>49</v>
      </c>
      <c r="J33" s="421">
        <v>0.8</v>
      </c>
      <c r="K33" s="655" t="s">
        <v>7229</v>
      </c>
      <c r="L33" s="469" t="s">
        <v>7230</v>
      </c>
      <c r="M33" s="470">
        <v>1.9739991957006544</v>
      </c>
      <c r="N33" s="656">
        <f t="shared" si="2"/>
        <v>1.5791993565605236</v>
      </c>
      <c r="O33" s="666">
        <f t="shared" si="3"/>
        <v>0.58399999999999996</v>
      </c>
      <c r="P33" s="662" t="s">
        <v>7514</v>
      </c>
    </row>
    <row r="34" spans="1:16">
      <c r="A34" s="14" t="s">
        <v>3078</v>
      </c>
      <c r="B34" s="233">
        <v>51</v>
      </c>
      <c r="C34">
        <v>3</v>
      </c>
      <c r="D34">
        <v>44</v>
      </c>
      <c r="E34" t="s">
        <v>615</v>
      </c>
      <c r="F34" t="s">
        <v>1335</v>
      </c>
      <c r="G34" t="s">
        <v>6004</v>
      </c>
      <c r="H34" t="str">
        <f t="shared" si="0"/>
        <v>Maltb</v>
      </c>
      <c r="I34">
        <f t="shared" si="1"/>
        <v>49</v>
      </c>
      <c r="J34" s="421">
        <v>6.55</v>
      </c>
      <c r="K34" s="655">
        <v>11828200</v>
      </c>
      <c r="L34" s="469">
        <v>11711300</v>
      </c>
      <c r="M34" s="470">
        <v>0.99011683941766304</v>
      </c>
      <c r="N34" s="656">
        <f t="shared" si="2"/>
        <v>6.4852652981856931</v>
      </c>
      <c r="O34" s="666">
        <f t="shared" si="3"/>
        <v>4.7814999999999994</v>
      </c>
      <c r="P34" s="662">
        <v>2011</v>
      </c>
    </row>
    <row r="35" spans="1:16">
      <c r="A35" s="14" t="s">
        <v>2057</v>
      </c>
      <c r="B35" s="233">
        <v>56</v>
      </c>
      <c r="C35">
        <v>1</v>
      </c>
      <c r="D35">
        <v>56</v>
      </c>
      <c r="E35" t="s">
        <v>2057</v>
      </c>
      <c r="F35"/>
      <c r="G35"/>
      <c r="H35" t="str">
        <f t="shared" si="0"/>
        <v/>
      </c>
      <c r="I35" t="str">
        <f t="shared" si="1"/>
        <v/>
      </c>
      <c r="J35" s="421"/>
      <c r="K35" s="655">
        <v>108067000</v>
      </c>
      <c r="L35" s="469">
        <v>36342500</v>
      </c>
      <c r="M35" s="470">
        <v>0.336296001554591</v>
      </c>
      <c r="N35" s="656" t="str">
        <f t="shared" si="2"/>
        <v/>
      </c>
      <c r="O35" s="666">
        <f t="shared" si="3"/>
        <v>1</v>
      </c>
      <c r="P35" s="662">
        <v>2011</v>
      </c>
    </row>
    <row r="36" spans="1:16">
      <c r="A36" s="14" t="s">
        <v>7049</v>
      </c>
      <c r="B36" s="233">
        <v>57</v>
      </c>
      <c r="C36">
        <v>2</v>
      </c>
      <c r="D36">
        <v>56</v>
      </c>
      <c r="E36" t="s">
        <v>2057</v>
      </c>
      <c r="F36" t="s">
        <v>2057</v>
      </c>
      <c r="G36" t="s">
        <v>6003</v>
      </c>
      <c r="H36" t="str">
        <f t="shared" si="0"/>
        <v>Maizea</v>
      </c>
      <c r="I36">
        <f t="shared" si="1"/>
        <v>56</v>
      </c>
      <c r="J36" s="421">
        <v>0.06</v>
      </c>
      <c r="K36" s="655">
        <v>326671</v>
      </c>
      <c r="L36" s="469">
        <v>192220</v>
      </c>
      <c r="M36" s="470">
        <v>0.588420765846984</v>
      </c>
      <c r="N36" s="656">
        <f t="shared" si="2"/>
        <v>3.5305245950819041E-2</v>
      </c>
      <c r="O36" s="666">
        <f t="shared" si="3"/>
        <v>0.80913744345223682</v>
      </c>
      <c r="P36" s="662">
        <v>2011</v>
      </c>
    </row>
    <row r="37" spans="1:16">
      <c r="A37" s="14" t="s">
        <v>1850</v>
      </c>
      <c r="B37" s="233">
        <v>58</v>
      </c>
      <c r="C37">
        <v>2</v>
      </c>
      <c r="D37">
        <v>56</v>
      </c>
      <c r="E37" t="s">
        <v>2057</v>
      </c>
      <c r="F37" t="s">
        <v>2057</v>
      </c>
      <c r="G37" t="s">
        <v>6003</v>
      </c>
      <c r="H37" t="str">
        <f t="shared" si="0"/>
        <v>Maizea</v>
      </c>
      <c r="I37">
        <f t="shared" si="1"/>
        <v>56</v>
      </c>
      <c r="J37" s="421">
        <v>0.82</v>
      </c>
      <c r="K37" s="655">
        <v>1986520</v>
      </c>
      <c r="L37" s="469">
        <v>989829</v>
      </c>
      <c r="M37" s="470">
        <v>0.49827285907013302</v>
      </c>
      <c r="N37" s="656">
        <f t="shared" si="2"/>
        <v>0.40858374443750906</v>
      </c>
      <c r="O37" s="666">
        <f t="shared" si="3"/>
        <v>0.95552720860644336</v>
      </c>
      <c r="P37" s="662">
        <v>2011</v>
      </c>
    </row>
    <row r="38" spans="1:16">
      <c r="A38" s="14" t="s">
        <v>2562</v>
      </c>
      <c r="B38" s="233">
        <v>59</v>
      </c>
      <c r="C38">
        <v>2</v>
      </c>
      <c r="D38">
        <v>56</v>
      </c>
      <c r="E38" t="s">
        <v>2057</v>
      </c>
      <c r="F38" t="s">
        <v>2057</v>
      </c>
      <c r="G38" t="s">
        <v>6003</v>
      </c>
      <c r="H38" t="str">
        <f t="shared" si="0"/>
        <v>Maizea</v>
      </c>
      <c r="I38">
        <f t="shared" si="1"/>
        <v>56</v>
      </c>
      <c r="J38" s="421">
        <v>0.11</v>
      </c>
      <c r="K38" s="655">
        <v>802528</v>
      </c>
      <c r="L38" s="469">
        <v>235099</v>
      </c>
      <c r="M38" s="470">
        <v>0.29294803421188997</v>
      </c>
      <c r="N38" s="656">
        <f t="shared" si="2"/>
        <v>3.2224283763307895E-2</v>
      </c>
      <c r="O38" s="666">
        <f t="shared" si="3"/>
        <v>1.6252482302279665</v>
      </c>
      <c r="P38" s="662">
        <v>2011</v>
      </c>
    </row>
    <row r="39" spans="1:16">
      <c r="A39" s="14" t="s">
        <v>1130</v>
      </c>
      <c r="B39" s="233">
        <v>60</v>
      </c>
      <c r="C39">
        <v>3</v>
      </c>
      <c r="D39">
        <v>56</v>
      </c>
      <c r="E39" t="s">
        <v>2057</v>
      </c>
      <c r="F39" t="s">
        <v>7049</v>
      </c>
      <c r="G39" t="s">
        <v>6003</v>
      </c>
      <c r="H39" t="str">
        <f t="shared" si="0"/>
        <v>Germ, maizea</v>
      </c>
      <c r="I39">
        <f t="shared" si="1"/>
        <v>57</v>
      </c>
      <c r="J39" s="421">
        <v>0.45</v>
      </c>
      <c r="K39" s="655">
        <v>936047</v>
      </c>
      <c r="L39" s="469">
        <v>1528170</v>
      </c>
      <c r="M39" s="470">
        <v>1.63257827865481</v>
      </c>
      <c r="N39" s="656">
        <f t="shared" si="2"/>
        <v>0.73466022539466447</v>
      </c>
      <c r="O39" s="666">
        <f t="shared" si="3"/>
        <v>0.41844807792160371</v>
      </c>
      <c r="P39" s="662">
        <v>2011</v>
      </c>
    </row>
    <row r="40" spans="1:16">
      <c r="A40" s="14" t="s">
        <v>1138</v>
      </c>
      <c r="B40" s="233">
        <v>61</v>
      </c>
      <c r="C40">
        <v>3</v>
      </c>
      <c r="D40">
        <v>56</v>
      </c>
      <c r="E40" t="s">
        <v>2057</v>
      </c>
      <c r="F40" t="s">
        <v>7049</v>
      </c>
      <c r="G40" t="s">
        <v>6003</v>
      </c>
      <c r="H40" t="str">
        <f t="shared" si="0"/>
        <v>Germ, maizea</v>
      </c>
      <c r="I40">
        <f t="shared" si="1"/>
        <v>57</v>
      </c>
      <c r="J40" s="421">
        <v>0.52</v>
      </c>
      <c r="K40" s="655">
        <v>75254</v>
      </c>
      <c r="L40" s="469">
        <v>15866</v>
      </c>
      <c r="M40" s="470">
        <v>0.210832646769607</v>
      </c>
      <c r="N40" s="656">
        <f t="shared" si="2"/>
        <v>0.10963297632019564</v>
      </c>
      <c r="O40" s="666">
        <f t="shared" si="3"/>
        <v>3.2402441141205003</v>
      </c>
      <c r="P40" s="662">
        <v>2011</v>
      </c>
    </row>
    <row r="41" spans="1:16">
      <c r="A41" s="14" t="s">
        <v>5014</v>
      </c>
      <c r="B41" s="233">
        <v>68</v>
      </c>
      <c r="C41">
        <v>2</v>
      </c>
      <c r="D41">
        <v>56</v>
      </c>
      <c r="E41" t="s">
        <v>2057</v>
      </c>
      <c r="F41" t="s">
        <v>2057</v>
      </c>
      <c r="G41" t="s">
        <v>6004</v>
      </c>
      <c r="H41" t="str">
        <f t="shared" si="0"/>
        <v>Maizeb</v>
      </c>
      <c r="I41">
        <f t="shared" si="1"/>
        <v>56</v>
      </c>
      <c r="J41" s="421">
        <v>0.35</v>
      </c>
      <c r="K41" s="655">
        <v>41</v>
      </c>
      <c r="L41" s="469">
        <v>13</v>
      </c>
      <c r="M41" s="470">
        <v>3.1538461538461502</v>
      </c>
      <c r="N41" s="656">
        <f t="shared" si="2"/>
        <v>1.1038461538461526</v>
      </c>
      <c r="O41" s="666">
        <f t="shared" si="3"/>
        <v>0.35</v>
      </c>
      <c r="P41" s="662">
        <v>1974</v>
      </c>
    </row>
    <row r="42" spans="1:16">
      <c r="A42" s="14" t="s">
        <v>5394</v>
      </c>
      <c r="B42" s="233">
        <v>71</v>
      </c>
      <c r="C42">
        <v>1</v>
      </c>
      <c r="D42">
        <v>71</v>
      </c>
      <c r="E42" t="s">
        <v>5394</v>
      </c>
      <c r="F42"/>
      <c r="G42"/>
      <c r="H42" t="str">
        <f t="shared" si="0"/>
        <v/>
      </c>
      <c r="I42" t="str">
        <f t="shared" si="1"/>
        <v/>
      </c>
      <c r="J42" s="421"/>
      <c r="K42" s="655">
        <v>1019390</v>
      </c>
      <c r="L42" s="469">
        <v>321365</v>
      </c>
      <c r="M42" s="470">
        <v>0.31525225870373502</v>
      </c>
      <c r="N42" s="656" t="str">
        <f t="shared" si="2"/>
        <v/>
      </c>
      <c r="O42" s="666">
        <f t="shared" si="3"/>
        <v>1</v>
      </c>
      <c r="P42" s="662">
        <v>2011</v>
      </c>
    </row>
    <row r="43" spans="1:16">
      <c r="A43" s="14" t="s">
        <v>5442</v>
      </c>
      <c r="B43" s="233">
        <v>72</v>
      </c>
      <c r="C43">
        <v>2</v>
      </c>
      <c r="D43">
        <v>71</v>
      </c>
      <c r="E43" t="s">
        <v>5394</v>
      </c>
      <c r="F43" t="s">
        <v>5394</v>
      </c>
      <c r="G43" t="s">
        <v>6003</v>
      </c>
      <c r="H43" t="str">
        <f t="shared" si="0"/>
        <v>Ryea</v>
      </c>
      <c r="I43">
        <f t="shared" si="1"/>
        <v>71</v>
      </c>
      <c r="J43" s="421">
        <v>0.8</v>
      </c>
      <c r="K43" s="655" t="s">
        <v>7231</v>
      </c>
      <c r="L43" s="469" t="s">
        <v>7232</v>
      </c>
      <c r="M43" s="470">
        <v>0.51616823957184299</v>
      </c>
      <c r="N43" s="656">
        <f t="shared" si="2"/>
        <v>0.41293459165747443</v>
      </c>
      <c r="O43" s="666">
        <f t="shared" si="3"/>
        <v>0.96467499060094586</v>
      </c>
      <c r="P43" s="662" t="s">
        <v>7514</v>
      </c>
    </row>
    <row r="44" spans="1:16">
      <c r="A44" s="14" t="s">
        <v>4567</v>
      </c>
      <c r="B44" s="233">
        <v>73</v>
      </c>
      <c r="C44">
        <v>2</v>
      </c>
      <c r="D44">
        <v>71</v>
      </c>
      <c r="E44" t="s">
        <v>5394</v>
      </c>
      <c r="F44" t="s">
        <v>5394</v>
      </c>
      <c r="G44" t="s">
        <v>6003</v>
      </c>
      <c r="H44" t="str">
        <f t="shared" si="0"/>
        <v>Ryea</v>
      </c>
      <c r="I44">
        <f t="shared" si="1"/>
        <v>71</v>
      </c>
      <c r="J44" s="421">
        <v>0.17</v>
      </c>
      <c r="K44" s="655" t="s">
        <v>7233</v>
      </c>
      <c r="L44" s="469" t="s">
        <v>7234</v>
      </c>
      <c r="M44" s="470">
        <v>0.5</v>
      </c>
      <c r="N44" s="656">
        <f t="shared" si="2"/>
        <v>8.5000000000000006E-2</v>
      </c>
      <c r="O44" s="666">
        <f t="shared" si="3"/>
        <v>0.995869183314949</v>
      </c>
      <c r="P44" s="662" t="s">
        <v>7514</v>
      </c>
    </row>
    <row r="45" spans="1:16">
      <c r="A45" s="14" t="s">
        <v>792</v>
      </c>
      <c r="B45" s="233">
        <v>75</v>
      </c>
      <c r="C45">
        <v>1</v>
      </c>
      <c r="D45">
        <v>75</v>
      </c>
      <c r="E45" t="s">
        <v>792</v>
      </c>
      <c r="F45"/>
      <c r="G45"/>
      <c r="H45" t="str">
        <f t="shared" si="0"/>
        <v/>
      </c>
      <c r="I45" t="str">
        <f t="shared" si="1"/>
        <v/>
      </c>
      <c r="J45" s="421"/>
      <c r="K45" s="655">
        <v>2782920</v>
      </c>
      <c r="L45" s="469">
        <v>809384</v>
      </c>
      <c r="M45" s="470">
        <v>0.29083983729320301</v>
      </c>
      <c r="N45" s="656" t="str">
        <f t="shared" si="2"/>
        <v/>
      </c>
      <c r="O45" s="666">
        <f t="shared" si="3"/>
        <v>1</v>
      </c>
      <c r="P45" s="662">
        <v>2011</v>
      </c>
    </row>
    <row r="46" spans="1:16">
      <c r="A46" s="14" t="s">
        <v>257</v>
      </c>
      <c r="B46" s="233">
        <v>76</v>
      </c>
      <c r="C46">
        <v>2</v>
      </c>
      <c r="D46">
        <v>75</v>
      </c>
      <c r="E46" t="s">
        <v>792</v>
      </c>
      <c r="F46" t="s">
        <v>792</v>
      </c>
      <c r="G46" t="s">
        <v>6003</v>
      </c>
      <c r="H46" t="str">
        <f t="shared" si="0"/>
        <v>Oatsa</v>
      </c>
      <c r="I46">
        <f t="shared" si="1"/>
        <v>75</v>
      </c>
      <c r="J46" s="421">
        <v>0.53</v>
      </c>
      <c r="K46" s="655">
        <v>596256</v>
      </c>
      <c r="L46" s="469">
        <v>489904</v>
      </c>
      <c r="M46" s="470">
        <v>0.82163366070949395</v>
      </c>
      <c r="N46" s="656">
        <f t="shared" si="2"/>
        <v>0.43546584017603179</v>
      </c>
      <c r="O46" s="666">
        <f t="shared" si="3"/>
        <v>0.55024729549790252</v>
      </c>
      <c r="P46" s="662">
        <v>2011</v>
      </c>
    </row>
    <row r="47" spans="1:16">
      <c r="A47" s="14" t="s">
        <v>4565</v>
      </c>
      <c r="B47" s="233">
        <v>77</v>
      </c>
      <c r="C47">
        <v>2</v>
      </c>
      <c r="D47">
        <v>75</v>
      </c>
      <c r="E47" t="s">
        <v>792</v>
      </c>
      <c r="F47" t="s">
        <v>792</v>
      </c>
      <c r="G47" t="s">
        <v>6003</v>
      </c>
      <c r="H47" t="str">
        <f t="shared" si="0"/>
        <v>Oatsa</v>
      </c>
      <c r="I47">
        <f t="shared" si="1"/>
        <v>75</v>
      </c>
      <c r="J47" s="421">
        <v>0.2</v>
      </c>
      <c r="K47" s="655" t="s">
        <v>7235</v>
      </c>
      <c r="L47" s="469" t="s">
        <v>7236</v>
      </c>
      <c r="M47" s="470">
        <v>8.3179297597042512E-2</v>
      </c>
      <c r="N47" s="656">
        <f t="shared" si="2"/>
        <v>1.6635859519408502E-2</v>
      </c>
      <c r="O47" s="666">
        <f t="shared" si="3"/>
        <v>5.4352671007829603</v>
      </c>
      <c r="P47" s="662" t="s">
        <v>7514</v>
      </c>
    </row>
    <row r="48" spans="1:16">
      <c r="A48" s="14" t="s">
        <v>2774</v>
      </c>
      <c r="B48" s="233">
        <v>79</v>
      </c>
      <c r="C48">
        <v>1</v>
      </c>
      <c r="D48">
        <v>79</v>
      </c>
      <c r="E48" t="s">
        <v>2774</v>
      </c>
      <c r="F48"/>
      <c r="G48"/>
      <c r="H48" t="str">
        <f t="shared" si="0"/>
        <v/>
      </c>
      <c r="I48" t="str">
        <f t="shared" si="1"/>
        <v/>
      </c>
      <c r="J48" s="421"/>
      <c r="K48" s="655">
        <v>417828</v>
      </c>
      <c r="L48" s="469">
        <v>175851</v>
      </c>
      <c r="M48" s="470">
        <v>0.42086935293948702</v>
      </c>
      <c r="N48" s="656" t="str">
        <f t="shared" si="2"/>
        <v/>
      </c>
      <c r="O48" s="666">
        <f t="shared" si="3"/>
        <v>1</v>
      </c>
      <c r="P48" s="662">
        <v>2011</v>
      </c>
    </row>
    <row r="49" spans="1:16">
      <c r="A49" s="14" t="s">
        <v>2155</v>
      </c>
      <c r="B49" s="233">
        <v>80</v>
      </c>
      <c r="C49">
        <v>2</v>
      </c>
      <c r="D49">
        <v>79</v>
      </c>
      <c r="E49" t="s">
        <v>2774</v>
      </c>
      <c r="F49" t="s">
        <v>2774</v>
      </c>
      <c r="G49" t="s">
        <v>6003</v>
      </c>
      <c r="H49" t="str">
        <f t="shared" si="0"/>
        <v>Milleta</v>
      </c>
      <c r="I49">
        <f t="shared" si="1"/>
        <v>79</v>
      </c>
      <c r="J49" s="421">
        <v>0.86</v>
      </c>
      <c r="K49" s="655" t="s">
        <v>7237</v>
      </c>
      <c r="L49" s="469" t="s">
        <v>7238</v>
      </c>
      <c r="M49" s="470">
        <v>0.42974238875878218</v>
      </c>
      <c r="N49" s="656">
        <f t="shared" si="2"/>
        <v>0.36957845433255265</v>
      </c>
      <c r="O49" s="666">
        <f t="shared" si="3"/>
        <v>1.3253950953678475</v>
      </c>
      <c r="P49" s="662" t="s">
        <v>7514</v>
      </c>
    </row>
    <row r="50" spans="1:16">
      <c r="A50" s="14" t="s">
        <v>4563</v>
      </c>
      <c r="B50" s="233">
        <v>81</v>
      </c>
      <c r="C50">
        <v>2</v>
      </c>
      <c r="D50">
        <v>79</v>
      </c>
      <c r="E50" t="s">
        <v>2774</v>
      </c>
      <c r="F50" t="s">
        <v>2774</v>
      </c>
      <c r="G50" t="s">
        <v>6003</v>
      </c>
      <c r="H50" t="str">
        <f t="shared" si="0"/>
        <v>Milleta</v>
      </c>
      <c r="I50">
        <f t="shared" si="1"/>
        <v>79</v>
      </c>
      <c r="J50" s="421">
        <v>0.1</v>
      </c>
      <c r="K50" s="655">
        <v>2</v>
      </c>
      <c r="L50" s="469">
        <v>1</v>
      </c>
      <c r="M50" s="470">
        <v>2</v>
      </c>
      <c r="N50" s="656">
        <f t="shared" si="2"/>
        <v>0.2</v>
      </c>
      <c r="O50" s="666">
        <f t="shared" si="3"/>
        <v>0.2847892271662763</v>
      </c>
      <c r="P50" s="662">
        <v>1989</v>
      </c>
    </row>
    <row r="51" spans="1:16">
      <c r="A51" s="14" t="s">
        <v>2681</v>
      </c>
      <c r="B51" s="233">
        <v>83</v>
      </c>
      <c r="C51">
        <v>1</v>
      </c>
      <c r="D51">
        <v>83</v>
      </c>
      <c r="E51" t="s">
        <v>2681</v>
      </c>
      <c r="F51"/>
      <c r="G51"/>
      <c r="H51" t="str">
        <f t="shared" si="0"/>
        <v/>
      </c>
      <c r="I51" t="str">
        <f t="shared" si="1"/>
        <v/>
      </c>
      <c r="J51" s="421"/>
      <c r="K51" s="655">
        <v>6820990</v>
      </c>
      <c r="L51" s="469">
        <v>2056160</v>
      </c>
      <c r="M51" s="470">
        <v>0.30144597778328402</v>
      </c>
      <c r="N51" s="656" t="str">
        <f t="shared" si="2"/>
        <v/>
      </c>
      <c r="O51" s="666">
        <f t="shared" si="3"/>
        <v>1</v>
      </c>
      <c r="P51" s="662">
        <v>2011</v>
      </c>
    </row>
    <row r="52" spans="1:16">
      <c r="A52" s="14" t="s">
        <v>842</v>
      </c>
      <c r="B52" s="233">
        <v>84</v>
      </c>
      <c r="C52">
        <v>2</v>
      </c>
      <c r="D52">
        <v>83</v>
      </c>
      <c r="E52" t="s">
        <v>2681</v>
      </c>
      <c r="F52" t="s">
        <v>2681</v>
      </c>
      <c r="G52" t="s">
        <v>6003</v>
      </c>
      <c r="H52" t="str">
        <f t="shared" si="0"/>
        <v>Sorghuma</v>
      </c>
      <c r="I52">
        <f t="shared" si="1"/>
        <v>83</v>
      </c>
      <c r="J52" s="421">
        <v>0.9</v>
      </c>
      <c r="K52" s="655" t="s">
        <v>7239</v>
      </c>
      <c r="L52" s="469" t="s">
        <v>7240</v>
      </c>
      <c r="M52" s="470">
        <v>0.86937901498929337</v>
      </c>
      <c r="N52" s="656">
        <f t="shared" si="2"/>
        <v>0.78244111349036405</v>
      </c>
      <c r="O52" s="666">
        <f t="shared" si="3"/>
        <v>0.90224760772323198</v>
      </c>
      <c r="P52" s="662" t="s">
        <v>7514</v>
      </c>
    </row>
    <row r="53" spans="1:16">
      <c r="A53" s="14" t="s">
        <v>3946</v>
      </c>
      <c r="B53" s="233">
        <v>85</v>
      </c>
      <c r="C53">
        <v>2</v>
      </c>
      <c r="D53">
        <v>83</v>
      </c>
      <c r="E53" t="s">
        <v>2681</v>
      </c>
      <c r="F53" t="s">
        <v>2681</v>
      </c>
      <c r="G53" t="s">
        <v>6003</v>
      </c>
      <c r="H53" t="str">
        <f t="shared" si="0"/>
        <v>Sorghuma</v>
      </c>
      <c r="I53">
        <f t="shared" si="1"/>
        <v>83</v>
      </c>
      <c r="J53" s="421">
        <v>0.08</v>
      </c>
      <c r="K53" s="655">
        <v>17</v>
      </c>
      <c r="L53" s="469">
        <v>696</v>
      </c>
      <c r="M53" s="470">
        <v>2.4425287356321799E-2</v>
      </c>
      <c r="N53" s="656">
        <f t="shared" si="2"/>
        <v>1.954022988505744E-3</v>
      </c>
      <c r="O53" s="666">
        <f t="shared" si="3"/>
        <v>32.1140597052526</v>
      </c>
      <c r="P53" s="662">
        <v>2004</v>
      </c>
    </row>
    <row r="54" spans="1:16">
      <c r="A54" s="14" t="s">
        <v>319</v>
      </c>
      <c r="B54" s="233">
        <v>86</v>
      </c>
      <c r="C54">
        <v>2</v>
      </c>
      <c r="D54">
        <v>83</v>
      </c>
      <c r="E54" t="s">
        <v>2681</v>
      </c>
      <c r="F54" t="s">
        <v>2681</v>
      </c>
      <c r="G54" t="s">
        <v>6004</v>
      </c>
      <c r="H54" t="str">
        <f t="shared" si="0"/>
        <v>Sorghumb</v>
      </c>
      <c r="I54">
        <f t="shared" si="1"/>
        <v>83</v>
      </c>
      <c r="J54" s="421">
        <v>4.8499999999999996</v>
      </c>
      <c r="K54" s="655" t="s">
        <v>7241</v>
      </c>
      <c r="L54" s="469" t="s">
        <v>7242</v>
      </c>
      <c r="M54" s="470">
        <v>0.44333333333333336</v>
      </c>
      <c r="N54" s="656">
        <f t="shared" si="2"/>
        <v>2.1501666666666668</v>
      </c>
      <c r="O54" s="666">
        <f t="shared" si="3"/>
        <v>4.8499999999999996</v>
      </c>
      <c r="P54" s="662" t="s">
        <v>7514</v>
      </c>
    </row>
    <row r="55" spans="1:16">
      <c r="A55" s="14" t="s">
        <v>3770</v>
      </c>
      <c r="B55" s="233">
        <v>89</v>
      </c>
      <c r="C55">
        <v>1</v>
      </c>
      <c r="D55">
        <v>89</v>
      </c>
      <c r="E55" t="s">
        <v>3770</v>
      </c>
      <c r="F55"/>
      <c r="G55"/>
      <c r="H55" t="str">
        <f t="shared" si="0"/>
        <v/>
      </c>
      <c r="I55" t="str">
        <f t="shared" si="1"/>
        <v/>
      </c>
      <c r="J55" s="421"/>
      <c r="K55" s="655">
        <v>170704</v>
      </c>
      <c r="L55" s="469">
        <v>152955</v>
      </c>
      <c r="M55" s="470">
        <v>0.89602469772237303</v>
      </c>
      <c r="N55" s="656" t="str">
        <f t="shared" si="2"/>
        <v/>
      </c>
      <c r="O55" s="666">
        <f t="shared" si="3"/>
        <v>1</v>
      </c>
      <c r="P55" s="662">
        <v>2011</v>
      </c>
    </row>
    <row r="56" spans="1:16">
      <c r="A56" s="14" t="s">
        <v>2149</v>
      </c>
      <c r="B56" s="233">
        <v>90</v>
      </c>
      <c r="C56">
        <v>2</v>
      </c>
      <c r="D56">
        <v>89</v>
      </c>
      <c r="E56" t="s">
        <v>3770</v>
      </c>
      <c r="F56" t="s">
        <v>3770</v>
      </c>
      <c r="G56" t="s">
        <v>6003</v>
      </c>
      <c r="H56" t="str">
        <f t="shared" si="0"/>
        <v>Buckwheata</v>
      </c>
      <c r="I56">
        <f t="shared" si="1"/>
        <v>89</v>
      </c>
      <c r="J56" s="421">
        <v>0.75</v>
      </c>
      <c r="K56" s="655" t="s">
        <v>7243</v>
      </c>
      <c r="L56" s="469" t="s">
        <v>7244</v>
      </c>
      <c r="M56" s="470">
        <v>0.21943159286186384</v>
      </c>
      <c r="N56" s="656">
        <f t="shared" si="2"/>
        <v>0.16457369464639787</v>
      </c>
      <c r="O56" s="666">
        <f t="shared" si="3"/>
        <v>5.1202656780970006</v>
      </c>
      <c r="P56" s="662" t="s">
        <v>7514</v>
      </c>
    </row>
    <row r="57" spans="1:16">
      <c r="A57" s="14" t="s">
        <v>956</v>
      </c>
      <c r="B57" s="233">
        <v>91</v>
      </c>
      <c r="C57">
        <v>2</v>
      </c>
      <c r="D57">
        <v>89</v>
      </c>
      <c r="E57" t="s">
        <v>3770</v>
      </c>
      <c r="F57" t="s">
        <v>3770</v>
      </c>
      <c r="G57" t="s">
        <v>6003</v>
      </c>
      <c r="H57" t="str">
        <f t="shared" si="0"/>
        <v>Buckwheata</v>
      </c>
      <c r="I57">
        <f t="shared" si="1"/>
        <v>89</v>
      </c>
      <c r="J57" s="421">
        <v>0.2</v>
      </c>
      <c r="K57" s="655">
        <v>374</v>
      </c>
      <c r="L57" s="469">
        <v>78</v>
      </c>
      <c r="M57" s="470">
        <v>4.7948717948717903</v>
      </c>
      <c r="N57" s="656">
        <f t="shared" si="2"/>
        <v>0.95897435897435812</v>
      </c>
      <c r="O57" s="666">
        <f t="shared" si="3"/>
        <v>0.23432285610272474</v>
      </c>
      <c r="P57" s="662">
        <v>1988</v>
      </c>
    </row>
    <row r="58" spans="1:16">
      <c r="A58" s="14" t="s">
        <v>5383</v>
      </c>
      <c r="B58" s="233">
        <v>92</v>
      </c>
      <c r="C58">
        <v>1</v>
      </c>
      <c r="D58">
        <v>92</v>
      </c>
      <c r="E58" t="s">
        <v>5383</v>
      </c>
      <c r="F58"/>
      <c r="G58"/>
      <c r="H58" t="str">
        <f t="shared" si="0"/>
        <v/>
      </c>
      <c r="I58" t="str">
        <f t="shared" si="1"/>
        <v/>
      </c>
      <c r="J58" s="421"/>
      <c r="K58" s="655" t="s">
        <v>7245</v>
      </c>
      <c r="L58" s="469" t="s">
        <v>7246</v>
      </c>
      <c r="M58" s="470">
        <v>0.39285714285714285</v>
      </c>
      <c r="N58" s="656" t="str">
        <f t="shared" si="2"/>
        <v/>
      </c>
      <c r="O58" s="666">
        <f t="shared" si="3"/>
        <v>1</v>
      </c>
      <c r="P58" s="662" t="s">
        <v>7514</v>
      </c>
    </row>
    <row r="59" spans="1:16">
      <c r="A59" s="14" t="s">
        <v>4317</v>
      </c>
      <c r="B59" s="233">
        <v>94</v>
      </c>
      <c r="C59">
        <v>1</v>
      </c>
      <c r="D59">
        <v>94</v>
      </c>
      <c r="E59" t="s">
        <v>4317</v>
      </c>
      <c r="F59"/>
      <c r="G59"/>
      <c r="H59" t="str">
        <f t="shared" si="0"/>
        <v/>
      </c>
      <c r="I59" t="str">
        <f t="shared" si="1"/>
        <v/>
      </c>
      <c r="J59" s="421"/>
      <c r="K59" s="655">
        <v>2255</v>
      </c>
      <c r="L59" s="469">
        <v>164</v>
      </c>
      <c r="M59" s="470">
        <v>13.75</v>
      </c>
      <c r="N59" s="656" t="str">
        <f t="shared" si="2"/>
        <v/>
      </c>
      <c r="O59" s="666">
        <f t="shared" si="3"/>
        <v>1</v>
      </c>
      <c r="P59" s="662">
        <v>1990</v>
      </c>
    </row>
    <row r="60" spans="1:16">
      <c r="A60" s="14" t="s">
        <v>2042</v>
      </c>
      <c r="B60" s="233">
        <v>95</v>
      </c>
      <c r="C60">
        <v>2</v>
      </c>
      <c r="D60">
        <v>94</v>
      </c>
      <c r="E60" t="s">
        <v>4317</v>
      </c>
      <c r="F60" t="s">
        <v>4317</v>
      </c>
      <c r="G60" t="s">
        <v>6003</v>
      </c>
      <c r="H60" t="str">
        <f t="shared" si="0"/>
        <v>Fonioa</v>
      </c>
      <c r="I60">
        <f t="shared" si="1"/>
        <v>94</v>
      </c>
      <c r="J60" s="421">
        <v>0.8</v>
      </c>
      <c r="K60" s="655">
        <v>7757</v>
      </c>
      <c r="L60" s="469">
        <v>840</v>
      </c>
      <c r="M60" s="470">
        <v>9.2345238095238091</v>
      </c>
      <c r="N60" s="656">
        <f t="shared" si="2"/>
        <v>7.3876190476190473</v>
      </c>
      <c r="O60" s="666">
        <f t="shared" si="3"/>
        <v>0.80177127458446218</v>
      </c>
      <c r="P60" s="662">
        <v>1967</v>
      </c>
    </row>
    <row r="61" spans="1:16">
      <c r="A61" s="14" t="s">
        <v>3258</v>
      </c>
      <c r="B61" s="233">
        <v>96</v>
      </c>
      <c r="C61">
        <v>2</v>
      </c>
      <c r="D61">
        <v>94</v>
      </c>
      <c r="E61" t="s">
        <v>4317</v>
      </c>
      <c r="F61" t="s">
        <v>4317</v>
      </c>
      <c r="G61" t="s">
        <v>6003</v>
      </c>
      <c r="H61" t="str">
        <f t="shared" si="0"/>
        <v>Fonioa</v>
      </c>
      <c r="I61">
        <f t="shared" si="1"/>
        <v>94</v>
      </c>
      <c r="J61" s="421">
        <v>0.15</v>
      </c>
      <c r="K61" s="655" t="s">
        <v>7247</v>
      </c>
      <c r="L61" s="469" t="s">
        <v>7248</v>
      </c>
      <c r="M61" s="470">
        <v>0.1090458488228005</v>
      </c>
      <c r="N61" s="656">
        <f t="shared" si="2"/>
        <v>1.6356877323420074E-2</v>
      </c>
      <c r="O61" s="666">
        <f t="shared" si="3"/>
        <v>67.897824675324671</v>
      </c>
      <c r="P61" s="662" t="s">
        <v>7514</v>
      </c>
    </row>
    <row r="62" spans="1:16">
      <c r="A62" s="14" t="s">
        <v>4423</v>
      </c>
      <c r="B62" s="233">
        <v>97</v>
      </c>
      <c r="C62">
        <v>1</v>
      </c>
      <c r="D62">
        <v>97</v>
      </c>
      <c r="E62" t="s">
        <v>4423</v>
      </c>
      <c r="F62"/>
      <c r="G62"/>
      <c r="H62" t="str">
        <f t="shared" si="0"/>
        <v/>
      </c>
      <c r="I62" t="str">
        <f t="shared" si="1"/>
        <v/>
      </c>
      <c r="J62" s="421"/>
      <c r="K62" s="655">
        <v>274850</v>
      </c>
      <c r="L62" s="469">
        <v>79786</v>
      </c>
      <c r="M62" s="470">
        <v>0.29028924868109901</v>
      </c>
      <c r="N62" s="656" t="str">
        <f t="shared" si="2"/>
        <v/>
      </c>
      <c r="O62" s="666">
        <f t="shared" si="3"/>
        <v>1</v>
      </c>
      <c r="P62" s="662">
        <v>2011</v>
      </c>
    </row>
    <row r="63" spans="1:16">
      <c r="A63" s="14" t="s">
        <v>5438</v>
      </c>
      <c r="B63" s="233">
        <v>101</v>
      </c>
      <c r="C63">
        <v>1</v>
      </c>
      <c r="D63">
        <v>101</v>
      </c>
      <c r="E63" t="s">
        <v>5438</v>
      </c>
      <c r="F63"/>
      <c r="G63"/>
      <c r="H63" t="str">
        <f t="shared" si="0"/>
        <v/>
      </c>
      <c r="I63" t="str">
        <f t="shared" si="1"/>
        <v/>
      </c>
      <c r="J63" s="421"/>
      <c r="K63" s="655">
        <v>213931</v>
      </c>
      <c r="L63" s="469">
        <v>159625</v>
      </c>
      <c r="M63" s="470">
        <v>0.74615179660731701</v>
      </c>
      <c r="N63" s="656" t="str">
        <f t="shared" si="2"/>
        <v/>
      </c>
      <c r="O63" s="666">
        <f t="shared" si="3"/>
        <v>1</v>
      </c>
      <c r="P63" s="662">
        <v>2011</v>
      </c>
    </row>
    <row r="64" spans="1:16">
      <c r="A64" s="14" t="s">
        <v>2775</v>
      </c>
      <c r="B64" s="233">
        <v>103</v>
      </c>
      <c r="C64">
        <v>1</v>
      </c>
      <c r="D64">
        <v>103</v>
      </c>
      <c r="E64" t="s">
        <v>2775</v>
      </c>
      <c r="F64"/>
      <c r="G64"/>
      <c r="H64" t="str">
        <f t="shared" si="0"/>
        <v/>
      </c>
      <c r="I64" t="str">
        <f t="shared" si="1"/>
        <v/>
      </c>
      <c r="J64" s="421"/>
      <c r="K64" s="655">
        <v>24872</v>
      </c>
      <c r="L64" s="469">
        <v>29495</v>
      </c>
      <c r="M64" s="470">
        <v>1.1858716629141199</v>
      </c>
      <c r="N64" s="656" t="str">
        <f t="shared" si="2"/>
        <v/>
      </c>
      <c r="O64" s="666">
        <f t="shared" si="3"/>
        <v>1</v>
      </c>
      <c r="P64" s="662">
        <v>2011</v>
      </c>
    </row>
    <row r="65" spans="1:16">
      <c r="A65" s="14" t="s">
        <v>1851</v>
      </c>
      <c r="B65" s="233">
        <v>104</v>
      </c>
      <c r="C65">
        <v>2</v>
      </c>
      <c r="D65">
        <v>103</v>
      </c>
      <c r="E65" t="s">
        <v>2775</v>
      </c>
      <c r="F65" t="s">
        <v>2775</v>
      </c>
      <c r="G65" t="s">
        <v>6003</v>
      </c>
      <c r="H65" t="str">
        <f t="shared" si="0"/>
        <v>Mixed graina</v>
      </c>
      <c r="I65">
        <f t="shared" si="1"/>
        <v>103</v>
      </c>
      <c r="J65" s="421">
        <v>0.9</v>
      </c>
      <c r="K65" s="655">
        <v>52003</v>
      </c>
      <c r="L65" s="469">
        <v>37322</v>
      </c>
      <c r="M65" s="470">
        <v>0.71768936407514905</v>
      </c>
      <c r="N65" s="656">
        <f t="shared" si="2"/>
        <v>0.64592042766763413</v>
      </c>
      <c r="O65" s="666">
        <f t="shared" si="3"/>
        <v>0.93923988207718645</v>
      </c>
      <c r="P65" s="662">
        <v>2011</v>
      </c>
    </row>
    <row r="66" spans="1:16">
      <c r="A66" s="14" t="s">
        <v>3259</v>
      </c>
      <c r="B66" s="233">
        <v>105</v>
      </c>
      <c r="C66">
        <v>2</v>
      </c>
      <c r="D66">
        <v>103</v>
      </c>
      <c r="E66" t="s">
        <v>2775</v>
      </c>
      <c r="F66" t="s">
        <v>2775</v>
      </c>
      <c r="G66" t="s">
        <v>6003</v>
      </c>
      <c r="H66" t="str">
        <f t="shared" si="0"/>
        <v>Mixed graina</v>
      </c>
      <c r="I66">
        <f t="shared" si="1"/>
        <v>103</v>
      </c>
      <c r="J66" s="421">
        <v>0.08</v>
      </c>
      <c r="K66" s="655" t="s">
        <v>7249</v>
      </c>
      <c r="L66" s="469" t="s">
        <v>7250</v>
      </c>
      <c r="M66" s="470">
        <v>0.35202557517949795</v>
      </c>
      <c r="N66" s="656">
        <f t="shared" si="2"/>
        <v>2.8162046014359836E-2</v>
      </c>
      <c r="O66" s="666">
        <f t="shared" si="3"/>
        <v>1.9148678994083856</v>
      </c>
      <c r="P66" s="662" t="s">
        <v>7514</v>
      </c>
    </row>
    <row r="67" spans="1:16">
      <c r="A67" s="14" t="s">
        <v>1846</v>
      </c>
      <c r="B67" s="233">
        <v>108</v>
      </c>
      <c r="C67">
        <v>1</v>
      </c>
      <c r="D67">
        <v>108</v>
      </c>
      <c r="E67" t="s">
        <v>1846</v>
      </c>
      <c r="F67"/>
      <c r="G67"/>
      <c r="H67" t="str">
        <f t="shared" si="0"/>
        <v/>
      </c>
      <c r="I67" t="str">
        <f t="shared" si="1"/>
        <v/>
      </c>
      <c r="J67" s="421"/>
      <c r="K67" s="655" t="s">
        <v>7251</v>
      </c>
      <c r="L67" s="469" t="s">
        <v>7252</v>
      </c>
      <c r="M67" s="470">
        <v>0.58563703380377319</v>
      </c>
      <c r="N67" s="656" t="str">
        <f t="shared" si="2"/>
        <v/>
      </c>
      <c r="O67" s="666">
        <f t="shared" si="3"/>
        <v>1</v>
      </c>
      <c r="P67" s="662" t="s">
        <v>7514</v>
      </c>
    </row>
    <row r="68" spans="1:16">
      <c r="A68" s="14" t="s">
        <v>2662</v>
      </c>
      <c r="B68" s="233">
        <v>109</v>
      </c>
      <c r="C68"/>
      <c r="D68" t="s">
        <v>2738</v>
      </c>
      <c r="E68"/>
      <c r="F68"/>
      <c r="G68"/>
      <c r="H68" t="str">
        <f t="shared" si="0"/>
        <v/>
      </c>
      <c r="I68" t="str">
        <f t="shared" si="1"/>
        <v/>
      </c>
      <c r="J68" s="421"/>
      <c r="K68" s="655">
        <v>912629</v>
      </c>
      <c r="L68" s="469">
        <v>5667080</v>
      </c>
      <c r="M68" s="470">
        <v>6.2096207768983902</v>
      </c>
      <c r="N68" s="656" t="str">
        <f t="shared" si="2"/>
        <v/>
      </c>
      <c r="O68" s="666">
        <f t="shared" si="3"/>
        <v>1</v>
      </c>
      <c r="P68" s="662">
        <v>2011</v>
      </c>
    </row>
    <row r="69" spans="1:16">
      <c r="A69" s="14" t="s">
        <v>3543</v>
      </c>
      <c r="B69" s="233">
        <v>110</v>
      </c>
      <c r="C69">
        <v>3</v>
      </c>
      <c r="D69">
        <v>103</v>
      </c>
      <c r="E69" t="s">
        <v>2775</v>
      </c>
      <c r="F69" t="s">
        <v>1851</v>
      </c>
      <c r="G69" t="s">
        <v>6003</v>
      </c>
      <c r="H69" t="str">
        <f t="shared" si="0"/>
        <v>Flour of Mixed Graina</v>
      </c>
      <c r="I69">
        <f t="shared" si="1"/>
        <v>104</v>
      </c>
      <c r="J69" s="421">
        <v>1</v>
      </c>
      <c r="K69" s="655">
        <v>249580</v>
      </c>
      <c r="L69" s="469">
        <v>836597</v>
      </c>
      <c r="M69" s="470">
        <v>3.3520193925795301</v>
      </c>
      <c r="N69" s="656">
        <f t="shared" si="2"/>
        <v>3.3520193925795301</v>
      </c>
      <c r="O69" s="666">
        <f t="shared" si="3"/>
        <v>0.93923988207718645</v>
      </c>
      <c r="P69" s="662">
        <v>2011</v>
      </c>
    </row>
    <row r="70" spans="1:16">
      <c r="A70" s="14" t="s">
        <v>578</v>
      </c>
      <c r="B70" s="233">
        <v>111</v>
      </c>
      <c r="C70">
        <v>2</v>
      </c>
      <c r="D70">
        <v>108</v>
      </c>
      <c r="E70" t="s">
        <v>1846</v>
      </c>
      <c r="F70" t="s">
        <v>1846</v>
      </c>
      <c r="G70" t="s">
        <v>6003</v>
      </c>
      <c r="H70" t="str">
        <f t="shared" si="0"/>
        <v>Cereals, nesa</v>
      </c>
      <c r="I70">
        <f t="shared" si="1"/>
        <v>108</v>
      </c>
      <c r="J70" s="421">
        <v>0.9</v>
      </c>
      <c r="K70" s="655">
        <v>553913</v>
      </c>
      <c r="L70" s="469">
        <v>381041</v>
      </c>
      <c r="M70" s="470">
        <v>0.68790766781064905</v>
      </c>
      <c r="N70" s="656">
        <f t="shared" si="2"/>
        <v>0.61911690102958417</v>
      </c>
      <c r="O70" s="666">
        <f t="shared" si="3"/>
        <v>0.92802741472591088</v>
      </c>
      <c r="P70" s="662">
        <v>2011</v>
      </c>
    </row>
    <row r="71" spans="1:16">
      <c r="A71" s="14" t="s">
        <v>3257</v>
      </c>
      <c r="B71" s="233">
        <v>112</v>
      </c>
      <c r="C71">
        <v>2</v>
      </c>
      <c r="D71">
        <v>108</v>
      </c>
      <c r="E71" t="s">
        <v>1846</v>
      </c>
      <c r="F71" t="s">
        <v>1846</v>
      </c>
      <c r="G71" t="s">
        <v>6003</v>
      </c>
      <c r="H71" t="str">
        <f t="shared" si="0"/>
        <v>Cereals, nesa</v>
      </c>
      <c r="I71">
        <f t="shared" si="1"/>
        <v>108</v>
      </c>
      <c r="J71" s="421">
        <v>0.08</v>
      </c>
      <c r="K71" s="655" t="s">
        <v>7253</v>
      </c>
      <c r="L71" s="469" t="s">
        <v>7254</v>
      </c>
      <c r="M71" s="470">
        <v>0.2410034187357892</v>
      </c>
      <c r="N71" s="656">
        <f t="shared" si="2"/>
        <v>1.9280273498863135E-2</v>
      </c>
      <c r="O71" s="666">
        <f t="shared" si="3"/>
        <v>2.6489133551599902</v>
      </c>
      <c r="P71" s="662" t="s">
        <v>7514</v>
      </c>
    </row>
    <row r="72" spans="1:16">
      <c r="A72" s="14" t="s">
        <v>274</v>
      </c>
      <c r="B72" s="233">
        <v>113</v>
      </c>
      <c r="C72">
        <v>2</v>
      </c>
      <c r="D72">
        <v>108</v>
      </c>
      <c r="E72" t="s">
        <v>1846</v>
      </c>
      <c r="F72" t="s">
        <v>1846</v>
      </c>
      <c r="G72" t="s">
        <v>6004</v>
      </c>
      <c r="H72" t="str">
        <f t="shared" ref="H72:H135" si="4">F72&amp;G72</f>
        <v>Cereals, nesb</v>
      </c>
      <c r="I72">
        <f t="shared" ref="I72:I135" si="5">IFERROR(VLOOKUP(F72,$A$7:$B$590,2,FALSE),"")</f>
        <v>108</v>
      </c>
      <c r="J72" s="421">
        <v>0.85</v>
      </c>
      <c r="K72" s="655">
        <v>1507330</v>
      </c>
      <c r="L72" s="469">
        <v>728235</v>
      </c>
      <c r="M72" s="470">
        <v>0.48312910908692902</v>
      </c>
      <c r="N72" s="656">
        <f t="shared" ref="N72:N135" si="6">IF(ISBLANK(J72),"",J72*M72)</f>
        <v>0.41065974272388966</v>
      </c>
      <c r="O72" s="666">
        <f t="shared" ref="O72:O135" si="7">IF(ISBLANK(F72),1,J72/(N72/SUMIF(H$7:H$601,H72,N$7:N$601))*VLOOKUP(F72,A$7:O$601,15,FALSE))</f>
        <v>0.85</v>
      </c>
      <c r="P72" s="662">
        <v>2011</v>
      </c>
    </row>
    <row r="73" spans="1:16">
      <c r="A73" s="14" t="s">
        <v>254</v>
      </c>
      <c r="B73" s="233">
        <v>114</v>
      </c>
      <c r="C73"/>
      <c r="D73" t="s">
        <v>2738</v>
      </c>
      <c r="E73"/>
      <c r="F73"/>
      <c r="G73"/>
      <c r="H73" t="str">
        <f t="shared" si="4"/>
        <v/>
      </c>
      <c r="I73" t="str">
        <f t="shared" si="5"/>
        <v/>
      </c>
      <c r="J73" s="421"/>
      <c r="K73" s="655">
        <v>1273750</v>
      </c>
      <c r="L73" s="469">
        <v>2656500</v>
      </c>
      <c r="M73" s="470">
        <v>2.0855740922472998</v>
      </c>
      <c r="N73" s="656" t="str">
        <f t="shared" si="6"/>
        <v/>
      </c>
      <c r="O73" s="666">
        <f t="shared" si="7"/>
        <v>1</v>
      </c>
      <c r="P73" s="662">
        <v>2011</v>
      </c>
    </row>
    <row r="74" spans="1:16">
      <c r="A74" s="14" t="s">
        <v>4007</v>
      </c>
      <c r="B74" s="233">
        <v>115</v>
      </c>
      <c r="C74"/>
      <c r="D74" t="s">
        <v>2738</v>
      </c>
      <c r="E74"/>
      <c r="F74"/>
      <c r="G74"/>
      <c r="H74" t="str">
        <f t="shared" si="4"/>
        <v/>
      </c>
      <c r="I74" t="str">
        <f t="shared" si="5"/>
        <v/>
      </c>
      <c r="J74" s="421"/>
      <c r="K74" s="655">
        <v>2043840</v>
      </c>
      <c r="L74" s="469">
        <v>5227340</v>
      </c>
      <c r="M74" s="470">
        <v>2.5576072490997301</v>
      </c>
      <c r="N74" s="656" t="str">
        <f t="shared" si="6"/>
        <v/>
      </c>
      <c r="O74" s="666">
        <f t="shared" si="7"/>
        <v>1</v>
      </c>
      <c r="P74" s="662">
        <v>2011</v>
      </c>
    </row>
    <row r="75" spans="1:16">
      <c r="A75" s="14" t="s">
        <v>3131</v>
      </c>
      <c r="B75" s="233">
        <v>116</v>
      </c>
      <c r="C75">
        <v>1</v>
      </c>
      <c r="D75">
        <v>116</v>
      </c>
      <c r="E75" t="s">
        <v>3131</v>
      </c>
      <c r="F75"/>
      <c r="G75"/>
      <c r="H75" t="str">
        <f t="shared" si="4"/>
        <v/>
      </c>
      <c r="I75" t="str">
        <f t="shared" si="5"/>
        <v/>
      </c>
      <c r="J75" s="421"/>
      <c r="K75" s="655">
        <v>12243400</v>
      </c>
      <c r="L75" s="469">
        <v>4936530</v>
      </c>
      <c r="M75" s="470">
        <v>0.40319927471127298</v>
      </c>
      <c r="N75" s="656" t="str">
        <f t="shared" si="6"/>
        <v/>
      </c>
      <c r="O75" s="666">
        <f t="shared" si="7"/>
        <v>1</v>
      </c>
      <c r="P75" s="662">
        <v>2011</v>
      </c>
    </row>
    <row r="76" spans="1:16">
      <c r="A76" s="14" t="s">
        <v>3678</v>
      </c>
      <c r="B76" s="233">
        <v>117</v>
      </c>
      <c r="C76">
        <v>2</v>
      </c>
      <c r="D76">
        <v>116</v>
      </c>
      <c r="E76" t="s">
        <v>3131</v>
      </c>
      <c r="F76" t="s">
        <v>3131</v>
      </c>
      <c r="G76" t="s">
        <v>6003</v>
      </c>
      <c r="H76" t="str">
        <f t="shared" si="4"/>
        <v>Potatoesa</v>
      </c>
      <c r="I76">
        <f t="shared" si="5"/>
        <v>116</v>
      </c>
      <c r="J76" s="421">
        <v>0.2</v>
      </c>
      <c r="K76" s="655">
        <v>421863</v>
      </c>
      <c r="L76" s="469">
        <v>589293</v>
      </c>
      <c r="M76" s="470">
        <v>1.39688240021049</v>
      </c>
      <c r="N76" s="656">
        <f t="shared" si="6"/>
        <v>0.27937648004209803</v>
      </c>
      <c r="O76" s="666">
        <f t="shared" si="7"/>
        <v>0.2</v>
      </c>
      <c r="P76" s="662">
        <v>2011</v>
      </c>
    </row>
    <row r="77" spans="1:16">
      <c r="A77" s="14" t="s">
        <v>1928</v>
      </c>
      <c r="B77" s="233">
        <v>118</v>
      </c>
      <c r="C77">
        <v>2</v>
      </c>
      <c r="D77">
        <v>116</v>
      </c>
      <c r="E77" t="s">
        <v>3131</v>
      </c>
      <c r="F77" t="s">
        <v>3131</v>
      </c>
      <c r="G77" t="s">
        <v>6004</v>
      </c>
      <c r="H77" t="str">
        <f t="shared" si="4"/>
        <v>Potatoesb</v>
      </c>
      <c r="I77">
        <f t="shared" si="5"/>
        <v>116</v>
      </c>
      <c r="J77" s="421">
        <v>0.5</v>
      </c>
      <c r="K77" s="655">
        <v>5735450</v>
      </c>
      <c r="L77" s="469">
        <v>5842180</v>
      </c>
      <c r="M77" s="470">
        <v>1.0186088275549401</v>
      </c>
      <c r="N77" s="656">
        <f t="shared" si="6"/>
        <v>0.50930441377747004</v>
      </c>
      <c r="O77" s="666">
        <f t="shared" si="7"/>
        <v>1.1128382234236571</v>
      </c>
      <c r="P77" s="662">
        <v>2011</v>
      </c>
    </row>
    <row r="78" spans="1:16">
      <c r="A78" s="14" t="s">
        <v>1966</v>
      </c>
      <c r="B78" s="233">
        <v>120</v>
      </c>
      <c r="C78">
        <v>2</v>
      </c>
      <c r="D78">
        <v>116</v>
      </c>
      <c r="E78" t="s">
        <v>3131</v>
      </c>
      <c r="F78" t="s">
        <v>3131</v>
      </c>
      <c r="G78" t="s">
        <v>6004</v>
      </c>
      <c r="H78" t="str">
        <f t="shared" si="4"/>
        <v>Potatoesb</v>
      </c>
      <c r="I78">
        <f t="shared" si="5"/>
        <v>116</v>
      </c>
      <c r="J78" s="421">
        <v>0.6</v>
      </c>
      <c r="K78" s="655">
        <v>1751</v>
      </c>
      <c r="L78" s="469">
        <v>1683</v>
      </c>
      <c r="M78" s="470">
        <v>1.04040404040404</v>
      </c>
      <c r="N78" s="656">
        <f t="shared" si="6"/>
        <v>0.62424242424242393</v>
      </c>
      <c r="O78" s="666">
        <f t="shared" si="7"/>
        <v>1.0895256015919372</v>
      </c>
      <c r="P78" s="662">
        <v>2001</v>
      </c>
    </row>
    <row r="79" spans="1:16">
      <c r="A79" s="14" t="s">
        <v>4648</v>
      </c>
      <c r="B79" s="233">
        <v>121</v>
      </c>
      <c r="C79">
        <v>2</v>
      </c>
      <c r="D79">
        <v>116</v>
      </c>
      <c r="E79" t="s">
        <v>3131</v>
      </c>
      <c r="F79" t="s">
        <v>3131</v>
      </c>
      <c r="G79" t="s">
        <v>6005</v>
      </c>
      <c r="H79" t="str">
        <f t="shared" si="4"/>
        <v>Potatoesc</v>
      </c>
      <c r="I79">
        <f t="shared" si="5"/>
        <v>116</v>
      </c>
      <c r="J79" s="421">
        <v>0.2</v>
      </c>
      <c r="K79" s="655" t="s">
        <v>7255</v>
      </c>
      <c r="L79" s="469" t="s">
        <v>7256</v>
      </c>
      <c r="M79" s="470">
        <v>0.7916356499966164</v>
      </c>
      <c r="N79" s="656">
        <f t="shared" si="6"/>
        <v>0.1583271299993233</v>
      </c>
      <c r="O79" s="666">
        <f t="shared" si="7"/>
        <v>0.2</v>
      </c>
      <c r="P79" s="662" t="s">
        <v>7514</v>
      </c>
    </row>
    <row r="80" spans="1:16">
      <c r="A80" s="14" t="s">
        <v>3775</v>
      </c>
      <c r="B80" s="233">
        <v>122</v>
      </c>
      <c r="C80">
        <v>1</v>
      </c>
      <c r="D80">
        <v>122</v>
      </c>
      <c r="E80" t="s">
        <v>3775</v>
      </c>
      <c r="F80"/>
      <c r="G80"/>
      <c r="H80" t="str">
        <f t="shared" si="4"/>
        <v/>
      </c>
      <c r="I80" t="str">
        <f t="shared" si="5"/>
        <v/>
      </c>
      <c r="J80" s="421"/>
      <c r="K80" s="655">
        <v>270050</v>
      </c>
      <c r="L80" s="469">
        <v>211390</v>
      </c>
      <c r="M80" s="470">
        <v>0.78278096648768702</v>
      </c>
      <c r="N80" s="656" t="str">
        <f t="shared" si="6"/>
        <v/>
      </c>
      <c r="O80" s="666">
        <f t="shared" si="7"/>
        <v>1</v>
      </c>
      <c r="P80" s="662">
        <v>2011</v>
      </c>
    </row>
    <row r="81" spans="1:16">
      <c r="A81" s="14" t="s">
        <v>4505</v>
      </c>
      <c r="B81" s="233">
        <v>125</v>
      </c>
      <c r="C81">
        <v>1</v>
      </c>
      <c r="D81">
        <v>125</v>
      </c>
      <c r="E81" t="s">
        <v>4505</v>
      </c>
      <c r="F81"/>
      <c r="G81"/>
      <c r="H81" t="str">
        <f t="shared" si="4"/>
        <v/>
      </c>
      <c r="I81" t="str">
        <f t="shared" si="5"/>
        <v/>
      </c>
      <c r="J81" s="421"/>
      <c r="K81" s="655">
        <v>848</v>
      </c>
      <c r="L81" s="469">
        <v>85</v>
      </c>
      <c r="M81" s="470">
        <v>9.9764705882352906</v>
      </c>
      <c r="N81" s="656" t="str">
        <f t="shared" si="6"/>
        <v/>
      </c>
      <c r="O81" s="666">
        <f t="shared" si="7"/>
        <v>1</v>
      </c>
      <c r="P81" s="662">
        <v>2000</v>
      </c>
    </row>
    <row r="82" spans="1:16">
      <c r="A82" s="14" t="s">
        <v>2151</v>
      </c>
      <c r="B82" s="233">
        <v>126</v>
      </c>
      <c r="C82">
        <v>2</v>
      </c>
      <c r="D82">
        <v>125</v>
      </c>
      <c r="E82" t="s">
        <v>4505</v>
      </c>
      <c r="F82" t="s">
        <v>4505</v>
      </c>
      <c r="G82" t="s">
        <v>6003</v>
      </c>
      <c r="H82" t="str">
        <f t="shared" si="4"/>
        <v>Cassavaa</v>
      </c>
      <c r="I82">
        <f t="shared" si="5"/>
        <v>125</v>
      </c>
      <c r="J82" s="421">
        <v>0.3</v>
      </c>
      <c r="K82" s="655" t="s">
        <v>7257</v>
      </c>
      <c r="L82" s="469" t="s">
        <v>7258</v>
      </c>
      <c r="M82" s="470">
        <v>0.36435160065111233</v>
      </c>
      <c r="N82" s="656">
        <f t="shared" si="6"/>
        <v>0.10930548019533369</v>
      </c>
      <c r="O82" s="666">
        <f t="shared" si="7"/>
        <v>0.3</v>
      </c>
      <c r="P82" s="662" t="s">
        <v>7514</v>
      </c>
    </row>
    <row r="83" spans="1:16">
      <c r="A83" s="14" t="s">
        <v>4646</v>
      </c>
      <c r="B83" s="233">
        <v>127</v>
      </c>
      <c r="C83">
        <v>2</v>
      </c>
      <c r="D83">
        <v>125</v>
      </c>
      <c r="E83" t="s">
        <v>4505</v>
      </c>
      <c r="F83" t="s">
        <v>4505</v>
      </c>
      <c r="G83" t="s">
        <v>6004</v>
      </c>
      <c r="H83" t="str">
        <f t="shared" si="4"/>
        <v>Cassavab</v>
      </c>
      <c r="I83">
        <f t="shared" si="5"/>
        <v>125</v>
      </c>
      <c r="J83" s="421">
        <v>0.2</v>
      </c>
      <c r="K83" s="655" t="s">
        <v>7259</v>
      </c>
      <c r="L83" s="469" t="s">
        <v>7260</v>
      </c>
      <c r="M83" s="470">
        <v>0.677738052057965</v>
      </c>
      <c r="N83" s="656">
        <f t="shared" si="6"/>
        <v>0.13554761041159299</v>
      </c>
      <c r="O83" s="666">
        <f t="shared" si="7"/>
        <v>0.2</v>
      </c>
      <c r="P83" s="662" t="s">
        <v>7514</v>
      </c>
    </row>
    <row r="84" spans="1:16">
      <c r="A84" s="14" t="s">
        <v>4348</v>
      </c>
      <c r="B84" s="233">
        <v>128</v>
      </c>
      <c r="C84">
        <v>2</v>
      </c>
      <c r="D84">
        <v>125</v>
      </c>
      <c r="E84" t="s">
        <v>4505</v>
      </c>
      <c r="F84" t="s">
        <v>4505</v>
      </c>
      <c r="G84" t="s">
        <v>6005</v>
      </c>
      <c r="H84" t="str">
        <f t="shared" si="4"/>
        <v>Cassavac</v>
      </c>
      <c r="I84">
        <f t="shared" si="5"/>
        <v>125</v>
      </c>
      <c r="J84" s="421">
        <v>0.35</v>
      </c>
      <c r="K84" s="655">
        <v>5855300</v>
      </c>
      <c r="L84" s="469">
        <v>1614910</v>
      </c>
      <c r="M84" s="470">
        <v>0.27580311854217499</v>
      </c>
      <c r="N84" s="656">
        <f t="shared" si="6"/>
        <v>9.6531091489761245E-2</v>
      </c>
      <c r="O84" s="666">
        <f t="shared" si="7"/>
        <v>0.35</v>
      </c>
      <c r="P84" s="662">
        <v>2011</v>
      </c>
    </row>
    <row r="85" spans="1:16">
      <c r="A85" s="14" t="s">
        <v>4350</v>
      </c>
      <c r="B85" s="233">
        <v>129</v>
      </c>
      <c r="C85">
        <v>2</v>
      </c>
      <c r="D85">
        <v>125</v>
      </c>
      <c r="E85" t="s">
        <v>4505</v>
      </c>
      <c r="F85" t="s">
        <v>4505</v>
      </c>
      <c r="G85" t="s">
        <v>6006</v>
      </c>
      <c r="H85" t="str">
        <f t="shared" si="4"/>
        <v>Cassavad</v>
      </c>
      <c r="I85">
        <f t="shared" si="5"/>
        <v>125</v>
      </c>
      <c r="J85" s="421">
        <v>0.25</v>
      </c>
      <c r="K85" s="655">
        <v>2354520</v>
      </c>
      <c r="L85" s="469">
        <v>1254870</v>
      </c>
      <c r="M85" s="470">
        <v>0.53296213240915302</v>
      </c>
      <c r="N85" s="656">
        <f t="shared" si="6"/>
        <v>0.13324053310228826</v>
      </c>
      <c r="O85" s="666">
        <f t="shared" si="7"/>
        <v>0.25</v>
      </c>
      <c r="P85" s="662">
        <v>2011</v>
      </c>
    </row>
    <row r="86" spans="1:16">
      <c r="A86" s="14" t="s">
        <v>3792</v>
      </c>
      <c r="B86" s="233">
        <v>135</v>
      </c>
      <c r="C86">
        <v>1</v>
      </c>
      <c r="D86">
        <v>135</v>
      </c>
      <c r="E86" t="s">
        <v>3792</v>
      </c>
      <c r="F86"/>
      <c r="G86"/>
      <c r="H86" t="str">
        <f t="shared" si="4"/>
        <v/>
      </c>
      <c r="I86" t="str">
        <f t="shared" si="5"/>
        <v/>
      </c>
      <c r="J86" s="421"/>
      <c r="K86" s="655" t="s">
        <v>7261</v>
      </c>
      <c r="L86" s="469" t="s">
        <v>7262</v>
      </c>
      <c r="M86" s="470">
        <v>0.69437846397466352</v>
      </c>
      <c r="N86" s="656" t="str">
        <f t="shared" si="6"/>
        <v/>
      </c>
      <c r="O86" s="666">
        <f t="shared" si="7"/>
        <v>1</v>
      </c>
      <c r="P86" s="662" t="s">
        <v>7514</v>
      </c>
    </row>
    <row r="87" spans="1:16">
      <c r="A87" s="14" t="s">
        <v>729</v>
      </c>
      <c r="B87" s="233">
        <v>136</v>
      </c>
      <c r="C87">
        <v>1</v>
      </c>
      <c r="D87">
        <v>136</v>
      </c>
      <c r="E87" t="s">
        <v>729</v>
      </c>
      <c r="F87"/>
      <c r="G87"/>
      <c r="H87" t="str">
        <f t="shared" si="4"/>
        <v/>
      </c>
      <c r="I87" t="str">
        <f t="shared" si="5"/>
        <v/>
      </c>
      <c r="J87" s="421"/>
      <c r="K87" s="655" t="s">
        <v>7263</v>
      </c>
      <c r="L87" s="469" t="s">
        <v>7264</v>
      </c>
      <c r="M87" s="470">
        <v>1.0018835730272342</v>
      </c>
      <c r="N87" s="656" t="str">
        <f t="shared" si="6"/>
        <v/>
      </c>
      <c r="O87" s="666">
        <f t="shared" si="7"/>
        <v>1</v>
      </c>
      <c r="P87" s="662" t="s">
        <v>7514</v>
      </c>
    </row>
    <row r="88" spans="1:16">
      <c r="A88" s="14" t="s">
        <v>1154</v>
      </c>
      <c r="B88" s="233">
        <v>137</v>
      </c>
      <c r="C88">
        <v>1</v>
      </c>
      <c r="D88">
        <v>137</v>
      </c>
      <c r="E88" t="s">
        <v>1154</v>
      </c>
      <c r="F88"/>
      <c r="G88"/>
      <c r="H88" t="str">
        <f t="shared" si="4"/>
        <v/>
      </c>
      <c r="I88" t="str">
        <f t="shared" si="5"/>
        <v/>
      </c>
      <c r="J88" s="421"/>
      <c r="K88" s="655" t="s">
        <v>7265</v>
      </c>
      <c r="L88" s="469" t="s">
        <v>7266</v>
      </c>
      <c r="M88" s="470">
        <v>0.92481732182409071</v>
      </c>
      <c r="N88" s="656" t="str">
        <f t="shared" si="6"/>
        <v/>
      </c>
      <c r="O88" s="666">
        <f t="shared" si="7"/>
        <v>1</v>
      </c>
      <c r="P88" s="662" t="s">
        <v>7514</v>
      </c>
    </row>
    <row r="89" spans="1:16">
      <c r="A89" s="14" t="s">
        <v>660</v>
      </c>
      <c r="B89" s="233">
        <v>149</v>
      </c>
      <c r="C89">
        <v>1</v>
      </c>
      <c r="D89">
        <v>149</v>
      </c>
      <c r="E89" t="s">
        <v>660</v>
      </c>
      <c r="F89"/>
      <c r="G89"/>
      <c r="H89" t="str">
        <f t="shared" si="4"/>
        <v/>
      </c>
      <c r="I89" t="str">
        <f t="shared" si="5"/>
        <v/>
      </c>
      <c r="J89" s="421"/>
      <c r="K89" s="655">
        <v>163035</v>
      </c>
      <c r="L89" s="469">
        <v>178911</v>
      </c>
      <c r="M89" s="470">
        <v>1.09737786364891</v>
      </c>
      <c r="N89" s="656" t="str">
        <f t="shared" si="6"/>
        <v/>
      </c>
      <c r="O89" s="666">
        <f t="shared" si="7"/>
        <v>1</v>
      </c>
      <c r="P89" s="662">
        <v>2011</v>
      </c>
    </row>
    <row r="90" spans="1:16">
      <c r="A90" s="14" t="s">
        <v>581</v>
      </c>
      <c r="B90" s="233">
        <v>150</v>
      </c>
      <c r="C90">
        <v>2</v>
      </c>
      <c r="D90">
        <v>135</v>
      </c>
      <c r="E90" t="s">
        <v>3792</v>
      </c>
      <c r="F90" t="s">
        <v>3792</v>
      </c>
      <c r="G90" t="s">
        <v>6003</v>
      </c>
      <c r="H90" t="str">
        <f t="shared" si="4"/>
        <v>Yautia (cocoyam)a</v>
      </c>
      <c r="I90">
        <f t="shared" si="5"/>
        <v>135</v>
      </c>
      <c r="J90" s="421">
        <v>0.25</v>
      </c>
      <c r="K90" s="655">
        <v>66462</v>
      </c>
      <c r="L90" s="469">
        <v>44155</v>
      </c>
      <c r="M90" s="470">
        <v>0.66436459931991199</v>
      </c>
      <c r="N90" s="656">
        <f t="shared" si="6"/>
        <v>0.166091149829978</v>
      </c>
      <c r="O90" s="666">
        <f t="shared" si="7"/>
        <v>0.25</v>
      </c>
      <c r="P90" s="662">
        <v>2011</v>
      </c>
    </row>
    <row r="91" spans="1:16">
      <c r="A91" s="14" t="s">
        <v>659</v>
      </c>
      <c r="B91" s="233">
        <v>151</v>
      </c>
      <c r="C91">
        <v>2</v>
      </c>
      <c r="D91">
        <v>135</v>
      </c>
      <c r="E91" t="s">
        <v>3792</v>
      </c>
      <c r="F91" t="s">
        <v>3792</v>
      </c>
      <c r="G91" t="s">
        <v>6004</v>
      </c>
      <c r="H91" t="str">
        <f t="shared" si="4"/>
        <v>Yautia (cocoyam)b</v>
      </c>
      <c r="I91">
        <f t="shared" si="5"/>
        <v>135</v>
      </c>
      <c r="J91" s="421">
        <v>0.3</v>
      </c>
      <c r="K91" s="655" t="s">
        <v>7267</v>
      </c>
      <c r="L91" s="469" t="s">
        <v>7268</v>
      </c>
      <c r="M91" s="470">
        <v>1.5041095890410958</v>
      </c>
      <c r="N91" s="656">
        <f t="shared" si="6"/>
        <v>0.4512328767123287</v>
      </c>
      <c r="O91" s="666">
        <f t="shared" si="7"/>
        <v>0.3</v>
      </c>
      <c r="P91" s="662" t="s">
        <v>7514</v>
      </c>
    </row>
    <row r="92" spans="1:16">
      <c r="A92" s="14" t="s">
        <v>1038</v>
      </c>
      <c r="B92" s="233">
        <v>156</v>
      </c>
      <c r="C92">
        <v>1</v>
      </c>
      <c r="D92">
        <v>156</v>
      </c>
      <c r="E92" t="s">
        <v>1038</v>
      </c>
      <c r="F92"/>
      <c r="G92"/>
      <c r="H92" t="str">
        <f t="shared" si="4"/>
        <v/>
      </c>
      <c r="I92" t="str">
        <f t="shared" si="5"/>
        <v/>
      </c>
      <c r="J92" s="421"/>
      <c r="K92" s="655" t="s">
        <v>7269</v>
      </c>
      <c r="L92" s="469" t="s">
        <v>7270</v>
      </c>
      <c r="M92" s="470">
        <v>0.1079585853568263</v>
      </c>
      <c r="N92" s="656" t="str">
        <f t="shared" si="6"/>
        <v/>
      </c>
      <c r="O92" s="666">
        <f t="shared" si="7"/>
        <v>1</v>
      </c>
      <c r="P92" s="662" t="s">
        <v>7514</v>
      </c>
    </row>
    <row r="93" spans="1:16">
      <c r="A93" s="14" t="s">
        <v>1037</v>
      </c>
      <c r="B93" s="233">
        <v>157</v>
      </c>
      <c r="C93">
        <v>1</v>
      </c>
      <c r="D93">
        <v>157</v>
      </c>
      <c r="E93" t="s">
        <v>1037</v>
      </c>
      <c r="F93"/>
      <c r="G93"/>
      <c r="H93" t="str">
        <f t="shared" si="4"/>
        <v/>
      </c>
      <c r="I93" t="str">
        <f t="shared" si="5"/>
        <v/>
      </c>
      <c r="J93" s="421"/>
      <c r="K93" s="655">
        <v>1060160</v>
      </c>
      <c r="L93" s="469">
        <v>84945</v>
      </c>
      <c r="M93" s="470">
        <v>8.0124698158768506E-2</v>
      </c>
      <c r="N93" s="656" t="str">
        <f t="shared" si="6"/>
        <v/>
      </c>
      <c r="O93" s="666">
        <f t="shared" si="7"/>
        <v>1</v>
      </c>
      <c r="P93" s="662">
        <v>2011</v>
      </c>
    </row>
    <row r="94" spans="1:16">
      <c r="A94" s="14" t="s">
        <v>2086</v>
      </c>
      <c r="B94" s="233">
        <v>160</v>
      </c>
      <c r="C94"/>
      <c r="D94" t="s">
        <v>2738</v>
      </c>
      <c r="E94"/>
      <c r="F94"/>
      <c r="G94"/>
      <c r="H94" t="str">
        <f t="shared" si="4"/>
        <v/>
      </c>
      <c r="I94" t="str">
        <f t="shared" si="5"/>
        <v/>
      </c>
      <c r="J94" s="421"/>
      <c r="K94" s="655">
        <v>39932</v>
      </c>
      <c r="L94" s="469">
        <v>285989</v>
      </c>
      <c r="M94" s="470">
        <v>7.1619002303916703</v>
      </c>
      <c r="N94" s="656" t="str">
        <f t="shared" si="6"/>
        <v/>
      </c>
      <c r="O94" s="666">
        <f t="shared" si="7"/>
        <v>1</v>
      </c>
      <c r="P94" s="662">
        <v>2011</v>
      </c>
    </row>
    <row r="95" spans="1:16">
      <c r="A95" s="14" t="s">
        <v>667</v>
      </c>
      <c r="B95" s="233">
        <v>161</v>
      </c>
      <c r="C95">
        <v>1</v>
      </c>
      <c r="D95">
        <v>161</v>
      </c>
      <c r="E95" t="s">
        <v>667</v>
      </c>
      <c r="F95"/>
      <c r="G95"/>
      <c r="H95" t="str">
        <f t="shared" si="4"/>
        <v/>
      </c>
      <c r="I95" t="str">
        <f t="shared" si="5"/>
        <v/>
      </c>
      <c r="J95" s="421"/>
      <c r="K95" s="655">
        <v>7</v>
      </c>
      <c r="L95" s="469">
        <v>31</v>
      </c>
      <c r="M95" s="470">
        <v>0.225806451612903</v>
      </c>
      <c r="N95" s="656" t="str">
        <f t="shared" si="6"/>
        <v/>
      </c>
      <c r="O95" s="666">
        <f t="shared" si="7"/>
        <v>1</v>
      </c>
      <c r="P95" s="662">
        <v>2009</v>
      </c>
    </row>
    <row r="96" spans="1:16">
      <c r="A96" s="14" t="s">
        <v>668</v>
      </c>
      <c r="B96" s="233">
        <v>162</v>
      </c>
      <c r="C96">
        <v>2</v>
      </c>
      <c r="D96">
        <v>156</v>
      </c>
      <c r="E96" t="s">
        <v>414</v>
      </c>
      <c r="F96" t="s">
        <v>414</v>
      </c>
      <c r="G96" t="s">
        <v>6003</v>
      </c>
      <c r="H96" t="str">
        <f t="shared" si="4"/>
        <v>Sugar Canea</v>
      </c>
      <c r="I96">
        <f t="shared" si="5"/>
        <v>156</v>
      </c>
      <c r="J96" s="421">
        <v>0.11</v>
      </c>
      <c r="K96" s="655">
        <v>33838300</v>
      </c>
      <c r="L96" s="469">
        <v>22649900</v>
      </c>
      <c r="M96" s="470">
        <v>0.66935691213802095</v>
      </c>
      <c r="N96" s="656">
        <f t="shared" si="6"/>
        <v>7.3629260335182301E-2</v>
      </c>
      <c r="O96" s="666">
        <f t="shared" si="7"/>
        <v>0.17762015644358448</v>
      </c>
      <c r="P96" s="662">
        <v>2011</v>
      </c>
    </row>
    <row r="97" spans="1:16">
      <c r="A97" s="14" t="s">
        <v>3549</v>
      </c>
      <c r="B97" s="233">
        <v>163</v>
      </c>
      <c r="C97">
        <v>2</v>
      </c>
      <c r="D97">
        <v>156</v>
      </c>
      <c r="E97" t="s">
        <v>414</v>
      </c>
      <c r="F97" t="s">
        <v>414</v>
      </c>
      <c r="G97" t="s">
        <v>6004</v>
      </c>
      <c r="H97" t="str">
        <f t="shared" si="4"/>
        <v>Sugar Caneb</v>
      </c>
      <c r="I97">
        <f t="shared" si="5"/>
        <v>156</v>
      </c>
      <c r="J97" s="421">
        <v>0.09</v>
      </c>
      <c r="K97" s="655">
        <v>13500</v>
      </c>
      <c r="L97" s="469">
        <v>4435</v>
      </c>
      <c r="M97" s="470">
        <v>3.0439684329199599</v>
      </c>
      <c r="N97" s="656">
        <f t="shared" si="6"/>
        <v>0.27395715896279638</v>
      </c>
      <c r="O97" s="666">
        <f t="shared" si="7"/>
        <v>0.09</v>
      </c>
      <c r="P97" s="662">
        <v>2009</v>
      </c>
    </row>
    <row r="98" spans="1:16">
      <c r="A98" s="14" t="s">
        <v>669</v>
      </c>
      <c r="B98" s="233">
        <v>164</v>
      </c>
      <c r="C98">
        <v>3</v>
      </c>
      <c r="D98">
        <v>156</v>
      </c>
      <c r="E98" t="s">
        <v>414</v>
      </c>
      <c r="F98" t="s">
        <v>668</v>
      </c>
      <c r="G98"/>
      <c r="H98" t="str">
        <f t="shared" si="4"/>
        <v>Sugar Raw Centrifugal</v>
      </c>
      <c r="I98">
        <f t="shared" si="5"/>
        <v>162</v>
      </c>
      <c r="J98" s="421">
        <v>0.93500000000000005</v>
      </c>
      <c r="K98" s="655">
        <v>21921600</v>
      </c>
      <c r="L98" s="469">
        <v>16694600</v>
      </c>
      <c r="M98" s="470">
        <v>0.76155937522808603</v>
      </c>
      <c r="N98" s="656">
        <f t="shared" si="6"/>
        <v>0.71205801583826045</v>
      </c>
      <c r="O98" s="666">
        <f t="shared" si="7"/>
        <v>0.1660748462747515</v>
      </c>
      <c r="P98" s="662">
        <v>2011</v>
      </c>
    </row>
    <row r="99" spans="1:16">
      <c r="A99" s="14" t="s">
        <v>771</v>
      </c>
      <c r="B99" s="233">
        <v>165</v>
      </c>
      <c r="C99">
        <v>2</v>
      </c>
      <c r="D99">
        <v>156</v>
      </c>
      <c r="E99" t="s">
        <v>414</v>
      </c>
      <c r="F99" t="s">
        <v>414</v>
      </c>
      <c r="G99" t="s">
        <v>6003</v>
      </c>
      <c r="H99" t="str">
        <f t="shared" si="4"/>
        <v>Sugar Canea</v>
      </c>
      <c r="I99">
        <f t="shared" si="5"/>
        <v>156</v>
      </c>
      <c r="J99" s="421">
        <v>0.05</v>
      </c>
      <c r="K99" s="655">
        <v>6404480</v>
      </c>
      <c r="L99" s="469">
        <v>1065020</v>
      </c>
      <c r="M99" s="470">
        <v>0.16629296992105499</v>
      </c>
      <c r="N99" s="656">
        <f t="shared" si="6"/>
        <v>8.3146484960527501E-3</v>
      </c>
      <c r="O99" s="666">
        <f t="shared" si="7"/>
        <v>0.71495072525911152</v>
      </c>
      <c r="P99" s="662">
        <v>2011</v>
      </c>
    </row>
    <row r="100" spans="1:16">
      <c r="A100" s="14" t="s">
        <v>546</v>
      </c>
      <c r="B100" s="233">
        <v>166</v>
      </c>
      <c r="C100">
        <v>3</v>
      </c>
      <c r="D100">
        <v>56</v>
      </c>
      <c r="E100" t="s">
        <v>2057</v>
      </c>
      <c r="F100" t="s">
        <v>1850</v>
      </c>
      <c r="G100" t="s">
        <v>6003</v>
      </c>
      <c r="H100" t="str">
        <f t="shared" si="4"/>
        <v>Flour of Maizea</v>
      </c>
      <c r="I100">
        <f t="shared" si="5"/>
        <v>58</v>
      </c>
      <c r="J100" s="421">
        <v>0.75</v>
      </c>
      <c r="K100" s="655">
        <v>1909150</v>
      </c>
      <c r="L100" s="469">
        <v>848079</v>
      </c>
      <c r="M100" s="470">
        <v>0.44421810753476698</v>
      </c>
      <c r="N100" s="656">
        <f t="shared" si="6"/>
        <v>0.33316358065107521</v>
      </c>
      <c r="O100" s="666">
        <f t="shared" si="7"/>
        <v>0.71664540645483255</v>
      </c>
      <c r="P100" s="662">
        <v>2011</v>
      </c>
    </row>
    <row r="101" spans="1:16">
      <c r="A101" s="14" t="s">
        <v>3243</v>
      </c>
      <c r="B101" s="233">
        <v>167</v>
      </c>
      <c r="C101">
        <v>2</v>
      </c>
      <c r="D101">
        <v>156</v>
      </c>
      <c r="E101" t="s">
        <v>414</v>
      </c>
      <c r="F101" t="s">
        <v>414</v>
      </c>
      <c r="G101" t="s">
        <v>6005</v>
      </c>
      <c r="H101" t="str">
        <f t="shared" si="4"/>
        <v>Sugar Canec</v>
      </c>
      <c r="I101">
        <f t="shared" si="5"/>
        <v>156</v>
      </c>
      <c r="J101" s="421">
        <v>0.11</v>
      </c>
      <c r="K101" s="655">
        <v>1319550</v>
      </c>
      <c r="L101" s="469">
        <v>1375850</v>
      </c>
      <c r="M101" s="470">
        <v>1.04266606039938</v>
      </c>
      <c r="N101" s="656">
        <f t="shared" si="6"/>
        <v>0.1146932666439318</v>
      </c>
      <c r="O101" s="666">
        <f t="shared" si="7"/>
        <v>0.11</v>
      </c>
      <c r="P101" s="662">
        <v>2011</v>
      </c>
    </row>
    <row r="102" spans="1:16">
      <c r="A102" s="14" t="s">
        <v>4435</v>
      </c>
      <c r="B102" s="233">
        <v>168</v>
      </c>
      <c r="C102">
        <v>4</v>
      </c>
      <c r="D102">
        <v>156</v>
      </c>
      <c r="E102" t="s">
        <v>414</v>
      </c>
      <c r="F102" t="s">
        <v>669</v>
      </c>
      <c r="G102" t="s">
        <v>6003</v>
      </c>
      <c r="H102" t="str">
        <f t="shared" si="4"/>
        <v>Sugar Refineda</v>
      </c>
      <c r="I102">
        <f t="shared" si="5"/>
        <v>164</v>
      </c>
      <c r="J102" s="421">
        <v>1</v>
      </c>
      <c r="K102" s="655">
        <v>2951170</v>
      </c>
      <c r="L102" s="469">
        <v>9227830</v>
      </c>
      <c r="M102" s="470">
        <v>3.1268378304198001</v>
      </c>
      <c r="N102" s="656">
        <f t="shared" si="6"/>
        <v>3.1268378304198001</v>
      </c>
      <c r="O102" s="666">
        <f t="shared" si="7"/>
        <v>0.1660748462747515</v>
      </c>
      <c r="P102" s="662">
        <v>2011</v>
      </c>
    </row>
    <row r="103" spans="1:16">
      <c r="A103" s="14" t="s">
        <v>3497</v>
      </c>
      <c r="B103" s="233">
        <v>169</v>
      </c>
      <c r="C103">
        <v>2</v>
      </c>
      <c r="D103">
        <v>157</v>
      </c>
      <c r="E103" t="s">
        <v>1037</v>
      </c>
      <c r="F103" t="s">
        <v>1037</v>
      </c>
      <c r="G103" t="s">
        <v>6003</v>
      </c>
      <c r="H103" t="str">
        <f t="shared" si="4"/>
        <v>Sugar beeta</v>
      </c>
      <c r="I103">
        <f t="shared" si="5"/>
        <v>157</v>
      </c>
      <c r="J103" s="421">
        <v>7.0000000000000007E-2</v>
      </c>
      <c r="K103" s="655">
        <v>2757900</v>
      </c>
      <c r="L103" s="469">
        <v>620993</v>
      </c>
      <c r="M103" s="470">
        <v>0.225168787845825</v>
      </c>
      <c r="N103" s="656">
        <f t="shared" si="6"/>
        <v>1.5761815149207752E-2</v>
      </c>
      <c r="O103" s="666">
        <f t="shared" si="7"/>
        <v>7.0000000000000007E-2</v>
      </c>
      <c r="P103" s="662">
        <v>2011</v>
      </c>
    </row>
    <row r="104" spans="1:16">
      <c r="A104" s="14" t="s">
        <v>1408</v>
      </c>
      <c r="B104" s="233">
        <v>170</v>
      </c>
      <c r="C104">
        <v>2</v>
      </c>
      <c r="D104">
        <v>156</v>
      </c>
      <c r="E104" t="s">
        <v>414</v>
      </c>
      <c r="F104" t="s">
        <v>414</v>
      </c>
      <c r="G104" t="s">
        <v>6003</v>
      </c>
      <c r="H104" t="str">
        <f t="shared" si="4"/>
        <v>Sugar Canea</v>
      </c>
      <c r="I104">
        <f t="shared" si="5"/>
        <v>156</v>
      </c>
      <c r="J104" s="421">
        <v>0.25</v>
      </c>
      <c r="K104" s="655" t="s">
        <v>7271</v>
      </c>
      <c r="L104" s="469" t="s">
        <v>7272</v>
      </c>
      <c r="M104" s="470">
        <v>0.14778948247725937</v>
      </c>
      <c r="N104" s="656">
        <f t="shared" si="6"/>
        <v>3.6947370619314843E-2</v>
      </c>
      <c r="O104" s="666">
        <f t="shared" si="7"/>
        <v>0.80446373759272016</v>
      </c>
      <c r="P104" s="662" t="s">
        <v>7514</v>
      </c>
    </row>
    <row r="105" spans="1:16">
      <c r="A105" s="14" t="s">
        <v>402</v>
      </c>
      <c r="B105" s="233">
        <v>172</v>
      </c>
      <c r="C105">
        <v>3</v>
      </c>
      <c r="D105">
        <v>56</v>
      </c>
      <c r="E105" t="s">
        <v>2057</v>
      </c>
      <c r="F105" t="s">
        <v>1850</v>
      </c>
      <c r="G105" t="s">
        <v>6004</v>
      </c>
      <c r="H105" t="str">
        <f t="shared" si="4"/>
        <v>Flour of Maizeb</v>
      </c>
      <c r="I105">
        <f t="shared" si="5"/>
        <v>58</v>
      </c>
      <c r="J105" s="421">
        <v>0.75</v>
      </c>
      <c r="K105" s="655">
        <v>4300300</v>
      </c>
      <c r="L105" s="469">
        <v>2465340</v>
      </c>
      <c r="M105" s="470">
        <v>0.57329488640327397</v>
      </c>
      <c r="N105" s="656">
        <f t="shared" si="6"/>
        <v>0.42997116480245545</v>
      </c>
      <c r="O105" s="666">
        <f t="shared" si="7"/>
        <v>0.71664540645483255</v>
      </c>
      <c r="P105" s="662">
        <v>2011</v>
      </c>
    </row>
    <row r="106" spans="1:16">
      <c r="A106" s="14" t="s">
        <v>1422</v>
      </c>
      <c r="B106" s="233">
        <v>173</v>
      </c>
      <c r="C106"/>
      <c r="D106">
        <v>882</v>
      </c>
      <c r="E106" t="s">
        <v>5420</v>
      </c>
      <c r="F106" s="13" t="s">
        <v>5371</v>
      </c>
      <c r="G106" s="13" t="s">
        <v>6006</v>
      </c>
      <c r="H106" t="str">
        <f t="shared" si="4"/>
        <v>Whey Freshd</v>
      </c>
      <c r="I106">
        <f t="shared" si="5"/>
        <v>903</v>
      </c>
      <c r="J106" s="421">
        <v>0.05</v>
      </c>
      <c r="K106" s="655">
        <v>693395</v>
      </c>
      <c r="L106" s="469">
        <v>1060360</v>
      </c>
      <c r="M106" s="470">
        <v>1.5292293714261</v>
      </c>
      <c r="N106" s="656">
        <f t="shared" si="6"/>
        <v>7.6461468571305008E-2</v>
      </c>
      <c r="O106" s="666">
        <f t="shared" si="7"/>
        <v>0.31195464692471803</v>
      </c>
      <c r="P106" s="662">
        <v>2011</v>
      </c>
    </row>
    <row r="107" spans="1:16">
      <c r="A107" s="14" t="s">
        <v>803</v>
      </c>
      <c r="B107" s="233">
        <v>175</v>
      </c>
      <c r="C107">
        <v>3</v>
      </c>
      <c r="D107">
        <v>56</v>
      </c>
      <c r="E107" t="s">
        <v>2057</v>
      </c>
      <c r="F107" t="s">
        <v>1850</v>
      </c>
      <c r="G107" t="s">
        <v>6005</v>
      </c>
      <c r="H107" t="str">
        <f t="shared" si="4"/>
        <v>Flour of Maizec</v>
      </c>
      <c r="I107">
        <f t="shared" si="5"/>
        <v>58</v>
      </c>
      <c r="J107" s="421">
        <v>0.75</v>
      </c>
      <c r="K107" s="655" t="s">
        <v>7273</v>
      </c>
      <c r="L107" s="469" t="s">
        <v>7274</v>
      </c>
      <c r="M107" s="470">
        <v>0.61246508722841075</v>
      </c>
      <c r="N107" s="656">
        <f t="shared" si="6"/>
        <v>0.45934881542130807</v>
      </c>
      <c r="O107" s="666">
        <f t="shared" si="7"/>
        <v>0.71664540645483255</v>
      </c>
      <c r="P107" s="662" t="s">
        <v>7514</v>
      </c>
    </row>
    <row r="108" spans="1:16">
      <c r="A108" s="14" t="s">
        <v>1917</v>
      </c>
      <c r="B108" s="233">
        <v>176</v>
      </c>
      <c r="C108">
        <v>1</v>
      </c>
      <c r="D108">
        <v>176</v>
      </c>
      <c r="E108" t="s">
        <v>1917</v>
      </c>
      <c r="F108"/>
      <c r="G108"/>
      <c r="H108" t="str">
        <f t="shared" si="4"/>
        <v/>
      </c>
      <c r="I108" t="str">
        <f t="shared" si="5"/>
        <v/>
      </c>
      <c r="J108" s="421"/>
      <c r="K108" s="655">
        <v>3321730</v>
      </c>
      <c r="L108" s="469">
        <v>3227560</v>
      </c>
      <c r="M108" s="470">
        <v>0.97165031474563002</v>
      </c>
      <c r="N108" s="656" t="str">
        <f t="shared" si="6"/>
        <v/>
      </c>
      <c r="O108" s="666">
        <f t="shared" si="7"/>
        <v>1</v>
      </c>
      <c r="P108" s="662">
        <v>2011</v>
      </c>
    </row>
    <row r="109" spans="1:16">
      <c r="A109" s="14" t="s">
        <v>3768</v>
      </c>
      <c r="B109" s="233">
        <v>181</v>
      </c>
      <c r="C109">
        <v>1</v>
      </c>
      <c r="D109">
        <v>181</v>
      </c>
      <c r="E109" t="s">
        <v>3768</v>
      </c>
      <c r="F109"/>
      <c r="G109"/>
      <c r="H109" t="str">
        <f t="shared" si="4"/>
        <v/>
      </c>
      <c r="I109" t="str">
        <f t="shared" si="5"/>
        <v/>
      </c>
      <c r="J109" s="421"/>
      <c r="K109" s="655">
        <v>587712</v>
      </c>
      <c r="L109" s="469">
        <v>466842</v>
      </c>
      <c r="M109" s="470">
        <v>0.79433804312316203</v>
      </c>
      <c r="N109" s="656" t="str">
        <f t="shared" si="6"/>
        <v/>
      </c>
      <c r="O109" s="666">
        <f t="shared" si="7"/>
        <v>1</v>
      </c>
      <c r="P109" s="662">
        <v>2011</v>
      </c>
    </row>
    <row r="110" spans="1:16">
      <c r="A110" s="14" t="s">
        <v>5094</v>
      </c>
      <c r="B110" s="233">
        <v>187</v>
      </c>
      <c r="C110">
        <v>1</v>
      </c>
      <c r="D110">
        <v>187</v>
      </c>
      <c r="E110" t="s">
        <v>5094</v>
      </c>
      <c r="F110"/>
      <c r="G110"/>
      <c r="H110" t="str">
        <f t="shared" si="4"/>
        <v/>
      </c>
      <c r="I110" t="str">
        <f t="shared" si="5"/>
        <v/>
      </c>
      <c r="J110" s="421"/>
      <c r="K110" s="655">
        <v>4316720</v>
      </c>
      <c r="L110" s="469">
        <v>1955230</v>
      </c>
      <c r="M110" s="470">
        <v>0.45294343853666702</v>
      </c>
      <c r="N110" s="656" t="str">
        <f t="shared" si="6"/>
        <v/>
      </c>
      <c r="O110" s="666">
        <f t="shared" si="7"/>
        <v>1</v>
      </c>
      <c r="P110" s="662">
        <v>2011</v>
      </c>
    </row>
    <row r="111" spans="1:16">
      <c r="A111" s="14" t="s">
        <v>2507</v>
      </c>
      <c r="B111" s="233">
        <v>191</v>
      </c>
      <c r="C111">
        <v>1</v>
      </c>
      <c r="D111">
        <v>191</v>
      </c>
      <c r="E111" t="s">
        <v>2507</v>
      </c>
      <c r="F111"/>
      <c r="G111"/>
      <c r="H111" t="str">
        <f t="shared" si="4"/>
        <v/>
      </c>
      <c r="I111" t="str">
        <f t="shared" si="5"/>
        <v/>
      </c>
      <c r="J111" s="421"/>
      <c r="K111" s="655">
        <v>1114170</v>
      </c>
      <c r="L111" s="469">
        <v>975969</v>
      </c>
      <c r="M111" s="470">
        <v>0.87596058052182302</v>
      </c>
      <c r="N111" s="656" t="str">
        <f t="shared" si="6"/>
        <v/>
      </c>
      <c r="O111" s="666">
        <f t="shared" si="7"/>
        <v>1</v>
      </c>
      <c r="P111" s="662">
        <v>2011</v>
      </c>
    </row>
    <row r="112" spans="1:16">
      <c r="A112" s="14" t="s">
        <v>1075</v>
      </c>
      <c r="B112" s="233">
        <v>195</v>
      </c>
      <c r="C112">
        <v>1</v>
      </c>
      <c r="D112">
        <v>195</v>
      </c>
      <c r="E112" t="s">
        <v>1075</v>
      </c>
      <c r="F112"/>
      <c r="G112"/>
      <c r="H112" t="str">
        <f t="shared" si="4"/>
        <v/>
      </c>
      <c r="I112" t="str">
        <f t="shared" si="5"/>
        <v/>
      </c>
      <c r="J112" s="421"/>
      <c r="K112" s="655" t="s">
        <v>7275</v>
      </c>
      <c r="L112" s="469" t="s">
        <v>7276</v>
      </c>
      <c r="M112" s="470">
        <v>0.6152368758002561</v>
      </c>
      <c r="N112" s="656" t="str">
        <f t="shared" si="6"/>
        <v/>
      </c>
      <c r="O112" s="666">
        <f t="shared" si="7"/>
        <v>1</v>
      </c>
      <c r="P112" s="662" t="s">
        <v>7514</v>
      </c>
    </row>
    <row r="113" spans="1:16">
      <c r="A113" s="14" t="s">
        <v>5102</v>
      </c>
      <c r="B113" s="233">
        <v>197</v>
      </c>
      <c r="C113">
        <v>1</v>
      </c>
      <c r="D113">
        <v>197</v>
      </c>
      <c r="E113" t="s">
        <v>5102</v>
      </c>
      <c r="F113"/>
      <c r="G113"/>
      <c r="H113" t="str">
        <f t="shared" si="4"/>
        <v/>
      </c>
      <c r="I113" t="str">
        <f t="shared" si="5"/>
        <v/>
      </c>
      <c r="J113" s="421"/>
      <c r="K113" s="655" t="s">
        <v>7277</v>
      </c>
      <c r="L113" s="469" t="s">
        <v>7278</v>
      </c>
      <c r="M113" s="470">
        <v>1.0067069081153588</v>
      </c>
      <c r="N113" s="656" t="str">
        <f t="shared" si="6"/>
        <v/>
      </c>
      <c r="O113" s="666">
        <f t="shared" si="7"/>
        <v>1</v>
      </c>
      <c r="P113" s="662" t="s">
        <v>7514</v>
      </c>
    </row>
    <row r="114" spans="1:16">
      <c r="A114" s="14" t="s">
        <v>567</v>
      </c>
      <c r="B114" s="233">
        <v>201</v>
      </c>
      <c r="C114">
        <v>1</v>
      </c>
      <c r="D114">
        <v>201</v>
      </c>
      <c r="E114" t="s">
        <v>567</v>
      </c>
      <c r="F114"/>
      <c r="G114"/>
      <c r="H114" t="str">
        <f t="shared" si="4"/>
        <v/>
      </c>
      <c r="I114" t="str">
        <f t="shared" si="5"/>
        <v/>
      </c>
      <c r="J114" s="421"/>
      <c r="K114" s="655">
        <v>1918220</v>
      </c>
      <c r="L114" s="469">
        <v>1650960</v>
      </c>
      <c r="M114" s="470">
        <v>0.86067291551542602</v>
      </c>
      <c r="N114" s="656" t="str">
        <f t="shared" si="6"/>
        <v/>
      </c>
      <c r="O114" s="666">
        <f t="shared" si="7"/>
        <v>1</v>
      </c>
      <c r="P114" s="662">
        <v>2011</v>
      </c>
    </row>
    <row r="115" spans="1:16">
      <c r="A115" s="14" t="s">
        <v>612</v>
      </c>
      <c r="B115" s="233">
        <v>203</v>
      </c>
      <c r="C115">
        <v>1</v>
      </c>
      <c r="D115">
        <v>203</v>
      </c>
      <c r="E115" t="s">
        <v>612</v>
      </c>
      <c r="F115"/>
      <c r="G115"/>
      <c r="H115" t="str">
        <f t="shared" si="4"/>
        <v/>
      </c>
      <c r="I115" t="str">
        <f t="shared" si="5"/>
        <v/>
      </c>
      <c r="J115" s="421"/>
      <c r="K115" s="655">
        <v>352</v>
      </c>
      <c r="L115" s="469">
        <v>95</v>
      </c>
      <c r="M115" s="470">
        <v>3.7052631578947399</v>
      </c>
      <c r="N115" s="656" t="str">
        <f t="shared" si="6"/>
        <v/>
      </c>
      <c r="O115" s="666">
        <f t="shared" si="7"/>
        <v>1</v>
      </c>
      <c r="P115" s="662">
        <v>1992</v>
      </c>
    </row>
    <row r="116" spans="1:16">
      <c r="A116" s="14" t="s">
        <v>1146</v>
      </c>
      <c r="B116" s="233">
        <v>205</v>
      </c>
      <c r="C116">
        <v>1</v>
      </c>
      <c r="D116">
        <v>205</v>
      </c>
      <c r="E116" t="s">
        <v>1146</v>
      </c>
      <c r="F116"/>
      <c r="G116"/>
      <c r="H116" t="str">
        <f t="shared" si="4"/>
        <v/>
      </c>
      <c r="I116" t="str">
        <f t="shared" si="5"/>
        <v/>
      </c>
      <c r="J116" s="421"/>
      <c r="K116" s="655">
        <v>143</v>
      </c>
      <c r="L116" s="469">
        <v>18</v>
      </c>
      <c r="M116" s="470">
        <v>7.9444444444444402</v>
      </c>
      <c r="N116" s="656" t="str">
        <f t="shared" si="6"/>
        <v/>
      </c>
      <c r="O116" s="666">
        <f t="shared" si="7"/>
        <v>1</v>
      </c>
      <c r="P116" s="662">
        <v>2002</v>
      </c>
    </row>
    <row r="117" spans="1:16">
      <c r="A117" s="14" t="s">
        <v>3128</v>
      </c>
      <c r="B117" s="233">
        <v>210</v>
      </c>
      <c r="C117">
        <v>1</v>
      </c>
      <c r="D117">
        <v>210</v>
      </c>
      <c r="E117" t="s">
        <v>3128</v>
      </c>
      <c r="F117"/>
      <c r="G117"/>
      <c r="H117" t="str">
        <f t="shared" si="4"/>
        <v/>
      </c>
      <c r="I117" t="str">
        <f t="shared" si="5"/>
        <v/>
      </c>
      <c r="J117" s="421"/>
      <c r="K117" s="655" t="s">
        <v>7279</v>
      </c>
      <c r="L117" s="469" t="s">
        <v>7280</v>
      </c>
      <c r="M117" s="470">
        <v>0.64848352607462356</v>
      </c>
      <c r="N117" s="656" t="str">
        <f t="shared" si="6"/>
        <v/>
      </c>
      <c r="O117" s="666">
        <f t="shared" si="7"/>
        <v>1</v>
      </c>
      <c r="P117" s="662" t="s">
        <v>7514</v>
      </c>
    </row>
    <row r="118" spans="1:16">
      <c r="A118" s="14" t="s">
        <v>101</v>
      </c>
      <c r="B118" s="233">
        <v>211</v>
      </c>
      <c r="C118">
        <v>1</v>
      </c>
      <c r="D118">
        <v>211</v>
      </c>
      <c r="E118" t="s">
        <v>101</v>
      </c>
      <c r="F118"/>
      <c r="G118"/>
      <c r="H118" t="str">
        <f t="shared" si="4"/>
        <v/>
      </c>
      <c r="I118" t="str">
        <f t="shared" si="5"/>
        <v/>
      </c>
      <c r="J118" s="421"/>
      <c r="K118" s="655" t="s">
        <v>7281</v>
      </c>
      <c r="L118" s="469" t="s">
        <v>7282</v>
      </c>
      <c r="M118" s="470">
        <v>0.62515780920354835</v>
      </c>
      <c r="N118" s="656" t="str">
        <f t="shared" si="6"/>
        <v/>
      </c>
      <c r="O118" s="666">
        <f t="shared" si="7"/>
        <v>1</v>
      </c>
      <c r="P118" s="662" t="s">
        <v>7514</v>
      </c>
    </row>
    <row r="119" spans="1:16">
      <c r="A119" s="14" t="s">
        <v>579</v>
      </c>
      <c r="B119" s="233">
        <v>212</v>
      </c>
      <c r="C119">
        <v>2</v>
      </c>
      <c r="D119">
        <v>176</v>
      </c>
      <c r="E119" t="s">
        <v>1917</v>
      </c>
      <c r="F119" t="s">
        <v>1917</v>
      </c>
      <c r="G119" t="s">
        <v>6003</v>
      </c>
      <c r="H119" t="str">
        <f t="shared" si="4"/>
        <v>Beans, drya</v>
      </c>
      <c r="I119">
        <f t="shared" si="5"/>
        <v>176</v>
      </c>
      <c r="J119" s="421">
        <v>0.72</v>
      </c>
      <c r="K119" s="655">
        <v>62999</v>
      </c>
      <c r="L119" s="469">
        <v>47613</v>
      </c>
      <c r="M119" s="470">
        <v>0.755773901173034</v>
      </c>
      <c r="N119" s="656">
        <f t="shared" si="6"/>
        <v>0.54415720884458441</v>
      </c>
      <c r="O119" s="666">
        <f t="shared" si="7"/>
        <v>0.7976160502300379</v>
      </c>
      <c r="P119" s="662">
        <v>2011</v>
      </c>
    </row>
    <row r="120" spans="1:16">
      <c r="A120" s="14" t="s">
        <v>2564</v>
      </c>
      <c r="B120" s="233">
        <v>213</v>
      </c>
      <c r="C120">
        <v>2</v>
      </c>
      <c r="D120">
        <v>176</v>
      </c>
      <c r="E120" t="s">
        <v>1917</v>
      </c>
      <c r="F120" t="s">
        <v>1917</v>
      </c>
      <c r="G120" t="s">
        <v>6003</v>
      </c>
      <c r="H120" t="str">
        <f t="shared" si="4"/>
        <v>Beans, drya</v>
      </c>
      <c r="I120">
        <f t="shared" si="5"/>
        <v>176</v>
      </c>
      <c r="J120" s="421">
        <v>0.23</v>
      </c>
      <c r="K120" s="655" t="s">
        <v>7283</v>
      </c>
      <c r="L120" s="469" t="s">
        <v>7284</v>
      </c>
      <c r="M120" s="470">
        <v>0.25504428293912107</v>
      </c>
      <c r="N120" s="656">
        <f t="shared" si="6"/>
        <v>5.866018507599785E-2</v>
      </c>
      <c r="O120" s="666">
        <f t="shared" si="7"/>
        <v>2.3635793242402321</v>
      </c>
      <c r="P120" s="662" t="s">
        <v>7514</v>
      </c>
    </row>
    <row r="121" spans="1:16">
      <c r="A121" s="14" t="s">
        <v>321</v>
      </c>
      <c r="B121" s="233">
        <v>216</v>
      </c>
      <c r="C121">
        <v>1</v>
      </c>
      <c r="D121">
        <v>216</v>
      </c>
      <c r="E121" t="s">
        <v>321</v>
      </c>
      <c r="F121"/>
      <c r="G121"/>
      <c r="H121" t="str">
        <f t="shared" si="4"/>
        <v/>
      </c>
      <c r="I121" t="str">
        <f t="shared" si="5"/>
        <v/>
      </c>
      <c r="J121" s="421"/>
      <c r="K121" s="655" t="s">
        <v>7285</v>
      </c>
      <c r="L121" s="469" t="s">
        <v>7286</v>
      </c>
      <c r="M121" s="470">
        <v>1.9825641025641025</v>
      </c>
      <c r="N121" s="656" t="str">
        <f t="shared" si="6"/>
        <v/>
      </c>
      <c r="O121" s="666">
        <f t="shared" si="7"/>
        <v>1</v>
      </c>
      <c r="P121" s="662" t="s">
        <v>7514</v>
      </c>
    </row>
    <row r="122" spans="1:16">
      <c r="A122" s="14" t="s">
        <v>4502</v>
      </c>
      <c r="B122" s="233">
        <v>217</v>
      </c>
      <c r="C122">
        <v>1</v>
      </c>
      <c r="D122">
        <v>217</v>
      </c>
      <c r="E122" t="s">
        <v>4502</v>
      </c>
      <c r="F122"/>
      <c r="G122"/>
      <c r="H122" t="str">
        <f t="shared" si="4"/>
        <v/>
      </c>
      <c r="I122" t="str">
        <f t="shared" si="5"/>
        <v/>
      </c>
      <c r="J122" s="421"/>
      <c r="K122" s="655">
        <v>864442</v>
      </c>
      <c r="L122" s="469">
        <v>1271120</v>
      </c>
      <c r="M122" s="470">
        <v>1.47045145886017</v>
      </c>
      <c r="N122" s="656" t="str">
        <f t="shared" si="6"/>
        <v/>
      </c>
      <c r="O122" s="666">
        <f t="shared" si="7"/>
        <v>1</v>
      </c>
      <c r="P122" s="662">
        <v>2011</v>
      </c>
    </row>
    <row r="123" spans="1:16">
      <c r="A123" s="14" t="s">
        <v>3744</v>
      </c>
      <c r="B123" s="233">
        <v>220</v>
      </c>
      <c r="C123">
        <v>1</v>
      </c>
      <c r="D123">
        <v>220</v>
      </c>
      <c r="E123" t="s">
        <v>3744</v>
      </c>
      <c r="F123"/>
      <c r="G123"/>
      <c r="H123" t="str">
        <f t="shared" si="4"/>
        <v/>
      </c>
      <c r="I123" t="str">
        <f t="shared" si="5"/>
        <v/>
      </c>
      <c r="J123" s="421"/>
      <c r="K123" s="655">
        <v>96917</v>
      </c>
      <c r="L123" s="469">
        <v>260668</v>
      </c>
      <c r="M123" s="470">
        <v>2.6896003797063499</v>
      </c>
      <c r="N123" s="656" t="str">
        <f t="shared" si="6"/>
        <v/>
      </c>
      <c r="O123" s="666">
        <f t="shared" si="7"/>
        <v>1</v>
      </c>
      <c r="P123" s="662">
        <v>2011</v>
      </c>
    </row>
    <row r="124" spans="1:16">
      <c r="A124" s="14" t="s">
        <v>2649</v>
      </c>
      <c r="B124" s="233">
        <v>221</v>
      </c>
      <c r="C124">
        <v>1</v>
      </c>
      <c r="D124">
        <v>221</v>
      </c>
      <c r="E124" t="s">
        <v>2649</v>
      </c>
      <c r="F124"/>
      <c r="G124"/>
      <c r="H124" t="str">
        <f t="shared" si="4"/>
        <v/>
      </c>
      <c r="I124" t="str">
        <f t="shared" si="5"/>
        <v/>
      </c>
      <c r="J124" s="421"/>
      <c r="K124" s="655" t="s">
        <v>7287</v>
      </c>
      <c r="L124" s="469" t="s">
        <v>7287</v>
      </c>
      <c r="M124" s="470">
        <v>0</v>
      </c>
      <c r="N124" s="656" t="str">
        <f t="shared" si="6"/>
        <v/>
      </c>
      <c r="O124" s="666">
        <f t="shared" si="7"/>
        <v>1</v>
      </c>
      <c r="P124" s="662" t="s">
        <v>7514</v>
      </c>
    </row>
    <row r="125" spans="1:16">
      <c r="A125" s="14" t="s">
        <v>1148</v>
      </c>
      <c r="B125" s="233">
        <v>222</v>
      </c>
      <c r="C125">
        <v>1</v>
      </c>
      <c r="D125">
        <v>222</v>
      </c>
      <c r="E125" t="s">
        <v>1148</v>
      </c>
      <c r="F125"/>
      <c r="G125"/>
      <c r="H125" t="str">
        <f t="shared" si="4"/>
        <v/>
      </c>
      <c r="I125" t="str">
        <f t="shared" si="5"/>
        <v/>
      </c>
      <c r="J125" s="421"/>
      <c r="K125" s="655">
        <v>190219</v>
      </c>
      <c r="L125" s="469">
        <v>697223</v>
      </c>
      <c r="M125" s="470">
        <v>3.6653699157287098</v>
      </c>
      <c r="N125" s="656" t="str">
        <f t="shared" si="6"/>
        <v/>
      </c>
      <c r="O125" s="666">
        <f t="shared" si="7"/>
        <v>1</v>
      </c>
      <c r="P125" s="662">
        <v>2011</v>
      </c>
    </row>
    <row r="126" spans="1:16">
      <c r="A126" s="14" t="s">
        <v>5105</v>
      </c>
      <c r="B126" s="233">
        <v>223</v>
      </c>
      <c r="C126">
        <v>1</v>
      </c>
      <c r="D126">
        <v>223</v>
      </c>
      <c r="E126" t="s">
        <v>5105</v>
      </c>
      <c r="F126"/>
      <c r="G126"/>
      <c r="H126" t="str">
        <f t="shared" si="4"/>
        <v/>
      </c>
      <c r="I126" t="str">
        <f t="shared" si="5"/>
        <v/>
      </c>
      <c r="J126" s="421"/>
      <c r="K126" s="655">
        <v>309169</v>
      </c>
      <c r="L126" s="469">
        <v>2190460</v>
      </c>
      <c r="M126" s="470">
        <v>7.0849923504620396</v>
      </c>
      <c r="N126" s="656" t="str">
        <f t="shared" si="6"/>
        <v/>
      </c>
      <c r="O126" s="666">
        <f t="shared" si="7"/>
        <v>1</v>
      </c>
      <c r="P126" s="662">
        <v>2011</v>
      </c>
    </row>
    <row r="127" spans="1:16">
      <c r="A127" s="14" t="s">
        <v>563</v>
      </c>
      <c r="B127" s="233">
        <v>224</v>
      </c>
      <c r="C127">
        <v>1</v>
      </c>
      <c r="D127">
        <v>224</v>
      </c>
      <c r="E127" t="s">
        <v>563</v>
      </c>
      <c r="F127"/>
      <c r="G127"/>
      <c r="H127" t="str">
        <f t="shared" si="4"/>
        <v/>
      </c>
      <c r="I127" t="str">
        <f t="shared" si="5"/>
        <v/>
      </c>
      <c r="J127" s="421"/>
      <c r="K127" s="655">
        <v>13522</v>
      </c>
      <c r="L127" s="469">
        <v>9041</v>
      </c>
      <c r="M127" s="470">
        <v>0.66861411033870699</v>
      </c>
      <c r="N127" s="656" t="str">
        <f t="shared" si="6"/>
        <v/>
      </c>
      <c r="O127" s="666">
        <f t="shared" si="7"/>
        <v>1</v>
      </c>
      <c r="P127" s="662">
        <v>2011</v>
      </c>
    </row>
    <row r="128" spans="1:16">
      <c r="A128" s="14" t="s">
        <v>3642</v>
      </c>
      <c r="B128" s="233">
        <v>225</v>
      </c>
      <c r="C128">
        <v>1</v>
      </c>
      <c r="D128">
        <v>225</v>
      </c>
      <c r="E128" t="s">
        <v>3642</v>
      </c>
      <c r="F128"/>
      <c r="G128"/>
      <c r="H128" t="str">
        <f t="shared" si="4"/>
        <v/>
      </c>
      <c r="I128" t="str">
        <f t="shared" si="5"/>
        <v/>
      </c>
      <c r="J128" s="421"/>
      <c r="K128" s="655" t="s">
        <v>7288</v>
      </c>
      <c r="L128" s="469" t="s">
        <v>7289</v>
      </c>
      <c r="M128" s="470">
        <v>2.776528100642691</v>
      </c>
      <c r="N128" s="656" t="str">
        <f t="shared" si="6"/>
        <v/>
      </c>
      <c r="O128" s="666">
        <f t="shared" si="7"/>
        <v>1</v>
      </c>
      <c r="P128" s="662" t="s">
        <v>7514</v>
      </c>
    </row>
    <row r="129" spans="1:16">
      <c r="A129" s="14" t="s">
        <v>3795</v>
      </c>
      <c r="B129" s="233">
        <v>226</v>
      </c>
      <c r="C129">
        <v>1</v>
      </c>
      <c r="D129">
        <v>226</v>
      </c>
      <c r="E129" t="s">
        <v>3795</v>
      </c>
      <c r="F129"/>
      <c r="G129"/>
      <c r="H129" t="str">
        <f t="shared" si="4"/>
        <v/>
      </c>
      <c r="I129" t="str">
        <f t="shared" si="5"/>
        <v/>
      </c>
      <c r="J129" s="421"/>
      <c r="K129" s="655" t="s">
        <v>7290</v>
      </c>
      <c r="L129" s="469" t="s">
        <v>7291</v>
      </c>
      <c r="M129" s="470">
        <v>0.73045874056101046</v>
      </c>
      <c r="N129" s="656" t="str">
        <f t="shared" si="6"/>
        <v/>
      </c>
      <c r="O129" s="666">
        <f t="shared" si="7"/>
        <v>1</v>
      </c>
      <c r="P129" s="662" t="s">
        <v>7514</v>
      </c>
    </row>
    <row r="130" spans="1:16">
      <c r="A130" s="14" t="s">
        <v>4895</v>
      </c>
      <c r="B130" s="233">
        <v>229</v>
      </c>
      <c r="C130">
        <v>2</v>
      </c>
      <c r="D130">
        <v>216</v>
      </c>
      <c r="E130" t="s">
        <v>321</v>
      </c>
      <c r="F130" t="s">
        <v>321</v>
      </c>
      <c r="G130" t="s">
        <v>6003</v>
      </c>
      <c r="H130" t="str">
        <f t="shared" si="4"/>
        <v>Brazil nuts, with shella</v>
      </c>
      <c r="I130">
        <f t="shared" si="5"/>
        <v>216</v>
      </c>
      <c r="J130" s="421">
        <v>0.55000000000000004</v>
      </c>
      <c r="K130" s="655">
        <v>29791</v>
      </c>
      <c r="L130" s="469">
        <v>231895</v>
      </c>
      <c r="M130" s="470">
        <v>7.7840623006948402</v>
      </c>
      <c r="N130" s="656">
        <f t="shared" si="6"/>
        <v>4.281234265382162</v>
      </c>
      <c r="O130" s="666">
        <f t="shared" si="7"/>
        <v>0.55000000000000004</v>
      </c>
      <c r="P130" s="662">
        <v>2011</v>
      </c>
    </row>
    <row r="131" spans="1:16">
      <c r="A131" s="14" t="s">
        <v>4346</v>
      </c>
      <c r="B131" s="233">
        <v>230</v>
      </c>
      <c r="C131">
        <v>2</v>
      </c>
      <c r="D131">
        <v>217</v>
      </c>
      <c r="E131" t="s">
        <v>4502</v>
      </c>
      <c r="F131" t="s">
        <v>4502</v>
      </c>
      <c r="G131" t="s">
        <v>6003</v>
      </c>
      <c r="H131" t="str">
        <f t="shared" si="4"/>
        <v>Cashew nuts, with shella</v>
      </c>
      <c r="I131">
        <f t="shared" si="5"/>
        <v>217</v>
      </c>
      <c r="J131" s="421">
        <v>0.3</v>
      </c>
      <c r="K131" s="655">
        <v>338378</v>
      </c>
      <c r="L131" s="469">
        <v>2601870</v>
      </c>
      <c r="M131" s="470">
        <v>7.6892410263078599</v>
      </c>
      <c r="N131" s="656">
        <f t="shared" si="6"/>
        <v>2.3067723078923579</v>
      </c>
      <c r="O131" s="666">
        <f t="shared" si="7"/>
        <v>0.3</v>
      </c>
      <c r="P131" s="662">
        <v>2011</v>
      </c>
    </row>
    <row r="132" spans="1:16">
      <c r="A132" s="14" t="s">
        <v>4439</v>
      </c>
      <c r="B132" s="233">
        <v>231</v>
      </c>
      <c r="C132">
        <v>2</v>
      </c>
      <c r="D132">
        <v>221</v>
      </c>
      <c r="E132" t="s">
        <v>2649</v>
      </c>
      <c r="F132" t="s">
        <v>2649</v>
      </c>
      <c r="G132"/>
      <c r="H132" t="str">
        <f t="shared" si="4"/>
        <v>Almonds, with shell</v>
      </c>
      <c r="I132">
        <f t="shared" si="5"/>
        <v>221</v>
      </c>
      <c r="J132" s="421">
        <v>0.5</v>
      </c>
      <c r="K132" s="655">
        <v>576883</v>
      </c>
      <c r="L132" s="469">
        <v>2845620</v>
      </c>
      <c r="M132" s="470">
        <v>4.9327506617459704</v>
      </c>
      <c r="N132" s="656">
        <f t="shared" si="6"/>
        <v>2.4663753308729852</v>
      </c>
      <c r="O132" s="666">
        <f t="shared" si="7"/>
        <v>0.5</v>
      </c>
      <c r="P132" s="662">
        <v>2011</v>
      </c>
    </row>
    <row r="133" spans="1:16">
      <c r="A133" s="14" t="s">
        <v>3545</v>
      </c>
      <c r="B133" s="233">
        <v>232</v>
      </c>
      <c r="C133">
        <v>2</v>
      </c>
      <c r="D133">
        <v>222</v>
      </c>
      <c r="E133" t="s">
        <v>1148</v>
      </c>
      <c r="F133" t="s">
        <v>1148</v>
      </c>
      <c r="G133" t="s">
        <v>6003</v>
      </c>
      <c r="H133" t="str">
        <f t="shared" si="4"/>
        <v>Walnuts, with shella</v>
      </c>
      <c r="I133">
        <f t="shared" si="5"/>
        <v>222</v>
      </c>
      <c r="J133" s="421">
        <v>0.53</v>
      </c>
      <c r="K133" s="655">
        <v>151007</v>
      </c>
      <c r="L133" s="469">
        <v>1167440</v>
      </c>
      <c r="M133" s="470">
        <v>7.7310323362493101</v>
      </c>
      <c r="N133" s="656">
        <f t="shared" si="6"/>
        <v>4.0974471382121349</v>
      </c>
      <c r="O133" s="666">
        <f t="shared" si="7"/>
        <v>0.53</v>
      </c>
      <c r="P133" s="662">
        <v>2011</v>
      </c>
    </row>
    <row r="134" spans="1:16">
      <c r="A134" s="14" t="s">
        <v>4735</v>
      </c>
      <c r="B134" s="233">
        <v>233</v>
      </c>
      <c r="C134">
        <v>2</v>
      </c>
      <c r="D134">
        <v>225</v>
      </c>
      <c r="E134" t="s">
        <v>3642</v>
      </c>
      <c r="F134" t="s">
        <v>3642</v>
      </c>
      <c r="G134" t="s">
        <v>6003</v>
      </c>
      <c r="H134" t="str">
        <f t="shared" si="4"/>
        <v>Hazelnuts, with shella</v>
      </c>
      <c r="I134">
        <f t="shared" si="5"/>
        <v>225</v>
      </c>
      <c r="J134" s="421">
        <v>0.5</v>
      </c>
      <c r="K134" s="655">
        <v>213189</v>
      </c>
      <c r="L134" s="469">
        <v>1462120</v>
      </c>
      <c r="M134" s="470">
        <v>6.8583275872582501</v>
      </c>
      <c r="N134" s="656">
        <f t="shared" si="6"/>
        <v>3.429163793629125</v>
      </c>
      <c r="O134" s="666">
        <f t="shared" si="7"/>
        <v>0.5</v>
      </c>
      <c r="P134" s="662">
        <v>2011</v>
      </c>
    </row>
    <row r="135" spans="1:16">
      <c r="A135" s="14" t="s">
        <v>895</v>
      </c>
      <c r="B135" s="233">
        <v>234</v>
      </c>
      <c r="C135">
        <v>1</v>
      </c>
      <c r="D135">
        <v>234</v>
      </c>
      <c r="E135" t="s">
        <v>895</v>
      </c>
      <c r="F135"/>
      <c r="G135"/>
      <c r="H135" t="str">
        <f t="shared" si="4"/>
        <v/>
      </c>
      <c r="I135" t="str">
        <f t="shared" si="5"/>
        <v/>
      </c>
      <c r="J135" s="421"/>
      <c r="K135" s="655">
        <v>426160</v>
      </c>
      <c r="L135" s="469">
        <v>1833810</v>
      </c>
      <c r="M135" s="470">
        <v>4.3031021212690099</v>
      </c>
      <c r="N135" s="656" t="str">
        <f t="shared" si="6"/>
        <v/>
      </c>
      <c r="O135" s="666">
        <f t="shared" si="7"/>
        <v>1</v>
      </c>
      <c r="P135" s="662">
        <v>2011</v>
      </c>
    </row>
    <row r="136" spans="1:16">
      <c r="A136" s="14" t="s">
        <v>7071</v>
      </c>
      <c r="B136" s="233">
        <v>235</v>
      </c>
      <c r="C136">
        <v>1</v>
      </c>
      <c r="D136">
        <v>235</v>
      </c>
      <c r="E136" t="s">
        <v>7071</v>
      </c>
      <c r="F136"/>
      <c r="G136"/>
      <c r="H136" t="str">
        <f t="shared" ref="H136:H199" si="8">F136&amp;G136</f>
        <v/>
      </c>
      <c r="I136" t="str">
        <f t="shared" ref="I136:I199" si="9">IFERROR(VLOOKUP(F136,$A$7:$B$590,2,FALSE),"")</f>
        <v/>
      </c>
      <c r="J136" s="421"/>
      <c r="K136" s="655">
        <v>501184</v>
      </c>
      <c r="L136" s="469">
        <v>2731450</v>
      </c>
      <c r="M136" s="470">
        <v>5.4499944132294704</v>
      </c>
      <c r="N136" s="656" t="str">
        <f t="shared" ref="N136:N199" si="10">IF(ISBLANK(J136),"",J136*M136)</f>
        <v/>
      </c>
      <c r="O136" s="666">
        <f t="shared" ref="O136:O199" si="11">IF(ISBLANK(F136),1,J136/(N136/SUMIF(H$7:H$601,H136,N$7:N$601))*VLOOKUP(F136,A$7:O$601,15,FALSE))</f>
        <v>1</v>
      </c>
      <c r="P136" s="662">
        <v>2011</v>
      </c>
    </row>
    <row r="137" spans="1:16">
      <c r="A137" s="14" t="s">
        <v>3905</v>
      </c>
      <c r="B137" s="233">
        <v>236</v>
      </c>
      <c r="C137">
        <v>1</v>
      </c>
      <c r="D137">
        <v>236</v>
      </c>
      <c r="E137" t="s">
        <v>3905</v>
      </c>
      <c r="F137"/>
      <c r="G137"/>
      <c r="H137" t="str">
        <f t="shared" si="8"/>
        <v/>
      </c>
      <c r="I137" t="str">
        <f t="shared" si="9"/>
        <v/>
      </c>
      <c r="J137" s="421"/>
      <c r="K137" s="655">
        <v>90814000</v>
      </c>
      <c r="L137" s="469">
        <v>51403300</v>
      </c>
      <c r="M137" s="470">
        <v>0.56602836567049097</v>
      </c>
      <c r="N137" s="656" t="str">
        <f t="shared" si="10"/>
        <v/>
      </c>
      <c r="O137" s="666">
        <f t="shared" si="11"/>
        <v>1</v>
      </c>
      <c r="P137" s="662">
        <v>2011</v>
      </c>
    </row>
    <row r="138" spans="1:16">
      <c r="A138" s="14" t="s">
        <v>3903</v>
      </c>
      <c r="B138" s="233">
        <v>237</v>
      </c>
      <c r="C138">
        <v>2</v>
      </c>
      <c r="D138">
        <v>236</v>
      </c>
      <c r="E138" t="s">
        <v>3905</v>
      </c>
      <c r="F138" t="s">
        <v>3905</v>
      </c>
      <c r="G138" t="s">
        <v>6003</v>
      </c>
      <c r="H138" t="str">
        <f t="shared" si="8"/>
        <v>Soybeansa</v>
      </c>
      <c r="I138">
        <f t="shared" si="9"/>
        <v>236</v>
      </c>
      <c r="J138" s="421">
        <v>0.18</v>
      </c>
      <c r="K138" s="655">
        <v>10202400</v>
      </c>
      <c r="L138" s="469">
        <v>12549700</v>
      </c>
      <c r="M138" s="470">
        <v>1.2300733160824899</v>
      </c>
      <c r="N138" s="656">
        <f t="shared" si="10"/>
        <v>0.22141319689484817</v>
      </c>
      <c r="O138" s="666">
        <f t="shared" si="11"/>
        <v>0.45730327472191562</v>
      </c>
      <c r="P138" s="662">
        <v>2011</v>
      </c>
    </row>
    <row r="139" spans="1:16">
      <c r="A139" s="14" t="s">
        <v>1455</v>
      </c>
      <c r="B139" s="233">
        <v>238</v>
      </c>
      <c r="C139">
        <v>2</v>
      </c>
      <c r="D139">
        <v>236</v>
      </c>
      <c r="E139" t="s">
        <v>3905</v>
      </c>
      <c r="F139" t="s">
        <v>3905</v>
      </c>
      <c r="G139" t="s">
        <v>6003</v>
      </c>
      <c r="H139" t="str">
        <f t="shared" si="8"/>
        <v>Soybeansa</v>
      </c>
      <c r="I139">
        <f t="shared" si="9"/>
        <v>236</v>
      </c>
      <c r="J139" s="421">
        <v>0.79</v>
      </c>
      <c r="K139" s="655">
        <v>63593100</v>
      </c>
      <c r="L139" s="469">
        <v>27458000</v>
      </c>
      <c r="M139" s="470">
        <v>0.43177640341483597</v>
      </c>
      <c r="N139" s="656">
        <f t="shared" si="10"/>
        <v>0.34110335869772046</v>
      </c>
      <c r="O139" s="666">
        <f t="shared" si="11"/>
        <v>1.302795963706525</v>
      </c>
      <c r="P139" s="662">
        <v>2011</v>
      </c>
    </row>
    <row r="140" spans="1:16">
      <c r="A140" s="14" t="s">
        <v>2023</v>
      </c>
      <c r="B140" s="233">
        <v>239</v>
      </c>
      <c r="C140">
        <v>2</v>
      </c>
      <c r="D140">
        <v>236</v>
      </c>
      <c r="E140" t="s">
        <v>3905</v>
      </c>
      <c r="F140" t="s">
        <v>3905</v>
      </c>
      <c r="G140" t="s">
        <v>6004</v>
      </c>
      <c r="H140" t="str">
        <f t="shared" si="8"/>
        <v>Soybeansb</v>
      </c>
      <c r="I140">
        <f t="shared" si="9"/>
        <v>236</v>
      </c>
      <c r="J140" s="421">
        <v>3.5</v>
      </c>
      <c r="K140" s="655">
        <v>299183</v>
      </c>
      <c r="L140" s="469">
        <v>473667</v>
      </c>
      <c r="M140" s="470">
        <v>1.58320158565159</v>
      </c>
      <c r="N140" s="656">
        <f t="shared" si="10"/>
        <v>5.5412055497805648</v>
      </c>
      <c r="O140" s="666">
        <f t="shared" si="11"/>
        <v>3.5</v>
      </c>
      <c r="P140" s="662">
        <v>2011</v>
      </c>
    </row>
    <row r="141" spans="1:16">
      <c r="A141" s="14" t="s">
        <v>664</v>
      </c>
      <c r="B141" s="233">
        <v>240</v>
      </c>
      <c r="C141">
        <v>2</v>
      </c>
      <c r="D141">
        <v>236</v>
      </c>
      <c r="E141" t="s">
        <v>3905</v>
      </c>
      <c r="F141" t="s">
        <v>3905</v>
      </c>
      <c r="G141" t="s">
        <v>6005</v>
      </c>
      <c r="H141" t="str">
        <f t="shared" si="8"/>
        <v>Soybeansc</v>
      </c>
      <c r="I141">
        <f t="shared" si="9"/>
        <v>236</v>
      </c>
      <c r="J141" s="421">
        <v>4.5</v>
      </c>
      <c r="K141" s="655">
        <v>116</v>
      </c>
      <c r="L141" s="469">
        <v>620</v>
      </c>
      <c r="M141" s="470">
        <v>0.187096774193548</v>
      </c>
      <c r="N141" s="656">
        <f t="shared" si="10"/>
        <v>0.84193548387096606</v>
      </c>
      <c r="O141" s="666">
        <f t="shared" si="11"/>
        <v>4.5</v>
      </c>
      <c r="P141" s="662">
        <v>2003</v>
      </c>
    </row>
    <row r="142" spans="1:16">
      <c r="A142" s="14" t="s">
        <v>663</v>
      </c>
      <c r="B142" s="233">
        <v>241</v>
      </c>
      <c r="C142">
        <v>2</v>
      </c>
      <c r="D142">
        <v>236</v>
      </c>
      <c r="E142" t="s">
        <v>3905</v>
      </c>
      <c r="F142" t="s">
        <v>3905</v>
      </c>
      <c r="G142" t="s">
        <v>6006</v>
      </c>
      <c r="H142" t="str">
        <f t="shared" si="8"/>
        <v>Soybeansd</v>
      </c>
      <c r="I142">
        <f t="shared" si="9"/>
        <v>236</v>
      </c>
      <c r="J142" s="421">
        <v>3.75</v>
      </c>
      <c r="K142" s="655" t="s">
        <v>7292</v>
      </c>
      <c r="L142" s="469" t="s">
        <v>7293</v>
      </c>
      <c r="M142" s="470">
        <v>2.7295330503335355</v>
      </c>
      <c r="N142" s="656">
        <f t="shared" si="10"/>
        <v>10.235748938750758</v>
      </c>
      <c r="O142" s="666">
        <f t="shared" si="11"/>
        <v>3.75</v>
      </c>
      <c r="P142" s="662" t="s">
        <v>7514</v>
      </c>
    </row>
    <row r="143" spans="1:16">
      <c r="A143" s="14" t="s">
        <v>3641</v>
      </c>
      <c r="B143" s="233">
        <v>242</v>
      </c>
      <c r="C143">
        <v>1</v>
      </c>
      <c r="D143">
        <v>242</v>
      </c>
      <c r="E143" t="s">
        <v>3641</v>
      </c>
      <c r="F143"/>
      <c r="G143"/>
      <c r="H143" t="str">
        <f t="shared" si="8"/>
        <v/>
      </c>
      <c r="I143" t="str">
        <f t="shared" si="9"/>
        <v/>
      </c>
      <c r="J143" s="421"/>
      <c r="K143" s="655" t="s">
        <v>7294</v>
      </c>
      <c r="L143" s="469" t="s">
        <v>7295</v>
      </c>
      <c r="M143" s="470">
        <v>1.1477842583127893</v>
      </c>
      <c r="N143" s="656" t="str">
        <f t="shared" si="10"/>
        <v/>
      </c>
      <c r="O143" s="666">
        <f t="shared" si="11"/>
        <v>1</v>
      </c>
      <c r="P143" s="662" t="s">
        <v>7514</v>
      </c>
    </row>
    <row r="144" spans="1:16">
      <c r="A144" s="14" t="s">
        <v>7051</v>
      </c>
      <c r="B144" s="233">
        <v>243</v>
      </c>
      <c r="C144">
        <v>2</v>
      </c>
      <c r="D144">
        <v>242</v>
      </c>
      <c r="E144" t="s">
        <v>3641</v>
      </c>
      <c r="F144" t="s">
        <v>3641</v>
      </c>
      <c r="G144" t="s">
        <v>6003</v>
      </c>
      <c r="H144" t="str">
        <f t="shared" si="8"/>
        <v>Groundnuts, with shella</v>
      </c>
      <c r="I144">
        <f t="shared" si="9"/>
        <v>242</v>
      </c>
      <c r="J144" s="421">
        <v>0.7</v>
      </c>
      <c r="K144" s="655">
        <v>1665520</v>
      </c>
      <c r="L144" s="469">
        <v>2255810</v>
      </c>
      <c r="M144" s="470">
        <v>1.35441783947356</v>
      </c>
      <c r="N144" s="656">
        <f t="shared" si="10"/>
        <v>0.9480924876314919</v>
      </c>
      <c r="O144" s="666">
        <f t="shared" si="11"/>
        <v>0.7</v>
      </c>
      <c r="P144" s="662">
        <v>2011</v>
      </c>
    </row>
    <row r="145" spans="1:16">
      <c r="A145" s="14" t="s">
        <v>4401</v>
      </c>
      <c r="B145" s="233">
        <v>244</v>
      </c>
      <c r="C145">
        <v>3</v>
      </c>
      <c r="D145">
        <v>242</v>
      </c>
      <c r="E145" t="s">
        <v>3641</v>
      </c>
      <c r="F145" t="s">
        <v>7051</v>
      </c>
      <c r="G145" t="s">
        <v>6003</v>
      </c>
      <c r="H145" t="str">
        <f t="shared" si="8"/>
        <v>Groundnuts, shelleda</v>
      </c>
      <c r="I145">
        <f t="shared" si="9"/>
        <v>243</v>
      </c>
      <c r="J145" s="421">
        <v>0.43</v>
      </c>
      <c r="K145" s="655">
        <v>225769</v>
      </c>
      <c r="L145" s="469">
        <v>390392</v>
      </c>
      <c r="M145" s="470">
        <v>1.7291656516173599</v>
      </c>
      <c r="N145" s="656">
        <f t="shared" si="10"/>
        <v>0.7435412301954647</v>
      </c>
      <c r="O145" s="666">
        <f t="shared" si="11"/>
        <v>0.38087073631584845</v>
      </c>
      <c r="P145" s="662">
        <v>2011</v>
      </c>
    </row>
    <row r="146" spans="1:16">
      <c r="A146" s="14" t="s">
        <v>1134</v>
      </c>
      <c r="B146" s="233">
        <v>245</v>
      </c>
      <c r="C146">
        <v>3</v>
      </c>
      <c r="D146">
        <v>242</v>
      </c>
      <c r="E146" t="s">
        <v>3641</v>
      </c>
      <c r="F146" t="s">
        <v>7051</v>
      </c>
      <c r="G146" t="s">
        <v>6003</v>
      </c>
      <c r="H146" t="str">
        <f t="shared" si="8"/>
        <v>Groundnuts, shelleda</v>
      </c>
      <c r="I146">
        <f t="shared" si="9"/>
        <v>243</v>
      </c>
      <c r="J146" s="421">
        <v>0.54</v>
      </c>
      <c r="K146" s="655">
        <v>190388</v>
      </c>
      <c r="L146" s="469">
        <v>69562</v>
      </c>
      <c r="M146" s="470">
        <v>0.36536966615542998</v>
      </c>
      <c r="N146" s="656">
        <f t="shared" si="10"/>
        <v>0.1972996197239322</v>
      </c>
      <c r="O146" s="666">
        <f t="shared" si="11"/>
        <v>1.8025267446898863</v>
      </c>
      <c r="P146" s="662">
        <v>2011</v>
      </c>
    </row>
    <row r="147" spans="1:16">
      <c r="A147" s="14" t="s">
        <v>2890</v>
      </c>
      <c r="B147" s="233">
        <v>246</v>
      </c>
      <c r="C147">
        <v>3</v>
      </c>
      <c r="D147">
        <v>242</v>
      </c>
      <c r="E147" t="s">
        <v>3641</v>
      </c>
      <c r="F147" t="s">
        <v>7051</v>
      </c>
      <c r="G147" t="s">
        <v>6004</v>
      </c>
      <c r="H147" t="str">
        <f t="shared" si="8"/>
        <v>Groundnuts, shelledb</v>
      </c>
      <c r="I147">
        <f t="shared" si="9"/>
        <v>243</v>
      </c>
      <c r="J147" s="421">
        <v>1</v>
      </c>
      <c r="K147" s="655" t="s">
        <v>7296</v>
      </c>
      <c r="L147" s="469" t="s">
        <v>7297</v>
      </c>
      <c r="M147" s="470">
        <v>2.05661546411236</v>
      </c>
      <c r="N147" s="656">
        <f t="shared" si="10"/>
        <v>2.05661546411236</v>
      </c>
      <c r="O147" s="666">
        <f t="shared" si="11"/>
        <v>0.7</v>
      </c>
      <c r="P147" s="662" t="s">
        <v>7514</v>
      </c>
    </row>
    <row r="148" spans="1:16">
      <c r="A148" s="14" t="s">
        <v>5229</v>
      </c>
      <c r="B148" s="233">
        <v>247</v>
      </c>
      <c r="C148">
        <v>3</v>
      </c>
      <c r="D148">
        <v>242</v>
      </c>
      <c r="E148" t="s">
        <v>3641</v>
      </c>
      <c r="F148" t="s">
        <v>7051</v>
      </c>
      <c r="G148" t="s">
        <v>6005</v>
      </c>
      <c r="H148" t="str">
        <f t="shared" si="8"/>
        <v>Groundnuts, shelledc</v>
      </c>
      <c r="I148">
        <f t="shared" si="9"/>
        <v>243</v>
      </c>
      <c r="J148" s="421">
        <v>0.85</v>
      </c>
      <c r="K148" s="655">
        <v>78922</v>
      </c>
      <c r="L148" s="469">
        <v>209315</v>
      </c>
      <c r="M148" s="470">
        <v>2.6521755657484598</v>
      </c>
      <c r="N148" s="656">
        <f t="shared" si="10"/>
        <v>2.254349230886191</v>
      </c>
      <c r="O148" s="666">
        <f t="shared" si="11"/>
        <v>0.59499999999999997</v>
      </c>
      <c r="P148" s="662">
        <v>2011</v>
      </c>
    </row>
    <row r="149" spans="1:16">
      <c r="A149" s="14" t="s">
        <v>882</v>
      </c>
      <c r="B149" s="233">
        <v>249</v>
      </c>
      <c r="C149">
        <v>1</v>
      </c>
      <c r="D149">
        <v>249</v>
      </c>
      <c r="E149" t="s">
        <v>882</v>
      </c>
      <c r="F149"/>
      <c r="G149"/>
      <c r="H149" t="str">
        <f t="shared" si="8"/>
        <v/>
      </c>
      <c r="I149" t="str">
        <f t="shared" si="9"/>
        <v/>
      </c>
      <c r="J149" s="421"/>
      <c r="K149" s="655">
        <v>587551</v>
      </c>
      <c r="L149" s="469">
        <v>313154</v>
      </c>
      <c r="M149" s="470">
        <v>0.53298181774858699</v>
      </c>
      <c r="N149" s="656" t="str">
        <f t="shared" si="10"/>
        <v/>
      </c>
      <c r="O149" s="666">
        <f t="shared" si="11"/>
        <v>1</v>
      </c>
      <c r="P149" s="662">
        <v>2011</v>
      </c>
    </row>
    <row r="150" spans="1:16">
      <c r="A150" s="14" t="s">
        <v>2712</v>
      </c>
      <c r="B150" s="233">
        <v>250</v>
      </c>
      <c r="C150">
        <v>2</v>
      </c>
      <c r="D150">
        <v>249</v>
      </c>
      <c r="E150" t="s">
        <v>882</v>
      </c>
      <c r="F150" t="s">
        <v>882</v>
      </c>
      <c r="G150" t="s">
        <v>6003</v>
      </c>
      <c r="H150" t="str">
        <f t="shared" si="8"/>
        <v>Coconutsa</v>
      </c>
      <c r="I150">
        <f t="shared" si="9"/>
        <v>249</v>
      </c>
      <c r="J150" s="421">
        <v>0.2</v>
      </c>
      <c r="K150" s="655">
        <v>310397</v>
      </c>
      <c r="L150" s="469">
        <v>708698</v>
      </c>
      <c r="M150" s="470">
        <v>2.2831986133886599</v>
      </c>
      <c r="N150" s="656">
        <f t="shared" si="10"/>
        <v>0.45663972267773201</v>
      </c>
      <c r="O150" s="666">
        <f t="shared" si="11"/>
        <v>0.2</v>
      </c>
      <c r="P150" s="662">
        <v>2011</v>
      </c>
    </row>
    <row r="151" spans="1:16">
      <c r="A151" s="14" t="s">
        <v>884</v>
      </c>
      <c r="B151" s="233">
        <v>251</v>
      </c>
      <c r="C151">
        <v>2</v>
      </c>
      <c r="D151">
        <v>249</v>
      </c>
      <c r="E151" t="s">
        <v>882</v>
      </c>
      <c r="F151" t="s">
        <v>882</v>
      </c>
      <c r="G151" t="s">
        <v>6004</v>
      </c>
      <c r="H151" t="str">
        <f t="shared" si="8"/>
        <v>Coconutsb</v>
      </c>
      <c r="I151">
        <f t="shared" si="9"/>
        <v>249</v>
      </c>
      <c r="J151" s="421">
        <v>0.21</v>
      </c>
      <c r="K151" s="655">
        <v>156837</v>
      </c>
      <c r="L151" s="469">
        <v>82288</v>
      </c>
      <c r="M151" s="470">
        <v>0.52467211181035101</v>
      </c>
      <c r="N151" s="656">
        <f t="shared" si="10"/>
        <v>0.1101811434801737</v>
      </c>
      <c r="O151" s="666">
        <f t="shared" si="11"/>
        <v>0.21</v>
      </c>
      <c r="P151" s="662">
        <v>2011</v>
      </c>
    </row>
    <row r="152" spans="1:16">
      <c r="A152" s="14" t="s">
        <v>3215</v>
      </c>
      <c r="B152" s="233">
        <v>252</v>
      </c>
      <c r="C152">
        <v>3</v>
      </c>
      <c r="D152">
        <v>249</v>
      </c>
      <c r="E152" t="s">
        <v>882</v>
      </c>
      <c r="F152" t="s">
        <v>884</v>
      </c>
      <c r="G152" t="s">
        <v>6003</v>
      </c>
      <c r="H152" t="str">
        <f t="shared" si="8"/>
        <v>Copraa</v>
      </c>
      <c r="I152">
        <f t="shared" si="9"/>
        <v>251</v>
      </c>
      <c r="J152" s="421">
        <v>0.61</v>
      </c>
      <c r="K152" s="655">
        <v>2127560</v>
      </c>
      <c r="L152" s="469">
        <v>3761240</v>
      </c>
      <c r="M152" s="470">
        <v>1.7678655361070901</v>
      </c>
      <c r="N152" s="656">
        <f t="shared" si="10"/>
        <v>1.0783979770253249</v>
      </c>
      <c r="O152" s="666">
        <f t="shared" si="11"/>
        <v>0.13752653317297925</v>
      </c>
      <c r="P152" s="662">
        <v>2011</v>
      </c>
    </row>
    <row r="153" spans="1:16">
      <c r="A153" s="14" t="s">
        <v>1370</v>
      </c>
      <c r="B153" s="233">
        <v>253</v>
      </c>
      <c r="C153">
        <v>3</v>
      </c>
      <c r="D153">
        <v>249</v>
      </c>
      <c r="E153" t="s">
        <v>882</v>
      </c>
      <c r="F153" t="s">
        <v>884</v>
      </c>
      <c r="G153" t="s">
        <v>6003</v>
      </c>
      <c r="H153" t="str">
        <f t="shared" si="8"/>
        <v>Copraa</v>
      </c>
      <c r="I153">
        <f t="shared" si="9"/>
        <v>251</v>
      </c>
      <c r="J153" s="421">
        <v>0.36</v>
      </c>
      <c r="K153" s="655">
        <v>606584</v>
      </c>
      <c r="L153" s="469">
        <v>133712</v>
      </c>
      <c r="M153" s="470">
        <v>0.220434432823813</v>
      </c>
      <c r="N153" s="656">
        <f t="shared" si="10"/>
        <v>7.9356395816572681E-2</v>
      </c>
      <c r="O153" s="666">
        <f t="shared" si="11"/>
        <v>1.1029511822734341</v>
      </c>
      <c r="P153" s="662">
        <v>2011</v>
      </c>
    </row>
    <row r="154" spans="1:16">
      <c r="A154" s="14" t="s">
        <v>793</v>
      </c>
      <c r="B154">
        <v>254</v>
      </c>
      <c r="C154">
        <v>1</v>
      </c>
      <c r="D154">
        <v>254</v>
      </c>
      <c r="E154" t="s">
        <v>793</v>
      </c>
      <c r="F154"/>
      <c r="G154"/>
      <c r="H154" t="str">
        <f t="shared" si="8"/>
        <v/>
      </c>
      <c r="I154" t="str">
        <f t="shared" si="9"/>
        <v/>
      </c>
      <c r="J154" s="421"/>
      <c r="K154" s="655" t="s">
        <v>7287</v>
      </c>
      <c r="L154" s="469" t="s">
        <v>7287</v>
      </c>
      <c r="M154" s="470">
        <v>0</v>
      </c>
      <c r="N154" s="656" t="str">
        <f t="shared" si="10"/>
        <v/>
      </c>
      <c r="O154" s="666">
        <f t="shared" si="11"/>
        <v>1</v>
      </c>
      <c r="P154" s="662" t="s">
        <v>7514</v>
      </c>
    </row>
    <row r="155" spans="1:16">
      <c r="A155" s="14" t="s">
        <v>3101</v>
      </c>
      <c r="B155" s="233">
        <v>256</v>
      </c>
      <c r="C155">
        <v>2</v>
      </c>
      <c r="D155">
        <v>254</v>
      </c>
      <c r="E155" t="s">
        <v>793</v>
      </c>
      <c r="F155" t="s">
        <v>793</v>
      </c>
      <c r="G155" t="s">
        <v>6003</v>
      </c>
      <c r="H155" t="str">
        <f t="shared" si="8"/>
        <v>Oil palm fruita</v>
      </c>
      <c r="I155">
        <f t="shared" si="9"/>
        <v>254</v>
      </c>
      <c r="J155" s="421">
        <v>0.06</v>
      </c>
      <c r="K155" s="655" t="s">
        <v>7298</v>
      </c>
      <c r="L155" s="469" t="s">
        <v>7299</v>
      </c>
      <c r="M155" s="470">
        <v>0.41887389358193383</v>
      </c>
      <c r="N155" s="656">
        <f t="shared" si="10"/>
        <v>2.513243361491603E-2</v>
      </c>
      <c r="O155" s="666">
        <f t="shared" si="11"/>
        <v>0.58109304659252659</v>
      </c>
      <c r="P155" s="662" t="s">
        <v>7514</v>
      </c>
    </row>
    <row r="156" spans="1:16">
      <c r="A156" s="14" t="s">
        <v>298</v>
      </c>
      <c r="B156" s="233">
        <v>257</v>
      </c>
      <c r="C156">
        <v>2</v>
      </c>
      <c r="D156">
        <v>254</v>
      </c>
      <c r="E156" t="s">
        <v>793</v>
      </c>
      <c r="F156" t="s">
        <v>793</v>
      </c>
      <c r="G156" t="s">
        <v>6003</v>
      </c>
      <c r="H156" t="str">
        <f t="shared" si="8"/>
        <v>Oil palm fruita</v>
      </c>
      <c r="I156">
        <f t="shared" si="9"/>
        <v>254</v>
      </c>
      <c r="J156" s="421">
        <v>0.19</v>
      </c>
      <c r="K156" s="655">
        <v>36589700</v>
      </c>
      <c r="L156" s="469">
        <v>42034300</v>
      </c>
      <c r="M156" s="470">
        <v>1.14880143865623</v>
      </c>
      <c r="N156" s="656">
        <f t="shared" si="10"/>
        <v>0.21827227334468369</v>
      </c>
      <c r="O156" s="666">
        <f t="shared" si="11"/>
        <v>0.21187709100043764</v>
      </c>
      <c r="P156" s="662">
        <v>2011</v>
      </c>
    </row>
    <row r="157" spans="1:16">
      <c r="A157" s="14" t="s">
        <v>3099</v>
      </c>
      <c r="B157" s="233">
        <v>258</v>
      </c>
      <c r="C157">
        <v>3</v>
      </c>
      <c r="D157">
        <v>254</v>
      </c>
      <c r="E157" t="s">
        <v>793</v>
      </c>
      <c r="F157" t="s">
        <v>3101</v>
      </c>
      <c r="G157" t="s">
        <v>6003</v>
      </c>
      <c r="H157" t="str">
        <f t="shared" si="8"/>
        <v>Palm kernelsa</v>
      </c>
      <c r="I157">
        <f t="shared" si="9"/>
        <v>256</v>
      </c>
      <c r="J157" s="421">
        <v>0.46</v>
      </c>
      <c r="K157" s="655">
        <v>2840990</v>
      </c>
      <c r="L157" s="469">
        <v>4706810</v>
      </c>
      <c r="M157" s="470">
        <v>1.6567499357618301</v>
      </c>
      <c r="N157" s="656">
        <f t="shared" si="10"/>
        <v>0.7621049704504419</v>
      </c>
      <c r="O157" s="666">
        <f t="shared" si="11"/>
        <v>0.30067538627889873</v>
      </c>
      <c r="P157" s="662">
        <v>2011</v>
      </c>
    </row>
    <row r="158" spans="1:16">
      <c r="A158" s="14" t="s">
        <v>3435</v>
      </c>
      <c r="B158" s="233">
        <v>259</v>
      </c>
      <c r="C158">
        <v>3</v>
      </c>
      <c r="D158">
        <v>254</v>
      </c>
      <c r="E158" t="s">
        <v>793</v>
      </c>
      <c r="F158" t="s">
        <v>3101</v>
      </c>
      <c r="G158" t="s">
        <v>6003</v>
      </c>
      <c r="H158" t="str">
        <f t="shared" si="8"/>
        <v>Palm kernelsa</v>
      </c>
      <c r="I158">
        <f t="shared" si="9"/>
        <v>256</v>
      </c>
      <c r="J158" s="421">
        <v>0.52</v>
      </c>
      <c r="K158" s="655">
        <v>5378600</v>
      </c>
      <c r="L158" s="469">
        <v>984163</v>
      </c>
      <c r="M158" s="470">
        <v>0.18297754062395399</v>
      </c>
      <c r="N158" s="656">
        <f t="shared" si="10"/>
        <v>9.5148321124456078E-2</v>
      </c>
      <c r="O158" s="666">
        <f t="shared" si="11"/>
        <v>2.7224320821236123</v>
      </c>
      <c r="P158" s="662">
        <v>2011</v>
      </c>
    </row>
    <row r="159" spans="1:16">
      <c r="A159" s="14" t="s">
        <v>3734</v>
      </c>
      <c r="B159" s="233">
        <v>260</v>
      </c>
      <c r="C159">
        <v>1</v>
      </c>
      <c r="D159">
        <v>260</v>
      </c>
      <c r="E159" t="s">
        <v>3734</v>
      </c>
      <c r="F159"/>
      <c r="G159"/>
      <c r="H159" t="str">
        <f t="shared" si="8"/>
        <v/>
      </c>
      <c r="I159" t="str">
        <f t="shared" si="9"/>
        <v/>
      </c>
      <c r="J159" s="421"/>
      <c r="K159" s="655">
        <v>33255</v>
      </c>
      <c r="L159" s="469">
        <v>47748</v>
      </c>
      <c r="M159" s="470">
        <v>1.43581416328372</v>
      </c>
      <c r="N159" s="656" t="str">
        <f t="shared" si="10"/>
        <v/>
      </c>
      <c r="O159" s="666">
        <f t="shared" si="11"/>
        <v>1</v>
      </c>
      <c r="P159" s="662">
        <v>2011</v>
      </c>
    </row>
    <row r="160" spans="1:16">
      <c r="A160" s="14" t="s">
        <v>2534</v>
      </c>
      <c r="B160" s="233">
        <v>261</v>
      </c>
      <c r="C160">
        <v>2</v>
      </c>
      <c r="D160">
        <v>260</v>
      </c>
      <c r="E160" t="s">
        <v>3734</v>
      </c>
      <c r="F160" t="s">
        <v>3734</v>
      </c>
      <c r="G160" t="s">
        <v>6003</v>
      </c>
      <c r="H160" t="str">
        <f t="shared" si="8"/>
        <v>Olivesa</v>
      </c>
      <c r="I160">
        <f t="shared" si="9"/>
        <v>260</v>
      </c>
      <c r="J160" s="421">
        <v>0.2</v>
      </c>
      <c r="K160" s="655">
        <v>1747190</v>
      </c>
      <c r="L160" s="469">
        <v>5888850</v>
      </c>
      <c r="M160" s="470">
        <v>3.3704691533262001</v>
      </c>
      <c r="N160" s="656">
        <f t="shared" si="10"/>
        <v>0.67409383066524009</v>
      </c>
      <c r="O160" s="666">
        <f t="shared" si="11"/>
        <v>0.21194017940086435</v>
      </c>
      <c r="P160" s="662">
        <v>2011</v>
      </c>
    </row>
    <row r="161" spans="1:16">
      <c r="A161" s="14" t="s">
        <v>4599</v>
      </c>
      <c r="B161" s="233">
        <v>262</v>
      </c>
      <c r="C161">
        <v>2</v>
      </c>
      <c r="D161">
        <v>260</v>
      </c>
      <c r="E161" t="s">
        <v>3734</v>
      </c>
      <c r="F161" t="s">
        <v>3734</v>
      </c>
      <c r="G161" t="s">
        <v>6004</v>
      </c>
      <c r="H161" t="str">
        <f t="shared" si="8"/>
        <v>Olivesb</v>
      </c>
      <c r="I161">
        <f t="shared" si="9"/>
        <v>260</v>
      </c>
      <c r="J161" s="421">
        <v>1</v>
      </c>
      <c r="K161" s="655">
        <v>984457</v>
      </c>
      <c r="L161" s="469">
        <v>1936160</v>
      </c>
      <c r="M161" s="470">
        <v>1.9667288667763001</v>
      </c>
      <c r="N161" s="656">
        <f t="shared" si="10"/>
        <v>1.9667288667763001</v>
      </c>
      <c r="O161" s="666">
        <f t="shared" si="11"/>
        <v>1</v>
      </c>
      <c r="P161" s="662">
        <v>2011</v>
      </c>
    </row>
    <row r="162" spans="1:16">
      <c r="A162" s="14" t="s">
        <v>3911</v>
      </c>
      <c r="B162" s="233">
        <v>263</v>
      </c>
      <c r="C162">
        <v>1</v>
      </c>
      <c r="D162">
        <v>263</v>
      </c>
      <c r="E162" t="s">
        <v>3911</v>
      </c>
      <c r="F162"/>
      <c r="G162"/>
      <c r="H162" t="str">
        <f t="shared" si="8"/>
        <v/>
      </c>
      <c r="I162" t="str">
        <f t="shared" si="9"/>
        <v/>
      </c>
      <c r="J162" s="421"/>
      <c r="K162" s="655" t="s">
        <v>7300</v>
      </c>
      <c r="L162" s="469" t="s">
        <v>7301</v>
      </c>
      <c r="M162" s="470">
        <v>7.9522862823061632E-2</v>
      </c>
      <c r="N162" s="656" t="str">
        <f t="shared" si="10"/>
        <v/>
      </c>
      <c r="O162" s="666">
        <f t="shared" si="11"/>
        <v>1</v>
      </c>
      <c r="P162" s="662" t="s">
        <v>7514</v>
      </c>
    </row>
    <row r="163" spans="1:16">
      <c r="A163" s="14" t="s">
        <v>104</v>
      </c>
      <c r="B163" s="233">
        <v>264</v>
      </c>
      <c r="C163">
        <v>2</v>
      </c>
      <c r="D163">
        <v>263</v>
      </c>
      <c r="E163" t="s">
        <v>5999</v>
      </c>
      <c r="F163" t="s">
        <v>5999</v>
      </c>
      <c r="G163" t="s">
        <v>6003</v>
      </c>
      <c r="H163" t="str">
        <f t="shared" si="8"/>
        <v>Karite nuts (sheanuts)a</v>
      </c>
      <c r="I163">
        <f t="shared" si="9"/>
        <v>263</v>
      </c>
      <c r="J163" s="421">
        <v>1</v>
      </c>
      <c r="K163" s="655">
        <v>200</v>
      </c>
      <c r="L163" s="469">
        <v>220</v>
      </c>
      <c r="M163" s="470">
        <v>0.90909090909090895</v>
      </c>
      <c r="N163" s="656">
        <f t="shared" si="10"/>
        <v>0.90909090909090895</v>
      </c>
      <c r="O163" s="666">
        <f t="shared" si="11"/>
        <v>1</v>
      </c>
      <c r="P163" s="662">
        <v>1998</v>
      </c>
    </row>
    <row r="164" spans="1:16">
      <c r="A164" s="14" t="s">
        <v>3739</v>
      </c>
      <c r="B164" s="233">
        <v>265</v>
      </c>
      <c r="C164">
        <v>1</v>
      </c>
      <c r="D164">
        <v>265</v>
      </c>
      <c r="E164" t="s">
        <v>3739</v>
      </c>
      <c r="F164"/>
      <c r="G164"/>
      <c r="H164" t="str">
        <f t="shared" si="8"/>
        <v/>
      </c>
      <c r="I164" t="str">
        <f t="shared" si="9"/>
        <v/>
      </c>
      <c r="J164" s="421"/>
      <c r="K164" s="655" t="s">
        <v>7302</v>
      </c>
      <c r="L164" s="469" t="s">
        <v>7303</v>
      </c>
      <c r="M164" s="470">
        <v>1.5740198946752486</v>
      </c>
      <c r="N164" s="656" t="str">
        <f t="shared" si="10"/>
        <v/>
      </c>
      <c r="O164" s="666">
        <f t="shared" si="11"/>
        <v>1</v>
      </c>
      <c r="P164" s="662" t="s">
        <v>7514</v>
      </c>
    </row>
    <row r="165" spans="1:16">
      <c r="A165" s="14" t="s">
        <v>2915</v>
      </c>
      <c r="B165" s="233">
        <v>266</v>
      </c>
      <c r="C165">
        <v>2</v>
      </c>
      <c r="D165">
        <v>265</v>
      </c>
      <c r="E165" t="s">
        <v>3739</v>
      </c>
      <c r="F165" t="s">
        <v>3739</v>
      </c>
      <c r="G165" t="s">
        <v>6003</v>
      </c>
      <c r="H165" t="str">
        <f t="shared" si="8"/>
        <v>Castor oil seeda</v>
      </c>
      <c r="I165">
        <f t="shared" si="9"/>
        <v>265</v>
      </c>
      <c r="J165" s="421">
        <v>0.4</v>
      </c>
      <c r="K165" s="655">
        <v>468419</v>
      </c>
      <c r="L165" s="469">
        <v>1063410</v>
      </c>
      <c r="M165" s="470">
        <v>2.2702110717114401</v>
      </c>
      <c r="N165" s="656">
        <f t="shared" si="10"/>
        <v>0.90808442868457606</v>
      </c>
      <c r="O165" s="666">
        <f t="shared" si="11"/>
        <v>0.4</v>
      </c>
      <c r="P165" s="662">
        <v>2011</v>
      </c>
    </row>
    <row r="166" spans="1:16">
      <c r="A166" s="14" t="s">
        <v>3774</v>
      </c>
      <c r="B166" s="233">
        <v>267</v>
      </c>
      <c r="C166">
        <v>1</v>
      </c>
      <c r="D166">
        <v>267</v>
      </c>
      <c r="E166" t="s">
        <v>3774</v>
      </c>
      <c r="F166"/>
      <c r="G166"/>
      <c r="H166" t="str">
        <f t="shared" si="8"/>
        <v/>
      </c>
      <c r="I166" t="str">
        <f t="shared" si="9"/>
        <v/>
      </c>
      <c r="J166" s="421"/>
      <c r="K166" s="655">
        <v>4650940</v>
      </c>
      <c r="L166" s="469">
        <v>3779680</v>
      </c>
      <c r="M166" s="470">
        <v>0.81267012689907803</v>
      </c>
      <c r="N166" s="656" t="str">
        <f t="shared" si="10"/>
        <v/>
      </c>
      <c r="O166" s="666">
        <f t="shared" si="11"/>
        <v>1</v>
      </c>
      <c r="P166" s="662">
        <v>2011</v>
      </c>
    </row>
    <row r="167" spans="1:16">
      <c r="A167" s="14" t="s">
        <v>3040</v>
      </c>
      <c r="B167" s="233">
        <v>268</v>
      </c>
      <c r="C167">
        <v>2</v>
      </c>
      <c r="D167">
        <v>267</v>
      </c>
      <c r="E167" t="s">
        <v>3774</v>
      </c>
      <c r="F167" t="s">
        <v>3774</v>
      </c>
      <c r="G167" t="s">
        <v>6003</v>
      </c>
      <c r="H167" t="str">
        <f t="shared" si="8"/>
        <v>Sunflower seeda</v>
      </c>
      <c r="I167">
        <f t="shared" si="9"/>
        <v>267</v>
      </c>
      <c r="J167" s="421">
        <v>0.41</v>
      </c>
      <c r="K167" s="655">
        <v>6486680</v>
      </c>
      <c r="L167" s="469">
        <v>9369440</v>
      </c>
      <c r="M167" s="470">
        <v>1.44441224170146</v>
      </c>
      <c r="N167" s="656">
        <f t="shared" si="10"/>
        <v>0.5922090190975986</v>
      </c>
      <c r="O167" s="666">
        <f t="shared" si="11"/>
        <v>0.49160895457689602</v>
      </c>
      <c r="P167" s="662">
        <v>2011</v>
      </c>
    </row>
    <row r="168" spans="1:16">
      <c r="A168" s="14" t="s">
        <v>3480</v>
      </c>
      <c r="B168" s="233">
        <v>269</v>
      </c>
      <c r="C168">
        <v>2</v>
      </c>
      <c r="D168">
        <v>267</v>
      </c>
      <c r="E168" t="s">
        <v>3774</v>
      </c>
      <c r="F168" t="s">
        <v>3774</v>
      </c>
      <c r="G168" t="s">
        <v>6003</v>
      </c>
      <c r="H168" t="str">
        <f t="shared" si="8"/>
        <v>Sunflower seeda</v>
      </c>
      <c r="I168">
        <f t="shared" si="9"/>
        <v>267</v>
      </c>
      <c r="J168" s="421">
        <v>0.47</v>
      </c>
      <c r="K168" s="655">
        <v>5753860</v>
      </c>
      <c r="L168" s="469">
        <v>1443080</v>
      </c>
      <c r="M168" s="470">
        <v>0.25080207026239798</v>
      </c>
      <c r="N168" s="656">
        <f t="shared" si="10"/>
        <v>0.11787697302332704</v>
      </c>
      <c r="O168" s="666">
        <f t="shared" si="11"/>
        <v>2.8312604891100324</v>
      </c>
      <c r="P168" s="662">
        <v>2011</v>
      </c>
    </row>
    <row r="169" spans="1:16">
      <c r="A169" s="14" t="s">
        <v>5387</v>
      </c>
      <c r="B169" s="233">
        <v>270</v>
      </c>
      <c r="C169">
        <v>1</v>
      </c>
      <c r="D169">
        <v>270</v>
      </c>
      <c r="E169" t="s">
        <v>5387</v>
      </c>
      <c r="F169"/>
      <c r="G169"/>
      <c r="H169" t="str">
        <f t="shared" si="8"/>
        <v/>
      </c>
      <c r="I169" t="str">
        <f t="shared" si="9"/>
        <v/>
      </c>
      <c r="J169" s="421"/>
      <c r="K169" s="655">
        <v>18029800</v>
      </c>
      <c r="L169" s="469">
        <v>11790000</v>
      </c>
      <c r="M169" s="470">
        <v>0.65391740340991</v>
      </c>
      <c r="N169" s="656" t="str">
        <f t="shared" si="10"/>
        <v/>
      </c>
      <c r="O169" s="666">
        <f t="shared" si="11"/>
        <v>1</v>
      </c>
      <c r="P169" s="662">
        <v>2011</v>
      </c>
    </row>
    <row r="170" spans="1:16">
      <c r="A170" s="14" t="s">
        <v>5388</v>
      </c>
      <c r="B170" s="233">
        <v>271</v>
      </c>
      <c r="C170">
        <v>2</v>
      </c>
      <c r="D170">
        <v>270</v>
      </c>
      <c r="E170" t="s">
        <v>5387</v>
      </c>
      <c r="F170" t="s">
        <v>5387</v>
      </c>
      <c r="G170" t="s">
        <v>6003</v>
      </c>
      <c r="H170" t="str">
        <f t="shared" si="8"/>
        <v>Rapeseeda</v>
      </c>
      <c r="I170">
        <f t="shared" si="9"/>
        <v>270</v>
      </c>
      <c r="J170" s="421">
        <v>0.38</v>
      </c>
      <c r="K170" s="655">
        <v>5787300</v>
      </c>
      <c r="L170" s="469">
        <v>7855910</v>
      </c>
      <c r="M170" s="470">
        <v>1.35743956594612</v>
      </c>
      <c r="N170" s="656">
        <f t="shared" si="10"/>
        <v>0.51582703505952565</v>
      </c>
      <c r="O170" s="666">
        <f t="shared" si="11"/>
        <v>0.50225252247592012</v>
      </c>
      <c r="P170" s="662">
        <v>2011</v>
      </c>
    </row>
    <row r="171" spans="1:16">
      <c r="A171" s="14" t="s">
        <v>1454</v>
      </c>
      <c r="B171" s="233">
        <v>272</v>
      </c>
      <c r="C171">
        <v>2</v>
      </c>
      <c r="D171">
        <v>270</v>
      </c>
      <c r="E171" t="s">
        <v>5387</v>
      </c>
      <c r="F171" t="s">
        <v>5387</v>
      </c>
      <c r="G171" t="s">
        <v>6003</v>
      </c>
      <c r="H171" t="str">
        <f t="shared" si="8"/>
        <v>Rapeseeda</v>
      </c>
      <c r="I171">
        <f t="shared" si="9"/>
        <v>270</v>
      </c>
      <c r="J171" s="421">
        <v>0.6</v>
      </c>
      <c r="K171" s="655">
        <v>9108480</v>
      </c>
      <c r="L171" s="469">
        <v>2519260</v>
      </c>
      <c r="M171" s="470">
        <v>0.27658401840921898</v>
      </c>
      <c r="N171" s="656">
        <f t="shared" si="10"/>
        <v>0.16595041104553138</v>
      </c>
      <c r="O171" s="666">
        <f t="shared" si="11"/>
        <v>2.464992193064226</v>
      </c>
      <c r="P171" s="662">
        <v>2011</v>
      </c>
    </row>
    <row r="172" spans="1:16">
      <c r="A172" s="14" t="s">
        <v>622</v>
      </c>
      <c r="B172" s="233">
        <v>273</v>
      </c>
      <c r="C172">
        <v>2</v>
      </c>
      <c r="D172">
        <v>260</v>
      </c>
      <c r="E172" t="s">
        <v>3734</v>
      </c>
      <c r="F172" t="s">
        <v>3734</v>
      </c>
      <c r="G172" t="s">
        <v>6003</v>
      </c>
      <c r="H172" t="str">
        <f t="shared" si="8"/>
        <v>Olivesa</v>
      </c>
      <c r="I172">
        <f t="shared" si="9"/>
        <v>260</v>
      </c>
      <c r="J172" s="421">
        <v>0.4</v>
      </c>
      <c r="K172" s="655" t="s">
        <v>7304</v>
      </c>
      <c r="L172" s="469" t="s">
        <v>7305</v>
      </c>
      <c r="M172" s="470">
        <v>0.10061001588948537</v>
      </c>
      <c r="N172" s="656">
        <f t="shared" si="10"/>
        <v>4.024400635579415E-2</v>
      </c>
      <c r="O172" s="666">
        <f t="shared" si="11"/>
        <v>7.100066834356686</v>
      </c>
      <c r="P172" s="662" t="s">
        <v>7514</v>
      </c>
    </row>
    <row r="173" spans="1:16">
      <c r="A173" s="14" t="s">
        <v>3618</v>
      </c>
      <c r="B173" s="233">
        <v>274</v>
      </c>
      <c r="C173">
        <v>3</v>
      </c>
      <c r="D173">
        <v>260</v>
      </c>
      <c r="E173" t="s">
        <v>3734</v>
      </c>
      <c r="F173" t="s">
        <v>622</v>
      </c>
      <c r="G173" t="s">
        <v>6003</v>
      </c>
      <c r="H173" t="str">
        <f t="shared" si="8"/>
        <v>Olive Residuesa</v>
      </c>
      <c r="I173">
        <f t="shared" si="9"/>
        <v>273</v>
      </c>
      <c r="J173" s="421">
        <v>0.05</v>
      </c>
      <c r="K173" s="655">
        <v>126771</v>
      </c>
      <c r="L173" s="469">
        <v>240368</v>
      </c>
      <c r="M173" s="470">
        <v>1.8960803338302901</v>
      </c>
      <c r="N173" s="656">
        <f t="shared" si="10"/>
        <v>9.4804016691514503E-2</v>
      </c>
      <c r="O173" s="666">
        <f t="shared" si="11"/>
        <v>0.35500334171783432</v>
      </c>
      <c r="P173" s="662">
        <v>2011</v>
      </c>
    </row>
    <row r="174" spans="1:16">
      <c r="A174" s="14" t="s">
        <v>3560</v>
      </c>
      <c r="B174" s="233">
        <v>275</v>
      </c>
      <c r="C174">
        <v>1</v>
      </c>
      <c r="D174">
        <v>275</v>
      </c>
      <c r="E174" t="s">
        <v>3560</v>
      </c>
      <c r="F174"/>
      <c r="G174"/>
      <c r="H174" t="str">
        <f t="shared" si="8"/>
        <v/>
      </c>
      <c r="I174" t="str">
        <f t="shared" si="9"/>
        <v/>
      </c>
      <c r="J174" s="421"/>
      <c r="K174" s="655" t="s">
        <v>7306</v>
      </c>
      <c r="L174" s="469" t="s">
        <v>7307</v>
      </c>
      <c r="M174" s="470">
        <v>2.2000000000000002</v>
      </c>
      <c r="N174" s="656" t="str">
        <f t="shared" si="10"/>
        <v/>
      </c>
      <c r="O174" s="666">
        <f t="shared" si="11"/>
        <v>1</v>
      </c>
      <c r="P174" s="662" t="s">
        <v>7514</v>
      </c>
    </row>
    <row r="175" spans="1:16">
      <c r="A175" s="14" t="s">
        <v>4597</v>
      </c>
      <c r="B175" s="233">
        <v>276</v>
      </c>
      <c r="C175">
        <v>2</v>
      </c>
      <c r="D175">
        <v>275</v>
      </c>
      <c r="E175" t="s">
        <v>3560</v>
      </c>
      <c r="F175" t="s">
        <v>3560</v>
      </c>
      <c r="G175" t="s">
        <v>6003</v>
      </c>
      <c r="H175" t="str">
        <f t="shared" si="8"/>
        <v>Tung Nutsa</v>
      </c>
      <c r="I175">
        <f t="shared" si="9"/>
        <v>275</v>
      </c>
      <c r="J175" s="421">
        <v>0.5</v>
      </c>
      <c r="K175" s="655" t="s">
        <v>7308</v>
      </c>
      <c r="L175" s="469" t="s">
        <v>7309</v>
      </c>
      <c r="M175" s="470">
        <v>2.6377749029754205</v>
      </c>
      <c r="N175" s="656">
        <f t="shared" si="10"/>
        <v>1.3188874514877102</v>
      </c>
      <c r="O175" s="666">
        <f t="shared" si="11"/>
        <v>0.5</v>
      </c>
      <c r="P175" s="662" t="s">
        <v>7514</v>
      </c>
    </row>
    <row r="176" spans="1:16">
      <c r="A176" s="14" t="s">
        <v>7310</v>
      </c>
      <c r="B176" s="233">
        <v>277</v>
      </c>
      <c r="C176">
        <v>1</v>
      </c>
      <c r="D176">
        <v>277</v>
      </c>
      <c r="E176" t="s">
        <v>6876</v>
      </c>
      <c r="F176"/>
      <c r="G176"/>
      <c r="H176" t="str">
        <f t="shared" si="8"/>
        <v/>
      </c>
      <c r="I176" t="str">
        <f t="shared" si="9"/>
        <v/>
      </c>
      <c r="J176" s="421"/>
      <c r="K176" s="655" t="s">
        <v>7287</v>
      </c>
      <c r="L176" s="469" t="s">
        <v>7287</v>
      </c>
      <c r="M176" s="470">
        <v>0</v>
      </c>
      <c r="N176" s="656" t="str">
        <f t="shared" si="10"/>
        <v/>
      </c>
      <c r="O176" s="666">
        <f t="shared" si="11"/>
        <v>1</v>
      </c>
      <c r="P176" s="662" t="s">
        <v>7514</v>
      </c>
    </row>
    <row r="177" spans="1:16">
      <c r="A177" s="14" t="s">
        <v>916</v>
      </c>
      <c r="B177" s="233">
        <v>278</v>
      </c>
      <c r="C177">
        <v>2</v>
      </c>
      <c r="D177">
        <v>277</v>
      </c>
      <c r="E177" t="s">
        <v>6876</v>
      </c>
      <c r="F177" t="s">
        <v>6876</v>
      </c>
      <c r="G177" t="s">
        <v>6003</v>
      </c>
      <c r="H177" t="str">
        <f t="shared" si="8"/>
        <v>Jojoba seeda</v>
      </c>
      <c r="I177">
        <f t="shared" si="9"/>
        <v>277</v>
      </c>
      <c r="J177" s="421">
        <v>0.43</v>
      </c>
      <c r="K177" s="655" t="s">
        <v>7311</v>
      </c>
      <c r="L177" s="469" t="s">
        <v>7312</v>
      </c>
      <c r="M177" s="470">
        <v>7.3909224011713031</v>
      </c>
      <c r="N177" s="656">
        <f t="shared" si="10"/>
        <v>3.1780966325036601</v>
      </c>
      <c r="O177" s="666">
        <f t="shared" si="11"/>
        <v>0.43</v>
      </c>
      <c r="P177" s="662" t="s">
        <v>7514</v>
      </c>
    </row>
    <row r="178" spans="1:16">
      <c r="A178" s="14" t="s">
        <v>5151</v>
      </c>
      <c r="B178" s="233">
        <v>280</v>
      </c>
      <c r="C178">
        <v>1</v>
      </c>
      <c r="D178">
        <v>280</v>
      </c>
      <c r="E178" t="s">
        <v>5151</v>
      </c>
      <c r="F178"/>
      <c r="G178"/>
      <c r="H178" t="str">
        <f t="shared" si="8"/>
        <v/>
      </c>
      <c r="I178" t="str">
        <f t="shared" si="9"/>
        <v/>
      </c>
      <c r="J178" s="421"/>
      <c r="K178" s="655" t="s">
        <v>7313</v>
      </c>
      <c r="L178" s="469" t="s">
        <v>7314</v>
      </c>
      <c r="M178" s="470">
        <v>0.59569230769230774</v>
      </c>
      <c r="N178" s="656" t="str">
        <f t="shared" si="10"/>
        <v/>
      </c>
      <c r="O178" s="666">
        <f t="shared" si="11"/>
        <v>1</v>
      </c>
      <c r="P178" s="662" t="s">
        <v>7514</v>
      </c>
    </row>
    <row r="179" spans="1:16">
      <c r="A179" s="14" t="s">
        <v>2175</v>
      </c>
      <c r="B179" s="233">
        <v>281</v>
      </c>
      <c r="C179">
        <v>2</v>
      </c>
      <c r="D179">
        <v>280</v>
      </c>
      <c r="E179" t="s">
        <v>5151</v>
      </c>
      <c r="F179" t="s">
        <v>5151</v>
      </c>
      <c r="G179" t="s">
        <v>6003</v>
      </c>
      <c r="H179" t="str">
        <f t="shared" si="8"/>
        <v>Safflower seeda</v>
      </c>
      <c r="I179">
        <f t="shared" si="9"/>
        <v>280</v>
      </c>
      <c r="J179" s="421">
        <v>0.38</v>
      </c>
      <c r="K179" s="655">
        <v>72456</v>
      </c>
      <c r="L179" s="469">
        <v>118735</v>
      </c>
      <c r="M179" s="470">
        <v>1.63871867064149</v>
      </c>
      <c r="N179" s="656">
        <f t="shared" si="10"/>
        <v>0.62271309484376625</v>
      </c>
      <c r="O179" s="666">
        <f t="shared" si="11"/>
        <v>2.2106986145618426</v>
      </c>
      <c r="P179" s="662">
        <v>2011</v>
      </c>
    </row>
    <row r="180" spans="1:16">
      <c r="A180" s="14" t="s">
        <v>5303</v>
      </c>
      <c r="B180" s="233">
        <v>282</v>
      </c>
      <c r="C180">
        <v>2</v>
      </c>
      <c r="D180">
        <v>280</v>
      </c>
      <c r="E180" t="s">
        <v>5151</v>
      </c>
      <c r="F180" t="s">
        <v>5151</v>
      </c>
      <c r="G180" t="s">
        <v>6003</v>
      </c>
      <c r="H180" t="str">
        <f t="shared" si="8"/>
        <v>Safflower seeda</v>
      </c>
      <c r="I180">
        <f t="shared" si="9"/>
        <v>280</v>
      </c>
      <c r="J180" s="421">
        <v>0.6</v>
      </c>
      <c r="K180" s="655">
        <v>10</v>
      </c>
      <c r="L180" s="469">
        <v>2</v>
      </c>
      <c r="M180" s="470">
        <v>5</v>
      </c>
      <c r="N180" s="656">
        <f t="shared" si="10"/>
        <v>3</v>
      </c>
      <c r="O180" s="666">
        <f t="shared" si="11"/>
        <v>0.72454261896875316</v>
      </c>
      <c r="P180" s="662">
        <v>1985</v>
      </c>
    </row>
    <row r="181" spans="1:16">
      <c r="A181" s="14" t="s">
        <v>2680</v>
      </c>
      <c r="B181" s="233">
        <v>289</v>
      </c>
      <c r="C181">
        <v>1</v>
      </c>
      <c r="D181">
        <v>289</v>
      </c>
      <c r="E181" t="s">
        <v>2680</v>
      </c>
      <c r="F181"/>
      <c r="G181"/>
      <c r="H181" t="str">
        <f t="shared" si="8"/>
        <v/>
      </c>
      <c r="I181" t="str">
        <f t="shared" si="9"/>
        <v/>
      </c>
      <c r="J181" s="421"/>
      <c r="K181" s="655">
        <v>1403490</v>
      </c>
      <c r="L181" s="469">
        <v>1986140</v>
      </c>
      <c r="M181" s="470">
        <v>1.4151436775466899</v>
      </c>
      <c r="N181" s="656" t="str">
        <f t="shared" si="10"/>
        <v/>
      </c>
      <c r="O181" s="666">
        <f t="shared" si="11"/>
        <v>1</v>
      </c>
      <c r="P181" s="662">
        <v>2011</v>
      </c>
    </row>
    <row r="182" spans="1:16">
      <c r="A182" s="14" t="s">
        <v>2678</v>
      </c>
      <c r="B182" s="233">
        <v>290</v>
      </c>
      <c r="C182">
        <v>2</v>
      </c>
      <c r="D182">
        <v>289</v>
      </c>
      <c r="E182" t="s">
        <v>2680</v>
      </c>
      <c r="F182" t="s">
        <v>2680</v>
      </c>
      <c r="G182" t="s">
        <v>6003</v>
      </c>
      <c r="H182" t="str">
        <f t="shared" si="8"/>
        <v>Sesame seeda</v>
      </c>
      <c r="I182">
        <f t="shared" si="9"/>
        <v>289</v>
      </c>
      <c r="J182" s="421">
        <v>0.43</v>
      </c>
      <c r="K182" s="655">
        <v>52193</v>
      </c>
      <c r="L182" s="469">
        <v>188394</v>
      </c>
      <c r="M182" s="470">
        <v>3.6095645009867199</v>
      </c>
      <c r="N182" s="656">
        <f t="shared" si="10"/>
        <v>1.5521127354242896</v>
      </c>
      <c r="O182" s="666">
        <f t="shared" si="11"/>
        <v>1.0821136145933126</v>
      </c>
      <c r="P182" s="662">
        <v>2011</v>
      </c>
    </row>
    <row r="183" spans="1:16">
      <c r="A183" s="14" t="s">
        <v>1299</v>
      </c>
      <c r="B183" s="233">
        <v>291</v>
      </c>
      <c r="C183">
        <v>2</v>
      </c>
      <c r="D183">
        <v>289</v>
      </c>
      <c r="E183" t="s">
        <v>2680</v>
      </c>
      <c r="F183" t="s">
        <v>2680</v>
      </c>
      <c r="G183" t="s">
        <v>6003</v>
      </c>
      <c r="H183" t="str">
        <f t="shared" si="8"/>
        <v>Sesame seeda</v>
      </c>
      <c r="I183">
        <f t="shared" si="9"/>
        <v>289</v>
      </c>
      <c r="J183" s="421">
        <v>0.51</v>
      </c>
      <c r="K183" s="655">
        <v>60</v>
      </c>
      <c r="L183" s="469">
        <v>13</v>
      </c>
      <c r="M183" s="470">
        <v>4.6153846153846203</v>
      </c>
      <c r="N183" s="656">
        <f t="shared" si="10"/>
        <v>2.3538461538461566</v>
      </c>
      <c r="O183" s="666">
        <f t="shared" si="11"/>
        <v>0.84629109267526237</v>
      </c>
      <c r="P183" s="662">
        <v>2009</v>
      </c>
    </row>
    <row r="184" spans="1:16">
      <c r="A184" s="14" t="s">
        <v>787</v>
      </c>
      <c r="B184" s="233">
        <v>292</v>
      </c>
      <c r="C184">
        <v>1</v>
      </c>
      <c r="D184">
        <v>292</v>
      </c>
      <c r="E184" t="s">
        <v>787</v>
      </c>
      <c r="F184"/>
      <c r="G184"/>
      <c r="H184" t="str">
        <f t="shared" si="8"/>
        <v/>
      </c>
      <c r="I184" t="str">
        <f t="shared" si="9"/>
        <v/>
      </c>
      <c r="J184" s="421"/>
      <c r="K184" s="655">
        <v>263040</v>
      </c>
      <c r="L184" s="469">
        <v>212483</v>
      </c>
      <c r="M184" s="470">
        <v>0.80779729318734805</v>
      </c>
      <c r="N184" s="656" t="str">
        <f t="shared" si="10"/>
        <v/>
      </c>
      <c r="O184" s="666">
        <f t="shared" si="11"/>
        <v>1</v>
      </c>
      <c r="P184" s="662">
        <v>2011</v>
      </c>
    </row>
    <row r="185" spans="1:16">
      <c r="A185" s="14" t="s">
        <v>785</v>
      </c>
      <c r="B185" s="233">
        <v>293</v>
      </c>
      <c r="C185">
        <v>2</v>
      </c>
      <c r="D185">
        <v>292</v>
      </c>
      <c r="E185" t="s">
        <v>787</v>
      </c>
      <c r="F185" t="s">
        <v>787</v>
      </c>
      <c r="G185" t="s">
        <v>6003</v>
      </c>
      <c r="H185" t="str">
        <f t="shared" si="8"/>
        <v>Mustard seeda</v>
      </c>
      <c r="I185">
        <f t="shared" si="9"/>
        <v>292</v>
      </c>
      <c r="J185" s="421">
        <v>0.36</v>
      </c>
      <c r="K185" s="655" t="s">
        <v>7315</v>
      </c>
      <c r="L185" s="469" t="s">
        <v>7316</v>
      </c>
      <c r="M185" s="470">
        <v>1.3974370544174715</v>
      </c>
      <c r="N185" s="656">
        <f t="shared" si="10"/>
        <v>0.50307733959028966</v>
      </c>
      <c r="O185" s="666">
        <f t="shared" si="11"/>
        <v>4.1634997700609579</v>
      </c>
      <c r="P185" s="662" t="s">
        <v>7514</v>
      </c>
    </row>
    <row r="186" spans="1:16">
      <c r="A186" s="14" t="s">
        <v>150</v>
      </c>
      <c r="B186" s="233">
        <v>294</v>
      </c>
      <c r="C186">
        <v>2</v>
      </c>
      <c r="D186">
        <v>292</v>
      </c>
      <c r="E186" t="s">
        <v>787</v>
      </c>
      <c r="F186" t="s">
        <v>787</v>
      </c>
      <c r="G186" t="s">
        <v>6003</v>
      </c>
      <c r="H186" t="str">
        <f t="shared" si="8"/>
        <v>Mustard seeda</v>
      </c>
      <c r="I186">
        <f t="shared" si="9"/>
        <v>292</v>
      </c>
      <c r="J186" s="421">
        <v>0.6</v>
      </c>
      <c r="K186" s="655">
        <v>877</v>
      </c>
      <c r="L186" s="469">
        <v>99</v>
      </c>
      <c r="M186" s="470">
        <v>8.8585858585858599</v>
      </c>
      <c r="N186" s="656">
        <f t="shared" si="10"/>
        <v>5.3151515151515154</v>
      </c>
      <c r="O186" s="666">
        <f t="shared" si="11"/>
        <v>0.65678980230266659</v>
      </c>
      <c r="P186" s="662">
        <v>1992</v>
      </c>
    </row>
    <row r="187" spans="1:16">
      <c r="A187" s="14" t="s">
        <v>5055</v>
      </c>
      <c r="B187" s="233">
        <v>295</v>
      </c>
      <c r="C187">
        <v>2</v>
      </c>
      <c r="D187">
        <v>292</v>
      </c>
      <c r="E187" t="s">
        <v>787</v>
      </c>
      <c r="F187" t="s">
        <v>787</v>
      </c>
      <c r="G187" t="s">
        <v>6004</v>
      </c>
      <c r="H187" t="str">
        <f t="shared" si="8"/>
        <v>Mustard seedb</v>
      </c>
      <c r="I187">
        <f t="shared" si="9"/>
        <v>292</v>
      </c>
      <c r="J187" s="421">
        <v>0.8</v>
      </c>
      <c r="K187" s="655">
        <v>156090</v>
      </c>
      <c r="L187" s="469">
        <v>294225</v>
      </c>
      <c r="M187" s="470">
        <v>1.88497020949452</v>
      </c>
      <c r="N187" s="656">
        <f t="shared" si="10"/>
        <v>1.507976167595616</v>
      </c>
      <c r="O187" s="666">
        <f t="shared" si="11"/>
        <v>0.8</v>
      </c>
      <c r="P187" s="662">
        <v>2011</v>
      </c>
    </row>
    <row r="188" spans="1:16">
      <c r="A188" s="14" t="s">
        <v>3682</v>
      </c>
      <c r="B188" s="233">
        <v>296</v>
      </c>
      <c r="C188">
        <v>1</v>
      </c>
      <c r="D188">
        <v>296</v>
      </c>
      <c r="E188" t="s">
        <v>3682</v>
      </c>
      <c r="F188"/>
      <c r="G188"/>
      <c r="H188" t="str">
        <f t="shared" si="8"/>
        <v/>
      </c>
      <c r="I188" t="str">
        <f t="shared" si="9"/>
        <v/>
      </c>
      <c r="J188" s="421"/>
      <c r="K188" s="655">
        <v>84112</v>
      </c>
      <c r="L188" s="469">
        <v>153676</v>
      </c>
      <c r="M188" s="470">
        <v>1.82704013696024</v>
      </c>
      <c r="N188" s="656" t="str">
        <f t="shared" si="10"/>
        <v/>
      </c>
      <c r="O188" s="666">
        <f t="shared" si="11"/>
        <v>1</v>
      </c>
      <c r="P188" s="662">
        <v>2011</v>
      </c>
    </row>
    <row r="189" spans="1:16">
      <c r="A189" s="14" t="s">
        <v>540</v>
      </c>
      <c r="B189" s="233">
        <v>297</v>
      </c>
      <c r="C189">
        <v>2</v>
      </c>
      <c r="D189">
        <v>296</v>
      </c>
      <c r="E189" t="s">
        <v>3682</v>
      </c>
      <c r="F189" t="s">
        <v>3682</v>
      </c>
      <c r="G189" t="s">
        <v>6003</v>
      </c>
      <c r="H189" t="str">
        <f t="shared" si="8"/>
        <v>Poppy seeda</v>
      </c>
      <c r="I189">
        <f t="shared" si="9"/>
        <v>296</v>
      </c>
      <c r="J189" s="421">
        <v>0.4</v>
      </c>
      <c r="K189" s="655">
        <v>293</v>
      </c>
      <c r="L189" s="469">
        <v>102</v>
      </c>
      <c r="M189" s="470">
        <v>2.87254901960784</v>
      </c>
      <c r="N189" s="656">
        <f t="shared" si="10"/>
        <v>1.1490196078431361</v>
      </c>
      <c r="O189" s="666">
        <f t="shared" si="11"/>
        <v>0.4</v>
      </c>
      <c r="P189" s="662">
        <v>1992</v>
      </c>
    </row>
    <row r="190" spans="1:16">
      <c r="A190" s="14" t="s">
        <v>2772</v>
      </c>
      <c r="B190" s="233">
        <v>299</v>
      </c>
      <c r="C190">
        <v>1</v>
      </c>
      <c r="D190">
        <v>299</v>
      </c>
      <c r="E190" t="s">
        <v>2772</v>
      </c>
      <c r="F190"/>
      <c r="G190"/>
      <c r="H190" t="str">
        <f t="shared" si="8"/>
        <v/>
      </c>
      <c r="I190" t="str">
        <f t="shared" si="9"/>
        <v/>
      </c>
      <c r="J190" s="421"/>
      <c r="K190" s="655" t="s">
        <v>7317</v>
      </c>
      <c r="L190" s="469" t="s">
        <v>7318</v>
      </c>
      <c r="M190" s="470">
        <v>0.26709502874535002</v>
      </c>
      <c r="N190" s="656" t="str">
        <f t="shared" si="10"/>
        <v/>
      </c>
      <c r="O190" s="666">
        <f t="shared" si="11"/>
        <v>1</v>
      </c>
      <c r="P190" s="662" t="s">
        <v>7514</v>
      </c>
    </row>
    <row r="191" spans="1:16">
      <c r="A191" s="14" t="s">
        <v>6880</v>
      </c>
      <c r="B191" s="233">
        <v>305</v>
      </c>
      <c r="C191">
        <v>1</v>
      </c>
      <c r="D191">
        <v>305</v>
      </c>
      <c r="E191" t="s">
        <v>6880</v>
      </c>
      <c r="F191"/>
      <c r="G191"/>
      <c r="H191" t="str">
        <f t="shared" si="8"/>
        <v/>
      </c>
      <c r="I191" t="str">
        <f t="shared" si="9"/>
        <v/>
      </c>
      <c r="J191" s="421"/>
      <c r="K191" s="655" t="s">
        <v>7287</v>
      </c>
      <c r="L191" s="469" t="s">
        <v>7287</v>
      </c>
      <c r="M191" s="470">
        <v>0</v>
      </c>
      <c r="N191" s="656" t="str">
        <f t="shared" si="10"/>
        <v/>
      </c>
      <c r="O191" s="666">
        <f t="shared" si="11"/>
        <v>1</v>
      </c>
      <c r="P191" s="662" t="s">
        <v>7514</v>
      </c>
    </row>
    <row r="192" spans="1:16">
      <c r="A192" s="14" t="s">
        <v>3246</v>
      </c>
      <c r="B192" s="233">
        <v>306</v>
      </c>
      <c r="C192">
        <v>2</v>
      </c>
      <c r="D192">
        <v>305</v>
      </c>
      <c r="E192" t="s">
        <v>6880</v>
      </c>
      <c r="F192" t="s">
        <v>6880</v>
      </c>
      <c r="G192" t="s">
        <v>6003</v>
      </c>
      <c r="H192" t="str">
        <f t="shared" si="8"/>
        <v>Tallowtree seeda</v>
      </c>
      <c r="I192">
        <f t="shared" si="9"/>
        <v>305</v>
      </c>
      <c r="J192" s="421">
        <v>0.15</v>
      </c>
      <c r="K192" s="655">
        <v>52</v>
      </c>
      <c r="L192" s="469">
        <v>35</v>
      </c>
      <c r="M192" s="470">
        <v>1.48571428571429</v>
      </c>
      <c r="N192" s="656">
        <f t="shared" si="10"/>
        <v>0.2228571428571435</v>
      </c>
      <c r="O192" s="666">
        <f t="shared" si="11"/>
        <v>0.15</v>
      </c>
      <c r="P192" s="662">
        <v>1988</v>
      </c>
    </row>
    <row r="193" spans="1:16">
      <c r="A193" s="14" t="s">
        <v>5825</v>
      </c>
      <c r="B193" s="233">
        <v>310</v>
      </c>
      <c r="C193">
        <v>1</v>
      </c>
      <c r="D193" s="233">
        <v>310</v>
      </c>
      <c r="E193" t="s">
        <v>5825</v>
      </c>
      <c r="F193"/>
      <c r="G193"/>
      <c r="H193" t="str">
        <f t="shared" si="8"/>
        <v/>
      </c>
      <c r="I193" t="str">
        <f t="shared" si="9"/>
        <v/>
      </c>
      <c r="J193" s="421"/>
      <c r="K193" s="655" t="s">
        <v>7287</v>
      </c>
      <c r="L193" s="469" t="s">
        <v>7287</v>
      </c>
      <c r="M193" s="470">
        <v>0</v>
      </c>
      <c r="N193" s="656" t="str">
        <f t="shared" si="10"/>
        <v/>
      </c>
      <c r="O193" s="666">
        <f t="shared" si="11"/>
        <v>1</v>
      </c>
      <c r="P193" s="662" t="s">
        <v>7514</v>
      </c>
    </row>
    <row r="194" spans="1:16">
      <c r="A194" s="14" t="s">
        <v>4575</v>
      </c>
      <c r="B194" s="233">
        <v>311</v>
      </c>
      <c r="C194">
        <v>2</v>
      </c>
      <c r="D194" s="233">
        <v>310</v>
      </c>
      <c r="E194" t="s">
        <v>5825</v>
      </c>
      <c r="F194" t="s">
        <v>5825</v>
      </c>
      <c r="G194" t="s">
        <v>6003</v>
      </c>
      <c r="H194" t="str">
        <f t="shared" si="8"/>
        <v>Kapok Fruita</v>
      </c>
      <c r="I194">
        <f t="shared" si="9"/>
        <v>310</v>
      </c>
      <c r="J194" s="421">
        <v>0.66</v>
      </c>
      <c r="K194" s="655">
        <v>118</v>
      </c>
      <c r="L194" s="469">
        <v>95</v>
      </c>
      <c r="M194" s="470">
        <v>1.2421052631578899</v>
      </c>
      <c r="N194" s="656">
        <f t="shared" si="10"/>
        <v>0.8197894736842074</v>
      </c>
      <c r="O194" s="666">
        <f t="shared" si="11"/>
        <v>0.76939680957128653</v>
      </c>
      <c r="P194" s="662">
        <v>2007</v>
      </c>
    </row>
    <row r="195" spans="1:16">
      <c r="A195" s="14" t="s">
        <v>4908</v>
      </c>
      <c r="B195" s="233">
        <v>312</v>
      </c>
      <c r="C195">
        <v>3</v>
      </c>
      <c r="D195" s="233">
        <v>310</v>
      </c>
      <c r="E195" t="s">
        <v>5825</v>
      </c>
      <c r="F195" t="s">
        <v>4575</v>
      </c>
      <c r="G195" t="s">
        <v>6003</v>
      </c>
      <c r="H195" t="str">
        <f t="shared" si="8"/>
        <v>Kapokseed in Shella</v>
      </c>
      <c r="I195">
        <f t="shared" si="9"/>
        <v>311</v>
      </c>
      <c r="J195" s="421">
        <v>0.7</v>
      </c>
      <c r="K195" s="655">
        <v>33</v>
      </c>
      <c r="L195" s="469">
        <v>3</v>
      </c>
      <c r="M195" s="470">
        <v>11</v>
      </c>
      <c r="N195" s="656">
        <f t="shared" si="10"/>
        <v>7.6999999999999993</v>
      </c>
      <c r="O195" s="666">
        <f t="shared" si="11"/>
        <v>0.53857776669990054</v>
      </c>
      <c r="P195" s="662">
        <v>1985</v>
      </c>
    </row>
    <row r="196" spans="1:16">
      <c r="A196" s="14" t="s">
        <v>918</v>
      </c>
      <c r="B196" s="233">
        <v>313</v>
      </c>
      <c r="C196">
        <v>4</v>
      </c>
      <c r="D196" s="233">
        <v>310</v>
      </c>
      <c r="E196" t="s">
        <v>5825</v>
      </c>
      <c r="F196" t="s">
        <v>4908</v>
      </c>
      <c r="G196" t="s">
        <v>6003</v>
      </c>
      <c r="H196" t="str">
        <f t="shared" si="8"/>
        <v>Kapokseed Shelleda</v>
      </c>
      <c r="I196">
        <f t="shared" si="9"/>
        <v>312</v>
      </c>
      <c r="J196" s="421">
        <v>0.2</v>
      </c>
      <c r="K196" s="655">
        <v>22</v>
      </c>
      <c r="L196" s="469">
        <v>19</v>
      </c>
      <c r="M196" s="470">
        <v>1.15789473684211</v>
      </c>
      <c r="N196" s="656">
        <f t="shared" si="10"/>
        <v>0.23157894736842199</v>
      </c>
      <c r="O196" s="666">
        <f t="shared" si="11"/>
        <v>5.0466072056557527</v>
      </c>
      <c r="P196" s="662">
        <v>2004</v>
      </c>
    </row>
    <row r="197" spans="1:16">
      <c r="A197" s="14" t="s">
        <v>148</v>
      </c>
      <c r="B197" s="233">
        <v>314</v>
      </c>
      <c r="C197">
        <v>4</v>
      </c>
      <c r="D197" s="233">
        <v>310</v>
      </c>
      <c r="E197" t="s">
        <v>5825</v>
      </c>
      <c r="F197" t="s">
        <v>4908</v>
      </c>
      <c r="G197" t="s">
        <v>6003</v>
      </c>
      <c r="H197" t="str">
        <f t="shared" si="8"/>
        <v>Kapokseed Shelleda</v>
      </c>
      <c r="I197">
        <f t="shared" si="9"/>
        <v>312</v>
      </c>
      <c r="J197" s="421">
        <v>0.8</v>
      </c>
      <c r="K197" s="655">
        <v>292</v>
      </c>
      <c r="L197" s="469">
        <v>22</v>
      </c>
      <c r="M197" s="470">
        <v>13.2727272727273</v>
      </c>
      <c r="N197" s="656">
        <f t="shared" si="10"/>
        <v>10.61818181818184</v>
      </c>
      <c r="O197" s="666">
        <f t="shared" si="11"/>
        <v>0.44025917223096422</v>
      </c>
      <c r="P197" s="662">
        <v>2006</v>
      </c>
    </row>
    <row r="198" spans="1:16">
      <c r="A198" s="14" t="s">
        <v>2033</v>
      </c>
      <c r="B198" s="233">
        <v>328</v>
      </c>
      <c r="C198">
        <v>1</v>
      </c>
      <c r="D198">
        <v>328</v>
      </c>
      <c r="E198" t="s">
        <v>2033</v>
      </c>
      <c r="F198"/>
      <c r="G198"/>
      <c r="H198" t="str">
        <f t="shared" si="8"/>
        <v/>
      </c>
      <c r="I198" t="str">
        <f t="shared" si="9"/>
        <v/>
      </c>
      <c r="J198" s="421"/>
      <c r="K198" s="655" t="s">
        <v>7319</v>
      </c>
      <c r="L198" s="469" t="s">
        <v>7319</v>
      </c>
      <c r="M198" s="470">
        <v>0</v>
      </c>
      <c r="N198" s="656" t="str">
        <f t="shared" si="10"/>
        <v/>
      </c>
      <c r="O198" s="666">
        <f>IF(ISBLANK(F198),1,J198/(N198/SUMIF(H$7:H$601,H198,N$7:N$601))*VLOOKUP(F198,A$7:O$601,15,FALSE))</f>
        <v>1</v>
      </c>
      <c r="P198" s="662" t="s">
        <v>7514</v>
      </c>
    </row>
    <row r="199" spans="1:16">
      <c r="A199" s="14" t="s">
        <v>887</v>
      </c>
      <c r="B199" s="233">
        <v>329</v>
      </c>
      <c r="C199">
        <v>2</v>
      </c>
      <c r="D199">
        <v>328</v>
      </c>
      <c r="E199" t="s">
        <v>1257</v>
      </c>
      <c r="F199" t="s">
        <v>1257</v>
      </c>
      <c r="G199" t="s">
        <v>6003</v>
      </c>
      <c r="H199" t="str">
        <f t="shared" si="8"/>
        <v>Seed cottona</v>
      </c>
      <c r="I199">
        <f t="shared" si="9"/>
        <v>328</v>
      </c>
      <c r="J199" s="421">
        <v>0.63</v>
      </c>
      <c r="K199" s="655">
        <v>1125300</v>
      </c>
      <c r="L199" s="469">
        <v>436428</v>
      </c>
      <c r="M199" s="470">
        <v>0.38783257797920601</v>
      </c>
      <c r="N199" s="656">
        <f t="shared" si="10"/>
        <v>0.24433452412689979</v>
      </c>
      <c r="O199" s="666">
        <f t="shared" si="11"/>
        <v>3.5983461295013752</v>
      </c>
      <c r="P199" s="662">
        <v>2011</v>
      </c>
    </row>
    <row r="200" spans="1:16">
      <c r="A200" s="14" t="s">
        <v>935</v>
      </c>
      <c r="B200" s="233">
        <v>331</v>
      </c>
      <c r="C200">
        <v>3</v>
      </c>
      <c r="D200">
        <v>328</v>
      </c>
      <c r="E200" t="s">
        <v>1257</v>
      </c>
      <c r="F200" t="s">
        <v>887</v>
      </c>
      <c r="G200" t="s">
        <v>6003</v>
      </c>
      <c r="H200" t="str">
        <f t="shared" ref="H200:H263" si="12">F200&amp;G200</f>
        <v>Cottonseeda</v>
      </c>
      <c r="I200">
        <f t="shared" ref="I200:I263" si="13">IFERROR(VLOOKUP(F200,$A$7:$B$590,2,FALSE),"")</f>
        <v>329</v>
      </c>
      <c r="J200" s="421">
        <v>0.16</v>
      </c>
      <c r="K200" s="655">
        <v>141451</v>
      </c>
      <c r="L200" s="469">
        <v>150614</v>
      </c>
      <c r="M200" s="470">
        <v>1.0647786159164701</v>
      </c>
      <c r="N200" s="656">
        <f t="shared" ref="N200:N263" si="14">IF(ISBLANK(J200),"",J200*M200)</f>
        <v>0.1703645785466352</v>
      </c>
      <c r="O200" s="666">
        <f t="shared" ref="O200:O263" si="15">IF(ISBLANK(F200),1,J200/(N200/SUMIF(H$7:H$601,H200,N$7:N$601))*VLOOKUP(F200,A$7:O$601,15,FALSE))</f>
        <v>1.4757327911718676</v>
      </c>
      <c r="P200" s="662">
        <v>2011</v>
      </c>
    </row>
    <row r="201" spans="1:16">
      <c r="A201" s="14" t="s">
        <v>1593</v>
      </c>
      <c r="B201" s="233">
        <v>332</v>
      </c>
      <c r="C201">
        <v>3</v>
      </c>
      <c r="D201">
        <v>328</v>
      </c>
      <c r="E201" t="s">
        <v>1257</v>
      </c>
      <c r="F201" t="s">
        <v>887</v>
      </c>
      <c r="G201" t="s">
        <v>6003</v>
      </c>
      <c r="H201" t="str">
        <f t="shared" si="12"/>
        <v>Cottonseeda</v>
      </c>
      <c r="I201">
        <f t="shared" si="13"/>
        <v>329</v>
      </c>
      <c r="J201" s="421">
        <v>0.51</v>
      </c>
      <c r="K201" s="655">
        <v>476708</v>
      </c>
      <c r="L201" s="469">
        <v>127256</v>
      </c>
      <c r="M201" s="470">
        <v>0.26694748147713099</v>
      </c>
      <c r="N201" s="656">
        <f t="shared" si="14"/>
        <v>0.1361432155533368</v>
      </c>
      <c r="O201" s="666">
        <f t="shared" si="15"/>
        <v>5.8862841115852369</v>
      </c>
      <c r="P201" s="662">
        <v>2011</v>
      </c>
    </row>
    <row r="202" spans="1:16">
      <c r="A202" s="14" t="s">
        <v>259</v>
      </c>
      <c r="B202" s="233">
        <v>333</v>
      </c>
      <c r="C202">
        <v>1</v>
      </c>
      <c r="D202">
        <v>333</v>
      </c>
      <c r="E202" t="s">
        <v>259</v>
      </c>
      <c r="F202"/>
      <c r="G202"/>
      <c r="H202" t="str">
        <f t="shared" si="12"/>
        <v/>
      </c>
      <c r="I202" t="str">
        <f t="shared" si="13"/>
        <v/>
      </c>
      <c r="J202" s="421"/>
      <c r="K202" s="655">
        <v>1082320</v>
      </c>
      <c r="L202" s="469">
        <v>761218</v>
      </c>
      <c r="M202" s="470">
        <v>0.70332064454135601</v>
      </c>
      <c r="N202" s="656" t="str">
        <f t="shared" si="14"/>
        <v/>
      </c>
      <c r="O202" s="666">
        <f t="shared" si="15"/>
        <v>1</v>
      </c>
      <c r="P202" s="662">
        <v>2011</v>
      </c>
    </row>
    <row r="203" spans="1:16">
      <c r="A203" s="14" t="s">
        <v>260</v>
      </c>
      <c r="B203" s="233">
        <v>334</v>
      </c>
      <c r="C203">
        <v>2</v>
      </c>
      <c r="D203">
        <v>333</v>
      </c>
      <c r="E203" t="s">
        <v>259</v>
      </c>
      <c r="F203" t="s">
        <v>259</v>
      </c>
      <c r="G203" t="s">
        <v>6003</v>
      </c>
      <c r="H203" t="str">
        <f t="shared" si="12"/>
        <v>Linseeda</v>
      </c>
      <c r="I203">
        <f t="shared" si="13"/>
        <v>333</v>
      </c>
      <c r="J203" s="421">
        <v>0.35</v>
      </c>
      <c r="K203" s="655">
        <v>264684</v>
      </c>
      <c r="L203" s="469">
        <v>361950</v>
      </c>
      <c r="M203" s="470">
        <v>1.3674797116561599</v>
      </c>
      <c r="N203" s="656">
        <f t="shared" si="14"/>
        <v>0.47861789907965591</v>
      </c>
      <c r="O203" s="666">
        <f t="shared" si="15"/>
        <v>0.56293088042767803</v>
      </c>
      <c r="P203" s="662">
        <v>2011</v>
      </c>
    </row>
    <row r="204" spans="1:16">
      <c r="A204" s="14" t="s">
        <v>1136</v>
      </c>
      <c r="B204" s="233">
        <v>335</v>
      </c>
      <c r="C204">
        <v>2</v>
      </c>
      <c r="D204">
        <v>333</v>
      </c>
      <c r="E204" t="s">
        <v>259</v>
      </c>
      <c r="F204" t="s">
        <v>259</v>
      </c>
      <c r="G204" t="s">
        <v>6003</v>
      </c>
      <c r="H204" t="str">
        <f t="shared" si="12"/>
        <v>Linseeda</v>
      </c>
      <c r="I204">
        <f t="shared" si="13"/>
        <v>333</v>
      </c>
      <c r="J204" s="421">
        <v>0.63</v>
      </c>
      <c r="K204" s="655">
        <v>137894</v>
      </c>
      <c r="L204" s="469">
        <v>63733</v>
      </c>
      <c r="M204" s="470">
        <v>0.46218834757132299</v>
      </c>
      <c r="N204" s="656">
        <f t="shared" si="14"/>
        <v>0.2911786589699335</v>
      </c>
      <c r="O204" s="666">
        <f t="shared" si="15"/>
        <v>1.6655473079203873</v>
      </c>
      <c r="P204" s="662">
        <v>2011</v>
      </c>
    </row>
    <row r="205" spans="1:16">
      <c r="A205" s="14" t="s">
        <v>4029</v>
      </c>
      <c r="B205" s="233">
        <v>336</v>
      </c>
      <c r="C205">
        <v>1</v>
      </c>
      <c r="D205">
        <v>336</v>
      </c>
      <c r="E205" t="s">
        <v>4029</v>
      </c>
      <c r="F205"/>
      <c r="G205"/>
      <c r="H205" t="str">
        <f t="shared" si="12"/>
        <v/>
      </c>
      <c r="I205" t="str">
        <f t="shared" si="13"/>
        <v/>
      </c>
      <c r="J205" s="421"/>
      <c r="K205" s="655" t="s">
        <v>7320</v>
      </c>
      <c r="L205" s="469" t="s">
        <v>7321</v>
      </c>
      <c r="M205" s="470">
        <v>1.0837596192340198</v>
      </c>
      <c r="N205" s="656" t="str">
        <f t="shared" si="14"/>
        <v/>
      </c>
      <c r="O205" s="666">
        <f t="shared" si="15"/>
        <v>1</v>
      </c>
      <c r="P205" s="662" t="s">
        <v>7514</v>
      </c>
    </row>
    <row r="206" spans="1:16">
      <c r="A206" s="14" t="s">
        <v>146</v>
      </c>
      <c r="B206" s="233">
        <v>338</v>
      </c>
      <c r="C206">
        <v>2</v>
      </c>
      <c r="D206">
        <v>336</v>
      </c>
      <c r="E206" t="s">
        <v>4029</v>
      </c>
      <c r="F206" t="s">
        <v>4029</v>
      </c>
      <c r="G206" t="s">
        <v>6003</v>
      </c>
      <c r="H206" t="str">
        <f t="shared" si="12"/>
        <v>Hempseeda</v>
      </c>
      <c r="I206">
        <f t="shared" si="13"/>
        <v>336</v>
      </c>
      <c r="J206" s="421">
        <v>0.63</v>
      </c>
      <c r="K206" s="655">
        <v>243</v>
      </c>
      <c r="L206" s="469">
        <v>44</v>
      </c>
      <c r="M206" s="470">
        <v>5.5227272727272698</v>
      </c>
      <c r="N206" s="656">
        <f t="shared" si="14"/>
        <v>3.4793181818181802</v>
      </c>
      <c r="O206" s="666">
        <f t="shared" si="15"/>
        <v>0.63</v>
      </c>
      <c r="P206" s="662">
        <v>1998</v>
      </c>
    </row>
    <row r="207" spans="1:16">
      <c r="A207" s="14" t="s">
        <v>621</v>
      </c>
      <c r="B207" s="233">
        <v>339</v>
      </c>
      <c r="C207">
        <v>1</v>
      </c>
      <c r="D207">
        <v>339</v>
      </c>
      <c r="E207" t="s">
        <v>621</v>
      </c>
      <c r="F207"/>
      <c r="G207"/>
      <c r="H207" t="str">
        <f t="shared" si="12"/>
        <v/>
      </c>
      <c r="I207" t="str">
        <f t="shared" si="13"/>
        <v/>
      </c>
      <c r="J207" s="421"/>
      <c r="K207" s="655">
        <v>475603</v>
      </c>
      <c r="L207" s="469">
        <v>587537</v>
      </c>
      <c r="M207" s="470">
        <v>1.2353517534582401</v>
      </c>
      <c r="N207" s="656" t="str">
        <f t="shared" si="14"/>
        <v/>
      </c>
      <c r="O207" s="666">
        <f t="shared" si="15"/>
        <v>1</v>
      </c>
      <c r="P207" s="662">
        <v>2011</v>
      </c>
    </row>
    <row r="208" spans="1:16">
      <c r="A208" s="14" t="s">
        <v>619</v>
      </c>
      <c r="B208" s="233">
        <v>340</v>
      </c>
      <c r="C208">
        <v>2</v>
      </c>
      <c r="D208">
        <v>339</v>
      </c>
      <c r="E208" t="s">
        <v>621</v>
      </c>
      <c r="F208" t="s">
        <v>621</v>
      </c>
      <c r="G208" t="s">
        <v>6003</v>
      </c>
      <c r="H208" t="str">
        <f t="shared" si="12"/>
        <v>Oilseeds, Nesa</v>
      </c>
      <c r="I208">
        <f t="shared" si="13"/>
        <v>339</v>
      </c>
      <c r="J208" s="421">
        <v>0.38</v>
      </c>
      <c r="K208" s="655">
        <v>700615</v>
      </c>
      <c r="L208" s="469">
        <v>1482320</v>
      </c>
      <c r="M208" s="470">
        <v>2.1157411702575599</v>
      </c>
      <c r="N208" s="656">
        <f t="shared" si="14"/>
        <v>0.80398164469787281</v>
      </c>
      <c r="O208" s="666">
        <f t="shared" si="15"/>
        <v>0.44181383784635997</v>
      </c>
      <c r="P208" s="662">
        <v>2011</v>
      </c>
    </row>
    <row r="209" spans="1:16">
      <c r="A209" s="14" t="s">
        <v>3433</v>
      </c>
      <c r="B209" s="233">
        <v>341</v>
      </c>
      <c r="C209">
        <v>2</v>
      </c>
      <c r="D209">
        <v>339</v>
      </c>
      <c r="E209" t="s">
        <v>621</v>
      </c>
      <c r="F209" t="s">
        <v>621</v>
      </c>
      <c r="G209" t="s">
        <v>6003</v>
      </c>
      <c r="H209" t="str">
        <f t="shared" si="12"/>
        <v>Oilseeds, Nesa</v>
      </c>
      <c r="I209">
        <f t="shared" si="13"/>
        <v>339</v>
      </c>
      <c r="J209" s="421">
        <v>0.6</v>
      </c>
      <c r="K209" s="655" t="s">
        <v>7322</v>
      </c>
      <c r="L209" s="469" t="s">
        <v>7323</v>
      </c>
      <c r="M209" s="470">
        <v>0.21797013603861456</v>
      </c>
      <c r="N209" s="656">
        <f t="shared" si="14"/>
        <v>0.13078208162316873</v>
      </c>
      <c r="O209" s="666">
        <f t="shared" si="15"/>
        <v>4.2884944851135165</v>
      </c>
      <c r="P209" s="662" t="s">
        <v>7514</v>
      </c>
    </row>
    <row r="210" spans="1:16">
      <c r="A210" s="14" t="s">
        <v>5057</v>
      </c>
      <c r="B210" s="233">
        <v>343</v>
      </c>
      <c r="C210">
        <v>2</v>
      </c>
      <c r="D210">
        <v>339</v>
      </c>
      <c r="E210" t="s">
        <v>621</v>
      </c>
      <c r="F210" t="s">
        <v>621</v>
      </c>
      <c r="G210" t="s">
        <v>6004</v>
      </c>
      <c r="H210" t="str">
        <f t="shared" si="12"/>
        <v>Oilseeds, Nesb</v>
      </c>
      <c r="I210">
        <f t="shared" si="13"/>
        <v>339</v>
      </c>
      <c r="J210" s="421">
        <v>0.85</v>
      </c>
      <c r="K210" s="655" t="s">
        <v>7324</v>
      </c>
      <c r="L210" s="469" t="s">
        <v>7325</v>
      </c>
      <c r="M210" s="470">
        <v>0.47961529230550809</v>
      </c>
      <c r="N210" s="656">
        <f t="shared" si="14"/>
        <v>0.40767299845968186</v>
      </c>
      <c r="O210" s="666">
        <f t="shared" si="15"/>
        <v>0.85</v>
      </c>
      <c r="P210" s="662" t="s">
        <v>7514</v>
      </c>
    </row>
    <row r="211" spans="1:16">
      <c r="A211" s="14" t="s">
        <v>3772</v>
      </c>
      <c r="B211" s="233">
        <v>358</v>
      </c>
      <c r="C211">
        <v>1</v>
      </c>
      <c r="D211">
        <v>358</v>
      </c>
      <c r="E211" t="s">
        <v>3772</v>
      </c>
      <c r="F211"/>
      <c r="G211"/>
      <c r="H211" t="str">
        <f t="shared" si="12"/>
        <v/>
      </c>
      <c r="I211" t="str">
        <f t="shared" si="13"/>
        <v/>
      </c>
      <c r="J211" s="421"/>
      <c r="K211" s="655">
        <v>2341030</v>
      </c>
      <c r="L211" s="469">
        <v>1480780</v>
      </c>
      <c r="M211" s="470">
        <v>0.63253354292768604</v>
      </c>
      <c r="N211" s="656" t="str">
        <f t="shared" si="14"/>
        <v/>
      </c>
      <c r="O211" s="666">
        <f t="shared" si="15"/>
        <v>1</v>
      </c>
      <c r="P211" s="662">
        <v>2011</v>
      </c>
    </row>
    <row r="212" spans="1:16">
      <c r="A212" s="14" t="s">
        <v>2080</v>
      </c>
      <c r="B212" s="233">
        <v>366</v>
      </c>
      <c r="C212">
        <v>1</v>
      </c>
      <c r="D212">
        <v>366</v>
      </c>
      <c r="E212" t="s">
        <v>2080</v>
      </c>
      <c r="F212"/>
      <c r="G212"/>
      <c r="H212" t="str">
        <f t="shared" si="12"/>
        <v/>
      </c>
      <c r="I212" t="str">
        <f t="shared" si="13"/>
        <v/>
      </c>
      <c r="J212" s="421"/>
      <c r="K212" s="655">
        <v>32454</v>
      </c>
      <c r="L212" s="469">
        <v>51887</v>
      </c>
      <c r="M212" s="470">
        <v>1.5987859739939601</v>
      </c>
      <c r="N212" s="656" t="str">
        <f t="shared" si="14"/>
        <v/>
      </c>
      <c r="O212" s="666">
        <f t="shared" si="15"/>
        <v>1</v>
      </c>
      <c r="P212" s="662">
        <v>2011</v>
      </c>
    </row>
    <row r="213" spans="1:16">
      <c r="A213" s="14" t="s">
        <v>2082</v>
      </c>
      <c r="B213" s="233">
        <v>367</v>
      </c>
      <c r="C213">
        <v>1</v>
      </c>
      <c r="D213">
        <v>367</v>
      </c>
      <c r="E213" t="s">
        <v>2082</v>
      </c>
      <c r="F213"/>
      <c r="G213"/>
      <c r="H213" t="str">
        <f t="shared" si="12"/>
        <v/>
      </c>
      <c r="I213" t="str">
        <f t="shared" si="13"/>
        <v/>
      </c>
      <c r="J213" s="421"/>
      <c r="K213" s="655">
        <v>331028</v>
      </c>
      <c r="L213" s="469">
        <v>1189280</v>
      </c>
      <c r="M213" s="470">
        <v>3.5926870234542099</v>
      </c>
      <c r="N213" s="656" t="str">
        <f t="shared" si="14"/>
        <v/>
      </c>
      <c r="O213" s="666">
        <f t="shared" si="15"/>
        <v>1</v>
      </c>
      <c r="P213" s="662">
        <v>2011</v>
      </c>
    </row>
    <row r="214" spans="1:16">
      <c r="A214" s="14" t="s">
        <v>569</v>
      </c>
      <c r="B214" s="233">
        <v>372</v>
      </c>
      <c r="C214">
        <v>1</v>
      </c>
      <c r="D214">
        <v>372</v>
      </c>
      <c r="E214" t="s">
        <v>569</v>
      </c>
      <c r="F214"/>
      <c r="G214"/>
      <c r="H214" t="str">
        <f t="shared" si="12"/>
        <v/>
      </c>
      <c r="I214" t="str">
        <f t="shared" si="13"/>
        <v/>
      </c>
      <c r="J214" s="421"/>
      <c r="K214" s="655">
        <v>1878980</v>
      </c>
      <c r="L214" s="469">
        <v>2335190</v>
      </c>
      <c r="M214" s="470">
        <v>1.24279662370009</v>
      </c>
      <c r="N214" s="656" t="str">
        <f t="shared" si="14"/>
        <v/>
      </c>
      <c r="O214" s="666">
        <f t="shared" si="15"/>
        <v>1</v>
      </c>
      <c r="P214" s="662">
        <v>2011</v>
      </c>
    </row>
    <row r="215" spans="1:16">
      <c r="A215" s="14" t="s">
        <v>3906</v>
      </c>
      <c r="B215" s="233">
        <v>373</v>
      </c>
      <c r="C215">
        <v>1</v>
      </c>
      <c r="D215">
        <v>373</v>
      </c>
      <c r="E215" t="s">
        <v>3906</v>
      </c>
      <c r="F215"/>
      <c r="G215"/>
      <c r="H215" t="str">
        <f t="shared" si="12"/>
        <v/>
      </c>
      <c r="I215" t="str">
        <f t="shared" si="13"/>
        <v/>
      </c>
      <c r="J215" s="421"/>
      <c r="K215" s="655">
        <v>130755</v>
      </c>
      <c r="L215" s="469">
        <v>190008</v>
      </c>
      <c r="M215" s="470">
        <v>1.4531604909946101</v>
      </c>
      <c r="N215" s="656" t="str">
        <f t="shared" si="14"/>
        <v/>
      </c>
      <c r="O215" s="666">
        <f t="shared" si="15"/>
        <v>1</v>
      </c>
      <c r="P215" s="662">
        <v>2011</v>
      </c>
    </row>
    <row r="216" spans="1:16">
      <c r="A216" s="14" t="s">
        <v>4422</v>
      </c>
      <c r="B216" s="233">
        <v>388</v>
      </c>
      <c r="C216">
        <v>1</v>
      </c>
      <c r="D216">
        <v>388</v>
      </c>
      <c r="E216" t="s">
        <v>4422</v>
      </c>
      <c r="F216"/>
      <c r="G216"/>
      <c r="H216" t="str">
        <f t="shared" si="12"/>
        <v/>
      </c>
      <c r="I216" t="str">
        <f t="shared" si="13"/>
        <v/>
      </c>
      <c r="J216" s="421"/>
      <c r="K216" s="655">
        <v>6825640</v>
      </c>
      <c r="L216" s="469">
        <v>8593370</v>
      </c>
      <c r="M216" s="470">
        <v>1.25898377295023</v>
      </c>
      <c r="N216" s="656" t="str">
        <f t="shared" si="14"/>
        <v/>
      </c>
      <c r="O216" s="666">
        <f t="shared" si="15"/>
        <v>1</v>
      </c>
      <c r="P216" s="662">
        <v>2011</v>
      </c>
    </row>
    <row r="217" spans="1:16">
      <c r="A217" s="14" t="s">
        <v>3558</v>
      </c>
      <c r="B217" s="233">
        <v>389</v>
      </c>
      <c r="C217">
        <v>2</v>
      </c>
      <c r="D217">
        <v>388</v>
      </c>
      <c r="E217" t="s">
        <v>4422</v>
      </c>
      <c r="F217" t="s">
        <v>4422</v>
      </c>
      <c r="G217" t="s">
        <v>6003</v>
      </c>
      <c r="H217" t="str">
        <f t="shared" si="12"/>
        <v>Tomatoesa</v>
      </c>
      <c r="I217">
        <f t="shared" si="13"/>
        <v>388</v>
      </c>
      <c r="J217" s="421">
        <v>0.2</v>
      </c>
      <c r="K217" s="655" t="s">
        <v>7326</v>
      </c>
      <c r="L217" s="469" t="s">
        <v>7327</v>
      </c>
      <c r="M217" s="470">
        <v>0.69888944977284195</v>
      </c>
      <c r="N217" s="656">
        <f t="shared" si="14"/>
        <v>0.13977788995456839</v>
      </c>
      <c r="O217" s="666">
        <f t="shared" si="15"/>
        <v>0.2</v>
      </c>
      <c r="P217" s="662" t="s">
        <v>7514</v>
      </c>
    </row>
    <row r="218" spans="1:16">
      <c r="A218" s="14" t="s">
        <v>1312</v>
      </c>
      <c r="B218" s="233">
        <v>390</v>
      </c>
      <c r="C218">
        <v>2</v>
      </c>
      <c r="D218">
        <v>388</v>
      </c>
      <c r="E218" t="s">
        <v>4422</v>
      </c>
      <c r="F218" t="s">
        <v>4422</v>
      </c>
      <c r="G218" t="s">
        <v>6004</v>
      </c>
      <c r="H218" t="str">
        <f t="shared" si="12"/>
        <v>Tomatoesb</v>
      </c>
      <c r="I218">
        <f t="shared" si="13"/>
        <v>388</v>
      </c>
      <c r="J218" s="421">
        <v>0.8</v>
      </c>
      <c r="K218" s="655">
        <v>91180</v>
      </c>
      <c r="L218" s="469">
        <v>71389</v>
      </c>
      <c r="M218" s="470">
        <v>0.78294582145207303</v>
      </c>
      <c r="N218" s="656">
        <f t="shared" si="14"/>
        <v>0.62635665716165845</v>
      </c>
      <c r="O218" s="666">
        <f t="shared" si="15"/>
        <v>0.8</v>
      </c>
      <c r="P218" s="662">
        <v>2011</v>
      </c>
    </row>
    <row r="219" spans="1:16">
      <c r="A219" s="14" t="s">
        <v>5042</v>
      </c>
      <c r="B219" s="233">
        <v>391</v>
      </c>
      <c r="C219">
        <v>2</v>
      </c>
      <c r="D219">
        <v>388</v>
      </c>
      <c r="E219" t="s">
        <v>4422</v>
      </c>
      <c r="F219" t="s">
        <v>4422</v>
      </c>
      <c r="G219" t="s">
        <v>6005</v>
      </c>
      <c r="H219" t="str">
        <f t="shared" si="12"/>
        <v>Tomatoesc</v>
      </c>
      <c r="I219">
        <f t="shared" si="13"/>
        <v>388</v>
      </c>
      <c r="J219" s="421">
        <v>0.25</v>
      </c>
      <c r="K219" s="655">
        <v>2700670</v>
      </c>
      <c r="L219" s="469">
        <v>2787740</v>
      </c>
      <c r="M219" s="470">
        <v>1.0322401478151699</v>
      </c>
      <c r="N219" s="656">
        <f t="shared" si="14"/>
        <v>0.25806003695379248</v>
      </c>
      <c r="O219" s="666">
        <f t="shared" si="15"/>
        <v>0.25</v>
      </c>
      <c r="P219" s="662">
        <v>2011</v>
      </c>
    </row>
    <row r="220" spans="1:16">
      <c r="A220" s="14" t="s">
        <v>4650</v>
      </c>
      <c r="B220" s="233">
        <v>392</v>
      </c>
      <c r="C220">
        <v>2</v>
      </c>
      <c r="D220">
        <v>388</v>
      </c>
      <c r="E220" t="s">
        <v>4422</v>
      </c>
      <c r="F220" t="s">
        <v>4422</v>
      </c>
      <c r="G220" t="s">
        <v>6006</v>
      </c>
      <c r="H220" t="str">
        <f t="shared" si="12"/>
        <v>Tomatoesd</v>
      </c>
      <c r="I220">
        <f t="shared" si="13"/>
        <v>388</v>
      </c>
      <c r="J220" s="421">
        <v>0.8</v>
      </c>
      <c r="K220" s="655">
        <v>1332530</v>
      </c>
      <c r="L220" s="469">
        <v>1231490</v>
      </c>
      <c r="M220" s="470">
        <v>0.92417431502480196</v>
      </c>
      <c r="N220" s="656">
        <f t="shared" si="14"/>
        <v>0.73933945201984164</v>
      </c>
      <c r="O220" s="666">
        <f t="shared" si="15"/>
        <v>0.8</v>
      </c>
      <c r="P220" s="662">
        <v>2011</v>
      </c>
    </row>
    <row r="221" spans="1:16">
      <c r="A221" s="14" t="s">
        <v>3740</v>
      </c>
      <c r="B221" s="233">
        <v>393</v>
      </c>
      <c r="C221">
        <v>1</v>
      </c>
      <c r="D221">
        <v>393</v>
      </c>
      <c r="E221" t="s">
        <v>3740</v>
      </c>
      <c r="F221"/>
      <c r="G221"/>
      <c r="H221" t="str">
        <f t="shared" si="12"/>
        <v/>
      </c>
      <c r="I221" t="str">
        <f t="shared" si="13"/>
        <v/>
      </c>
      <c r="J221" s="421"/>
      <c r="K221" s="655">
        <v>867830</v>
      </c>
      <c r="L221" s="469">
        <v>870178</v>
      </c>
      <c r="M221" s="470">
        <v>1.0027055990228499</v>
      </c>
      <c r="N221" s="656" t="str">
        <f t="shared" si="14"/>
        <v/>
      </c>
      <c r="O221" s="666">
        <f t="shared" si="15"/>
        <v>1</v>
      </c>
      <c r="P221" s="662">
        <v>2011</v>
      </c>
    </row>
    <row r="222" spans="1:16">
      <c r="A222" s="14" t="s">
        <v>478</v>
      </c>
      <c r="B222" s="233">
        <v>394</v>
      </c>
      <c r="C222">
        <v>1</v>
      </c>
      <c r="D222">
        <v>394</v>
      </c>
      <c r="E222" t="s">
        <v>478</v>
      </c>
      <c r="F222"/>
      <c r="G222"/>
      <c r="H222" t="str">
        <f t="shared" si="12"/>
        <v/>
      </c>
      <c r="I222" t="str">
        <f t="shared" si="13"/>
        <v/>
      </c>
      <c r="J222" s="421"/>
      <c r="K222" s="655">
        <v>938910</v>
      </c>
      <c r="L222" s="469">
        <v>884763</v>
      </c>
      <c r="M222" s="470">
        <v>0.94232993577659196</v>
      </c>
      <c r="N222" s="656" t="str">
        <f t="shared" si="14"/>
        <v/>
      </c>
      <c r="O222" s="666">
        <f t="shared" si="15"/>
        <v>1</v>
      </c>
      <c r="P222" s="662">
        <v>2011</v>
      </c>
    </row>
    <row r="223" spans="1:16">
      <c r="A223" s="14" t="s">
        <v>2452</v>
      </c>
      <c r="B223" s="233">
        <v>397</v>
      </c>
      <c r="C223">
        <v>1</v>
      </c>
      <c r="D223">
        <v>397</v>
      </c>
      <c r="E223" t="s">
        <v>2452</v>
      </c>
      <c r="F223"/>
      <c r="G223"/>
      <c r="H223" t="str">
        <f t="shared" si="12"/>
        <v/>
      </c>
      <c r="I223" t="str">
        <f t="shared" si="13"/>
        <v/>
      </c>
      <c r="J223" s="421"/>
      <c r="K223" s="655">
        <v>2320970</v>
      </c>
      <c r="L223" s="469">
        <v>2080110</v>
      </c>
      <c r="M223" s="470">
        <v>0.89622442340917796</v>
      </c>
      <c r="N223" s="656" t="str">
        <f t="shared" si="14"/>
        <v/>
      </c>
      <c r="O223" s="666">
        <f t="shared" si="15"/>
        <v>1</v>
      </c>
      <c r="P223" s="662">
        <v>2011</v>
      </c>
    </row>
    <row r="224" spans="1:16">
      <c r="A224" s="14" t="s">
        <v>811</v>
      </c>
      <c r="B224" s="233">
        <v>399</v>
      </c>
      <c r="C224">
        <v>1</v>
      </c>
      <c r="D224">
        <v>399</v>
      </c>
      <c r="E224" t="s">
        <v>811</v>
      </c>
      <c r="F224"/>
      <c r="G224"/>
      <c r="H224" t="str">
        <f t="shared" si="12"/>
        <v/>
      </c>
      <c r="I224" t="str">
        <f t="shared" si="13"/>
        <v/>
      </c>
      <c r="J224" s="421"/>
      <c r="K224" s="655">
        <v>384739</v>
      </c>
      <c r="L224" s="469">
        <v>471582</v>
      </c>
      <c r="M224" s="470">
        <v>1.22571925383182</v>
      </c>
      <c r="N224" s="656" t="str">
        <f t="shared" si="14"/>
        <v/>
      </c>
      <c r="O224" s="666">
        <f t="shared" si="15"/>
        <v>1</v>
      </c>
      <c r="P224" s="662">
        <v>2011</v>
      </c>
    </row>
    <row r="225" spans="1:16">
      <c r="A225" s="14" t="s">
        <v>2510</v>
      </c>
      <c r="B225" s="233">
        <v>401</v>
      </c>
      <c r="C225">
        <v>1</v>
      </c>
      <c r="D225">
        <v>401</v>
      </c>
      <c r="E225" t="s">
        <v>2510</v>
      </c>
      <c r="F225"/>
      <c r="G225"/>
      <c r="H225" t="str">
        <f t="shared" si="12"/>
        <v/>
      </c>
      <c r="I225" t="str">
        <f t="shared" si="13"/>
        <v/>
      </c>
      <c r="J225" s="421"/>
      <c r="K225" s="655">
        <v>2697280</v>
      </c>
      <c r="L225" s="469">
        <v>4582310</v>
      </c>
      <c r="M225" s="470">
        <v>1.69886329932376</v>
      </c>
      <c r="N225" s="656" t="str">
        <f t="shared" si="14"/>
        <v/>
      </c>
      <c r="O225" s="666">
        <f t="shared" si="15"/>
        <v>1</v>
      </c>
      <c r="P225" s="662">
        <v>2011</v>
      </c>
    </row>
    <row r="226" spans="1:16">
      <c r="A226" s="14" t="s">
        <v>3367</v>
      </c>
      <c r="B226" s="233">
        <v>402</v>
      </c>
      <c r="C226">
        <v>1</v>
      </c>
      <c r="D226">
        <v>402</v>
      </c>
      <c r="E226" t="s">
        <v>3367</v>
      </c>
      <c r="F226"/>
      <c r="G226"/>
      <c r="H226" t="str">
        <f t="shared" si="12"/>
        <v/>
      </c>
      <c r="I226" t="str">
        <f t="shared" si="13"/>
        <v/>
      </c>
      <c r="J226" s="421"/>
      <c r="K226" s="655">
        <v>464370</v>
      </c>
      <c r="L226" s="469">
        <v>242654</v>
      </c>
      <c r="M226" s="470">
        <v>0.52254452268665097</v>
      </c>
      <c r="N226" s="656" t="str">
        <f t="shared" si="14"/>
        <v/>
      </c>
      <c r="O226" s="666">
        <f t="shared" si="15"/>
        <v>1</v>
      </c>
      <c r="P226" s="662">
        <v>2011</v>
      </c>
    </row>
    <row r="227" spans="1:16">
      <c r="A227" s="14" t="s">
        <v>2373</v>
      </c>
      <c r="B227" s="233">
        <v>403</v>
      </c>
      <c r="C227">
        <v>1</v>
      </c>
      <c r="D227">
        <v>403</v>
      </c>
      <c r="E227" t="s">
        <v>2373</v>
      </c>
      <c r="F227"/>
      <c r="G227"/>
      <c r="H227" t="str">
        <f t="shared" si="12"/>
        <v/>
      </c>
      <c r="I227" t="str">
        <f t="shared" si="13"/>
        <v/>
      </c>
      <c r="J227" s="421"/>
      <c r="K227" s="655">
        <v>6388040</v>
      </c>
      <c r="L227" s="469">
        <v>3017820</v>
      </c>
      <c r="M227" s="470">
        <v>0.47241720465119202</v>
      </c>
      <c r="N227" s="656" t="str">
        <f t="shared" si="14"/>
        <v/>
      </c>
      <c r="O227" s="666">
        <f t="shared" si="15"/>
        <v>1</v>
      </c>
      <c r="P227" s="662">
        <v>2011</v>
      </c>
    </row>
    <row r="228" spans="1:16">
      <c r="A228" s="14" t="s">
        <v>5063</v>
      </c>
      <c r="B228" s="233">
        <v>406</v>
      </c>
      <c r="C228">
        <v>1</v>
      </c>
      <c r="D228">
        <v>406</v>
      </c>
      <c r="E228" t="s">
        <v>5063</v>
      </c>
      <c r="F228"/>
      <c r="G228"/>
      <c r="H228" t="str">
        <f t="shared" si="12"/>
        <v/>
      </c>
      <c r="I228" t="str">
        <f t="shared" si="13"/>
        <v/>
      </c>
      <c r="J228" s="421"/>
      <c r="K228" s="655">
        <v>1850920</v>
      </c>
      <c r="L228" s="469">
        <v>2355290</v>
      </c>
      <c r="M228" s="470">
        <v>1.27249692045037</v>
      </c>
      <c r="N228" s="656" t="str">
        <f t="shared" si="14"/>
        <v/>
      </c>
      <c r="O228" s="666">
        <f t="shared" si="15"/>
        <v>1</v>
      </c>
      <c r="P228" s="662">
        <v>2011</v>
      </c>
    </row>
    <row r="229" spans="1:16">
      <c r="A229" s="14" t="s">
        <v>6878</v>
      </c>
      <c r="B229" s="233">
        <v>407</v>
      </c>
      <c r="C229">
        <v>1</v>
      </c>
      <c r="D229">
        <v>407</v>
      </c>
      <c r="E229" t="s">
        <v>6878</v>
      </c>
      <c r="F229"/>
      <c r="G229"/>
      <c r="H229" t="str">
        <f t="shared" si="12"/>
        <v/>
      </c>
      <c r="I229" t="str">
        <f t="shared" si="13"/>
        <v/>
      </c>
      <c r="J229" s="421"/>
      <c r="K229" s="655">
        <v>308556</v>
      </c>
      <c r="L229" s="469">
        <v>361087</v>
      </c>
      <c r="M229" s="470">
        <v>1.17024786424506</v>
      </c>
      <c r="N229" s="656" t="str">
        <f t="shared" si="14"/>
        <v/>
      </c>
      <c r="O229" s="666">
        <f t="shared" si="15"/>
        <v>1</v>
      </c>
      <c r="P229" s="662">
        <v>2011</v>
      </c>
    </row>
    <row r="230" spans="1:16">
      <c r="A230" s="14" t="s">
        <v>3076</v>
      </c>
      <c r="B230" s="233">
        <v>414</v>
      </c>
      <c r="C230">
        <v>1</v>
      </c>
      <c r="D230">
        <v>414</v>
      </c>
      <c r="E230" t="s">
        <v>3076</v>
      </c>
      <c r="F230"/>
      <c r="G230"/>
      <c r="H230" t="str">
        <f t="shared" si="12"/>
        <v/>
      </c>
      <c r="I230" t="str">
        <f t="shared" si="13"/>
        <v/>
      </c>
      <c r="J230" s="421"/>
      <c r="K230" s="655">
        <v>473708</v>
      </c>
      <c r="L230" s="469">
        <v>871789</v>
      </c>
      <c r="M230" s="470">
        <v>1.84035101792666</v>
      </c>
      <c r="N230" s="656" t="str">
        <f t="shared" si="14"/>
        <v/>
      </c>
      <c r="O230" s="666">
        <f t="shared" si="15"/>
        <v>1</v>
      </c>
      <c r="P230" s="662">
        <v>2011</v>
      </c>
    </row>
    <row r="231" spans="1:16">
      <c r="A231" s="14" t="s">
        <v>5096</v>
      </c>
      <c r="B231" s="233">
        <v>417</v>
      </c>
      <c r="C231">
        <v>1</v>
      </c>
      <c r="D231">
        <v>417</v>
      </c>
      <c r="E231" t="s">
        <v>5096</v>
      </c>
      <c r="F231"/>
      <c r="G231"/>
      <c r="H231" t="str">
        <f t="shared" si="12"/>
        <v/>
      </c>
      <c r="I231" t="str">
        <f t="shared" si="13"/>
        <v/>
      </c>
      <c r="J231" s="421"/>
      <c r="K231" s="655">
        <v>241666</v>
      </c>
      <c r="L231" s="469">
        <v>351204</v>
      </c>
      <c r="M231" s="470">
        <v>1.4532619400329401</v>
      </c>
      <c r="N231" s="656" t="str">
        <f t="shared" si="14"/>
        <v/>
      </c>
      <c r="O231" s="666">
        <f t="shared" si="15"/>
        <v>1</v>
      </c>
      <c r="P231" s="662">
        <v>2011</v>
      </c>
    </row>
    <row r="232" spans="1:16">
      <c r="A232" s="14" t="s">
        <v>805</v>
      </c>
      <c r="B232" s="233">
        <v>420</v>
      </c>
      <c r="C232">
        <v>1</v>
      </c>
      <c r="D232">
        <v>420</v>
      </c>
      <c r="E232" t="s">
        <v>805</v>
      </c>
      <c r="F232"/>
      <c r="G232"/>
      <c r="H232" t="str">
        <f t="shared" si="12"/>
        <v/>
      </c>
      <c r="I232" t="str">
        <f t="shared" si="13"/>
        <v/>
      </c>
      <c r="J232" s="421"/>
      <c r="K232" s="655" t="s">
        <v>7328</v>
      </c>
      <c r="L232" s="469" t="s">
        <v>7329</v>
      </c>
      <c r="M232" s="470">
        <v>1.2199145184987312</v>
      </c>
      <c r="N232" s="656" t="str">
        <f t="shared" si="14"/>
        <v/>
      </c>
      <c r="O232" s="666">
        <f t="shared" si="15"/>
        <v>1</v>
      </c>
      <c r="P232" s="662" t="s">
        <v>7514</v>
      </c>
    </row>
    <row r="233" spans="1:16">
      <c r="A233" s="14" t="s">
        <v>521</v>
      </c>
      <c r="B233" s="233">
        <v>423</v>
      </c>
      <c r="C233">
        <v>1</v>
      </c>
      <c r="D233">
        <v>423</v>
      </c>
      <c r="E233" t="s">
        <v>521</v>
      </c>
      <c r="F233"/>
      <c r="G233"/>
      <c r="H233" t="str">
        <f t="shared" si="12"/>
        <v/>
      </c>
      <c r="I233" t="str">
        <f t="shared" si="13"/>
        <v/>
      </c>
      <c r="J233" s="421"/>
      <c r="K233" s="655" t="s">
        <v>7330</v>
      </c>
      <c r="L233" s="469" t="s">
        <v>7331</v>
      </c>
      <c r="M233" s="470">
        <v>5.0734177215189877</v>
      </c>
      <c r="N233" s="656" t="str">
        <f t="shared" si="14"/>
        <v/>
      </c>
      <c r="O233" s="666">
        <f t="shared" si="15"/>
        <v>1</v>
      </c>
      <c r="P233" s="662" t="s">
        <v>7514</v>
      </c>
    </row>
    <row r="234" spans="1:16">
      <c r="A234" s="14" t="s">
        <v>755</v>
      </c>
      <c r="B234" s="233">
        <v>426</v>
      </c>
      <c r="C234">
        <v>1</v>
      </c>
      <c r="D234">
        <v>426</v>
      </c>
      <c r="E234" t="s">
        <v>755</v>
      </c>
      <c r="F234"/>
      <c r="G234"/>
      <c r="H234" t="str">
        <f t="shared" si="12"/>
        <v/>
      </c>
      <c r="I234" t="str">
        <f t="shared" si="13"/>
        <v/>
      </c>
      <c r="J234" s="421"/>
      <c r="K234" s="655">
        <v>2260890</v>
      </c>
      <c r="L234" s="469">
        <v>1132310</v>
      </c>
      <c r="M234" s="470">
        <v>0.50082489639035999</v>
      </c>
      <c r="N234" s="656" t="str">
        <f t="shared" si="14"/>
        <v/>
      </c>
      <c r="O234" s="666">
        <f t="shared" si="15"/>
        <v>1</v>
      </c>
      <c r="P234" s="662">
        <v>2011</v>
      </c>
    </row>
    <row r="235" spans="1:16">
      <c r="A235" s="14" t="s">
        <v>795</v>
      </c>
      <c r="B235" s="233">
        <v>430</v>
      </c>
      <c r="C235">
        <v>1</v>
      </c>
      <c r="D235">
        <v>430</v>
      </c>
      <c r="E235" t="s">
        <v>795</v>
      </c>
      <c r="F235"/>
      <c r="G235"/>
      <c r="H235" t="str">
        <f t="shared" si="12"/>
        <v/>
      </c>
      <c r="I235" t="str">
        <f t="shared" si="13"/>
        <v/>
      </c>
      <c r="J235" s="421"/>
      <c r="K235" s="655" t="s">
        <v>7332</v>
      </c>
      <c r="L235" s="469" t="s">
        <v>7333</v>
      </c>
      <c r="M235" s="470">
        <v>0.50422360569347213</v>
      </c>
      <c r="N235" s="656" t="str">
        <f t="shared" si="14"/>
        <v/>
      </c>
      <c r="O235" s="666">
        <f t="shared" si="15"/>
        <v>1</v>
      </c>
      <c r="P235" s="662" t="s">
        <v>7514</v>
      </c>
    </row>
    <row r="236" spans="1:16">
      <c r="A236" s="14" t="s">
        <v>1132</v>
      </c>
      <c r="B236" s="233">
        <v>446</v>
      </c>
      <c r="C236">
        <v>1</v>
      </c>
      <c r="D236">
        <v>446</v>
      </c>
      <c r="E236" t="s">
        <v>1132</v>
      </c>
      <c r="F236"/>
      <c r="G236"/>
      <c r="H236" t="str">
        <f t="shared" si="12"/>
        <v/>
      </c>
      <c r="I236" t="str">
        <f t="shared" si="13"/>
        <v/>
      </c>
      <c r="J236" s="421"/>
      <c r="K236" s="655">
        <v>224874</v>
      </c>
      <c r="L236" s="469">
        <v>244045</v>
      </c>
      <c r="M236" s="470">
        <v>1.0852521856684201</v>
      </c>
      <c r="N236" s="656" t="str">
        <f t="shared" si="14"/>
        <v/>
      </c>
      <c r="O236" s="666">
        <f t="shared" si="15"/>
        <v>1</v>
      </c>
      <c r="P236" s="662">
        <v>2011</v>
      </c>
    </row>
    <row r="237" spans="1:16">
      <c r="A237" s="14" t="s">
        <v>5004</v>
      </c>
      <c r="B237" s="233">
        <v>447</v>
      </c>
      <c r="C237">
        <v>2</v>
      </c>
      <c r="D237">
        <v>446</v>
      </c>
      <c r="E237" t="s">
        <v>1132</v>
      </c>
      <c r="F237" t="s">
        <v>1132</v>
      </c>
      <c r="G237" t="s">
        <v>6003</v>
      </c>
      <c r="H237" t="str">
        <f t="shared" si="12"/>
        <v>Maize, greena</v>
      </c>
      <c r="I237">
        <f t="shared" si="13"/>
        <v>446</v>
      </c>
      <c r="J237" s="421">
        <v>0.35</v>
      </c>
      <c r="K237" s="655">
        <v>321844</v>
      </c>
      <c r="L237" s="469">
        <v>393342</v>
      </c>
      <c r="M237" s="470">
        <v>1.2221511042616899</v>
      </c>
      <c r="N237" s="656">
        <f t="shared" si="14"/>
        <v>0.42775288649159143</v>
      </c>
      <c r="O237" s="666">
        <f t="shared" si="15"/>
        <v>0.35</v>
      </c>
      <c r="P237" s="662">
        <v>2011</v>
      </c>
    </row>
    <row r="238" spans="1:16">
      <c r="A238" s="14" t="s">
        <v>4758</v>
      </c>
      <c r="B238" s="233">
        <v>448</v>
      </c>
      <c r="C238">
        <v>2</v>
      </c>
      <c r="D238">
        <v>446</v>
      </c>
      <c r="E238" t="s">
        <v>1132</v>
      </c>
      <c r="F238" t="s">
        <v>1132</v>
      </c>
      <c r="G238" t="s">
        <v>6004</v>
      </c>
      <c r="H238" t="str">
        <f t="shared" si="12"/>
        <v>Maize, greenb</v>
      </c>
      <c r="I238">
        <f t="shared" si="13"/>
        <v>446</v>
      </c>
      <c r="J238" s="421">
        <v>0.45</v>
      </c>
      <c r="K238" s="655">
        <v>727425</v>
      </c>
      <c r="L238" s="469">
        <v>968483</v>
      </c>
      <c r="M238" s="470">
        <v>1.3313853661889501</v>
      </c>
      <c r="N238" s="656">
        <f t="shared" si="14"/>
        <v>0.59912341478502751</v>
      </c>
      <c r="O238" s="666">
        <f t="shared" si="15"/>
        <v>0.45</v>
      </c>
      <c r="P238" s="662">
        <v>2011</v>
      </c>
    </row>
    <row r="239" spans="1:16">
      <c r="A239" s="14" t="s">
        <v>784</v>
      </c>
      <c r="B239" s="233">
        <v>449</v>
      </c>
      <c r="C239">
        <v>1</v>
      </c>
      <c r="D239">
        <v>449</v>
      </c>
      <c r="E239" t="s">
        <v>784</v>
      </c>
      <c r="F239"/>
      <c r="G239"/>
      <c r="H239" t="str">
        <f t="shared" si="12"/>
        <v/>
      </c>
      <c r="I239" t="str">
        <f t="shared" si="13"/>
        <v/>
      </c>
      <c r="J239" s="421"/>
      <c r="K239" s="655">
        <v>578694</v>
      </c>
      <c r="L239" s="469">
        <v>1681800</v>
      </c>
      <c r="M239" s="470">
        <v>2.9061991311470301</v>
      </c>
      <c r="N239" s="656" t="str">
        <f t="shared" si="14"/>
        <v/>
      </c>
      <c r="O239" s="666">
        <f t="shared" si="15"/>
        <v>1</v>
      </c>
      <c r="P239" s="662">
        <v>2011</v>
      </c>
    </row>
    <row r="240" spans="1:16">
      <c r="A240" s="14" t="s">
        <v>3067</v>
      </c>
      <c r="B240" s="233">
        <v>450</v>
      </c>
      <c r="C240">
        <v>1</v>
      </c>
      <c r="D240">
        <v>449</v>
      </c>
      <c r="E240" t="s">
        <v>784</v>
      </c>
      <c r="F240" t="s">
        <v>784</v>
      </c>
      <c r="G240"/>
      <c r="H240" t="str">
        <f t="shared" si="12"/>
        <v>Mushrooms and truffles</v>
      </c>
      <c r="I240">
        <f t="shared" si="13"/>
        <v>449</v>
      </c>
      <c r="J240" s="421">
        <v>0.26</v>
      </c>
      <c r="K240" s="655" t="s">
        <v>7334</v>
      </c>
      <c r="L240" s="469" t="s">
        <v>7335</v>
      </c>
      <c r="M240" s="470">
        <v>8.7127977301575452</v>
      </c>
      <c r="N240" s="656">
        <f t="shared" si="14"/>
        <v>2.2653274098409617</v>
      </c>
      <c r="O240" s="666">
        <f t="shared" si="15"/>
        <v>0.49830461132551268</v>
      </c>
      <c r="P240" s="662" t="s">
        <v>7514</v>
      </c>
    </row>
    <row r="241" spans="1:16">
      <c r="A241" s="14" t="s">
        <v>1141</v>
      </c>
      <c r="B241" s="233">
        <v>451</v>
      </c>
      <c r="C241">
        <v>1</v>
      </c>
      <c r="D241">
        <v>449</v>
      </c>
      <c r="E241" t="s">
        <v>784</v>
      </c>
      <c r="F241" t="s">
        <v>784</v>
      </c>
      <c r="G241"/>
      <c r="H241" t="str">
        <f t="shared" si="12"/>
        <v>Mushrooms and truffles</v>
      </c>
      <c r="I241">
        <f t="shared" si="13"/>
        <v>449</v>
      </c>
      <c r="J241" s="421">
        <v>1.1000000000000001</v>
      </c>
      <c r="K241" s="655">
        <v>545571</v>
      </c>
      <c r="L241" s="469">
        <v>1029790</v>
      </c>
      <c r="M241" s="470">
        <v>1.88754534240273</v>
      </c>
      <c r="N241" s="656">
        <f t="shared" si="14"/>
        <v>2.0762998766430032</v>
      </c>
      <c r="O241" s="666">
        <f t="shared" si="15"/>
        <v>2.300144631734959</v>
      </c>
      <c r="P241" s="662">
        <v>2011</v>
      </c>
    </row>
    <row r="242" spans="1:16">
      <c r="A242" s="14" t="s">
        <v>4493</v>
      </c>
      <c r="B242" s="233">
        <v>459</v>
      </c>
      <c r="C242">
        <v>1</v>
      </c>
      <c r="D242">
        <v>459</v>
      </c>
      <c r="E242" t="s">
        <v>4493</v>
      </c>
      <c r="F242"/>
      <c r="G242"/>
      <c r="H242" t="str">
        <f t="shared" si="12"/>
        <v/>
      </c>
      <c r="I242" t="str">
        <f t="shared" si="13"/>
        <v/>
      </c>
      <c r="J242" s="421"/>
      <c r="K242" s="655" t="s">
        <v>7336</v>
      </c>
      <c r="L242" s="469" t="s">
        <v>7337</v>
      </c>
      <c r="M242" s="470">
        <v>2.175081967213115</v>
      </c>
      <c r="N242" s="656" t="str">
        <f t="shared" si="14"/>
        <v/>
      </c>
      <c r="O242" s="666">
        <f t="shared" si="15"/>
        <v>1</v>
      </c>
      <c r="P242" s="662" t="s">
        <v>7514</v>
      </c>
    </row>
    <row r="243" spans="1:16">
      <c r="A243" s="14" t="s">
        <v>3279</v>
      </c>
      <c r="B243" s="233">
        <v>460</v>
      </c>
      <c r="C243">
        <v>1</v>
      </c>
      <c r="D243">
        <v>463</v>
      </c>
      <c r="E243" t="s">
        <v>3248</v>
      </c>
      <c r="F243" t="s">
        <v>3248</v>
      </c>
      <c r="G243"/>
      <c r="H243" t="str">
        <f t="shared" si="12"/>
        <v>Vegetables fresh nes</v>
      </c>
      <c r="I243">
        <f t="shared" si="13"/>
        <v>463</v>
      </c>
      <c r="J243" s="421">
        <v>1</v>
      </c>
      <c r="K243" s="655">
        <v>196444</v>
      </c>
      <c r="L243" s="469">
        <v>423045</v>
      </c>
      <c r="M243" s="470">
        <v>2.1535144875893399</v>
      </c>
      <c r="N243" s="656">
        <f t="shared" si="14"/>
        <v>2.1535144875893399</v>
      </c>
      <c r="O243" s="666">
        <f t="shared" si="15"/>
        <v>1</v>
      </c>
      <c r="P243" s="662">
        <v>2011</v>
      </c>
    </row>
    <row r="244" spans="1:16">
      <c r="A244" s="14" t="s">
        <v>5440</v>
      </c>
      <c r="B244" s="233">
        <v>461</v>
      </c>
      <c r="C244">
        <v>1</v>
      </c>
      <c r="D244">
        <v>461</v>
      </c>
      <c r="E244" t="s">
        <v>5440</v>
      </c>
      <c r="F244"/>
      <c r="G244"/>
      <c r="H244" t="str">
        <f t="shared" si="12"/>
        <v/>
      </c>
      <c r="I244" t="str">
        <f t="shared" si="13"/>
        <v/>
      </c>
      <c r="J244" s="421"/>
      <c r="K244" s="655" t="s">
        <v>7338</v>
      </c>
      <c r="L244" s="469" t="s">
        <v>7339</v>
      </c>
      <c r="M244" s="470">
        <v>1.4751386521332022</v>
      </c>
      <c r="N244" s="656" t="str">
        <f t="shared" si="14"/>
        <v/>
      </c>
      <c r="O244" s="666">
        <f t="shared" si="15"/>
        <v>1</v>
      </c>
      <c r="P244" s="662" t="s">
        <v>7514</v>
      </c>
    </row>
    <row r="245" spans="1:16">
      <c r="A245" s="14" t="s">
        <v>3248</v>
      </c>
      <c r="B245" s="233">
        <v>463</v>
      </c>
      <c r="C245">
        <v>1</v>
      </c>
      <c r="D245">
        <v>463</v>
      </c>
      <c r="E245" t="s">
        <v>3248</v>
      </c>
      <c r="F245"/>
      <c r="G245"/>
      <c r="H245" t="str">
        <f t="shared" si="12"/>
        <v/>
      </c>
      <c r="I245" t="str">
        <f t="shared" si="13"/>
        <v/>
      </c>
      <c r="J245" s="421"/>
      <c r="K245" s="655">
        <v>2422230</v>
      </c>
      <c r="L245" s="469">
        <v>2623080</v>
      </c>
      <c r="M245" s="470">
        <v>1.0829194585155</v>
      </c>
      <c r="N245" s="656" t="str">
        <f t="shared" si="14"/>
        <v/>
      </c>
      <c r="O245" s="666">
        <f t="shared" si="15"/>
        <v>1</v>
      </c>
      <c r="P245" s="662">
        <v>2011</v>
      </c>
    </row>
    <row r="246" spans="1:16">
      <c r="A246" s="14" t="s">
        <v>3250</v>
      </c>
      <c r="B246" s="233">
        <v>464</v>
      </c>
      <c r="C246">
        <v>2</v>
      </c>
      <c r="D246">
        <v>463</v>
      </c>
      <c r="E246" t="s">
        <v>3248</v>
      </c>
      <c r="F246" t="s">
        <v>3248</v>
      </c>
      <c r="G246" t="s">
        <v>6003</v>
      </c>
      <c r="H246" t="str">
        <f t="shared" si="12"/>
        <v>Vegetables fresh nesa</v>
      </c>
      <c r="I246">
        <f t="shared" si="13"/>
        <v>463</v>
      </c>
      <c r="J246" s="421">
        <v>0.25</v>
      </c>
      <c r="K246" s="655">
        <v>38</v>
      </c>
      <c r="L246" s="469">
        <v>16</v>
      </c>
      <c r="M246" s="470">
        <v>2.375</v>
      </c>
      <c r="N246" s="656">
        <f t="shared" si="14"/>
        <v>0.59375</v>
      </c>
      <c r="O246" s="666">
        <f t="shared" si="15"/>
        <v>0.25</v>
      </c>
      <c r="P246" s="662">
        <v>2001</v>
      </c>
    </row>
    <row r="247" spans="1:16">
      <c r="A247" s="14" t="s">
        <v>1314</v>
      </c>
      <c r="B247" s="233">
        <v>466</v>
      </c>
      <c r="C247">
        <v>2</v>
      </c>
      <c r="D247">
        <v>463</v>
      </c>
      <c r="E247" t="s">
        <v>3248</v>
      </c>
      <c r="F247" t="s">
        <v>3248</v>
      </c>
      <c r="G247" t="s">
        <v>6004</v>
      </c>
      <c r="H247" t="str">
        <f t="shared" si="12"/>
        <v>Vegetables fresh nesb</v>
      </c>
      <c r="I247">
        <f t="shared" si="13"/>
        <v>463</v>
      </c>
      <c r="J247" s="421">
        <v>0.5</v>
      </c>
      <c r="K247" s="655" t="s">
        <v>7340</v>
      </c>
      <c r="L247" s="469" t="s">
        <v>7341</v>
      </c>
      <c r="M247" s="470">
        <v>1.8472177157689811</v>
      </c>
      <c r="N247" s="656">
        <f t="shared" si="14"/>
        <v>0.92360885788449054</v>
      </c>
      <c r="O247" s="666">
        <f t="shared" si="15"/>
        <v>0.5</v>
      </c>
      <c r="P247" s="662" t="s">
        <v>7514</v>
      </c>
    </row>
    <row r="248" spans="1:16">
      <c r="A248" s="14" t="s">
        <v>3247</v>
      </c>
      <c r="B248" s="233">
        <v>469</v>
      </c>
      <c r="C248">
        <v>2</v>
      </c>
      <c r="D248">
        <v>463</v>
      </c>
      <c r="E248" t="s">
        <v>3248</v>
      </c>
      <c r="F248" t="s">
        <v>3248</v>
      </c>
      <c r="G248" t="s">
        <v>6005</v>
      </c>
      <c r="H248" t="str">
        <f t="shared" si="12"/>
        <v>Vegetables fresh nesc</v>
      </c>
      <c r="I248">
        <f t="shared" si="13"/>
        <v>463</v>
      </c>
      <c r="J248" s="421">
        <v>0.25</v>
      </c>
      <c r="K248" s="655">
        <v>616725</v>
      </c>
      <c r="L248" s="469">
        <v>1790500</v>
      </c>
      <c r="M248" s="470">
        <v>2.9032388828083802</v>
      </c>
      <c r="N248" s="656">
        <f t="shared" si="14"/>
        <v>0.72580972070209504</v>
      </c>
      <c r="O248" s="666">
        <f t="shared" si="15"/>
        <v>0.25</v>
      </c>
      <c r="P248" s="662">
        <v>2011</v>
      </c>
    </row>
    <row r="249" spans="1:16">
      <c r="A249" s="14" t="s">
        <v>4524</v>
      </c>
      <c r="B249" s="233">
        <v>471</v>
      </c>
      <c r="C249">
        <v>2</v>
      </c>
      <c r="D249">
        <v>463</v>
      </c>
      <c r="E249" t="s">
        <v>3248</v>
      </c>
      <c r="F249" t="s">
        <v>3248</v>
      </c>
      <c r="G249" t="s">
        <v>6006</v>
      </c>
      <c r="H249" t="str">
        <f t="shared" si="12"/>
        <v>Vegetables fresh nesd</v>
      </c>
      <c r="I249">
        <f t="shared" si="13"/>
        <v>463</v>
      </c>
      <c r="J249" s="421">
        <v>1</v>
      </c>
      <c r="K249" s="655">
        <v>1206760</v>
      </c>
      <c r="L249" s="469">
        <v>1718710</v>
      </c>
      <c r="M249" s="470">
        <v>1.42423514203321</v>
      </c>
      <c r="N249" s="656">
        <f t="shared" si="14"/>
        <v>1.42423514203321</v>
      </c>
      <c r="O249" s="666">
        <f t="shared" si="15"/>
        <v>1</v>
      </c>
      <c r="P249" s="662">
        <v>2011</v>
      </c>
    </row>
    <row r="250" spans="1:16">
      <c r="A250" s="14" t="s">
        <v>3249</v>
      </c>
      <c r="B250" s="233">
        <v>472</v>
      </c>
      <c r="C250">
        <v>2</v>
      </c>
      <c r="D250">
        <v>463</v>
      </c>
      <c r="E250" t="s">
        <v>3248</v>
      </c>
      <c r="F250" t="s">
        <v>3248</v>
      </c>
      <c r="G250" t="s">
        <v>6007</v>
      </c>
      <c r="H250" t="str">
        <f t="shared" si="12"/>
        <v>Vegetables fresh nese</v>
      </c>
      <c r="I250">
        <f t="shared" si="13"/>
        <v>463</v>
      </c>
      <c r="J250" s="421">
        <v>1</v>
      </c>
      <c r="K250" s="655">
        <v>3749120</v>
      </c>
      <c r="L250" s="469">
        <v>6347790</v>
      </c>
      <c r="M250" s="470">
        <v>1.6931413238306601</v>
      </c>
      <c r="N250" s="656">
        <f t="shared" si="14"/>
        <v>1.6931413238306601</v>
      </c>
      <c r="O250" s="666">
        <f t="shared" si="15"/>
        <v>1</v>
      </c>
      <c r="P250" s="662">
        <v>2011</v>
      </c>
    </row>
    <row r="251" spans="1:16">
      <c r="A251" s="14" t="s">
        <v>4522</v>
      </c>
      <c r="B251" s="233">
        <v>473</v>
      </c>
      <c r="C251">
        <v>2</v>
      </c>
      <c r="D251">
        <v>463</v>
      </c>
      <c r="E251" t="s">
        <v>3248</v>
      </c>
      <c r="F251" t="s">
        <v>3248</v>
      </c>
      <c r="G251" t="s">
        <v>6008</v>
      </c>
      <c r="H251" t="str">
        <f t="shared" si="12"/>
        <v>Vegetables fresh nesf</v>
      </c>
      <c r="I251">
        <f t="shared" si="13"/>
        <v>463</v>
      </c>
      <c r="J251" s="421">
        <v>0.5</v>
      </c>
      <c r="K251" s="655">
        <v>4420620</v>
      </c>
      <c r="L251" s="469">
        <v>5383970</v>
      </c>
      <c r="M251" s="470">
        <v>1.2179219204545999</v>
      </c>
      <c r="N251" s="656">
        <f t="shared" si="14"/>
        <v>0.60896096022729995</v>
      </c>
      <c r="O251" s="666">
        <f t="shared" si="15"/>
        <v>0.5</v>
      </c>
      <c r="P251" s="662">
        <v>2011</v>
      </c>
    </row>
    <row r="252" spans="1:16">
      <c r="A252" s="14" t="s">
        <v>4781</v>
      </c>
      <c r="B252" s="233">
        <v>474</v>
      </c>
      <c r="C252">
        <v>2</v>
      </c>
      <c r="D252">
        <v>463</v>
      </c>
      <c r="E252" t="s">
        <v>3248</v>
      </c>
      <c r="F252" t="s">
        <v>3248</v>
      </c>
      <c r="G252" t="s">
        <v>6009</v>
      </c>
      <c r="H252" t="str">
        <f t="shared" si="12"/>
        <v>Vegetables fresh nesg</v>
      </c>
      <c r="I252">
        <f t="shared" si="13"/>
        <v>463</v>
      </c>
      <c r="J252" s="421">
        <v>0.5</v>
      </c>
      <c r="K252" s="655">
        <v>454663</v>
      </c>
      <c r="L252" s="469">
        <v>540808</v>
      </c>
      <c r="M252" s="470">
        <v>1.1894700030572101</v>
      </c>
      <c r="N252" s="656">
        <f t="shared" si="14"/>
        <v>0.59473500152860503</v>
      </c>
      <c r="O252" s="666">
        <f t="shared" si="15"/>
        <v>0.5</v>
      </c>
      <c r="P252" s="662">
        <v>2011</v>
      </c>
    </row>
    <row r="253" spans="1:16">
      <c r="A253" s="14" t="s">
        <v>4783</v>
      </c>
      <c r="B253" s="233">
        <v>475</v>
      </c>
      <c r="C253">
        <v>2</v>
      </c>
      <c r="D253">
        <v>463</v>
      </c>
      <c r="E253" t="s">
        <v>3248</v>
      </c>
      <c r="F253" t="s">
        <v>3248</v>
      </c>
      <c r="G253" t="s">
        <v>6010</v>
      </c>
      <c r="H253" t="str">
        <f t="shared" si="12"/>
        <v>Vegetables fresh nesh</v>
      </c>
      <c r="I253">
        <f t="shared" si="13"/>
        <v>463</v>
      </c>
      <c r="J253" s="421">
        <v>0.5</v>
      </c>
      <c r="K253" s="655">
        <v>507845</v>
      </c>
      <c r="L253" s="469">
        <v>986314</v>
      </c>
      <c r="M253" s="470">
        <v>1.9421555789660201</v>
      </c>
      <c r="N253" s="656">
        <f t="shared" si="14"/>
        <v>0.97107778948301005</v>
      </c>
      <c r="O253" s="666">
        <f t="shared" si="15"/>
        <v>0.5</v>
      </c>
      <c r="P253" s="662">
        <v>2011</v>
      </c>
    </row>
    <row r="254" spans="1:16">
      <c r="A254" s="14" t="s">
        <v>3836</v>
      </c>
      <c r="B254" s="233">
        <v>476</v>
      </c>
      <c r="C254">
        <v>2</v>
      </c>
      <c r="D254">
        <v>463</v>
      </c>
      <c r="E254" t="s">
        <v>3248</v>
      </c>
      <c r="F254" t="s">
        <v>3248</v>
      </c>
      <c r="G254" t="s">
        <v>6011</v>
      </c>
      <c r="H254" t="str">
        <f t="shared" si="12"/>
        <v>Vegetables fresh nesi</v>
      </c>
      <c r="I254">
        <f t="shared" si="13"/>
        <v>463</v>
      </c>
      <c r="J254" s="421">
        <v>0.5</v>
      </c>
      <c r="K254" s="655">
        <v>38083</v>
      </c>
      <c r="L254" s="469">
        <v>100059</v>
      </c>
      <c r="M254" s="470">
        <v>2.6273927999369802</v>
      </c>
      <c r="N254" s="656">
        <f t="shared" si="14"/>
        <v>1.3136963999684901</v>
      </c>
      <c r="O254" s="666">
        <f t="shared" si="15"/>
        <v>0.5</v>
      </c>
      <c r="P254" s="662">
        <v>2011</v>
      </c>
    </row>
    <row r="255" spans="1:16">
      <c r="A255" s="14" t="s">
        <v>614</v>
      </c>
      <c r="B255" s="233">
        <v>486</v>
      </c>
      <c r="C255">
        <v>1</v>
      </c>
      <c r="D255">
        <v>486</v>
      </c>
      <c r="E255" t="s">
        <v>614</v>
      </c>
      <c r="F255"/>
      <c r="G255"/>
      <c r="H255" t="str">
        <f t="shared" si="12"/>
        <v/>
      </c>
      <c r="I255" t="str">
        <f t="shared" si="13"/>
        <v/>
      </c>
      <c r="J255" s="421"/>
      <c r="K255" s="655">
        <v>18918800</v>
      </c>
      <c r="L255" s="469">
        <v>13068900</v>
      </c>
      <c r="M255" s="470">
        <v>0.69078905638835397</v>
      </c>
      <c r="N255" s="656" t="str">
        <f t="shared" si="14"/>
        <v/>
      </c>
      <c r="O255" s="666">
        <f t="shared" si="15"/>
        <v>1</v>
      </c>
      <c r="P255" s="662">
        <v>2011</v>
      </c>
    </row>
    <row r="256" spans="1:16">
      <c r="A256" s="14" t="s">
        <v>5106</v>
      </c>
      <c r="B256" s="233">
        <v>489</v>
      </c>
      <c r="C256">
        <v>1</v>
      </c>
      <c r="D256">
        <v>489</v>
      </c>
      <c r="E256" t="s">
        <v>5106</v>
      </c>
      <c r="F256"/>
      <c r="G256"/>
      <c r="H256" t="str">
        <f t="shared" si="12"/>
        <v/>
      </c>
      <c r="I256" t="str">
        <f t="shared" si="13"/>
        <v/>
      </c>
      <c r="J256" s="421"/>
      <c r="K256" s="655">
        <v>663479</v>
      </c>
      <c r="L256" s="469">
        <v>415389</v>
      </c>
      <c r="M256" s="470">
        <v>0.626077087594332</v>
      </c>
      <c r="N256" s="656" t="str">
        <f t="shared" si="14"/>
        <v/>
      </c>
      <c r="O256" s="666">
        <f t="shared" si="15"/>
        <v>1</v>
      </c>
      <c r="P256" s="662">
        <v>2011</v>
      </c>
    </row>
    <row r="257" spans="1:16">
      <c r="A257" s="14" t="s">
        <v>3096</v>
      </c>
      <c r="B257" s="233">
        <v>490</v>
      </c>
      <c r="C257">
        <v>1</v>
      </c>
      <c r="D257">
        <v>490</v>
      </c>
      <c r="E257" t="s">
        <v>3096</v>
      </c>
      <c r="F257"/>
      <c r="G257"/>
      <c r="H257" t="str">
        <f t="shared" si="12"/>
        <v/>
      </c>
      <c r="I257" t="str">
        <f t="shared" si="13"/>
        <v/>
      </c>
      <c r="J257" s="421"/>
      <c r="K257" s="655">
        <v>6536510</v>
      </c>
      <c r="L257" s="469">
        <v>5003630</v>
      </c>
      <c r="M257" s="470">
        <v>0.76548953493530902</v>
      </c>
      <c r="N257" s="656" t="str">
        <f t="shared" si="14"/>
        <v/>
      </c>
      <c r="O257" s="666">
        <f t="shared" si="15"/>
        <v>1</v>
      </c>
      <c r="P257" s="662">
        <v>2011</v>
      </c>
    </row>
    <row r="258" spans="1:16">
      <c r="A258" s="14" t="s">
        <v>5010</v>
      </c>
      <c r="B258" s="233">
        <v>491</v>
      </c>
      <c r="C258">
        <v>2</v>
      </c>
      <c r="D258">
        <v>490</v>
      </c>
      <c r="E258" t="s">
        <v>3096</v>
      </c>
      <c r="F258" t="s">
        <v>3096</v>
      </c>
      <c r="G258" t="s">
        <v>6003</v>
      </c>
      <c r="H258" t="str">
        <f t="shared" si="12"/>
        <v>Orangesa</v>
      </c>
      <c r="I258">
        <f t="shared" si="13"/>
        <v>490</v>
      </c>
      <c r="J258" s="421">
        <v>0.55000000000000004</v>
      </c>
      <c r="K258" s="655">
        <v>3379870</v>
      </c>
      <c r="L258" s="469">
        <v>3811880</v>
      </c>
      <c r="M258" s="470">
        <v>1.1278185255645901</v>
      </c>
      <c r="N258" s="656">
        <f t="shared" si="14"/>
        <v>0.62030018906052453</v>
      </c>
      <c r="O258" s="666">
        <f t="shared" si="15"/>
        <v>0.55000000000000004</v>
      </c>
      <c r="P258" s="662">
        <v>2011</v>
      </c>
    </row>
    <row r="259" spans="1:16">
      <c r="A259" s="14" t="s">
        <v>3035</v>
      </c>
      <c r="B259" s="233">
        <v>492</v>
      </c>
      <c r="C259">
        <v>2</v>
      </c>
      <c r="D259">
        <v>490</v>
      </c>
      <c r="E259" t="s">
        <v>3096</v>
      </c>
      <c r="F259" t="s">
        <v>3096</v>
      </c>
      <c r="G259" t="s">
        <v>6004</v>
      </c>
      <c r="H259" t="str">
        <f t="shared" si="12"/>
        <v>Orangesb</v>
      </c>
      <c r="I259">
        <f t="shared" si="13"/>
        <v>490</v>
      </c>
      <c r="J259" s="421">
        <v>0.1</v>
      </c>
      <c r="K259" s="655">
        <v>1444440</v>
      </c>
      <c r="L259" s="469">
        <v>2583750</v>
      </c>
      <c r="M259" s="470">
        <v>1.78875550386309</v>
      </c>
      <c r="N259" s="656">
        <f t="shared" si="14"/>
        <v>0.17887555038630901</v>
      </c>
      <c r="O259" s="666">
        <f t="shared" si="15"/>
        <v>0.1</v>
      </c>
      <c r="P259" s="662">
        <v>2011</v>
      </c>
    </row>
    <row r="260" spans="1:16">
      <c r="A260" s="14" t="s">
        <v>3776</v>
      </c>
      <c r="B260" s="233">
        <v>495</v>
      </c>
      <c r="C260">
        <v>1</v>
      </c>
      <c r="D260">
        <v>495</v>
      </c>
      <c r="E260" t="s">
        <v>3776</v>
      </c>
      <c r="F260"/>
      <c r="G260"/>
      <c r="H260" t="str">
        <f t="shared" si="12"/>
        <v/>
      </c>
      <c r="I260" t="str">
        <f t="shared" si="13"/>
        <v/>
      </c>
      <c r="J260" s="421"/>
      <c r="K260" s="655">
        <v>4186870</v>
      </c>
      <c r="L260" s="469">
        <v>4251840</v>
      </c>
      <c r="M260" s="470">
        <v>1.01551755846253</v>
      </c>
      <c r="N260" s="656" t="str">
        <f t="shared" si="14"/>
        <v/>
      </c>
      <c r="O260" s="666">
        <f t="shared" si="15"/>
        <v>1</v>
      </c>
      <c r="P260" s="662">
        <v>2011</v>
      </c>
    </row>
    <row r="261" spans="1:16">
      <c r="A261" s="14" t="s">
        <v>3244</v>
      </c>
      <c r="B261" s="233">
        <v>496</v>
      </c>
      <c r="C261">
        <v>2</v>
      </c>
      <c r="D261">
        <v>495</v>
      </c>
      <c r="E261" t="s">
        <v>3776</v>
      </c>
      <c r="F261" t="s">
        <v>3776</v>
      </c>
      <c r="G261" t="s">
        <v>6003</v>
      </c>
      <c r="H261" t="str">
        <f t="shared" si="12"/>
        <v>Tangerines, mandarins, clem.a</v>
      </c>
      <c r="I261">
        <f t="shared" si="13"/>
        <v>495</v>
      </c>
      <c r="J261" s="421">
        <v>0.45</v>
      </c>
      <c r="K261" s="655" t="s">
        <v>7342</v>
      </c>
      <c r="L261" s="469" t="s">
        <v>7343</v>
      </c>
      <c r="M261" s="470">
        <v>0.7142857142857143</v>
      </c>
      <c r="N261" s="656">
        <f t="shared" si="14"/>
        <v>0.32142857142857145</v>
      </c>
      <c r="O261" s="666">
        <f t="shared" si="15"/>
        <v>0.45</v>
      </c>
      <c r="P261" s="662" t="s">
        <v>7514</v>
      </c>
    </row>
    <row r="262" spans="1:16">
      <c r="A262" s="14" t="s">
        <v>566</v>
      </c>
      <c r="B262" s="233">
        <v>497</v>
      </c>
      <c r="C262">
        <v>1</v>
      </c>
      <c r="D262">
        <v>497</v>
      </c>
      <c r="E262" t="s">
        <v>566</v>
      </c>
      <c r="F262"/>
      <c r="G262"/>
      <c r="H262" t="str">
        <f t="shared" si="12"/>
        <v/>
      </c>
      <c r="I262" t="str">
        <f t="shared" si="13"/>
        <v/>
      </c>
      <c r="J262" s="421"/>
      <c r="K262" s="655">
        <v>2395700</v>
      </c>
      <c r="L262" s="469">
        <v>2175010</v>
      </c>
      <c r="M262" s="470">
        <v>0.90788078640898295</v>
      </c>
      <c r="N262" s="656" t="str">
        <f t="shared" si="14"/>
        <v/>
      </c>
      <c r="O262" s="666">
        <f t="shared" si="15"/>
        <v>1</v>
      </c>
      <c r="P262" s="662">
        <v>2011</v>
      </c>
    </row>
    <row r="263" spans="1:16">
      <c r="A263" s="14" t="s">
        <v>4988</v>
      </c>
      <c r="B263" s="233">
        <v>498</v>
      </c>
      <c r="C263">
        <v>2</v>
      </c>
      <c r="D263">
        <v>497</v>
      </c>
      <c r="E263" t="s">
        <v>566</v>
      </c>
      <c r="F263" t="s">
        <v>566</v>
      </c>
      <c r="G263" t="s">
        <v>6003</v>
      </c>
      <c r="H263" t="str">
        <f t="shared" si="12"/>
        <v>Lemons and limesa</v>
      </c>
      <c r="I263">
        <f t="shared" si="13"/>
        <v>497</v>
      </c>
      <c r="J263" s="421">
        <v>0.39</v>
      </c>
      <c r="K263" s="655" t="s">
        <v>7344</v>
      </c>
      <c r="L263" s="469" t="s">
        <v>7345</v>
      </c>
      <c r="M263" s="470">
        <v>0.87331443140027221</v>
      </c>
      <c r="N263" s="656">
        <f t="shared" si="14"/>
        <v>0.3405926282461062</v>
      </c>
      <c r="O263" s="666">
        <f t="shared" si="15"/>
        <v>0.39</v>
      </c>
      <c r="P263" s="662" t="s">
        <v>7514</v>
      </c>
    </row>
    <row r="264" spans="1:16">
      <c r="A264" s="14" t="s">
        <v>806</v>
      </c>
      <c r="B264" s="233">
        <v>499</v>
      </c>
      <c r="C264">
        <v>2</v>
      </c>
      <c r="D264">
        <v>497</v>
      </c>
      <c r="E264" t="s">
        <v>566</v>
      </c>
      <c r="F264" t="s">
        <v>566</v>
      </c>
      <c r="G264" t="s">
        <v>6004</v>
      </c>
      <c r="H264" t="str">
        <f t="shared" ref="H264:H327" si="16">F264&amp;G264</f>
        <v>Lemons and limesb</v>
      </c>
      <c r="I264">
        <f t="shared" ref="I264:I327" si="17">IFERROR(VLOOKUP(F264,$A$7:$B$590,2,FALSE),"")</f>
        <v>497</v>
      </c>
      <c r="J264" s="421">
        <v>0.12</v>
      </c>
      <c r="K264" s="655">
        <v>88752</v>
      </c>
      <c r="L264" s="469">
        <v>44276</v>
      </c>
      <c r="M264" s="470">
        <v>0.49887326482783501</v>
      </c>
      <c r="N264" s="656">
        <f t="shared" ref="N264:N327" si="18">IF(ISBLANK(J264),"",J264*M264)</f>
        <v>5.9864791779340197E-2</v>
      </c>
      <c r="O264" s="666">
        <f t="shared" ref="O264:O327" si="19">IF(ISBLANK(F264),1,J264/(N264/SUMIF(H$7:H$601,H264,N$7:N$601))*VLOOKUP(F264,A$7:O$601,15,FALSE))</f>
        <v>0.12</v>
      </c>
      <c r="P264" s="662">
        <v>2011</v>
      </c>
    </row>
    <row r="265" spans="1:16">
      <c r="A265" s="14" t="s">
        <v>4774</v>
      </c>
      <c r="B265" s="233">
        <v>507</v>
      </c>
      <c r="C265">
        <v>1</v>
      </c>
      <c r="D265">
        <v>507</v>
      </c>
      <c r="E265" t="s">
        <v>4774</v>
      </c>
      <c r="F265"/>
      <c r="G265"/>
      <c r="H265" t="str">
        <f t="shared" si="16"/>
        <v/>
      </c>
      <c r="I265" t="str">
        <f t="shared" si="17"/>
        <v/>
      </c>
      <c r="J265" s="421"/>
      <c r="K265" s="655">
        <v>1075770</v>
      </c>
      <c r="L265" s="469">
        <v>1023790</v>
      </c>
      <c r="M265" s="470">
        <v>0.95168112142930195</v>
      </c>
      <c r="N265" s="656" t="str">
        <f t="shared" si="18"/>
        <v/>
      </c>
      <c r="O265" s="666">
        <f t="shared" si="19"/>
        <v>1</v>
      </c>
      <c r="P265" s="662">
        <v>2011</v>
      </c>
    </row>
    <row r="266" spans="1:16">
      <c r="A266" s="14" t="s">
        <v>2664</v>
      </c>
      <c r="B266" s="233">
        <v>509</v>
      </c>
      <c r="C266">
        <v>2</v>
      </c>
      <c r="D266">
        <v>507</v>
      </c>
      <c r="E266" t="s">
        <v>4774</v>
      </c>
      <c r="F266" t="s">
        <v>4774</v>
      </c>
      <c r="G266" t="s">
        <v>6003</v>
      </c>
      <c r="H266" t="str">
        <f t="shared" si="16"/>
        <v>Grapefruit (inc. pomelos)a</v>
      </c>
      <c r="I266">
        <f t="shared" si="17"/>
        <v>507</v>
      </c>
      <c r="J266" s="421">
        <v>0.47</v>
      </c>
      <c r="K266" s="655">
        <v>180167</v>
      </c>
      <c r="L266" s="469">
        <v>152172</v>
      </c>
      <c r="M266" s="470">
        <v>0.84461638368846703</v>
      </c>
      <c r="N266" s="656">
        <f t="shared" si="18"/>
        <v>0.39696970033357948</v>
      </c>
      <c r="O266" s="666">
        <f t="shared" si="19"/>
        <v>0.47</v>
      </c>
      <c r="P266" s="662">
        <v>2011</v>
      </c>
    </row>
    <row r="267" spans="1:16">
      <c r="A267" s="14" t="s">
        <v>802</v>
      </c>
      <c r="B267" s="233">
        <v>510</v>
      </c>
      <c r="C267">
        <v>2</v>
      </c>
      <c r="D267">
        <v>507</v>
      </c>
      <c r="E267" t="s">
        <v>4774</v>
      </c>
      <c r="F267" t="s">
        <v>4774</v>
      </c>
      <c r="G267" t="s">
        <v>6004</v>
      </c>
      <c r="H267" t="str">
        <f t="shared" si="16"/>
        <v>Grapefruit (inc. pomelos)b</v>
      </c>
      <c r="I267">
        <f t="shared" si="17"/>
        <v>507</v>
      </c>
      <c r="J267" s="421">
        <v>0.14000000000000001</v>
      </c>
      <c r="K267" s="655">
        <v>147084</v>
      </c>
      <c r="L267" s="469">
        <v>251934</v>
      </c>
      <c r="M267" s="470">
        <v>1.7128579587174699</v>
      </c>
      <c r="N267" s="656">
        <f t="shared" si="18"/>
        <v>0.23980011422044581</v>
      </c>
      <c r="O267" s="666">
        <f t="shared" si="19"/>
        <v>0.14000000000000001</v>
      </c>
      <c r="P267" s="662">
        <v>2011</v>
      </c>
    </row>
    <row r="268" spans="1:16">
      <c r="A268" s="14" t="s">
        <v>1848</v>
      </c>
      <c r="B268" s="233">
        <v>512</v>
      </c>
      <c r="C268">
        <v>1</v>
      </c>
      <c r="D268">
        <v>512</v>
      </c>
      <c r="E268" t="s">
        <v>1848</v>
      </c>
      <c r="F268"/>
      <c r="G268"/>
      <c r="H268" t="str">
        <f t="shared" si="16"/>
        <v/>
      </c>
      <c r="I268" t="str">
        <f t="shared" si="17"/>
        <v/>
      </c>
      <c r="J268" s="421"/>
      <c r="K268" s="655" t="s">
        <v>7346</v>
      </c>
      <c r="L268" s="469" t="s">
        <v>7347</v>
      </c>
      <c r="M268" s="470">
        <v>0.98711541019744964</v>
      </c>
      <c r="N268" s="656" t="str">
        <f t="shared" si="18"/>
        <v/>
      </c>
      <c r="O268" s="666">
        <f t="shared" si="19"/>
        <v>1</v>
      </c>
      <c r="P268" s="662" t="s">
        <v>7514</v>
      </c>
    </row>
    <row r="269" spans="1:16">
      <c r="A269" s="14" t="s">
        <v>576</v>
      </c>
      <c r="B269" s="233">
        <v>513</v>
      </c>
      <c r="C269">
        <v>2</v>
      </c>
      <c r="D269">
        <v>512</v>
      </c>
      <c r="E269" t="s">
        <v>1848</v>
      </c>
      <c r="F269" t="s">
        <v>1848</v>
      </c>
      <c r="G269" t="s">
        <v>6003</v>
      </c>
      <c r="H269" t="str">
        <f t="shared" si="16"/>
        <v>Citrus fruit, nesa</v>
      </c>
      <c r="I269">
        <f t="shared" si="17"/>
        <v>512</v>
      </c>
      <c r="J269" s="421">
        <v>0.39</v>
      </c>
      <c r="K269" s="655">
        <v>126720</v>
      </c>
      <c r="L269" s="469">
        <v>163990</v>
      </c>
      <c r="M269" s="470">
        <v>1.2941130050505001</v>
      </c>
      <c r="N269" s="656">
        <f t="shared" si="18"/>
        <v>0.50470407196969502</v>
      </c>
      <c r="O269" s="666">
        <f t="shared" si="19"/>
        <v>0.39</v>
      </c>
      <c r="P269" s="662">
        <v>2011</v>
      </c>
    </row>
    <row r="270" spans="1:16">
      <c r="A270" s="14" t="s">
        <v>1849</v>
      </c>
      <c r="B270" s="233">
        <v>514</v>
      </c>
      <c r="C270">
        <v>2</v>
      </c>
      <c r="D270">
        <v>512</v>
      </c>
      <c r="E270" t="s">
        <v>1848</v>
      </c>
      <c r="F270" t="s">
        <v>1848</v>
      </c>
      <c r="G270" t="s">
        <v>6004</v>
      </c>
      <c r="H270" t="str">
        <f t="shared" si="16"/>
        <v>Citrus fruit, nesb</v>
      </c>
      <c r="I270">
        <f t="shared" si="17"/>
        <v>512</v>
      </c>
      <c r="J270" s="421">
        <v>0.12</v>
      </c>
      <c r="K270" s="655">
        <v>137681</v>
      </c>
      <c r="L270" s="469">
        <v>409738</v>
      </c>
      <c r="M270" s="470">
        <v>2.9759952353629</v>
      </c>
      <c r="N270" s="656">
        <f t="shared" si="18"/>
        <v>0.35711942824354798</v>
      </c>
      <c r="O270" s="666">
        <f t="shared" si="19"/>
        <v>0.12</v>
      </c>
      <c r="P270" s="662">
        <v>2011</v>
      </c>
    </row>
    <row r="271" spans="1:16">
      <c r="A271" s="14" t="s">
        <v>774</v>
      </c>
      <c r="B271" s="233">
        <v>515</v>
      </c>
      <c r="C271">
        <v>1</v>
      </c>
      <c r="D271">
        <v>515</v>
      </c>
      <c r="E271" t="s">
        <v>774</v>
      </c>
      <c r="F271"/>
      <c r="G271"/>
      <c r="H271" t="str">
        <f t="shared" si="16"/>
        <v/>
      </c>
      <c r="I271" t="str">
        <f t="shared" si="17"/>
        <v/>
      </c>
      <c r="J271" s="421"/>
      <c r="K271" s="655">
        <v>8057890</v>
      </c>
      <c r="L271" s="469">
        <v>7138440</v>
      </c>
      <c r="M271" s="470">
        <v>0.88589444631286896</v>
      </c>
      <c r="N271" s="656" t="str">
        <f t="shared" si="18"/>
        <v/>
      </c>
      <c r="O271" s="666">
        <f t="shared" si="19"/>
        <v>1</v>
      </c>
      <c r="P271" s="662">
        <v>2011</v>
      </c>
    </row>
    <row r="272" spans="1:16">
      <c r="A272" s="14" t="s">
        <v>1847</v>
      </c>
      <c r="B272" s="233">
        <v>517</v>
      </c>
      <c r="C272">
        <v>2</v>
      </c>
      <c r="D272">
        <v>515</v>
      </c>
      <c r="E272" t="s">
        <v>774</v>
      </c>
      <c r="F272" t="s">
        <v>774</v>
      </c>
      <c r="G272" t="s">
        <v>6003</v>
      </c>
      <c r="H272" t="str">
        <f t="shared" si="16"/>
        <v>Applesa</v>
      </c>
      <c r="I272">
        <f t="shared" si="17"/>
        <v>515</v>
      </c>
      <c r="J272" s="421">
        <v>0.22</v>
      </c>
      <c r="K272" s="655">
        <v>838318</v>
      </c>
      <c r="L272" s="469">
        <v>1283180</v>
      </c>
      <c r="M272" s="470">
        <v>1.5306602029301499</v>
      </c>
      <c r="N272" s="656">
        <f t="shared" si="18"/>
        <v>0.33674524464463301</v>
      </c>
      <c r="O272" s="666">
        <f t="shared" si="19"/>
        <v>0.22</v>
      </c>
      <c r="P272" s="662">
        <v>2011</v>
      </c>
    </row>
    <row r="273" spans="1:16">
      <c r="A273" s="14" t="s">
        <v>3252</v>
      </c>
      <c r="B273" s="233">
        <v>518</v>
      </c>
      <c r="C273">
        <v>2</v>
      </c>
      <c r="D273">
        <v>515</v>
      </c>
      <c r="E273" t="s">
        <v>774</v>
      </c>
      <c r="F273" t="s">
        <v>774</v>
      </c>
      <c r="G273" t="s">
        <v>6004</v>
      </c>
      <c r="H273" t="str">
        <f t="shared" si="16"/>
        <v>Applesb</v>
      </c>
      <c r="I273">
        <f t="shared" si="17"/>
        <v>515</v>
      </c>
      <c r="J273" s="421">
        <v>0.65</v>
      </c>
      <c r="K273" s="655" t="s">
        <v>7348</v>
      </c>
      <c r="L273" s="469" t="s">
        <v>7349</v>
      </c>
      <c r="M273" s="470">
        <v>1.360270305256152</v>
      </c>
      <c r="N273" s="656">
        <f t="shared" si="18"/>
        <v>0.88417569841649879</v>
      </c>
      <c r="O273" s="666">
        <f t="shared" si="19"/>
        <v>0.65</v>
      </c>
      <c r="P273" s="662" t="s">
        <v>7514</v>
      </c>
    </row>
    <row r="274" spans="1:16">
      <c r="A274" s="14" t="s">
        <v>3251</v>
      </c>
      <c r="B274" s="233">
        <v>519</v>
      </c>
      <c r="C274">
        <v>2</v>
      </c>
      <c r="D274">
        <v>515</v>
      </c>
      <c r="E274" t="s">
        <v>774</v>
      </c>
      <c r="F274" t="s">
        <v>774</v>
      </c>
      <c r="G274" t="s">
        <v>6005</v>
      </c>
      <c r="H274" t="str">
        <f t="shared" si="16"/>
        <v>Applesc</v>
      </c>
      <c r="I274">
        <f t="shared" si="17"/>
        <v>515</v>
      </c>
      <c r="J274" s="421">
        <v>0.22</v>
      </c>
      <c r="K274" s="655" t="s">
        <v>7350</v>
      </c>
      <c r="L274" s="469" t="s">
        <v>7351</v>
      </c>
      <c r="M274" s="470">
        <v>1.6474741347747444</v>
      </c>
      <c r="N274" s="656">
        <f t="shared" si="18"/>
        <v>0.36244430965044377</v>
      </c>
      <c r="O274" s="666">
        <f t="shared" si="19"/>
        <v>0.22</v>
      </c>
      <c r="P274" s="662" t="s">
        <v>7514</v>
      </c>
    </row>
    <row r="275" spans="1:16">
      <c r="A275" s="14" t="s">
        <v>2500</v>
      </c>
      <c r="B275" s="233">
        <v>521</v>
      </c>
      <c r="C275">
        <v>1</v>
      </c>
      <c r="D275">
        <v>521</v>
      </c>
      <c r="E275" t="s">
        <v>2500</v>
      </c>
      <c r="F275"/>
      <c r="G275"/>
      <c r="H275" t="str">
        <f t="shared" si="16"/>
        <v/>
      </c>
      <c r="I275" t="str">
        <f t="shared" si="17"/>
        <v/>
      </c>
      <c r="J275" s="421"/>
      <c r="K275" s="655">
        <v>2667840</v>
      </c>
      <c r="L275" s="469">
        <v>2766380</v>
      </c>
      <c r="M275" s="470">
        <v>1.0369362480508599</v>
      </c>
      <c r="N275" s="656" t="str">
        <f t="shared" si="18"/>
        <v/>
      </c>
      <c r="O275" s="666">
        <f t="shared" si="19"/>
        <v>1</v>
      </c>
      <c r="P275" s="662">
        <v>2011</v>
      </c>
    </row>
    <row r="276" spans="1:16">
      <c r="A276" s="14" t="s">
        <v>480</v>
      </c>
      <c r="B276" s="233">
        <v>523</v>
      </c>
      <c r="C276">
        <v>1</v>
      </c>
      <c r="D276">
        <v>523</v>
      </c>
      <c r="E276" t="s">
        <v>480</v>
      </c>
      <c r="F276"/>
      <c r="G276"/>
      <c r="H276" t="str">
        <f t="shared" si="16"/>
        <v/>
      </c>
      <c r="I276" t="str">
        <f t="shared" si="17"/>
        <v/>
      </c>
      <c r="J276" s="421"/>
      <c r="K276" s="655">
        <v>16556</v>
      </c>
      <c r="L276" s="469">
        <v>16405</v>
      </c>
      <c r="M276" s="470">
        <v>0.99087943947813495</v>
      </c>
      <c r="N276" s="656" t="str">
        <f t="shared" si="18"/>
        <v/>
      </c>
      <c r="O276" s="666">
        <f t="shared" si="19"/>
        <v>1</v>
      </c>
      <c r="P276" s="662">
        <v>2011</v>
      </c>
    </row>
    <row r="277" spans="1:16">
      <c r="A277" s="14" t="s">
        <v>2831</v>
      </c>
      <c r="B277" s="233">
        <v>526</v>
      </c>
      <c r="C277">
        <v>1</v>
      </c>
      <c r="D277">
        <v>526</v>
      </c>
      <c r="E277" t="s">
        <v>2831</v>
      </c>
      <c r="F277"/>
      <c r="G277"/>
      <c r="H277" t="str">
        <f t="shared" si="16"/>
        <v/>
      </c>
      <c r="I277" t="str">
        <f t="shared" si="17"/>
        <v/>
      </c>
      <c r="J277" s="421"/>
      <c r="K277" s="655">
        <v>259801</v>
      </c>
      <c r="L277" s="469">
        <v>422372</v>
      </c>
      <c r="M277" s="470">
        <v>1.62575201789062</v>
      </c>
      <c r="N277" s="656" t="str">
        <f t="shared" si="18"/>
        <v/>
      </c>
      <c r="O277" s="666">
        <f t="shared" si="19"/>
        <v>1</v>
      </c>
      <c r="P277" s="662">
        <v>2011</v>
      </c>
    </row>
    <row r="278" spans="1:16">
      <c r="A278" s="14" t="s">
        <v>3069</v>
      </c>
      <c r="B278" s="233">
        <v>527</v>
      </c>
      <c r="C278">
        <v>2</v>
      </c>
      <c r="D278">
        <v>526</v>
      </c>
      <c r="E278" t="s">
        <v>2831</v>
      </c>
      <c r="F278" t="s">
        <v>2831</v>
      </c>
      <c r="G278" t="s">
        <v>6003</v>
      </c>
      <c r="H278" t="str">
        <f t="shared" si="16"/>
        <v>Apricotsa</v>
      </c>
      <c r="I278">
        <f t="shared" si="17"/>
        <v>526</v>
      </c>
      <c r="J278" s="421">
        <v>0.28999999999999998</v>
      </c>
      <c r="K278" s="655">
        <v>136495</v>
      </c>
      <c r="L278" s="469">
        <v>465524</v>
      </c>
      <c r="M278" s="470">
        <v>3.4105571632660499</v>
      </c>
      <c r="N278" s="656">
        <f t="shared" si="18"/>
        <v>0.98906157734715439</v>
      </c>
      <c r="O278" s="666">
        <f t="shared" si="19"/>
        <v>0.28999999999999998</v>
      </c>
      <c r="P278" s="662">
        <v>2011</v>
      </c>
    </row>
    <row r="279" spans="1:16">
      <c r="A279" s="14" t="s">
        <v>3901</v>
      </c>
      <c r="B279" s="233">
        <v>530</v>
      </c>
      <c r="C279">
        <v>1</v>
      </c>
      <c r="D279">
        <v>530</v>
      </c>
      <c r="E279" t="s">
        <v>3901</v>
      </c>
      <c r="F279"/>
      <c r="G279"/>
      <c r="H279" t="str">
        <f t="shared" si="16"/>
        <v/>
      </c>
      <c r="I279" t="str">
        <f t="shared" si="17"/>
        <v/>
      </c>
      <c r="J279" s="421"/>
      <c r="K279" s="655">
        <v>42802</v>
      </c>
      <c r="L279" s="469">
        <v>61976</v>
      </c>
      <c r="M279" s="470">
        <v>1.44796972104107</v>
      </c>
      <c r="N279" s="656" t="str">
        <f t="shared" si="18"/>
        <v/>
      </c>
      <c r="O279" s="666">
        <f t="shared" si="19"/>
        <v>1</v>
      </c>
      <c r="P279" s="662">
        <v>2011</v>
      </c>
    </row>
    <row r="280" spans="1:16">
      <c r="A280" s="14" t="s">
        <v>3742</v>
      </c>
      <c r="B280" s="233">
        <v>531</v>
      </c>
      <c r="C280">
        <v>1</v>
      </c>
      <c r="D280">
        <v>531</v>
      </c>
      <c r="E280" t="s">
        <v>3742</v>
      </c>
      <c r="F280"/>
      <c r="G280"/>
      <c r="H280" t="str">
        <f t="shared" si="16"/>
        <v/>
      </c>
      <c r="I280" t="str">
        <f t="shared" si="17"/>
        <v/>
      </c>
      <c r="J280" s="421"/>
      <c r="K280" s="655">
        <v>370811</v>
      </c>
      <c r="L280" s="469">
        <v>1555870</v>
      </c>
      <c r="M280" s="470">
        <v>4.1958571887026004</v>
      </c>
      <c r="N280" s="656" t="str">
        <f t="shared" si="18"/>
        <v/>
      </c>
      <c r="O280" s="666">
        <f t="shared" si="19"/>
        <v>1</v>
      </c>
      <c r="P280" s="662">
        <v>2011</v>
      </c>
    </row>
    <row r="281" spans="1:16">
      <c r="A281" s="14" t="s">
        <v>4311</v>
      </c>
      <c r="B281" s="233">
        <v>534</v>
      </c>
      <c r="C281">
        <v>1</v>
      </c>
      <c r="D281">
        <v>534</v>
      </c>
      <c r="E281" t="s">
        <v>4311</v>
      </c>
      <c r="F281"/>
      <c r="G281"/>
      <c r="H281" t="str">
        <f t="shared" si="16"/>
        <v/>
      </c>
      <c r="I281" t="str">
        <f t="shared" si="17"/>
        <v/>
      </c>
      <c r="J281" s="421"/>
      <c r="K281" s="655">
        <v>1695500</v>
      </c>
      <c r="L281" s="469">
        <v>2195550</v>
      </c>
      <c r="M281" s="470">
        <v>1.2949277499262799</v>
      </c>
      <c r="N281" s="656" t="str">
        <f t="shared" si="18"/>
        <v/>
      </c>
      <c r="O281" s="666">
        <f t="shared" si="19"/>
        <v>1</v>
      </c>
      <c r="P281" s="662">
        <v>2011</v>
      </c>
    </row>
    <row r="282" spans="1:16">
      <c r="A282" s="14" t="s">
        <v>3681</v>
      </c>
      <c r="B282" s="233">
        <v>536</v>
      </c>
      <c r="C282">
        <v>1</v>
      </c>
      <c r="D282">
        <v>536</v>
      </c>
      <c r="E282" t="s">
        <v>3681</v>
      </c>
      <c r="F282"/>
      <c r="G282"/>
      <c r="H282" t="str">
        <f t="shared" si="16"/>
        <v/>
      </c>
      <c r="I282" t="str">
        <f t="shared" si="17"/>
        <v/>
      </c>
      <c r="J282" s="421"/>
      <c r="K282" s="655">
        <v>618643</v>
      </c>
      <c r="L282" s="469">
        <v>890978</v>
      </c>
      <c r="M282" s="470">
        <v>1.4402134995465901</v>
      </c>
      <c r="N282" s="656" t="str">
        <f t="shared" si="18"/>
        <v/>
      </c>
      <c r="O282" s="666">
        <f t="shared" si="19"/>
        <v>1</v>
      </c>
      <c r="P282" s="662">
        <v>2011</v>
      </c>
    </row>
    <row r="283" spans="1:16">
      <c r="A283" s="14" t="s">
        <v>3675</v>
      </c>
      <c r="B283" s="233">
        <v>537</v>
      </c>
      <c r="C283">
        <v>2</v>
      </c>
      <c r="D283">
        <v>536</v>
      </c>
      <c r="E283" t="s">
        <v>3681</v>
      </c>
      <c r="F283" t="s">
        <v>3681</v>
      </c>
      <c r="G283" t="s">
        <v>6003</v>
      </c>
      <c r="H283" t="str">
        <f t="shared" si="16"/>
        <v>Plums and sloesa</v>
      </c>
      <c r="I283">
        <f t="shared" si="17"/>
        <v>536</v>
      </c>
      <c r="J283" s="421">
        <v>0.35</v>
      </c>
      <c r="K283" s="655">
        <v>203399</v>
      </c>
      <c r="L283" s="469">
        <v>450683</v>
      </c>
      <c r="M283" s="470">
        <v>2.2157581895682901</v>
      </c>
      <c r="N283" s="656">
        <f t="shared" si="18"/>
        <v>0.7755153663489015</v>
      </c>
      <c r="O283" s="666">
        <f t="shared" si="19"/>
        <v>0.35</v>
      </c>
      <c r="P283" s="662">
        <v>2011</v>
      </c>
    </row>
    <row r="284" spans="1:16">
      <c r="A284" s="14" t="s">
        <v>5013</v>
      </c>
      <c r="B284" s="233">
        <v>538</v>
      </c>
      <c r="C284">
        <v>2</v>
      </c>
      <c r="D284">
        <v>536</v>
      </c>
      <c r="E284" t="s">
        <v>3681</v>
      </c>
      <c r="F284" t="s">
        <v>3681</v>
      </c>
      <c r="G284" t="s">
        <v>6004</v>
      </c>
      <c r="H284" t="str">
        <f t="shared" si="16"/>
        <v>Plums and sloesb</v>
      </c>
      <c r="I284">
        <f t="shared" si="17"/>
        <v>536</v>
      </c>
      <c r="J284" s="421">
        <v>0.2</v>
      </c>
      <c r="K284" s="655">
        <v>8</v>
      </c>
      <c r="L284" s="469">
        <v>6</v>
      </c>
      <c r="M284" s="470">
        <v>1.3333333333333299</v>
      </c>
      <c r="N284" s="656">
        <f t="shared" si="18"/>
        <v>0.266666666666666</v>
      </c>
      <c r="O284" s="666">
        <f t="shared" si="19"/>
        <v>0.2</v>
      </c>
      <c r="P284" s="662">
        <v>1985</v>
      </c>
    </row>
    <row r="285" spans="1:16">
      <c r="A285" s="14" t="s">
        <v>5012</v>
      </c>
      <c r="B285" s="233">
        <v>539</v>
      </c>
      <c r="C285">
        <v>2</v>
      </c>
      <c r="D285">
        <v>536</v>
      </c>
      <c r="E285" t="s">
        <v>3681</v>
      </c>
      <c r="F285" t="s">
        <v>3681</v>
      </c>
      <c r="G285" t="s">
        <v>6005</v>
      </c>
      <c r="H285" t="str">
        <f t="shared" si="16"/>
        <v>Plums and sloesc</v>
      </c>
      <c r="I285">
        <f t="shared" si="17"/>
        <v>536</v>
      </c>
      <c r="J285" s="421">
        <v>0.1</v>
      </c>
      <c r="K285" s="655">
        <v>12</v>
      </c>
      <c r="L285" s="469">
        <v>7</v>
      </c>
      <c r="M285" s="470">
        <v>1.71428571428571</v>
      </c>
      <c r="N285" s="656">
        <f t="shared" si="18"/>
        <v>0.17142857142857101</v>
      </c>
      <c r="O285" s="666">
        <f t="shared" si="19"/>
        <v>0.1</v>
      </c>
      <c r="P285" s="662">
        <v>1982</v>
      </c>
    </row>
    <row r="286" spans="1:16">
      <c r="A286" s="14" t="s">
        <v>666</v>
      </c>
      <c r="B286" s="233">
        <v>541</v>
      </c>
      <c r="C286">
        <v>1</v>
      </c>
      <c r="D286">
        <v>541</v>
      </c>
      <c r="E286" t="s">
        <v>666</v>
      </c>
      <c r="F286"/>
      <c r="G286"/>
      <c r="H286" t="str">
        <f t="shared" si="16"/>
        <v/>
      </c>
      <c r="I286" t="str">
        <f t="shared" si="17"/>
        <v/>
      </c>
      <c r="J286" s="421"/>
      <c r="K286" s="655" t="s">
        <v>7352</v>
      </c>
      <c r="L286" s="469" t="s">
        <v>7353</v>
      </c>
      <c r="M286" s="470">
        <v>1.0444203683640303</v>
      </c>
      <c r="N286" s="656" t="str">
        <f t="shared" si="18"/>
        <v/>
      </c>
      <c r="O286" s="666">
        <f t="shared" si="19"/>
        <v>1</v>
      </c>
      <c r="P286" s="662" t="s">
        <v>7514</v>
      </c>
    </row>
    <row r="287" spans="1:16">
      <c r="A287" s="14" t="s">
        <v>6875</v>
      </c>
      <c r="B287">
        <v>542</v>
      </c>
      <c r="C287">
        <v>1</v>
      </c>
      <c r="D287">
        <v>542</v>
      </c>
      <c r="E287" t="s">
        <v>6875</v>
      </c>
      <c r="F287"/>
      <c r="G287"/>
      <c r="H287" t="str">
        <f t="shared" si="16"/>
        <v/>
      </c>
      <c r="I287" t="str">
        <f t="shared" si="17"/>
        <v/>
      </c>
      <c r="J287" s="421"/>
      <c r="K287" s="655" t="s">
        <v>7287</v>
      </c>
      <c r="L287" s="469" t="s">
        <v>7287</v>
      </c>
      <c r="M287" s="470">
        <v>0</v>
      </c>
      <c r="N287" s="656" t="str">
        <f t="shared" si="18"/>
        <v/>
      </c>
      <c r="O287" s="666">
        <f t="shared" si="19"/>
        <v>1</v>
      </c>
      <c r="P287" s="662" t="s">
        <v>7514</v>
      </c>
    </row>
    <row r="288" spans="1:16">
      <c r="A288" s="14" t="s">
        <v>519</v>
      </c>
      <c r="B288" s="233">
        <v>544</v>
      </c>
      <c r="C288">
        <v>1</v>
      </c>
      <c r="D288">
        <v>544</v>
      </c>
      <c r="E288" t="s">
        <v>519</v>
      </c>
      <c r="F288"/>
      <c r="G288"/>
      <c r="H288" t="str">
        <f t="shared" si="16"/>
        <v/>
      </c>
      <c r="I288" t="str">
        <f t="shared" si="17"/>
        <v/>
      </c>
      <c r="J288" s="421"/>
      <c r="K288" s="655">
        <v>772413</v>
      </c>
      <c r="L288" s="469">
        <v>2267440</v>
      </c>
      <c r="M288" s="470">
        <v>2.9355280141582298</v>
      </c>
      <c r="N288" s="656" t="str">
        <f t="shared" si="18"/>
        <v/>
      </c>
      <c r="O288" s="666">
        <f t="shared" si="19"/>
        <v>1</v>
      </c>
      <c r="P288" s="662">
        <v>2011</v>
      </c>
    </row>
    <row r="289" spans="1:16">
      <c r="A289" s="14" t="s">
        <v>3598</v>
      </c>
      <c r="B289" s="233">
        <v>547</v>
      </c>
      <c r="C289">
        <v>1</v>
      </c>
      <c r="D289">
        <v>547</v>
      </c>
      <c r="E289" t="s">
        <v>3598</v>
      </c>
      <c r="F289"/>
      <c r="G289"/>
      <c r="H289" t="str">
        <f t="shared" si="16"/>
        <v/>
      </c>
      <c r="I289" t="str">
        <f t="shared" si="17"/>
        <v/>
      </c>
      <c r="J289" s="421"/>
      <c r="K289" s="655" t="s">
        <v>7354</v>
      </c>
      <c r="L289" s="469" t="s">
        <v>7355</v>
      </c>
      <c r="M289" s="470">
        <v>4.9725066642154614</v>
      </c>
      <c r="N289" s="656" t="str">
        <f t="shared" si="18"/>
        <v/>
      </c>
      <c r="O289" s="666">
        <f t="shared" si="19"/>
        <v>1</v>
      </c>
      <c r="P289" s="662" t="s">
        <v>7514</v>
      </c>
    </row>
    <row r="290" spans="1:16">
      <c r="A290" s="14" t="s">
        <v>5067</v>
      </c>
      <c r="B290" s="233">
        <v>549</v>
      </c>
      <c r="C290">
        <v>1</v>
      </c>
      <c r="D290">
        <v>549</v>
      </c>
      <c r="E290" t="s">
        <v>5067</v>
      </c>
      <c r="F290"/>
      <c r="G290"/>
      <c r="H290" t="str">
        <f t="shared" si="16"/>
        <v/>
      </c>
      <c r="I290" t="str">
        <f t="shared" si="17"/>
        <v/>
      </c>
      <c r="J290" s="421"/>
      <c r="K290" s="655">
        <v>330</v>
      </c>
      <c r="L290" s="469">
        <v>2573</v>
      </c>
      <c r="M290" s="470">
        <v>7.7969696969697004</v>
      </c>
      <c r="N290" s="656" t="str">
        <f t="shared" si="18"/>
        <v/>
      </c>
      <c r="O290" s="666">
        <f t="shared" si="19"/>
        <v>1</v>
      </c>
      <c r="P290" s="662">
        <v>2011</v>
      </c>
    </row>
    <row r="291" spans="1:16">
      <c r="A291" s="14" t="s">
        <v>807</v>
      </c>
      <c r="B291" s="233">
        <v>550</v>
      </c>
      <c r="C291">
        <v>1</v>
      </c>
      <c r="D291">
        <v>550</v>
      </c>
      <c r="E291" t="s">
        <v>807</v>
      </c>
      <c r="F291"/>
      <c r="G291"/>
      <c r="H291" t="str">
        <f t="shared" si="16"/>
        <v/>
      </c>
      <c r="I291" t="str">
        <f t="shared" si="17"/>
        <v/>
      </c>
      <c r="J291" s="421"/>
      <c r="K291" s="655">
        <v>21468</v>
      </c>
      <c r="L291" s="469">
        <v>48934</v>
      </c>
      <c r="M291" s="470">
        <v>2.2793925843115299</v>
      </c>
      <c r="N291" s="656" t="str">
        <f t="shared" si="18"/>
        <v/>
      </c>
      <c r="O291" s="666">
        <f t="shared" si="19"/>
        <v>1</v>
      </c>
      <c r="P291" s="662">
        <v>2011</v>
      </c>
    </row>
    <row r="292" spans="1:16">
      <c r="A292" s="14" t="s">
        <v>3256</v>
      </c>
      <c r="B292" s="233">
        <v>552</v>
      </c>
      <c r="C292">
        <v>1</v>
      </c>
      <c r="D292">
        <v>552</v>
      </c>
      <c r="E292" t="s">
        <v>3256</v>
      </c>
      <c r="F292"/>
      <c r="G292"/>
      <c r="H292" t="str">
        <f t="shared" si="16"/>
        <v/>
      </c>
      <c r="I292" t="str">
        <f t="shared" si="17"/>
        <v/>
      </c>
      <c r="J292" s="421"/>
      <c r="K292" s="655">
        <v>131724</v>
      </c>
      <c r="L292" s="469">
        <v>632312</v>
      </c>
      <c r="M292" s="470">
        <v>4.8002793720202801</v>
      </c>
      <c r="N292" s="656" t="str">
        <f t="shared" si="18"/>
        <v/>
      </c>
      <c r="O292" s="666">
        <f t="shared" si="19"/>
        <v>1</v>
      </c>
      <c r="P292" s="662">
        <v>2011</v>
      </c>
    </row>
    <row r="293" spans="1:16">
      <c r="A293" s="14" t="s">
        <v>577</v>
      </c>
      <c r="B293" s="233">
        <v>554</v>
      </c>
      <c r="C293">
        <v>1</v>
      </c>
      <c r="D293">
        <v>554</v>
      </c>
      <c r="E293" t="s">
        <v>577</v>
      </c>
      <c r="F293"/>
      <c r="G293"/>
      <c r="H293" t="str">
        <f t="shared" si="16"/>
        <v/>
      </c>
      <c r="I293" t="str">
        <f t="shared" si="17"/>
        <v/>
      </c>
      <c r="J293" s="421"/>
      <c r="K293" s="655">
        <v>97063</v>
      </c>
      <c r="L293" s="469">
        <v>412255</v>
      </c>
      <c r="M293" s="470">
        <v>4.2472929952711098</v>
      </c>
      <c r="N293" s="656" t="str">
        <f t="shared" si="18"/>
        <v/>
      </c>
      <c r="O293" s="666">
        <f t="shared" si="19"/>
        <v>1</v>
      </c>
      <c r="P293" s="662">
        <v>2011</v>
      </c>
    </row>
    <row r="294" spans="1:16">
      <c r="A294" s="14" t="s">
        <v>1355</v>
      </c>
      <c r="B294" s="233">
        <v>558</v>
      </c>
      <c r="C294">
        <v>1</v>
      </c>
      <c r="D294">
        <v>558</v>
      </c>
      <c r="E294" t="s">
        <v>1355</v>
      </c>
      <c r="F294"/>
      <c r="G294"/>
      <c r="H294" t="str">
        <f t="shared" si="16"/>
        <v/>
      </c>
      <c r="I294" t="str">
        <f t="shared" si="17"/>
        <v/>
      </c>
      <c r="J294" s="421"/>
      <c r="K294" s="655" t="s">
        <v>7356</v>
      </c>
      <c r="L294" s="469" t="s">
        <v>7357</v>
      </c>
      <c r="M294" s="470">
        <v>4.9015189782075339</v>
      </c>
      <c r="N294" s="656" t="str">
        <f t="shared" si="18"/>
        <v/>
      </c>
      <c r="O294" s="666">
        <f t="shared" si="19"/>
        <v>1</v>
      </c>
      <c r="P294" s="662" t="s">
        <v>7514</v>
      </c>
    </row>
    <row r="295" spans="1:16">
      <c r="A295" s="14" t="s">
        <v>4775</v>
      </c>
      <c r="B295" s="233">
        <v>560</v>
      </c>
      <c r="C295">
        <v>1</v>
      </c>
      <c r="D295">
        <v>560</v>
      </c>
      <c r="E295" t="s">
        <v>4775</v>
      </c>
      <c r="F295"/>
      <c r="G295"/>
      <c r="H295" t="str">
        <f t="shared" si="16"/>
        <v/>
      </c>
      <c r="I295" t="str">
        <f t="shared" si="17"/>
        <v/>
      </c>
      <c r="J295" s="421"/>
      <c r="K295" s="655">
        <v>3848250</v>
      </c>
      <c r="L295" s="469">
        <v>7747250</v>
      </c>
      <c r="M295" s="470">
        <v>2.0131878126421099</v>
      </c>
      <c r="N295" s="656" t="str">
        <f t="shared" si="18"/>
        <v/>
      </c>
      <c r="O295" s="666">
        <f t="shared" si="19"/>
        <v>1</v>
      </c>
      <c r="P295" s="662">
        <v>2011</v>
      </c>
    </row>
    <row r="296" spans="1:16">
      <c r="A296" s="14" t="s">
        <v>5385</v>
      </c>
      <c r="B296" s="233">
        <v>561</v>
      </c>
      <c r="C296">
        <v>2</v>
      </c>
      <c r="D296">
        <v>560</v>
      </c>
      <c r="E296" t="s">
        <v>4775</v>
      </c>
      <c r="F296" t="s">
        <v>4775</v>
      </c>
      <c r="G296" t="s">
        <v>6003</v>
      </c>
      <c r="H296" t="str">
        <f t="shared" si="16"/>
        <v>Grapesa</v>
      </c>
      <c r="I296">
        <f t="shared" si="17"/>
        <v>560</v>
      </c>
      <c r="J296" s="421">
        <v>0.25</v>
      </c>
      <c r="K296" s="655">
        <v>768707</v>
      </c>
      <c r="L296" s="469">
        <v>1730040</v>
      </c>
      <c r="M296" s="470">
        <v>2.2505844229335801</v>
      </c>
      <c r="N296" s="656">
        <f t="shared" si="18"/>
        <v>0.56264610573339502</v>
      </c>
      <c r="O296" s="666">
        <f t="shared" si="19"/>
        <v>0.25</v>
      </c>
      <c r="P296" s="662">
        <v>2011</v>
      </c>
    </row>
    <row r="297" spans="1:16">
      <c r="A297" s="14" t="s">
        <v>408</v>
      </c>
      <c r="B297" s="233">
        <v>562</v>
      </c>
      <c r="C297">
        <v>2</v>
      </c>
      <c r="D297">
        <v>560</v>
      </c>
      <c r="E297" t="s">
        <v>4775</v>
      </c>
      <c r="F297" t="s">
        <v>4775</v>
      </c>
      <c r="G297" t="s">
        <v>6004</v>
      </c>
      <c r="H297" t="str">
        <f t="shared" si="16"/>
        <v>Grapesb</v>
      </c>
      <c r="I297">
        <f t="shared" si="17"/>
        <v>560</v>
      </c>
      <c r="J297" s="421">
        <v>0.75</v>
      </c>
      <c r="K297" s="655">
        <v>1018520</v>
      </c>
      <c r="L297" s="469">
        <v>1025410</v>
      </c>
      <c r="M297" s="470">
        <v>1.00676471743314</v>
      </c>
      <c r="N297" s="656">
        <f t="shared" si="18"/>
        <v>0.755073538074855</v>
      </c>
      <c r="O297" s="666">
        <f t="shared" si="19"/>
        <v>0.75</v>
      </c>
      <c r="P297" s="662">
        <v>2011</v>
      </c>
    </row>
    <row r="298" spans="1:16">
      <c r="A298" s="14" t="s">
        <v>894</v>
      </c>
      <c r="B298" s="233">
        <v>563</v>
      </c>
      <c r="C298">
        <v>2</v>
      </c>
      <c r="D298">
        <v>560</v>
      </c>
      <c r="E298" t="s">
        <v>4775</v>
      </c>
      <c r="F298" t="s">
        <v>4775</v>
      </c>
      <c r="G298" t="s">
        <v>6005</v>
      </c>
      <c r="H298" t="str">
        <f t="shared" si="16"/>
        <v>Grapesc</v>
      </c>
      <c r="I298">
        <f t="shared" si="17"/>
        <v>560</v>
      </c>
      <c r="J298" s="421">
        <v>0.86</v>
      </c>
      <c r="K298" s="655" t="s">
        <v>7358</v>
      </c>
      <c r="L298" s="469" t="s">
        <v>7359</v>
      </c>
      <c r="M298" s="470">
        <v>0.75864263053516368</v>
      </c>
      <c r="N298" s="656">
        <f t="shared" si="18"/>
        <v>0.65243266226024077</v>
      </c>
      <c r="O298" s="666">
        <f t="shared" si="19"/>
        <v>0.86</v>
      </c>
      <c r="P298" s="662" t="s">
        <v>7514</v>
      </c>
    </row>
    <row r="299" spans="1:16">
      <c r="A299" s="14" t="s">
        <v>1152</v>
      </c>
      <c r="B299" s="233">
        <v>564</v>
      </c>
      <c r="C299">
        <v>2</v>
      </c>
      <c r="D299">
        <v>560</v>
      </c>
      <c r="E299" t="s">
        <v>4775</v>
      </c>
      <c r="F299" t="s">
        <v>4775</v>
      </c>
      <c r="G299" t="s">
        <v>6006</v>
      </c>
      <c r="H299" t="str">
        <f t="shared" si="16"/>
        <v>Grapesd</v>
      </c>
      <c r="I299">
        <f t="shared" si="17"/>
        <v>560</v>
      </c>
      <c r="J299" s="421">
        <v>0.7</v>
      </c>
      <c r="K299" s="655">
        <v>10004300</v>
      </c>
      <c r="L299" s="469">
        <v>33041400</v>
      </c>
      <c r="M299" s="470">
        <v>3.3027198304729</v>
      </c>
      <c r="N299" s="656">
        <f t="shared" si="18"/>
        <v>2.31190388133103</v>
      </c>
      <c r="O299" s="666">
        <f t="shared" si="19"/>
        <v>0.72545095075526789</v>
      </c>
      <c r="P299" s="662">
        <v>2011</v>
      </c>
    </row>
    <row r="300" spans="1:16">
      <c r="A300" s="14" t="s">
        <v>412</v>
      </c>
      <c r="B300" s="233">
        <v>565</v>
      </c>
      <c r="C300">
        <v>3</v>
      </c>
      <c r="D300">
        <v>560</v>
      </c>
      <c r="E300" t="s">
        <v>4775</v>
      </c>
      <c r="F300" t="s">
        <v>1152</v>
      </c>
      <c r="G300" t="s">
        <v>6003</v>
      </c>
      <c r="H300" t="str">
        <f t="shared" si="16"/>
        <v>Winea</v>
      </c>
      <c r="I300">
        <f t="shared" si="17"/>
        <v>564</v>
      </c>
      <c r="J300" s="421">
        <v>0.7</v>
      </c>
      <c r="K300" s="655">
        <v>300394</v>
      </c>
      <c r="L300" s="469">
        <v>746913</v>
      </c>
      <c r="M300" s="470">
        <v>2.4864444695965999</v>
      </c>
      <c r="N300" s="656">
        <f t="shared" si="18"/>
        <v>1.7405111287176198</v>
      </c>
      <c r="O300" s="666">
        <f t="shared" si="19"/>
        <v>0.50781566552868751</v>
      </c>
      <c r="P300" s="662">
        <v>2011</v>
      </c>
    </row>
    <row r="301" spans="1:16">
      <c r="A301" s="14" t="s">
        <v>1002</v>
      </c>
      <c r="B301" s="233">
        <v>566</v>
      </c>
      <c r="C301">
        <v>2</v>
      </c>
      <c r="D301">
        <v>560</v>
      </c>
      <c r="E301" t="s">
        <v>4775</v>
      </c>
      <c r="F301" t="s">
        <v>4775</v>
      </c>
      <c r="G301" t="s">
        <v>6006</v>
      </c>
      <c r="H301" t="str">
        <f t="shared" si="16"/>
        <v>Grapesd</v>
      </c>
      <c r="I301">
        <f t="shared" si="17"/>
        <v>560</v>
      </c>
      <c r="J301" s="421">
        <v>0.2</v>
      </c>
      <c r="K301" s="655" t="s">
        <v>7360</v>
      </c>
      <c r="L301" s="469" t="s">
        <v>7361</v>
      </c>
      <c r="M301" s="470">
        <v>0.42028679881906367</v>
      </c>
      <c r="N301" s="656">
        <f t="shared" si="18"/>
        <v>8.4057359763812733E-2</v>
      </c>
      <c r="O301" s="666">
        <f t="shared" si="19"/>
        <v>5.7007768215111607</v>
      </c>
      <c r="P301" s="662" t="s">
        <v>7514</v>
      </c>
    </row>
    <row r="302" spans="1:16">
      <c r="A302" s="14" t="s">
        <v>1149</v>
      </c>
      <c r="B302" s="233">
        <v>567</v>
      </c>
      <c r="C302">
        <v>1</v>
      </c>
      <c r="D302">
        <v>567</v>
      </c>
      <c r="E302" t="s">
        <v>1149</v>
      </c>
      <c r="F302"/>
      <c r="G302"/>
      <c r="H302" t="str">
        <f t="shared" si="16"/>
        <v/>
      </c>
      <c r="I302" t="str">
        <f t="shared" si="17"/>
        <v/>
      </c>
      <c r="J302" s="421"/>
      <c r="K302" s="655">
        <v>2414420</v>
      </c>
      <c r="L302" s="469">
        <v>1079070</v>
      </c>
      <c r="M302" s="470">
        <v>0.44692721233256799</v>
      </c>
      <c r="N302" s="656" t="str">
        <f t="shared" si="18"/>
        <v/>
      </c>
      <c r="O302" s="666">
        <f t="shared" si="19"/>
        <v>1</v>
      </c>
      <c r="P302" s="662">
        <v>2011</v>
      </c>
    </row>
    <row r="303" spans="1:16">
      <c r="A303" s="14" t="s">
        <v>3097</v>
      </c>
      <c r="B303" s="233">
        <v>568</v>
      </c>
      <c r="C303">
        <v>1</v>
      </c>
      <c r="D303">
        <v>568</v>
      </c>
      <c r="E303" t="s">
        <v>3097</v>
      </c>
      <c r="F303"/>
      <c r="G303"/>
      <c r="H303" t="str">
        <f t="shared" si="16"/>
        <v/>
      </c>
      <c r="I303" t="str">
        <f t="shared" si="17"/>
        <v/>
      </c>
      <c r="J303" s="421"/>
      <c r="K303" s="655">
        <v>2009820</v>
      </c>
      <c r="L303" s="469">
        <v>1648870</v>
      </c>
      <c r="M303" s="470">
        <v>0.82040680259923804</v>
      </c>
      <c r="N303" s="656" t="str">
        <f t="shared" si="18"/>
        <v/>
      </c>
      <c r="O303" s="666">
        <f t="shared" si="19"/>
        <v>1</v>
      </c>
      <c r="P303" s="662">
        <v>2011</v>
      </c>
    </row>
    <row r="304" spans="1:16">
      <c r="A304" s="14" t="s">
        <v>813</v>
      </c>
      <c r="B304" s="233">
        <v>569</v>
      </c>
      <c r="C304">
        <v>1</v>
      </c>
      <c r="D304">
        <v>569</v>
      </c>
      <c r="E304" t="s">
        <v>813</v>
      </c>
      <c r="F304"/>
      <c r="G304"/>
      <c r="H304" t="str">
        <f t="shared" si="16"/>
        <v/>
      </c>
      <c r="I304" t="str">
        <f t="shared" si="17"/>
        <v/>
      </c>
      <c r="J304" s="421"/>
      <c r="K304" s="655">
        <v>39049</v>
      </c>
      <c r="L304" s="469">
        <v>122659</v>
      </c>
      <c r="M304" s="470">
        <v>3.1411559835078999</v>
      </c>
      <c r="N304" s="656" t="str">
        <f t="shared" si="18"/>
        <v/>
      </c>
      <c r="O304" s="666">
        <f t="shared" si="19"/>
        <v>1</v>
      </c>
      <c r="P304" s="662">
        <v>2011</v>
      </c>
    </row>
    <row r="305" spans="1:16">
      <c r="A305" s="14" t="s">
        <v>2142</v>
      </c>
      <c r="B305" s="233">
        <v>570</v>
      </c>
      <c r="C305">
        <v>2</v>
      </c>
      <c r="D305">
        <v>569</v>
      </c>
      <c r="E305" t="s">
        <v>813</v>
      </c>
      <c r="F305" t="s">
        <v>813</v>
      </c>
      <c r="G305" t="s">
        <v>6003</v>
      </c>
      <c r="H305" t="str">
        <f t="shared" si="16"/>
        <v>Figsa</v>
      </c>
      <c r="I305">
        <f t="shared" si="17"/>
        <v>569</v>
      </c>
      <c r="J305" s="421">
        <v>0.35</v>
      </c>
      <c r="K305" s="655">
        <v>71153</v>
      </c>
      <c r="L305" s="469">
        <v>275439</v>
      </c>
      <c r="M305" s="470">
        <v>3.8710806290669399</v>
      </c>
      <c r="N305" s="656">
        <f t="shared" si="18"/>
        <v>1.3548782201734288</v>
      </c>
      <c r="O305" s="666">
        <f t="shared" si="19"/>
        <v>0.35</v>
      </c>
      <c r="P305" s="662">
        <v>2011</v>
      </c>
    </row>
    <row r="306" spans="1:16">
      <c r="A306" s="14" t="s">
        <v>4992</v>
      </c>
      <c r="B306" s="233">
        <v>571</v>
      </c>
      <c r="C306">
        <v>1</v>
      </c>
      <c r="D306">
        <v>571</v>
      </c>
      <c r="E306" t="s">
        <v>4992</v>
      </c>
      <c r="F306"/>
      <c r="G306"/>
      <c r="H306" t="str">
        <f t="shared" si="16"/>
        <v/>
      </c>
      <c r="I306" t="str">
        <f t="shared" si="17"/>
        <v/>
      </c>
      <c r="J306" s="421"/>
      <c r="K306" s="655">
        <v>1098010</v>
      </c>
      <c r="L306" s="469">
        <v>1336960</v>
      </c>
      <c r="M306" s="470">
        <v>1.2176209688436399</v>
      </c>
      <c r="N306" s="656" t="str">
        <f t="shared" si="18"/>
        <v/>
      </c>
      <c r="O306" s="666">
        <f t="shared" si="19"/>
        <v>1</v>
      </c>
      <c r="P306" s="662">
        <v>2011</v>
      </c>
    </row>
    <row r="307" spans="1:16">
      <c r="A307" s="14" t="s">
        <v>2340</v>
      </c>
      <c r="B307" s="233">
        <v>572</v>
      </c>
      <c r="C307">
        <v>1</v>
      </c>
      <c r="D307">
        <v>572</v>
      </c>
      <c r="E307" t="s">
        <v>2340</v>
      </c>
      <c r="F307"/>
      <c r="G307"/>
      <c r="H307" t="str">
        <f t="shared" si="16"/>
        <v/>
      </c>
      <c r="I307" t="str">
        <f t="shared" si="17"/>
        <v/>
      </c>
      <c r="J307" s="421"/>
      <c r="K307" s="655">
        <v>951573</v>
      </c>
      <c r="L307" s="469">
        <v>2213950</v>
      </c>
      <c r="M307" s="470">
        <v>2.3266212891706699</v>
      </c>
      <c r="N307" s="656" t="str">
        <f t="shared" si="18"/>
        <v/>
      </c>
      <c r="O307" s="666">
        <f t="shared" si="19"/>
        <v>1</v>
      </c>
      <c r="P307" s="662">
        <v>2011</v>
      </c>
    </row>
    <row r="308" spans="1:16">
      <c r="A308" s="14" t="s">
        <v>5104</v>
      </c>
      <c r="B308" s="233">
        <v>574</v>
      </c>
      <c r="C308">
        <v>1</v>
      </c>
      <c r="D308">
        <v>574</v>
      </c>
      <c r="E308" t="s">
        <v>5104</v>
      </c>
      <c r="F308"/>
      <c r="G308"/>
      <c r="H308" t="str">
        <f t="shared" si="16"/>
        <v/>
      </c>
      <c r="I308" t="str">
        <f t="shared" si="17"/>
        <v/>
      </c>
      <c r="J308" s="421"/>
      <c r="K308" s="655">
        <v>2918150</v>
      </c>
      <c r="L308" s="469">
        <v>2373620</v>
      </c>
      <c r="M308" s="470">
        <v>0.81339889998800596</v>
      </c>
      <c r="N308" s="656" t="str">
        <f t="shared" si="18"/>
        <v/>
      </c>
      <c r="O308" s="666">
        <f t="shared" si="19"/>
        <v>1</v>
      </c>
      <c r="P308" s="662">
        <v>2011</v>
      </c>
    </row>
    <row r="309" spans="1:16">
      <c r="A309" s="14" t="s">
        <v>3673</v>
      </c>
      <c r="B309" s="233">
        <v>575</v>
      </c>
      <c r="C309">
        <v>2</v>
      </c>
      <c r="D309">
        <v>574</v>
      </c>
      <c r="E309" t="s">
        <v>5104</v>
      </c>
      <c r="F309" t="s">
        <v>5104</v>
      </c>
      <c r="G309" t="s">
        <v>6003</v>
      </c>
      <c r="H309" t="str">
        <f t="shared" si="16"/>
        <v>Pineapplesa</v>
      </c>
      <c r="I309">
        <f t="shared" si="17"/>
        <v>574</v>
      </c>
      <c r="J309" s="421">
        <v>0.52</v>
      </c>
      <c r="K309" s="655">
        <v>1231220</v>
      </c>
      <c r="L309" s="469">
        <v>1391250</v>
      </c>
      <c r="M309" s="470">
        <v>1.1299767710076201</v>
      </c>
      <c r="N309" s="656">
        <f t="shared" si="18"/>
        <v>0.5875879209239625</v>
      </c>
      <c r="O309" s="666">
        <f t="shared" si="19"/>
        <v>0.66070748887322517</v>
      </c>
      <c r="P309" s="662">
        <v>2011</v>
      </c>
    </row>
    <row r="310" spans="1:16">
      <c r="A310" s="14" t="s">
        <v>3487</v>
      </c>
      <c r="B310" s="233">
        <v>576</v>
      </c>
      <c r="C310">
        <v>2</v>
      </c>
      <c r="D310">
        <v>574</v>
      </c>
      <c r="E310" t="s">
        <v>5104</v>
      </c>
      <c r="F310" t="s">
        <v>5104</v>
      </c>
      <c r="G310" t="s">
        <v>6003</v>
      </c>
      <c r="H310" t="str">
        <f t="shared" si="16"/>
        <v>Pineapplesa</v>
      </c>
      <c r="I310">
        <f t="shared" si="17"/>
        <v>574</v>
      </c>
      <c r="J310" s="421">
        <v>0.2</v>
      </c>
      <c r="K310" s="655">
        <v>369673</v>
      </c>
      <c r="L310" s="469">
        <v>293883</v>
      </c>
      <c r="M310" s="470">
        <v>0.79498096966778797</v>
      </c>
      <c r="N310" s="656">
        <f t="shared" si="18"/>
        <v>0.1589961939335576</v>
      </c>
      <c r="O310" s="666">
        <f t="shared" si="19"/>
        <v>0.93912199580011047</v>
      </c>
      <c r="P310" s="662">
        <v>2011</v>
      </c>
    </row>
    <row r="311" spans="1:16">
      <c r="A311" s="14" t="s">
        <v>809</v>
      </c>
      <c r="B311" s="233">
        <v>577</v>
      </c>
      <c r="C311">
        <v>1</v>
      </c>
      <c r="D311">
        <v>577</v>
      </c>
      <c r="E311" t="s">
        <v>809</v>
      </c>
      <c r="F311"/>
      <c r="G311"/>
      <c r="H311" t="str">
        <f t="shared" si="16"/>
        <v/>
      </c>
      <c r="I311" t="str">
        <f t="shared" si="17"/>
        <v/>
      </c>
      <c r="J311" s="421"/>
      <c r="K311" s="655">
        <v>677785</v>
      </c>
      <c r="L311" s="469">
        <v>796501</v>
      </c>
      <c r="M311" s="470">
        <v>1.17515288771513</v>
      </c>
      <c r="N311" s="656" t="str">
        <f t="shared" si="18"/>
        <v/>
      </c>
      <c r="O311" s="666">
        <f t="shared" si="19"/>
        <v>1</v>
      </c>
      <c r="P311" s="662">
        <v>2011</v>
      </c>
    </row>
    <row r="312" spans="1:16">
      <c r="A312" s="14" t="s">
        <v>1709</v>
      </c>
      <c r="B312" s="233">
        <v>580</v>
      </c>
      <c r="C312">
        <v>2</v>
      </c>
      <c r="D312">
        <v>574</v>
      </c>
      <c r="E312" t="s">
        <v>5104</v>
      </c>
      <c r="F312" t="s">
        <v>5104</v>
      </c>
      <c r="G312" t="s">
        <v>6004</v>
      </c>
      <c r="H312" t="str">
        <f t="shared" si="16"/>
        <v>Pineapplesb</v>
      </c>
      <c r="I312">
        <f t="shared" si="17"/>
        <v>574</v>
      </c>
      <c r="J312" s="421">
        <v>0.08</v>
      </c>
      <c r="K312" s="655">
        <v>516635</v>
      </c>
      <c r="L312" s="469">
        <v>614718</v>
      </c>
      <c r="M312" s="470">
        <v>1.18984970046551</v>
      </c>
      <c r="N312" s="656">
        <f t="shared" si="18"/>
        <v>9.5187976037240801E-2</v>
      </c>
      <c r="O312" s="666">
        <f t="shared" si="19"/>
        <v>0.08</v>
      </c>
      <c r="P312" s="662">
        <v>2011</v>
      </c>
    </row>
    <row r="313" spans="1:16">
      <c r="A313" s="14" t="s">
        <v>4990</v>
      </c>
      <c r="B313" s="233">
        <v>583</v>
      </c>
      <c r="C313">
        <v>2</v>
      </c>
      <c r="D313">
        <v>571</v>
      </c>
      <c r="E313" t="s">
        <v>4992</v>
      </c>
      <c r="F313" t="s">
        <v>4992</v>
      </c>
      <c r="G313" t="s">
        <v>6003</v>
      </c>
      <c r="H313" t="str">
        <f t="shared" si="16"/>
        <v>Mangoes, mangosteens, guavasa</v>
      </c>
      <c r="I313">
        <f t="shared" si="17"/>
        <v>571</v>
      </c>
      <c r="J313" s="421">
        <v>0.1</v>
      </c>
      <c r="K313" s="655" t="s">
        <v>7362</v>
      </c>
      <c r="L313" s="469" t="s">
        <v>7363</v>
      </c>
      <c r="M313" s="470">
        <v>0.62612728678175733</v>
      </c>
      <c r="N313" s="656">
        <f t="shared" si="18"/>
        <v>6.261272867817573E-2</v>
      </c>
      <c r="O313" s="666">
        <f t="shared" si="19"/>
        <v>1.0209718456974324</v>
      </c>
      <c r="P313" s="662" t="s">
        <v>7514</v>
      </c>
    </row>
    <row r="314" spans="1:16">
      <c r="A314" s="14" t="s">
        <v>4991</v>
      </c>
      <c r="B314" s="233">
        <v>584</v>
      </c>
      <c r="C314">
        <v>2</v>
      </c>
      <c r="D314">
        <v>571</v>
      </c>
      <c r="E314" t="s">
        <v>4992</v>
      </c>
      <c r="F314" t="s">
        <v>4992</v>
      </c>
      <c r="G314" t="s">
        <v>6003</v>
      </c>
      <c r="H314" t="str">
        <f t="shared" si="16"/>
        <v>Mangoes, mangosteens, guavasa</v>
      </c>
      <c r="I314">
        <f t="shared" si="17"/>
        <v>571</v>
      </c>
      <c r="J314" s="421">
        <v>0.55000000000000004</v>
      </c>
      <c r="K314" s="655" t="s">
        <v>7364</v>
      </c>
      <c r="L314" s="469" t="s">
        <v>7365</v>
      </c>
      <c r="M314" s="470">
        <v>1.0484465508162191</v>
      </c>
      <c r="N314" s="656">
        <f t="shared" si="18"/>
        <v>0.57664560294892053</v>
      </c>
      <c r="O314" s="666">
        <f t="shared" si="19"/>
        <v>0.60971952373674321</v>
      </c>
      <c r="P314" s="662" t="s">
        <v>7514</v>
      </c>
    </row>
    <row r="315" spans="1:16">
      <c r="A315" s="14" t="s">
        <v>5100</v>
      </c>
      <c r="B315" s="233">
        <v>587</v>
      </c>
      <c r="C315">
        <v>1</v>
      </c>
      <c r="D315">
        <v>587</v>
      </c>
      <c r="E315" t="s">
        <v>5100</v>
      </c>
      <c r="F315"/>
      <c r="G315"/>
      <c r="H315" t="str">
        <f t="shared" si="16"/>
        <v/>
      </c>
      <c r="I315" t="str">
        <f t="shared" si="17"/>
        <v/>
      </c>
      <c r="J315" s="421"/>
      <c r="K315" s="655">
        <v>1395</v>
      </c>
      <c r="L315" s="469">
        <v>3104</v>
      </c>
      <c r="M315" s="470">
        <v>2.22508960573477</v>
      </c>
      <c r="N315" s="656" t="str">
        <f t="shared" si="18"/>
        <v/>
      </c>
      <c r="O315" s="666">
        <f t="shared" si="19"/>
        <v>1</v>
      </c>
      <c r="P315" s="662">
        <v>2011</v>
      </c>
    </row>
    <row r="316" spans="1:16">
      <c r="A316" s="14" t="s">
        <v>4503</v>
      </c>
      <c r="B316" s="233">
        <v>591</v>
      </c>
      <c r="C316">
        <v>1</v>
      </c>
      <c r="D316">
        <v>591</v>
      </c>
      <c r="E316" t="s">
        <v>4503</v>
      </c>
      <c r="F316"/>
      <c r="G316"/>
      <c r="H316" t="str">
        <f t="shared" si="16"/>
        <v/>
      </c>
      <c r="I316" t="str">
        <f t="shared" si="17"/>
        <v/>
      </c>
      <c r="J316" s="421"/>
      <c r="K316" s="655">
        <v>11</v>
      </c>
      <c r="L316" s="469">
        <v>13</v>
      </c>
      <c r="M316" s="470">
        <v>0.84615384615384603</v>
      </c>
      <c r="N316" s="656" t="str">
        <f t="shared" si="18"/>
        <v/>
      </c>
      <c r="O316" s="666">
        <f t="shared" si="19"/>
        <v>1</v>
      </c>
      <c r="P316" s="662">
        <v>2002</v>
      </c>
    </row>
    <row r="317" spans="1:16">
      <c r="A317" s="14" t="s">
        <v>561</v>
      </c>
      <c r="B317" s="233">
        <v>592</v>
      </c>
      <c r="C317">
        <v>1</v>
      </c>
      <c r="D317">
        <v>592</v>
      </c>
      <c r="E317" t="s">
        <v>561</v>
      </c>
      <c r="F317"/>
      <c r="G317"/>
      <c r="H317" t="str">
        <f t="shared" si="16"/>
        <v/>
      </c>
      <c r="I317" t="str">
        <f t="shared" si="17"/>
        <v/>
      </c>
      <c r="J317" s="421"/>
      <c r="K317" s="655">
        <v>1288590</v>
      </c>
      <c r="L317" s="469">
        <v>2123410</v>
      </c>
      <c r="M317" s="470">
        <v>1.6478554078488901</v>
      </c>
      <c r="N317" s="656" t="str">
        <f t="shared" si="18"/>
        <v/>
      </c>
      <c r="O317" s="666">
        <f t="shared" si="19"/>
        <v>1</v>
      </c>
      <c r="P317" s="662">
        <v>2011</v>
      </c>
    </row>
    <row r="318" spans="1:16">
      <c r="A318" s="14" t="s">
        <v>928</v>
      </c>
      <c r="B318" s="233">
        <v>600</v>
      </c>
      <c r="C318">
        <v>1</v>
      </c>
      <c r="D318">
        <v>600</v>
      </c>
      <c r="E318" t="s">
        <v>928</v>
      </c>
      <c r="F318"/>
      <c r="G318"/>
      <c r="H318" t="str">
        <f t="shared" si="16"/>
        <v/>
      </c>
      <c r="I318" t="str">
        <f t="shared" si="17"/>
        <v/>
      </c>
      <c r="J318" s="421"/>
      <c r="K318" s="655">
        <v>261591</v>
      </c>
      <c r="L318" s="469">
        <v>250782</v>
      </c>
      <c r="M318" s="470">
        <v>0.95867977109304203</v>
      </c>
      <c r="N318" s="656" t="str">
        <f t="shared" si="18"/>
        <v/>
      </c>
      <c r="O318" s="666">
        <f t="shared" si="19"/>
        <v>1</v>
      </c>
      <c r="P318" s="662">
        <v>2011</v>
      </c>
    </row>
    <row r="319" spans="1:16">
      <c r="A319" s="14" t="s">
        <v>801</v>
      </c>
      <c r="B319" s="233">
        <v>603</v>
      </c>
      <c r="C319">
        <v>1</v>
      </c>
      <c r="D319">
        <v>603</v>
      </c>
      <c r="E319" t="s">
        <v>801</v>
      </c>
      <c r="F319"/>
      <c r="G319"/>
      <c r="H319" t="str">
        <f t="shared" si="16"/>
        <v/>
      </c>
      <c r="I319" t="str">
        <f t="shared" si="17"/>
        <v/>
      </c>
      <c r="J319" s="421"/>
      <c r="K319" s="655">
        <v>813427</v>
      </c>
      <c r="L319" s="469">
        <v>751102</v>
      </c>
      <c r="M319" s="470">
        <v>0.92337972553160896</v>
      </c>
      <c r="N319" s="656" t="str">
        <f t="shared" si="18"/>
        <v/>
      </c>
      <c r="O319" s="666">
        <f t="shared" si="19"/>
        <v>1</v>
      </c>
      <c r="P319" s="662">
        <v>2011</v>
      </c>
    </row>
    <row r="320" spans="1:16">
      <c r="A320" s="14" t="s">
        <v>3626</v>
      </c>
      <c r="B320" s="233">
        <v>604</v>
      </c>
      <c r="C320">
        <v>2</v>
      </c>
      <c r="D320">
        <v>603</v>
      </c>
      <c r="E320" t="s">
        <v>801</v>
      </c>
      <c r="F320" t="s">
        <v>801</v>
      </c>
      <c r="G320" t="s">
        <v>6003</v>
      </c>
      <c r="H320" t="str">
        <f t="shared" si="16"/>
        <v>Fruit, tropical fresh nesa</v>
      </c>
      <c r="I320">
        <f t="shared" si="17"/>
        <v>603</v>
      </c>
      <c r="J320" s="421">
        <v>0.35</v>
      </c>
      <c r="K320" s="655" t="s">
        <v>7366</v>
      </c>
      <c r="L320" s="469" t="s">
        <v>7367</v>
      </c>
      <c r="M320" s="470">
        <v>3.0143679285910032</v>
      </c>
      <c r="N320" s="656">
        <f t="shared" si="18"/>
        <v>1.055028775006851</v>
      </c>
      <c r="O320" s="666">
        <f t="shared" si="19"/>
        <v>0.35</v>
      </c>
      <c r="P320" s="662" t="s">
        <v>7514</v>
      </c>
    </row>
    <row r="321" spans="1:16">
      <c r="A321" s="14" t="s">
        <v>286</v>
      </c>
      <c r="B321" s="233">
        <v>619</v>
      </c>
      <c r="C321">
        <v>1</v>
      </c>
      <c r="D321">
        <v>619</v>
      </c>
      <c r="E321" t="s">
        <v>286</v>
      </c>
      <c r="F321"/>
      <c r="G321"/>
      <c r="H321" t="str">
        <f t="shared" si="16"/>
        <v/>
      </c>
      <c r="I321" t="str">
        <f t="shared" si="17"/>
        <v/>
      </c>
      <c r="J321" s="421"/>
      <c r="K321" s="655">
        <v>2444600</v>
      </c>
      <c r="L321" s="469">
        <v>2451780</v>
      </c>
      <c r="M321" s="470">
        <v>1.0029370858218101</v>
      </c>
      <c r="N321" s="656" t="str">
        <f t="shared" si="18"/>
        <v/>
      </c>
      <c r="O321" s="666">
        <f t="shared" si="19"/>
        <v>1</v>
      </c>
      <c r="P321" s="662">
        <v>2011</v>
      </c>
    </row>
    <row r="322" spans="1:16">
      <c r="A322" s="14" t="s">
        <v>284</v>
      </c>
      <c r="B322" s="233">
        <v>620</v>
      </c>
      <c r="C322">
        <v>2</v>
      </c>
      <c r="D322">
        <v>619</v>
      </c>
      <c r="E322" t="s">
        <v>286</v>
      </c>
      <c r="F322" t="s">
        <v>286</v>
      </c>
      <c r="G322" t="s">
        <v>6003</v>
      </c>
      <c r="H322" t="str">
        <f t="shared" si="16"/>
        <v>Fruit Fresh Nesa</v>
      </c>
      <c r="I322">
        <f t="shared" si="17"/>
        <v>619</v>
      </c>
      <c r="J322" s="421">
        <v>0.25</v>
      </c>
      <c r="K322" s="655">
        <v>473948</v>
      </c>
      <c r="L322" s="469">
        <v>1047670</v>
      </c>
      <c r="M322" s="470">
        <v>2.2105167655523399</v>
      </c>
      <c r="N322" s="656">
        <f t="shared" si="18"/>
        <v>0.55262919138808497</v>
      </c>
      <c r="O322" s="666">
        <f t="shared" si="19"/>
        <v>0.25</v>
      </c>
      <c r="P322" s="662">
        <v>2011</v>
      </c>
    </row>
    <row r="323" spans="1:16">
      <c r="A323" s="14" t="s">
        <v>1852</v>
      </c>
      <c r="B323" s="233">
        <v>622</v>
      </c>
      <c r="C323">
        <v>2</v>
      </c>
      <c r="D323">
        <v>619</v>
      </c>
      <c r="E323" t="s">
        <v>286</v>
      </c>
      <c r="F323" t="s">
        <v>286</v>
      </c>
      <c r="G323" t="s">
        <v>6004</v>
      </c>
      <c r="H323" t="str">
        <f t="shared" si="16"/>
        <v>Fruit Fresh Nesb</v>
      </c>
      <c r="I323">
        <f t="shared" si="17"/>
        <v>619</v>
      </c>
      <c r="J323" s="421">
        <v>0.5</v>
      </c>
      <c r="K323" s="655">
        <v>2653300</v>
      </c>
      <c r="L323" s="469">
        <v>3968500</v>
      </c>
      <c r="M323" s="470">
        <v>1.49568461915351</v>
      </c>
      <c r="N323" s="656">
        <f t="shared" si="18"/>
        <v>0.74784230957675502</v>
      </c>
      <c r="O323" s="666">
        <f t="shared" si="19"/>
        <v>0.5</v>
      </c>
      <c r="P323" s="662">
        <v>2011</v>
      </c>
    </row>
    <row r="324" spans="1:16">
      <c r="A324" s="14" t="s">
        <v>800</v>
      </c>
      <c r="B324" s="233">
        <v>623</v>
      </c>
      <c r="C324">
        <v>2</v>
      </c>
      <c r="D324">
        <v>619</v>
      </c>
      <c r="E324" t="s">
        <v>286</v>
      </c>
      <c r="F324" t="s">
        <v>286</v>
      </c>
      <c r="G324" t="s">
        <v>6005</v>
      </c>
      <c r="H324" t="str">
        <f t="shared" si="16"/>
        <v>Fruit Fresh Nesc</v>
      </c>
      <c r="I324">
        <f t="shared" si="17"/>
        <v>619</v>
      </c>
      <c r="J324" s="421">
        <v>0.25</v>
      </c>
      <c r="K324" s="655">
        <v>7187940</v>
      </c>
      <c r="L324" s="469">
        <v>12990000</v>
      </c>
      <c r="M324" s="470">
        <v>1.8071937161411999</v>
      </c>
      <c r="N324" s="656">
        <f t="shared" si="18"/>
        <v>0.45179842903529999</v>
      </c>
      <c r="O324" s="666">
        <f t="shared" si="19"/>
        <v>0.25</v>
      </c>
      <c r="P324" s="662">
        <v>2011</v>
      </c>
    </row>
    <row r="325" spans="1:16">
      <c r="A325" s="14" t="s">
        <v>2153</v>
      </c>
      <c r="B325" s="233">
        <v>624</v>
      </c>
      <c r="C325">
        <v>2</v>
      </c>
      <c r="D325">
        <v>619</v>
      </c>
      <c r="E325" t="s">
        <v>286</v>
      </c>
      <c r="F325" t="s">
        <v>286</v>
      </c>
      <c r="G325" t="s">
        <v>6006</v>
      </c>
      <c r="H325" t="str">
        <f t="shared" si="16"/>
        <v>Fruit Fresh Nesd</v>
      </c>
      <c r="I325">
        <f t="shared" si="17"/>
        <v>619</v>
      </c>
      <c r="J325" s="421">
        <v>0.5</v>
      </c>
      <c r="K325" s="655" t="s">
        <v>7368</v>
      </c>
      <c r="L325" s="469" t="s">
        <v>7369</v>
      </c>
      <c r="M325" s="470">
        <v>3.338169858773457</v>
      </c>
      <c r="N325" s="656">
        <f t="shared" si="18"/>
        <v>1.6690849293867285</v>
      </c>
      <c r="O325" s="666">
        <f t="shared" si="19"/>
        <v>0.5</v>
      </c>
      <c r="P325" s="662" t="s">
        <v>7514</v>
      </c>
    </row>
    <row r="326" spans="1:16">
      <c r="A326" s="14" t="s">
        <v>2374</v>
      </c>
      <c r="B326" s="233">
        <v>625</v>
      </c>
      <c r="C326">
        <v>2</v>
      </c>
      <c r="D326">
        <v>619</v>
      </c>
      <c r="E326" t="s">
        <v>286</v>
      </c>
      <c r="F326" t="s">
        <v>286</v>
      </c>
      <c r="G326" t="s">
        <v>6007</v>
      </c>
      <c r="H326" t="str">
        <f t="shared" si="16"/>
        <v>Fruit Fresh Nese</v>
      </c>
      <c r="I326">
        <f t="shared" si="17"/>
        <v>619</v>
      </c>
      <c r="J326" s="421">
        <v>0.1</v>
      </c>
      <c r="K326" s="655" t="s">
        <v>7370</v>
      </c>
      <c r="L326" s="469" t="s">
        <v>7371</v>
      </c>
      <c r="M326" s="470">
        <v>2.4611293334006157</v>
      </c>
      <c r="N326" s="656">
        <f t="shared" si="18"/>
        <v>0.24611293334006157</v>
      </c>
      <c r="O326" s="666">
        <f t="shared" si="19"/>
        <v>0.1</v>
      </c>
      <c r="P326" s="662" t="s">
        <v>7514</v>
      </c>
    </row>
    <row r="327" spans="1:16">
      <c r="A327" s="14" t="s">
        <v>3833</v>
      </c>
      <c r="B327" s="233">
        <v>626</v>
      </c>
      <c r="C327">
        <v>2</v>
      </c>
      <c r="D327">
        <v>619</v>
      </c>
      <c r="E327" t="s">
        <v>286</v>
      </c>
      <c r="F327" t="s">
        <v>286</v>
      </c>
      <c r="G327" t="s">
        <v>6008</v>
      </c>
      <c r="H327" t="str">
        <f t="shared" si="16"/>
        <v>Fruit Fresh Nesf</v>
      </c>
      <c r="I327">
        <f t="shared" si="17"/>
        <v>619</v>
      </c>
      <c r="J327" s="421">
        <v>0.5</v>
      </c>
      <c r="K327" s="655">
        <v>108417</v>
      </c>
      <c r="L327" s="469">
        <v>260370</v>
      </c>
      <c r="M327" s="470">
        <v>2.4015606408589099</v>
      </c>
      <c r="N327" s="656">
        <f t="shared" si="18"/>
        <v>1.2007803204294549</v>
      </c>
      <c r="O327" s="666">
        <f t="shared" si="19"/>
        <v>0.5</v>
      </c>
      <c r="P327" s="662">
        <v>2011</v>
      </c>
    </row>
    <row r="328" spans="1:16">
      <c r="A328" s="14" t="s">
        <v>2904</v>
      </c>
      <c r="B328" s="233">
        <v>628</v>
      </c>
      <c r="C328">
        <v>2</v>
      </c>
      <c r="D328">
        <v>619</v>
      </c>
      <c r="E328" t="s">
        <v>286</v>
      </c>
      <c r="F328" t="s">
        <v>286</v>
      </c>
      <c r="G328" t="s">
        <v>6009</v>
      </c>
      <c r="H328" t="str">
        <f t="shared" ref="H328:H391" si="20">F328&amp;G328</f>
        <v>Fruit Fresh Nesg</v>
      </c>
      <c r="I328">
        <f t="shared" ref="I328:I391" si="21">IFERROR(VLOOKUP(F328,$A$7:$B$590,2,FALSE),"")</f>
        <v>619</v>
      </c>
      <c r="J328" s="421">
        <v>0.8</v>
      </c>
      <c r="K328" s="655">
        <v>792992</v>
      </c>
      <c r="L328" s="469">
        <v>230361</v>
      </c>
      <c r="M328" s="470">
        <v>0.29049599491545902</v>
      </c>
      <c r="N328" s="656">
        <f t="shared" ref="N328:N391" si="22">IF(ISBLANK(J328),"",J328*M328)</f>
        <v>0.23239679593236723</v>
      </c>
      <c r="O328" s="666">
        <f t="shared" ref="O328:O391" si="23">IF(ISBLANK(F328),1,J328/(N328/SUMIF(H$7:H$601,H328,N$7:N$601))*VLOOKUP(F328,A$7:O$601,15,FALSE))</f>
        <v>0.8</v>
      </c>
      <c r="P328" s="662">
        <v>2011</v>
      </c>
    </row>
    <row r="329" spans="1:16">
      <c r="A329" s="14" t="s">
        <v>5305</v>
      </c>
      <c r="B329" s="233">
        <v>630</v>
      </c>
      <c r="C329">
        <v>2</v>
      </c>
      <c r="D329">
        <v>156</v>
      </c>
      <c r="E329" t="s">
        <v>1038</v>
      </c>
      <c r="F329" t="s">
        <v>1038</v>
      </c>
      <c r="G329" t="s">
        <v>6010</v>
      </c>
      <c r="H329" t="str">
        <f t="shared" si="20"/>
        <v>Sugar caneh</v>
      </c>
      <c r="I329">
        <f t="shared" si="21"/>
        <v>156</v>
      </c>
      <c r="J329" s="421">
        <v>0.5</v>
      </c>
      <c r="K329" s="655" t="s">
        <v>7372</v>
      </c>
      <c r="L329" s="469" t="s">
        <v>7373</v>
      </c>
      <c r="M329" s="470">
        <v>0.10240963855421686</v>
      </c>
      <c r="N329" s="656">
        <f t="shared" si="22"/>
        <v>5.1204819277108432E-2</v>
      </c>
      <c r="O329" s="666">
        <f t="shared" si="23"/>
        <v>0.5</v>
      </c>
      <c r="P329" s="662" t="s">
        <v>7514</v>
      </c>
    </row>
    <row r="330" spans="1:16">
      <c r="A330" s="14" t="s">
        <v>265</v>
      </c>
      <c r="B330" s="233">
        <v>631</v>
      </c>
      <c r="C330"/>
      <c r="D330" t="s">
        <v>2738</v>
      </c>
      <c r="E330"/>
      <c r="F330"/>
      <c r="G330"/>
      <c r="H330" t="str">
        <f t="shared" si="20"/>
        <v/>
      </c>
      <c r="I330" t="str">
        <f t="shared" si="21"/>
        <v/>
      </c>
      <c r="J330" s="421"/>
      <c r="K330" s="655">
        <v>20309400</v>
      </c>
      <c r="L330" s="469">
        <v>3190500</v>
      </c>
      <c r="M330" s="470">
        <v>0.157094744305592</v>
      </c>
      <c r="N330" s="656" t="str">
        <f t="shared" si="22"/>
        <v/>
      </c>
      <c r="O330" s="666">
        <f t="shared" si="23"/>
        <v>1</v>
      </c>
      <c r="P330" s="662">
        <v>2011</v>
      </c>
    </row>
    <row r="331" spans="1:16">
      <c r="A331" s="14" t="s">
        <v>2560</v>
      </c>
      <c r="B331" s="233">
        <v>633</v>
      </c>
      <c r="C331"/>
      <c r="D331" t="s">
        <v>2738</v>
      </c>
      <c r="E331"/>
      <c r="F331"/>
      <c r="G331"/>
      <c r="H331" t="str">
        <f t="shared" si="20"/>
        <v/>
      </c>
      <c r="I331" t="str">
        <f t="shared" si="21"/>
        <v/>
      </c>
      <c r="J331" s="421"/>
      <c r="K331" s="655">
        <v>14941600</v>
      </c>
      <c r="L331" s="469">
        <v>14911400</v>
      </c>
      <c r="M331" s="470">
        <v>0.99797879745141105</v>
      </c>
      <c r="N331" s="656" t="str">
        <f t="shared" si="22"/>
        <v/>
      </c>
      <c r="O331" s="666">
        <f t="shared" si="23"/>
        <v>1</v>
      </c>
      <c r="P331" s="662">
        <v>2011</v>
      </c>
    </row>
    <row r="332" spans="1:16">
      <c r="A332" s="14" t="s">
        <v>7014</v>
      </c>
      <c r="B332" s="233">
        <v>634</v>
      </c>
      <c r="C332">
        <v>1</v>
      </c>
      <c r="D332">
        <v>634</v>
      </c>
      <c r="E332" t="s">
        <v>7014</v>
      </c>
      <c r="F332"/>
      <c r="G332"/>
      <c r="H332" t="str">
        <f t="shared" si="20"/>
        <v/>
      </c>
      <c r="I332" t="str">
        <f t="shared" si="21"/>
        <v/>
      </c>
      <c r="J332" s="421"/>
      <c r="K332" s="655">
        <v>4074220</v>
      </c>
      <c r="L332" s="469">
        <v>27945100</v>
      </c>
      <c r="M332" s="470">
        <v>6.8590061410527703</v>
      </c>
      <c r="N332" s="656" t="str">
        <f t="shared" si="22"/>
        <v/>
      </c>
      <c r="O332" s="666">
        <f t="shared" si="23"/>
        <v>1</v>
      </c>
      <c r="P332" s="662">
        <v>2011</v>
      </c>
    </row>
    <row r="333" spans="1:16">
      <c r="A333" s="14" t="s">
        <v>4433</v>
      </c>
      <c r="B333" s="233">
        <v>635</v>
      </c>
      <c r="C333"/>
      <c r="D333" t="s">
        <v>2738</v>
      </c>
      <c r="E333"/>
      <c r="F333"/>
      <c r="G333"/>
      <c r="H333" t="str">
        <f t="shared" si="20"/>
        <v/>
      </c>
      <c r="I333" t="str">
        <f t="shared" si="21"/>
        <v/>
      </c>
      <c r="J333" s="421"/>
      <c r="K333" s="655">
        <v>1617890</v>
      </c>
      <c r="L333" s="469">
        <v>342871</v>
      </c>
      <c r="M333" s="470">
        <v>0.21192479093139799</v>
      </c>
      <c r="N333" s="656" t="str">
        <f t="shared" si="22"/>
        <v/>
      </c>
      <c r="O333" s="666">
        <f t="shared" si="23"/>
        <v>1</v>
      </c>
      <c r="P333" s="662">
        <v>2011</v>
      </c>
    </row>
    <row r="334" spans="1:16">
      <c r="A334" s="14" t="s">
        <v>1128</v>
      </c>
      <c r="B334" s="233">
        <v>636</v>
      </c>
      <c r="C334">
        <v>1</v>
      </c>
      <c r="D334">
        <v>636</v>
      </c>
      <c r="E334" t="s">
        <v>1128</v>
      </c>
      <c r="F334"/>
      <c r="G334"/>
      <c r="H334" t="str">
        <f t="shared" si="20"/>
        <v/>
      </c>
      <c r="I334" t="str">
        <f t="shared" si="21"/>
        <v/>
      </c>
      <c r="J334" s="421"/>
      <c r="K334" s="655" t="s">
        <v>7374</v>
      </c>
      <c r="L334" s="469" t="s">
        <v>7375</v>
      </c>
      <c r="M334" s="470">
        <v>0.25</v>
      </c>
      <c r="N334" s="656" t="str">
        <f t="shared" si="22"/>
        <v/>
      </c>
      <c r="O334" s="666">
        <f t="shared" si="23"/>
        <v>1</v>
      </c>
      <c r="P334" s="662" t="s">
        <v>7514</v>
      </c>
    </row>
    <row r="335" spans="1:16">
      <c r="A335" s="14" t="s">
        <v>2682</v>
      </c>
      <c r="B335">
        <v>637</v>
      </c>
      <c r="C335">
        <v>1</v>
      </c>
      <c r="D335">
        <v>637</v>
      </c>
      <c r="E335" t="s">
        <v>2682</v>
      </c>
      <c r="F335"/>
      <c r="G335"/>
      <c r="H335" t="str">
        <f t="shared" si="20"/>
        <v/>
      </c>
      <c r="I335" t="str">
        <f t="shared" si="21"/>
        <v/>
      </c>
      <c r="J335" s="421"/>
      <c r="K335" s="655" t="s">
        <v>7287</v>
      </c>
      <c r="L335" s="469" t="s">
        <v>7287</v>
      </c>
      <c r="M335" s="470">
        <v>0</v>
      </c>
      <c r="N335" s="656" t="str">
        <f t="shared" si="22"/>
        <v/>
      </c>
      <c r="O335" s="666">
        <f t="shared" si="23"/>
        <v>1</v>
      </c>
      <c r="P335" s="662" t="s">
        <v>7514</v>
      </c>
    </row>
    <row r="336" spans="1:16">
      <c r="A336" s="14" t="s">
        <v>5395</v>
      </c>
      <c r="B336">
        <v>638</v>
      </c>
      <c r="C336">
        <v>1</v>
      </c>
      <c r="D336">
        <v>638</v>
      </c>
      <c r="E336" t="s">
        <v>5395</v>
      </c>
      <c r="F336"/>
      <c r="G336"/>
      <c r="H336" t="str">
        <f t="shared" si="20"/>
        <v/>
      </c>
      <c r="I336" t="str">
        <f t="shared" si="21"/>
        <v/>
      </c>
      <c r="J336" s="421"/>
      <c r="K336" s="655" t="s">
        <v>7287</v>
      </c>
      <c r="L336" s="469" t="s">
        <v>7287</v>
      </c>
      <c r="M336" s="470">
        <v>0</v>
      </c>
      <c r="N336" s="656" t="str">
        <f t="shared" si="22"/>
        <v/>
      </c>
      <c r="O336" s="666">
        <f t="shared" si="23"/>
        <v>1</v>
      </c>
      <c r="P336" s="662" t="s">
        <v>7514</v>
      </c>
    </row>
    <row r="337" spans="1:16">
      <c r="A337" s="14" t="s">
        <v>6872</v>
      </c>
      <c r="B337" s="233">
        <v>639</v>
      </c>
      <c r="C337">
        <v>1</v>
      </c>
      <c r="D337">
        <v>639</v>
      </c>
      <c r="E337" t="s">
        <v>6872</v>
      </c>
      <c r="F337"/>
      <c r="G337"/>
      <c r="H337" t="str">
        <f t="shared" si="20"/>
        <v/>
      </c>
      <c r="I337" t="str">
        <f t="shared" si="21"/>
        <v/>
      </c>
      <c r="J337" s="421"/>
      <c r="K337" s="655">
        <v>7015</v>
      </c>
      <c r="L337" s="469">
        <v>1588</v>
      </c>
      <c r="M337" s="470">
        <v>4.4175062972292203</v>
      </c>
      <c r="N337" s="656" t="str">
        <f t="shared" si="22"/>
        <v/>
      </c>
      <c r="O337" s="666">
        <f t="shared" si="23"/>
        <v>1</v>
      </c>
      <c r="P337" s="662">
        <v>1987</v>
      </c>
    </row>
    <row r="338" spans="1:16">
      <c r="A338" s="14" t="s">
        <v>2514</v>
      </c>
      <c r="B338" s="233">
        <v>640</v>
      </c>
      <c r="C338">
        <v>1</v>
      </c>
      <c r="D338">
        <v>640</v>
      </c>
      <c r="E338" t="s">
        <v>2514</v>
      </c>
      <c r="F338"/>
      <c r="G338"/>
      <c r="H338" t="str">
        <f t="shared" si="20"/>
        <v/>
      </c>
      <c r="I338" t="str">
        <f t="shared" si="21"/>
        <v/>
      </c>
      <c r="J338" s="421"/>
      <c r="K338" s="655">
        <v>195</v>
      </c>
      <c r="L338" s="469">
        <v>176</v>
      </c>
      <c r="M338" s="470">
        <v>1.1079545454545501</v>
      </c>
      <c r="N338" s="656" t="str">
        <f t="shared" si="22"/>
        <v/>
      </c>
      <c r="O338" s="666">
        <f t="shared" si="23"/>
        <v>1</v>
      </c>
      <c r="P338" s="662">
        <v>1976</v>
      </c>
    </row>
    <row r="339" spans="1:16">
      <c r="A339" s="14" t="s">
        <v>2308</v>
      </c>
      <c r="B339" s="233">
        <v>641</v>
      </c>
      <c r="C339">
        <v>1</v>
      </c>
      <c r="D339">
        <v>641</v>
      </c>
      <c r="E339" t="s">
        <v>2308</v>
      </c>
      <c r="F339"/>
      <c r="G339"/>
      <c r="H339" t="str">
        <f t="shared" si="20"/>
        <v/>
      </c>
      <c r="I339" t="str">
        <f t="shared" si="21"/>
        <v/>
      </c>
      <c r="J339" s="421"/>
      <c r="K339" s="655" t="s">
        <v>7319</v>
      </c>
      <c r="L339" s="469" t="s">
        <v>7319</v>
      </c>
      <c r="M339" s="470">
        <v>0</v>
      </c>
      <c r="N339" s="656" t="str">
        <f t="shared" si="22"/>
        <v/>
      </c>
      <c r="O339" s="666">
        <f t="shared" si="23"/>
        <v>1</v>
      </c>
      <c r="P339" s="662" t="s">
        <v>7514</v>
      </c>
    </row>
    <row r="340" spans="1:16">
      <c r="A340" s="14" t="s">
        <v>6883</v>
      </c>
      <c r="B340">
        <v>642</v>
      </c>
      <c r="C340">
        <v>1</v>
      </c>
      <c r="D340">
        <v>642</v>
      </c>
      <c r="E340" t="s">
        <v>6883</v>
      </c>
      <c r="F340"/>
      <c r="G340"/>
      <c r="H340" t="str">
        <f t="shared" si="20"/>
        <v/>
      </c>
      <c r="I340" t="str">
        <f t="shared" si="21"/>
        <v/>
      </c>
      <c r="J340" s="421"/>
      <c r="K340" s="655" t="s">
        <v>7287</v>
      </c>
      <c r="L340" s="469" t="s">
        <v>7287</v>
      </c>
      <c r="M340" s="470">
        <v>0</v>
      </c>
      <c r="N340" s="656" t="str">
        <f t="shared" si="22"/>
        <v/>
      </c>
      <c r="O340" s="666">
        <f t="shared" si="23"/>
        <v>1</v>
      </c>
      <c r="P340" s="662" t="s">
        <v>7514</v>
      </c>
    </row>
    <row r="341" spans="1:16">
      <c r="A341" s="14" t="s">
        <v>6873</v>
      </c>
      <c r="B341" s="233">
        <v>643</v>
      </c>
      <c r="C341">
        <v>2</v>
      </c>
      <c r="D341">
        <v>643</v>
      </c>
      <c r="E341" t="s">
        <v>6873</v>
      </c>
      <c r="F341"/>
      <c r="G341"/>
      <c r="H341" t="str">
        <f t="shared" si="20"/>
        <v/>
      </c>
      <c r="I341" t="str">
        <f t="shared" si="21"/>
        <v/>
      </c>
      <c r="J341" s="421">
        <v>1</v>
      </c>
      <c r="K341" s="655">
        <v>30</v>
      </c>
      <c r="L341" s="469">
        <v>31</v>
      </c>
      <c r="M341" s="470">
        <v>0.967741935483871</v>
      </c>
      <c r="N341" s="656">
        <f t="shared" si="22"/>
        <v>0.967741935483871</v>
      </c>
      <c r="O341" s="666">
        <f t="shared" si="23"/>
        <v>1</v>
      </c>
      <c r="P341" s="662">
        <v>1975</v>
      </c>
    </row>
    <row r="342" spans="1:16">
      <c r="A342" s="14" t="s">
        <v>6870</v>
      </c>
      <c r="B342">
        <v>644</v>
      </c>
      <c r="C342">
        <v>1</v>
      </c>
      <c r="D342">
        <v>644</v>
      </c>
      <c r="E342" t="s">
        <v>6870</v>
      </c>
      <c r="F342"/>
      <c r="G342"/>
      <c r="H342" t="str">
        <f t="shared" si="20"/>
        <v/>
      </c>
      <c r="I342" t="str">
        <f t="shared" si="21"/>
        <v/>
      </c>
      <c r="J342" s="421"/>
      <c r="K342" s="655" t="s">
        <v>7287</v>
      </c>
      <c r="L342" s="469" t="s">
        <v>7287</v>
      </c>
      <c r="M342" s="470">
        <v>0</v>
      </c>
      <c r="N342" s="656" t="str">
        <f t="shared" si="22"/>
        <v/>
      </c>
      <c r="O342" s="666">
        <f t="shared" si="23"/>
        <v>1</v>
      </c>
      <c r="P342" s="662" t="s">
        <v>7514</v>
      </c>
    </row>
    <row r="343" spans="1:16">
      <c r="A343" s="14" t="s">
        <v>7562</v>
      </c>
      <c r="B343">
        <v>645</v>
      </c>
      <c r="C343">
        <v>1</v>
      </c>
      <c r="D343">
        <v>645</v>
      </c>
      <c r="E343" t="s">
        <v>7562</v>
      </c>
      <c r="F343"/>
      <c r="G343"/>
      <c r="H343" t="str">
        <f t="shared" si="20"/>
        <v/>
      </c>
      <c r="I343" t="str">
        <f t="shared" si="21"/>
        <v/>
      </c>
      <c r="J343" s="421"/>
      <c r="K343" s="655" t="s">
        <v>7287</v>
      </c>
      <c r="L343" s="469" t="s">
        <v>7287</v>
      </c>
      <c r="M343" s="470">
        <v>0</v>
      </c>
      <c r="N343" s="656" t="str">
        <f t="shared" si="22"/>
        <v/>
      </c>
      <c r="O343" s="666">
        <f t="shared" si="23"/>
        <v>1</v>
      </c>
      <c r="P343" s="662" t="s">
        <v>7514</v>
      </c>
    </row>
    <row r="344" spans="1:16">
      <c r="A344" s="14" t="s">
        <v>2342</v>
      </c>
      <c r="B344" s="233">
        <v>646</v>
      </c>
      <c r="C344">
        <v>1</v>
      </c>
      <c r="D344">
        <v>646</v>
      </c>
      <c r="E344" t="s">
        <v>2342</v>
      </c>
      <c r="F344"/>
      <c r="G344"/>
      <c r="H344" t="str">
        <f t="shared" si="20"/>
        <v/>
      </c>
      <c r="I344" t="str">
        <f t="shared" si="21"/>
        <v/>
      </c>
      <c r="J344" s="421"/>
      <c r="K344" s="655">
        <v>11</v>
      </c>
      <c r="L344" s="469">
        <v>1</v>
      </c>
      <c r="M344" s="470">
        <v>11</v>
      </c>
      <c r="N344" s="656" t="str">
        <f t="shared" si="22"/>
        <v/>
      </c>
      <c r="O344" s="666">
        <f t="shared" si="23"/>
        <v>1</v>
      </c>
      <c r="P344" s="662">
        <v>1995</v>
      </c>
    </row>
    <row r="345" spans="1:16">
      <c r="A345" s="14" t="s">
        <v>3499</v>
      </c>
      <c r="B345" s="233">
        <v>647</v>
      </c>
      <c r="C345">
        <v>1</v>
      </c>
      <c r="D345">
        <v>647</v>
      </c>
      <c r="E345" t="s">
        <v>3499</v>
      </c>
      <c r="F345"/>
      <c r="G345"/>
      <c r="H345" t="str">
        <f t="shared" si="20"/>
        <v/>
      </c>
      <c r="I345" t="str">
        <f t="shared" si="21"/>
        <v/>
      </c>
      <c r="J345" s="421"/>
      <c r="K345" s="655" t="s">
        <v>7376</v>
      </c>
      <c r="L345" s="469" t="s">
        <v>7377</v>
      </c>
      <c r="M345" s="470">
        <v>0.31044742392286834</v>
      </c>
      <c r="N345" s="656" t="str">
        <f t="shared" si="22"/>
        <v/>
      </c>
      <c r="O345" s="666">
        <f t="shared" si="23"/>
        <v>1</v>
      </c>
      <c r="P345" s="662" t="s">
        <v>7514</v>
      </c>
    </row>
    <row r="346" spans="1:16">
      <c r="A346" s="14" t="s">
        <v>6871</v>
      </c>
      <c r="B346">
        <v>648</v>
      </c>
      <c r="C346">
        <v>1</v>
      </c>
      <c r="D346">
        <v>648</v>
      </c>
      <c r="E346" t="s">
        <v>6871</v>
      </c>
      <c r="F346"/>
      <c r="G346"/>
      <c r="H346" t="str">
        <f t="shared" si="20"/>
        <v/>
      </c>
      <c r="I346" t="str">
        <f t="shared" si="21"/>
        <v/>
      </c>
      <c r="J346" s="421"/>
      <c r="K346" s="655" t="s">
        <v>7287</v>
      </c>
      <c r="L346" s="469" t="s">
        <v>7287</v>
      </c>
      <c r="M346" s="470">
        <v>0</v>
      </c>
      <c r="N346" s="656" t="str">
        <f t="shared" si="22"/>
        <v/>
      </c>
      <c r="O346" s="666">
        <f t="shared" si="23"/>
        <v>1</v>
      </c>
      <c r="P346" s="662" t="s">
        <v>7514</v>
      </c>
    </row>
    <row r="347" spans="1:16">
      <c r="A347" s="14" t="s">
        <v>3552</v>
      </c>
      <c r="B347" s="233">
        <v>649</v>
      </c>
      <c r="C347">
        <v>1</v>
      </c>
      <c r="D347">
        <v>649</v>
      </c>
      <c r="E347" t="s">
        <v>3552</v>
      </c>
      <c r="F347"/>
      <c r="G347"/>
      <c r="H347" t="str">
        <f t="shared" si="20"/>
        <v/>
      </c>
      <c r="I347" t="str">
        <f t="shared" si="21"/>
        <v/>
      </c>
      <c r="J347" s="421"/>
      <c r="K347" s="655" t="s">
        <v>7378</v>
      </c>
      <c r="L347" s="469" t="s">
        <v>7379</v>
      </c>
      <c r="M347" s="470">
        <v>0.30240414391081583</v>
      </c>
      <c r="N347" s="656" t="str">
        <f t="shared" si="22"/>
        <v/>
      </c>
      <c r="O347" s="666">
        <f t="shared" si="23"/>
        <v>1</v>
      </c>
      <c r="P347" s="662" t="s">
        <v>7514</v>
      </c>
    </row>
    <row r="348" spans="1:16">
      <c r="A348" s="14" t="s">
        <v>7380</v>
      </c>
      <c r="B348" s="233">
        <v>651</v>
      </c>
      <c r="C348">
        <v>1</v>
      </c>
      <c r="D348" s="233">
        <v>651</v>
      </c>
      <c r="E348" t="s">
        <v>7380</v>
      </c>
      <c r="F348"/>
      <c r="G348"/>
      <c r="H348" t="str">
        <f t="shared" si="20"/>
        <v/>
      </c>
      <c r="I348" t="str">
        <f t="shared" si="21"/>
        <v/>
      </c>
      <c r="J348" s="421"/>
      <c r="K348" s="655">
        <v>5548000</v>
      </c>
      <c r="L348" s="469">
        <v>1816810</v>
      </c>
      <c r="M348" s="470">
        <v>0.32747116077865901</v>
      </c>
      <c r="N348" s="656" t="str">
        <f t="shared" si="22"/>
        <v/>
      </c>
      <c r="O348" s="666">
        <f t="shared" si="23"/>
        <v>1</v>
      </c>
      <c r="P348" s="662">
        <v>2011</v>
      </c>
    </row>
    <row r="349" spans="1:16">
      <c r="A349" s="14" t="s">
        <v>4779</v>
      </c>
      <c r="B349" s="233">
        <v>652</v>
      </c>
      <c r="C349"/>
      <c r="D349" t="s">
        <v>2738</v>
      </c>
      <c r="E349"/>
      <c r="F349"/>
      <c r="G349"/>
      <c r="H349" t="str">
        <f t="shared" si="20"/>
        <v/>
      </c>
      <c r="I349" t="str">
        <f t="shared" si="21"/>
        <v/>
      </c>
      <c r="J349" s="421"/>
      <c r="K349" s="655">
        <v>2954940</v>
      </c>
      <c r="L349" s="469">
        <v>637960</v>
      </c>
      <c r="M349" s="470">
        <v>0.21589609264485901</v>
      </c>
      <c r="N349" s="656" t="str">
        <f t="shared" si="22"/>
        <v/>
      </c>
      <c r="O349" s="666">
        <f t="shared" si="23"/>
        <v>1</v>
      </c>
      <c r="P349" s="662">
        <v>2011</v>
      </c>
    </row>
    <row r="350" spans="1:16">
      <c r="A350" s="14" t="s">
        <v>2060</v>
      </c>
      <c r="B350" s="233">
        <v>653</v>
      </c>
      <c r="C350"/>
      <c r="D350" t="s">
        <v>2738</v>
      </c>
      <c r="E350"/>
      <c r="F350"/>
      <c r="G350"/>
      <c r="H350" t="str">
        <f t="shared" si="20"/>
        <v/>
      </c>
      <c r="I350" t="str">
        <f t="shared" si="21"/>
        <v/>
      </c>
      <c r="J350" s="421"/>
      <c r="K350" s="655">
        <v>10540500</v>
      </c>
      <c r="L350" s="469">
        <v>8956980</v>
      </c>
      <c r="M350" s="470">
        <v>0.84976803756937502</v>
      </c>
      <c r="N350" s="656" t="str">
        <f t="shared" si="22"/>
        <v/>
      </c>
      <c r="O350" s="666">
        <f t="shared" si="23"/>
        <v>1</v>
      </c>
      <c r="P350" s="662">
        <v>2011</v>
      </c>
    </row>
    <row r="351" spans="1:16">
      <c r="A351" s="14" t="s">
        <v>6990</v>
      </c>
      <c r="B351" s="233">
        <v>654</v>
      </c>
      <c r="C351">
        <v>1</v>
      </c>
      <c r="D351">
        <v>654</v>
      </c>
      <c r="E351" t="s">
        <v>6990</v>
      </c>
      <c r="F351"/>
      <c r="G351"/>
      <c r="H351" t="str">
        <f t="shared" si="20"/>
        <v/>
      </c>
      <c r="I351" t="str">
        <f t="shared" si="21"/>
        <v/>
      </c>
      <c r="J351" s="421"/>
      <c r="K351" s="655">
        <v>9242260</v>
      </c>
      <c r="L351" s="469">
        <v>2436700</v>
      </c>
      <c r="M351" s="470">
        <v>0.26364763596782598</v>
      </c>
      <c r="N351" s="656" t="str">
        <f t="shared" si="22"/>
        <v/>
      </c>
      <c r="O351" s="666">
        <f t="shared" si="23"/>
        <v>1</v>
      </c>
      <c r="P351" s="662">
        <v>2011</v>
      </c>
    </row>
    <row r="352" spans="1:16">
      <c r="A352" s="14" t="s">
        <v>4636</v>
      </c>
      <c r="B352" s="233">
        <v>655</v>
      </c>
      <c r="C352">
        <v>1</v>
      </c>
      <c r="D352" s="233">
        <v>655</v>
      </c>
      <c r="E352" t="s">
        <v>4636</v>
      </c>
      <c r="F352"/>
      <c r="G352"/>
      <c r="H352" t="str">
        <f t="shared" si="20"/>
        <v/>
      </c>
      <c r="I352" t="str">
        <f t="shared" si="21"/>
        <v/>
      </c>
      <c r="J352" s="421"/>
      <c r="K352" s="655" t="s">
        <v>7381</v>
      </c>
      <c r="L352" s="469" t="s">
        <v>7382</v>
      </c>
      <c r="M352" s="470">
        <v>0.17543859649122806</v>
      </c>
      <c r="N352" s="656" t="str">
        <f t="shared" si="22"/>
        <v/>
      </c>
      <c r="O352" s="666">
        <f t="shared" si="23"/>
        <v>1</v>
      </c>
      <c r="P352" s="662" t="s">
        <v>7514</v>
      </c>
    </row>
    <row r="353" spans="1:16">
      <c r="A353" s="14" t="s">
        <v>883</v>
      </c>
      <c r="B353" s="233">
        <v>656</v>
      </c>
      <c r="C353">
        <v>1</v>
      </c>
      <c r="D353">
        <v>656</v>
      </c>
      <c r="E353" t="s">
        <v>883</v>
      </c>
      <c r="F353"/>
      <c r="G353"/>
      <c r="H353" t="str">
        <f t="shared" si="20"/>
        <v/>
      </c>
      <c r="I353" t="str">
        <f t="shared" si="21"/>
        <v/>
      </c>
      <c r="J353" s="421">
        <v>1</v>
      </c>
      <c r="K353" s="655">
        <v>6445690</v>
      </c>
      <c r="L353" s="469">
        <v>28303600</v>
      </c>
      <c r="M353" s="470">
        <v>4.3910892394763001</v>
      </c>
      <c r="N353" s="656">
        <f t="shared" si="22"/>
        <v>4.3910892394763001</v>
      </c>
      <c r="O353" s="666">
        <f t="shared" si="23"/>
        <v>1</v>
      </c>
      <c r="P353" s="662">
        <v>2011</v>
      </c>
    </row>
    <row r="354" spans="1:16">
      <c r="A354" s="14" t="s">
        <v>2002</v>
      </c>
      <c r="B354" s="233">
        <v>657</v>
      </c>
      <c r="C354">
        <v>2</v>
      </c>
      <c r="D354">
        <v>656</v>
      </c>
      <c r="E354" t="s">
        <v>883</v>
      </c>
      <c r="F354" t="s">
        <v>883</v>
      </c>
      <c r="G354" s="13" t="s">
        <v>6003</v>
      </c>
      <c r="H354" t="str">
        <f t="shared" si="20"/>
        <v>Coffee, greena</v>
      </c>
      <c r="I354">
        <f t="shared" si="21"/>
        <v>656</v>
      </c>
      <c r="J354" s="421">
        <v>1</v>
      </c>
      <c r="K354" s="655">
        <v>807647</v>
      </c>
      <c r="L354" s="469">
        <v>7997740</v>
      </c>
      <c r="M354" s="470">
        <v>9.9025192937013298</v>
      </c>
      <c r="N354" s="656">
        <f t="shared" si="22"/>
        <v>9.9025192937013298</v>
      </c>
      <c r="O354" s="666">
        <f t="shared" si="23"/>
        <v>1</v>
      </c>
      <c r="P354" s="662">
        <v>2011</v>
      </c>
    </row>
    <row r="355" spans="1:16">
      <c r="A355" s="14" t="s">
        <v>3389</v>
      </c>
      <c r="B355" s="233">
        <v>658</v>
      </c>
      <c r="C355">
        <v>2</v>
      </c>
      <c r="D355">
        <v>656</v>
      </c>
      <c r="E355" t="s">
        <v>883</v>
      </c>
      <c r="F355" t="s">
        <v>883</v>
      </c>
      <c r="G355" s="13" t="s">
        <v>6004</v>
      </c>
      <c r="H355" t="str">
        <f t="shared" si="20"/>
        <v>Coffee, greenb</v>
      </c>
      <c r="I355">
        <f t="shared" si="21"/>
        <v>656</v>
      </c>
      <c r="J355" s="421">
        <v>1</v>
      </c>
      <c r="K355" s="655">
        <v>16965</v>
      </c>
      <c r="L355" s="469">
        <v>79674</v>
      </c>
      <c r="M355" s="470">
        <v>4.6963748894783404</v>
      </c>
      <c r="N355" s="656">
        <f t="shared" si="22"/>
        <v>4.6963748894783404</v>
      </c>
      <c r="O355" s="666">
        <f t="shared" si="23"/>
        <v>1</v>
      </c>
      <c r="P355" s="662">
        <v>2011</v>
      </c>
    </row>
    <row r="356" spans="1:16">
      <c r="A356" s="14" t="s">
        <v>2715</v>
      </c>
      <c r="B356" s="233">
        <v>659</v>
      </c>
      <c r="C356">
        <v>2</v>
      </c>
      <c r="D356">
        <v>656</v>
      </c>
      <c r="E356" t="s">
        <v>883</v>
      </c>
      <c r="F356" t="s">
        <v>883</v>
      </c>
      <c r="G356" s="13" t="s">
        <v>6005</v>
      </c>
      <c r="H356" t="str">
        <f t="shared" si="20"/>
        <v>Coffee, greenc</v>
      </c>
      <c r="I356">
        <f t="shared" si="21"/>
        <v>656</v>
      </c>
      <c r="J356" s="421">
        <v>1</v>
      </c>
      <c r="K356" s="655">
        <v>797227</v>
      </c>
      <c r="L356" s="469">
        <v>6661540</v>
      </c>
      <c r="M356" s="470">
        <v>8.3558885988557794</v>
      </c>
      <c r="N356" s="656">
        <f t="shared" si="22"/>
        <v>8.3558885988557794</v>
      </c>
      <c r="O356" s="666">
        <f t="shared" si="23"/>
        <v>1</v>
      </c>
      <c r="P356" s="662">
        <v>2011</v>
      </c>
    </row>
    <row r="357" spans="1:16">
      <c r="A357" s="14" t="s">
        <v>3794</v>
      </c>
      <c r="B357" s="233">
        <v>660</v>
      </c>
      <c r="C357">
        <v>2</v>
      </c>
      <c r="D357">
        <v>656</v>
      </c>
      <c r="E357" t="s">
        <v>883</v>
      </c>
      <c r="F357" t="s">
        <v>883</v>
      </c>
      <c r="G357" s="13" t="s">
        <v>6006</v>
      </c>
      <c r="H357" t="str">
        <f t="shared" si="20"/>
        <v>Coffee, greend</v>
      </c>
      <c r="I357">
        <f t="shared" si="21"/>
        <v>656</v>
      </c>
      <c r="J357" s="421">
        <v>1</v>
      </c>
      <c r="K357" s="655">
        <v>9020</v>
      </c>
      <c r="L357" s="469">
        <v>24375</v>
      </c>
      <c r="M357" s="470">
        <v>2.70232815964523</v>
      </c>
      <c r="N357" s="656">
        <f t="shared" si="22"/>
        <v>2.70232815964523</v>
      </c>
      <c r="O357" s="666">
        <f t="shared" si="23"/>
        <v>1</v>
      </c>
      <c r="P357" s="662">
        <v>2011</v>
      </c>
    </row>
    <row r="358" spans="1:16">
      <c r="A358" s="14" t="s">
        <v>3214</v>
      </c>
      <c r="B358" s="233">
        <v>661</v>
      </c>
      <c r="C358">
        <v>1</v>
      </c>
      <c r="D358">
        <v>661</v>
      </c>
      <c r="E358" t="s">
        <v>3214</v>
      </c>
      <c r="F358"/>
      <c r="G358"/>
      <c r="H358" t="str">
        <f t="shared" si="20"/>
        <v/>
      </c>
      <c r="I358" t="str">
        <f t="shared" si="21"/>
        <v/>
      </c>
      <c r="J358" s="421"/>
      <c r="K358" s="655">
        <v>3302670</v>
      </c>
      <c r="L358" s="469">
        <v>10841600</v>
      </c>
      <c r="M358" s="470">
        <v>3.2826773489328298</v>
      </c>
      <c r="N358" s="656" t="str">
        <f t="shared" si="22"/>
        <v/>
      </c>
      <c r="O358" s="666">
        <f t="shared" si="23"/>
        <v>1</v>
      </c>
      <c r="P358" s="662">
        <v>2011</v>
      </c>
    </row>
    <row r="359" spans="1:16">
      <c r="A359" s="14" t="s">
        <v>7024</v>
      </c>
      <c r="B359" s="233">
        <v>662</v>
      </c>
      <c r="C359">
        <v>2</v>
      </c>
      <c r="D359">
        <v>661</v>
      </c>
      <c r="E359" t="s">
        <v>3214</v>
      </c>
      <c r="F359" t="s">
        <v>3214</v>
      </c>
      <c r="G359" s="13" t="s">
        <v>6003</v>
      </c>
      <c r="H359" t="str">
        <f t="shared" si="20"/>
        <v>Cocoa beansa</v>
      </c>
      <c r="I359">
        <f t="shared" si="21"/>
        <v>661</v>
      </c>
      <c r="J359" s="421">
        <v>0.8</v>
      </c>
      <c r="K359" s="655">
        <v>582601</v>
      </c>
      <c r="L359" s="469">
        <v>2642530</v>
      </c>
      <c r="M359" s="470">
        <v>4.5357457333578202</v>
      </c>
      <c r="N359" s="656">
        <f t="shared" si="22"/>
        <v>3.6285965866862564</v>
      </c>
      <c r="O359" s="666">
        <f t="shared" si="23"/>
        <v>0.81872189470182843</v>
      </c>
      <c r="P359" s="662">
        <v>2011</v>
      </c>
    </row>
    <row r="360" spans="1:16">
      <c r="A360" s="14" t="s">
        <v>2708</v>
      </c>
      <c r="B360" s="233">
        <v>663</v>
      </c>
      <c r="C360">
        <v>2</v>
      </c>
      <c r="D360">
        <v>661</v>
      </c>
      <c r="E360" t="s">
        <v>3214</v>
      </c>
      <c r="F360" t="s">
        <v>3214</v>
      </c>
      <c r="G360" s="13" t="s">
        <v>6003</v>
      </c>
      <c r="H360" t="str">
        <f t="shared" si="20"/>
        <v>Cocoa beansa</v>
      </c>
      <c r="I360">
        <f t="shared" si="21"/>
        <v>661</v>
      </c>
      <c r="J360" s="421">
        <v>0.2</v>
      </c>
      <c r="K360" s="655" t="s">
        <v>7383</v>
      </c>
      <c r="L360" s="469" t="s">
        <v>7384</v>
      </c>
      <c r="M360" s="470">
        <v>0.42458877007096374</v>
      </c>
      <c r="N360" s="656">
        <f t="shared" si="22"/>
        <v>8.4917754014192756E-2</v>
      </c>
      <c r="O360" s="666">
        <f t="shared" si="23"/>
        <v>8.7461435687048201</v>
      </c>
      <c r="P360" s="662" t="s">
        <v>7514</v>
      </c>
    </row>
    <row r="361" spans="1:16">
      <c r="A361" s="14" t="s">
        <v>2705</v>
      </c>
      <c r="B361" s="233">
        <v>664</v>
      </c>
      <c r="C361">
        <v>3</v>
      </c>
      <c r="D361">
        <v>661</v>
      </c>
      <c r="E361" t="s">
        <v>3214</v>
      </c>
      <c r="F361" t="s">
        <v>7024</v>
      </c>
      <c r="G361" t="s">
        <v>6003</v>
      </c>
      <c r="H361" t="str">
        <f t="shared" si="20"/>
        <v>Cocoa, pastea</v>
      </c>
      <c r="I361">
        <f t="shared" si="21"/>
        <v>662</v>
      </c>
      <c r="J361" s="421">
        <v>0.47</v>
      </c>
      <c r="K361" s="655">
        <v>737661</v>
      </c>
      <c r="L361" s="469">
        <v>3574680</v>
      </c>
      <c r="M361" s="470">
        <v>4.8459658298323998</v>
      </c>
      <c r="N361" s="656">
        <f t="shared" si="22"/>
        <v>2.2776039400212276</v>
      </c>
      <c r="O361" s="666">
        <f t="shared" si="23"/>
        <v>0.79775496586971351</v>
      </c>
      <c r="P361" s="662">
        <v>2011</v>
      </c>
    </row>
    <row r="362" spans="1:16">
      <c r="A362" s="14" t="s">
        <v>2710</v>
      </c>
      <c r="B362" s="233">
        <v>665</v>
      </c>
      <c r="C362">
        <v>3</v>
      </c>
      <c r="D362">
        <v>661</v>
      </c>
      <c r="E362" t="s">
        <v>3214</v>
      </c>
      <c r="F362" t="s">
        <v>7024</v>
      </c>
      <c r="G362" s="13" t="s">
        <v>6003</v>
      </c>
      <c r="H362" t="str">
        <f t="shared" si="20"/>
        <v>Cocoa, pastea</v>
      </c>
      <c r="I362">
        <f t="shared" si="21"/>
        <v>662</v>
      </c>
      <c r="J362" s="421">
        <v>0.53</v>
      </c>
      <c r="K362" s="655">
        <v>954033</v>
      </c>
      <c r="L362" s="469">
        <v>4399820</v>
      </c>
      <c r="M362" s="470">
        <v>4.6118111218375004</v>
      </c>
      <c r="N362" s="656">
        <f t="shared" si="22"/>
        <v>2.4442598945738752</v>
      </c>
      <c r="O362" s="666">
        <f t="shared" si="23"/>
        <v>0.83825924415643516</v>
      </c>
      <c r="P362" s="662">
        <v>2011</v>
      </c>
    </row>
    <row r="363" spans="1:16">
      <c r="A363" s="14" t="s">
        <v>4553</v>
      </c>
      <c r="B363" s="233">
        <v>666</v>
      </c>
      <c r="C363">
        <v>4</v>
      </c>
      <c r="D363">
        <v>661</v>
      </c>
      <c r="E363" t="s">
        <v>3214</v>
      </c>
      <c r="F363" t="s">
        <v>2710</v>
      </c>
      <c r="G363" t="s">
        <v>6003</v>
      </c>
      <c r="H363" t="str">
        <f t="shared" si="20"/>
        <v>Cocoapowder&amp;Cakea</v>
      </c>
      <c r="I363">
        <f t="shared" si="21"/>
        <v>665</v>
      </c>
      <c r="J363" s="421">
        <v>4.7</v>
      </c>
      <c r="K363" s="655">
        <v>4717530</v>
      </c>
      <c r="L363" s="469">
        <v>22429700</v>
      </c>
      <c r="M363" s="470">
        <v>4.7545431613577396</v>
      </c>
      <c r="N363" s="656">
        <f t="shared" si="22"/>
        <v>22.346352858381376</v>
      </c>
      <c r="O363" s="666">
        <f t="shared" si="23"/>
        <v>3.9398184475352456</v>
      </c>
      <c r="P363" s="662">
        <v>2011</v>
      </c>
    </row>
    <row r="364" spans="1:16">
      <c r="A364" s="14" t="s">
        <v>4420</v>
      </c>
      <c r="B364" s="233">
        <v>667</v>
      </c>
      <c r="C364">
        <v>1</v>
      </c>
      <c r="D364">
        <v>667</v>
      </c>
      <c r="E364" t="s">
        <v>4420</v>
      </c>
      <c r="F364"/>
      <c r="G364"/>
      <c r="H364" t="str">
        <f t="shared" si="20"/>
        <v/>
      </c>
      <c r="I364" t="str">
        <f t="shared" si="21"/>
        <v/>
      </c>
      <c r="J364" s="421"/>
      <c r="K364" s="655">
        <v>1902160</v>
      </c>
      <c r="L364" s="469">
        <v>6640780</v>
      </c>
      <c r="M364" s="470">
        <v>3.4911784497623799</v>
      </c>
      <c r="N364" s="656" t="str">
        <f t="shared" si="22"/>
        <v/>
      </c>
      <c r="O364" s="666">
        <f t="shared" si="23"/>
        <v>1</v>
      </c>
      <c r="P364" s="662">
        <v>2011</v>
      </c>
    </row>
    <row r="365" spans="1:16">
      <c r="A365" s="14" t="s">
        <v>2770</v>
      </c>
      <c r="B365" s="233">
        <v>671</v>
      </c>
      <c r="C365">
        <v>1</v>
      </c>
      <c r="D365">
        <v>671</v>
      </c>
      <c r="E365" t="s">
        <v>2770</v>
      </c>
      <c r="F365"/>
      <c r="G365"/>
      <c r="H365" t="str">
        <f t="shared" si="20"/>
        <v/>
      </c>
      <c r="I365" t="str">
        <f t="shared" si="21"/>
        <v/>
      </c>
      <c r="J365" s="421"/>
      <c r="K365" s="655">
        <v>79883</v>
      </c>
      <c r="L365" s="469">
        <v>128700</v>
      </c>
      <c r="M365" s="470">
        <v>1.6111062428802101</v>
      </c>
      <c r="N365" s="656" t="str">
        <f t="shared" si="22"/>
        <v/>
      </c>
      <c r="O365" s="666">
        <f t="shared" si="23"/>
        <v>1</v>
      </c>
      <c r="P365" s="662">
        <v>2011</v>
      </c>
    </row>
    <row r="366" spans="1:16">
      <c r="A366" s="14" t="s">
        <v>7101</v>
      </c>
      <c r="B366" s="233">
        <v>672</v>
      </c>
      <c r="C366">
        <v>1</v>
      </c>
      <c r="D366">
        <v>672</v>
      </c>
      <c r="E366" t="s">
        <v>7101</v>
      </c>
      <c r="F366"/>
      <c r="G366"/>
      <c r="H366" t="str">
        <f t="shared" si="20"/>
        <v/>
      </c>
      <c r="I366" t="str">
        <f t="shared" si="21"/>
        <v/>
      </c>
      <c r="J366" s="421"/>
      <c r="K366" s="655">
        <v>186539</v>
      </c>
      <c r="L366" s="469">
        <v>882881</v>
      </c>
      <c r="M366" s="470">
        <v>4.7329566471354498</v>
      </c>
      <c r="N366" s="656" t="str">
        <f t="shared" si="22"/>
        <v/>
      </c>
      <c r="O366" s="666">
        <f t="shared" si="23"/>
        <v>1</v>
      </c>
      <c r="P366" s="662">
        <v>2011</v>
      </c>
    </row>
    <row r="367" spans="1:16">
      <c r="A367" s="14" t="s">
        <v>5874</v>
      </c>
      <c r="B367">
        <v>674</v>
      </c>
      <c r="C367">
        <v>1</v>
      </c>
      <c r="D367">
        <v>674</v>
      </c>
      <c r="E367" t="s">
        <v>5874</v>
      </c>
      <c r="F367"/>
      <c r="G367"/>
      <c r="H367" t="str">
        <f t="shared" si="20"/>
        <v/>
      </c>
      <c r="I367" t="str">
        <f t="shared" si="21"/>
        <v/>
      </c>
      <c r="J367" s="421"/>
      <c r="K367" s="655" t="s">
        <v>7287</v>
      </c>
      <c r="L367" s="469" t="s">
        <v>7287</v>
      </c>
      <c r="M367" s="470">
        <v>0</v>
      </c>
      <c r="N367" s="656" t="str">
        <f t="shared" si="22"/>
        <v/>
      </c>
      <c r="O367" s="666">
        <f t="shared" si="23"/>
        <v>1</v>
      </c>
      <c r="P367" s="662" t="s">
        <v>7514</v>
      </c>
    </row>
    <row r="368" spans="1:16">
      <c r="A368" s="14" t="s">
        <v>3643</v>
      </c>
      <c r="B368" s="233">
        <v>677</v>
      </c>
      <c r="C368">
        <v>1</v>
      </c>
      <c r="D368">
        <v>677</v>
      </c>
      <c r="E368" t="s">
        <v>3643</v>
      </c>
      <c r="F368"/>
      <c r="G368"/>
      <c r="H368" t="str">
        <f t="shared" si="20"/>
        <v/>
      </c>
      <c r="I368" t="str">
        <f t="shared" si="21"/>
        <v/>
      </c>
      <c r="J368" s="421"/>
      <c r="K368" s="655">
        <v>48631</v>
      </c>
      <c r="L368" s="469">
        <v>340420</v>
      </c>
      <c r="M368" s="470">
        <v>7.0000616890460803</v>
      </c>
      <c r="N368" s="656" t="str">
        <f t="shared" si="22"/>
        <v/>
      </c>
      <c r="O368" s="666">
        <f t="shared" si="23"/>
        <v>1</v>
      </c>
      <c r="P368" s="662">
        <v>2011</v>
      </c>
    </row>
    <row r="369" spans="1:16">
      <c r="A369" s="14" t="s">
        <v>5098</v>
      </c>
      <c r="B369" s="233">
        <v>687</v>
      </c>
      <c r="C369">
        <v>1</v>
      </c>
      <c r="D369">
        <v>687</v>
      </c>
      <c r="E369" t="s">
        <v>5098</v>
      </c>
      <c r="F369"/>
      <c r="G369"/>
      <c r="H369" t="str">
        <f t="shared" si="20"/>
        <v/>
      </c>
      <c r="I369" t="str">
        <f t="shared" si="21"/>
        <v/>
      </c>
      <c r="J369" s="421"/>
      <c r="K369" s="655">
        <v>314240</v>
      </c>
      <c r="L369" s="469">
        <v>1667880</v>
      </c>
      <c r="M369" s="470">
        <v>5.3076629327902198</v>
      </c>
      <c r="N369" s="656" t="str">
        <f t="shared" si="22"/>
        <v/>
      </c>
      <c r="O369" s="666">
        <f t="shared" si="23"/>
        <v>1</v>
      </c>
      <c r="P369" s="662">
        <v>2011</v>
      </c>
    </row>
    <row r="370" spans="1:16">
      <c r="A370" s="14" t="s">
        <v>2508</v>
      </c>
      <c r="B370" s="233">
        <v>689</v>
      </c>
      <c r="C370">
        <v>1</v>
      </c>
      <c r="D370">
        <v>689</v>
      </c>
      <c r="E370" t="s">
        <v>2508</v>
      </c>
      <c r="F370"/>
      <c r="G370"/>
      <c r="H370" t="str">
        <f t="shared" si="20"/>
        <v/>
      </c>
      <c r="I370" t="str">
        <f t="shared" si="21"/>
        <v/>
      </c>
      <c r="J370" s="421"/>
      <c r="K370" s="655">
        <v>546853</v>
      </c>
      <c r="L370" s="469">
        <v>1308300</v>
      </c>
      <c r="M370" s="470">
        <v>2.3924162434877401</v>
      </c>
      <c r="N370" s="656" t="str">
        <f t="shared" si="22"/>
        <v/>
      </c>
      <c r="O370" s="666">
        <f t="shared" si="23"/>
        <v>1</v>
      </c>
      <c r="P370" s="662">
        <v>2011</v>
      </c>
    </row>
    <row r="371" spans="1:16">
      <c r="A371" s="14" t="s">
        <v>4425</v>
      </c>
      <c r="B371" s="233">
        <v>692</v>
      </c>
      <c r="C371">
        <v>1</v>
      </c>
      <c r="D371">
        <v>692</v>
      </c>
      <c r="E371" t="s">
        <v>4425</v>
      </c>
      <c r="F371"/>
      <c r="G371"/>
      <c r="H371" t="str">
        <f t="shared" si="20"/>
        <v/>
      </c>
      <c r="I371" t="str">
        <f t="shared" si="21"/>
        <v/>
      </c>
      <c r="J371" s="421"/>
      <c r="K371" s="655">
        <v>6294</v>
      </c>
      <c r="L371" s="469">
        <v>123409</v>
      </c>
      <c r="M371" s="470">
        <v>19.607403876707998</v>
      </c>
      <c r="N371" s="656" t="str">
        <f t="shared" si="22"/>
        <v/>
      </c>
      <c r="O371" s="666">
        <f t="shared" si="23"/>
        <v>1</v>
      </c>
      <c r="P371" s="662">
        <v>2011</v>
      </c>
    </row>
    <row r="372" spans="1:16">
      <c r="A372" s="14" t="s">
        <v>2512</v>
      </c>
      <c r="B372" s="233">
        <v>693</v>
      </c>
      <c r="C372">
        <v>1</v>
      </c>
      <c r="D372">
        <v>693</v>
      </c>
      <c r="E372" t="s">
        <v>2512</v>
      </c>
      <c r="F372"/>
      <c r="G372"/>
      <c r="H372" t="str">
        <f t="shared" si="20"/>
        <v/>
      </c>
      <c r="I372" t="str">
        <f t="shared" si="21"/>
        <v/>
      </c>
      <c r="J372" s="421"/>
      <c r="K372" s="655">
        <v>141583</v>
      </c>
      <c r="L372" s="469">
        <v>317784</v>
      </c>
      <c r="M372" s="470">
        <v>2.2445067557545801</v>
      </c>
      <c r="N372" s="656" t="str">
        <f t="shared" si="22"/>
        <v/>
      </c>
      <c r="O372" s="666">
        <f t="shared" si="23"/>
        <v>1</v>
      </c>
      <c r="P372" s="662">
        <v>2011</v>
      </c>
    </row>
    <row r="373" spans="1:16">
      <c r="A373" s="14" t="s">
        <v>2516</v>
      </c>
      <c r="B373" s="233">
        <v>698</v>
      </c>
      <c r="C373">
        <v>1</v>
      </c>
      <c r="D373">
        <v>698</v>
      </c>
      <c r="E373" t="s">
        <v>2516</v>
      </c>
      <c r="F373"/>
      <c r="G373"/>
      <c r="H373" t="str">
        <f t="shared" si="20"/>
        <v/>
      </c>
      <c r="I373" t="str">
        <f t="shared" si="21"/>
        <v/>
      </c>
      <c r="J373" s="421"/>
      <c r="K373" s="655">
        <v>66121</v>
      </c>
      <c r="L373" s="469">
        <v>712425</v>
      </c>
      <c r="M373" s="470">
        <v>10.7745648129944</v>
      </c>
      <c r="N373" s="656" t="str">
        <f t="shared" si="22"/>
        <v/>
      </c>
      <c r="O373" s="666">
        <f t="shared" si="23"/>
        <v>1</v>
      </c>
      <c r="P373" s="662">
        <v>2011</v>
      </c>
    </row>
    <row r="374" spans="1:16">
      <c r="A374" s="14" t="s">
        <v>790</v>
      </c>
      <c r="B374" s="233">
        <v>702</v>
      </c>
      <c r="C374">
        <v>1</v>
      </c>
      <c r="D374">
        <v>702</v>
      </c>
      <c r="E374" t="s">
        <v>790</v>
      </c>
      <c r="F374"/>
      <c r="G374"/>
      <c r="H374" t="str">
        <f t="shared" si="20"/>
        <v/>
      </c>
      <c r="I374" t="str">
        <f t="shared" si="21"/>
        <v/>
      </c>
      <c r="J374" s="421"/>
      <c r="K374" s="655">
        <v>66578</v>
      </c>
      <c r="L374" s="469">
        <v>824561</v>
      </c>
      <c r="M374" s="470">
        <v>12.384886899576401</v>
      </c>
      <c r="N374" s="656" t="str">
        <f t="shared" si="22"/>
        <v/>
      </c>
      <c r="O374" s="666">
        <f t="shared" si="23"/>
        <v>1</v>
      </c>
      <c r="P374" s="662">
        <v>2011</v>
      </c>
    </row>
    <row r="375" spans="1:16">
      <c r="A375" s="14" t="s">
        <v>773</v>
      </c>
      <c r="B375" s="233">
        <v>711</v>
      </c>
      <c r="C375">
        <v>1</v>
      </c>
      <c r="D375">
        <v>711</v>
      </c>
      <c r="E375" t="s">
        <v>773</v>
      </c>
      <c r="F375"/>
      <c r="G375"/>
      <c r="H375" t="str">
        <f t="shared" si="20"/>
        <v/>
      </c>
      <c r="I375" t="str">
        <f t="shared" si="21"/>
        <v/>
      </c>
      <c r="J375" s="421"/>
      <c r="K375" s="655">
        <v>305412</v>
      </c>
      <c r="L375" s="469">
        <v>601348</v>
      </c>
      <c r="M375" s="470">
        <v>1.9689730593427901</v>
      </c>
      <c r="N375" s="656" t="str">
        <f t="shared" si="22"/>
        <v/>
      </c>
      <c r="O375" s="666">
        <f t="shared" si="23"/>
        <v>1</v>
      </c>
      <c r="P375" s="662">
        <v>2011</v>
      </c>
    </row>
    <row r="376" spans="1:16">
      <c r="A376" s="14" t="s">
        <v>5065</v>
      </c>
      <c r="B376" s="233">
        <v>720</v>
      </c>
      <c r="C376">
        <v>1</v>
      </c>
      <c r="D376">
        <v>720</v>
      </c>
      <c r="E376" t="s">
        <v>5065</v>
      </c>
      <c r="F376"/>
      <c r="G376"/>
      <c r="H376" t="str">
        <f t="shared" si="20"/>
        <v/>
      </c>
      <c r="I376" t="str">
        <f t="shared" si="21"/>
        <v/>
      </c>
      <c r="J376" s="421"/>
      <c r="K376" s="655">
        <v>537350</v>
      </c>
      <c r="L376" s="469">
        <v>672431</v>
      </c>
      <c r="M376" s="470">
        <v>1.25138364194659</v>
      </c>
      <c r="N376" s="656" t="str">
        <f t="shared" si="22"/>
        <v/>
      </c>
      <c r="O376" s="666">
        <f t="shared" si="23"/>
        <v>1</v>
      </c>
      <c r="P376" s="662">
        <v>2011</v>
      </c>
    </row>
    <row r="377" spans="1:16">
      <c r="A377" s="14" t="s">
        <v>665</v>
      </c>
      <c r="B377" s="233">
        <v>723</v>
      </c>
      <c r="C377">
        <v>1</v>
      </c>
      <c r="D377">
        <v>723</v>
      </c>
      <c r="E377" t="s">
        <v>665</v>
      </c>
      <c r="F377"/>
      <c r="G377"/>
      <c r="H377" t="str">
        <f t="shared" si="20"/>
        <v/>
      </c>
      <c r="I377" t="str">
        <f t="shared" si="21"/>
        <v/>
      </c>
      <c r="J377" s="421"/>
      <c r="K377" s="655">
        <v>363379</v>
      </c>
      <c r="L377" s="469">
        <v>1350910</v>
      </c>
      <c r="M377" s="470">
        <v>3.7176336552194802</v>
      </c>
      <c r="N377" s="656" t="str">
        <f t="shared" si="22"/>
        <v/>
      </c>
      <c r="O377" s="666">
        <f t="shared" si="23"/>
        <v>1</v>
      </c>
      <c r="P377" s="662">
        <v>2011</v>
      </c>
    </row>
    <row r="378" spans="1:16">
      <c r="A378" s="14" t="s">
        <v>4793</v>
      </c>
      <c r="B378" s="233">
        <v>737</v>
      </c>
      <c r="C378">
        <v>1</v>
      </c>
      <c r="D378">
        <v>737</v>
      </c>
      <c r="E378" t="s">
        <v>4793</v>
      </c>
      <c r="F378"/>
      <c r="G378"/>
      <c r="H378" t="str">
        <f t="shared" si="20"/>
        <v/>
      </c>
      <c r="I378" t="str">
        <f t="shared" si="21"/>
        <v/>
      </c>
      <c r="J378" s="421"/>
      <c r="K378" s="655">
        <v>355</v>
      </c>
      <c r="L378" s="469">
        <v>15612</v>
      </c>
      <c r="M378" s="470">
        <v>43.977464788732398</v>
      </c>
      <c r="N378" s="656" t="str">
        <f t="shared" si="22"/>
        <v/>
      </c>
      <c r="O378" s="666">
        <f t="shared" si="23"/>
        <v>1</v>
      </c>
      <c r="P378" s="662">
        <v>2011</v>
      </c>
    </row>
    <row r="379" spans="1:16">
      <c r="A379" s="14" t="s">
        <v>2857</v>
      </c>
      <c r="B379" s="233">
        <v>748</v>
      </c>
      <c r="C379">
        <v>1</v>
      </c>
      <c r="D379">
        <v>748</v>
      </c>
      <c r="E379" t="s">
        <v>2857</v>
      </c>
      <c r="F379"/>
      <c r="G379"/>
      <c r="H379" t="str">
        <f t="shared" si="20"/>
        <v/>
      </c>
      <c r="I379" t="str">
        <f t="shared" si="21"/>
        <v/>
      </c>
      <c r="J379" s="421"/>
      <c r="K379" s="655">
        <v>8</v>
      </c>
      <c r="L379" s="469">
        <v>47</v>
      </c>
      <c r="M379" s="470">
        <v>5.875</v>
      </c>
      <c r="N379" s="656" t="str">
        <f t="shared" si="22"/>
        <v/>
      </c>
      <c r="O379" s="666">
        <f t="shared" si="23"/>
        <v>1</v>
      </c>
      <c r="P379" s="662">
        <v>2011</v>
      </c>
    </row>
    <row r="380" spans="1:16">
      <c r="A380" s="14" t="s">
        <v>4795</v>
      </c>
      <c r="B380" s="233">
        <v>753</v>
      </c>
      <c r="C380"/>
      <c r="D380" t="s">
        <v>2738</v>
      </c>
      <c r="E380"/>
      <c r="F380"/>
      <c r="G380"/>
      <c r="H380" t="str">
        <f t="shared" si="20"/>
        <v/>
      </c>
      <c r="I380" t="str">
        <f t="shared" si="21"/>
        <v/>
      </c>
      <c r="J380" s="421"/>
      <c r="K380" s="655">
        <v>204831</v>
      </c>
      <c r="L380" s="469">
        <v>3662570</v>
      </c>
      <c r="M380" s="470">
        <v>17.880935991134201</v>
      </c>
      <c r="N380" s="656" t="str">
        <f t="shared" si="22"/>
        <v/>
      </c>
      <c r="O380" s="666">
        <f t="shared" si="23"/>
        <v>1</v>
      </c>
      <c r="P380" s="662">
        <v>2011</v>
      </c>
    </row>
    <row r="381" spans="1:16">
      <c r="A381" s="14" t="s">
        <v>3593</v>
      </c>
      <c r="B381" s="233">
        <v>754</v>
      </c>
      <c r="C381">
        <v>1</v>
      </c>
      <c r="D381" s="233">
        <v>754</v>
      </c>
      <c r="E381" t="s">
        <v>3593</v>
      </c>
      <c r="F381"/>
      <c r="G381"/>
      <c r="H381" t="str">
        <f t="shared" si="20"/>
        <v/>
      </c>
      <c r="I381" t="str">
        <f t="shared" si="21"/>
        <v/>
      </c>
      <c r="J381" s="421"/>
      <c r="K381" s="655">
        <v>8236</v>
      </c>
      <c r="L381" s="469">
        <v>40647</v>
      </c>
      <c r="M381" s="470">
        <v>4.9352841185041303</v>
      </c>
      <c r="N381" s="656" t="str">
        <f t="shared" si="22"/>
        <v/>
      </c>
      <c r="O381" s="666">
        <f t="shared" si="23"/>
        <v>1</v>
      </c>
      <c r="P381" s="662">
        <v>2011</v>
      </c>
    </row>
    <row r="382" spans="1:16">
      <c r="A382" s="14" t="s">
        <v>3591</v>
      </c>
      <c r="B382" s="233">
        <v>755</v>
      </c>
      <c r="C382"/>
      <c r="D382" t="s">
        <v>2738</v>
      </c>
      <c r="E382"/>
      <c r="F382"/>
      <c r="G382"/>
      <c r="H382" t="str">
        <f t="shared" si="20"/>
        <v/>
      </c>
      <c r="I382" t="str">
        <f t="shared" si="21"/>
        <v/>
      </c>
      <c r="J382" s="421"/>
      <c r="K382" s="655">
        <v>1</v>
      </c>
      <c r="L382" s="469">
        <v>80</v>
      </c>
      <c r="M382" s="470">
        <v>1.2500000000000001E-2</v>
      </c>
      <c r="N382" s="656" t="str">
        <f t="shared" si="22"/>
        <v/>
      </c>
      <c r="O382" s="666">
        <f t="shared" si="23"/>
        <v>1</v>
      </c>
      <c r="P382" s="662">
        <v>2009</v>
      </c>
    </row>
    <row r="383" spans="1:16">
      <c r="A383" s="14" t="s">
        <v>886</v>
      </c>
      <c r="B383" s="233">
        <v>767</v>
      </c>
      <c r="C383">
        <v>2</v>
      </c>
      <c r="D383">
        <v>328</v>
      </c>
      <c r="E383" t="s">
        <v>1257</v>
      </c>
      <c r="F383" t="s">
        <v>1257</v>
      </c>
      <c r="G383" t="s">
        <v>6003</v>
      </c>
      <c r="H383" t="str">
        <f t="shared" si="20"/>
        <v>Seed cottona</v>
      </c>
      <c r="I383">
        <f t="shared" si="21"/>
        <v>328</v>
      </c>
      <c r="J383" s="421">
        <v>0.35</v>
      </c>
      <c r="K383" s="655">
        <v>7856760</v>
      </c>
      <c r="L383" s="469">
        <v>23177400</v>
      </c>
      <c r="M383" s="470">
        <v>2.94999465428497</v>
      </c>
      <c r="N383" s="656">
        <f t="shared" si="22"/>
        <v>1.0324981289997395</v>
      </c>
      <c r="O383" s="666">
        <f t="shared" si="23"/>
        <v>0.47307063890401385</v>
      </c>
      <c r="P383" s="662">
        <v>2011</v>
      </c>
    </row>
    <row r="384" spans="1:16">
      <c r="A384" s="14" t="s">
        <v>2967</v>
      </c>
      <c r="B384" s="233">
        <v>768</v>
      </c>
      <c r="C384">
        <v>3</v>
      </c>
      <c r="D384">
        <v>328</v>
      </c>
      <c r="E384" t="s">
        <v>1257</v>
      </c>
      <c r="F384" t="s">
        <v>886</v>
      </c>
      <c r="G384" t="s">
        <v>6003</v>
      </c>
      <c r="H384" t="str">
        <f t="shared" si="20"/>
        <v>Cotton linta</v>
      </c>
      <c r="I384">
        <f t="shared" si="21"/>
        <v>767</v>
      </c>
      <c r="J384" s="421">
        <v>1</v>
      </c>
      <c r="K384" s="655">
        <v>102268</v>
      </c>
      <c r="L384" s="469">
        <v>299281</v>
      </c>
      <c r="M384" s="470">
        <v>2.9264383775961198</v>
      </c>
      <c r="N384" s="656">
        <f t="shared" si="22"/>
        <v>2.9264383775961198</v>
      </c>
      <c r="O384" s="666">
        <f t="shared" si="23"/>
        <v>0.47307063890401385</v>
      </c>
      <c r="P384" s="662">
        <v>2011</v>
      </c>
    </row>
    <row r="385" spans="1:16">
      <c r="A385" s="14" t="s">
        <v>1363</v>
      </c>
      <c r="B385" s="233">
        <v>769</v>
      </c>
      <c r="C385">
        <v>2</v>
      </c>
      <c r="D385">
        <v>328</v>
      </c>
      <c r="E385" t="s">
        <v>1257</v>
      </c>
      <c r="F385" t="s">
        <v>1257</v>
      </c>
      <c r="G385" t="s">
        <v>6003</v>
      </c>
      <c r="H385" t="str">
        <f t="shared" si="20"/>
        <v>Seed cottona</v>
      </c>
      <c r="I385">
        <f t="shared" si="21"/>
        <v>328</v>
      </c>
      <c r="J385" s="421">
        <v>7.0000000000000007E-2</v>
      </c>
      <c r="K385" s="655">
        <v>439224</v>
      </c>
      <c r="L385" s="469">
        <v>744944</v>
      </c>
      <c r="M385" s="470">
        <v>1.69604575341967</v>
      </c>
      <c r="N385" s="656">
        <f t="shared" si="22"/>
        <v>0.11872320273937691</v>
      </c>
      <c r="O385" s="666">
        <f t="shared" si="23"/>
        <v>0.82282913244068578</v>
      </c>
      <c r="P385" s="662">
        <v>2011</v>
      </c>
    </row>
    <row r="386" spans="1:16">
      <c r="A386" s="14" t="s">
        <v>5298</v>
      </c>
      <c r="B386" s="233">
        <v>770</v>
      </c>
      <c r="C386">
        <v>3</v>
      </c>
      <c r="D386">
        <v>328</v>
      </c>
      <c r="E386" t="s">
        <v>1257</v>
      </c>
      <c r="F386" t="s">
        <v>887</v>
      </c>
      <c r="G386" t="s">
        <v>6003</v>
      </c>
      <c r="H386" t="str">
        <f t="shared" si="20"/>
        <v>Cottonseeda</v>
      </c>
      <c r="I386">
        <f t="shared" si="21"/>
        <v>329</v>
      </c>
      <c r="J386" s="421">
        <v>0.1</v>
      </c>
      <c r="K386" s="655">
        <v>213154</v>
      </c>
      <c r="L386" s="469">
        <v>277469</v>
      </c>
      <c r="M386" s="470">
        <v>1.30173020445312</v>
      </c>
      <c r="N386" s="656">
        <f t="shared" si="22"/>
        <v>0.13017302044531201</v>
      </c>
      <c r="O386" s="666">
        <f t="shared" si="23"/>
        <v>1.2071078273140889</v>
      </c>
      <c r="P386" s="662">
        <v>2011</v>
      </c>
    </row>
    <row r="387" spans="1:16">
      <c r="A387" s="14" t="s">
        <v>2145</v>
      </c>
      <c r="B387" s="233">
        <v>771</v>
      </c>
      <c r="C387">
        <v>2</v>
      </c>
      <c r="D387" s="233">
        <v>773</v>
      </c>
      <c r="E387" t="s">
        <v>4316</v>
      </c>
      <c r="F387" t="s">
        <v>4316</v>
      </c>
      <c r="G387" t="s">
        <v>6003</v>
      </c>
      <c r="H387" t="str">
        <f t="shared" si="20"/>
        <v>Flax fibre and towa</v>
      </c>
      <c r="I387">
        <f t="shared" si="21"/>
        <v>773</v>
      </c>
      <c r="J387" s="421">
        <v>0.35</v>
      </c>
      <c r="K387" s="655">
        <v>7416</v>
      </c>
      <c r="L387" s="469">
        <v>7308</v>
      </c>
      <c r="M387" s="470">
        <v>0.98543689320388395</v>
      </c>
      <c r="N387" s="656">
        <f t="shared" si="22"/>
        <v>0.34490291262135936</v>
      </c>
      <c r="O387" s="666">
        <f t="shared" si="23"/>
        <v>0.40656607254211946</v>
      </c>
      <c r="P387" s="662">
        <v>2011</v>
      </c>
    </row>
    <row r="388" spans="1:16">
      <c r="A388" s="14" t="s">
        <v>4316</v>
      </c>
      <c r="B388" s="233">
        <v>773</v>
      </c>
      <c r="C388">
        <v>1</v>
      </c>
      <c r="D388" s="233">
        <v>773</v>
      </c>
      <c r="E388" t="s">
        <v>4316</v>
      </c>
      <c r="F388"/>
      <c r="G388"/>
      <c r="H388" t="str">
        <f t="shared" si="20"/>
        <v/>
      </c>
      <c r="I388" t="str">
        <f t="shared" si="21"/>
        <v/>
      </c>
      <c r="J388" s="421"/>
      <c r="K388" s="655">
        <v>177253</v>
      </c>
      <c r="L388" s="469">
        <v>468146</v>
      </c>
      <c r="M388" s="470">
        <v>2.64111749871652</v>
      </c>
      <c r="N388" s="656" t="str">
        <f t="shared" si="22"/>
        <v/>
      </c>
      <c r="O388" s="666">
        <f t="shared" si="23"/>
        <v>1</v>
      </c>
      <c r="P388" s="662">
        <v>2011</v>
      </c>
    </row>
    <row r="389" spans="1:16">
      <c r="A389" s="14" t="s">
        <v>2147</v>
      </c>
      <c r="B389" s="233">
        <v>774</v>
      </c>
      <c r="C389">
        <v>2</v>
      </c>
      <c r="D389" s="233">
        <v>773</v>
      </c>
      <c r="E389" t="s">
        <v>4316</v>
      </c>
      <c r="F389" t="s">
        <v>4316</v>
      </c>
      <c r="G389" t="s">
        <v>6003</v>
      </c>
      <c r="H389" t="str">
        <f t="shared" si="20"/>
        <v>Flax fibre and towa</v>
      </c>
      <c r="I389">
        <f t="shared" si="21"/>
        <v>773</v>
      </c>
      <c r="J389" s="421">
        <v>7.0000000000000007E-2</v>
      </c>
      <c r="K389" s="655">
        <v>157653</v>
      </c>
      <c r="L389" s="469">
        <v>125542</v>
      </c>
      <c r="M389" s="470">
        <v>0.79631849695216705</v>
      </c>
      <c r="N389" s="656">
        <f t="shared" si="22"/>
        <v>5.57422947866517E-2</v>
      </c>
      <c r="O389" s="666">
        <f t="shared" si="23"/>
        <v>0.5031218148786476</v>
      </c>
      <c r="P389" s="662">
        <v>2011</v>
      </c>
    </row>
    <row r="390" spans="1:16">
      <c r="A390" s="14" t="s">
        <v>4737</v>
      </c>
      <c r="B390" s="233">
        <v>777</v>
      </c>
      <c r="C390">
        <v>1</v>
      </c>
      <c r="D390" s="233">
        <v>777</v>
      </c>
      <c r="E390" t="s">
        <v>4737</v>
      </c>
      <c r="F390"/>
      <c r="G390"/>
      <c r="H390" t="str">
        <f t="shared" si="20"/>
        <v/>
      </c>
      <c r="I390" t="str">
        <f t="shared" si="21"/>
        <v/>
      </c>
      <c r="J390" s="421"/>
      <c r="K390" s="655" t="s">
        <v>7385</v>
      </c>
      <c r="L390" s="469" t="s">
        <v>7386</v>
      </c>
      <c r="M390" s="470">
        <v>0.8521528725648343</v>
      </c>
      <c r="N390" s="656" t="str">
        <f t="shared" si="22"/>
        <v/>
      </c>
      <c r="O390" s="666">
        <f t="shared" si="23"/>
        <v>1</v>
      </c>
      <c r="P390" s="662" t="s">
        <v>7514</v>
      </c>
    </row>
    <row r="391" spans="1:16">
      <c r="A391" s="14" t="s">
        <v>5168</v>
      </c>
      <c r="B391" s="233">
        <v>778</v>
      </c>
      <c r="C391">
        <v>2</v>
      </c>
      <c r="D391">
        <v>310</v>
      </c>
      <c r="E391" t="s">
        <v>5825</v>
      </c>
      <c r="F391" t="s">
        <v>5825</v>
      </c>
      <c r="G391" t="s">
        <v>6003</v>
      </c>
      <c r="H391" t="str">
        <f t="shared" si="20"/>
        <v>Kapok Fruita</v>
      </c>
      <c r="I391">
        <f t="shared" si="21"/>
        <v>310</v>
      </c>
      <c r="J391" s="421">
        <v>0.33</v>
      </c>
      <c r="K391" s="655">
        <v>28</v>
      </c>
      <c r="L391" s="469">
        <v>68</v>
      </c>
      <c r="M391" s="470">
        <v>0.41176470588235298</v>
      </c>
      <c r="N391" s="656">
        <f t="shared" si="22"/>
        <v>0.13588235294117648</v>
      </c>
      <c r="O391" s="666">
        <f t="shared" si="23"/>
        <v>2.3209172932330753</v>
      </c>
      <c r="P391" s="662">
        <v>2005</v>
      </c>
    </row>
    <row r="392" spans="1:16">
      <c r="A392" s="14" t="s">
        <v>804</v>
      </c>
      <c r="B392" s="233">
        <v>780</v>
      </c>
      <c r="C392">
        <v>1</v>
      </c>
      <c r="D392" s="233">
        <v>780</v>
      </c>
      <c r="E392" t="s">
        <v>804</v>
      </c>
      <c r="F392"/>
      <c r="G392"/>
      <c r="H392" t="str">
        <f t="shared" ref="H392:H455" si="24">F392&amp;G392</f>
        <v/>
      </c>
      <c r="I392" t="str">
        <f t="shared" ref="I392:I455" si="25">IFERROR(VLOOKUP(F392,$A$7:$B$590,2,FALSE),"")</f>
        <v/>
      </c>
      <c r="J392" s="421"/>
      <c r="K392" s="655">
        <v>490574</v>
      </c>
      <c r="L392" s="469">
        <v>341902</v>
      </c>
      <c r="M392" s="470">
        <v>0.69694276500589103</v>
      </c>
      <c r="N392" s="656" t="str">
        <f t="shared" ref="N392:N455" si="26">IF(ISBLANK(J392),"",J392*M392)</f>
        <v/>
      </c>
      <c r="O392" s="666">
        <f t="shared" ref="O392:O455" si="27">IF(ISBLANK(F392),1,J392/(N392/SUMIF(H$7:H$601,H392,N$7:N$601))*VLOOKUP(F392,A$7:O$601,15,FALSE))</f>
        <v>1</v>
      </c>
      <c r="P392" s="662">
        <v>2011</v>
      </c>
    </row>
    <row r="393" spans="1:16">
      <c r="A393" s="14" t="s">
        <v>5011</v>
      </c>
      <c r="B393" s="233">
        <v>782</v>
      </c>
      <c r="C393">
        <v>1</v>
      </c>
      <c r="D393" s="233">
        <v>782</v>
      </c>
      <c r="E393" t="s">
        <v>5011</v>
      </c>
      <c r="F393"/>
      <c r="G393"/>
      <c r="H393" t="str">
        <f t="shared" si="24"/>
        <v/>
      </c>
      <c r="I393" t="str">
        <f t="shared" si="25"/>
        <v/>
      </c>
      <c r="J393" s="421"/>
      <c r="K393" s="655" t="s">
        <v>7387</v>
      </c>
      <c r="L393" s="469" t="s">
        <v>7388</v>
      </c>
      <c r="M393" s="470">
        <v>0.39353448275862069</v>
      </c>
      <c r="N393" s="656" t="str">
        <f t="shared" si="26"/>
        <v/>
      </c>
      <c r="O393" s="666">
        <f t="shared" si="27"/>
        <v>1</v>
      </c>
      <c r="P393" s="662" t="s">
        <v>7514</v>
      </c>
    </row>
    <row r="394" spans="1:16">
      <c r="A394" s="14" t="s">
        <v>3596</v>
      </c>
      <c r="B394" s="233">
        <v>788</v>
      </c>
      <c r="C394">
        <v>1</v>
      </c>
      <c r="D394" s="233">
        <v>788</v>
      </c>
      <c r="E394" t="s">
        <v>3596</v>
      </c>
      <c r="F394"/>
      <c r="G394"/>
      <c r="H394" t="str">
        <f t="shared" si="24"/>
        <v/>
      </c>
      <c r="I394" t="str">
        <f t="shared" si="25"/>
        <v/>
      </c>
      <c r="J394" s="421"/>
      <c r="K394" s="655" t="s">
        <v>7389</v>
      </c>
      <c r="L394" s="469" t="s">
        <v>7390</v>
      </c>
      <c r="M394" s="470">
        <v>2.1855670103092781</v>
      </c>
      <c r="N394" s="656" t="str">
        <f t="shared" si="26"/>
        <v/>
      </c>
      <c r="O394" s="666">
        <f t="shared" si="27"/>
        <v>1</v>
      </c>
      <c r="P394" s="662" t="s">
        <v>7514</v>
      </c>
    </row>
    <row r="395" spans="1:16">
      <c r="A395" s="14" t="s">
        <v>662</v>
      </c>
      <c r="B395" s="233">
        <v>789</v>
      </c>
      <c r="C395">
        <v>1</v>
      </c>
      <c r="D395" s="233">
        <v>789</v>
      </c>
      <c r="E395" t="s">
        <v>662</v>
      </c>
      <c r="F395"/>
      <c r="G395"/>
      <c r="H395" t="str">
        <f t="shared" si="24"/>
        <v/>
      </c>
      <c r="I395" t="str">
        <f t="shared" si="25"/>
        <v/>
      </c>
      <c r="J395" s="421"/>
      <c r="K395" s="655" t="s">
        <v>7391</v>
      </c>
      <c r="L395" s="469" t="s">
        <v>7392</v>
      </c>
      <c r="M395" s="470">
        <v>1.1761137837272537</v>
      </c>
      <c r="N395" s="656" t="str">
        <f t="shared" si="26"/>
        <v/>
      </c>
      <c r="O395" s="666">
        <f t="shared" si="27"/>
        <v>1</v>
      </c>
      <c r="P395" s="662" t="s">
        <v>7514</v>
      </c>
    </row>
    <row r="396" spans="1:16">
      <c r="A396" s="14" t="s">
        <v>3241</v>
      </c>
      <c r="B396" s="233">
        <v>800</v>
      </c>
      <c r="C396">
        <v>1</v>
      </c>
      <c r="D396">
        <v>800</v>
      </c>
      <c r="E396" t="s">
        <v>3241</v>
      </c>
      <c r="F396"/>
      <c r="G396"/>
      <c r="H396" t="str">
        <f t="shared" si="24"/>
        <v/>
      </c>
      <c r="I396" t="str">
        <f t="shared" si="25"/>
        <v/>
      </c>
      <c r="J396" s="421"/>
      <c r="K396" s="655" t="s">
        <v>7287</v>
      </c>
      <c r="L396" s="469" t="s">
        <v>7287</v>
      </c>
      <c r="M396" s="470">
        <v>0</v>
      </c>
      <c r="N396" s="656" t="str">
        <f t="shared" si="26"/>
        <v/>
      </c>
      <c r="O396" s="666">
        <f t="shared" si="27"/>
        <v>1</v>
      </c>
      <c r="P396" s="662" t="s">
        <v>7514</v>
      </c>
    </row>
    <row r="397" spans="1:16">
      <c r="A397" s="14" t="s">
        <v>4122</v>
      </c>
      <c r="B397" s="233">
        <v>809</v>
      </c>
      <c r="C397">
        <v>1</v>
      </c>
      <c r="D397" s="233">
        <v>809</v>
      </c>
      <c r="E397" t="s">
        <v>4122</v>
      </c>
      <c r="F397"/>
      <c r="G397"/>
      <c r="H397" t="str">
        <f t="shared" si="24"/>
        <v/>
      </c>
      <c r="I397" t="str">
        <f t="shared" si="25"/>
        <v/>
      </c>
      <c r="J397" s="421"/>
      <c r="K397" s="655">
        <v>10801</v>
      </c>
      <c r="L397" s="469">
        <v>16439</v>
      </c>
      <c r="M397" s="470">
        <v>1.5219887047495599</v>
      </c>
      <c r="N397" s="656" t="str">
        <f t="shared" si="26"/>
        <v/>
      </c>
      <c r="O397" s="666">
        <f t="shared" si="27"/>
        <v>1</v>
      </c>
      <c r="P397" s="662">
        <v>2011</v>
      </c>
    </row>
    <row r="398" spans="1:16">
      <c r="A398" s="14" t="s">
        <v>3391</v>
      </c>
      <c r="B398" s="233">
        <v>813</v>
      </c>
      <c r="C398"/>
      <c r="D398" t="s">
        <v>2738</v>
      </c>
      <c r="E398"/>
      <c r="F398"/>
      <c r="G398"/>
      <c r="H398" t="str">
        <f t="shared" si="24"/>
        <v/>
      </c>
      <c r="I398" t="str">
        <f t="shared" si="25"/>
        <v/>
      </c>
      <c r="J398" s="421"/>
      <c r="K398" s="655" t="s">
        <v>7393</v>
      </c>
      <c r="L398" s="469" t="s">
        <v>7394</v>
      </c>
      <c r="M398" s="470">
        <v>0.26579576068723632</v>
      </c>
      <c r="N398" s="656" t="str">
        <f t="shared" si="26"/>
        <v/>
      </c>
      <c r="O398" s="666">
        <f t="shared" si="27"/>
        <v>1</v>
      </c>
      <c r="P398" s="662" t="s">
        <v>7514</v>
      </c>
    </row>
    <row r="399" spans="1:16">
      <c r="A399" s="14" t="s">
        <v>2140</v>
      </c>
      <c r="B399" s="233">
        <v>821</v>
      </c>
      <c r="C399">
        <v>1</v>
      </c>
      <c r="D399" s="233">
        <v>821</v>
      </c>
      <c r="E399" t="s">
        <v>2140</v>
      </c>
      <c r="F399"/>
      <c r="G399"/>
      <c r="H399" t="str">
        <f t="shared" si="24"/>
        <v/>
      </c>
      <c r="I399" t="str">
        <f t="shared" si="25"/>
        <v/>
      </c>
      <c r="J399" s="421"/>
      <c r="K399" s="655" t="s">
        <v>7395</v>
      </c>
      <c r="L399" s="469" t="s">
        <v>7396</v>
      </c>
      <c r="M399" s="470">
        <v>0.737616017777876</v>
      </c>
      <c r="N399" s="656" t="str">
        <f t="shared" si="26"/>
        <v/>
      </c>
      <c r="O399" s="666">
        <f t="shared" si="27"/>
        <v>1</v>
      </c>
      <c r="P399" s="662" t="s">
        <v>7514</v>
      </c>
    </row>
    <row r="400" spans="1:16">
      <c r="A400" s="14" t="s">
        <v>4421</v>
      </c>
      <c r="B400" s="233">
        <v>826</v>
      </c>
      <c r="C400">
        <v>1</v>
      </c>
      <c r="D400" s="233">
        <v>826</v>
      </c>
      <c r="E400" t="s">
        <v>4421</v>
      </c>
      <c r="F400"/>
      <c r="G400"/>
      <c r="H400" t="str">
        <f t="shared" si="24"/>
        <v/>
      </c>
      <c r="I400" t="str">
        <f t="shared" si="25"/>
        <v/>
      </c>
      <c r="J400" s="421"/>
      <c r="K400" s="655">
        <v>2434380</v>
      </c>
      <c r="L400" s="469">
        <v>12712400</v>
      </c>
      <c r="M400" s="470">
        <v>5.2220277853087804</v>
      </c>
      <c r="N400" s="656" t="str">
        <f t="shared" si="26"/>
        <v/>
      </c>
      <c r="O400" s="666">
        <f t="shared" si="27"/>
        <v>1</v>
      </c>
      <c r="P400" s="662">
        <v>2011</v>
      </c>
    </row>
    <row r="401" spans="1:16">
      <c r="A401" s="14" t="s">
        <v>4326</v>
      </c>
      <c r="B401" s="233">
        <v>828</v>
      </c>
      <c r="C401"/>
      <c r="D401" t="s">
        <v>2738</v>
      </c>
      <c r="E401"/>
      <c r="F401"/>
      <c r="G401"/>
      <c r="H401" t="str">
        <f t="shared" si="24"/>
        <v/>
      </c>
      <c r="I401" t="str">
        <f t="shared" si="25"/>
        <v/>
      </c>
      <c r="J401" s="421"/>
      <c r="K401" s="655">
        <v>1003750</v>
      </c>
      <c r="L401" s="469">
        <v>25381600</v>
      </c>
      <c r="M401" s="470">
        <v>25.286774595267701</v>
      </c>
      <c r="N401" s="656" t="str">
        <f t="shared" si="26"/>
        <v/>
      </c>
      <c r="O401" s="666">
        <f t="shared" si="27"/>
        <v>1</v>
      </c>
      <c r="P401" s="662">
        <v>2011</v>
      </c>
    </row>
    <row r="402" spans="1:16">
      <c r="A402" s="14" t="s">
        <v>2749</v>
      </c>
      <c r="B402" s="233">
        <v>829</v>
      </c>
      <c r="C402"/>
      <c r="D402" t="s">
        <v>2738</v>
      </c>
      <c r="E402"/>
      <c r="F402"/>
      <c r="G402"/>
      <c r="H402" t="str">
        <f t="shared" si="24"/>
        <v/>
      </c>
      <c r="I402" t="str">
        <f t="shared" si="25"/>
        <v/>
      </c>
      <c r="J402" s="421"/>
      <c r="K402" s="655">
        <v>39722</v>
      </c>
      <c r="L402" s="469">
        <v>1975720</v>
      </c>
      <c r="M402" s="470">
        <v>49.738683852776802</v>
      </c>
      <c r="N402" s="656" t="str">
        <f t="shared" si="26"/>
        <v/>
      </c>
      <c r="O402" s="666">
        <f t="shared" si="27"/>
        <v>1</v>
      </c>
      <c r="P402" s="662">
        <v>2011</v>
      </c>
    </row>
    <row r="403" spans="1:16">
      <c r="A403" s="14" t="s">
        <v>3245</v>
      </c>
      <c r="B403" s="233">
        <v>831</v>
      </c>
      <c r="C403"/>
      <c r="D403" t="s">
        <v>2738</v>
      </c>
      <c r="E403"/>
      <c r="F403"/>
      <c r="G403"/>
      <c r="H403" t="str">
        <f t="shared" si="24"/>
        <v/>
      </c>
      <c r="I403" t="str">
        <f t="shared" si="25"/>
        <v/>
      </c>
      <c r="J403" s="421"/>
      <c r="K403" s="655">
        <v>484260</v>
      </c>
      <c r="L403" s="469">
        <v>4337690</v>
      </c>
      <c r="M403" s="470">
        <v>8.9573576178086096</v>
      </c>
      <c r="N403" s="656" t="str">
        <f t="shared" si="26"/>
        <v/>
      </c>
      <c r="O403" s="666">
        <f t="shared" si="27"/>
        <v>1</v>
      </c>
      <c r="P403" s="662">
        <v>2011</v>
      </c>
    </row>
    <row r="404" spans="1:16">
      <c r="A404" s="14" t="s">
        <v>789</v>
      </c>
      <c r="B404" s="233">
        <v>836</v>
      </c>
      <c r="C404">
        <v>1</v>
      </c>
      <c r="D404" s="233">
        <v>836</v>
      </c>
      <c r="E404" t="s">
        <v>789</v>
      </c>
      <c r="F404"/>
      <c r="G404"/>
      <c r="H404" t="str">
        <f t="shared" si="24"/>
        <v/>
      </c>
      <c r="I404" t="str">
        <f t="shared" si="25"/>
        <v/>
      </c>
      <c r="J404" s="421"/>
      <c r="K404" s="655">
        <v>974899</v>
      </c>
      <c r="L404" s="469">
        <v>3784680</v>
      </c>
      <c r="M404" s="470">
        <v>3.8821252252797498</v>
      </c>
      <c r="N404" s="656" t="str">
        <f t="shared" si="26"/>
        <v/>
      </c>
      <c r="O404" s="666">
        <f t="shared" si="27"/>
        <v>1</v>
      </c>
      <c r="P404" s="662">
        <v>2011</v>
      </c>
    </row>
    <row r="405" spans="1:16">
      <c r="A405" s="14" t="s">
        <v>2642</v>
      </c>
      <c r="B405" s="233">
        <v>837</v>
      </c>
      <c r="C405"/>
      <c r="D405" t="s">
        <v>2738</v>
      </c>
      <c r="E405"/>
      <c r="F405"/>
      <c r="G405"/>
      <c r="H405" t="str">
        <f t="shared" si="24"/>
        <v/>
      </c>
      <c r="I405" t="str">
        <f t="shared" si="25"/>
        <v/>
      </c>
      <c r="J405" s="421"/>
      <c r="K405" s="655">
        <v>7179260</v>
      </c>
      <c r="L405" s="469">
        <v>33766000</v>
      </c>
      <c r="M405" s="470">
        <v>4.7032702534801603</v>
      </c>
      <c r="N405" s="656" t="str">
        <f t="shared" si="26"/>
        <v/>
      </c>
      <c r="O405" s="666">
        <f t="shared" si="27"/>
        <v>1</v>
      </c>
      <c r="P405" s="662">
        <v>2011</v>
      </c>
    </row>
    <row r="406" spans="1:16">
      <c r="A406" s="14" t="s">
        <v>5271</v>
      </c>
      <c r="B406" s="233">
        <v>839</v>
      </c>
      <c r="C406"/>
      <c r="D406" t="s">
        <v>2738</v>
      </c>
      <c r="E406"/>
      <c r="F406"/>
      <c r="G406"/>
      <c r="H406" t="str">
        <f t="shared" si="24"/>
        <v/>
      </c>
      <c r="I406" t="str">
        <f t="shared" si="25"/>
        <v/>
      </c>
      <c r="J406" s="421"/>
      <c r="K406" s="655" t="s">
        <v>7397</v>
      </c>
      <c r="L406" s="469" t="s">
        <v>7398</v>
      </c>
      <c r="M406" s="470">
        <v>3.5742924528301887</v>
      </c>
      <c r="N406" s="656" t="str">
        <f t="shared" si="26"/>
        <v/>
      </c>
      <c r="O406" s="666">
        <f t="shared" si="27"/>
        <v>1</v>
      </c>
      <c r="P406" s="662" t="s">
        <v>7514</v>
      </c>
    </row>
    <row r="407" spans="1:16">
      <c r="A407" s="14" t="s">
        <v>3393</v>
      </c>
      <c r="B407" s="233">
        <v>840</v>
      </c>
      <c r="C407"/>
      <c r="D407" t="s">
        <v>2738</v>
      </c>
      <c r="E407"/>
      <c r="F407"/>
      <c r="G407"/>
      <c r="H407" t="str">
        <f t="shared" si="24"/>
        <v/>
      </c>
      <c r="I407" t="str">
        <f t="shared" si="25"/>
        <v/>
      </c>
      <c r="J407" s="421"/>
      <c r="K407" s="655" t="s">
        <v>7399</v>
      </c>
      <c r="L407" s="469" t="s">
        <v>7400</v>
      </c>
      <c r="M407" s="470">
        <v>0.61536107275548402</v>
      </c>
      <c r="N407" s="656" t="str">
        <f t="shared" si="26"/>
        <v/>
      </c>
      <c r="O407" s="666">
        <f t="shared" si="27"/>
        <v>1</v>
      </c>
      <c r="P407" s="662" t="s">
        <v>7514</v>
      </c>
    </row>
    <row r="408" spans="1:16">
      <c r="A408" s="14" t="s">
        <v>2702</v>
      </c>
      <c r="B408" s="233">
        <v>841</v>
      </c>
      <c r="C408"/>
      <c r="D408" t="s">
        <v>2738</v>
      </c>
      <c r="E408"/>
      <c r="F408"/>
      <c r="G408"/>
      <c r="H408" t="str">
        <f t="shared" si="24"/>
        <v/>
      </c>
      <c r="I408" t="str">
        <f t="shared" si="25"/>
        <v/>
      </c>
      <c r="J408" s="421"/>
      <c r="K408" s="655" t="s">
        <v>7401</v>
      </c>
      <c r="L408" s="469" t="s">
        <v>7402</v>
      </c>
      <c r="M408" s="470">
        <v>0.52806416495901642</v>
      </c>
      <c r="N408" s="656" t="str">
        <f t="shared" si="26"/>
        <v/>
      </c>
      <c r="O408" s="666">
        <f t="shared" si="27"/>
        <v>1</v>
      </c>
      <c r="P408" s="662" t="s">
        <v>7514</v>
      </c>
    </row>
    <row r="409" spans="1:16">
      <c r="A409" s="14" t="s">
        <v>5313</v>
      </c>
      <c r="B409" s="233">
        <v>842</v>
      </c>
      <c r="C409"/>
      <c r="D409" t="s">
        <v>2738</v>
      </c>
      <c r="E409"/>
      <c r="F409"/>
      <c r="G409"/>
      <c r="H409" t="str">
        <f t="shared" si="24"/>
        <v/>
      </c>
      <c r="I409" t="str">
        <f t="shared" si="25"/>
        <v/>
      </c>
      <c r="J409" s="421"/>
      <c r="K409" s="655" t="s">
        <v>7403</v>
      </c>
      <c r="L409" s="469" t="s">
        <v>7404</v>
      </c>
      <c r="M409" s="470">
        <v>0.88303040534203669</v>
      </c>
      <c r="N409" s="656" t="str">
        <f t="shared" si="26"/>
        <v/>
      </c>
      <c r="O409" s="666">
        <f t="shared" si="27"/>
        <v>1</v>
      </c>
      <c r="P409" s="662" t="s">
        <v>7514</v>
      </c>
    </row>
    <row r="410" spans="1:16">
      <c r="A410" s="14" t="s">
        <v>3451</v>
      </c>
      <c r="B410" s="233">
        <v>843</v>
      </c>
      <c r="C410"/>
      <c r="D410"/>
      <c r="E410"/>
      <c r="F410"/>
      <c r="G410"/>
      <c r="H410" t="str">
        <f t="shared" si="24"/>
        <v/>
      </c>
      <c r="I410" t="str">
        <f t="shared" si="25"/>
        <v/>
      </c>
      <c r="J410" s="421"/>
      <c r="K410" s="655">
        <v>5235900</v>
      </c>
      <c r="L410" s="469">
        <v>9565330</v>
      </c>
      <c r="M410" s="470">
        <v>1.8268740808648001</v>
      </c>
      <c r="N410" s="656" t="str">
        <f t="shared" si="26"/>
        <v/>
      </c>
      <c r="O410" s="666">
        <f t="shared" si="27"/>
        <v>1</v>
      </c>
      <c r="P410" s="662">
        <v>2011</v>
      </c>
    </row>
    <row r="411" spans="1:16">
      <c r="A411" s="14" t="s">
        <v>6991</v>
      </c>
      <c r="B411" s="233">
        <v>845</v>
      </c>
      <c r="C411"/>
      <c r="D411" t="s">
        <v>2738</v>
      </c>
      <c r="E411"/>
      <c r="F411"/>
      <c r="G411"/>
      <c r="H411" t="str">
        <f t="shared" si="24"/>
        <v/>
      </c>
      <c r="I411" t="str">
        <f t="shared" si="25"/>
        <v/>
      </c>
      <c r="J411" s="421"/>
      <c r="K411" s="655">
        <v>1775570</v>
      </c>
      <c r="L411" s="469">
        <v>2420740</v>
      </c>
      <c r="M411" s="470">
        <v>1.3633593719199999</v>
      </c>
      <c r="N411" s="656" t="str">
        <f t="shared" si="26"/>
        <v/>
      </c>
      <c r="O411" s="666">
        <f t="shared" si="27"/>
        <v>1</v>
      </c>
      <c r="P411" s="662">
        <v>2011</v>
      </c>
    </row>
    <row r="412" spans="1:16">
      <c r="A412" s="14" t="s">
        <v>404</v>
      </c>
      <c r="B412" s="233">
        <v>846</v>
      </c>
      <c r="C412">
        <v>3</v>
      </c>
      <c r="D412">
        <v>15</v>
      </c>
      <c r="E412" t="s">
        <v>1151</v>
      </c>
      <c r="F412" t="s">
        <v>7041</v>
      </c>
      <c r="G412" t="s">
        <v>6006</v>
      </c>
      <c r="H412" t="str">
        <f t="shared" si="24"/>
        <v>Flour, wheatd</v>
      </c>
      <c r="I412">
        <f t="shared" si="25"/>
        <v>16</v>
      </c>
      <c r="J412" s="421">
        <v>0.15</v>
      </c>
      <c r="K412" s="655">
        <v>4049070</v>
      </c>
      <c r="L412" s="469">
        <v>1490540</v>
      </c>
      <c r="M412" s="470">
        <v>0.36811909895358702</v>
      </c>
      <c r="N412" s="656">
        <f t="shared" si="26"/>
        <v>5.5217864843038054E-2</v>
      </c>
      <c r="O412" s="666">
        <f t="shared" si="27"/>
        <v>0.13580786044347012</v>
      </c>
      <c r="P412" s="662">
        <v>2011</v>
      </c>
    </row>
    <row r="413" spans="1:16">
      <c r="A413" s="14" t="s">
        <v>2138</v>
      </c>
      <c r="B413" s="233">
        <v>850</v>
      </c>
      <c r="C413"/>
      <c r="D413" t="s">
        <v>2738</v>
      </c>
      <c r="E413"/>
      <c r="F413"/>
      <c r="G413"/>
      <c r="H413" t="str">
        <f t="shared" si="24"/>
        <v/>
      </c>
      <c r="I413" t="str">
        <f t="shared" si="25"/>
        <v/>
      </c>
      <c r="J413" s="421"/>
      <c r="K413" s="655">
        <v>584499</v>
      </c>
      <c r="L413" s="469">
        <v>416088</v>
      </c>
      <c r="M413" s="470">
        <v>0.71187119225182605</v>
      </c>
      <c r="N413" s="656" t="str">
        <f t="shared" si="26"/>
        <v/>
      </c>
      <c r="O413" s="666">
        <f t="shared" si="27"/>
        <v>1</v>
      </c>
      <c r="P413" s="662">
        <v>2011</v>
      </c>
    </row>
    <row r="414" spans="1:16">
      <c r="A414" s="14" t="s">
        <v>544</v>
      </c>
      <c r="B414" s="233">
        <v>852</v>
      </c>
      <c r="C414"/>
      <c r="D414" t="s">
        <v>2738</v>
      </c>
      <c r="E414"/>
      <c r="F414"/>
      <c r="G414"/>
      <c r="H414" t="str">
        <f t="shared" si="24"/>
        <v/>
      </c>
      <c r="I414" t="str">
        <f t="shared" si="25"/>
        <v/>
      </c>
      <c r="J414" s="421"/>
      <c r="K414" s="655" t="s">
        <v>7405</v>
      </c>
      <c r="L414" s="469" t="s">
        <v>7406</v>
      </c>
      <c r="M414" s="470">
        <v>1.2991985059528441</v>
      </c>
      <c r="N414" s="656" t="str">
        <f t="shared" si="26"/>
        <v/>
      </c>
      <c r="O414" s="666">
        <f t="shared" si="27"/>
        <v>1</v>
      </c>
      <c r="P414" s="662" t="s">
        <v>7514</v>
      </c>
    </row>
    <row r="415" spans="1:16">
      <c r="A415" s="14" t="s">
        <v>3541</v>
      </c>
      <c r="B415" s="233">
        <v>853</v>
      </c>
      <c r="C415"/>
      <c r="D415" t="s">
        <v>2738</v>
      </c>
      <c r="E415"/>
      <c r="F415"/>
      <c r="G415"/>
      <c r="H415" t="str">
        <f t="shared" si="24"/>
        <v/>
      </c>
      <c r="I415" t="str">
        <f t="shared" si="25"/>
        <v/>
      </c>
      <c r="J415" s="421"/>
      <c r="K415" s="655">
        <v>45</v>
      </c>
      <c r="L415" s="469">
        <v>985</v>
      </c>
      <c r="M415" s="470">
        <v>4.5685279187817299E-2</v>
      </c>
      <c r="N415" s="656" t="str">
        <f t="shared" si="26"/>
        <v/>
      </c>
      <c r="O415" s="666">
        <f t="shared" si="27"/>
        <v>1</v>
      </c>
      <c r="P415" s="662">
        <v>2009</v>
      </c>
    </row>
    <row r="416" spans="1:16">
      <c r="A416" s="14" t="s">
        <v>4036</v>
      </c>
      <c r="B416" s="233">
        <v>854</v>
      </c>
      <c r="C416"/>
      <c r="D416" t="s">
        <v>2738</v>
      </c>
      <c r="E416"/>
      <c r="F416"/>
      <c r="G416"/>
      <c r="H416" t="str">
        <f t="shared" si="24"/>
        <v/>
      </c>
      <c r="I416" t="str">
        <f t="shared" si="25"/>
        <v/>
      </c>
      <c r="J416" s="421"/>
      <c r="K416" s="655" t="s">
        <v>7319</v>
      </c>
      <c r="L416" s="469" t="s">
        <v>7319</v>
      </c>
      <c r="M416" s="470">
        <v>1</v>
      </c>
      <c r="N416" s="656" t="str">
        <f t="shared" si="26"/>
        <v/>
      </c>
      <c r="O416" s="666">
        <f t="shared" si="27"/>
        <v>1</v>
      </c>
      <c r="P416" s="662" t="s">
        <v>7514</v>
      </c>
    </row>
    <row r="417" spans="1:16">
      <c r="A417" s="14" t="s">
        <v>839</v>
      </c>
      <c r="B417" s="233">
        <v>855</v>
      </c>
      <c r="C417"/>
      <c r="D417" t="s">
        <v>2738</v>
      </c>
      <c r="E417"/>
      <c r="F417"/>
      <c r="G417"/>
      <c r="H417" t="str">
        <f t="shared" si="24"/>
        <v/>
      </c>
      <c r="I417" t="str">
        <f t="shared" si="25"/>
        <v/>
      </c>
      <c r="J417" s="421"/>
      <c r="K417" s="655">
        <v>307</v>
      </c>
      <c r="L417" s="469">
        <v>286</v>
      </c>
      <c r="M417" s="470">
        <v>1.07342657342657</v>
      </c>
      <c r="N417" s="656" t="str">
        <f t="shared" si="26"/>
        <v/>
      </c>
      <c r="O417" s="666">
        <f t="shared" si="27"/>
        <v>1</v>
      </c>
      <c r="P417" s="662">
        <v>1991</v>
      </c>
    </row>
    <row r="418" spans="1:16">
      <c r="A418" s="14" t="s">
        <v>4733</v>
      </c>
      <c r="B418" s="233">
        <v>857</v>
      </c>
      <c r="C418"/>
      <c r="D418" t="s">
        <v>2738</v>
      </c>
      <c r="E418"/>
      <c r="F418"/>
      <c r="G418"/>
      <c r="H418" t="str">
        <f t="shared" si="24"/>
        <v/>
      </c>
      <c r="I418" t="str">
        <f t="shared" si="25"/>
        <v/>
      </c>
      <c r="J418" s="421"/>
      <c r="K418" s="655" t="s">
        <v>7407</v>
      </c>
      <c r="L418" s="469" t="s">
        <v>7408</v>
      </c>
      <c r="M418" s="470">
        <v>0.20342049964977818</v>
      </c>
      <c r="N418" s="656" t="str">
        <f t="shared" si="26"/>
        <v/>
      </c>
      <c r="O418" s="666">
        <f t="shared" si="27"/>
        <v>1</v>
      </c>
      <c r="P418" s="662" t="s">
        <v>7514</v>
      </c>
    </row>
    <row r="419" spans="1:16">
      <c r="A419" s="14" t="s">
        <v>1474</v>
      </c>
      <c r="B419" s="233">
        <v>858</v>
      </c>
      <c r="C419"/>
      <c r="D419" t="s">
        <v>2738</v>
      </c>
      <c r="E419"/>
      <c r="F419"/>
      <c r="G419"/>
      <c r="H419" t="str">
        <f t="shared" si="24"/>
        <v/>
      </c>
      <c r="I419" t="str">
        <f t="shared" si="25"/>
        <v/>
      </c>
      <c r="J419" s="421"/>
      <c r="K419" s="655">
        <v>25</v>
      </c>
      <c r="L419" s="469">
        <v>3</v>
      </c>
      <c r="M419" s="470">
        <v>8.3333333333333304</v>
      </c>
      <c r="N419" s="656" t="str">
        <f t="shared" si="26"/>
        <v/>
      </c>
      <c r="O419" s="666">
        <f t="shared" si="27"/>
        <v>1</v>
      </c>
      <c r="P419" s="662">
        <v>1992</v>
      </c>
    </row>
    <row r="420" spans="1:16">
      <c r="A420" s="14" t="s">
        <v>4731</v>
      </c>
      <c r="B420" s="233">
        <v>859</v>
      </c>
      <c r="C420"/>
      <c r="D420" t="s">
        <v>2738</v>
      </c>
      <c r="E420"/>
      <c r="F420"/>
      <c r="G420"/>
      <c r="H420" t="str">
        <f t="shared" si="24"/>
        <v/>
      </c>
      <c r="I420" t="str">
        <f t="shared" si="25"/>
        <v/>
      </c>
      <c r="J420" s="421"/>
      <c r="K420" s="655">
        <v>34226</v>
      </c>
      <c r="L420" s="469">
        <v>11028</v>
      </c>
      <c r="M420" s="470">
        <v>0.32221118447963498</v>
      </c>
      <c r="N420" s="656" t="str">
        <f t="shared" si="26"/>
        <v/>
      </c>
      <c r="O420" s="666">
        <f t="shared" si="27"/>
        <v>1</v>
      </c>
      <c r="P420" s="662">
        <v>2011</v>
      </c>
    </row>
    <row r="421" spans="1:16">
      <c r="A421" s="14" t="s">
        <v>4437</v>
      </c>
      <c r="B421" s="233">
        <v>862</v>
      </c>
      <c r="C421">
        <v>2</v>
      </c>
      <c r="D421">
        <v>641</v>
      </c>
      <c r="E421" t="s">
        <v>2308</v>
      </c>
      <c r="F421" t="s">
        <v>2308</v>
      </c>
      <c r="G421"/>
      <c r="H421" t="str">
        <f t="shared" si="24"/>
        <v>Alfalfa for forage and silage</v>
      </c>
      <c r="I421">
        <f t="shared" si="25"/>
        <v>641</v>
      </c>
      <c r="J421" s="421">
        <v>1</v>
      </c>
      <c r="K421" s="655">
        <v>1482740</v>
      </c>
      <c r="L421" s="469">
        <v>388226</v>
      </c>
      <c r="M421" s="470">
        <v>0.26183012530854999</v>
      </c>
      <c r="N421" s="656">
        <f t="shared" si="26"/>
        <v>0.26183012530854999</v>
      </c>
      <c r="O421" s="666">
        <f t="shared" si="27"/>
        <v>1</v>
      </c>
      <c r="P421" s="662">
        <v>2011</v>
      </c>
    </row>
    <row r="422" spans="1:16">
      <c r="A422" s="14" t="s">
        <v>4668</v>
      </c>
      <c r="B422" s="233">
        <v>866</v>
      </c>
      <c r="C422">
        <v>1</v>
      </c>
      <c r="D422">
        <v>866</v>
      </c>
      <c r="E422" t="s">
        <v>4668</v>
      </c>
      <c r="F422"/>
      <c r="G422"/>
      <c r="H422" t="str">
        <f t="shared" si="24"/>
        <v/>
      </c>
      <c r="I422" t="str">
        <f t="shared" si="25"/>
        <v/>
      </c>
      <c r="J422" s="421"/>
      <c r="K422" s="655">
        <v>10357800</v>
      </c>
      <c r="L422" s="469">
        <v>8875990</v>
      </c>
      <c r="M422" s="470">
        <v>0.856937766707216</v>
      </c>
      <c r="N422" s="656" t="str">
        <f t="shared" si="26"/>
        <v/>
      </c>
      <c r="O422" s="666">
        <f t="shared" si="27"/>
        <v>1</v>
      </c>
      <c r="P422" s="662">
        <v>2011</v>
      </c>
    </row>
    <row r="423" spans="1:16">
      <c r="A423" s="14" t="s">
        <v>4479</v>
      </c>
      <c r="B423" s="233">
        <v>867</v>
      </c>
      <c r="C423">
        <v>2</v>
      </c>
      <c r="D423">
        <v>866</v>
      </c>
      <c r="E423" t="s">
        <v>4668</v>
      </c>
      <c r="F423" t="s">
        <v>4668</v>
      </c>
      <c r="G423" t="s">
        <v>6003</v>
      </c>
      <c r="H423" t="str">
        <f t="shared" si="24"/>
        <v>Cattlea</v>
      </c>
      <c r="I423">
        <f t="shared" si="25"/>
        <v>866</v>
      </c>
      <c r="J423" s="421">
        <v>0.52</v>
      </c>
      <c r="K423" s="655">
        <v>1767650</v>
      </c>
      <c r="L423" s="469">
        <v>8178040</v>
      </c>
      <c r="M423" s="470">
        <v>4.6265041156337503</v>
      </c>
      <c r="N423" s="656">
        <f t="shared" si="26"/>
        <v>2.4057821401295501</v>
      </c>
      <c r="O423" s="666">
        <f t="shared" si="27"/>
        <v>0.58226527382553306</v>
      </c>
      <c r="P423" s="662">
        <v>2011</v>
      </c>
    </row>
    <row r="424" spans="1:16">
      <c r="A424" s="14" t="s">
        <v>3369</v>
      </c>
      <c r="B424" s="233">
        <v>868</v>
      </c>
      <c r="C424">
        <v>2</v>
      </c>
      <c r="D424">
        <v>866</v>
      </c>
      <c r="E424" t="s">
        <v>4668</v>
      </c>
      <c r="F424" t="s">
        <v>4668</v>
      </c>
      <c r="G424" t="s">
        <v>6003</v>
      </c>
      <c r="H424" t="str">
        <f t="shared" si="24"/>
        <v>Cattlea</v>
      </c>
      <c r="I424">
        <f t="shared" si="25"/>
        <v>866</v>
      </c>
      <c r="J424" s="421">
        <v>7.0000000000000007E-2</v>
      </c>
      <c r="K424" s="655">
        <v>976425</v>
      </c>
      <c r="L424" s="469">
        <v>2765290</v>
      </c>
      <c r="M424" s="470">
        <v>2.8320557134444502</v>
      </c>
      <c r="N424" s="656">
        <f t="shared" si="26"/>
        <v>0.19824389994111152</v>
      </c>
      <c r="O424" s="666">
        <f t="shared" si="27"/>
        <v>0.95120045589360191</v>
      </c>
      <c r="P424" s="662">
        <v>2011</v>
      </c>
    </row>
    <row r="425" spans="1:16">
      <c r="A425" s="14" t="s">
        <v>5325</v>
      </c>
      <c r="B425" s="233">
        <v>869</v>
      </c>
      <c r="C425">
        <v>2</v>
      </c>
      <c r="D425">
        <v>866</v>
      </c>
      <c r="E425" t="s">
        <v>4668</v>
      </c>
      <c r="F425" t="s">
        <v>4668</v>
      </c>
      <c r="G425" t="s">
        <v>6003</v>
      </c>
      <c r="H425" t="str">
        <f t="shared" si="24"/>
        <v>Cattlea</v>
      </c>
      <c r="I425">
        <f t="shared" si="25"/>
        <v>866</v>
      </c>
      <c r="J425" s="421">
        <v>0.03</v>
      </c>
      <c r="K425" s="655">
        <v>51747</v>
      </c>
      <c r="L425" s="469">
        <v>50454</v>
      </c>
      <c r="M425" s="470">
        <v>0.97501304423444801</v>
      </c>
      <c r="N425" s="656">
        <f t="shared" si="26"/>
        <v>2.9250391327033439E-2</v>
      </c>
      <c r="O425" s="666">
        <f t="shared" si="27"/>
        <v>2.762888867665946</v>
      </c>
      <c r="P425" s="662">
        <v>2011</v>
      </c>
    </row>
    <row r="426" spans="1:16">
      <c r="A426" s="14" t="s">
        <v>7139</v>
      </c>
      <c r="B426" s="233">
        <v>919</v>
      </c>
      <c r="C426">
        <v>2</v>
      </c>
      <c r="D426">
        <v>866</v>
      </c>
      <c r="E426" t="s">
        <v>4668</v>
      </c>
      <c r="F426" t="s">
        <v>4668</v>
      </c>
      <c r="G426" t="s">
        <v>6003</v>
      </c>
      <c r="H426" t="str">
        <f t="shared" si="24"/>
        <v>Cattlea</v>
      </c>
      <c r="I426">
        <f t="shared" si="25"/>
        <v>866</v>
      </c>
      <c r="J426" s="421">
        <v>0.06</v>
      </c>
      <c r="K426" s="655" t="s">
        <v>7287</v>
      </c>
      <c r="L426" s="469" t="s">
        <v>7287</v>
      </c>
      <c r="M426" s="470">
        <v>1.0096042391124358</v>
      </c>
      <c r="N426" s="656">
        <f t="shared" si="26"/>
        <v>6.0576254346746149E-2</v>
      </c>
      <c r="O426" s="666">
        <f t="shared" si="27"/>
        <v>2.6682264013794783</v>
      </c>
      <c r="P426" s="662" t="s">
        <v>7514</v>
      </c>
    </row>
    <row r="427" spans="1:16">
      <c r="A427" s="14" t="s">
        <v>3196</v>
      </c>
      <c r="B427" s="233">
        <v>870</v>
      </c>
      <c r="C427">
        <v>3</v>
      </c>
      <c r="D427">
        <v>866</v>
      </c>
      <c r="E427" t="s">
        <v>4668</v>
      </c>
      <c r="F427" t="s">
        <v>4479</v>
      </c>
      <c r="G427" t="s">
        <v>6003</v>
      </c>
      <c r="H427" t="str">
        <f t="shared" si="24"/>
        <v>Cattle meata</v>
      </c>
      <c r="I427">
        <f t="shared" si="25"/>
        <v>867</v>
      </c>
      <c r="J427" s="421">
        <v>0.71</v>
      </c>
      <c r="K427" s="655">
        <v>4931840</v>
      </c>
      <c r="L427" s="469">
        <v>26246700</v>
      </c>
      <c r="M427" s="470">
        <v>5.3218879769011203</v>
      </c>
      <c r="N427" s="656">
        <f t="shared" si="26"/>
        <v>3.778540463599795</v>
      </c>
      <c r="O427" s="666">
        <f t="shared" si="27"/>
        <v>0.43513934115101777</v>
      </c>
      <c r="P427" s="662">
        <v>2011</v>
      </c>
    </row>
    <row r="428" spans="1:16">
      <c r="A428" s="14" t="s">
        <v>5310</v>
      </c>
      <c r="B428" s="233">
        <v>871</v>
      </c>
      <c r="C428">
        <v>3</v>
      </c>
      <c r="D428">
        <v>866</v>
      </c>
      <c r="E428" t="s">
        <v>4668</v>
      </c>
      <c r="F428" t="s">
        <v>4479</v>
      </c>
      <c r="G428" t="s">
        <v>6003</v>
      </c>
      <c r="H428" t="str">
        <f t="shared" si="24"/>
        <v>Cattle meata</v>
      </c>
      <c r="I428">
        <f t="shared" si="25"/>
        <v>867</v>
      </c>
      <c r="J428" s="421">
        <v>0.12</v>
      </c>
      <c r="K428" s="655" t="s">
        <v>7409</v>
      </c>
      <c r="L428" s="469" t="s">
        <v>7410</v>
      </c>
      <c r="M428" s="470">
        <v>1.6551724137931034</v>
      </c>
      <c r="N428" s="656">
        <f t="shared" si="26"/>
        <v>0.19862068965517241</v>
      </c>
      <c r="O428" s="666">
        <f t="shared" si="27"/>
        <v>1.3991067085520836</v>
      </c>
      <c r="P428" s="662" t="s">
        <v>7514</v>
      </c>
    </row>
    <row r="429" spans="1:16">
      <c r="A429" s="14" t="s">
        <v>1894</v>
      </c>
      <c r="B429" s="233">
        <v>872</v>
      </c>
      <c r="C429">
        <v>3</v>
      </c>
      <c r="D429">
        <v>866</v>
      </c>
      <c r="E429" t="s">
        <v>4668</v>
      </c>
      <c r="F429" t="s">
        <v>4479</v>
      </c>
      <c r="G429" t="s">
        <v>6004</v>
      </c>
      <c r="H429" t="str">
        <f t="shared" si="24"/>
        <v>Cattle meatb</v>
      </c>
      <c r="I429">
        <f t="shared" si="25"/>
        <v>867</v>
      </c>
      <c r="J429" s="421">
        <v>0.46</v>
      </c>
      <c r="K429" s="655" t="s">
        <v>7411</v>
      </c>
      <c r="L429" s="469" t="s">
        <v>7412</v>
      </c>
      <c r="M429" s="470">
        <v>7.9893046176309541</v>
      </c>
      <c r="N429" s="656">
        <f t="shared" si="26"/>
        <v>3.6750801241102389</v>
      </c>
      <c r="O429" s="666">
        <f t="shared" si="27"/>
        <v>0.26784202595974521</v>
      </c>
      <c r="P429" s="662" t="s">
        <v>7514</v>
      </c>
    </row>
    <row r="430" spans="1:16">
      <c r="A430" s="14" t="s">
        <v>1893</v>
      </c>
      <c r="B430" s="233">
        <v>873</v>
      </c>
      <c r="C430">
        <v>3</v>
      </c>
      <c r="D430">
        <v>866</v>
      </c>
      <c r="E430" t="s">
        <v>4668</v>
      </c>
      <c r="F430" t="s">
        <v>4479</v>
      </c>
      <c r="G430" t="s">
        <v>6005</v>
      </c>
      <c r="H430" t="str">
        <f t="shared" si="24"/>
        <v>Cattle meatc</v>
      </c>
      <c r="I430">
        <f t="shared" si="25"/>
        <v>867</v>
      </c>
      <c r="J430" s="421">
        <v>0.2</v>
      </c>
      <c r="K430" s="655" t="s">
        <v>7413</v>
      </c>
      <c r="L430" s="469" t="s">
        <v>7414</v>
      </c>
      <c r="M430" s="470">
        <v>6.6475536433338851</v>
      </c>
      <c r="N430" s="656">
        <f t="shared" si="26"/>
        <v>1.3295107286667771</v>
      </c>
      <c r="O430" s="666">
        <f t="shared" si="27"/>
        <v>0.11645305476510662</v>
      </c>
      <c r="P430" s="662" t="s">
        <v>7514</v>
      </c>
    </row>
    <row r="431" spans="1:16">
      <c r="A431" s="14" t="s">
        <v>2643</v>
      </c>
      <c r="B431" s="233">
        <v>874</v>
      </c>
      <c r="C431">
        <v>3</v>
      </c>
      <c r="D431">
        <v>866</v>
      </c>
      <c r="E431" t="s">
        <v>4668</v>
      </c>
      <c r="F431" t="s">
        <v>4479</v>
      </c>
      <c r="G431" t="s">
        <v>6006</v>
      </c>
      <c r="H431" t="str">
        <f t="shared" si="24"/>
        <v>Cattle meatd</v>
      </c>
      <c r="I431">
        <f t="shared" si="25"/>
        <v>867</v>
      </c>
      <c r="J431" s="421">
        <v>0.8</v>
      </c>
      <c r="K431" s="655">
        <v>22007</v>
      </c>
      <c r="L431" s="469">
        <v>50700</v>
      </c>
      <c r="M431" s="470">
        <v>2.30381242331985</v>
      </c>
      <c r="N431" s="656">
        <f t="shared" si="26"/>
        <v>1.8430499386558801</v>
      </c>
      <c r="O431" s="666">
        <f t="shared" si="27"/>
        <v>0.46581221906042647</v>
      </c>
      <c r="P431" s="662">
        <v>2011</v>
      </c>
    </row>
    <row r="432" spans="1:16">
      <c r="A432" s="14" t="s">
        <v>100</v>
      </c>
      <c r="B432" s="233">
        <v>875</v>
      </c>
      <c r="C432">
        <v>3</v>
      </c>
      <c r="D432">
        <v>866</v>
      </c>
      <c r="E432" t="s">
        <v>4668</v>
      </c>
      <c r="F432" t="s">
        <v>4479</v>
      </c>
      <c r="G432" t="s">
        <v>6007</v>
      </c>
      <c r="H432" t="str">
        <f t="shared" si="24"/>
        <v>Cattle meate</v>
      </c>
      <c r="I432">
        <f t="shared" si="25"/>
        <v>867</v>
      </c>
      <c r="J432" s="421">
        <v>0.6</v>
      </c>
      <c r="K432" s="655">
        <v>416943</v>
      </c>
      <c r="L432" s="469">
        <v>2123270</v>
      </c>
      <c r="M432" s="470">
        <v>5.0924706734493697</v>
      </c>
      <c r="N432" s="656">
        <f t="shared" si="26"/>
        <v>3.0554824040696218</v>
      </c>
      <c r="O432" s="666">
        <f t="shared" si="27"/>
        <v>0.34935916429531982</v>
      </c>
      <c r="P432" s="662">
        <v>2011</v>
      </c>
    </row>
    <row r="433" spans="1:16">
      <c r="A433" s="14" t="s">
        <v>3835</v>
      </c>
      <c r="B433" s="233">
        <v>877</v>
      </c>
      <c r="C433">
        <v>3</v>
      </c>
      <c r="D433">
        <v>866</v>
      </c>
      <c r="E433" t="s">
        <v>4668</v>
      </c>
      <c r="F433" t="s">
        <v>4479</v>
      </c>
      <c r="G433" t="s">
        <v>6008</v>
      </c>
      <c r="H433" t="str">
        <f t="shared" si="24"/>
        <v>Cattle meatf</v>
      </c>
      <c r="I433">
        <f t="shared" si="25"/>
        <v>867</v>
      </c>
      <c r="J433" s="421">
        <v>0.5</v>
      </c>
      <c r="K433" s="655" t="s">
        <v>7415</v>
      </c>
      <c r="L433" s="469" t="s">
        <v>7416</v>
      </c>
      <c r="M433" s="470">
        <v>3.7206756784560624</v>
      </c>
      <c r="N433" s="656">
        <f t="shared" si="26"/>
        <v>1.8603378392280312</v>
      </c>
      <c r="O433" s="666">
        <f t="shared" si="27"/>
        <v>0.29113263691276653</v>
      </c>
      <c r="P433" s="662" t="s">
        <v>7514</v>
      </c>
    </row>
    <row r="434" spans="1:16">
      <c r="A434" s="14" t="s">
        <v>1332</v>
      </c>
      <c r="B434" s="233">
        <v>878</v>
      </c>
      <c r="C434">
        <v>3</v>
      </c>
      <c r="D434">
        <v>866</v>
      </c>
      <c r="E434" t="s">
        <v>4668</v>
      </c>
      <c r="F434" t="s">
        <v>3369</v>
      </c>
      <c r="G434" t="s">
        <v>6003</v>
      </c>
      <c r="H434" t="str">
        <f t="shared" si="24"/>
        <v>Offals of Cattle, Ediblea</v>
      </c>
      <c r="I434">
        <f t="shared" si="25"/>
        <v>868</v>
      </c>
      <c r="J434" s="421">
        <v>0.5</v>
      </c>
      <c r="K434" s="655" t="s">
        <v>7417</v>
      </c>
      <c r="L434" s="469" t="s">
        <v>7418</v>
      </c>
      <c r="M434" s="470">
        <v>5.1565571571425091</v>
      </c>
      <c r="N434" s="656">
        <f t="shared" si="26"/>
        <v>2.5782785785712545</v>
      </c>
      <c r="O434" s="666">
        <f t="shared" si="27"/>
        <v>0.47560022794680096</v>
      </c>
      <c r="P434" s="662" t="s">
        <v>7514</v>
      </c>
    </row>
    <row r="435" spans="1:16">
      <c r="A435" s="14" t="s">
        <v>5420</v>
      </c>
      <c r="B435" s="233">
        <v>882</v>
      </c>
      <c r="C435">
        <v>1</v>
      </c>
      <c r="D435">
        <v>882</v>
      </c>
      <c r="E435" t="s">
        <v>5420</v>
      </c>
      <c r="F435"/>
      <c r="G435"/>
      <c r="H435" t="str">
        <f t="shared" si="24"/>
        <v/>
      </c>
      <c r="I435" t="str">
        <f t="shared" si="25"/>
        <v/>
      </c>
      <c r="J435" s="421"/>
      <c r="K435" s="655">
        <v>8072350</v>
      </c>
      <c r="L435" s="469">
        <v>4808120</v>
      </c>
      <c r="M435" s="470">
        <v>0.59562828668231704</v>
      </c>
      <c r="N435" s="656" t="str">
        <f t="shared" si="26"/>
        <v/>
      </c>
      <c r="O435" s="666">
        <f t="shared" si="27"/>
        <v>1</v>
      </c>
      <c r="P435" s="662">
        <v>2011</v>
      </c>
    </row>
    <row r="436" spans="1:16">
      <c r="A436" s="14" t="s">
        <v>1364</v>
      </c>
      <c r="B436" s="233">
        <v>885</v>
      </c>
      <c r="C436">
        <v>2</v>
      </c>
      <c r="D436">
        <v>882</v>
      </c>
      <c r="E436" t="s">
        <v>5420</v>
      </c>
      <c r="F436" t="s">
        <v>5420</v>
      </c>
      <c r="G436" t="s">
        <v>6003</v>
      </c>
      <c r="H436" t="str">
        <f t="shared" si="24"/>
        <v>Cow milk, whole, fresha</v>
      </c>
      <c r="I436">
        <f t="shared" si="25"/>
        <v>882</v>
      </c>
      <c r="J436" s="421">
        <v>0.15</v>
      </c>
      <c r="K436" s="655">
        <v>1147270</v>
      </c>
      <c r="L436" s="469">
        <v>2681120</v>
      </c>
      <c r="M436" s="470">
        <v>2.3369564269962599</v>
      </c>
      <c r="N436" s="656">
        <f t="shared" si="26"/>
        <v>0.35054346404943898</v>
      </c>
      <c r="O436" s="666">
        <f t="shared" si="27"/>
        <v>0.35572850826682961</v>
      </c>
      <c r="P436" s="662">
        <v>2011</v>
      </c>
    </row>
    <row r="437" spans="1:16">
      <c r="A437" s="14" t="s">
        <v>1369</v>
      </c>
      <c r="B437" s="233">
        <v>886</v>
      </c>
      <c r="C437">
        <v>2</v>
      </c>
      <c r="D437">
        <v>882</v>
      </c>
      <c r="E437" t="s">
        <v>5420</v>
      </c>
      <c r="F437" t="s">
        <v>5420</v>
      </c>
      <c r="G437" t="s">
        <v>6004</v>
      </c>
      <c r="H437" t="str">
        <f t="shared" si="24"/>
        <v>Cow milk, whole, freshb</v>
      </c>
      <c r="I437">
        <f t="shared" si="25"/>
        <v>882</v>
      </c>
      <c r="J437" s="421">
        <v>5.5E-2</v>
      </c>
      <c r="K437" s="655">
        <v>1441790</v>
      </c>
      <c r="L437" s="469">
        <v>7226330</v>
      </c>
      <c r="M437" s="470">
        <v>5.0120544600808703</v>
      </c>
      <c r="N437" s="656">
        <f t="shared" si="26"/>
        <v>0.27566299530444788</v>
      </c>
      <c r="O437" s="666">
        <f t="shared" si="27"/>
        <v>5.5E-2</v>
      </c>
      <c r="P437" s="662">
        <v>2011</v>
      </c>
    </row>
    <row r="438" spans="1:16">
      <c r="A438" s="14" t="s">
        <v>401</v>
      </c>
      <c r="B438" s="233">
        <v>887</v>
      </c>
      <c r="C438">
        <v>2</v>
      </c>
      <c r="D438">
        <v>882</v>
      </c>
      <c r="E438" t="s">
        <v>5420</v>
      </c>
      <c r="F438" t="s">
        <v>5420</v>
      </c>
      <c r="G438" t="s">
        <v>6005</v>
      </c>
      <c r="H438" t="str">
        <f t="shared" si="24"/>
        <v>Cow milk, whole, freshc</v>
      </c>
      <c r="I438">
        <f t="shared" si="25"/>
        <v>882</v>
      </c>
      <c r="J438" s="421">
        <v>0.05</v>
      </c>
      <c r="K438" s="655" t="s">
        <v>7419</v>
      </c>
      <c r="L438" s="469" t="s">
        <v>7420</v>
      </c>
      <c r="M438" s="470">
        <v>3.6345968062737968</v>
      </c>
      <c r="N438" s="656">
        <f t="shared" si="26"/>
        <v>0.18172984031368986</v>
      </c>
      <c r="O438" s="666">
        <f t="shared" si="27"/>
        <v>0.47870916099572702</v>
      </c>
      <c r="P438" s="662" t="s">
        <v>7514</v>
      </c>
    </row>
    <row r="439" spans="1:16">
      <c r="A439" s="14" t="s">
        <v>3639</v>
      </c>
      <c r="B439" s="233">
        <v>888</v>
      </c>
      <c r="C439">
        <v>2</v>
      </c>
      <c r="D439">
        <v>882</v>
      </c>
      <c r="E439" t="s">
        <v>5420</v>
      </c>
      <c r="F439" t="s">
        <v>5420</v>
      </c>
      <c r="G439" t="s">
        <v>6003</v>
      </c>
      <c r="H439" t="str">
        <f t="shared" si="24"/>
        <v>Cow milk, whole, fresha</v>
      </c>
      <c r="I439">
        <f t="shared" si="25"/>
        <v>882</v>
      </c>
      <c r="J439" s="421">
        <v>0.93</v>
      </c>
      <c r="K439" s="655">
        <v>1577490</v>
      </c>
      <c r="L439" s="469">
        <v>815509</v>
      </c>
      <c r="M439" s="470">
        <v>0.51696619312959202</v>
      </c>
      <c r="N439" s="656">
        <f t="shared" si="26"/>
        <v>0.48077855961052063</v>
      </c>
      <c r="O439" s="666">
        <f t="shared" si="27"/>
        <v>1.6080781194362657</v>
      </c>
      <c r="P439" s="662">
        <v>2011</v>
      </c>
    </row>
    <row r="440" spans="1:16">
      <c r="A440" s="14" t="s">
        <v>2535</v>
      </c>
      <c r="B440" s="233">
        <v>889</v>
      </c>
      <c r="C440">
        <v>2</v>
      </c>
      <c r="D440">
        <v>882</v>
      </c>
      <c r="E440" t="s">
        <v>5420</v>
      </c>
      <c r="F440" t="s">
        <v>5420</v>
      </c>
      <c r="G440" t="s">
        <v>6006</v>
      </c>
      <c r="H440" t="str">
        <f t="shared" si="24"/>
        <v>Cow milk, whole, freshd</v>
      </c>
      <c r="I440">
        <f t="shared" si="25"/>
        <v>882</v>
      </c>
      <c r="J440" s="421">
        <v>0.32500000000000001</v>
      </c>
      <c r="K440" s="655">
        <v>404022</v>
      </c>
      <c r="L440" s="469">
        <v>804989</v>
      </c>
      <c r="M440" s="470">
        <v>1.99243853057507</v>
      </c>
      <c r="N440" s="656">
        <f t="shared" si="26"/>
        <v>0.6475425224368978</v>
      </c>
      <c r="O440" s="666">
        <f t="shared" si="27"/>
        <v>0.32500000000000001</v>
      </c>
      <c r="P440" s="662">
        <v>2011</v>
      </c>
    </row>
    <row r="441" spans="1:16">
      <c r="A441" s="14" t="s">
        <v>5370</v>
      </c>
      <c r="B441" s="233">
        <v>890</v>
      </c>
      <c r="C441">
        <v>4</v>
      </c>
      <c r="D441">
        <v>882</v>
      </c>
      <c r="E441" t="s">
        <v>5420</v>
      </c>
      <c r="F441" t="s">
        <v>5371</v>
      </c>
      <c r="G441" s="13" t="s">
        <v>6005</v>
      </c>
      <c r="H441" t="str">
        <f t="shared" si="24"/>
        <v>Whey Freshc</v>
      </c>
      <c r="I441">
        <f t="shared" si="25"/>
        <v>903</v>
      </c>
      <c r="J441" s="421">
        <v>0.32500000000000001</v>
      </c>
      <c r="K441" s="655">
        <v>873647</v>
      </c>
      <c r="L441" s="469">
        <v>279739</v>
      </c>
      <c r="M441" s="470">
        <v>0.32019683006981098</v>
      </c>
      <c r="N441" s="656">
        <f t="shared" si="26"/>
        <v>0.10406396977268857</v>
      </c>
      <c r="O441" s="666">
        <f t="shared" si="27"/>
        <v>2.0277052050106672</v>
      </c>
      <c r="P441" s="662">
        <v>2011</v>
      </c>
    </row>
    <row r="442" spans="1:16">
      <c r="A442" s="14" t="s">
        <v>588</v>
      </c>
      <c r="B442" s="233">
        <v>891</v>
      </c>
      <c r="C442">
        <v>2</v>
      </c>
      <c r="D442">
        <v>882</v>
      </c>
      <c r="E442" t="s">
        <v>5420</v>
      </c>
      <c r="F442" t="s">
        <v>5420</v>
      </c>
      <c r="G442" t="s">
        <v>6007</v>
      </c>
      <c r="H442" t="str">
        <f t="shared" si="24"/>
        <v>Cow milk, whole, freshe</v>
      </c>
      <c r="I442">
        <f t="shared" si="25"/>
        <v>882</v>
      </c>
      <c r="J442" s="421">
        <v>0.8</v>
      </c>
      <c r="K442" s="655" t="s">
        <v>7421</v>
      </c>
      <c r="L442" s="469" t="s">
        <v>7422</v>
      </c>
      <c r="M442" s="470">
        <v>1.4636789006513391</v>
      </c>
      <c r="N442" s="656">
        <f t="shared" si="26"/>
        <v>1.1709431205210714</v>
      </c>
      <c r="O442" s="666">
        <f t="shared" si="27"/>
        <v>0.8</v>
      </c>
      <c r="P442" s="662" t="s">
        <v>7514</v>
      </c>
    </row>
    <row r="443" spans="1:16">
      <c r="A443" s="14" t="s">
        <v>5372</v>
      </c>
      <c r="B443" s="233">
        <v>892</v>
      </c>
      <c r="C443">
        <v>2</v>
      </c>
      <c r="D443">
        <v>882</v>
      </c>
      <c r="E443" t="s">
        <v>5420</v>
      </c>
      <c r="F443" t="s">
        <v>5420</v>
      </c>
      <c r="G443" t="s">
        <v>6008</v>
      </c>
      <c r="H443" t="str">
        <f t="shared" si="24"/>
        <v>Cow milk, whole, freshf</v>
      </c>
      <c r="I443">
        <f t="shared" si="25"/>
        <v>882</v>
      </c>
      <c r="J443" s="421">
        <v>0.8</v>
      </c>
      <c r="K443" s="655">
        <v>1495250</v>
      </c>
      <c r="L443" s="469">
        <v>2423330</v>
      </c>
      <c r="M443" s="470">
        <v>1.62068550409631</v>
      </c>
      <c r="N443" s="656">
        <f t="shared" si="26"/>
        <v>1.296548403277048</v>
      </c>
      <c r="O443" s="666">
        <f t="shared" si="27"/>
        <v>0.8</v>
      </c>
      <c r="P443" s="662">
        <v>2011</v>
      </c>
    </row>
    <row r="444" spans="1:16">
      <c r="A444" s="14" t="s">
        <v>1844</v>
      </c>
      <c r="B444" s="233">
        <v>893</v>
      </c>
      <c r="C444">
        <v>2</v>
      </c>
      <c r="D444">
        <v>882</v>
      </c>
      <c r="E444" t="s">
        <v>5420</v>
      </c>
      <c r="F444" t="s">
        <v>5420</v>
      </c>
      <c r="G444" t="s">
        <v>6005</v>
      </c>
      <c r="H444" t="str">
        <f t="shared" si="24"/>
        <v>Cow milk, whole, freshc</v>
      </c>
      <c r="I444">
        <f t="shared" si="25"/>
        <v>882</v>
      </c>
      <c r="J444" s="421">
        <v>0.93</v>
      </c>
      <c r="K444" s="655">
        <v>936634</v>
      </c>
      <c r="L444" s="469">
        <v>1569300</v>
      </c>
      <c r="M444" s="470">
        <v>1.67546768534988</v>
      </c>
      <c r="N444" s="656">
        <f t="shared" si="26"/>
        <v>1.5581849473753884</v>
      </c>
      <c r="O444" s="666">
        <f t="shared" si="27"/>
        <v>1.0384651419437791</v>
      </c>
      <c r="P444" s="662">
        <v>2011</v>
      </c>
    </row>
    <row r="445" spans="1:16">
      <c r="A445" s="14" t="s">
        <v>253</v>
      </c>
      <c r="B445" s="233">
        <v>894</v>
      </c>
      <c r="C445">
        <v>2</v>
      </c>
      <c r="D445">
        <v>882</v>
      </c>
      <c r="E445" t="s">
        <v>5420</v>
      </c>
      <c r="F445" t="s">
        <v>5420</v>
      </c>
      <c r="G445" t="s">
        <v>6009</v>
      </c>
      <c r="H445" t="str">
        <f t="shared" si="24"/>
        <v>Cow milk, whole, freshg</v>
      </c>
      <c r="I445">
        <f t="shared" si="25"/>
        <v>882</v>
      </c>
      <c r="J445" s="421">
        <v>0.4</v>
      </c>
      <c r="K445" s="655">
        <v>893915</v>
      </c>
      <c r="L445" s="469">
        <v>1372870</v>
      </c>
      <c r="M445" s="470">
        <v>1.5357947903324101</v>
      </c>
      <c r="N445" s="656">
        <f t="shared" si="26"/>
        <v>0.61431791613296405</v>
      </c>
      <c r="O445" s="666">
        <f t="shared" si="27"/>
        <v>0.4</v>
      </c>
      <c r="P445" s="662">
        <v>2011</v>
      </c>
    </row>
    <row r="446" spans="1:16">
      <c r="A446" s="14" t="s">
        <v>3925</v>
      </c>
      <c r="B446" s="233">
        <v>895</v>
      </c>
      <c r="C446">
        <v>3</v>
      </c>
      <c r="D446">
        <v>882</v>
      </c>
      <c r="E446" t="s">
        <v>5420</v>
      </c>
      <c r="F446" t="s">
        <v>3639</v>
      </c>
      <c r="G446" t="s">
        <v>6003</v>
      </c>
      <c r="H446" t="str">
        <f t="shared" si="24"/>
        <v>Milk Skm of Cowsa</v>
      </c>
      <c r="I446">
        <f t="shared" si="25"/>
        <v>888</v>
      </c>
      <c r="J446" s="421">
        <v>0.4</v>
      </c>
      <c r="K446" s="655" t="s">
        <v>7423</v>
      </c>
      <c r="L446" s="469" t="s">
        <v>7424</v>
      </c>
      <c r="M446" s="470">
        <v>4.0816012317167054</v>
      </c>
      <c r="N446" s="656">
        <f t="shared" si="26"/>
        <v>1.6326404926866822</v>
      </c>
      <c r="O446" s="666">
        <f t="shared" si="27"/>
        <v>0.64323124777450635</v>
      </c>
      <c r="P446" s="662" t="s">
        <v>7514</v>
      </c>
    </row>
    <row r="447" spans="1:16">
      <c r="A447" s="14" t="s">
        <v>3197</v>
      </c>
      <c r="B447" s="233">
        <v>896</v>
      </c>
      <c r="C447">
        <v>3</v>
      </c>
      <c r="D447">
        <v>882</v>
      </c>
      <c r="E447" t="s">
        <v>5420</v>
      </c>
      <c r="F447" t="s">
        <v>3639</v>
      </c>
      <c r="G447" t="s">
        <v>6004</v>
      </c>
      <c r="H447" t="str">
        <f t="shared" si="24"/>
        <v>Milk Skm of Cowsb</v>
      </c>
      <c r="I447">
        <f t="shared" si="25"/>
        <v>888</v>
      </c>
      <c r="J447" s="421">
        <v>0.36</v>
      </c>
      <c r="K447" s="655" t="s">
        <v>7425</v>
      </c>
      <c r="L447" s="469" t="s">
        <v>7426</v>
      </c>
      <c r="M447" s="470">
        <v>1.9709922599539782</v>
      </c>
      <c r="N447" s="656">
        <f t="shared" si="26"/>
        <v>0.70955721358343216</v>
      </c>
      <c r="O447" s="666">
        <f t="shared" si="27"/>
        <v>0.57890812299705563</v>
      </c>
      <c r="P447" s="662" t="s">
        <v>7514</v>
      </c>
    </row>
    <row r="448" spans="1:16">
      <c r="A448" s="14" t="s">
        <v>2536</v>
      </c>
      <c r="B448" s="233">
        <v>897</v>
      </c>
      <c r="C448">
        <v>2</v>
      </c>
      <c r="D448">
        <v>882</v>
      </c>
      <c r="E448" t="s">
        <v>5420</v>
      </c>
      <c r="F448" t="s">
        <v>5420</v>
      </c>
      <c r="G448" t="s">
        <v>6010</v>
      </c>
      <c r="H448" t="str">
        <f t="shared" si="24"/>
        <v>Cow milk, whole, freshh</v>
      </c>
      <c r="I448">
        <f t="shared" si="25"/>
        <v>882</v>
      </c>
      <c r="J448" s="421">
        <v>0.15</v>
      </c>
      <c r="K448" s="655">
        <v>2277930</v>
      </c>
      <c r="L448" s="469">
        <v>9686670</v>
      </c>
      <c r="M448" s="470">
        <v>4.2524002054496801</v>
      </c>
      <c r="N448" s="656">
        <f t="shared" si="26"/>
        <v>0.63786003081745202</v>
      </c>
      <c r="O448" s="666">
        <f t="shared" si="27"/>
        <v>0.15</v>
      </c>
      <c r="P448" s="662">
        <v>2011</v>
      </c>
    </row>
    <row r="449" spans="1:16">
      <c r="A449" s="14" t="s">
        <v>3638</v>
      </c>
      <c r="B449" s="233">
        <v>898</v>
      </c>
      <c r="C449">
        <v>3</v>
      </c>
      <c r="D449">
        <v>882</v>
      </c>
      <c r="E449" t="s">
        <v>5420</v>
      </c>
      <c r="F449" t="s">
        <v>3639</v>
      </c>
      <c r="G449" t="s">
        <v>6005</v>
      </c>
      <c r="H449" t="str">
        <f t="shared" si="24"/>
        <v>Milk Skm of Cowsc</v>
      </c>
      <c r="I449">
        <f t="shared" si="25"/>
        <v>888</v>
      </c>
      <c r="J449" s="421">
        <v>0.1</v>
      </c>
      <c r="K449" s="655">
        <v>2287650</v>
      </c>
      <c r="L449" s="469">
        <v>7743330</v>
      </c>
      <c r="M449" s="470">
        <v>3.3848403383384702</v>
      </c>
      <c r="N449" s="656">
        <f t="shared" si="26"/>
        <v>0.33848403383384706</v>
      </c>
      <c r="O449" s="666">
        <f t="shared" si="27"/>
        <v>0.16080781194362659</v>
      </c>
      <c r="P449" s="662">
        <v>2011</v>
      </c>
    </row>
    <row r="450" spans="1:16">
      <c r="A450" s="14" t="s">
        <v>4996</v>
      </c>
      <c r="B450" s="233">
        <v>899</v>
      </c>
      <c r="C450">
        <v>3</v>
      </c>
      <c r="D450">
        <v>882</v>
      </c>
      <c r="E450" t="s">
        <v>5420</v>
      </c>
      <c r="F450" t="s">
        <v>3639</v>
      </c>
      <c r="G450" t="s">
        <v>6006</v>
      </c>
      <c r="H450" t="str">
        <f t="shared" si="24"/>
        <v>Milk Skm of Cowsd</v>
      </c>
      <c r="I450">
        <f t="shared" si="25"/>
        <v>888</v>
      </c>
      <c r="J450" s="421">
        <v>0.1</v>
      </c>
      <c r="K450" s="655" t="s">
        <v>7427</v>
      </c>
      <c r="L450" s="469" t="s">
        <v>7428</v>
      </c>
      <c r="M450" s="470">
        <v>3.1598546775658494</v>
      </c>
      <c r="N450" s="656">
        <f t="shared" si="26"/>
        <v>0.31598546775658498</v>
      </c>
      <c r="O450" s="666">
        <f t="shared" si="27"/>
        <v>0.16080781194362659</v>
      </c>
      <c r="P450" s="662" t="s">
        <v>7514</v>
      </c>
    </row>
    <row r="451" spans="1:16">
      <c r="A451" s="14" t="s">
        <v>270</v>
      </c>
      <c r="B451" s="233">
        <v>900</v>
      </c>
      <c r="C451">
        <v>4</v>
      </c>
      <c r="D451">
        <v>882</v>
      </c>
      <c r="E451" t="s">
        <v>5420</v>
      </c>
      <c r="F451" t="s">
        <v>5371</v>
      </c>
      <c r="G451" t="s">
        <v>6003</v>
      </c>
      <c r="H451" t="str">
        <f t="shared" si="24"/>
        <v>Whey Fresha</v>
      </c>
      <c r="I451">
        <f t="shared" si="25"/>
        <v>903</v>
      </c>
      <c r="J451" s="421">
        <v>0.1</v>
      </c>
      <c r="K451" s="655">
        <v>1956480</v>
      </c>
      <c r="L451" s="469">
        <v>3132330</v>
      </c>
      <c r="M451" s="470">
        <v>1.6010028213935199</v>
      </c>
      <c r="N451" s="656">
        <f t="shared" si="26"/>
        <v>0.16010028213935201</v>
      </c>
      <c r="O451" s="666">
        <f t="shared" si="27"/>
        <v>0.62390929384943605</v>
      </c>
      <c r="P451" s="662">
        <v>2011</v>
      </c>
    </row>
    <row r="452" spans="1:16">
      <c r="A452" s="14" t="s">
        <v>4549</v>
      </c>
      <c r="B452" s="233">
        <v>901</v>
      </c>
      <c r="C452">
        <v>2</v>
      </c>
      <c r="D452">
        <v>882</v>
      </c>
      <c r="E452" t="s">
        <v>5420</v>
      </c>
      <c r="F452" t="s">
        <v>5420</v>
      </c>
      <c r="G452" t="s">
        <v>6011</v>
      </c>
      <c r="H452" t="str">
        <f t="shared" si="24"/>
        <v>Cow milk, whole, freshi</v>
      </c>
      <c r="I452">
        <f t="shared" si="25"/>
        <v>882</v>
      </c>
      <c r="J452" s="421">
        <v>0.15</v>
      </c>
      <c r="K452" s="655">
        <v>4764850</v>
      </c>
      <c r="L452" s="469">
        <v>24670900</v>
      </c>
      <c r="M452" s="470">
        <v>5.1776866008373803</v>
      </c>
      <c r="N452" s="656">
        <f t="shared" si="26"/>
        <v>0.77665299012560707</v>
      </c>
      <c r="O452" s="666">
        <f t="shared" si="27"/>
        <v>0.15</v>
      </c>
      <c r="P452" s="662">
        <v>2011</v>
      </c>
    </row>
    <row r="453" spans="1:16">
      <c r="A453" s="14" t="s">
        <v>5371</v>
      </c>
      <c r="B453" s="233">
        <v>903</v>
      </c>
      <c r="C453">
        <v>3</v>
      </c>
      <c r="D453">
        <v>882</v>
      </c>
      <c r="E453" t="s">
        <v>5420</v>
      </c>
      <c r="F453" t="s">
        <v>3639</v>
      </c>
      <c r="G453" t="s">
        <v>6007</v>
      </c>
      <c r="H453" t="str">
        <f t="shared" si="24"/>
        <v>Milk Skm of Cowse</v>
      </c>
      <c r="I453">
        <f t="shared" si="25"/>
        <v>888</v>
      </c>
      <c r="J453" s="421">
        <v>0.85</v>
      </c>
      <c r="K453" s="655" t="s">
        <v>7429</v>
      </c>
      <c r="L453" s="469" t="s">
        <v>7430</v>
      </c>
      <c r="M453" s="470">
        <v>0.33608196730368678</v>
      </c>
      <c r="N453" s="656">
        <f t="shared" si="26"/>
        <v>0.28566967220813377</v>
      </c>
      <c r="O453" s="666">
        <f t="shared" si="27"/>
        <v>6.2390929384943599</v>
      </c>
      <c r="P453" s="662" t="s">
        <v>7514</v>
      </c>
    </row>
    <row r="454" spans="1:16">
      <c r="A454" s="14" t="s">
        <v>4547</v>
      </c>
      <c r="B454" s="233">
        <v>904</v>
      </c>
      <c r="C454">
        <v>3</v>
      </c>
      <c r="D454">
        <v>882</v>
      </c>
      <c r="E454" t="s">
        <v>5420</v>
      </c>
      <c r="F454" t="s">
        <v>3639</v>
      </c>
      <c r="G454" t="s">
        <v>6007</v>
      </c>
      <c r="H454" t="str">
        <f t="shared" si="24"/>
        <v>Milk Skm of Cowse</v>
      </c>
      <c r="I454">
        <f t="shared" si="25"/>
        <v>888</v>
      </c>
      <c r="J454" s="421">
        <v>0.18</v>
      </c>
      <c r="K454" s="655" t="s">
        <v>7431</v>
      </c>
      <c r="L454" s="469" t="s">
        <v>7432</v>
      </c>
      <c r="M454" s="470">
        <v>5.6570893191755154</v>
      </c>
      <c r="N454" s="656">
        <f t="shared" si="26"/>
        <v>1.0182760774515927</v>
      </c>
      <c r="O454" s="666">
        <f t="shared" si="27"/>
        <v>0.3706582149679275</v>
      </c>
      <c r="P454" s="662" t="s">
        <v>7514</v>
      </c>
    </row>
    <row r="455" spans="1:16">
      <c r="A455" s="14" t="s">
        <v>269</v>
      </c>
      <c r="B455" s="233">
        <v>905</v>
      </c>
      <c r="C455">
        <v>4</v>
      </c>
      <c r="D455">
        <v>882</v>
      </c>
      <c r="E455" t="s">
        <v>5420</v>
      </c>
      <c r="F455" t="s">
        <v>5371</v>
      </c>
      <c r="G455" t="s">
        <v>6004</v>
      </c>
      <c r="H455" t="str">
        <f t="shared" si="24"/>
        <v>Whey Freshb</v>
      </c>
      <c r="I455">
        <f t="shared" si="25"/>
        <v>903</v>
      </c>
      <c r="J455" s="421">
        <v>0.15</v>
      </c>
      <c r="K455" s="655" t="s">
        <v>7433</v>
      </c>
      <c r="L455" s="469" t="s">
        <v>7434</v>
      </c>
      <c r="M455" s="470">
        <v>4.042603251964203</v>
      </c>
      <c r="N455" s="656">
        <f t="shared" si="26"/>
        <v>0.60639048779463045</v>
      </c>
      <c r="O455" s="666">
        <f t="shared" si="27"/>
        <v>0.93586394077415391</v>
      </c>
      <c r="P455" s="662" t="s">
        <v>7514</v>
      </c>
    </row>
    <row r="456" spans="1:16">
      <c r="A456" s="14" t="s">
        <v>2902</v>
      </c>
      <c r="B456" s="233">
        <v>907</v>
      </c>
      <c r="C456">
        <v>5</v>
      </c>
      <c r="D456">
        <v>882</v>
      </c>
      <c r="E456" t="s">
        <v>5420</v>
      </c>
      <c r="F456" t="s">
        <v>269</v>
      </c>
      <c r="G456" t="s">
        <v>6005</v>
      </c>
      <c r="H456" t="str">
        <f t="shared" ref="H456:H519" si="28">F456&amp;G456</f>
        <v>Whey Cheesec</v>
      </c>
      <c r="I456">
        <f t="shared" ref="I456:I519" si="29">IFERROR(VLOOKUP(F456,$A$7:$B$590,2,FALSE),"")</f>
        <v>905</v>
      </c>
      <c r="J456" s="421">
        <v>0.15</v>
      </c>
      <c r="K456" s="655">
        <v>461055</v>
      </c>
      <c r="L456" s="469">
        <v>2276390</v>
      </c>
      <c r="M456" s="470">
        <v>4.9373502076758697</v>
      </c>
      <c r="N456" s="656">
        <f t="shared" ref="N456:N519" si="30">IF(ISBLANK(J456),"",J456*M456)</f>
        <v>0.74060253115138042</v>
      </c>
      <c r="O456" s="666">
        <f>IF(ISBLANK(F456),1,J456/(N456/SUMIF(H$7:H$601,H456,N$7:N$601))*VLOOKUP(F456,A$7:O$601,15,FALSE))</f>
        <v>0.14037959111612308</v>
      </c>
      <c r="P456" s="662">
        <v>2011</v>
      </c>
    </row>
    <row r="457" spans="1:16">
      <c r="A457" s="14" t="s">
        <v>657</v>
      </c>
      <c r="B457" s="233">
        <v>908</v>
      </c>
      <c r="C457">
        <v>4</v>
      </c>
      <c r="D457">
        <v>882</v>
      </c>
      <c r="E457" t="s">
        <v>5420</v>
      </c>
      <c r="F457" t="s">
        <v>3638</v>
      </c>
      <c r="G457" t="s">
        <v>6003</v>
      </c>
      <c r="H457" t="str">
        <f t="shared" si="28"/>
        <v>Milk Skimmed Drya</v>
      </c>
      <c r="I457">
        <f t="shared" si="29"/>
        <v>898</v>
      </c>
      <c r="J457" s="421">
        <v>6.666666666666667</v>
      </c>
      <c r="K457" s="655">
        <v>79</v>
      </c>
      <c r="L457" s="469">
        <v>176</v>
      </c>
      <c r="M457" s="470">
        <v>0.44886363636363602</v>
      </c>
      <c r="N457" s="656">
        <f t="shared" si="30"/>
        <v>2.9924242424242404</v>
      </c>
      <c r="O457" s="666">
        <f>IF(ISBLANK(F457),1,J457/(N457/SUMIF(H$7:H$601,H457,N$7:N$601))*VLOOKUP(F457,A$7:O$601,15,FALSE))</f>
        <v>1.0720520796241773</v>
      </c>
      <c r="P457" s="662">
        <v>1985</v>
      </c>
    </row>
    <row r="458" spans="1:16">
      <c r="A458" s="14" t="s">
        <v>2903</v>
      </c>
      <c r="B458" s="233">
        <v>909</v>
      </c>
      <c r="C458">
        <v>4</v>
      </c>
      <c r="D458">
        <v>882</v>
      </c>
      <c r="E458" t="s">
        <v>5420</v>
      </c>
      <c r="F458"/>
      <c r="G458"/>
      <c r="H458" t="str">
        <f t="shared" si="28"/>
        <v/>
      </c>
      <c r="I458" t="str">
        <f t="shared" si="29"/>
        <v/>
      </c>
      <c r="J458" s="421"/>
      <c r="K458" s="655">
        <v>405166</v>
      </c>
      <c r="L458" s="469">
        <v>1044590</v>
      </c>
      <c r="M458" s="470">
        <v>2.5781778332831502</v>
      </c>
      <c r="N458" s="656" t="str">
        <f t="shared" si="30"/>
        <v/>
      </c>
      <c r="O458" s="666">
        <f t="shared" ref="O458:O521" si="31">IF(ISBLANK(F458),1,J458/(N458/SUMIF(H$7:H$601,H458,N$7:N$601))*VLOOKUP(F458,A$7:O$601,15,FALSE))</f>
        <v>1</v>
      </c>
      <c r="P458" s="662">
        <v>2011</v>
      </c>
    </row>
    <row r="459" spans="1:16">
      <c r="A459" s="14" t="s">
        <v>2661</v>
      </c>
      <c r="B459" s="233">
        <v>910</v>
      </c>
      <c r="C459"/>
      <c r="D459">
        <v>882</v>
      </c>
      <c r="E459" t="s">
        <v>5420</v>
      </c>
      <c r="F459"/>
      <c r="G459"/>
      <c r="H459" t="str">
        <f t="shared" si="28"/>
        <v/>
      </c>
      <c r="I459" t="str">
        <f t="shared" si="29"/>
        <v/>
      </c>
      <c r="J459" s="421"/>
      <c r="K459" s="655">
        <v>1103100</v>
      </c>
      <c r="L459" s="469">
        <v>3266940</v>
      </c>
      <c r="M459" s="470">
        <v>2.9615991297253199</v>
      </c>
      <c r="N459" s="656" t="str">
        <f t="shared" si="30"/>
        <v/>
      </c>
      <c r="O459" s="666">
        <f t="shared" si="31"/>
        <v>1</v>
      </c>
      <c r="P459" s="662">
        <v>2011</v>
      </c>
    </row>
    <row r="460" spans="1:16">
      <c r="A460" s="14" t="s">
        <v>294</v>
      </c>
      <c r="B460" s="233">
        <v>920</v>
      </c>
      <c r="C460">
        <v>3</v>
      </c>
      <c r="D460">
        <v>866</v>
      </c>
      <c r="E460" t="s">
        <v>4668</v>
      </c>
      <c r="F460" t="s">
        <v>7139</v>
      </c>
      <c r="G460" t="s">
        <v>6003</v>
      </c>
      <c r="H460" t="str">
        <f t="shared" si="28"/>
        <v>Hides, cattle, fresha</v>
      </c>
      <c r="I460">
        <f t="shared" si="29"/>
        <v>919</v>
      </c>
      <c r="J460" s="421">
        <v>0.8</v>
      </c>
      <c r="K460" s="655">
        <v>2130350</v>
      </c>
      <c r="L460" s="469">
        <v>4687390</v>
      </c>
      <c r="M460" s="470">
        <v>2.2002910319900502</v>
      </c>
      <c r="N460" s="656">
        <f t="shared" si="30"/>
        <v>1.7602328255920403</v>
      </c>
      <c r="O460" s="666">
        <f t="shared" si="31"/>
        <v>2.1345811211035826</v>
      </c>
      <c r="P460" s="662">
        <v>2011</v>
      </c>
    </row>
    <row r="461" spans="1:16">
      <c r="A461" s="14" t="s">
        <v>3832</v>
      </c>
      <c r="B461" s="233">
        <v>921</v>
      </c>
      <c r="C461">
        <v>4</v>
      </c>
      <c r="D461">
        <v>866</v>
      </c>
      <c r="E461" t="s">
        <v>4668</v>
      </c>
      <c r="F461" t="s">
        <v>294</v>
      </c>
      <c r="G461" t="s">
        <v>6003</v>
      </c>
      <c r="H461" t="str">
        <f t="shared" si="28"/>
        <v>Hides Wet Salted Cattlea</v>
      </c>
      <c r="I461">
        <f t="shared" si="29"/>
        <v>920</v>
      </c>
      <c r="J461" s="421">
        <v>0.5</v>
      </c>
      <c r="K461" s="655" t="s">
        <v>7435</v>
      </c>
      <c r="L461" s="469" t="s">
        <v>7436</v>
      </c>
      <c r="M461" s="470">
        <v>1.8604605539726284</v>
      </c>
      <c r="N461" s="656">
        <f t="shared" si="30"/>
        <v>0.93023027698631422</v>
      </c>
      <c r="O461" s="666">
        <f t="shared" si="31"/>
        <v>1.0672905605517913</v>
      </c>
      <c r="P461" s="662" t="s">
        <v>7514</v>
      </c>
    </row>
    <row r="462" spans="1:16">
      <c r="A462" s="14" t="s">
        <v>293</v>
      </c>
      <c r="B462" s="233">
        <v>922</v>
      </c>
      <c r="C462">
        <v>3</v>
      </c>
      <c r="D462">
        <v>866</v>
      </c>
      <c r="E462" t="s">
        <v>4668</v>
      </c>
      <c r="F462" t="s">
        <v>7139</v>
      </c>
      <c r="G462" t="s">
        <v>6004</v>
      </c>
      <c r="H462" t="str">
        <f t="shared" si="28"/>
        <v>Hides, cattle, freshb</v>
      </c>
      <c r="I462">
        <f t="shared" si="29"/>
        <v>919</v>
      </c>
      <c r="J462" s="421">
        <v>0.8</v>
      </c>
      <c r="K462" s="655" t="s">
        <v>7437</v>
      </c>
      <c r="L462" s="469" t="s">
        <v>7438</v>
      </c>
      <c r="M462" s="470">
        <v>1.5453402614817298</v>
      </c>
      <c r="N462" s="656">
        <f t="shared" si="30"/>
        <v>1.2362722091853839</v>
      </c>
      <c r="O462" s="666">
        <f t="shared" si="31"/>
        <v>2.1345811211035826</v>
      </c>
      <c r="P462" s="662" t="s">
        <v>7514</v>
      </c>
    </row>
    <row r="463" spans="1:16">
      <c r="A463" s="14" t="s">
        <v>356</v>
      </c>
      <c r="B463" s="233">
        <v>928</v>
      </c>
      <c r="C463">
        <v>3</v>
      </c>
      <c r="D463">
        <v>866</v>
      </c>
      <c r="E463" t="s">
        <v>4668</v>
      </c>
      <c r="F463" t="s">
        <v>7139</v>
      </c>
      <c r="G463" t="s">
        <v>6005</v>
      </c>
      <c r="H463" t="str">
        <f t="shared" si="28"/>
        <v>Hides, cattle, freshc</v>
      </c>
      <c r="I463">
        <f t="shared" si="29"/>
        <v>919</v>
      </c>
      <c r="J463" s="421">
        <v>0.8</v>
      </c>
      <c r="K463" s="655">
        <v>115184</v>
      </c>
      <c r="L463" s="469">
        <v>404677</v>
      </c>
      <c r="M463" s="470">
        <v>3.51330914015836</v>
      </c>
      <c r="N463" s="656">
        <f t="shared" si="30"/>
        <v>2.8106473121266884</v>
      </c>
      <c r="O463" s="666">
        <f t="shared" si="31"/>
        <v>2.1345811211035826</v>
      </c>
      <c r="P463" s="662">
        <v>2011</v>
      </c>
    </row>
    <row r="464" spans="1:16">
      <c r="A464" s="14" t="s">
        <v>1495</v>
      </c>
      <c r="B464" s="233">
        <v>929</v>
      </c>
      <c r="C464">
        <v>4</v>
      </c>
      <c r="D464">
        <v>866</v>
      </c>
      <c r="E464" t="s">
        <v>4668</v>
      </c>
      <c r="F464" t="s">
        <v>356</v>
      </c>
      <c r="G464" t="s">
        <v>6003</v>
      </c>
      <c r="H464" t="str">
        <f t="shared" si="28"/>
        <v>Skins Wet Salted Calvesa</v>
      </c>
      <c r="I464">
        <f t="shared" si="29"/>
        <v>928</v>
      </c>
      <c r="J464" s="421">
        <v>0.5</v>
      </c>
      <c r="K464" s="655" t="s">
        <v>7439</v>
      </c>
      <c r="L464" s="469" t="s">
        <v>7440</v>
      </c>
      <c r="M464" s="470">
        <v>3.7325038880248833</v>
      </c>
      <c r="N464" s="656">
        <f t="shared" si="30"/>
        <v>1.8662519440124417</v>
      </c>
      <c r="O464" s="666">
        <f t="shared" si="31"/>
        <v>1.0672905605517913</v>
      </c>
      <c r="P464" s="662" t="s">
        <v>7514</v>
      </c>
    </row>
    <row r="465" spans="1:16">
      <c r="A465" s="14" t="s">
        <v>1436</v>
      </c>
      <c r="B465" s="233">
        <v>930</v>
      </c>
      <c r="C465">
        <v>3</v>
      </c>
      <c r="D465">
        <v>866</v>
      </c>
      <c r="E465" t="s">
        <v>4668</v>
      </c>
      <c r="F465" t="s">
        <v>7139</v>
      </c>
      <c r="G465" t="s">
        <v>6006</v>
      </c>
      <c r="H465" t="str">
        <f t="shared" si="28"/>
        <v>Hides, cattle, freshd</v>
      </c>
      <c r="I465">
        <f t="shared" si="29"/>
        <v>919</v>
      </c>
      <c r="J465" s="421">
        <v>0.8</v>
      </c>
      <c r="K465" s="655" t="s">
        <v>7441</v>
      </c>
      <c r="L465" s="469" t="s">
        <v>7442</v>
      </c>
      <c r="M465" s="470">
        <v>0.1392757660167131</v>
      </c>
      <c r="N465" s="656">
        <f t="shared" si="30"/>
        <v>0.11142061281337048</v>
      </c>
      <c r="O465" s="666">
        <f t="shared" si="31"/>
        <v>2.1345811211035826</v>
      </c>
      <c r="P465" s="662" t="s">
        <v>7514</v>
      </c>
    </row>
    <row r="466" spans="1:16">
      <c r="A466" s="14" t="s">
        <v>2157</v>
      </c>
      <c r="B466" s="233">
        <v>946</v>
      </c>
      <c r="C466">
        <v>1</v>
      </c>
      <c r="D466">
        <v>946</v>
      </c>
      <c r="E466" t="s">
        <v>2157</v>
      </c>
      <c r="F466"/>
      <c r="G466"/>
      <c r="H466" t="str">
        <f t="shared" si="28"/>
        <v/>
      </c>
      <c r="I466" t="str">
        <f t="shared" si="29"/>
        <v/>
      </c>
      <c r="J466" s="421"/>
      <c r="K466" s="655">
        <v>82470</v>
      </c>
      <c r="L466" s="469">
        <v>2752</v>
      </c>
      <c r="M466" s="470">
        <v>3.3369710197647597E-2</v>
      </c>
      <c r="N466" s="656" t="str">
        <f t="shared" si="30"/>
        <v/>
      </c>
      <c r="O466" s="666">
        <f t="shared" si="31"/>
        <v>1</v>
      </c>
      <c r="P466" s="662">
        <v>2011</v>
      </c>
    </row>
    <row r="467" spans="1:16">
      <c r="A467" s="14" t="s">
        <v>4471</v>
      </c>
      <c r="B467" s="233">
        <v>947</v>
      </c>
      <c r="C467">
        <v>2</v>
      </c>
      <c r="D467">
        <v>946</v>
      </c>
      <c r="E467" t="s">
        <v>2157</v>
      </c>
      <c r="F467" t="s">
        <v>2157</v>
      </c>
      <c r="G467" t="s">
        <v>6003</v>
      </c>
      <c r="H467" t="str">
        <f t="shared" si="28"/>
        <v>Buffaloesa</v>
      </c>
      <c r="I467">
        <f t="shared" si="29"/>
        <v>946</v>
      </c>
      <c r="J467" s="421">
        <v>0.66</v>
      </c>
      <c r="K467" s="655" t="s">
        <v>7443</v>
      </c>
      <c r="L467" s="469" t="s">
        <v>7444</v>
      </c>
      <c r="M467" s="470">
        <v>1.484613520717228</v>
      </c>
      <c r="N467" s="656">
        <f t="shared" si="30"/>
        <v>0.9798449236733705</v>
      </c>
      <c r="O467" s="666">
        <f t="shared" si="31"/>
        <v>0.7592670953301055</v>
      </c>
      <c r="P467" s="662" t="s">
        <v>7514</v>
      </c>
    </row>
    <row r="468" spans="1:16">
      <c r="A468" s="14" t="s">
        <v>2363</v>
      </c>
      <c r="B468" s="233">
        <v>953</v>
      </c>
      <c r="C468"/>
      <c r="D468"/>
      <c r="E468"/>
      <c r="F468"/>
      <c r="G468"/>
      <c r="H468" t="str">
        <f t="shared" si="28"/>
        <v/>
      </c>
      <c r="I468" t="str">
        <f t="shared" si="29"/>
        <v/>
      </c>
      <c r="J468" s="421"/>
      <c r="K468" s="655" t="s">
        <v>7287</v>
      </c>
      <c r="L468" s="469" t="s">
        <v>7287</v>
      </c>
      <c r="M468" s="470">
        <v>0</v>
      </c>
      <c r="N468" s="656" t="str">
        <f t="shared" si="30"/>
        <v/>
      </c>
      <c r="O468" s="666">
        <f t="shared" si="31"/>
        <v>1</v>
      </c>
      <c r="P468" s="662" t="s">
        <v>7514</v>
      </c>
    </row>
    <row r="469" spans="1:16">
      <c r="A469" s="14" t="s">
        <v>1479</v>
      </c>
      <c r="B469" s="233">
        <v>958</v>
      </c>
      <c r="C469">
        <v>2</v>
      </c>
      <c r="D469">
        <v>946</v>
      </c>
      <c r="E469" t="s">
        <v>2157</v>
      </c>
      <c r="F469" t="s">
        <v>2157</v>
      </c>
      <c r="G469" t="s">
        <v>6003</v>
      </c>
      <c r="H469" t="str">
        <f t="shared" si="28"/>
        <v>Buffaloesa</v>
      </c>
      <c r="I469">
        <f t="shared" si="29"/>
        <v>946</v>
      </c>
      <c r="J469" s="421">
        <v>0.06</v>
      </c>
      <c r="K469" s="655">
        <v>115</v>
      </c>
      <c r="L469" s="469">
        <v>155</v>
      </c>
      <c r="M469" s="470">
        <v>0.74193548387096797</v>
      </c>
      <c r="N469" s="656">
        <f t="shared" si="30"/>
        <v>4.451612903225808E-2</v>
      </c>
      <c r="O469" s="666">
        <f t="shared" si="31"/>
        <v>1.5192940896715605</v>
      </c>
      <c r="P469" s="662">
        <v>2002</v>
      </c>
    </row>
    <row r="470" spans="1:16">
      <c r="A470" s="14" t="s">
        <v>1477</v>
      </c>
      <c r="B470" s="233">
        <v>959</v>
      </c>
      <c r="C470">
        <v>2</v>
      </c>
      <c r="D470">
        <v>946</v>
      </c>
      <c r="E470" t="s">
        <v>2157</v>
      </c>
      <c r="F470" t="s">
        <v>2157</v>
      </c>
      <c r="G470" t="s">
        <v>6003</v>
      </c>
      <c r="H470" t="str">
        <f t="shared" si="28"/>
        <v>Buffaloesa</v>
      </c>
      <c r="I470">
        <f t="shared" si="29"/>
        <v>946</v>
      </c>
      <c r="J470" s="421">
        <v>0.06</v>
      </c>
      <c r="K470" s="655">
        <v>36</v>
      </c>
      <c r="L470" s="469">
        <v>21</v>
      </c>
      <c r="M470" s="470">
        <v>1.71428571428571</v>
      </c>
      <c r="N470" s="656">
        <f t="shared" si="30"/>
        <v>0.10285714285714259</v>
      </c>
      <c r="O470" s="666">
        <f t="shared" si="31"/>
        <v>0.65754394741161815</v>
      </c>
      <c r="P470" s="662">
        <v>2002</v>
      </c>
    </row>
    <row r="471" spans="1:16">
      <c r="A471" s="14" t="s">
        <v>1867</v>
      </c>
      <c r="B471" s="233">
        <v>976</v>
      </c>
      <c r="C471">
        <v>1</v>
      </c>
      <c r="D471">
        <v>976</v>
      </c>
      <c r="E471" t="s">
        <v>1867</v>
      </c>
      <c r="F471"/>
      <c r="G471"/>
      <c r="H471" t="str">
        <f t="shared" si="28"/>
        <v/>
      </c>
      <c r="I471" t="str">
        <f t="shared" si="29"/>
        <v/>
      </c>
      <c r="J471" s="421"/>
      <c r="K471" s="655">
        <v>15172900</v>
      </c>
      <c r="L471" s="469">
        <v>1525160</v>
      </c>
      <c r="M471" s="470">
        <v>0.10051868792386399</v>
      </c>
      <c r="N471" s="656" t="str">
        <f t="shared" si="30"/>
        <v/>
      </c>
      <c r="O471" s="666">
        <f t="shared" si="31"/>
        <v>1</v>
      </c>
      <c r="P471" s="662">
        <v>2011</v>
      </c>
    </row>
    <row r="472" spans="1:16">
      <c r="A472" s="14" t="s">
        <v>1860</v>
      </c>
      <c r="B472" s="233">
        <v>977</v>
      </c>
      <c r="C472">
        <v>2</v>
      </c>
      <c r="D472">
        <v>976</v>
      </c>
      <c r="E472" t="s">
        <v>1867</v>
      </c>
      <c r="F472" t="s">
        <v>1867</v>
      </c>
      <c r="G472" t="s">
        <v>6003</v>
      </c>
      <c r="H472" t="str">
        <f t="shared" si="28"/>
        <v>Sheepa</v>
      </c>
      <c r="I472">
        <f t="shared" si="29"/>
        <v>976</v>
      </c>
      <c r="J472" s="421">
        <v>0.5</v>
      </c>
      <c r="K472" s="655">
        <v>852300</v>
      </c>
      <c r="L472" s="469">
        <v>5971940</v>
      </c>
      <c r="M472" s="470">
        <v>7.00685204740115</v>
      </c>
      <c r="N472" s="656">
        <f t="shared" si="30"/>
        <v>3.503426023700575</v>
      </c>
      <c r="O472" s="666">
        <f t="shared" si="31"/>
        <v>0.64742909431708617</v>
      </c>
      <c r="P472" s="662">
        <v>2011</v>
      </c>
    </row>
    <row r="473" spans="1:16">
      <c r="A473" s="14" t="s">
        <v>4498</v>
      </c>
      <c r="B473" s="233">
        <v>978</v>
      </c>
      <c r="C473">
        <v>2</v>
      </c>
      <c r="D473">
        <v>976</v>
      </c>
      <c r="E473" t="s">
        <v>1867</v>
      </c>
      <c r="F473" t="s">
        <v>1867</v>
      </c>
      <c r="G473" t="s">
        <v>6003</v>
      </c>
      <c r="H473" t="str">
        <f t="shared" si="28"/>
        <v>Sheepa</v>
      </c>
      <c r="I473">
        <f t="shared" si="29"/>
        <v>976</v>
      </c>
      <c r="J473" s="421">
        <v>0.08</v>
      </c>
      <c r="K473" s="655">
        <v>55062</v>
      </c>
      <c r="L473" s="469">
        <v>129789</v>
      </c>
      <c r="M473" s="470">
        <v>2.3571428571428599</v>
      </c>
      <c r="N473" s="656">
        <f t="shared" si="30"/>
        <v>0.18857142857142881</v>
      </c>
      <c r="O473" s="666">
        <f t="shared" si="31"/>
        <v>1.9245502500266181</v>
      </c>
      <c r="P473" s="662">
        <v>2011</v>
      </c>
    </row>
    <row r="474" spans="1:16">
      <c r="A474" s="14" t="s">
        <v>3516</v>
      </c>
      <c r="B474" s="233">
        <v>979</v>
      </c>
      <c r="C474">
        <v>2</v>
      </c>
      <c r="D474">
        <v>976</v>
      </c>
      <c r="E474" t="s">
        <v>1867</v>
      </c>
      <c r="F474" t="s">
        <v>1867</v>
      </c>
      <c r="G474" t="s">
        <v>6003</v>
      </c>
      <c r="H474" t="str">
        <f t="shared" si="28"/>
        <v>Sheepa</v>
      </c>
      <c r="I474">
        <f t="shared" si="29"/>
        <v>976</v>
      </c>
      <c r="J474" s="421">
        <v>0.03</v>
      </c>
      <c r="K474" s="655" t="s">
        <v>7445</v>
      </c>
      <c r="L474" s="469" t="s">
        <v>7381</v>
      </c>
      <c r="M474" s="470">
        <v>0.66279069767441856</v>
      </c>
      <c r="N474" s="656">
        <f t="shared" si="30"/>
        <v>1.9883720930232555E-2</v>
      </c>
      <c r="O474" s="666">
        <f t="shared" si="31"/>
        <v>6.8444531448315162</v>
      </c>
      <c r="P474" s="662" t="s">
        <v>7514</v>
      </c>
    </row>
    <row r="475" spans="1:16">
      <c r="A475" s="14" t="s">
        <v>1862</v>
      </c>
      <c r="B475" s="233">
        <v>982</v>
      </c>
      <c r="C475">
        <v>1</v>
      </c>
      <c r="D475">
        <v>982</v>
      </c>
      <c r="E475" t="s">
        <v>1862</v>
      </c>
      <c r="F475"/>
      <c r="G475"/>
      <c r="H475" t="str">
        <f t="shared" si="28"/>
        <v/>
      </c>
      <c r="I475" t="str">
        <f t="shared" si="29"/>
        <v/>
      </c>
      <c r="J475" s="421"/>
      <c r="K475" s="655">
        <v>5</v>
      </c>
      <c r="L475" s="469">
        <v>3</v>
      </c>
      <c r="M475" s="470">
        <v>1.6666666666666701</v>
      </c>
      <c r="N475" s="656" t="str">
        <f t="shared" si="30"/>
        <v/>
      </c>
      <c r="O475" s="666">
        <f t="shared" si="31"/>
        <v>1</v>
      </c>
      <c r="P475" s="662">
        <v>2001</v>
      </c>
    </row>
    <row r="476" spans="1:16">
      <c r="A476" s="14" t="s">
        <v>105</v>
      </c>
      <c r="B476" s="233">
        <v>983</v>
      </c>
      <c r="C476">
        <v>2</v>
      </c>
      <c r="D476">
        <v>982</v>
      </c>
      <c r="E476" t="s">
        <v>1862</v>
      </c>
      <c r="F476" t="s">
        <v>1862</v>
      </c>
      <c r="G476" t="s">
        <v>6003</v>
      </c>
      <c r="H476" t="str">
        <f t="shared" si="28"/>
        <v>Sheep milk, whole, fresha</v>
      </c>
      <c r="I476">
        <f t="shared" si="29"/>
        <v>982</v>
      </c>
      <c r="J476" s="421">
        <v>0.05</v>
      </c>
      <c r="K476" s="655" t="s">
        <v>7307</v>
      </c>
      <c r="L476" s="469" t="s">
        <v>7446</v>
      </c>
      <c r="M476" s="470">
        <v>3.0606060606060606</v>
      </c>
      <c r="N476" s="656">
        <f t="shared" si="30"/>
        <v>0.15303030303030304</v>
      </c>
      <c r="O476" s="666">
        <f t="shared" si="31"/>
        <v>0.42159128774865501</v>
      </c>
      <c r="P476" s="662" t="s">
        <v>7514</v>
      </c>
    </row>
    <row r="477" spans="1:16">
      <c r="A477" s="14" t="s">
        <v>4546</v>
      </c>
      <c r="B477" s="233">
        <v>984</v>
      </c>
      <c r="C477">
        <v>2</v>
      </c>
      <c r="D477">
        <v>982</v>
      </c>
      <c r="E477" t="s">
        <v>1862</v>
      </c>
      <c r="F477" t="s">
        <v>1862</v>
      </c>
      <c r="G477" t="s">
        <v>6003</v>
      </c>
      <c r="H477" t="str">
        <f t="shared" si="28"/>
        <v>Sheep milk, whole, fresha</v>
      </c>
      <c r="I477">
        <f t="shared" si="29"/>
        <v>982</v>
      </c>
      <c r="J477" s="421">
        <v>0.15</v>
      </c>
      <c r="K477" s="655">
        <v>80493</v>
      </c>
      <c r="L477" s="469">
        <v>610295</v>
      </c>
      <c r="M477" s="470">
        <v>7.5819636490129598</v>
      </c>
      <c r="N477" s="656">
        <f t="shared" si="30"/>
        <v>1.137294547351944</v>
      </c>
      <c r="O477" s="666">
        <f t="shared" si="31"/>
        <v>0.17018346567122158</v>
      </c>
      <c r="P477" s="662">
        <v>2011</v>
      </c>
    </row>
    <row r="478" spans="1:16">
      <c r="A478" s="14" t="s">
        <v>1866</v>
      </c>
      <c r="B478" s="233">
        <v>987</v>
      </c>
      <c r="C478">
        <v>1</v>
      </c>
      <c r="D478">
        <v>987</v>
      </c>
      <c r="E478" s="471" t="s">
        <v>1866</v>
      </c>
      <c r="F478"/>
      <c r="G478"/>
      <c r="H478" t="str">
        <f t="shared" si="28"/>
        <v/>
      </c>
      <c r="I478" t="str">
        <f t="shared" si="29"/>
        <v/>
      </c>
      <c r="J478" s="421"/>
      <c r="K478" s="655">
        <v>500498</v>
      </c>
      <c r="L478" s="469">
        <v>3846370</v>
      </c>
      <c r="M478" s="470">
        <v>7.6850856546879296</v>
      </c>
      <c r="N478" s="656" t="str">
        <f t="shared" si="30"/>
        <v/>
      </c>
      <c r="O478" s="666">
        <f t="shared" si="31"/>
        <v>1</v>
      </c>
      <c r="P478" s="662">
        <v>2011</v>
      </c>
    </row>
    <row r="479" spans="1:16">
      <c r="A479" s="14" t="s">
        <v>271</v>
      </c>
      <c r="B479" s="233">
        <v>988</v>
      </c>
      <c r="C479">
        <v>2</v>
      </c>
      <c r="D479">
        <v>987</v>
      </c>
      <c r="E479" s="471" t="s">
        <v>1866</v>
      </c>
      <c r="F479" s="471" t="s">
        <v>1866</v>
      </c>
      <c r="G479" t="s">
        <v>6003</v>
      </c>
      <c r="H479" t="str">
        <f t="shared" si="28"/>
        <v>Wool, greasya</v>
      </c>
      <c r="I479">
        <f t="shared" si="29"/>
        <v>987</v>
      </c>
      <c r="J479" s="421">
        <v>0.82499999999999996</v>
      </c>
      <c r="K479" s="655">
        <v>253136</v>
      </c>
      <c r="L479" s="469">
        <v>1153000</v>
      </c>
      <c r="M479" s="470">
        <v>4.5548637886353598</v>
      </c>
      <c r="N479" s="656">
        <f t="shared" si="30"/>
        <v>3.7577626256241716</v>
      </c>
      <c r="O479" s="666">
        <f t="shared" si="31"/>
        <v>1.0294213169862934</v>
      </c>
      <c r="P479" s="662">
        <v>2011</v>
      </c>
    </row>
    <row r="480" spans="1:16">
      <c r="A480" s="14" t="s">
        <v>5269</v>
      </c>
      <c r="B480" s="233">
        <v>994</v>
      </c>
      <c r="C480">
        <v>2</v>
      </c>
      <c r="D480">
        <v>987</v>
      </c>
      <c r="E480" s="471" t="s">
        <v>1866</v>
      </c>
      <c r="F480" s="471" t="s">
        <v>1866</v>
      </c>
      <c r="G480" t="s">
        <v>6003</v>
      </c>
      <c r="H480" t="str">
        <f t="shared" si="28"/>
        <v>Wool, greasya</v>
      </c>
      <c r="I480">
        <f t="shared" si="29"/>
        <v>987</v>
      </c>
      <c r="J480" s="421">
        <v>0.17499999999999999</v>
      </c>
      <c r="K480" s="655">
        <v>42659</v>
      </c>
      <c r="L480" s="469">
        <v>226973</v>
      </c>
      <c r="M480" s="470">
        <v>5.3206357392343904</v>
      </c>
      <c r="N480" s="656">
        <f t="shared" si="30"/>
        <v>0.93111125436601827</v>
      </c>
      <c r="O480" s="666">
        <f t="shared" si="31"/>
        <v>0.88126195999745194</v>
      </c>
      <c r="P480" s="662">
        <v>2011</v>
      </c>
    </row>
    <row r="481" spans="1:16">
      <c r="A481" s="14" t="s">
        <v>661</v>
      </c>
      <c r="B481" s="233">
        <v>995</v>
      </c>
      <c r="C481">
        <v>2</v>
      </c>
      <c r="D481">
        <v>976</v>
      </c>
      <c r="E481" t="s">
        <v>1867</v>
      </c>
      <c r="F481" t="s">
        <v>1867</v>
      </c>
      <c r="G481" t="s">
        <v>6003</v>
      </c>
      <c r="H481" t="str">
        <f t="shared" si="28"/>
        <v>Sheepa</v>
      </c>
      <c r="I481">
        <f t="shared" si="29"/>
        <v>976</v>
      </c>
      <c r="J481" s="421">
        <v>0.06</v>
      </c>
      <c r="K481" s="655">
        <v>1057</v>
      </c>
      <c r="L481" s="469">
        <v>1334</v>
      </c>
      <c r="M481" s="470">
        <v>0.79235382308845603</v>
      </c>
      <c r="N481" s="656">
        <f t="shared" si="30"/>
        <v>4.754122938530736E-2</v>
      </c>
      <c r="O481" s="666">
        <f t="shared" si="31"/>
        <v>5.7252703815834476</v>
      </c>
      <c r="P481" s="662">
        <v>1998</v>
      </c>
    </row>
    <row r="482" spans="1:16">
      <c r="A482" s="14" t="s">
        <v>1437</v>
      </c>
      <c r="B482" s="233">
        <v>996</v>
      </c>
      <c r="C482">
        <v>2</v>
      </c>
      <c r="D482">
        <v>976</v>
      </c>
      <c r="E482" t="s">
        <v>1867</v>
      </c>
      <c r="F482" t="s">
        <v>1867</v>
      </c>
      <c r="G482" t="s">
        <v>6003</v>
      </c>
      <c r="H482" t="str">
        <f t="shared" si="28"/>
        <v>Sheepa</v>
      </c>
      <c r="I482">
        <f t="shared" si="29"/>
        <v>976</v>
      </c>
      <c r="J482" s="421">
        <v>0.06</v>
      </c>
      <c r="K482" s="655">
        <v>525</v>
      </c>
      <c r="L482" s="469">
        <v>1262</v>
      </c>
      <c r="M482" s="470">
        <v>2.4038095238095201</v>
      </c>
      <c r="N482" s="656">
        <f t="shared" si="30"/>
        <v>0.14422857142857121</v>
      </c>
      <c r="O482" s="666">
        <f t="shared" si="31"/>
        <v>1.8871877451726993</v>
      </c>
      <c r="P482" s="662">
        <v>2011</v>
      </c>
    </row>
    <row r="483" spans="1:16">
      <c r="A483" s="14" t="s">
        <v>2021</v>
      </c>
      <c r="B483" s="233">
        <v>997</v>
      </c>
      <c r="C483">
        <v>2</v>
      </c>
      <c r="D483">
        <v>976</v>
      </c>
      <c r="E483" t="s">
        <v>1867</v>
      </c>
      <c r="F483" t="s">
        <v>1867</v>
      </c>
      <c r="G483" t="s">
        <v>6003</v>
      </c>
      <c r="H483" t="str">
        <f t="shared" si="28"/>
        <v>Sheepa</v>
      </c>
      <c r="I483">
        <f t="shared" si="29"/>
        <v>976</v>
      </c>
      <c r="J483" s="421">
        <v>0.06</v>
      </c>
      <c r="K483" s="655">
        <v>46481</v>
      </c>
      <c r="L483" s="469">
        <v>289573</v>
      </c>
      <c r="M483" s="470">
        <v>6.2299219035734996</v>
      </c>
      <c r="N483" s="656">
        <f t="shared" si="30"/>
        <v>0.37379531421440998</v>
      </c>
      <c r="O483" s="666">
        <f t="shared" si="31"/>
        <v>0.72816962159038201</v>
      </c>
      <c r="P483" s="662">
        <v>2011</v>
      </c>
    </row>
    <row r="484" spans="1:16">
      <c r="A484" s="14" t="s">
        <v>354</v>
      </c>
      <c r="B484" s="233">
        <v>998</v>
      </c>
      <c r="C484">
        <v>2</v>
      </c>
      <c r="D484">
        <v>976</v>
      </c>
      <c r="E484" t="s">
        <v>1867</v>
      </c>
      <c r="F484" t="s">
        <v>1867</v>
      </c>
      <c r="G484" t="s">
        <v>6003</v>
      </c>
      <c r="H484" t="str">
        <f t="shared" si="28"/>
        <v>Sheepa</v>
      </c>
      <c r="I484">
        <f t="shared" si="29"/>
        <v>976</v>
      </c>
      <c r="J484" s="421">
        <v>0.06</v>
      </c>
      <c r="K484" s="655" t="s">
        <v>7447</v>
      </c>
      <c r="L484" s="469" t="s">
        <v>7448</v>
      </c>
      <c r="M484" s="470">
        <v>1.2940889106008793</v>
      </c>
      <c r="N484" s="656">
        <f t="shared" si="30"/>
        <v>7.7645334636052749E-2</v>
      </c>
      <c r="O484" s="666">
        <f t="shared" si="31"/>
        <v>3.5055086539273108</v>
      </c>
      <c r="P484" s="662" t="s">
        <v>7514</v>
      </c>
    </row>
    <row r="485" spans="1:16">
      <c r="A485" s="14" t="s">
        <v>358</v>
      </c>
      <c r="B485" s="233">
        <v>999</v>
      </c>
      <c r="C485">
        <v>2</v>
      </c>
      <c r="D485">
        <v>976</v>
      </c>
      <c r="E485" t="s">
        <v>1867</v>
      </c>
      <c r="F485" t="s">
        <v>1867</v>
      </c>
      <c r="G485" t="s">
        <v>6003</v>
      </c>
      <c r="H485" t="str">
        <f t="shared" si="28"/>
        <v>Sheepa</v>
      </c>
      <c r="I485">
        <f t="shared" si="29"/>
        <v>976</v>
      </c>
      <c r="J485" s="421">
        <v>0.06</v>
      </c>
      <c r="K485" s="655">
        <v>399673</v>
      </c>
      <c r="L485" s="469">
        <v>1208000</v>
      </c>
      <c r="M485" s="470">
        <v>3.02247086993617</v>
      </c>
      <c r="N485" s="656">
        <f t="shared" si="30"/>
        <v>0.18134825219617018</v>
      </c>
      <c r="O485" s="666">
        <f t="shared" si="31"/>
        <v>1.5009044157168507</v>
      </c>
      <c r="P485" s="662">
        <v>2011</v>
      </c>
    </row>
    <row r="486" spans="1:16">
      <c r="A486" s="14" t="s">
        <v>1316</v>
      </c>
      <c r="B486" s="233">
        <v>1002</v>
      </c>
      <c r="C486"/>
      <c r="D486" t="s">
        <v>2738</v>
      </c>
      <c r="E486"/>
      <c r="F486"/>
      <c r="G486"/>
      <c r="H486" t="str">
        <f t="shared" si="28"/>
        <v/>
      </c>
      <c r="I486" t="str">
        <f t="shared" si="29"/>
        <v/>
      </c>
      <c r="J486" s="421"/>
      <c r="K486" s="655" t="s">
        <v>7449</v>
      </c>
      <c r="L486" s="469" t="s">
        <v>7450</v>
      </c>
      <c r="M486" s="470">
        <v>100.28878281622912</v>
      </c>
      <c r="N486" s="656" t="str">
        <f t="shared" si="30"/>
        <v/>
      </c>
      <c r="O486" s="666">
        <f t="shared" si="31"/>
        <v>1</v>
      </c>
      <c r="P486" s="662" t="s">
        <v>7514</v>
      </c>
    </row>
    <row r="487" spans="1:16">
      <c r="A487" s="14" t="s">
        <v>273</v>
      </c>
      <c r="B487" s="233">
        <v>1007</v>
      </c>
      <c r="C487">
        <v>2</v>
      </c>
      <c r="D487">
        <v>987</v>
      </c>
      <c r="E487" s="471" t="s">
        <v>1866</v>
      </c>
      <c r="F487" t="s">
        <v>271</v>
      </c>
      <c r="G487" t="s">
        <v>6004</v>
      </c>
      <c r="H487" t="str">
        <f t="shared" si="28"/>
        <v>Wool Degreasedb</v>
      </c>
      <c r="I487">
        <f t="shared" si="29"/>
        <v>988</v>
      </c>
      <c r="J487" s="421">
        <v>1</v>
      </c>
      <c r="K487" s="655" t="s">
        <v>7451</v>
      </c>
      <c r="L487" s="469" t="s">
        <v>7452</v>
      </c>
      <c r="M487" s="470">
        <v>2.82147315855181</v>
      </c>
      <c r="N487" s="656">
        <f t="shared" si="30"/>
        <v>2.82147315855181</v>
      </c>
      <c r="O487" s="666">
        <f t="shared" si="31"/>
        <v>1.0294213169862934</v>
      </c>
      <c r="P487" s="662" t="s">
        <v>7514</v>
      </c>
    </row>
    <row r="488" spans="1:16">
      <c r="A488" s="14" t="s">
        <v>5273</v>
      </c>
      <c r="B488" s="233">
        <v>1008</v>
      </c>
      <c r="C488"/>
      <c r="D488" t="s">
        <v>2738</v>
      </c>
      <c r="E488"/>
      <c r="F488"/>
      <c r="G488"/>
      <c r="H488" t="str">
        <f t="shared" si="28"/>
        <v/>
      </c>
      <c r="I488" t="str">
        <f t="shared" si="29"/>
        <v/>
      </c>
      <c r="J488" s="421"/>
      <c r="K488" s="655" t="s">
        <v>7453</v>
      </c>
      <c r="L488" s="469" t="s">
        <v>7454</v>
      </c>
      <c r="M488" s="470">
        <v>12.253132593263137</v>
      </c>
      <c r="N488" s="656" t="str">
        <f t="shared" si="30"/>
        <v/>
      </c>
      <c r="O488" s="666">
        <f t="shared" si="31"/>
        <v>1</v>
      </c>
      <c r="P488" s="662" t="s">
        <v>7514</v>
      </c>
    </row>
    <row r="489" spans="1:16">
      <c r="A489" s="14" t="s">
        <v>587</v>
      </c>
      <c r="B489" s="233">
        <v>1009</v>
      </c>
      <c r="C489">
        <v>2</v>
      </c>
      <c r="D489">
        <v>987</v>
      </c>
      <c r="E489" s="471" t="s">
        <v>1866</v>
      </c>
      <c r="F489" t="s">
        <v>271</v>
      </c>
      <c r="G489" t="s">
        <v>6005</v>
      </c>
      <c r="H489" t="str">
        <f t="shared" si="28"/>
        <v>Wool Degreasedc</v>
      </c>
      <c r="I489">
        <f t="shared" si="29"/>
        <v>988</v>
      </c>
      <c r="J489" s="421">
        <v>1</v>
      </c>
      <c r="K489" s="655">
        <v>34707</v>
      </c>
      <c r="L489" s="469">
        <v>141813</v>
      </c>
      <c r="M489" s="470">
        <v>4.0860057049010301</v>
      </c>
      <c r="N489" s="656">
        <f t="shared" si="30"/>
        <v>4.0860057049010301</v>
      </c>
      <c r="O489" s="666">
        <f t="shared" si="31"/>
        <v>1.0294213169862934</v>
      </c>
      <c r="P489" s="662">
        <v>2011</v>
      </c>
    </row>
    <row r="490" spans="1:16">
      <c r="A490" s="14" t="s">
        <v>406</v>
      </c>
      <c r="B490" s="233">
        <v>1016</v>
      </c>
      <c r="C490">
        <v>1</v>
      </c>
      <c r="D490">
        <v>1016</v>
      </c>
      <c r="E490" t="s">
        <v>406</v>
      </c>
      <c r="F490"/>
      <c r="G490"/>
      <c r="H490" t="str">
        <f t="shared" si="28"/>
        <v/>
      </c>
      <c r="I490" t="str">
        <f t="shared" si="29"/>
        <v/>
      </c>
      <c r="J490" s="421"/>
      <c r="K490" s="655">
        <v>5875170</v>
      </c>
      <c r="L490" s="469">
        <v>342657</v>
      </c>
      <c r="M490" s="470">
        <v>5.83229081030847E-2</v>
      </c>
      <c r="N490" s="656" t="str">
        <f t="shared" si="30"/>
        <v/>
      </c>
      <c r="O490" s="666">
        <f t="shared" si="31"/>
        <v>1</v>
      </c>
      <c r="P490" s="662">
        <v>2011</v>
      </c>
    </row>
    <row r="491" spans="1:16">
      <c r="A491" s="14" t="s">
        <v>2809</v>
      </c>
      <c r="B491" s="233">
        <v>1017</v>
      </c>
      <c r="C491">
        <v>2</v>
      </c>
      <c r="D491">
        <v>1016</v>
      </c>
      <c r="E491" t="s">
        <v>406</v>
      </c>
      <c r="F491" t="s">
        <v>406</v>
      </c>
      <c r="G491" t="s">
        <v>6003</v>
      </c>
      <c r="H491" t="str">
        <f t="shared" si="28"/>
        <v>Goatsa</v>
      </c>
      <c r="I491">
        <f t="shared" si="29"/>
        <v>1016</v>
      </c>
      <c r="J491" s="421">
        <v>0.5</v>
      </c>
      <c r="K491" s="655">
        <v>61041</v>
      </c>
      <c r="L491" s="469">
        <v>341798</v>
      </c>
      <c r="M491" s="470">
        <v>5.5994823151652202</v>
      </c>
      <c r="N491" s="656">
        <f t="shared" si="30"/>
        <v>2.7997411575826101</v>
      </c>
      <c r="O491" s="666">
        <f t="shared" si="31"/>
        <v>0.57711800295720295</v>
      </c>
      <c r="P491" s="662">
        <v>2011</v>
      </c>
    </row>
    <row r="492" spans="1:16">
      <c r="A492" s="14" t="s">
        <v>2854</v>
      </c>
      <c r="B492" s="233">
        <v>1018</v>
      </c>
      <c r="C492">
        <v>2</v>
      </c>
      <c r="D492">
        <v>1016</v>
      </c>
      <c r="E492" t="s">
        <v>406</v>
      </c>
      <c r="F492" t="s">
        <v>406</v>
      </c>
      <c r="G492" t="s">
        <v>6003</v>
      </c>
      <c r="H492" t="str">
        <f t="shared" si="28"/>
        <v>Goatsa</v>
      </c>
      <c r="I492">
        <f t="shared" si="29"/>
        <v>1016</v>
      </c>
      <c r="J492" s="421">
        <v>0.08</v>
      </c>
      <c r="K492" s="655">
        <v>1</v>
      </c>
      <c r="L492" s="469">
        <v>3</v>
      </c>
      <c r="M492" s="470">
        <v>0.33333333333333298</v>
      </c>
      <c r="N492" s="656">
        <f t="shared" si="30"/>
        <v>2.6666666666666641E-2</v>
      </c>
      <c r="O492" s="666">
        <f t="shared" si="31"/>
        <v>9.6946861539669911</v>
      </c>
      <c r="P492" s="662">
        <v>2010</v>
      </c>
    </row>
    <row r="493" spans="1:16">
      <c r="A493" s="14" t="s">
        <v>2811</v>
      </c>
      <c r="B493" s="233">
        <v>1020</v>
      </c>
      <c r="C493">
        <v>1</v>
      </c>
      <c r="D493">
        <v>1020</v>
      </c>
      <c r="E493" t="s">
        <v>2811</v>
      </c>
      <c r="F493"/>
      <c r="G493"/>
      <c r="H493" t="str">
        <f t="shared" si="28"/>
        <v/>
      </c>
      <c r="I493" t="str">
        <f t="shared" si="29"/>
        <v/>
      </c>
      <c r="J493" s="421"/>
      <c r="K493" s="655" t="s">
        <v>7287</v>
      </c>
      <c r="L493" s="469" t="s">
        <v>7287</v>
      </c>
      <c r="M493" s="470">
        <v>0</v>
      </c>
      <c r="N493" s="656" t="str">
        <f t="shared" si="30"/>
        <v/>
      </c>
      <c r="O493" s="666">
        <f t="shared" si="31"/>
        <v>1</v>
      </c>
      <c r="P493" s="662" t="s">
        <v>7514</v>
      </c>
    </row>
    <row r="494" spans="1:16">
      <c r="A494" s="14" t="s">
        <v>5311</v>
      </c>
      <c r="B494" s="233">
        <v>1021</v>
      </c>
      <c r="C494">
        <v>2</v>
      </c>
      <c r="D494">
        <v>1020</v>
      </c>
      <c r="E494" t="s">
        <v>2811</v>
      </c>
      <c r="F494" t="s">
        <v>2811</v>
      </c>
      <c r="G494" t="s">
        <v>6003</v>
      </c>
      <c r="H494" t="str">
        <f t="shared" si="28"/>
        <v>Goat milk, whole, fresha</v>
      </c>
      <c r="I494">
        <f t="shared" si="29"/>
        <v>1020</v>
      </c>
      <c r="J494" s="421">
        <v>0.15</v>
      </c>
      <c r="K494" s="655" t="s">
        <v>7455</v>
      </c>
      <c r="L494" s="469" t="s">
        <v>7456</v>
      </c>
      <c r="M494" s="470">
        <v>3.5179640718562872</v>
      </c>
      <c r="N494" s="656">
        <f t="shared" si="30"/>
        <v>0.52769461077844304</v>
      </c>
      <c r="O494" s="666">
        <f t="shared" si="31"/>
        <v>0.15</v>
      </c>
      <c r="P494" s="662" t="s">
        <v>7514</v>
      </c>
    </row>
    <row r="495" spans="1:16">
      <c r="A495" s="14" t="s">
        <v>357</v>
      </c>
      <c r="B495" s="233">
        <v>1026</v>
      </c>
      <c r="C495">
        <v>2</v>
      </c>
      <c r="D495">
        <v>1016</v>
      </c>
      <c r="E495" t="s">
        <v>406</v>
      </c>
      <c r="F495" t="s">
        <v>406</v>
      </c>
      <c r="G495" t="s">
        <v>6003</v>
      </c>
      <c r="H495" t="str">
        <f t="shared" si="28"/>
        <v>Goatsa</v>
      </c>
      <c r="I495">
        <f t="shared" si="29"/>
        <v>1016</v>
      </c>
      <c r="J495" s="421">
        <v>0.06</v>
      </c>
      <c r="K495" s="655">
        <v>5934</v>
      </c>
      <c r="L495" s="469">
        <v>13637</v>
      </c>
      <c r="M495" s="470">
        <v>2.2981125716211701</v>
      </c>
      <c r="N495" s="656">
        <f t="shared" si="30"/>
        <v>0.13788675429727021</v>
      </c>
      <c r="O495" s="666">
        <f t="shared" si="31"/>
        <v>1.4061809204771325</v>
      </c>
      <c r="P495" s="662">
        <v>2011</v>
      </c>
    </row>
    <row r="496" spans="1:16">
      <c r="A496" s="14" t="s">
        <v>1496</v>
      </c>
      <c r="B496" s="233">
        <v>1027</v>
      </c>
      <c r="C496">
        <v>2</v>
      </c>
      <c r="D496">
        <v>1016</v>
      </c>
      <c r="E496" t="s">
        <v>406</v>
      </c>
      <c r="F496" t="s">
        <v>406</v>
      </c>
      <c r="G496" t="s">
        <v>6003</v>
      </c>
      <c r="H496" t="str">
        <f t="shared" si="28"/>
        <v>Goatsa</v>
      </c>
      <c r="I496">
        <f t="shared" si="29"/>
        <v>1016</v>
      </c>
      <c r="J496" s="421">
        <v>0.06</v>
      </c>
      <c r="K496" s="655" t="s">
        <v>7457</v>
      </c>
      <c r="L496" s="469" t="s">
        <v>7458</v>
      </c>
      <c r="M496" s="470">
        <v>3.8254531126871552</v>
      </c>
      <c r="N496" s="656">
        <f t="shared" si="30"/>
        <v>0.2295271867612293</v>
      </c>
      <c r="O496" s="666">
        <f t="shared" si="31"/>
        <v>0.84475275376002334</v>
      </c>
      <c r="P496" s="662" t="s">
        <v>7514</v>
      </c>
    </row>
    <row r="497" spans="1:16">
      <c r="A497" s="14" t="s">
        <v>2732</v>
      </c>
      <c r="B497" s="233">
        <v>1028</v>
      </c>
      <c r="C497">
        <v>2</v>
      </c>
      <c r="D497">
        <v>1016</v>
      </c>
      <c r="E497" t="s">
        <v>406</v>
      </c>
      <c r="F497" t="s">
        <v>406</v>
      </c>
      <c r="G497" t="s">
        <v>6003</v>
      </c>
      <c r="H497" t="str">
        <f t="shared" si="28"/>
        <v>Goatsa</v>
      </c>
      <c r="I497">
        <f t="shared" si="29"/>
        <v>1016</v>
      </c>
      <c r="J497" s="421">
        <v>0.06</v>
      </c>
      <c r="K497" s="655" t="s">
        <v>7459</v>
      </c>
      <c r="L497" s="469" t="s">
        <v>7460</v>
      </c>
      <c r="M497" s="470">
        <v>0.51310861423220977</v>
      </c>
      <c r="N497" s="656">
        <f t="shared" si="30"/>
        <v>3.0786516853932584E-2</v>
      </c>
      <c r="O497" s="666">
        <f t="shared" si="31"/>
        <v>6.2980077934530021</v>
      </c>
      <c r="P497" s="662" t="s">
        <v>7514</v>
      </c>
    </row>
    <row r="498" spans="1:16">
      <c r="A498" s="14" t="s">
        <v>2144</v>
      </c>
      <c r="B498" s="233">
        <v>1030</v>
      </c>
      <c r="C498"/>
      <c r="D498">
        <v>1016</v>
      </c>
      <c r="E498" t="s">
        <v>406</v>
      </c>
      <c r="F498" t="s">
        <v>406</v>
      </c>
      <c r="G498" s="13" t="s">
        <v>6003</v>
      </c>
      <c r="H498" t="str">
        <f t="shared" si="28"/>
        <v>Goatsa</v>
      </c>
      <c r="I498">
        <f t="shared" si="29"/>
        <v>1016</v>
      </c>
      <c r="J498" s="421">
        <v>1E-4</v>
      </c>
      <c r="K498" s="655" t="s">
        <v>7461</v>
      </c>
      <c r="L498" s="469" t="s">
        <v>7462</v>
      </c>
      <c r="M498" s="470">
        <v>68.316638974602427</v>
      </c>
      <c r="N498" s="656">
        <f t="shared" si="30"/>
        <v>6.8316638974602432E-3</v>
      </c>
      <c r="O498" s="666">
        <f t="shared" si="31"/>
        <v>4.7302708385927782E-2</v>
      </c>
      <c r="P498" s="662" t="s">
        <v>7514</v>
      </c>
    </row>
    <row r="499" spans="1:16">
      <c r="A499" s="14" t="s">
        <v>2704</v>
      </c>
      <c r="B499" s="233">
        <v>1031</v>
      </c>
      <c r="C499"/>
      <c r="D499">
        <v>1016</v>
      </c>
      <c r="E499" t="s">
        <v>406</v>
      </c>
      <c r="F499" t="s">
        <v>406</v>
      </c>
      <c r="G499" s="13" t="s">
        <v>6003</v>
      </c>
      <c r="H499" t="str">
        <f t="shared" si="28"/>
        <v>Goatsa</v>
      </c>
      <c r="I499">
        <f t="shared" si="29"/>
        <v>1016</v>
      </c>
      <c r="J499" s="421">
        <v>1E-4</v>
      </c>
      <c r="K499" s="655">
        <v>232</v>
      </c>
      <c r="L499" s="469">
        <v>190</v>
      </c>
      <c r="M499" s="470">
        <v>1.2210526315789501</v>
      </c>
      <c r="N499" s="656">
        <f t="shared" si="30"/>
        <v>1.2210526315789501E-4</v>
      </c>
      <c r="O499" s="666">
        <f t="shared" si="31"/>
        <v>2.6465378868587965</v>
      </c>
      <c r="P499" s="662">
        <v>2003</v>
      </c>
    </row>
    <row r="500" spans="1:16">
      <c r="A500" s="14" t="s">
        <v>1682</v>
      </c>
      <c r="B500" s="233">
        <v>1034</v>
      </c>
      <c r="C500">
        <v>1</v>
      </c>
      <c r="D500">
        <v>1034</v>
      </c>
      <c r="E500" t="s">
        <v>1682</v>
      </c>
      <c r="F500"/>
      <c r="G500"/>
      <c r="H500" t="str">
        <f t="shared" si="28"/>
        <v/>
      </c>
      <c r="I500" t="str">
        <f t="shared" si="29"/>
        <v/>
      </c>
      <c r="J500" s="421"/>
      <c r="K500" s="655">
        <v>34178200</v>
      </c>
      <c r="L500" s="469">
        <v>4072540</v>
      </c>
      <c r="M500" s="470">
        <v>0.119156070243606</v>
      </c>
      <c r="N500" s="656" t="str">
        <f t="shared" si="30"/>
        <v/>
      </c>
      <c r="O500" s="666">
        <f t="shared" si="31"/>
        <v>1</v>
      </c>
      <c r="P500" s="662">
        <v>2011</v>
      </c>
    </row>
    <row r="501" spans="1:16">
      <c r="A501" s="14" t="s">
        <v>3524</v>
      </c>
      <c r="B501" s="233">
        <v>1035</v>
      </c>
      <c r="C501">
        <v>2</v>
      </c>
      <c r="D501">
        <v>1034</v>
      </c>
      <c r="E501" t="s">
        <v>1682</v>
      </c>
      <c r="F501" t="s">
        <v>1682</v>
      </c>
      <c r="G501" t="s">
        <v>6003</v>
      </c>
      <c r="H501" t="str">
        <f t="shared" si="28"/>
        <v>Pigsa</v>
      </c>
      <c r="I501">
        <f t="shared" si="29"/>
        <v>1034</v>
      </c>
      <c r="J501" s="421">
        <v>0.76</v>
      </c>
      <c r="K501" s="655">
        <v>4368860</v>
      </c>
      <c r="L501" s="469">
        <v>10915800</v>
      </c>
      <c r="M501" s="470">
        <v>2.4985465315894801</v>
      </c>
      <c r="N501" s="656">
        <f t="shared" si="30"/>
        <v>1.8988953640080048</v>
      </c>
      <c r="O501" s="666">
        <f t="shared" si="31"/>
        <v>0.83664727956664808</v>
      </c>
      <c r="P501" s="662">
        <v>2011</v>
      </c>
    </row>
    <row r="502" spans="1:16">
      <c r="A502" s="14" t="s">
        <v>4497</v>
      </c>
      <c r="B502" s="233">
        <v>1036</v>
      </c>
      <c r="C502">
        <v>2</v>
      </c>
      <c r="D502">
        <v>1034</v>
      </c>
      <c r="E502" t="s">
        <v>1682</v>
      </c>
      <c r="F502" t="s">
        <v>1682</v>
      </c>
      <c r="G502" t="s">
        <v>6003</v>
      </c>
      <c r="H502" t="str">
        <f t="shared" si="28"/>
        <v>Pigsa</v>
      </c>
      <c r="I502">
        <f t="shared" si="29"/>
        <v>1034</v>
      </c>
      <c r="J502" s="421">
        <v>0.04</v>
      </c>
      <c r="K502" s="655">
        <v>2457580</v>
      </c>
      <c r="L502" s="469">
        <v>3378870</v>
      </c>
      <c r="M502" s="470">
        <v>1.3748769114332</v>
      </c>
      <c r="N502" s="656">
        <f t="shared" si="30"/>
        <v>5.4995076457327999E-2</v>
      </c>
      <c r="O502" s="666">
        <f t="shared" si="31"/>
        <v>1.5204285861095335</v>
      </c>
      <c r="P502" s="662">
        <v>2011</v>
      </c>
    </row>
    <row r="503" spans="1:16">
      <c r="A503" s="14" t="s">
        <v>5326</v>
      </c>
      <c r="B503" s="233">
        <v>1037</v>
      </c>
      <c r="C503">
        <v>2</v>
      </c>
      <c r="D503">
        <v>1034</v>
      </c>
      <c r="E503" t="s">
        <v>1682</v>
      </c>
      <c r="F503" t="s">
        <v>1682</v>
      </c>
      <c r="G503" t="s">
        <v>6003</v>
      </c>
      <c r="H503" t="str">
        <f t="shared" si="28"/>
        <v>Pigsa</v>
      </c>
      <c r="I503">
        <f t="shared" si="29"/>
        <v>1034</v>
      </c>
      <c r="J503" s="421">
        <v>0.06</v>
      </c>
      <c r="K503" s="655">
        <v>811358</v>
      </c>
      <c r="L503" s="469">
        <v>1034810</v>
      </c>
      <c r="M503" s="470">
        <v>1.2754049383872501</v>
      </c>
      <c r="N503" s="656">
        <f t="shared" si="30"/>
        <v>7.6524296303234998E-2</v>
      </c>
      <c r="O503" s="666">
        <f t="shared" si="31"/>
        <v>1.6390105570457778</v>
      </c>
      <c r="P503" s="662">
        <v>2011</v>
      </c>
    </row>
    <row r="504" spans="1:16">
      <c r="A504" s="14" t="s">
        <v>5997</v>
      </c>
      <c r="B504" s="233">
        <v>1044</v>
      </c>
      <c r="C504">
        <v>2</v>
      </c>
      <c r="D504">
        <v>1034</v>
      </c>
      <c r="E504" t="s">
        <v>1682</v>
      </c>
      <c r="F504" t="s">
        <v>1682</v>
      </c>
      <c r="G504" t="s">
        <v>6003</v>
      </c>
      <c r="H504" t="str">
        <f t="shared" si="28"/>
        <v>Pigsa</v>
      </c>
      <c r="I504">
        <f t="shared" si="29"/>
        <v>1034</v>
      </c>
      <c r="J504" s="421">
        <v>0.05</v>
      </c>
      <c r="K504" s="655" t="s">
        <v>7287</v>
      </c>
      <c r="L504" s="469" t="s">
        <v>7287</v>
      </c>
      <c r="M504" s="470">
        <v>1.1997484351290897</v>
      </c>
      <c r="N504" s="656">
        <f t="shared" si="30"/>
        <v>5.9987421756454488E-2</v>
      </c>
      <c r="O504" s="666">
        <f t="shared" si="31"/>
        <v>1.7423670640588089</v>
      </c>
      <c r="P504" s="662" t="s">
        <v>7514</v>
      </c>
    </row>
    <row r="505" spans="1:16">
      <c r="A505" s="14" t="s">
        <v>3677</v>
      </c>
      <c r="B505" s="233">
        <v>1038</v>
      </c>
      <c r="C505">
        <v>3</v>
      </c>
      <c r="D505">
        <v>1034</v>
      </c>
      <c r="E505" t="s">
        <v>1682</v>
      </c>
      <c r="F505" t="s">
        <v>3524</v>
      </c>
      <c r="G505" t="s">
        <v>6003</v>
      </c>
      <c r="H505" t="str">
        <f t="shared" si="28"/>
        <v>Pig meata</v>
      </c>
      <c r="I505">
        <f t="shared" si="29"/>
        <v>1035</v>
      </c>
      <c r="J505" s="421">
        <v>0.73</v>
      </c>
      <c r="K505" s="655">
        <v>5260400</v>
      </c>
      <c r="L505" s="469">
        <v>18300100</v>
      </c>
      <c r="M505" s="470">
        <v>3.4788419131624999</v>
      </c>
      <c r="N505" s="656">
        <f t="shared" si="30"/>
        <v>2.539554596608625</v>
      </c>
      <c r="O505" s="666">
        <f t="shared" si="31"/>
        <v>0.64863062117244508</v>
      </c>
      <c r="P505" s="662">
        <v>2011</v>
      </c>
    </row>
    <row r="506" spans="1:16">
      <c r="A506" s="14" t="s">
        <v>1407</v>
      </c>
      <c r="B506" s="233">
        <v>1039</v>
      </c>
      <c r="C506">
        <v>3</v>
      </c>
      <c r="D506">
        <v>1034</v>
      </c>
      <c r="E506" t="s">
        <v>1682</v>
      </c>
      <c r="F506" t="s">
        <v>6000</v>
      </c>
      <c r="G506" t="s">
        <v>6004</v>
      </c>
      <c r="H506" t="str">
        <f t="shared" si="28"/>
        <v>Pig Meatb</v>
      </c>
      <c r="I506">
        <f t="shared" si="29"/>
        <v>1035</v>
      </c>
      <c r="J506" s="421">
        <v>0.77</v>
      </c>
      <c r="K506" s="655">
        <v>554236</v>
      </c>
      <c r="L506" s="469">
        <v>3094600</v>
      </c>
      <c r="M506" s="470">
        <v>5.5835420290273499</v>
      </c>
      <c r="N506" s="656">
        <f t="shared" si="30"/>
        <v>4.2993273623510593</v>
      </c>
      <c r="O506" s="666">
        <f t="shared" si="31"/>
        <v>0.64421840526631902</v>
      </c>
      <c r="P506" s="662">
        <v>2011</v>
      </c>
    </row>
    <row r="507" spans="1:16">
      <c r="A507" s="14" t="s">
        <v>2859</v>
      </c>
      <c r="B507" s="233">
        <v>1040</v>
      </c>
      <c r="C507">
        <v>3</v>
      </c>
      <c r="D507">
        <v>1034</v>
      </c>
      <c r="E507" t="s">
        <v>1682</v>
      </c>
      <c r="F507" t="s">
        <v>6000</v>
      </c>
      <c r="G507" t="s">
        <v>6003</v>
      </c>
      <c r="H507" t="str">
        <f t="shared" si="28"/>
        <v>Pig Meata</v>
      </c>
      <c r="I507">
        <f t="shared" si="29"/>
        <v>1035</v>
      </c>
      <c r="J507" s="421">
        <v>0.17499999999999999</v>
      </c>
      <c r="K507" s="655" t="s">
        <v>7301</v>
      </c>
      <c r="L507" s="469" t="s">
        <v>7463</v>
      </c>
      <c r="M507" s="470">
        <v>0.9</v>
      </c>
      <c r="N507" s="656">
        <f t="shared" si="30"/>
        <v>0.1575</v>
      </c>
      <c r="O507" s="666">
        <f t="shared" si="31"/>
        <v>2.5072037678836998</v>
      </c>
      <c r="P507" s="662" t="s">
        <v>7514</v>
      </c>
    </row>
    <row r="508" spans="1:16">
      <c r="A508" s="14" t="s">
        <v>1677</v>
      </c>
      <c r="B508" s="233">
        <v>1041</v>
      </c>
      <c r="C508">
        <v>3</v>
      </c>
      <c r="D508">
        <v>1034</v>
      </c>
      <c r="E508" t="s">
        <v>1682</v>
      </c>
      <c r="F508" t="s">
        <v>6000</v>
      </c>
      <c r="G508" t="s">
        <v>6005</v>
      </c>
      <c r="H508" t="str">
        <f t="shared" si="28"/>
        <v>Pig Meatc</v>
      </c>
      <c r="I508">
        <f t="shared" si="29"/>
        <v>1035</v>
      </c>
      <c r="J508" s="421">
        <v>0.85</v>
      </c>
      <c r="K508" s="655">
        <v>919969</v>
      </c>
      <c r="L508" s="469">
        <v>3903290</v>
      </c>
      <c r="M508" s="470">
        <v>4.2428494873196803</v>
      </c>
      <c r="N508" s="656">
        <f t="shared" si="30"/>
        <v>3.6064220642217282</v>
      </c>
      <c r="O508" s="666">
        <f t="shared" si="31"/>
        <v>0.71115018763165083</v>
      </c>
      <c r="P508" s="662">
        <v>2011</v>
      </c>
    </row>
    <row r="509" spans="1:16">
      <c r="A509" s="14" t="s">
        <v>3680</v>
      </c>
      <c r="B509" s="233">
        <v>1042</v>
      </c>
      <c r="C509">
        <v>3</v>
      </c>
      <c r="D509">
        <v>1034</v>
      </c>
      <c r="E509" t="s">
        <v>1682</v>
      </c>
      <c r="F509" t="s">
        <v>6000</v>
      </c>
      <c r="G509" t="s">
        <v>6006</v>
      </c>
      <c r="H509" t="str">
        <f t="shared" si="28"/>
        <v>Pig Meatd</v>
      </c>
      <c r="I509">
        <f t="shared" si="29"/>
        <v>1035</v>
      </c>
      <c r="J509" s="421">
        <v>0.88</v>
      </c>
      <c r="K509" s="655">
        <v>938442</v>
      </c>
      <c r="L509" s="469">
        <v>3969650</v>
      </c>
      <c r="M509" s="470">
        <v>4.2300429861408597</v>
      </c>
      <c r="N509" s="656">
        <f t="shared" si="30"/>
        <v>3.7224378278039567</v>
      </c>
      <c r="O509" s="666">
        <f t="shared" si="31"/>
        <v>0.7362496060186503</v>
      </c>
      <c r="P509" s="662">
        <v>2011</v>
      </c>
    </row>
    <row r="510" spans="1:16">
      <c r="A510" s="14" t="s">
        <v>1423</v>
      </c>
      <c r="B510" s="233">
        <v>1043</v>
      </c>
      <c r="C510">
        <v>3</v>
      </c>
      <c r="D510">
        <v>1034</v>
      </c>
      <c r="E510" t="s">
        <v>1682</v>
      </c>
      <c r="F510" t="s">
        <v>5326</v>
      </c>
      <c r="G510" t="s">
        <v>6003</v>
      </c>
      <c r="H510" t="str">
        <f t="shared" si="28"/>
        <v>Fat of Pigsa</v>
      </c>
      <c r="I510">
        <f t="shared" si="29"/>
        <v>1037</v>
      </c>
      <c r="J510" s="421">
        <v>0.8</v>
      </c>
      <c r="K510" s="655">
        <v>356429</v>
      </c>
      <c r="L510" s="469">
        <v>381104</v>
      </c>
      <c r="M510" s="470">
        <v>1.0692283736732999</v>
      </c>
      <c r="N510" s="656">
        <f t="shared" si="30"/>
        <v>0.85538269893863994</v>
      </c>
      <c r="O510" s="666">
        <f t="shared" si="31"/>
        <v>1.3112084456366224</v>
      </c>
      <c r="P510" s="662">
        <v>2011</v>
      </c>
    </row>
    <row r="511" spans="1:16">
      <c r="A511" s="14" t="s">
        <v>2022</v>
      </c>
      <c r="B511" s="233">
        <v>1045</v>
      </c>
      <c r="C511">
        <v>3</v>
      </c>
      <c r="D511">
        <v>1034</v>
      </c>
      <c r="E511" t="s">
        <v>1682</v>
      </c>
      <c r="F511" t="s">
        <v>5997</v>
      </c>
      <c r="G511" t="s">
        <v>6003</v>
      </c>
      <c r="H511" t="str">
        <f t="shared" si="28"/>
        <v>Pigskins fresha</v>
      </c>
      <c r="I511">
        <f t="shared" si="29"/>
        <v>1044</v>
      </c>
      <c r="J511" s="421">
        <v>0.8</v>
      </c>
      <c r="K511" s="655" t="s">
        <v>7464</v>
      </c>
      <c r="L511" s="469" t="s">
        <v>7465</v>
      </c>
      <c r="M511" s="470">
        <v>0.99032037090353131</v>
      </c>
      <c r="N511" s="656">
        <f t="shared" si="30"/>
        <v>0.79225629672282505</v>
      </c>
      <c r="O511" s="666">
        <f t="shared" si="31"/>
        <v>1.3938936512470472</v>
      </c>
      <c r="P511" s="662" t="s">
        <v>7514</v>
      </c>
    </row>
    <row r="512" spans="1:16">
      <c r="A512" s="14" t="s">
        <v>1497</v>
      </c>
      <c r="B512" s="233">
        <v>1046</v>
      </c>
      <c r="C512">
        <v>4</v>
      </c>
      <c r="D512">
        <v>1034</v>
      </c>
      <c r="E512" t="s">
        <v>1682</v>
      </c>
      <c r="F512" t="s">
        <v>2022</v>
      </c>
      <c r="G512" t="s">
        <v>6003</v>
      </c>
      <c r="H512" t="str">
        <f t="shared" si="28"/>
        <v>Skinswet Sltdpigsa</v>
      </c>
      <c r="I512">
        <f t="shared" si="29"/>
        <v>1045</v>
      </c>
      <c r="J512" s="421">
        <v>0.2</v>
      </c>
      <c r="K512" s="655" t="s">
        <v>7466</v>
      </c>
      <c r="L512" s="469" t="s">
        <v>7467</v>
      </c>
      <c r="M512" s="470">
        <v>1.2745825602968459</v>
      </c>
      <c r="N512" s="656">
        <f t="shared" si="30"/>
        <v>0.25491651205936922</v>
      </c>
      <c r="O512" s="666">
        <f t="shared" si="31"/>
        <v>0.27877873024940947</v>
      </c>
      <c r="P512" s="662" t="s">
        <v>7514</v>
      </c>
    </row>
    <row r="513" spans="1:16">
      <c r="A513" s="14" t="s">
        <v>2734</v>
      </c>
      <c r="B513" s="233">
        <v>1047</v>
      </c>
      <c r="C513">
        <v>3</v>
      </c>
      <c r="D513">
        <v>1034</v>
      </c>
      <c r="E513" t="s">
        <v>1682</v>
      </c>
      <c r="F513" t="s">
        <v>5997</v>
      </c>
      <c r="G513" t="s">
        <v>6004</v>
      </c>
      <c r="H513" t="str">
        <f t="shared" si="28"/>
        <v>Pigskins freshb</v>
      </c>
      <c r="I513">
        <f t="shared" si="29"/>
        <v>1044</v>
      </c>
      <c r="J513" s="421">
        <v>0.8</v>
      </c>
      <c r="K513" s="655" t="s">
        <v>7468</v>
      </c>
      <c r="L513" s="469" t="s">
        <v>7469</v>
      </c>
      <c r="M513" s="470">
        <v>1.1056866663066371</v>
      </c>
      <c r="N513" s="656">
        <f t="shared" si="30"/>
        <v>0.8845493330453098</v>
      </c>
      <c r="O513" s="666">
        <f t="shared" si="31"/>
        <v>1.3938936512470472</v>
      </c>
      <c r="P513" s="662" t="s">
        <v>7514</v>
      </c>
    </row>
    <row r="514" spans="1:16">
      <c r="A514" s="14" t="s">
        <v>4551</v>
      </c>
      <c r="B514" s="233">
        <v>1057</v>
      </c>
      <c r="C514">
        <v>1</v>
      </c>
      <c r="D514">
        <v>1057</v>
      </c>
      <c r="E514" t="s">
        <v>4551</v>
      </c>
      <c r="F514"/>
      <c r="G514"/>
      <c r="H514" t="str">
        <f t="shared" si="28"/>
        <v/>
      </c>
      <c r="I514" t="str">
        <f t="shared" si="29"/>
        <v/>
      </c>
      <c r="J514" s="421"/>
      <c r="K514" s="655">
        <v>1335140</v>
      </c>
      <c r="L514" s="469">
        <v>2326860</v>
      </c>
      <c r="M514" s="470">
        <v>1.74278352831913</v>
      </c>
      <c r="N514" s="656" t="str">
        <f t="shared" si="30"/>
        <v/>
      </c>
      <c r="O514" s="666">
        <f t="shared" si="31"/>
        <v>1</v>
      </c>
      <c r="P514" s="662">
        <v>2011</v>
      </c>
    </row>
    <row r="515" spans="1:16">
      <c r="A515" s="14" t="s">
        <v>1829</v>
      </c>
      <c r="B515" s="233">
        <v>1058</v>
      </c>
      <c r="C515">
        <v>2</v>
      </c>
      <c r="D515">
        <v>1057</v>
      </c>
      <c r="E515" t="s">
        <v>4551</v>
      </c>
      <c r="F515" t="s">
        <v>4551</v>
      </c>
      <c r="G515" t="s">
        <v>6003</v>
      </c>
      <c r="H515" t="str">
        <f t="shared" si="28"/>
        <v>Chickensa</v>
      </c>
      <c r="I515">
        <f t="shared" si="29"/>
        <v>1057</v>
      </c>
      <c r="J515" s="421">
        <v>0.78</v>
      </c>
      <c r="K515" s="655">
        <v>11391500</v>
      </c>
      <c r="L515" s="469">
        <v>21792100</v>
      </c>
      <c r="M515" s="470">
        <v>1.9130140894526599</v>
      </c>
      <c r="N515" s="656">
        <f t="shared" si="30"/>
        <v>1.4921509897730747</v>
      </c>
      <c r="O515" s="666">
        <f t="shared" si="31"/>
        <v>0.83295908481198</v>
      </c>
      <c r="P515" s="662">
        <v>2011</v>
      </c>
    </row>
    <row r="516" spans="1:16">
      <c r="A516" s="14" t="s">
        <v>2852</v>
      </c>
      <c r="B516" s="233">
        <v>1059</v>
      </c>
      <c r="C516">
        <v>2</v>
      </c>
      <c r="D516">
        <v>1057</v>
      </c>
      <c r="E516" t="s">
        <v>4551</v>
      </c>
      <c r="F516" t="s">
        <v>4551</v>
      </c>
      <c r="G516" t="s">
        <v>6003</v>
      </c>
      <c r="H516" t="str">
        <f t="shared" si="28"/>
        <v>Chickensa</v>
      </c>
      <c r="I516">
        <f t="shared" si="29"/>
        <v>1057</v>
      </c>
      <c r="J516" s="421">
        <v>0.1</v>
      </c>
      <c r="K516" s="655">
        <v>306830</v>
      </c>
      <c r="L516" s="469">
        <v>310854</v>
      </c>
      <c r="M516" s="470">
        <v>1.01311475409836</v>
      </c>
      <c r="N516" s="656">
        <f t="shared" si="30"/>
        <v>0.10131147540983601</v>
      </c>
      <c r="O516" s="666">
        <f t="shared" si="31"/>
        <v>1.5728351193553012</v>
      </c>
      <c r="P516" s="662">
        <v>2011</v>
      </c>
    </row>
    <row r="517" spans="1:16">
      <c r="A517" s="14" t="s">
        <v>5324</v>
      </c>
      <c r="B517" s="233">
        <v>1060</v>
      </c>
      <c r="C517">
        <v>3</v>
      </c>
      <c r="D517">
        <v>1057</v>
      </c>
      <c r="E517" t="s">
        <v>4551</v>
      </c>
      <c r="F517" t="s">
        <v>1829</v>
      </c>
      <c r="G517" t="s">
        <v>6003</v>
      </c>
      <c r="H517" t="str">
        <f t="shared" si="28"/>
        <v>Chicken meata</v>
      </c>
      <c r="I517">
        <f t="shared" si="29"/>
        <v>1058</v>
      </c>
      <c r="J517" s="421">
        <v>0.05</v>
      </c>
      <c r="K517" s="655">
        <v>3833</v>
      </c>
      <c r="L517" s="469">
        <v>59831</v>
      </c>
      <c r="M517" s="470">
        <v>15.6094442995043</v>
      </c>
      <c r="N517" s="656">
        <f t="shared" si="30"/>
        <v>0.78047221497521502</v>
      </c>
      <c r="O517" s="666">
        <f t="shared" si="31"/>
        <v>4.1647954240599E-2</v>
      </c>
      <c r="P517" s="662">
        <v>2011</v>
      </c>
    </row>
    <row r="518" spans="1:16">
      <c r="A518" s="14" t="s">
        <v>1004</v>
      </c>
      <c r="B518" s="233">
        <v>1061</v>
      </c>
      <c r="C518">
        <v>3</v>
      </c>
      <c r="D518">
        <v>1057</v>
      </c>
      <c r="E518" t="s">
        <v>4551</v>
      </c>
      <c r="F518" t="s">
        <v>1829</v>
      </c>
      <c r="G518" t="s">
        <v>6004</v>
      </c>
      <c r="H518" t="str">
        <f t="shared" si="28"/>
        <v>Chicken meatb</v>
      </c>
      <c r="I518">
        <f t="shared" si="29"/>
        <v>1058</v>
      </c>
      <c r="J518" s="421">
        <v>0.92</v>
      </c>
      <c r="K518" s="655">
        <v>1899370</v>
      </c>
      <c r="L518" s="469">
        <v>7937580</v>
      </c>
      <c r="M518" s="470">
        <v>4.1790593723181901</v>
      </c>
      <c r="N518" s="656">
        <f t="shared" si="30"/>
        <v>3.844734622532735</v>
      </c>
      <c r="O518" s="666">
        <f t="shared" si="31"/>
        <v>0.76632235802702164</v>
      </c>
      <c r="P518" s="662">
        <v>2011</v>
      </c>
    </row>
    <row r="519" spans="1:16">
      <c r="A519" s="14" t="s">
        <v>5022</v>
      </c>
      <c r="B519" s="233">
        <v>1062</v>
      </c>
      <c r="C519">
        <v>1</v>
      </c>
      <c r="D519">
        <v>1062</v>
      </c>
      <c r="E519" t="s">
        <v>5022</v>
      </c>
      <c r="F519"/>
      <c r="G519"/>
      <c r="H519" t="str">
        <f t="shared" si="28"/>
        <v/>
      </c>
      <c r="I519" t="str">
        <f t="shared" si="29"/>
        <v/>
      </c>
      <c r="J519" s="421"/>
      <c r="K519" s="655">
        <v>1681180</v>
      </c>
      <c r="L519" s="469">
        <v>3160420</v>
      </c>
      <c r="M519" s="470">
        <v>1.87988198765153</v>
      </c>
      <c r="N519" s="656" t="str">
        <f t="shared" si="30"/>
        <v/>
      </c>
      <c r="O519" s="666">
        <f t="shared" si="31"/>
        <v>1</v>
      </c>
      <c r="P519" s="662">
        <v>2011</v>
      </c>
    </row>
    <row r="520" spans="1:16">
      <c r="A520" s="14" t="s">
        <v>3074</v>
      </c>
      <c r="B520" s="233">
        <v>1063</v>
      </c>
      <c r="C520"/>
      <c r="D520" t="s">
        <v>2738</v>
      </c>
      <c r="E520"/>
      <c r="F520"/>
      <c r="G520"/>
      <c r="H520" t="str">
        <f t="shared" ref="H520:H583" si="32">F520&amp;G520</f>
        <v/>
      </c>
      <c r="I520" t="str">
        <f t="shared" ref="I520:I583" si="33">IFERROR(VLOOKUP(F520,$A$7:$B$590,2,FALSE),"")</f>
        <v/>
      </c>
      <c r="J520" s="421"/>
      <c r="K520" s="655">
        <v>271809</v>
      </c>
      <c r="L520" s="469">
        <v>539832</v>
      </c>
      <c r="M520" s="470">
        <v>1.98607110139841</v>
      </c>
      <c r="N520" s="656" t="str">
        <f t="shared" ref="N520:N583" si="34">IF(ISBLANK(J520),"",J520*M520)</f>
        <v/>
      </c>
      <c r="O520" s="666">
        <f t="shared" si="31"/>
        <v>1</v>
      </c>
      <c r="P520" s="662">
        <v>2011</v>
      </c>
    </row>
    <row r="521" spans="1:16">
      <c r="A521" s="14" t="s">
        <v>3073</v>
      </c>
      <c r="B521" s="233">
        <v>1064</v>
      </c>
      <c r="C521"/>
      <c r="D521" t="s">
        <v>2738</v>
      </c>
      <c r="E521"/>
      <c r="F521"/>
      <c r="G521"/>
      <c r="H521" t="str">
        <f t="shared" si="32"/>
        <v/>
      </c>
      <c r="I521" t="str">
        <f t="shared" si="33"/>
        <v/>
      </c>
      <c r="J521" s="421"/>
      <c r="K521" s="655">
        <v>59732</v>
      </c>
      <c r="L521" s="469">
        <v>294296</v>
      </c>
      <c r="M521" s="470">
        <v>4.9269403334895898</v>
      </c>
      <c r="N521" s="656" t="str">
        <f t="shared" si="34"/>
        <v/>
      </c>
      <c r="O521" s="666">
        <f t="shared" si="31"/>
        <v>1</v>
      </c>
      <c r="P521" s="662">
        <v>2011</v>
      </c>
    </row>
    <row r="522" spans="1:16">
      <c r="A522" s="14" t="s">
        <v>3515</v>
      </c>
      <c r="B522" s="233">
        <v>1065</v>
      </c>
      <c r="C522">
        <v>3</v>
      </c>
      <c r="D522">
        <v>1057</v>
      </c>
      <c r="E522" t="s">
        <v>4551</v>
      </c>
      <c r="F522" t="s">
        <v>1829</v>
      </c>
      <c r="G522" t="s">
        <v>6005</v>
      </c>
      <c r="H522" t="str">
        <f t="shared" si="32"/>
        <v>Chicken meatc</v>
      </c>
      <c r="I522">
        <f t="shared" si="33"/>
        <v>1058</v>
      </c>
      <c r="J522" s="421">
        <v>0.06</v>
      </c>
      <c r="K522" s="655" t="s">
        <v>7470</v>
      </c>
      <c r="L522" s="469" t="s">
        <v>7471</v>
      </c>
      <c r="M522" s="470">
        <v>0.71253380583791848</v>
      </c>
      <c r="N522" s="656">
        <f t="shared" si="34"/>
        <v>4.2752028350275105E-2</v>
      </c>
      <c r="O522" s="666">
        <f t="shared" ref="O522:O585" si="35">IF(ISBLANK(F522),1,J522/(N522/SUMIF(H$7:H$601,H522,N$7:N$601))*VLOOKUP(F522,A$7:O$601,15,FALSE))</f>
        <v>4.9977545088718801E-2</v>
      </c>
      <c r="P522" s="662" t="s">
        <v>7514</v>
      </c>
    </row>
    <row r="523" spans="1:16">
      <c r="A523" s="14" t="s">
        <v>5327</v>
      </c>
      <c r="B523" s="233">
        <v>1066</v>
      </c>
      <c r="C523">
        <v>4</v>
      </c>
      <c r="D523">
        <v>1057</v>
      </c>
      <c r="E523" t="s">
        <v>4551</v>
      </c>
      <c r="F523" t="s">
        <v>3515</v>
      </c>
      <c r="G523" t="s">
        <v>6003</v>
      </c>
      <c r="H523" t="str">
        <f t="shared" si="32"/>
        <v>Fat of Poultrya</v>
      </c>
      <c r="I523">
        <f t="shared" si="33"/>
        <v>1065</v>
      </c>
      <c r="J523" s="421">
        <v>1</v>
      </c>
      <c r="K523" s="655" t="s">
        <v>7472</v>
      </c>
      <c r="L523" s="469" t="s">
        <v>7473</v>
      </c>
      <c r="M523" s="470">
        <v>1.1329253281090172</v>
      </c>
      <c r="N523" s="656">
        <f t="shared" si="34"/>
        <v>1.1329253281090172</v>
      </c>
      <c r="O523" s="666">
        <f t="shared" si="35"/>
        <v>4.9977545088718801E-2</v>
      </c>
      <c r="P523" s="662" t="s">
        <v>7514</v>
      </c>
    </row>
    <row r="524" spans="1:16">
      <c r="A524" s="14" t="s">
        <v>3071</v>
      </c>
      <c r="B524" s="233">
        <v>1068</v>
      </c>
      <c r="C524">
        <v>1</v>
      </c>
      <c r="D524">
        <v>1068</v>
      </c>
      <c r="E524" t="s">
        <v>3071</v>
      </c>
      <c r="F524"/>
      <c r="G524"/>
      <c r="H524" t="str">
        <f t="shared" si="32"/>
        <v/>
      </c>
      <c r="I524" t="str">
        <f t="shared" si="33"/>
        <v/>
      </c>
      <c r="J524" s="421"/>
      <c r="K524" s="655">
        <v>11324</v>
      </c>
      <c r="L524" s="469">
        <v>77488</v>
      </c>
      <c r="M524" s="470">
        <v>6.8428117273048397</v>
      </c>
      <c r="N524" s="656" t="str">
        <f t="shared" si="34"/>
        <v/>
      </c>
      <c r="O524" s="666">
        <f t="shared" si="35"/>
        <v>1</v>
      </c>
      <c r="P524" s="662">
        <v>2011</v>
      </c>
    </row>
    <row r="525" spans="1:16">
      <c r="A525" s="14" t="s">
        <v>5422</v>
      </c>
      <c r="B525" s="233">
        <v>1069</v>
      </c>
      <c r="C525">
        <v>2</v>
      </c>
      <c r="D525">
        <v>1068</v>
      </c>
      <c r="E525" t="s">
        <v>3071</v>
      </c>
      <c r="F525" t="s">
        <v>3071</v>
      </c>
      <c r="G525" t="s">
        <v>6003</v>
      </c>
      <c r="H525" t="str">
        <f t="shared" si="32"/>
        <v>Ducksa</v>
      </c>
      <c r="I525">
        <f t="shared" si="33"/>
        <v>1068</v>
      </c>
      <c r="J525" s="421">
        <v>0.06</v>
      </c>
      <c r="K525" s="655">
        <v>137414</v>
      </c>
      <c r="L525" s="469">
        <v>441810</v>
      </c>
      <c r="M525" s="470">
        <v>3.2151745819203299</v>
      </c>
      <c r="N525" s="656">
        <f t="shared" si="34"/>
        <v>0.19291047491521979</v>
      </c>
      <c r="O525" s="666">
        <f t="shared" si="35"/>
        <v>0.61736603316806926</v>
      </c>
      <c r="P525" s="662">
        <v>2011</v>
      </c>
    </row>
    <row r="526" spans="1:16">
      <c r="A526" s="14" t="s">
        <v>6014</v>
      </c>
      <c r="B526" s="233">
        <v>1072</v>
      </c>
      <c r="C526">
        <v>1</v>
      </c>
      <c r="D526">
        <v>1072</v>
      </c>
      <c r="E526" t="s">
        <v>6014</v>
      </c>
      <c r="F526"/>
      <c r="G526"/>
      <c r="H526" t="str">
        <f t="shared" si="32"/>
        <v/>
      </c>
      <c r="I526" t="str">
        <f t="shared" si="33"/>
        <v/>
      </c>
      <c r="J526" s="421"/>
      <c r="K526" s="655" t="s">
        <v>7287</v>
      </c>
      <c r="L526" s="469" t="s">
        <v>7287</v>
      </c>
      <c r="M526" s="470">
        <v>0</v>
      </c>
      <c r="N526" s="656" t="str">
        <f t="shared" si="34"/>
        <v/>
      </c>
      <c r="O526" s="666">
        <f t="shared" si="35"/>
        <v>1</v>
      </c>
      <c r="P526" s="662" t="s">
        <v>7514</v>
      </c>
    </row>
    <row r="527" spans="1:16">
      <c r="A527" s="14" t="s">
        <v>5020</v>
      </c>
      <c r="B527" s="233">
        <v>1073</v>
      </c>
      <c r="C527">
        <v>2</v>
      </c>
      <c r="D527">
        <v>1072</v>
      </c>
      <c r="E527" t="s">
        <v>6014</v>
      </c>
      <c r="F527" t="s">
        <v>6014</v>
      </c>
      <c r="G527" t="s">
        <v>6003</v>
      </c>
      <c r="H527" t="str">
        <f t="shared" si="32"/>
        <v>Geese and Guinea Fowlsa</v>
      </c>
      <c r="I527">
        <f t="shared" si="33"/>
        <v>1072</v>
      </c>
      <c r="J527" s="421">
        <v>0.81</v>
      </c>
      <c r="K527" s="655">
        <v>33696</v>
      </c>
      <c r="L527" s="469">
        <v>251303</v>
      </c>
      <c r="M527" s="470">
        <v>7.4579475308641996</v>
      </c>
      <c r="N527" s="656">
        <f t="shared" si="34"/>
        <v>6.0409375000000018</v>
      </c>
      <c r="O527" s="666">
        <f t="shared" si="35"/>
        <v>1.1105848002070022</v>
      </c>
      <c r="P527" s="662">
        <v>2011</v>
      </c>
    </row>
    <row r="528" spans="1:16">
      <c r="A528" s="14" t="s">
        <v>2853</v>
      </c>
      <c r="B528" s="233">
        <v>1074</v>
      </c>
      <c r="C528">
        <v>2</v>
      </c>
      <c r="D528">
        <v>1072</v>
      </c>
      <c r="E528" t="s">
        <v>6014</v>
      </c>
      <c r="F528" t="s">
        <v>6014</v>
      </c>
      <c r="G528" t="s">
        <v>6003</v>
      </c>
      <c r="H528" t="str">
        <f t="shared" si="32"/>
        <v>Geese and Guinea Fowlsa</v>
      </c>
      <c r="I528">
        <f t="shared" si="33"/>
        <v>1072</v>
      </c>
      <c r="J528" s="421">
        <v>0.1</v>
      </c>
      <c r="K528" s="655">
        <v>3059</v>
      </c>
      <c r="L528" s="469">
        <v>68575</v>
      </c>
      <c r="M528" s="470">
        <v>22.417456685191201</v>
      </c>
      <c r="N528" s="656">
        <f t="shared" si="34"/>
        <v>2.2417456685191204</v>
      </c>
      <c r="O528" s="666">
        <f t="shared" si="35"/>
        <v>0.36947470379146974</v>
      </c>
      <c r="P528" s="662">
        <v>2011</v>
      </c>
    </row>
    <row r="529" spans="1:16">
      <c r="A529" s="14" t="s">
        <v>1027</v>
      </c>
      <c r="B529" s="233">
        <v>1075</v>
      </c>
      <c r="C529">
        <v>2</v>
      </c>
      <c r="D529">
        <v>1068</v>
      </c>
      <c r="E529" t="s">
        <v>3071</v>
      </c>
      <c r="F529" t="s">
        <v>3071</v>
      </c>
      <c r="G529" t="s">
        <v>6003</v>
      </c>
      <c r="H529" t="str">
        <f t="shared" si="32"/>
        <v>Ducksa</v>
      </c>
      <c r="I529">
        <f t="shared" si="33"/>
        <v>1068</v>
      </c>
      <c r="J529" s="421">
        <v>0.1</v>
      </c>
      <c r="K529" s="655">
        <v>6185</v>
      </c>
      <c r="L529" s="469">
        <v>110837</v>
      </c>
      <c r="M529" s="470">
        <v>17.9202910266774</v>
      </c>
      <c r="N529" s="656">
        <f t="shared" si="34"/>
        <v>1.7920291026677402</v>
      </c>
      <c r="O529" s="666">
        <f t="shared" si="35"/>
        <v>0.1107649186404417</v>
      </c>
      <c r="P529" s="662">
        <v>2011</v>
      </c>
    </row>
    <row r="530" spans="1:16">
      <c r="A530" s="14" t="s">
        <v>4652</v>
      </c>
      <c r="B530" s="233">
        <v>1079</v>
      </c>
      <c r="C530">
        <v>1</v>
      </c>
      <c r="D530">
        <v>1079</v>
      </c>
      <c r="E530" t="s">
        <v>4652</v>
      </c>
      <c r="F530"/>
      <c r="G530"/>
      <c r="H530" t="str">
        <f t="shared" si="32"/>
        <v/>
      </c>
      <c r="I530" t="str">
        <f t="shared" si="33"/>
        <v/>
      </c>
      <c r="J530" s="421"/>
      <c r="K530" s="655">
        <v>71249</v>
      </c>
      <c r="L530" s="469">
        <v>367247</v>
      </c>
      <c r="M530" s="470">
        <v>5.1544162023326603</v>
      </c>
      <c r="N530" s="656" t="str">
        <f t="shared" si="34"/>
        <v/>
      </c>
      <c r="O530" s="666">
        <f t="shared" si="35"/>
        <v>1</v>
      </c>
      <c r="P530" s="662">
        <v>2011</v>
      </c>
    </row>
    <row r="531" spans="1:16">
      <c r="A531" s="14" t="s">
        <v>1865</v>
      </c>
      <c r="B531" s="233">
        <v>1080</v>
      </c>
      <c r="C531">
        <v>2</v>
      </c>
      <c r="D531">
        <v>1079</v>
      </c>
      <c r="E531" t="s">
        <v>4652</v>
      </c>
      <c r="F531" t="s">
        <v>4652</v>
      </c>
      <c r="G531" t="s">
        <v>6003</v>
      </c>
      <c r="H531" t="str">
        <f t="shared" si="32"/>
        <v>Turkeysa</v>
      </c>
      <c r="I531">
        <f t="shared" si="33"/>
        <v>1079</v>
      </c>
      <c r="J531" s="421">
        <v>0.78</v>
      </c>
      <c r="K531" s="655">
        <v>877613</v>
      </c>
      <c r="L531" s="469">
        <v>2747830</v>
      </c>
      <c r="M531" s="470">
        <v>3.13102700165107</v>
      </c>
      <c r="N531" s="656">
        <f t="shared" si="34"/>
        <v>2.4422010612878347</v>
      </c>
      <c r="O531" s="666">
        <f t="shared" si="35"/>
        <v>0.78</v>
      </c>
      <c r="P531" s="662">
        <v>2011</v>
      </c>
    </row>
    <row r="532" spans="1:16">
      <c r="A532" s="14" t="s">
        <v>6016</v>
      </c>
      <c r="B532" s="233">
        <v>1083</v>
      </c>
      <c r="C532">
        <v>1</v>
      </c>
      <c r="D532">
        <v>1083</v>
      </c>
      <c r="E532" t="s">
        <v>6016</v>
      </c>
      <c r="F532"/>
      <c r="G532"/>
      <c r="H532" t="str">
        <f t="shared" si="32"/>
        <v/>
      </c>
      <c r="I532" t="str">
        <f t="shared" si="33"/>
        <v/>
      </c>
      <c r="J532" s="421"/>
      <c r="K532" s="655">
        <v>804</v>
      </c>
      <c r="L532" s="469">
        <v>26645</v>
      </c>
      <c r="M532" s="470">
        <v>33.140547263681597</v>
      </c>
      <c r="N532" s="656" t="str">
        <f t="shared" si="34"/>
        <v/>
      </c>
      <c r="O532" s="666">
        <f t="shared" si="35"/>
        <v>1</v>
      </c>
      <c r="P532" s="662">
        <v>2011</v>
      </c>
    </row>
    <row r="533" spans="1:16">
      <c r="A533" s="14" t="s">
        <v>3255</v>
      </c>
      <c r="B533" s="233">
        <v>1089</v>
      </c>
      <c r="C533"/>
      <c r="D533" t="s">
        <v>2738</v>
      </c>
      <c r="E533"/>
      <c r="F533"/>
      <c r="G533"/>
      <c r="H533" t="str">
        <f t="shared" si="32"/>
        <v/>
      </c>
      <c r="I533" t="str">
        <f t="shared" si="33"/>
        <v/>
      </c>
      <c r="J533" s="421"/>
      <c r="K533" s="655" t="s">
        <v>7474</v>
      </c>
      <c r="L533" s="469" t="s">
        <v>7475</v>
      </c>
      <c r="M533" s="470">
        <v>7.0169491525423728</v>
      </c>
      <c r="N533" s="656" t="str">
        <f t="shared" si="34"/>
        <v/>
      </c>
      <c r="O533" s="666">
        <f t="shared" si="35"/>
        <v>1</v>
      </c>
      <c r="P533" s="662" t="s">
        <v>7514</v>
      </c>
    </row>
    <row r="534" spans="1:16">
      <c r="A534" s="14" t="s">
        <v>3821</v>
      </c>
      <c r="B534" s="233">
        <v>1091</v>
      </c>
      <c r="C534">
        <v>1</v>
      </c>
      <c r="D534">
        <v>1091</v>
      </c>
      <c r="E534" t="s">
        <v>3821</v>
      </c>
      <c r="F534"/>
      <c r="G534"/>
      <c r="H534" t="str">
        <f t="shared" si="32"/>
        <v/>
      </c>
      <c r="I534" t="str">
        <f t="shared" si="33"/>
        <v/>
      </c>
      <c r="J534" s="421"/>
      <c r="K534" s="655">
        <v>34359</v>
      </c>
      <c r="L534" s="469">
        <v>163844</v>
      </c>
      <c r="M534" s="470">
        <v>4.76859047120114</v>
      </c>
      <c r="N534" s="656" t="str">
        <f t="shared" si="34"/>
        <v/>
      </c>
      <c r="O534" s="666">
        <f t="shared" si="35"/>
        <v>1</v>
      </c>
      <c r="P534" s="662">
        <v>2011</v>
      </c>
    </row>
    <row r="535" spans="1:16">
      <c r="A535" s="14" t="s">
        <v>2659</v>
      </c>
      <c r="B535" s="233">
        <v>1096</v>
      </c>
      <c r="C535">
        <v>1</v>
      </c>
      <c r="D535">
        <v>1096</v>
      </c>
      <c r="E535" t="s">
        <v>2659</v>
      </c>
      <c r="F535"/>
      <c r="G535"/>
      <c r="H535" t="str">
        <f t="shared" si="32"/>
        <v/>
      </c>
      <c r="I535" t="str">
        <f t="shared" si="33"/>
        <v/>
      </c>
      <c r="J535" s="421"/>
      <c r="K535" s="655">
        <v>373487</v>
      </c>
      <c r="L535" s="469">
        <v>2087500</v>
      </c>
      <c r="M535" s="470">
        <v>5.5892172953810997</v>
      </c>
      <c r="N535" s="656" t="str">
        <f t="shared" si="34"/>
        <v/>
      </c>
      <c r="O535" s="666">
        <f t="shared" si="35"/>
        <v>1</v>
      </c>
      <c r="P535" s="662">
        <v>2011</v>
      </c>
    </row>
    <row r="536" spans="1:16">
      <c r="A536" s="14" t="s">
        <v>5024</v>
      </c>
      <c r="B536" s="233">
        <v>1097</v>
      </c>
      <c r="C536">
        <v>2</v>
      </c>
      <c r="D536">
        <v>1096</v>
      </c>
      <c r="E536" t="s">
        <v>2659</v>
      </c>
      <c r="F536" t="s">
        <v>2659</v>
      </c>
      <c r="G536" t="s">
        <v>6003</v>
      </c>
      <c r="H536" t="str">
        <f t="shared" si="32"/>
        <v>Horsesa</v>
      </c>
      <c r="I536">
        <f t="shared" si="33"/>
        <v>1096</v>
      </c>
      <c r="J536" s="421">
        <v>0.76</v>
      </c>
      <c r="K536" s="655">
        <v>133615</v>
      </c>
      <c r="L536" s="469">
        <v>556989</v>
      </c>
      <c r="M536" s="470">
        <v>4.1686113086105596</v>
      </c>
      <c r="N536" s="656">
        <f t="shared" si="34"/>
        <v>3.1681445945440254</v>
      </c>
      <c r="O536" s="666">
        <f t="shared" si="35"/>
        <v>0.77778906973229744</v>
      </c>
      <c r="P536" s="662">
        <v>2011</v>
      </c>
    </row>
    <row r="537" spans="1:16">
      <c r="A537" s="14" t="s">
        <v>897</v>
      </c>
      <c r="B537" s="233">
        <v>1098</v>
      </c>
      <c r="C537">
        <v>2</v>
      </c>
      <c r="D537">
        <v>1096</v>
      </c>
      <c r="E537" t="s">
        <v>2659</v>
      </c>
      <c r="F537" t="s">
        <v>2659</v>
      </c>
      <c r="G537" t="s">
        <v>6003</v>
      </c>
      <c r="H537" t="str">
        <f t="shared" si="32"/>
        <v>Horsesa</v>
      </c>
      <c r="I537">
        <f t="shared" si="33"/>
        <v>1096</v>
      </c>
      <c r="J537" s="421">
        <v>0.04</v>
      </c>
      <c r="K537" s="655" t="s">
        <v>7476</v>
      </c>
      <c r="L537" s="469" t="s">
        <v>7477</v>
      </c>
      <c r="M537" s="470">
        <v>1.8496153846153847</v>
      </c>
      <c r="N537" s="656">
        <f t="shared" si="34"/>
        <v>7.3984615384615385E-2</v>
      </c>
      <c r="O537" s="666">
        <f t="shared" si="35"/>
        <v>1.7529592037178896</v>
      </c>
      <c r="P537" s="662" t="s">
        <v>7514</v>
      </c>
    </row>
    <row r="538" spans="1:16">
      <c r="A538" s="14" t="s">
        <v>5276</v>
      </c>
      <c r="B538" s="233">
        <v>1100</v>
      </c>
      <c r="C538">
        <v>2</v>
      </c>
      <c r="D538">
        <v>1096</v>
      </c>
      <c r="E538" t="s">
        <v>2659</v>
      </c>
      <c r="F538" t="s">
        <v>2659</v>
      </c>
      <c r="G538" t="s">
        <v>6003</v>
      </c>
      <c r="H538" t="str">
        <f t="shared" si="32"/>
        <v>Horsesa</v>
      </c>
      <c r="I538">
        <f t="shared" si="33"/>
        <v>1096</v>
      </c>
      <c r="J538" s="421">
        <v>1E-4</v>
      </c>
      <c r="K538" s="655" t="s">
        <v>7478</v>
      </c>
      <c r="L538" s="469" t="s">
        <v>7479</v>
      </c>
      <c r="M538" s="470">
        <v>1.7110187110187109</v>
      </c>
      <c r="N538" s="656">
        <f t="shared" si="34"/>
        <v>1.7110187110187111E-4</v>
      </c>
      <c r="O538" s="666">
        <f t="shared" si="35"/>
        <v>1.8949531591441995</v>
      </c>
      <c r="P538" s="662" t="s">
        <v>7514</v>
      </c>
    </row>
    <row r="539" spans="1:16">
      <c r="A539" s="14" t="s">
        <v>295</v>
      </c>
      <c r="B539" s="233">
        <v>1103</v>
      </c>
      <c r="C539">
        <v>2</v>
      </c>
      <c r="D539">
        <v>1096</v>
      </c>
      <c r="E539" t="s">
        <v>2659</v>
      </c>
      <c r="F539" t="s">
        <v>2659</v>
      </c>
      <c r="G539" t="s">
        <v>6004</v>
      </c>
      <c r="H539" t="str">
        <f t="shared" si="32"/>
        <v>Horsesb</v>
      </c>
      <c r="I539">
        <f t="shared" si="33"/>
        <v>1096</v>
      </c>
      <c r="J539" s="421">
        <v>0.35</v>
      </c>
      <c r="K539" s="655" t="s">
        <v>7480</v>
      </c>
      <c r="L539" s="469" t="s">
        <v>7481</v>
      </c>
      <c r="M539" s="470">
        <v>2.3926121372031663</v>
      </c>
      <c r="N539" s="656">
        <f t="shared" si="34"/>
        <v>0.8374142480211082</v>
      </c>
      <c r="O539" s="666">
        <f t="shared" si="35"/>
        <v>0.35</v>
      </c>
      <c r="P539" s="662" t="s">
        <v>7514</v>
      </c>
    </row>
    <row r="540" spans="1:16">
      <c r="A540" s="14" t="s">
        <v>1476</v>
      </c>
      <c r="B540" s="233">
        <v>1104</v>
      </c>
      <c r="C540">
        <v>2</v>
      </c>
      <c r="D540">
        <v>1096</v>
      </c>
      <c r="E540" t="s">
        <v>2659</v>
      </c>
      <c r="F540" t="s">
        <v>2659</v>
      </c>
      <c r="G540" t="s">
        <v>6005</v>
      </c>
      <c r="H540" t="str">
        <f t="shared" si="32"/>
        <v>Horsesc</v>
      </c>
      <c r="I540">
        <f t="shared" si="33"/>
        <v>1096</v>
      </c>
      <c r="J540" s="421">
        <v>0.17</v>
      </c>
      <c r="K540" s="655">
        <v>78</v>
      </c>
      <c r="L540" s="469">
        <v>182</v>
      </c>
      <c r="M540" s="470">
        <v>0.42857142857142899</v>
      </c>
      <c r="N540" s="656">
        <f t="shared" si="34"/>
        <v>7.285714285714294E-2</v>
      </c>
      <c r="O540" s="666">
        <f t="shared" si="35"/>
        <v>0.17</v>
      </c>
      <c r="P540" s="662">
        <v>2000</v>
      </c>
    </row>
    <row r="541" spans="1:16">
      <c r="A541" s="14" t="s">
        <v>1478</v>
      </c>
      <c r="B541" s="233">
        <v>1105</v>
      </c>
      <c r="C541">
        <v>2</v>
      </c>
      <c r="D541">
        <v>1096</v>
      </c>
      <c r="E541" t="s">
        <v>2659</v>
      </c>
      <c r="F541" t="s">
        <v>2659</v>
      </c>
      <c r="G541" t="s">
        <v>6006</v>
      </c>
      <c r="H541" t="str">
        <f t="shared" si="32"/>
        <v>Horsesd</v>
      </c>
      <c r="I541">
        <f t="shared" si="33"/>
        <v>1096</v>
      </c>
      <c r="J541" s="421">
        <v>0.17</v>
      </c>
      <c r="K541" s="655" t="s">
        <v>7373</v>
      </c>
      <c r="L541" s="469" t="s">
        <v>7482</v>
      </c>
      <c r="M541" s="470">
        <v>3.4117647058823528</v>
      </c>
      <c r="N541" s="656">
        <f t="shared" si="34"/>
        <v>0.58000000000000007</v>
      </c>
      <c r="O541" s="666">
        <f t="shared" si="35"/>
        <v>0.17</v>
      </c>
      <c r="P541" s="662" t="s">
        <v>7514</v>
      </c>
    </row>
    <row r="542" spans="1:16">
      <c r="A542" s="14" t="s">
        <v>3253</v>
      </c>
      <c r="B542" s="233">
        <v>1107</v>
      </c>
      <c r="C542">
        <v>1</v>
      </c>
      <c r="D542">
        <v>1107</v>
      </c>
      <c r="E542" t="s">
        <v>3253</v>
      </c>
      <c r="F542"/>
      <c r="G542"/>
      <c r="H542" t="str">
        <f t="shared" si="32"/>
        <v/>
      </c>
      <c r="I542" t="str">
        <f t="shared" si="33"/>
        <v/>
      </c>
      <c r="J542" s="421"/>
      <c r="K542" s="655">
        <v>7117</v>
      </c>
      <c r="L542" s="469">
        <v>2439</v>
      </c>
      <c r="M542" s="470">
        <v>0.34270057608542898</v>
      </c>
      <c r="N542" s="656" t="str">
        <f t="shared" si="34"/>
        <v/>
      </c>
      <c r="O542" s="666">
        <f t="shared" si="35"/>
        <v>1</v>
      </c>
      <c r="P542" s="662">
        <v>2011</v>
      </c>
    </row>
    <row r="543" spans="1:16">
      <c r="A543" s="14" t="s">
        <v>4995</v>
      </c>
      <c r="B543" s="233">
        <v>1108</v>
      </c>
      <c r="C543">
        <v>2</v>
      </c>
      <c r="D543">
        <v>1107</v>
      </c>
      <c r="E543" t="s">
        <v>3253</v>
      </c>
      <c r="F543" t="s">
        <v>3253</v>
      </c>
      <c r="G543"/>
      <c r="H543" t="str">
        <f t="shared" si="32"/>
        <v>Asses</v>
      </c>
      <c r="I543">
        <f t="shared" si="33"/>
        <v>1107</v>
      </c>
      <c r="J543" s="421">
        <v>0.76</v>
      </c>
      <c r="K543" s="655">
        <v>15</v>
      </c>
      <c r="L543" s="469">
        <v>11</v>
      </c>
      <c r="M543" s="470">
        <v>1.36363636363636</v>
      </c>
      <c r="N543" s="656">
        <f t="shared" si="34"/>
        <v>1.0363636363636335</v>
      </c>
      <c r="O543" s="666">
        <f t="shared" si="35"/>
        <v>0.76</v>
      </c>
      <c r="P543" s="662">
        <v>1997</v>
      </c>
    </row>
    <row r="544" spans="1:16">
      <c r="A544" s="14" t="s">
        <v>4998</v>
      </c>
      <c r="B544" s="233">
        <v>1110</v>
      </c>
      <c r="C544">
        <v>1</v>
      </c>
      <c r="D544" s="233">
        <v>1110</v>
      </c>
      <c r="E544" t="s">
        <v>4998</v>
      </c>
      <c r="F544"/>
      <c r="G544"/>
      <c r="H544" t="str">
        <f t="shared" si="32"/>
        <v/>
      </c>
      <c r="I544" t="str">
        <f t="shared" si="33"/>
        <v/>
      </c>
      <c r="J544" s="421"/>
      <c r="K544" s="655">
        <v>6</v>
      </c>
      <c r="L544" s="469">
        <v>6</v>
      </c>
      <c r="M544" s="470">
        <v>1</v>
      </c>
      <c r="N544" s="656" t="str">
        <f t="shared" si="34"/>
        <v/>
      </c>
      <c r="O544" s="666">
        <f t="shared" si="35"/>
        <v>1</v>
      </c>
      <c r="P544" s="662">
        <v>2011</v>
      </c>
    </row>
    <row r="545" spans="1:16">
      <c r="A545" s="14" t="s">
        <v>4903</v>
      </c>
      <c r="B545" s="233">
        <v>1126</v>
      </c>
      <c r="C545">
        <v>1</v>
      </c>
      <c r="D545">
        <v>1126</v>
      </c>
      <c r="E545" t="s">
        <v>4903</v>
      </c>
      <c r="F545"/>
      <c r="G545"/>
      <c r="H545" t="str">
        <f t="shared" si="32"/>
        <v/>
      </c>
      <c r="I545" t="str">
        <f t="shared" si="33"/>
        <v/>
      </c>
      <c r="J545" s="421"/>
      <c r="K545" s="655">
        <v>255626</v>
      </c>
      <c r="L545" s="469">
        <v>85093</v>
      </c>
      <c r="M545" s="470">
        <v>0.33288084936586998</v>
      </c>
      <c r="N545" s="656" t="str">
        <f t="shared" si="34"/>
        <v/>
      </c>
      <c r="O545" s="666">
        <f t="shared" si="35"/>
        <v>1</v>
      </c>
      <c r="P545" s="662">
        <v>2011</v>
      </c>
    </row>
    <row r="546" spans="1:16">
      <c r="A546" s="14" t="s">
        <v>4475</v>
      </c>
      <c r="B546" s="233">
        <v>1127</v>
      </c>
      <c r="C546">
        <v>2</v>
      </c>
      <c r="D546">
        <v>1126</v>
      </c>
      <c r="E546" t="s">
        <v>4903</v>
      </c>
      <c r="F546" t="s">
        <v>4903</v>
      </c>
      <c r="G546" t="s">
        <v>6003</v>
      </c>
      <c r="H546" t="str">
        <f t="shared" si="32"/>
        <v>Camelsa</v>
      </c>
      <c r="I546">
        <f t="shared" si="33"/>
        <v>1126</v>
      </c>
      <c r="J546" s="421">
        <v>0.76</v>
      </c>
      <c r="K546" s="655" t="s">
        <v>7483</v>
      </c>
      <c r="L546" s="469" t="s">
        <v>7484</v>
      </c>
      <c r="M546" s="470">
        <v>2.5913555992141455</v>
      </c>
      <c r="N546" s="656">
        <f t="shared" si="34"/>
        <v>1.9694302554027505</v>
      </c>
      <c r="O546" s="666">
        <f t="shared" si="35"/>
        <v>0.86187717968157707</v>
      </c>
      <c r="P546" s="662" t="s">
        <v>7514</v>
      </c>
    </row>
    <row r="547" spans="1:16">
      <c r="A547" s="14" t="s">
        <v>3514</v>
      </c>
      <c r="B547" s="233">
        <v>1129</v>
      </c>
      <c r="C547">
        <v>2</v>
      </c>
      <c r="D547">
        <v>1126</v>
      </c>
      <c r="E547" t="s">
        <v>4903</v>
      </c>
      <c r="F547" t="s">
        <v>4903</v>
      </c>
      <c r="G547" t="s">
        <v>6003</v>
      </c>
      <c r="H547" t="str">
        <f t="shared" si="32"/>
        <v>Camelsa</v>
      </c>
      <c r="I547">
        <f t="shared" si="33"/>
        <v>1126</v>
      </c>
      <c r="J547" s="421">
        <v>0.06</v>
      </c>
      <c r="K547" s="655">
        <v>22</v>
      </c>
      <c r="L547" s="469">
        <v>5</v>
      </c>
      <c r="M547" s="470">
        <v>4.4000000000000004</v>
      </c>
      <c r="N547" s="656">
        <f t="shared" si="34"/>
        <v>0.26400000000000001</v>
      </c>
      <c r="O547" s="666">
        <f t="shared" si="35"/>
        <v>0.50759778531880695</v>
      </c>
      <c r="P547" s="662">
        <v>1999</v>
      </c>
    </row>
    <row r="548" spans="1:16">
      <c r="A548" s="14" t="s">
        <v>5167</v>
      </c>
      <c r="B548" s="233">
        <v>1134</v>
      </c>
      <c r="C548">
        <v>2</v>
      </c>
      <c r="D548">
        <v>1126</v>
      </c>
      <c r="E548" t="s">
        <v>4903</v>
      </c>
      <c r="F548" t="s">
        <v>4903</v>
      </c>
      <c r="G548" t="s">
        <v>6004</v>
      </c>
      <c r="H548" t="str">
        <f t="shared" si="32"/>
        <v>Camelsb</v>
      </c>
      <c r="I548">
        <f t="shared" si="33"/>
        <v>1126</v>
      </c>
      <c r="J548" s="421">
        <v>0.35</v>
      </c>
      <c r="K548" s="655">
        <v>53</v>
      </c>
      <c r="L548" s="469">
        <v>86</v>
      </c>
      <c r="M548" s="470">
        <v>0.61627906976744196</v>
      </c>
      <c r="N548" s="656">
        <f t="shared" si="34"/>
        <v>0.21569767441860468</v>
      </c>
      <c r="O548" s="666">
        <f t="shared" si="35"/>
        <v>0.35</v>
      </c>
      <c r="P548" s="662">
        <v>1987</v>
      </c>
    </row>
    <row r="549" spans="1:16">
      <c r="A549" s="14" t="s">
        <v>5177</v>
      </c>
      <c r="B549" s="233">
        <v>1136</v>
      </c>
      <c r="C549">
        <v>2</v>
      </c>
      <c r="D549">
        <v>1126</v>
      </c>
      <c r="E549" t="s">
        <v>4903</v>
      </c>
      <c r="F549" t="s">
        <v>4903</v>
      </c>
      <c r="G549" t="s">
        <v>6005</v>
      </c>
      <c r="H549" t="str">
        <f t="shared" si="32"/>
        <v>Camelsc</v>
      </c>
      <c r="I549">
        <f t="shared" si="33"/>
        <v>1126</v>
      </c>
      <c r="J549" s="421">
        <v>0.17</v>
      </c>
      <c r="K549" s="655">
        <v>10</v>
      </c>
      <c r="L549" s="469">
        <v>6</v>
      </c>
      <c r="M549" s="470">
        <v>1.6666666666666701</v>
      </c>
      <c r="N549" s="656">
        <f t="shared" si="34"/>
        <v>0.28333333333333394</v>
      </c>
      <c r="O549" s="666">
        <f t="shared" si="35"/>
        <v>0.17</v>
      </c>
      <c r="P549" s="662">
        <v>1987</v>
      </c>
    </row>
    <row r="550" spans="1:16">
      <c r="A550" s="14" t="s">
        <v>6017</v>
      </c>
      <c r="B550" s="233">
        <v>1140</v>
      </c>
      <c r="C550">
        <v>1</v>
      </c>
      <c r="D550">
        <v>1140</v>
      </c>
      <c r="E550" t="s">
        <v>6017</v>
      </c>
      <c r="F550"/>
      <c r="G550"/>
      <c r="H550" t="str">
        <f t="shared" si="32"/>
        <v/>
      </c>
      <c r="I550" t="str">
        <f t="shared" si="33"/>
        <v/>
      </c>
      <c r="J550" s="421"/>
      <c r="K550" s="655">
        <v>4794</v>
      </c>
      <c r="L550" s="469">
        <v>36770</v>
      </c>
      <c r="M550" s="470">
        <v>7.6700041718815202</v>
      </c>
      <c r="N550" s="656" t="str">
        <f t="shared" si="34"/>
        <v/>
      </c>
      <c r="O550" s="666">
        <f t="shared" si="35"/>
        <v>1</v>
      </c>
      <c r="P550" s="662">
        <v>2011</v>
      </c>
    </row>
    <row r="551" spans="1:16">
      <c r="A551" s="14" t="s">
        <v>3910</v>
      </c>
      <c r="B551" s="233">
        <v>1141</v>
      </c>
      <c r="C551">
        <v>2</v>
      </c>
      <c r="D551">
        <v>1140</v>
      </c>
      <c r="E551" t="s">
        <v>6017</v>
      </c>
      <c r="F551" t="s">
        <v>6017</v>
      </c>
      <c r="G551" t="s">
        <v>6003</v>
      </c>
      <c r="H551" t="str">
        <f t="shared" si="32"/>
        <v>Rabbits and Haresa</v>
      </c>
      <c r="I551">
        <f t="shared" si="33"/>
        <v>1140</v>
      </c>
      <c r="J551" s="421">
        <v>0.89</v>
      </c>
      <c r="K551" s="655">
        <v>26006</v>
      </c>
      <c r="L551" s="469">
        <v>133219</v>
      </c>
      <c r="M551" s="470">
        <v>5.1226255479504701</v>
      </c>
      <c r="N551" s="656">
        <f t="shared" si="34"/>
        <v>4.5591367376759182</v>
      </c>
      <c r="O551" s="666">
        <f t="shared" si="35"/>
        <v>0.98760619731419697</v>
      </c>
      <c r="P551" s="662">
        <v>2011</v>
      </c>
    </row>
    <row r="552" spans="1:16">
      <c r="A552" s="14" t="s">
        <v>355</v>
      </c>
      <c r="B552" s="233">
        <v>1146</v>
      </c>
      <c r="C552">
        <v>2</v>
      </c>
      <c r="D552">
        <v>1140</v>
      </c>
      <c r="E552" t="s">
        <v>6017</v>
      </c>
      <c r="F552" t="s">
        <v>6017</v>
      </c>
      <c r="G552" t="s">
        <v>6003</v>
      </c>
      <c r="H552" t="str">
        <f t="shared" si="32"/>
        <v>Rabbits and Haresa</v>
      </c>
      <c r="I552">
        <f t="shared" si="33"/>
        <v>1140</v>
      </c>
      <c r="J552" s="421">
        <v>0.05</v>
      </c>
      <c r="K552" s="655" t="s">
        <v>7485</v>
      </c>
      <c r="L552" s="469" t="s">
        <v>7442</v>
      </c>
      <c r="M552" s="470">
        <v>10</v>
      </c>
      <c r="N552" s="656">
        <f t="shared" si="34"/>
        <v>0.5</v>
      </c>
      <c r="O552" s="666">
        <f t="shared" si="35"/>
        <v>0.50591367376759189</v>
      </c>
      <c r="P552" s="662" t="s">
        <v>7514</v>
      </c>
    </row>
    <row r="553" spans="1:16">
      <c r="A553" s="14" t="s">
        <v>5933</v>
      </c>
      <c r="B553" s="233">
        <v>1150</v>
      </c>
      <c r="C553">
        <v>1</v>
      </c>
      <c r="D553">
        <v>1150</v>
      </c>
      <c r="E553" t="s">
        <v>5933</v>
      </c>
      <c r="F553"/>
      <c r="G553"/>
      <c r="H553" t="str">
        <f t="shared" si="32"/>
        <v/>
      </c>
      <c r="I553" t="str">
        <f t="shared" si="33"/>
        <v/>
      </c>
      <c r="J553" s="421"/>
      <c r="K553" s="655" t="s">
        <v>7287</v>
      </c>
      <c r="L553" s="469" t="s">
        <v>7287</v>
      </c>
      <c r="M553" s="470">
        <v>0</v>
      </c>
      <c r="N553" s="656" t="str">
        <f t="shared" si="34"/>
        <v/>
      </c>
      <c r="O553" s="666">
        <f t="shared" si="35"/>
        <v>1</v>
      </c>
      <c r="P553" s="662" t="s">
        <v>7514</v>
      </c>
    </row>
    <row r="554" spans="1:16">
      <c r="A554" s="14" t="s">
        <v>5934</v>
      </c>
      <c r="B554" s="233">
        <v>1157</v>
      </c>
      <c r="C554">
        <v>1</v>
      </c>
      <c r="D554">
        <v>1157</v>
      </c>
      <c r="E554" t="s">
        <v>5934</v>
      </c>
      <c r="F554"/>
      <c r="G554"/>
      <c r="H554" t="str">
        <f t="shared" si="32"/>
        <v/>
      </c>
      <c r="I554" t="str">
        <f t="shared" si="33"/>
        <v/>
      </c>
      <c r="J554" s="421"/>
      <c r="K554" s="655" t="s">
        <v>7287</v>
      </c>
      <c r="L554" s="469" t="s">
        <v>7287</v>
      </c>
      <c r="M554" s="470">
        <v>0</v>
      </c>
      <c r="N554" s="656" t="str">
        <f t="shared" si="34"/>
        <v/>
      </c>
      <c r="O554" s="666">
        <f t="shared" si="35"/>
        <v>1</v>
      </c>
      <c r="P554" s="662" t="s">
        <v>7514</v>
      </c>
    </row>
    <row r="555" spans="1:16">
      <c r="A555" s="14" t="s">
        <v>6015</v>
      </c>
      <c r="B555" s="233">
        <v>1159</v>
      </c>
      <c r="C555">
        <v>2</v>
      </c>
      <c r="D555">
        <v>1126</v>
      </c>
      <c r="E555" t="s">
        <v>4903</v>
      </c>
      <c r="F555"/>
      <c r="G555"/>
      <c r="H555"/>
      <c r="I555"/>
      <c r="J555" s="421"/>
      <c r="K555" s="655" t="s">
        <v>7287</v>
      </c>
      <c r="L555" s="469" t="s">
        <v>7287</v>
      </c>
      <c r="M555" s="470">
        <v>0</v>
      </c>
      <c r="N555" s="656" t="str">
        <f t="shared" si="34"/>
        <v/>
      </c>
      <c r="O555" s="666">
        <f t="shared" si="35"/>
        <v>1</v>
      </c>
      <c r="P555" s="662" t="s">
        <v>7514</v>
      </c>
    </row>
    <row r="556" spans="1:16">
      <c r="A556" s="14" t="s">
        <v>4641</v>
      </c>
      <c r="B556" s="233">
        <v>1163</v>
      </c>
      <c r="C556"/>
      <c r="D556" t="s">
        <v>2738</v>
      </c>
      <c r="E556"/>
      <c r="F556"/>
      <c r="G556"/>
      <c r="H556" t="str">
        <f t="shared" si="32"/>
        <v/>
      </c>
      <c r="I556" t="str">
        <f t="shared" si="33"/>
        <v/>
      </c>
      <c r="J556" s="421"/>
      <c r="K556" s="655">
        <v>68663</v>
      </c>
      <c r="L556" s="469">
        <v>615620</v>
      </c>
      <c r="M556" s="470">
        <v>8.9658185631271596</v>
      </c>
      <c r="N556" s="656" t="str">
        <f t="shared" si="34"/>
        <v/>
      </c>
      <c r="O556" s="666">
        <f t="shared" si="35"/>
        <v>1</v>
      </c>
      <c r="P556" s="662">
        <v>2011</v>
      </c>
    </row>
    <row r="557" spans="1:16">
      <c r="A557" s="14" t="s">
        <v>179</v>
      </c>
      <c r="B557" s="233">
        <v>1164</v>
      </c>
      <c r="C557"/>
      <c r="D557" t="s">
        <v>2738</v>
      </c>
      <c r="E557"/>
      <c r="F557"/>
      <c r="G557"/>
      <c r="H557" t="str">
        <f t="shared" si="32"/>
        <v/>
      </c>
      <c r="I557" t="str">
        <f t="shared" si="33"/>
        <v/>
      </c>
      <c r="J557" s="421"/>
      <c r="K557" s="655">
        <v>343112</v>
      </c>
      <c r="L557" s="469">
        <v>1076680</v>
      </c>
      <c r="M557" s="470">
        <v>3.1379840984867902</v>
      </c>
      <c r="N557" s="656" t="str">
        <f t="shared" si="34"/>
        <v/>
      </c>
      <c r="O557" s="666">
        <f t="shared" si="35"/>
        <v>1</v>
      </c>
      <c r="P557" s="662">
        <v>2011</v>
      </c>
    </row>
    <row r="558" spans="1:16">
      <c r="A558" s="14" t="s">
        <v>4994</v>
      </c>
      <c r="B558" s="233">
        <v>1166</v>
      </c>
      <c r="C558"/>
      <c r="D558" t="s">
        <v>2738</v>
      </c>
      <c r="E558"/>
      <c r="F558"/>
      <c r="G558"/>
      <c r="H558" t="str">
        <f t="shared" si="32"/>
        <v/>
      </c>
      <c r="I558" t="str">
        <f t="shared" si="33"/>
        <v/>
      </c>
      <c r="J558" s="421"/>
      <c r="K558" s="655">
        <v>30989</v>
      </c>
      <c r="L558" s="469">
        <v>178379</v>
      </c>
      <c r="M558" s="470">
        <v>5.7562038142566703</v>
      </c>
      <c r="N558" s="656" t="str">
        <f t="shared" si="34"/>
        <v/>
      </c>
      <c r="O558" s="666">
        <f t="shared" si="35"/>
        <v>1</v>
      </c>
      <c r="P558" s="662">
        <v>2011</v>
      </c>
    </row>
    <row r="559" spans="1:16">
      <c r="A559" s="14" t="s">
        <v>896</v>
      </c>
      <c r="B559" s="233">
        <v>1167</v>
      </c>
      <c r="C559"/>
      <c r="D559" t="s">
        <v>2738</v>
      </c>
      <c r="E559"/>
      <c r="F559"/>
      <c r="G559"/>
      <c r="H559" t="str">
        <f t="shared" si="32"/>
        <v/>
      </c>
      <c r="I559" t="str">
        <f t="shared" si="33"/>
        <v/>
      </c>
      <c r="J559" s="421"/>
      <c r="K559" s="655" t="s">
        <v>7486</v>
      </c>
      <c r="L559" s="469" t="s">
        <v>7487</v>
      </c>
      <c r="M559" s="470">
        <v>1.4122758486022065</v>
      </c>
      <c r="N559" s="656" t="str">
        <f t="shared" si="34"/>
        <v/>
      </c>
      <c r="O559" s="666">
        <f t="shared" si="35"/>
        <v>1</v>
      </c>
      <c r="P559" s="662" t="s">
        <v>7514</v>
      </c>
    </row>
    <row r="560" spans="1:16">
      <c r="A560" s="14" t="s">
        <v>620</v>
      </c>
      <c r="B560" s="233">
        <v>1168</v>
      </c>
      <c r="C560"/>
      <c r="D560" t="s">
        <v>2738</v>
      </c>
      <c r="E560"/>
      <c r="F560"/>
      <c r="G560"/>
      <c r="H560" t="str">
        <f t="shared" si="32"/>
        <v/>
      </c>
      <c r="I560" t="str">
        <f t="shared" si="33"/>
        <v/>
      </c>
      <c r="J560" s="421"/>
      <c r="K560" s="655">
        <v>224364</v>
      </c>
      <c r="L560" s="469">
        <v>257385</v>
      </c>
      <c r="M560" s="470">
        <v>1.14717601754292</v>
      </c>
      <c r="N560" s="656" t="str">
        <f t="shared" si="34"/>
        <v/>
      </c>
      <c r="O560" s="666">
        <f t="shared" si="35"/>
        <v>1</v>
      </c>
      <c r="P560" s="662">
        <v>2011</v>
      </c>
    </row>
    <row r="561" spans="1:16">
      <c r="A561" s="14" t="s">
        <v>6013</v>
      </c>
      <c r="B561" s="233">
        <v>1171</v>
      </c>
      <c r="C561">
        <v>1</v>
      </c>
      <c r="D561">
        <v>1171</v>
      </c>
      <c r="E561" t="s">
        <v>6013</v>
      </c>
      <c r="F561"/>
      <c r="G561"/>
      <c r="H561" t="str">
        <f t="shared" si="32"/>
        <v/>
      </c>
      <c r="I561" t="str">
        <f t="shared" si="33"/>
        <v/>
      </c>
      <c r="J561" s="421"/>
      <c r="K561" s="655" t="s">
        <v>7287</v>
      </c>
      <c r="L561" s="469" t="s">
        <v>7287</v>
      </c>
      <c r="M561" s="470">
        <v>0</v>
      </c>
      <c r="N561" s="656" t="str">
        <f t="shared" si="34"/>
        <v/>
      </c>
      <c r="O561" s="666">
        <f t="shared" si="35"/>
        <v>1</v>
      </c>
      <c r="P561" s="662" t="s">
        <v>7514</v>
      </c>
    </row>
    <row r="562" spans="1:16">
      <c r="A562" s="14" t="s">
        <v>2892</v>
      </c>
      <c r="B562" s="233">
        <v>1172</v>
      </c>
      <c r="C562"/>
      <c r="D562" t="s">
        <v>2738</v>
      </c>
      <c r="E562"/>
      <c r="F562"/>
      <c r="G562"/>
      <c r="H562" t="str">
        <f t="shared" si="32"/>
        <v/>
      </c>
      <c r="I562" t="str">
        <f t="shared" si="33"/>
        <v/>
      </c>
      <c r="J562" s="421"/>
      <c r="K562" s="655" t="s">
        <v>7488</v>
      </c>
      <c r="L562" s="469" t="s">
        <v>7489</v>
      </c>
      <c r="M562" s="470">
        <v>4.2234217998197803</v>
      </c>
      <c r="N562" s="656" t="str">
        <f t="shared" si="34"/>
        <v/>
      </c>
      <c r="O562" s="666">
        <f t="shared" si="35"/>
        <v>1</v>
      </c>
      <c r="P562" s="662" t="s">
        <v>7514</v>
      </c>
    </row>
    <row r="563" spans="1:16">
      <c r="A563" s="14" t="s">
        <v>2088</v>
      </c>
      <c r="B563" s="233">
        <v>1173</v>
      </c>
      <c r="C563"/>
      <c r="D563" t="s">
        <v>2738</v>
      </c>
      <c r="E563"/>
      <c r="F563"/>
      <c r="G563"/>
      <c r="H563" t="str">
        <f t="shared" si="32"/>
        <v/>
      </c>
      <c r="I563" t="str">
        <f t="shared" si="33"/>
        <v/>
      </c>
      <c r="J563" s="421"/>
      <c r="K563" s="655">
        <v>2288400</v>
      </c>
      <c r="L563" s="469">
        <v>1251200</v>
      </c>
      <c r="M563" s="470">
        <v>0.54675755986715602</v>
      </c>
      <c r="N563" s="656" t="str">
        <f t="shared" si="34"/>
        <v/>
      </c>
      <c r="O563" s="666">
        <f t="shared" si="35"/>
        <v>1</v>
      </c>
      <c r="P563" s="662">
        <v>2011</v>
      </c>
    </row>
    <row r="564" spans="1:16">
      <c r="A564" s="14" t="s">
        <v>5998</v>
      </c>
      <c r="B564" s="233">
        <v>1182</v>
      </c>
      <c r="C564"/>
      <c r="D564" t="s">
        <v>2738</v>
      </c>
      <c r="E564"/>
      <c r="F564"/>
      <c r="G564"/>
      <c r="H564" t="str">
        <f t="shared" si="32"/>
        <v/>
      </c>
      <c r="I564" t="str">
        <f t="shared" si="33"/>
        <v/>
      </c>
      <c r="J564" s="421"/>
      <c r="K564" s="655">
        <v>497202</v>
      </c>
      <c r="L564" s="469">
        <v>1691080</v>
      </c>
      <c r="M564" s="470">
        <v>3.4011930764558498</v>
      </c>
      <c r="N564" s="656" t="str">
        <f t="shared" si="34"/>
        <v/>
      </c>
      <c r="O564" s="666">
        <f t="shared" si="35"/>
        <v>1</v>
      </c>
      <c r="P564" s="662">
        <v>2011</v>
      </c>
    </row>
    <row r="565" spans="1:16">
      <c r="A565" s="14" t="s">
        <v>1414</v>
      </c>
      <c r="B565" s="233">
        <v>1183</v>
      </c>
      <c r="C565">
        <v>1</v>
      </c>
      <c r="D565">
        <v>1183</v>
      </c>
      <c r="E565" t="s">
        <v>1414</v>
      </c>
      <c r="F565"/>
      <c r="G565"/>
      <c r="H565" t="str">
        <f t="shared" si="32"/>
        <v/>
      </c>
      <c r="I565" t="str">
        <f t="shared" si="33"/>
        <v/>
      </c>
      <c r="J565" s="421"/>
      <c r="K565" s="655">
        <v>18964</v>
      </c>
      <c r="L565" s="469">
        <v>95091</v>
      </c>
      <c r="M565" s="470">
        <v>5.0142902341278202</v>
      </c>
      <c r="N565" s="656" t="str">
        <f t="shared" si="34"/>
        <v/>
      </c>
      <c r="O565" s="666">
        <f t="shared" si="35"/>
        <v>1</v>
      </c>
      <c r="P565" s="662">
        <v>2011</v>
      </c>
    </row>
    <row r="566" spans="1:16">
      <c r="A566" s="14" t="s">
        <v>1864</v>
      </c>
      <c r="B566" s="233">
        <v>1185</v>
      </c>
      <c r="C566"/>
      <c r="D566" t="s">
        <v>2738</v>
      </c>
      <c r="E566"/>
      <c r="F566"/>
      <c r="G566"/>
      <c r="H566" t="str">
        <f t="shared" si="32"/>
        <v/>
      </c>
      <c r="I566" t="str">
        <f t="shared" si="33"/>
        <v/>
      </c>
      <c r="J566" s="421"/>
      <c r="K566" s="655">
        <v>457</v>
      </c>
      <c r="L566" s="469">
        <v>4212</v>
      </c>
      <c r="M566" s="470">
        <v>9.2166301969365403</v>
      </c>
      <c r="N566" s="656" t="str">
        <f t="shared" si="34"/>
        <v/>
      </c>
      <c r="O566" s="666">
        <f t="shared" si="35"/>
        <v>1</v>
      </c>
      <c r="P566" s="662">
        <v>2011</v>
      </c>
    </row>
    <row r="567" spans="1:16">
      <c r="A567" s="14" t="s">
        <v>1679</v>
      </c>
      <c r="B567" s="233">
        <v>1186</v>
      </c>
      <c r="C567"/>
      <c r="D567" t="s">
        <v>2738</v>
      </c>
      <c r="E567"/>
      <c r="F567"/>
      <c r="G567"/>
      <c r="H567" t="str">
        <f t="shared" si="32"/>
        <v/>
      </c>
      <c r="I567" t="str">
        <f t="shared" si="33"/>
        <v/>
      </c>
      <c r="J567" s="421"/>
      <c r="K567" s="655">
        <v>11481</v>
      </c>
      <c r="L567" s="469">
        <v>470787</v>
      </c>
      <c r="M567" s="470">
        <v>41.005748628168298</v>
      </c>
      <c r="N567" s="656" t="str">
        <f t="shared" si="34"/>
        <v/>
      </c>
      <c r="O567" s="666">
        <f t="shared" si="35"/>
        <v>1</v>
      </c>
      <c r="P567" s="662">
        <v>2011</v>
      </c>
    </row>
    <row r="568" spans="1:16">
      <c r="A568" s="14" t="s">
        <v>2714</v>
      </c>
      <c r="B568" s="233">
        <v>1187</v>
      </c>
      <c r="C568"/>
      <c r="D568" t="s">
        <v>2738</v>
      </c>
      <c r="E568"/>
      <c r="F568"/>
      <c r="G568"/>
      <c r="H568" t="str">
        <f t="shared" si="32"/>
        <v/>
      </c>
      <c r="I568" t="str">
        <f t="shared" si="33"/>
        <v/>
      </c>
      <c r="J568" s="421"/>
      <c r="K568" s="655">
        <v>5046</v>
      </c>
      <c r="L568" s="469">
        <v>58336</v>
      </c>
      <c r="M568" s="470">
        <v>11.5608402695204</v>
      </c>
      <c r="N568" s="656" t="str">
        <f t="shared" si="34"/>
        <v/>
      </c>
      <c r="O568" s="666">
        <f t="shared" si="35"/>
        <v>1</v>
      </c>
      <c r="P568" s="662">
        <v>2011</v>
      </c>
    </row>
    <row r="569" spans="1:16">
      <c r="A569" s="14" t="s">
        <v>2730</v>
      </c>
      <c r="B569" s="233">
        <v>1195</v>
      </c>
      <c r="C569"/>
      <c r="D569" t="s">
        <v>2738</v>
      </c>
      <c r="E569"/>
      <c r="F569"/>
      <c r="G569"/>
      <c r="H569" t="str">
        <f t="shared" si="32"/>
        <v/>
      </c>
      <c r="I569" t="str">
        <f t="shared" si="33"/>
        <v/>
      </c>
      <c r="J569" s="421"/>
      <c r="K569" s="655" t="s">
        <v>7490</v>
      </c>
      <c r="L569" s="469" t="s">
        <v>7491</v>
      </c>
      <c r="M569" s="470">
        <v>44.355079790741634</v>
      </c>
      <c r="N569" s="656" t="str">
        <f t="shared" si="34"/>
        <v/>
      </c>
      <c r="O569" s="666">
        <f t="shared" si="35"/>
        <v>1</v>
      </c>
      <c r="P569" s="662" t="s">
        <v>7514</v>
      </c>
    </row>
    <row r="570" spans="1:16">
      <c r="A570" s="14" t="s">
        <v>296</v>
      </c>
      <c r="B570" s="233">
        <v>1214</v>
      </c>
      <c r="C570"/>
      <c r="D570" t="s">
        <v>2738</v>
      </c>
      <c r="E570"/>
      <c r="F570"/>
      <c r="G570"/>
      <c r="H570" t="str">
        <f t="shared" si="32"/>
        <v/>
      </c>
      <c r="I570" t="str">
        <f t="shared" si="33"/>
        <v/>
      </c>
      <c r="J570" s="421"/>
      <c r="K570" s="655" t="s">
        <v>7492</v>
      </c>
      <c r="L570" s="469" t="s">
        <v>7493</v>
      </c>
      <c r="M570" s="470">
        <v>8.3718498954550462</v>
      </c>
      <c r="N570" s="656" t="str">
        <f t="shared" si="34"/>
        <v/>
      </c>
      <c r="O570" s="666">
        <f t="shared" si="35"/>
        <v>1</v>
      </c>
      <c r="P570" s="662" t="s">
        <v>7514</v>
      </c>
    </row>
    <row r="571" spans="1:16">
      <c r="A571" s="14" t="s">
        <v>69</v>
      </c>
      <c r="B571" s="233">
        <v>1215</v>
      </c>
      <c r="C571"/>
      <c r="D571" t="s">
        <v>2738</v>
      </c>
      <c r="E571"/>
      <c r="F571"/>
      <c r="G571"/>
      <c r="H571" t="str">
        <f t="shared" si="32"/>
        <v/>
      </c>
      <c r="I571" t="str">
        <f t="shared" si="33"/>
        <v/>
      </c>
      <c r="J571" s="421"/>
      <c r="K571" s="655" t="s">
        <v>7494</v>
      </c>
      <c r="L571" s="469" t="s">
        <v>7495</v>
      </c>
      <c r="M571" s="470">
        <v>32.949376114082</v>
      </c>
      <c r="N571" s="656" t="str">
        <f t="shared" si="34"/>
        <v/>
      </c>
      <c r="O571" s="666">
        <f t="shared" si="35"/>
        <v>1</v>
      </c>
      <c r="P571" s="662" t="s">
        <v>7514</v>
      </c>
    </row>
    <row r="572" spans="1:16">
      <c r="A572" s="14" t="s">
        <v>70</v>
      </c>
      <c r="B572" s="233">
        <v>1216</v>
      </c>
      <c r="C572"/>
      <c r="D572" t="s">
        <v>2738</v>
      </c>
      <c r="E572"/>
      <c r="F572"/>
      <c r="G572"/>
      <c r="H572" t="str">
        <f t="shared" si="32"/>
        <v/>
      </c>
      <c r="I572" t="str">
        <f t="shared" si="33"/>
        <v/>
      </c>
      <c r="J572" s="421"/>
      <c r="K572" s="655">
        <v>57690</v>
      </c>
      <c r="L572" s="469">
        <v>211288</v>
      </c>
      <c r="M572" s="470">
        <v>3.6624718322066201</v>
      </c>
      <c r="N572" s="656" t="str">
        <f t="shared" si="34"/>
        <v/>
      </c>
      <c r="O572" s="666">
        <f t="shared" si="35"/>
        <v>1</v>
      </c>
      <c r="P572" s="662">
        <v>2011</v>
      </c>
    </row>
    <row r="573" spans="1:16">
      <c r="A573" s="14" t="s">
        <v>1088</v>
      </c>
      <c r="B573" s="233">
        <v>1217</v>
      </c>
      <c r="C573"/>
      <c r="D573"/>
      <c r="E573"/>
      <c r="F573"/>
      <c r="G573"/>
      <c r="H573" t="str">
        <f t="shared" si="32"/>
        <v/>
      </c>
      <c r="I573" t="str">
        <f t="shared" si="33"/>
        <v/>
      </c>
      <c r="J573" s="421"/>
      <c r="K573" s="655" t="s">
        <v>7496</v>
      </c>
      <c r="L573" s="469" t="s">
        <v>7497</v>
      </c>
      <c r="M573" s="470">
        <v>1.6427645885680162</v>
      </c>
      <c r="N573" s="656" t="str">
        <f t="shared" si="34"/>
        <v/>
      </c>
      <c r="O573" s="666">
        <f t="shared" si="35"/>
        <v>1</v>
      </c>
      <c r="P573" s="662" t="s">
        <v>7514</v>
      </c>
    </row>
    <row r="574" spans="1:16">
      <c r="A574" s="14" t="s">
        <v>5275</v>
      </c>
      <c r="B574" s="233">
        <v>1218</v>
      </c>
      <c r="C574"/>
      <c r="D574" t="s">
        <v>2738</v>
      </c>
      <c r="E574"/>
      <c r="F574"/>
      <c r="G574"/>
      <c r="H574" t="str">
        <f t="shared" si="32"/>
        <v/>
      </c>
      <c r="I574" t="str">
        <f t="shared" si="33"/>
        <v/>
      </c>
      <c r="J574" s="421"/>
      <c r="K574" s="655">
        <v>14637</v>
      </c>
      <c r="L574" s="469">
        <v>192763</v>
      </c>
      <c r="M574" s="470">
        <v>13.169570267131199</v>
      </c>
      <c r="N574" s="656" t="str">
        <f t="shared" si="34"/>
        <v/>
      </c>
      <c r="O574" s="666">
        <f t="shared" si="35"/>
        <v>1</v>
      </c>
      <c r="P574" s="662">
        <v>2011</v>
      </c>
    </row>
    <row r="575" spans="1:16">
      <c r="A575" s="14" t="s">
        <v>5274</v>
      </c>
      <c r="B575" s="233">
        <v>1219</v>
      </c>
      <c r="C575"/>
      <c r="D575" t="s">
        <v>2738</v>
      </c>
      <c r="E575"/>
      <c r="F575"/>
      <c r="G575"/>
      <c r="H575" t="str">
        <f t="shared" si="32"/>
        <v/>
      </c>
      <c r="I575" t="str">
        <f t="shared" si="33"/>
        <v/>
      </c>
      <c r="J575" s="421"/>
      <c r="K575" s="655" t="s">
        <v>7498</v>
      </c>
      <c r="L575" s="469" t="s">
        <v>7499</v>
      </c>
      <c r="M575" s="470">
        <v>1.6663967015167134</v>
      </c>
      <c r="N575" s="656" t="str">
        <f t="shared" si="34"/>
        <v/>
      </c>
      <c r="O575" s="666">
        <f t="shared" si="35"/>
        <v>1</v>
      </c>
      <c r="P575" s="662" t="s">
        <v>7514</v>
      </c>
    </row>
    <row r="576" spans="1:16">
      <c r="A576" s="14" t="s">
        <v>1424</v>
      </c>
      <c r="B576" s="233">
        <v>1221</v>
      </c>
      <c r="C576"/>
      <c r="D576" t="s">
        <v>2738</v>
      </c>
      <c r="E576"/>
      <c r="F576"/>
      <c r="G576"/>
      <c r="H576" t="str">
        <f t="shared" si="32"/>
        <v/>
      </c>
      <c r="I576" t="str">
        <f t="shared" si="33"/>
        <v/>
      </c>
      <c r="J576" s="421"/>
      <c r="K576" s="655" t="s">
        <v>7500</v>
      </c>
      <c r="L576" s="469" t="s">
        <v>7501</v>
      </c>
      <c r="M576" s="470">
        <v>1.1063161488562649</v>
      </c>
      <c r="N576" s="656" t="str">
        <f t="shared" si="34"/>
        <v/>
      </c>
      <c r="O576" s="666">
        <f t="shared" si="35"/>
        <v>1</v>
      </c>
      <c r="P576" s="662" t="s">
        <v>7514</v>
      </c>
    </row>
    <row r="577" spans="1:16">
      <c r="A577" s="14" t="s">
        <v>1367</v>
      </c>
      <c r="B577" s="233">
        <v>1222</v>
      </c>
      <c r="C577"/>
      <c r="D577" t="s">
        <v>2738</v>
      </c>
      <c r="E577"/>
      <c r="F577"/>
      <c r="G577"/>
      <c r="H577" t="str">
        <f t="shared" si="32"/>
        <v/>
      </c>
      <c r="I577" t="str">
        <f t="shared" si="33"/>
        <v/>
      </c>
      <c r="J577" s="421"/>
      <c r="K577" s="655" t="s">
        <v>7502</v>
      </c>
      <c r="L577" s="469" t="s">
        <v>7503</v>
      </c>
      <c r="M577" s="470">
        <v>0.14303768754658283</v>
      </c>
      <c r="N577" s="656" t="str">
        <f t="shared" si="34"/>
        <v/>
      </c>
      <c r="O577" s="666">
        <f t="shared" si="35"/>
        <v>1</v>
      </c>
      <c r="P577" s="662" t="s">
        <v>7514</v>
      </c>
    </row>
    <row r="578" spans="1:16">
      <c r="A578" s="14" t="s">
        <v>4645</v>
      </c>
      <c r="B578" s="233">
        <v>1225</v>
      </c>
      <c r="C578"/>
      <c r="D578" t="s">
        <v>2738</v>
      </c>
      <c r="E578"/>
      <c r="F578"/>
      <c r="G578"/>
      <c r="H578" t="str">
        <f t="shared" si="32"/>
        <v/>
      </c>
      <c r="I578" t="str">
        <f t="shared" si="33"/>
        <v/>
      </c>
      <c r="J578" s="421"/>
      <c r="K578" s="655">
        <v>1874440</v>
      </c>
      <c r="L578" s="469">
        <v>2105890</v>
      </c>
      <c r="M578" s="470">
        <v>1.1234768784276901</v>
      </c>
      <c r="N578" s="656" t="str">
        <f t="shared" si="34"/>
        <v/>
      </c>
      <c r="O578" s="666">
        <f t="shared" si="35"/>
        <v>1</v>
      </c>
      <c r="P578" s="662">
        <v>2011</v>
      </c>
    </row>
    <row r="579" spans="1:16">
      <c r="A579" s="14" t="s">
        <v>4005</v>
      </c>
      <c r="B579" s="233">
        <v>1232</v>
      </c>
      <c r="C579"/>
      <c r="D579" t="s">
        <v>2738</v>
      </c>
      <c r="E579"/>
      <c r="F579"/>
      <c r="G579"/>
      <c r="H579" t="str">
        <f t="shared" si="32"/>
        <v/>
      </c>
      <c r="I579" t="str">
        <f t="shared" si="33"/>
        <v/>
      </c>
      <c r="J579" s="421"/>
      <c r="K579" s="655">
        <v>13416500</v>
      </c>
      <c r="L579" s="469">
        <v>49892000</v>
      </c>
      <c r="M579" s="470">
        <v>3.7187045801811198</v>
      </c>
      <c r="N579" s="656" t="str">
        <f t="shared" si="34"/>
        <v/>
      </c>
      <c r="O579" s="666">
        <f t="shared" si="35"/>
        <v>1</v>
      </c>
      <c r="P579" s="662">
        <v>2011</v>
      </c>
    </row>
    <row r="580" spans="1:16">
      <c r="A580" s="14" t="s">
        <v>4989</v>
      </c>
      <c r="B580" s="233">
        <v>1241</v>
      </c>
      <c r="C580"/>
      <c r="D580" t="s">
        <v>2738</v>
      </c>
      <c r="E580"/>
      <c r="F580"/>
      <c r="G580"/>
      <c r="H580" t="str">
        <f t="shared" si="32"/>
        <v/>
      </c>
      <c r="I580" t="str">
        <f t="shared" si="33"/>
        <v/>
      </c>
      <c r="J580" s="421"/>
      <c r="K580" s="655">
        <v>104722</v>
      </c>
      <c r="L580" s="469">
        <v>167441</v>
      </c>
      <c r="M580" s="470">
        <v>1.59890949370715</v>
      </c>
      <c r="N580" s="656" t="str">
        <f t="shared" si="34"/>
        <v/>
      </c>
      <c r="O580" s="666">
        <f t="shared" si="35"/>
        <v>1</v>
      </c>
      <c r="P580" s="662">
        <v>2011</v>
      </c>
    </row>
    <row r="581" spans="1:16">
      <c r="A581" s="14" t="s">
        <v>4993</v>
      </c>
      <c r="B581" s="233">
        <v>1242</v>
      </c>
      <c r="C581"/>
      <c r="D581" t="s">
        <v>2738</v>
      </c>
      <c r="E581"/>
      <c r="F581"/>
      <c r="G581"/>
      <c r="H581" t="str">
        <f t="shared" si="32"/>
        <v/>
      </c>
      <c r="I581" t="str">
        <f t="shared" si="33"/>
        <v/>
      </c>
      <c r="J581" s="421"/>
      <c r="K581" s="655">
        <v>1476390</v>
      </c>
      <c r="L581" s="469">
        <v>2516160</v>
      </c>
      <c r="M581" s="470">
        <v>1.70426513319651</v>
      </c>
      <c r="N581" s="656" t="str">
        <f t="shared" si="34"/>
        <v/>
      </c>
      <c r="O581" s="666">
        <f t="shared" si="35"/>
        <v>1</v>
      </c>
      <c r="P581" s="662">
        <v>2011</v>
      </c>
    </row>
    <row r="582" spans="1:16">
      <c r="A582" s="14" t="s">
        <v>5328</v>
      </c>
      <c r="B582" s="233">
        <v>1243</v>
      </c>
      <c r="C582"/>
      <c r="D582" t="s">
        <v>2738</v>
      </c>
      <c r="E582"/>
      <c r="F582"/>
      <c r="G582"/>
      <c r="H582" t="str">
        <f t="shared" si="32"/>
        <v/>
      </c>
      <c r="I582" t="str">
        <f t="shared" si="33"/>
        <v/>
      </c>
      <c r="J582" s="421"/>
      <c r="K582" s="655">
        <v>1815770</v>
      </c>
      <c r="L582" s="469">
        <v>3118860</v>
      </c>
      <c r="M582" s="470">
        <v>1.71765146466788</v>
      </c>
      <c r="N582" s="656" t="str">
        <f t="shared" si="34"/>
        <v/>
      </c>
      <c r="O582" s="666">
        <f t="shared" si="35"/>
        <v>1</v>
      </c>
      <c r="P582" s="662">
        <v>2011</v>
      </c>
    </row>
    <row r="583" spans="1:16">
      <c r="A583" s="14" t="s">
        <v>2058</v>
      </c>
      <c r="B583" s="233">
        <v>1259</v>
      </c>
      <c r="C583"/>
      <c r="D583" t="s">
        <v>2738</v>
      </c>
      <c r="E583"/>
      <c r="F583"/>
      <c r="G583"/>
      <c r="H583" t="str">
        <f t="shared" si="32"/>
        <v/>
      </c>
      <c r="I583" t="str">
        <f t="shared" si="33"/>
        <v/>
      </c>
      <c r="J583" s="421"/>
      <c r="K583" s="655" t="s">
        <v>7504</v>
      </c>
      <c r="L583" s="469" t="s">
        <v>7505</v>
      </c>
      <c r="M583" s="470">
        <v>1.1086218326644839</v>
      </c>
      <c r="N583" s="656" t="str">
        <f t="shared" si="34"/>
        <v/>
      </c>
      <c r="O583" s="666">
        <f t="shared" si="35"/>
        <v>1</v>
      </c>
      <c r="P583" s="662" t="s">
        <v>7514</v>
      </c>
    </row>
    <row r="584" spans="1:16">
      <c r="A584" s="14" t="s">
        <v>4499</v>
      </c>
      <c r="B584" s="233">
        <v>1274</v>
      </c>
      <c r="C584"/>
      <c r="D584" t="s">
        <v>2738</v>
      </c>
      <c r="E584"/>
      <c r="F584"/>
      <c r="G584"/>
      <c r="H584" t="str">
        <f t="shared" ref="H584:H590" si="36">F584&amp;G584</f>
        <v/>
      </c>
      <c r="I584" t="str">
        <f t="shared" ref="I584:I590" si="37">IFERROR(VLOOKUP(F584,$A$7:$B$590,2,FALSE),"")</f>
        <v/>
      </c>
      <c r="J584" s="421"/>
      <c r="K584" s="655">
        <v>2426810</v>
      </c>
      <c r="L584" s="469">
        <v>2616050</v>
      </c>
      <c r="M584" s="470">
        <v>1.07797891058633</v>
      </c>
      <c r="N584" s="656" t="str">
        <f t="shared" ref="N584:N590" si="38">IF(ISBLANK(J584),"",J584*M584)</f>
        <v/>
      </c>
      <c r="O584" s="666">
        <f t="shared" si="35"/>
        <v>1</v>
      </c>
      <c r="P584" s="662">
        <v>2011</v>
      </c>
    </row>
    <row r="585" spans="1:16">
      <c r="A585" s="14" t="s">
        <v>618</v>
      </c>
      <c r="B585" s="233">
        <v>1275</v>
      </c>
      <c r="C585"/>
      <c r="D585" t="s">
        <v>2738</v>
      </c>
      <c r="E585"/>
      <c r="F585"/>
      <c r="G585"/>
      <c r="H585" t="str">
        <f t="shared" si="36"/>
        <v/>
      </c>
      <c r="I585" t="str">
        <f t="shared" si="37"/>
        <v/>
      </c>
      <c r="J585" s="421"/>
      <c r="K585" s="655" t="s">
        <v>7506</v>
      </c>
      <c r="L585" s="469" t="s">
        <v>7507</v>
      </c>
      <c r="M585" s="470">
        <v>1.4346896879577147</v>
      </c>
      <c r="N585" s="656" t="str">
        <f t="shared" si="38"/>
        <v/>
      </c>
      <c r="O585" s="666">
        <f t="shared" si="35"/>
        <v>1</v>
      </c>
      <c r="P585" s="662" t="s">
        <v>7514</v>
      </c>
    </row>
    <row r="586" spans="1:16">
      <c r="A586" s="14" t="s">
        <v>5329</v>
      </c>
      <c r="B586" s="233">
        <v>1276</v>
      </c>
      <c r="C586"/>
      <c r="D586" t="s">
        <v>2738</v>
      </c>
      <c r="E586"/>
      <c r="F586"/>
      <c r="G586"/>
      <c r="H586" t="str">
        <f t="shared" si="36"/>
        <v/>
      </c>
      <c r="I586" t="str">
        <f t="shared" si="37"/>
        <v/>
      </c>
      <c r="J586" s="421"/>
      <c r="K586" s="655">
        <v>4726190</v>
      </c>
      <c r="L586" s="469">
        <v>5723150</v>
      </c>
      <c r="M586" s="470">
        <v>1.2109436988356399</v>
      </c>
      <c r="N586" s="656" t="str">
        <f t="shared" si="38"/>
        <v/>
      </c>
      <c r="O586" s="666">
        <f t="shared" ref="O586:O590" si="39">IF(ISBLANK(F586),1,J586/(N586/SUMIF(H$7:H$601,H586,N$7:N$601))*VLOOKUP(F586,A$7:O$601,15,FALSE))</f>
        <v>1</v>
      </c>
      <c r="P586" s="662">
        <v>2011</v>
      </c>
    </row>
    <row r="587" spans="1:16">
      <c r="A587" s="14" t="s">
        <v>3599</v>
      </c>
      <c r="B587" s="233">
        <v>1277</v>
      </c>
      <c r="C587"/>
      <c r="D587" t="s">
        <v>2738</v>
      </c>
      <c r="E587"/>
      <c r="F587"/>
      <c r="G587"/>
      <c r="H587" t="str">
        <f t="shared" si="36"/>
        <v/>
      </c>
      <c r="I587" t="str">
        <f t="shared" si="37"/>
        <v/>
      </c>
      <c r="J587" s="421"/>
      <c r="K587" s="655">
        <v>303488</v>
      </c>
      <c r="L587" s="469">
        <v>132895</v>
      </c>
      <c r="M587" s="470">
        <v>0.43789210776043902</v>
      </c>
      <c r="N587" s="656" t="str">
        <f t="shared" si="38"/>
        <v/>
      </c>
      <c r="O587" s="666">
        <f t="shared" si="39"/>
        <v>1</v>
      </c>
      <c r="P587" s="662">
        <v>2011</v>
      </c>
    </row>
    <row r="588" spans="1:16">
      <c r="A588" s="14" t="s">
        <v>1365</v>
      </c>
      <c r="B588" s="233">
        <v>1293</v>
      </c>
      <c r="C588"/>
      <c r="D588" t="s">
        <v>2738</v>
      </c>
      <c r="E588"/>
      <c r="F588"/>
      <c r="G588"/>
      <c r="H588" t="str">
        <f t="shared" si="36"/>
        <v/>
      </c>
      <c r="I588" t="str">
        <f t="shared" si="37"/>
        <v/>
      </c>
      <c r="J588" s="421"/>
      <c r="K588" s="655" t="s">
        <v>7508</v>
      </c>
      <c r="L588" s="469" t="s">
        <v>7509</v>
      </c>
      <c r="M588" s="470">
        <v>45915.662227602908</v>
      </c>
      <c r="N588" s="656" t="str">
        <f t="shared" si="38"/>
        <v/>
      </c>
      <c r="O588" s="666">
        <f t="shared" si="39"/>
        <v>1</v>
      </c>
      <c r="P588" s="662" t="s">
        <v>7514</v>
      </c>
    </row>
    <row r="589" spans="1:16">
      <c r="A589" s="14" t="s">
        <v>2025</v>
      </c>
      <c r="B589" s="233">
        <v>1295</v>
      </c>
      <c r="C589"/>
      <c r="D589" t="s">
        <v>2738</v>
      </c>
      <c r="E589"/>
      <c r="F589"/>
      <c r="G589"/>
      <c r="H589" t="str">
        <f t="shared" si="36"/>
        <v/>
      </c>
      <c r="I589" t="str">
        <f t="shared" si="37"/>
        <v/>
      </c>
      <c r="J589" s="421"/>
      <c r="K589" s="655" t="s">
        <v>7510</v>
      </c>
      <c r="L589" s="469" t="s">
        <v>7511</v>
      </c>
      <c r="M589" s="470">
        <v>3.83073727933541</v>
      </c>
      <c r="N589" s="656" t="str">
        <f t="shared" si="38"/>
        <v/>
      </c>
      <c r="O589" s="666">
        <f t="shared" si="39"/>
        <v>1</v>
      </c>
      <c r="P589" s="662" t="s">
        <v>7514</v>
      </c>
    </row>
    <row r="590" spans="1:16">
      <c r="A590" s="14" t="s">
        <v>267</v>
      </c>
      <c r="B590" s="233">
        <v>1296</v>
      </c>
      <c r="C590"/>
      <c r="D590" t="s">
        <v>2738</v>
      </c>
      <c r="E590"/>
      <c r="F590"/>
      <c r="G590"/>
      <c r="H590" t="str">
        <f t="shared" si="36"/>
        <v/>
      </c>
      <c r="I590" t="str">
        <f t="shared" si="37"/>
        <v/>
      </c>
      <c r="J590" s="421"/>
      <c r="K590" s="655">
        <v>65959</v>
      </c>
      <c r="L590" s="469">
        <v>215273</v>
      </c>
      <c r="M590" s="470">
        <v>3.2637395958095201</v>
      </c>
      <c r="N590" s="656" t="str">
        <f t="shared" si="38"/>
        <v/>
      </c>
      <c r="O590" s="666">
        <f t="shared" si="39"/>
        <v>1</v>
      </c>
      <c r="P590" s="662">
        <v>2011</v>
      </c>
    </row>
    <row r="591" spans="1:16">
      <c r="A591" s="657" t="s">
        <v>4461</v>
      </c>
      <c r="B591" s="651" t="s">
        <v>592</v>
      </c>
      <c r="C591" s="652"/>
      <c r="D591" s="652"/>
      <c r="E591" s="652"/>
      <c r="F591" s="652"/>
      <c r="G591" s="652"/>
      <c r="H591" s="652"/>
      <c r="I591" s="652"/>
      <c r="J591" s="658"/>
      <c r="K591" s="657"/>
      <c r="L591" s="652"/>
      <c r="M591" s="652"/>
      <c r="N591" s="658"/>
      <c r="O591" s="666">
        <v>1.2115975294215842</v>
      </c>
      <c r="P591" s="663"/>
    </row>
    <row r="592" spans="1:16">
      <c r="A592" s="657" t="s">
        <v>4462</v>
      </c>
      <c r="B592" s="651" t="s">
        <v>593</v>
      </c>
      <c r="C592" s="652"/>
      <c r="D592" s="652"/>
      <c r="E592" s="652"/>
      <c r="F592" s="652"/>
      <c r="G592" s="652"/>
      <c r="H592" s="652"/>
      <c r="I592" s="652"/>
      <c r="J592" s="658"/>
      <c r="K592" s="657"/>
      <c r="L592" s="652"/>
      <c r="M592" s="652"/>
      <c r="N592" s="658"/>
      <c r="O592" s="666">
        <v>2.5105981550879215</v>
      </c>
      <c r="P592" s="663"/>
    </row>
    <row r="593" spans="1:16">
      <c r="A593" s="657" t="s">
        <v>4464</v>
      </c>
      <c r="B593" s="651" t="s">
        <v>594</v>
      </c>
      <c r="C593" s="652"/>
      <c r="D593" s="652"/>
      <c r="E593" s="652"/>
      <c r="F593" s="652"/>
      <c r="G593" s="652"/>
      <c r="H593" s="652"/>
      <c r="I593" s="652"/>
      <c r="J593" s="658"/>
      <c r="K593" s="657"/>
      <c r="L593" s="652"/>
      <c r="M593" s="652"/>
      <c r="N593" s="658"/>
      <c r="O593" s="666">
        <v>2.9954692636423399</v>
      </c>
      <c r="P593" s="663"/>
    </row>
    <row r="594" spans="1:16">
      <c r="A594" s="671" t="s">
        <v>4466</v>
      </c>
      <c r="B594" s="668" t="s">
        <v>2156</v>
      </c>
      <c r="C594" s="669"/>
      <c r="D594" s="669"/>
      <c r="E594" s="669"/>
      <c r="F594" s="669"/>
      <c r="G594" s="669"/>
      <c r="H594" s="669"/>
      <c r="I594" s="669"/>
      <c r="J594" s="670"/>
      <c r="K594" s="659"/>
      <c r="L594" s="660"/>
      <c r="M594" s="660"/>
      <c r="N594" s="661"/>
      <c r="O594" s="667">
        <v>3.1328696088448389</v>
      </c>
      <c r="P594" s="664"/>
    </row>
    <row r="596" spans="1:16" ht="13">
      <c r="A596" s="274" t="s">
        <v>7572</v>
      </c>
    </row>
    <row r="597" spans="1:16">
      <c r="A597" s="393" t="s">
        <v>5995</v>
      </c>
    </row>
    <row r="598" spans="1:16">
      <c r="A598" s="273" t="s">
        <v>5788</v>
      </c>
    </row>
  </sheetData>
  <hyperlinks>
    <hyperlink ref="E3" location="feed_intensity_w!A1" tooltip="Go to feed_intensity_w" display="feed_intensity_w" xr:uid="{00000000-0004-0000-2200-000000000000}"/>
    <hyperlink ref="F3" location="livestock_efi_efe!A1" display="livestock_efi_efe" xr:uid="{00000000-0004-0000-2200-000001000000}"/>
    <hyperlink ref="G3" location="crop_efi_efe!A1" display="crop_efi_efe" xr:uid="{00000000-0004-0000-2200-000002000000}"/>
  </hyperlinks>
  <pageMargins left="0.74791666666666667" right="0.74791666666666667" top="0.98402777777777783" bottom="0.98402777777777783" header="0.51180555555555562" footer="0.51180555555555562"/>
  <pageSetup firstPageNumber="0" orientation="portrait" horizontalDpi="300" verticalDpi="300" r:id="rId1"/>
  <headerFooter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97">
    <tabColor theme="7"/>
  </sheetPr>
  <dimension ref="A2:E282"/>
  <sheetViews>
    <sheetView zoomScaleNormal="100" workbookViewId="0">
      <pane ySplit="5" topLeftCell="A6" activePane="bottomLeft" state="frozen"/>
      <selection activeCell="A6" sqref="A6"/>
      <selection pane="bottomLeft" activeCell="A65536" sqref="A65536"/>
    </sheetView>
  </sheetViews>
  <sheetFormatPr defaultColWidth="9.1796875" defaultRowHeight="12.5"/>
  <cols>
    <col min="1" max="1" width="21.1796875" style="273" customWidth="1"/>
    <col min="2" max="2" width="28" style="273" customWidth="1"/>
    <col min="3" max="3" width="18.26953125" style="273" customWidth="1"/>
    <col min="4" max="4" width="13.81640625" style="273" customWidth="1"/>
    <col min="5" max="5" width="14.81640625" style="273" customWidth="1"/>
    <col min="6" max="16384" width="9.1796875" style="273"/>
  </cols>
  <sheetData>
    <row r="2" spans="1:5" ht="13">
      <c r="C2" s="274" t="s">
        <v>985</v>
      </c>
    </row>
    <row r="3" spans="1:5" ht="25.5" customHeight="1">
      <c r="C3" s="275" t="s">
        <v>986</v>
      </c>
      <c r="D3" s="489" t="s">
        <v>3235</v>
      </c>
      <c r="E3" s="489" t="s">
        <v>1750</v>
      </c>
    </row>
    <row r="4" spans="1:5" ht="13">
      <c r="A4" s="982" t="s">
        <v>5551</v>
      </c>
      <c r="B4" s="928" t="s">
        <v>5960</v>
      </c>
      <c r="C4" s="928" t="s">
        <v>5961</v>
      </c>
      <c r="D4" s="928" t="s">
        <v>5962</v>
      </c>
      <c r="E4" s="929" t="s">
        <v>5963</v>
      </c>
    </row>
    <row r="5" spans="1:5">
      <c r="A5" s="1111" t="s">
        <v>542</v>
      </c>
      <c r="B5" s="1091" t="s">
        <v>542</v>
      </c>
      <c r="C5" s="1091" t="s">
        <v>542</v>
      </c>
      <c r="D5" s="1091" t="s">
        <v>5964</v>
      </c>
      <c r="E5" s="1125" t="s">
        <v>5965</v>
      </c>
    </row>
    <row r="6" spans="1:5">
      <c r="A6" s="14">
        <v>2</v>
      </c>
      <c r="B6" t="s">
        <v>5552</v>
      </c>
      <c r="C6" t="s">
        <v>5552</v>
      </c>
      <c r="D6" s="567">
        <v>2.67</v>
      </c>
      <c r="E6" s="568">
        <v>43252.38</v>
      </c>
    </row>
    <row r="7" spans="1:5">
      <c r="A7" s="14">
        <v>3</v>
      </c>
      <c r="B7" t="s">
        <v>5553</v>
      </c>
      <c r="C7" t="s">
        <v>5553</v>
      </c>
      <c r="D7" s="569">
        <v>11.26</v>
      </c>
      <c r="E7" s="570">
        <v>261.75</v>
      </c>
    </row>
    <row r="8" spans="1:5">
      <c r="A8" s="14">
        <v>4</v>
      </c>
      <c r="B8" t="s">
        <v>5554</v>
      </c>
      <c r="C8" t="s">
        <v>5554</v>
      </c>
      <c r="D8" s="569">
        <v>4.38</v>
      </c>
      <c r="E8" s="570">
        <v>13024.6</v>
      </c>
    </row>
    <row r="9" spans="1:5">
      <c r="A9" s="14">
        <v>5</v>
      </c>
      <c r="B9" t="s">
        <v>5555</v>
      </c>
      <c r="C9" t="s">
        <v>2738</v>
      </c>
      <c r="D9" s="569" t="s">
        <v>2738</v>
      </c>
      <c r="E9" s="570" t="s">
        <v>2738</v>
      </c>
    </row>
    <row r="10" spans="1:5">
      <c r="A10" s="14">
        <v>6</v>
      </c>
      <c r="B10" t="s">
        <v>5556</v>
      </c>
      <c r="C10" t="s">
        <v>5556</v>
      </c>
      <c r="D10" s="569">
        <v>11.65</v>
      </c>
      <c r="E10" s="570">
        <v>15.12</v>
      </c>
    </row>
    <row r="11" spans="1:5">
      <c r="A11" s="14">
        <v>7</v>
      </c>
      <c r="B11" t="s">
        <v>5557</v>
      </c>
      <c r="C11" t="s">
        <v>5557</v>
      </c>
      <c r="D11" s="569">
        <v>7.47</v>
      </c>
      <c r="E11" s="570">
        <v>41105.57</v>
      </c>
    </row>
    <row r="12" spans="1:5">
      <c r="A12" s="14">
        <v>258</v>
      </c>
      <c r="B12" t="s">
        <v>5559</v>
      </c>
      <c r="C12" t="s">
        <v>2738</v>
      </c>
      <c r="D12" s="569" t="s">
        <v>2738</v>
      </c>
      <c r="E12" s="570" t="s">
        <v>2738</v>
      </c>
    </row>
    <row r="13" spans="1:5">
      <c r="A13" s="14">
        <v>8</v>
      </c>
      <c r="B13" t="s">
        <v>5558</v>
      </c>
      <c r="C13" t="s">
        <v>2738</v>
      </c>
      <c r="D13" s="569" t="s">
        <v>2738</v>
      </c>
      <c r="E13" s="570" t="s">
        <v>2738</v>
      </c>
    </row>
    <row r="14" spans="1:5">
      <c r="A14" s="14">
        <v>9</v>
      </c>
      <c r="B14" t="s">
        <v>5560</v>
      </c>
      <c r="C14" t="s">
        <v>5560</v>
      </c>
      <c r="D14" s="569">
        <v>9.24</v>
      </c>
      <c r="E14" s="570">
        <v>117136.24</v>
      </c>
    </row>
    <row r="15" spans="1:5">
      <c r="A15" s="14">
        <v>1</v>
      </c>
      <c r="B15" t="s">
        <v>5561</v>
      </c>
      <c r="C15" t="s">
        <v>5561</v>
      </c>
      <c r="D15" s="569">
        <v>9.06</v>
      </c>
      <c r="E15" s="570">
        <v>532.41</v>
      </c>
    </row>
    <row r="16" spans="1:5">
      <c r="A16" s="14">
        <v>22</v>
      </c>
      <c r="B16" t="s">
        <v>5562</v>
      </c>
      <c r="C16" t="s">
        <v>2738</v>
      </c>
      <c r="D16" s="569" t="s">
        <v>2738</v>
      </c>
      <c r="E16" s="570" t="s">
        <v>2738</v>
      </c>
    </row>
    <row r="17" spans="1:5">
      <c r="A17" s="14">
        <v>10</v>
      </c>
      <c r="B17" t="s">
        <v>5563</v>
      </c>
      <c r="C17" t="s">
        <v>5563</v>
      </c>
      <c r="D17" s="569">
        <v>4.79</v>
      </c>
      <c r="E17" s="570">
        <v>406808.23</v>
      </c>
    </row>
    <row r="18" spans="1:5">
      <c r="A18" s="14">
        <v>11</v>
      </c>
      <c r="B18" t="s">
        <v>5564</v>
      </c>
      <c r="C18" t="s">
        <v>5564</v>
      </c>
      <c r="D18" s="569">
        <v>11.62</v>
      </c>
      <c r="E18" s="570">
        <v>678</v>
      </c>
    </row>
    <row r="19" spans="1:5">
      <c r="A19" s="14">
        <v>52</v>
      </c>
      <c r="B19" t="s">
        <v>5565</v>
      </c>
      <c r="C19" t="s">
        <v>5565</v>
      </c>
      <c r="D19" s="569">
        <v>9.6999999999999993</v>
      </c>
      <c r="E19" s="570">
        <v>1971.66</v>
      </c>
    </row>
    <row r="20" spans="1:5">
      <c r="A20" s="14">
        <v>12</v>
      </c>
      <c r="B20" t="s">
        <v>5566</v>
      </c>
      <c r="C20" t="s">
        <v>2738</v>
      </c>
      <c r="D20" s="569" t="s">
        <v>2738</v>
      </c>
      <c r="E20" s="570" t="s">
        <v>2738</v>
      </c>
    </row>
    <row r="21" spans="1:5">
      <c r="A21" s="14">
        <v>13</v>
      </c>
      <c r="B21" t="s">
        <v>5567</v>
      </c>
      <c r="C21" t="s">
        <v>5567</v>
      </c>
      <c r="D21" s="569"/>
      <c r="E21" s="570" t="s">
        <v>2738</v>
      </c>
    </row>
    <row r="22" spans="1:5">
      <c r="A22" s="14">
        <v>16</v>
      </c>
      <c r="B22" t="s">
        <v>5568</v>
      </c>
      <c r="C22" t="s">
        <v>5568</v>
      </c>
      <c r="D22" s="569">
        <v>11.75</v>
      </c>
      <c r="E22" s="570">
        <v>1086.2</v>
      </c>
    </row>
    <row r="23" spans="1:5">
      <c r="A23" s="14">
        <v>14</v>
      </c>
      <c r="B23" t="s">
        <v>5569</v>
      </c>
      <c r="C23" t="s">
        <v>2738</v>
      </c>
      <c r="D23" s="569" t="s">
        <v>2738</v>
      </c>
      <c r="E23" s="570" t="s">
        <v>2738</v>
      </c>
    </row>
    <row r="24" spans="1:5">
      <c r="A24" s="14">
        <v>57</v>
      </c>
      <c r="B24" t="s">
        <v>5570</v>
      </c>
      <c r="C24" t="s">
        <v>5966</v>
      </c>
      <c r="D24" s="569">
        <v>12.27</v>
      </c>
      <c r="E24" s="570">
        <v>4250.1899999999996</v>
      </c>
    </row>
    <row r="25" spans="1:5">
      <c r="A25" s="14">
        <v>255</v>
      </c>
      <c r="B25" t="s">
        <v>5544</v>
      </c>
      <c r="C25" t="s">
        <v>5544</v>
      </c>
      <c r="D25" s="569">
        <v>14.12</v>
      </c>
      <c r="E25" s="570">
        <v>281.62</v>
      </c>
    </row>
    <row r="26" spans="1:5">
      <c r="A26" s="14">
        <v>23</v>
      </c>
      <c r="B26" t="s">
        <v>5572</v>
      </c>
      <c r="C26" t="s">
        <v>5572</v>
      </c>
      <c r="D26" s="569">
        <v>20.329999999999998</v>
      </c>
      <c r="E26" s="570">
        <v>114.11</v>
      </c>
    </row>
    <row r="27" spans="1:5">
      <c r="A27" s="14">
        <v>53</v>
      </c>
      <c r="B27" t="s">
        <v>5573</v>
      </c>
      <c r="C27" t="s">
        <v>5573</v>
      </c>
      <c r="D27" s="569">
        <v>9.17</v>
      </c>
      <c r="E27" s="570">
        <v>6172.55</v>
      </c>
    </row>
    <row r="28" spans="1:5">
      <c r="A28" s="14">
        <v>17</v>
      </c>
      <c r="B28" t="s">
        <v>5574</v>
      </c>
      <c r="C28" t="s">
        <v>2738</v>
      </c>
      <c r="D28" s="569" t="s">
        <v>2738</v>
      </c>
      <c r="E28" s="570" t="s">
        <v>2738</v>
      </c>
    </row>
    <row r="29" spans="1:5">
      <c r="A29" s="14">
        <v>18</v>
      </c>
      <c r="B29" t="s">
        <v>5575</v>
      </c>
      <c r="C29" t="s">
        <v>5575</v>
      </c>
      <c r="D29" s="569">
        <v>8.48</v>
      </c>
      <c r="E29" s="570">
        <v>634.09</v>
      </c>
    </row>
    <row r="30" spans="1:5">
      <c r="A30" s="14">
        <v>19</v>
      </c>
      <c r="B30" t="s">
        <v>5576</v>
      </c>
      <c r="C30" t="s">
        <v>5576</v>
      </c>
      <c r="D30" s="569">
        <v>9.4600000000000009</v>
      </c>
      <c r="E30" s="570">
        <v>28584.78</v>
      </c>
    </row>
    <row r="31" spans="1:5">
      <c r="A31" s="14">
        <v>80</v>
      </c>
      <c r="B31" t="s">
        <v>5577</v>
      </c>
      <c r="C31" t="s">
        <v>2738</v>
      </c>
      <c r="D31" s="569">
        <v>12.94</v>
      </c>
      <c r="E31" s="570" t="s">
        <v>2738</v>
      </c>
    </row>
    <row r="32" spans="1:5">
      <c r="A32" s="14">
        <v>20</v>
      </c>
      <c r="B32" t="s">
        <v>5578</v>
      </c>
      <c r="C32" t="s">
        <v>5578</v>
      </c>
      <c r="D32" s="569">
        <v>2.66</v>
      </c>
      <c r="E32" s="570">
        <v>33150.07</v>
      </c>
    </row>
    <row r="33" spans="1:5">
      <c r="A33" s="14">
        <v>21</v>
      </c>
      <c r="B33" t="s">
        <v>5579</v>
      </c>
      <c r="C33" t="s">
        <v>5579</v>
      </c>
      <c r="D33" s="569">
        <v>13.52</v>
      </c>
      <c r="E33" s="570">
        <v>175848.18</v>
      </c>
    </row>
    <row r="34" spans="1:5">
      <c r="A34" s="14">
        <v>24</v>
      </c>
      <c r="B34" t="s">
        <v>5580</v>
      </c>
      <c r="C34" t="s">
        <v>2738</v>
      </c>
      <c r="D34" s="569" t="s">
        <v>2738</v>
      </c>
      <c r="E34" s="570" t="s">
        <v>2738</v>
      </c>
    </row>
    <row r="35" spans="1:5">
      <c r="A35" s="14">
        <v>239</v>
      </c>
      <c r="B35" t="s">
        <v>5581</v>
      </c>
      <c r="C35" t="s">
        <v>2738</v>
      </c>
      <c r="D35" s="569" t="s">
        <v>2738</v>
      </c>
      <c r="E35" s="570" t="s">
        <v>2738</v>
      </c>
    </row>
    <row r="36" spans="1:5">
      <c r="A36" s="14">
        <v>26</v>
      </c>
      <c r="B36" t="s">
        <v>5582</v>
      </c>
      <c r="C36" t="s">
        <v>5967</v>
      </c>
      <c r="D36" s="569">
        <v>18.170000000000002</v>
      </c>
      <c r="E36" s="570">
        <v>26.83</v>
      </c>
    </row>
    <row r="37" spans="1:5">
      <c r="A37" s="14">
        <v>27</v>
      </c>
      <c r="B37" t="s">
        <v>5583</v>
      </c>
      <c r="C37" t="s">
        <v>5583</v>
      </c>
      <c r="D37" s="569">
        <v>10.61</v>
      </c>
      <c r="E37" s="570">
        <v>1120.8399999999999</v>
      </c>
    </row>
    <row r="38" spans="1:5">
      <c r="A38" s="14">
        <v>233</v>
      </c>
      <c r="B38" t="s">
        <v>5584</v>
      </c>
      <c r="C38" t="s">
        <v>5584</v>
      </c>
      <c r="D38" s="569">
        <v>6.38</v>
      </c>
      <c r="E38" s="570">
        <v>13749.85</v>
      </c>
    </row>
    <row r="39" spans="1:5">
      <c r="A39" s="14">
        <v>29</v>
      </c>
      <c r="B39" t="s">
        <v>5585</v>
      </c>
      <c r="C39" t="s">
        <v>5585</v>
      </c>
      <c r="D39" s="569">
        <v>18.399999999999999</v>
      </c>
      <c r="E39" s="570">
        <v>991.99</v>
      </c>
    </row>
    <row r="40" spans="1:5">
      <c r="A40" s="14">
        <v>107</v>
      </c>
      <c r="B40" t="s">
        <v>5603</v>
      </c>
      <c r="C40" t="s">
        <v>2738</v>
      </c>
      <c r="D40" s="569">
        <v>11.96</v>
      </c>
      <c r="E40" s="570" t="s">
        <v>2738</v>
      </c>
    </row>
    <row r="41" spans="1:5">
      <c r="A41" s="14">
        <v>115</v>
      </c>
      <c r="B41" t="s">
        <v>5586</v>
      </c>
      <c r="C41" t="s">
        <v>5586</v>
      </c>
      <c r="D41" s="569">
        <v>13.94</v>
      </c>
      <c r="E41" s="570">
        <v>1256.3499999999999</v>
      </c>
    </row>
    <row r="42" spans="1:5">
      <c r="A42" s="14">
        <v>32</v>
      </c>
      <c r="B42" t="s">
        <v>5587</v>
      </c>
      <c r="C42" t="s">
        <v>5587</v>
      </c>
      <c r="D42" s="569">
        <v>14.15</v>
      </c>
      <c r="E42" s="570">
        <v>8677.74</v>
      </c>
    </row>
    <row r="43" spans="1:5">
      <c r="A43" s="14">
        <v>33</v>
      </c>
      <c r="B43" t="s">
        <v>5588</v>
      </c>
      <c r="C43" t="s">
        <v>5588</v>
      </c>
      <c r="D43" s="569">
        <v>6.77</v>
      </c>
      <c r="E43" s="570">
        <v>13988.37</v>
      </c>
    </row>
    <row r="44" spans="1:5">
      <c r="A44" s="14">
        <v>35</v>
      </c>
      <c r="B44" s="13" t="s">
        <v>7554</v>
      </c>
      <c r="C44" t="s">
        <v>2738</v>
      </c>
      <c r="D44" s="569" t="s">
        <v>2738</v>
      </c>
      <c r="E44" s="570" t="s">
        <v>2738</v>
      </c>
    </row>
    <row r="45" spans="1:5">
      <c r="A45" s="14">
        <v>36</v>
      </c>
      <c r="B45" t="s">
        <v>5589</v>
      </c>
      <c r="C45" t="s">
        <v>2738</v>
      </c>
      <c r="D45" s="569" t="s">
        <v>2738</v>
      </c>
      <c r="E45" s="570" t="s">
        <v>2738</v>
      </c>
    </row>
    <row r="46" spans="1:5">
      <c r="A46" s="14">
        <v>37</v>
      </c>
      <c r="B46" t="s">
        <v>5590</v>
      </c>
      <c r="C46" t="s">
        <v>2738</v>
      </c>
      <c r="D46" s="569">
        <v>10.98</v>
      </c>
      <c r="E46" s="570" t="s">
        <v>2738</v>
      </c>
    </row>
    <row r="47" spans="1:5">
      <c r="A47" s="14">
        <v>39</v>
      </c>
      <c r="B47" t="s">
        <v>5591</v>
      </c>
      <c r="C47" t="s">
        <v>5591</v>
      </c>
      <c r="D47" s="569">
        <v>4.34</v>
      </c>
      <c r="E47" s="570">
        <v>31423.27</v>
      </c>
    </row>
    <row r="48" spans="1:5">
      <c r="A48" s="14">
        <v>259</v>
      </c>
      <c r="B48" t="s">
        <v>5592</v>
      </c>
      <c r="C48" t="s">
        <v>2738</v>
      </c>
      <c r="D48" s="569" t="s">
        <v>2738</v>
      </c>
      <c r="E48" s="570" t="s">
        <v>2738</v>
      </c>
    </row>
    <row r="49" spans="1:5">
      <c r="A49" s="14">
        <v>40</v>
      </c>
      <c r="B49" t="s">
        <v>5593</v>
      </c>
      <c r="C49" t="s">
        <v>5593</v>
      </c>
      <c r="D49" s="569">
        <v>7.57</v>
      </c>
      <c r="E49" s="570">
        <v>13122.14</v>
      </c>
    </row>
    <row r="50" spans="1:5">
      <c r="A50" s="14">
        <v>41</v>
      </c>
      <c r="B50" s="13" t="s">
        <v>7553</v>
      </c>
      <c r="C50" t="s">
        <v>5594</v>
      </c>
      <c r="D50" s="569">
        <v>5.03</v>
      </c>
      <c r="E50" s="570">
        <v>351945.34</v>
      </c>
    </row>
    <row r="51" spans="1:5">
      <c r="A51" s="14">
        <v>351</v>
      </c>
      <c r="B51" s="13" t="s">
        <v>5594</v>
      </c>
      <c r="C51"/>
      <c r="D51" s="569">
        <v>5.03</v>
      </c>
      <c r="E51" s="570">
        <v>351945.34</v>
      </c>
    </row>
    <row r="52" spans="1:5">
      <c r="A52" s="14">
        <v>42</v>
      </c>
      <c r="B52" t="s">
        <v>5595</v>
      </c>
      <c r="C52" t="s">
        <v>2738</v>
      </c>
      <c r="D52" s="569" t="s">
        <v>2738</v>
      </c>
      <c r="E52" s="570" t="s">
        <v>2738</v>
      </c>
    </row>
    <row r="53" spans="1:5">
      <c r="A53" s="14">
        <v>43</v>
      </c>
      <c r="B53" t="s">
        <v>5596</v>
      </c>
      <c r="C53" t="s">
        <v>2738</v>
      </c>
      <c r="D53" s="569" t="s">
        <v>2738</v>
      </c>
      <c r="E53" s="570" t="s">
        <v>2738</v>
      </c>
    </row>
    <row r="54" spans="1:5">
      <c r="A54" s="14">
        <v>44</v>
      </c>
      <c r="B54" t="s">
        <v>5597</v>
      </c>
      <c r="C54" t="s">
        <v>5597</v>
      </c>
      <c r="D54" s="569">
        <v>18.829999999999998</v>
      </c>
      <c r="E54" s="570">
        <v>22095.41</v>
      </c>
    </row>
    <row r="55" spans="1:5">
      <c r="A55" s="14">
        <v>45</v>
      </c>
      <c r="B55" t="s">
        <v>5598</v>
      </c>
      <c r="C55" t="s">
        <v>2738</v>
      </c>
      <c r="D55" s="569" t="s">
        <v>2738</v>
      </c>
      <c r="E55" s="570" t="s">
        <v>2738</v>
      </c>
    </row>
    <row r="56" spans="1:5">
      <c r="A56" s="14">
        <v>46</v>
      </c>
      <c r="B56" t="s">
        <v>5599</v>
      </c>
      <c r="C56" t="s">
        <v>5599</v>
      </c>
      <c r="D56" s="569">
        <v>18.149999999999999</v>
      </c>
      <c r="E56" s="570">
        <v>4135.7</v>
      </c>
    </row>
    <row r="57" spans="1:5">
      <c r="A57" s="14">
        <v>250</v>
      </c>
      <c r="B57" t="s">
        <v>5600</v>
      </c>
      <c r="C57" t="s">
        <v>2738</v>
      </c>
      <c r="D57" s="569">
        <v>15.78</v>
      </c>
      <c r="E57" s="570" t="s">
        <v>2738</v>
      </c>
    </row>
    <row r="58" spans="1:5">
      <c r="A58" s="14">
        <v>47</v>
      </c>
      <c r="B58" t="s">
        <v>5601</v>
      </c>
      <c r="C58" t="s">
        <v>2738</v>
      </c>
      <c r="D58" s="569" t="s">
        <v>2738</v>
      </c>
      <c r="E58" s="570" t="s">
        <v>2738</v>
      </c>
    </row>
    <row r="59" spans="1:5">
      <c r="A59" s="14">
        <v>48</v>
      </c>
      <c r="B59" t="s">
        <v>5602</v>
      </c>
      <c r="C59" t="s">
        <v>5602</v>
      </c>
      <c r="D59" s="569">
        <v>15.48</v>
      </c>
      <c r="E59" s="570">
        <v>392.4</v>
      </c>
    </row>
    <row r="60" spans="1:5">
      <c r="A60" s="14">
        <v>98</v>
      </c>
      <c r="B60" t="s">
        <v>5604</v>
      </c>
      <c r="C60" t="s">
        <v>5604</v>
      </c>
      <c r="D60" s="569">
        <v>12.25</v>
      </c>
      <c r="E60" s="570">
        <v>390.35</v>
      </c>
    </row>
    <row r="61" spans="1:5">
      <c r="A61" s="14">
        <v>49</v>
      </c>
      <c r="B61" t="s">
        <v>5605</v>
      </c>
      <c r="C61" t="s">
        <v>5605</v>
      </c>
      <c r="D61" s="569">
        <v>4.84</v>
      </c>
      <c r="E61" s="570">
        <v>1769.31</v>
      </c>
    </row>
    <row r="62" spans="1:5">
      <c r="A62" s="14">
        <v>50</v>
      </c>
      <c r="B62" t="s">
        <v>5606</v>
      </c>
      <c r="C62" t="s">
        <v>5606</v>
      </c>
      <c r="D62" s="569"/>
      <c r="E62" s="570" t="s">
        <v>2738</v>
      </c>
    </row>
    <row r="63" spans="1:5">
      <c r="A63" s="14">
        <v>167</v>
      </c>
      <c r="B63" t="s">
        <v>5607</v>
      </c>
      <c r="C63" t="s">
        <v>5607</v>
      </c>
      <c r="D63" s="569">
        <v>13.44</v>
      </c>
      <c r="E63" s="570">
        <v>531.63</v>
      </c>
    </row>
    <row r="64" spans="1:5">
      <c r="A64" s="14">
        <v>51</v>
      </c>
      <c r="B64" t="s">
        <v>5608</v>
      </c>
      <c r="C64" t="s">
        <v>2738</v>
      </c>
      <c r="D64" s="569" t="s">
        <v>2738</v>
      </c>
      <c r="E64" s="570" t="s">
        <v>2738</v>
      </c>
    </row>
    <row r="65" spans="1:5">
      <c r="A65" s="14">
        <v>54</v>
      </c>
      <c r="B65" t="s">
        <v>5609</v>
      </c>
      <c r="C65" t="s">
        <v>5609</v>
      </c>
      <c r="D65" s="569">
        <v>4.87</v>
      </c>
      <c r="E65" s="570">
        <v>339.67</v>
      </c>
    </row>
    <row r="66" spans="1:5">
      <c r="A66" s="14">
        <v>72</v>
      </c>
      <c r="B66" t="s">
        <v>5610</v>
      </c>
      <c r="C66" t="s">
        <v>5610</v>
      </c>
      <c r="D66" s="569">
        <v>1.61</v>
      </c>
      <c r="E66" s="570">
        <v>563.53</v>
      </c>
    </row>
    <row r="67" spans="1:5">
      <c r="A67" s="14">
        <v>55</v>
      </c>
      <c r="B67" t="s">
        <v>5611</v>
      </c>
      <c r="C67" t="s">
        <v>2738</v>
      </c>
      <c r="D67" s="569" t="s">
        <v>2738</v>
      </c>
      <c r="E67" s="570" t="s">
        <v>2738</v>
      </c>
    </row>
    <row r="68" spans="1:5">
      <c r="A68" s="14">
        <v>56</v>
      </c>
      <c r="B68" t="s">
        <v>5612</v>
      </c>
      <c r="C68" t="s">
        <v>5612</v>
      </c>
      <c r="D68" s="569">
        <v>13.03</v>
      </c>
      <c r="E68" s="570">
        <v>860.33</v>
      </c>
    </row>
    <row r="69" spans="1:5">
      <c r="A69" s="14">
        <v>58</v>
      </c>
      <c r="B69" t="s">
        <v>5613</v>
      </c>
      <c r="C69" t="s">
        <v>5613</v>
      </c>
      <c r="D69" s="569">
        <v>12.82</v>
      </c>
      <c r="E69" s="570">
        <v>6124.97</v>
      </c>
    </row>
    <row r="70" spans="1:5">
      <c r="A70" s="14">
        <v>59</v>
      </c>
      <c r="B70" t="s">
        <v>5614</v>
      </c>
      <c r="C70" t="s">
        <v>5614</v>
      </c>
      <c r="D70" s="569">
        <v>0.38</v>
      </c>
      <c r="E70" s="570">
        <v>1572.72</v>
      </c>
    </row>
    <row r="71" spans="1:5">
      <c r="A71" s="14">
        <v>60</v>
      </c>
      <c r="B71" t="s">
        <v>5615</v>
      </c>
      <c r="C71" t="s">
        <v>5615</v>
      </c>
      <c r="D71" s="569">
        <v>14.64</v>
      </c>
      <c r="E71" s="570">
        <v>162.94</v>
      </c>
    </row>
    <row r="72" spans="1:5">
      <c r="A72" s="14">
        <v>61</v>
      </c>
      <c r="B72" t="s">
        <v>5616</v>
      </c>
      <c r="C72" t="s">
        <v>5616</v>
      </c>
      <c r="D72" s="569">
        <v>14.19</v>
      </c>
      <c r="E72" s="570">
        <v>408.49</v>
      </c>
    </row>
    <row r="73" spans="1:5">
      <c r="A73" s="14">
        <v>178</v>
      </c>
      <c r="B73" t="s">
        <v>5617</v>
      </c>
      <c r="C73" t="s">
        <v>5617</v>
      </c>
      <c r="D73" s="569">
        <v>2.2400000000000002</v>
      </c>
      <c r="E73" s="570">
        <v>4908.41</v>
      </c>
    </row>
    <row r="74" spans="1:5">
      <c r="A74" s="14">
        <v>63</v>
      </c>
      <c r="B74" t="s">
        <v>5618</v>
      </c>
      <c r="C74" t="s">
        <v>5618</v>
      </c>
      <c r="D74" s="569">
        <v>5.31</v>
      </c>
      <c r="E74" s="570">
        <v>771.98</v>
      </c>
    </row>
    <row r="75" spans="1:5">
      <c r="A75" s="14">
        <v>238</v>
      </c>
      <c r="B75" t="s">
        <v>5619</v>
      </c>
      <c r="C75" t="s">
        <v>5619</v>
      </c>
      <c r="D75" s="569">
        <v>6.9</v>
      </c>
      <c r="E75" s="570">
        <v>46501.53</v>
      </c>
    </row>
    <row r="76" spans="1:5">
      <c r="A76" s="14">
        <v>62</v>
      </c>
      <c r="B76" t="s">
        <v>5620</v>
      </c>
      <c r="C76" t="s">
        <v>2738</v>
      </c>
      <c r="D76" s="569">
        <v>6.4550823323271729</v>
      </c>
      <c r="E76" s="570">
        <f>E75+E73</f>
        <v>51409.94</v>
      </c>
    </row>
    <row r="77" spans="1:5">
      <c r="A77" s="14">
        <v>65</v>
      </c>
      <c r="B77" t="s">
        <v>5621</v>
      </c>
      <c r="C77" t="s">
        <v>2738</v>
      </c>
      <c r="D77" s="569" t="s">
        <v>2738</v>
      </c>
      <c r="E77" s="570" t="s">
        <v>2738</v>
      </c>
    </row>
    <row r="78" spans="1:5">
      <c r="A78" s="14">
        <v>64</v>
      </c>
      <c r="B78" t="s">
        <v>5622</v>
      </c>
      <c r="C78" t="s">
        <v>2738</v>
      </c>
      <c r="D78" s="569" t="s">
        <v>2738</v>
      </c>
      <c r="E78" s="570" t="s">
        <v>2738</v>
      </c>
    </row>
    <row r="79" spans="1:5">
      <c r="A79" s="14">
        <v>66</v>
      </c>
      <c r="B79" t="s">
        <v>5623</v>
      </c>
      <c r="C79" t="s">
        <v>2738</v>
      </c>
      <c r="D79" s="569" t="s">
        <v>2738</v>
      </c>
      <c r="E79" s="570" t="s">
        <v>2738</v>
      </c>
    </row>
    <row r="80" spans="1:5">
      <c r="A80" s="14">
        <v>67</v>
      </c>
      <c r="B80" t="s">
        <v>5624</v>
      </c>
      <c r="C80" t="s">
        <v>5624</v>
      </c>
      <c r="D80" s="569">
        <v>8</v>
      </c>
      <c r="E80" s="570">
        <v>170.81</v>
      </c>
    </row>
    <row r="81" spans="1:5">
      <c r="A81" s="14">
        <v>68</v>
      </c>
      <c r="B81" t="s">
        <v>5625</v>
      </c>
      <c r="C81" t="s">
        <v>5625</v>
      </c>
      <c r="D81" s="569">
        <v>13.01</v>
      </c>
      <c r="E81" s="570">
        <v>4189.6499999999996</v>
      </c>
    </row>
    <row r="82" spans="1:5">
      <c r="A82" s="14">
        <v>69</v>
      </c>
      <c r="B82" t="s">
        <v>5626</v>
      </c>
      <c r="C82" t="s">
        <v>5626</v>
      </c>
      <c r="D82" s="569">
        <v>18.16</v>
      </c>
      <c r="E82" s="570">
        <v>199.59</v>
      </c>
    </row>
    <row r="83" spans="1:5">
      <c r="A83" s="14">
        <v>70</v>
      </c>
      <c r="B83" t="s">
        <v>5627</v>
      </c>
      <c r="C83" t="s">
        <v>2738</v>
      </c>
      <c r="D83" s="569" t="s">
        <v>2738</v>
      </c>
      <c r="E83" s="570" t="s">
        <v>2738</v>
      </c>
    </row>
    <row r="84" spans="1:5">
      <c r="A84" s="14">
        <v>74</v>
      </c>
      <c r="B84" t="s">
        <v>5628</v>
      </c>
      <c r="C84" t="s">
        <v>5628</v>
      </c>
      <c r="D84" s="569">
        <v>17.2</v>
      </c>
      <c r="E84" s="570">
        <v>2971.5</v>
      </c>
    </row>
    <row r="85" spans="1:5">
      <c r="A85" s="14">
        <v>75</v>
      </c>
      <c r="B85" t="s">
        <v>5629</v>
      </c>
      <c r="C85" t="s">
        <v>5629</v>
      </c>
      <c r="D85" s="569">
        <v>5.97</v>
      </c>
      <c r="E85" s="570">
        <v>321.94</v>
      </c>
    </row>
    <row r="86" spans="1:5">
      <c r="A86" s="14">
        <v>73</v>
      </c>
      <c r="B86" t="s">
        <v>5630</v>
      </c>
      <c r="C86" t="s">
        <v>5630</v>
      </c>
      <c r="D86" s="569">
        <v>11.11</v>
      </c>
      <c r="E86" s="570">
        <v>1022.61</v>
      </c>
    </row>
    <row r="87" spans="1:5">
      <c r="A87" s="14">
        <v>79</v>
      </c>
      <c r="B87" t="s">
        <v>5631</v>
      </c>
      <c r="C87" t="s">
        <v>5631</v>
      </c>
      <c r="D87" s="569">
        <v>13.81</v>
      </c>
      <c r="E87" s="570">
        <v>2551.19</v>
      </c>
    </row>
    <row r="88" spans="1:5">
      <c r="A88" s="14">
        <v>81</v>
      </c>
      <c r="B88" t="s">
        <v>5632</v>
      </c>
      <c r="C88" t="s">
        <v>5632</v>
      </c>
      <c r="D88" s="569">
        <v>10.66</v>
      </c>
      <c r="E88" s="570">
        <v>12532.03</v>
      </c>
    </row>
    <row r="89" spans="1:5">
      <c r="A89" s="14">
        <v>82</v>
      </c>
      <c r="B89" t="s">
        <v>5633</v>
      </c>
      <c r="C89" t="s">
        <v>2738</v>
      </c>
      <c r="D89" s="569" t="s">
        <v>2738</v>
      </c>
      <c r="E89" s="570" t="s">
        <v>2738</v>
      </c>
    </row>
    <row r="90" spans="1:5">
      <c r="A90" s="14">
        <v>84</v>
      </c>
      <c r="B90" t="s">
        <v>5634</v>
      </c>
      <c r="C90" t="s">
        <v>5634</v>
      </c>
      <c r="D90" s="569">
        <v>6.17</v>
      </c>
      <c r="E90" s="570">
        <v>1026.01</v>
      </c>
    </row>
    <row r="91" spans="1:5">
      <c r="A91" s="14">
        <v>85</v>
      </c>
      <c r="B91" t="s">
        <v>5635</v>
      </c>
      <c r="C91" t="s">
        <v>2738</v>
      </c>
      <c r="D91" s="569" t="s">
        <v>2738</v>
      </c>
      <c r="E91" s="570" t="s">
        <v>2738</v>
      </c>
    </row>
    <row r="92" spans="1:5">
      <c r="A92" s="14">
        <v>86</v>
      </c>
      <c r="B92" t="s">
        <v>5636</v>
      </c>
      <c r="C92" t="s">
        <v>2738</v>
      </c>
      <c r="D92" s="569" t="s">
        <v>2738</v>
      </c>
      <c r="E92" s="570" t="s">
        <v>2738</v>
      </c>
    </row>
    <row r="93" spans="1:5">
      <c r="A93" s="14">
        <v>87</v>
      </c>
      <c r="B93" t="s">
        <v>5637</v>
      </c>
      <c r="C93" t="s">
        <v>2738</v>
      </c>
      <c r="D93" s="569" t="s">
        <v>2738</v>
      </c>
      <c r="E93" s="570" t="s">
        <v>2738</v>
      </c>
    </row>
    <row r="94" spans="1:5">
      <c r="A94" s="14">
        <v>88</v>
      </c>
      <c r="B94" t="s">
        <v>5638</v>
      </c>
      <c r="C94" t="s">
        <v>2738</v>
      </c>
      <c r="D94" s="569" t="s">
        <v>2738</v>
      </c>
      <c r="E94" s="570" t="s">
        <v>2738</v>
      </c>
    </row>
    <row r="95" spans="1:5">
      <c r="A95" s="14">
        <v>89</v>
      </c>
      <c r="B95" t="s">
        <v>5639</v>
      </c>
      <c r="C95" t="s">
        <v>5639</v>
      </c>
      <c r="D95" s="569">
        <v>18.100000000000001</v>
      </c>
      <c r="E95" s="570">
        <v>1015.9</v>
      </c>
    </row>
    <row r="96" spans="1:5">
      <c r="A96" s="14">
        <v>90</v>
      </c>
      <c r="B96" t="s">
        <v>5640</v>
      </c>
      <c r="C96" t="s">
        <v>5640</v>
      </c>
      <c r="D96" s="569">
        <v>11.01</v>
      </c>
      <c r="E96" s="570">
        <v>7604.93</v>
      </c>
    </row>
    <row r="97" spans="1:5">
      <c r="A97" s="14">
        <v>175</v>
      </c>
      <c r="B97" t="s">
        <v>5641</v>
      </c>
      <c r="C97" t="s">
        <v>5641</v>
      </c>
      <c r="D97" s="569">
        <v>7.5</v>
      </c>
      <c r="E97" s="570">
        <v>736.03</v>
      </c>
    </row>
    <row r="98" spans="1:5">
      <c r="A98" s="14">
        <v>91</v>
      </c>
      <c r="B98" t="s">
        <v>5642</v>
      </c>
      <c r="C98" t="s">
        <v>5642</v>
      </c>
      <c r="D98" s="569">
        <v>13.32</v>
      </c>
      <c r="E98" s="570">
        <v>1312.44</v>
      </c>
    </row>
    <row r="99" spans="1:5">
      <c r="A99" s="14">
        <v>93</v>
      </c>
      <c r="B99" t="s">
        <v>5643</v>
      </c>
      <c r="C99" t="s">
        <v>5643</v>
      </c>
      <c r="D99" s="569">
        <v>9.1999999999999993</v>
      </c>
      <c r="E99" s="570">
        <v>631.16</v>
      </c>
    </row>
    <row r="100" spans="1:5">
      <c r="A100" s="14">
        <v>94</v>
      </c>
      <c r="B100" t="s">
        <v>5644</v>
      </c>
      <c r="C100" t="s">
        <v>2738</v>
      </c>
      <c r="D100" s="569" t="s">
        <v>2738</v>
      </c>
      <c r="E100" s="570" t="s">
        <v>2738</v>
      </c>
    </row>
    <row r="101" spans="1:5">
      <c r="A101" s="14">
        <v>95</v>
      </c>
      <c r="B101" t="s">
        <v>5645</v>
      </c>
      <c r="C101" t="s">
        <v>5645</v>
      </c>
      <c r="D101" s="569">
        <v>16.32</v>
      </c>
      <c r="E101" s="570">
        <v>850.68</v>
      </c>
    </row>
    <row r="102" spans="1:5">
      <c r="A102" s="14">
        <v>97</v>
      </c>
      <c r="B102" t="s">
        <v>5646</v>
      </c>
      <c r="C102" t="s">
        <v>5646</v>
      </c>
      <c r="D102" s="569">
        <v>11.94</v>
      </c>
      <c r="E102" s="570">
        <v>864.87</v>
      </c>
    </row>
    <row r="103" spans="1:5">
      <c r="A103" s="14">
        <v>99</v>
      </c>
      <c r="B103" t="s">
        <v>5647</v>
      </c>
      <c r="C103" t="s">
        <v>5647</v>
      </c>
      <c r="D103" s="569">
        <v>6.08</v>
      </c>
      <c r="E103" s="570">
        <v>370.98</v>
      </c>
    </row>
    <row r="104" spans="1:5">
      <c r="A104" s="14">
        <v>100</v>
      </c>
      <c r="B104" t="s">
        <v>5648</v>
      </c>
      <c r="C104" t="s">
        <v>5648</v>
      </c>
      <c r="D104" s="569">
        <v>5.57</v>
      </c>
      <c r="E104" s="570">
        <v>48662</v>
      </c>
    </row>
    <row r="105" spans="1:5">
      <c r="A105" s="14">
        <v>101</v>
      </c>
      <c r="B105" t="s">
        <v>5649</v>
      </c>
      <c r="C105" t="s">
        <v>5649</v>
      </c>
      <c r="D105" s="569">
        <v>17.329999999999998</v>
      </c>
      <c r="E105" s="570">
        <v>19915.97</v>
      </c>
    </row>
    <row r="106" spans="1:5">
      <c r="A106" s="14">
        <v>102</v>
      </c>
      <c r="B106" t="s">
        <v>5650</v>
      </c>
      <c r="C106" t="s">
        <v>2738</v>
      </c>
      <c r="D106" s="569">
        <v>2.5099999999999998</v>
      </c>
      <c r="E106" s="570" t="s">
        <v>2738</v>
      </c>
    </row>
    <row r="107" spans="1:5">
      <c r="A107" s="14">
        <v>103</v>
      </c>
      <c r="B107" t="s">
        <v>5651</v>
      </c>
      <c r="C107" t="s">
        <v>5651</v>
      </c>
      <c r="D107" s="569">
        <v>2.11</v>
      </c>
      <c r="E107" s="570">
        <v>15547.9</v>
      </c>
    </row>
    <row r="108" spans="1:5">
      <c r="A108" s="14">
        <v>104</v>
      </c>
      <c r="B108" t="s">
        <v>5652</v>
      </c>
      <c r="C108" t="s">
        <v>5652</v>
      </c>
      <c r="D108" s="569">
        <v>11.99</v>
      </c>
      <c r="E108" s="570">
        <v>1337.52</v>
      </c>
    </row>
    <row r="109" spans="1:5">
      <c r="A109" s="14">
        <v>264</v>
      </c>
      <c r="B109" t="s">
        <v>5653</v>
      </c>
      <c r="C109" t="s">
        <v>2738</v>
      </c>
      <c r="D109" s="569" t="s">
        <v>2738</v>
      </c>
      <c r="E109" s="570" t="s">
        <v>2738</v>
      </c>
    </row>
    <row r="110" spans="1:5">
      <c r="A110" s="14">
        <v>105</v>
      </c>
      <c r="B110" t="s">
        <v>5654</v>
      </c>
      <c r="C110" t="s">
        <v>5654</v>
      </c>
      <c r="D110" s="569">
        <v>4.97</v>
      </c>
      <c r="E110" s="570">
        <v>694.13</v>
      </c>
    </row>
    <row r="111" spans="1:5">
      <c r="A111" s="14">
        <v>106</v>
      </c>
      <c r="B111" t="s">
        <v>5655</v>
      </c>
      <c r="C111" t="s">
        <v>5655</v>
      </c>
      <c r="D111" s="569">
        <v>11.81</v>
      </c>
      <c r="E111" s="570">
        <v>2470.71</v>
      </c>
    </row>
    <row r="112" spans="1:5">
      <c r="A112" s="14">
        <v>109</v>
      </c>
      <c r="B112" t="s">
        <v>5656</v>
      </c>
      <c r="C112" t="s">
        <v>5656</v>
      </c>
      <c r="D112" s="569"/>
      <c r="E112" s="570" t="s">
        <v>2738</v>
      </c>
    </row>
    <row r="113" spans="1:5">
      <c r="A113" s="14">
        <v>110</v>
      </c>
      <c r="B113" t="s">
        <v>5657</v>
      </c>
      <c r="C113" t="s">
        <v>5657</v>
      </c>
      <c r="D113" s="569">
        <v>13.35</v>
      </c>
      <c r="E113" s="570">
        <v>1146.8800000000001</v>
      </c>
    </row>
    <row r="114" spans="1:5">
      <c r="A114" s="14">
        <v>112</v>
      </c>
      <c r="B114" t="s">
        <v>5658</v>
      </c>
      <c r="C114" t="s">
        <v>5658</v>
      </c>
      <c r="D114" s="569">
        <v>2.27</v>
      </c>
      <c r="E114" s="570">
        <v>3792.98</v>
      </c>
    </row>
    <row r="115" spans="1:5">
      <c r="A115" s="14">
        <v>108</v>
      </c>
      <c r="B115" t="s">
        <v>5659</v>
      </c>
      <c r="C115" t="s">
        <v>5659</v>
      </c>
      <c r="D115" s="569">
        <v>2.29</v>
      </c>
      <c r="E115" s="570">
        <v>174091.51</v>
      </c>
    </row>
    <row r="116" spans="1:5">
      <c r="A116" s="14">
        <v>114</v>
      </c>
      <c r="B116" t="s">
        <v>5660</v>
      </c>
      <c r="C116" t="s">
        <v>5660</v>
      </c>
      <c r="D116" s="569">
        <v>6.54</v>
      </c>
      <c r="E116" s="570">
        <v>18083.830000000002</v>
      </c>
    </row>
    <row r="117" spans="1:5">
      <c r="A117" s="14">
        <v>83</v>
      </c>
      <c r="B117" t="s">
        <v>5661</v>
      </c>
      <c r="C117" t="s">
        <v>2738</v>
      </c>
      <c r="D117" s="569" t="s">
        <v>2738</v>
      </c>
      <c r="E117" s="570" t="s">
        <v>2738</v>
      </c>
    </row>
    <row r="118" spans="1:5">
      <c r="A118" s="14">
        <v>116</v>
      </c>
      <c r="B118" t="s">
        <v>5662</v>
      </c>
      <c r="C118" t="s">
        <v>2738</v>
      </c>
      <c r="D118" s="569">
        <v>10.050000000000001</v>
      </c>
      <c r="E118" s="570" t="s">
        <v>2738</v>
      </c>
    </row>
    <row r="119" spans="1:5">
      <c r="A119" s="14">
        <v>117</v>
      </c>
      <c r="B119" t="s">
        <v>5663</v>
      </c>
      <c r="C119" t="s">
        <v>2738</v>
      </c>
      <c r="D119" s="569">
        <v>10.5</v>
      </c>
      <c r="E119" s="570" t="s">
        <v>2738</v>
      </c>
    </row>
    <row r="120" spans="1:5">
      <c r="A120" s="14">
        <v>118</v>
      </c>
      <c r="B120" t="s">
        <v>5664</v>
      </c>
      <c r="C120" t="s">
        <v>5664</v>
      </c>
      <c r="D120" s="569">
        <v>2.2799999999999998</v>
      </c>
      <c r="E120" s="570">
        <v>330.37</v>
      </c>
    </row>
    <row r="121" spans="1:5">
      <c r="A121" s="14">
        <v>113</v>
      </c>
      <c r="B121" t="s">
        <v>5665</v>
      </c>
      <c r="C121" t="s">
        <v>5665</v>
      </c>
      <c r="D121" s="569">
        <v>5.0999999999999996</v>
      </c>
      <c r="E121" s="570">
        <v>10808.07</v>
      </c>
    </row>
    <row r="122" spans="1:5">
      <c r="A122" s="14">
        <v>120</v>
      </c>
      <c r="B122" t="s">
        <v>5666</v>
      </c>
      <c r="C122" t="s">
        <v>2738</v>
      </c>
      <c r="D122" s="569">
        <v>16.72</v>
      </c>
      <c r="E122" s="570" t="s">
        <v>2738</v>
      </c>
    </row>
    <row r="123" spans="1:5">
      <c r="A123" s="14">
        <v>119</v>
      </c>
      <c r="B123" t="s">
        <v>5667</v>
      </c>
      <c r="C123" t="s">
        <v>5667</v>
      </c>
      <c r="D123" s="569">
        <v>9.86</v>
      </c>
      <c r="E123" s="570">
        <v>1098.4100000000001</v>
      </c>
    </row>
    <row r="124" spans="1:5">
      <c r="A124" s="14">
        <v>121</v>
      </c>
      <c r="B124" t="s">
        <v>5668</v>
      </c>
      <c r="C124" t="s">
        <v>5668</v>
      </c>
      <c r="D124" s="569">
        <v>7.13</v>
      </c>
      <c r="E124" s="570">
        <v>446.87</v>
      </c>
    </row>
    <row r="125" spans="1:5">
      <c r="A125" s="14">
        <v>122</v>
      </c>
      <c r="B125" t="s">
        <v>5669</v>
      </c>
      <c r="C125" t="s">
        <v>5669</v>
      </c>
      <c r="D125" s="569">
        <v>10.34</v>
      </c>
      <c r="E125" s="570">
        <v>1773.57</v>
      </c>
    </row>
    <row r="126" spans="1:5">
      <c r="A126" s="14">
        <v>123</v>
      </c>
      <c r="B126" t="s">
        <v>5670</v>
      </c>
      <c r="C126" t="s">
        <v>5670</v>
      </c>
      <c r="D126" s="569">
        <v>17.510000000000002</v>
      </c>
      <c r="E126" s="570">
        <v>2462.6999999999998</v>
      </c>
    </row>
    <row r="127" spans="1:5">
      <c r="A127" s="14">
        <v>124</v>
      </c>
      <c r="B127" t="s">
        <v>5671</v>
      </c>
      <c r="C127" t="s">
        <v>2738</v>
      </c>
      <c r="D127" s="569">
        <v>1.44</v>
      </c>
      <c r="E127" s="570" t="s">
        <v>2738</v>
      </c>
    </row>
    <row r="128" spans="1:5">
      <c r="A128" s="14">
        <v>125</v>
      </c>
      <c r="B128" t="s">
        <v>5672</v>
      </c>
      <c r="C128" t="s">
        <v>2738</v>
      </c>
      <c r="D128" s="569" t="s">
        <v>2738</v>
      </c>
      <c r="E128" s="570" t="s">
        <v>2738</v>
      </c>
    </row>
    <row r="129" spans="1:5">
      <c r="A129" s="14">
        <v>126</v>
      </c>
      <c r="B129" t="s">
        <v>5673</v>
      </c>
      <c r="C129" t="s">
        <v>5673</v>
      </c>
      <c r="D129" s="569">
        <v>12.21</v>
      </c>
      <c r="E129" s="570">
        <v>1290.04</v>
      </c>
    </row>
    <row r="130" spans="1:5">
      <c r="A130" s="14">
        <v>256</v>
      </c>
      <c r="B130" t="s">
        <v>5674</v>
      </c>
      <c r="C130" t="s">
        <v>5674</v>
      </c>
      <c r="D130" s="569">
        <v>14.73</v>
      </c>
      <c r="E130" s="570">
        <v>16.87</v>
      </c>
    </row>
    <row r="131" spans="1:5">
      <c r="A131" s="14">
        <v>154</v>
      </c>
      <c r="B131" t="s">
        <v>5675</v>
      </c>
      <c r="C131" t="s">
        <v>2738</v>
      </c>
      <c r="D131" s="569">
        <v>10.02</v>
      </c>
      <c r="E131" s="570" t="s">
        <v>2738</v>
      </c>
    </row>
    <row r="132" spans="1:5">
      <c r="A132" s="14">
        <v>129</v>
      </c>
      <c r="B132" t="s">
        <v>5676</v>
      </c>
      <c r="C132" t="s">
        <v>5676</v>
      </c>
      <c r="D132" s="569">
        <v>10.62</v>
      </c>
      <c r="E132" s="570">
        <v>28766.63</v>
      </c>
    </row>
    <row r="133" spans="1:5">
      <c r="A133" s="14">
        <v>130</v>
      </c>
      <c r="B133" t="s">
        <v>5677</v>
      </c>
      <c r="C133" t="s">
        <v>5677</v>
      </c>
      <c r="D133" s="569">
        <v>8.8000000000000007</v>
      </c>
      <c r="E133" s="570">
        <v>4410.7299999999996</v>
      </c>
    </row>
    <row r="134" spans="1:5">
      <c r="A134" s="14">
        <v>131</v>
      </c>
      <c r="B134" t="s">
        <v>5678</v>
      </c>
      <c r="C134" t="s">
        <v>5678</v>
      </c>
      <c r="D134" s="569">
        <v>19.38</v>
      </c>
      <c r="E134" s="570">
        <v>1052.8</v>
      </c>
    </row>
    <row r="135" spans="1:5">
      <c r="A135" s="14">
        <v>132</v>
      </c>
      <c r="B135" t="s">
        <v>5679</v>
      </c>
      <c r="C135" t="s">
        <v>2738</v>
      </c>
      <c r="D135" s="569" t="s">
        <v>2738</v>
      </c>
      <c r="E135" s="570" t="s">
        <v>2738</v>
      </c>
    </row>
    <row r="136" spans="1:5">
      <c r="A136" s="14">
        <v>133</v>
      </c>
      <c r="B136" t="s">
        <v>5680</v>
      </c>
      <c r="C136" t="s">
        <v>5680</v>
      </c>
      <c r="D136" s="569">
        <v>4.12</v>
      </c>
      <c r="E136" s="570">
        <v>29603.41</v>
      </c>
    </row>
    <row r="137" spans="1:5">
      <c r="A137" s="14">
        <v>134</v>
      </c>
      <c r="B137" t="s">
        <v>5681</v>
      </c>
      <c r="C137" t="s">
        <v>2738</v>
      </c>
      <c r="D137" s="569" t="s">
        <v>2738</v>
      </c>
      <c r="E137" s="570" t="s">
        <v>2738</v>
      </c>
    </row>
    <row r="138" spans="1:5">
      <c r="A138" s="14">
        <v>127</v>
      </c>
      <c r="B138" t="s">
        <v>5682</v>
      </c>
      <c r="C138" t="s">
        <v>2738</v>
      </c>
      <c r="D138" s="569" t="s">
        <v>2738</v>
      </c>
      <c r="E138" s="570" t="s">
        <v>2738</v>
      </c>
    </row>
    <row r="139" spans="1:5">
      <c r="A139" s="14">
        <v>135</v>
      </c>
      <c r="B139" t="s">
        <v>5683</v>
      </c>
      <c r="C139" t="s">
        <v>2738</v>
      </c>
      <c r="D139" s="569" t="s">
        <v>2738</v>
      </c>
      <c r="E139" s="570" t="s">
        <v>2738</v>
      </c>
    </row>
    <row r="140" spans="1:5">
      <c r="A140" s="14">
        <v>136</v>
      </c>
      <c r="B140" t="s">
        <v>5684</v>
      </c>
      <c r="C140" t="s">
        <v>5684</v>
      </c>
      <c r="D140" s="569">
        <v>3.85</v>
      </c>
      <c r="E140" s="570">
        <v>8820.36</v>
      </c>
    </row>
    <row r="141" spans="1:5">
      <c r="A141" s="14">
        <v>137</v>
      </c>
      <c r="B141" t="s">
        <v>5685</v>
      </c>
      <c r="C141" t="s">
        <v>2738</v>
      </c>
      <c r="D141" s="569" t="s">
        <v>2738</v>
      </c>
      <c r="E141" s="570" t="s">
        <v>2738</v>
      </c>
    </row>
    <row r="142" spans="1:5">
      <c r="A142" s="14">
        <v>270</v>
      </c>
      <c r="B142" t="s">
        <v>5686</v>
      </c>
      <c r="C142" t="s">
        <v>2738</v>
      </c>
      <c r="D142" s="569" t="s">
        <v>2738</v>
      </c>
      <c r="E142" s="570" t="s">
        <v>2738</v>
      </c>
    </row>
    <row r="143" spans="1:5">
      <c r="A143" s="14">
        <v>138</v>
      </c>
      <c r="B143" t="s">
        <v>5687</v>
      </c>
      <c r="C143" t="s">
        <v>5687</v>
      </c>
      <c r="D143" s="569">
        <v>4.91</v>
      </c>
      <c r="E143" s="570">
        <v>84159.1</v>
      </c>
    </row>
    <row r="144" spans="1:5">
      <c r="A144" s="14">
        <v>145</v>
      </c>
      <c r="B144" t="s">
        <v>5688</v>
      </c>
      <c r="C144" t="s">
        <v>2738</v>
      </c>
      <c r="D144" s="569" t="s">
        <v>2738</v>
      </c>
      <c r="E144" s="570" t="s">
        <v>2738</v>
      </c>
    </row>
    <row r="145" spans="1:5">
      <c r="A145" s="14">
        <v>146</v>
      </c>
      <c r="B145" t="s">
        <v>5689</v>
      </c>
      <c r="C145" t="s">
        <v>2738</v>
      </c>
      <c r="D145" s="569">
        <v>9.5399999999999991</v>
      </c>
      <c r="E145" s="570" t="s">
        <v>2738</v>
      </c>
    </row>
    <row r="146" spans="1:5">
      <c r="A146" s="14">
        <v>140</v>
      </c>
      <c r="B146" t="s">
        <v>5955</v>
      </c>
      <c r="C146" t="s">
        <v>2738</v>
      </c>
      <c r="D146" s="569" t="s">
        <v>2738</v>
      </c>
      <c r="E146" s="570" t="s">
        <v>2738</v>
      </c>
    </row>
    <row r="147" spans="1:5">
      <c r="A147" s="14">
        <v>141</v>
      </c>
      <c r="B147" t="s">
        <v>5690</v>
      </c>
      <c r="C147" t="s">
        <v>5690</v>
      </c>
      <c r="D147" s="569">
        <v>2.79</v>
      </c>
      <c r="E147" s="570">
        <v>119244.93</v>
      </c>
    </row>
    <row r="148" spans="1:5">
      <c r="A148" s="14">
        <v>273</v>
      </c>
      <c r="B148" t="s">
        <v>5691</v>
      </c>
      <c r="C148" t="s">
        <v>2738</v>
      </c>
      <c r="D148" s="569">
        <v>11.65</v>
      </c>
      <c r="E148" s="570" t="s">
        <v>2738</v>
      </c>
    </row>
    <row r="149" spans="1:5">
      <c r="A149" s="14">
        <v>142</v>
      </c>
      <c r="B149" t="s">
        <v>5692</v>
      </c>
      <c r="C149" t="s">
        <v>2738</v>
      </c>
      <c r="D149" s="569" t="s">
        <v>2738</v>
      </c>
      <c r="E149" s="570" t="s">
        <v>2738</v>
      </c>
    </row>
    <row r="150" spans="1:5">
      <c r="A150" s="14">
        <v>143</v>
      </c>
      <c r="B150" t="s">
        <v>5693</v>
      </c>
      <c r="C150" t="s">
        <v>5693</v>
      </c>
      <c r="D150" s="569">
        <v>3.61</v>
      </c>
      <c r="E150" s="570">
        <v>8311.32</v>
      </c>
    </row>
    <row r="151" spans="1:5">
      <c r="A151" s="14">
        <v>144</v>
      </c>
      <c r="B151" t="s">
        <v>5694</v>
      </c>
      <c r="C151" t="s">
        <v>5694</v>
      </c>
      <c r="D151" s="569">
        <v>7.49</v>
      </c>
      <c r="E151" s="570">
        <v>32760.95</v>
      </c>
    </row>
    <row r="152" spans="1:5">
      <c r="A152" s="14">
        <v>28</v>
      </c>
      <c r="B152" t="s">
        <v>5695</v>
      </c>
      <c r="C152" t="s">
        <v>5968</v>
      </c>
      <c r="D152" s="569">
        <v>11.29</v>
      </c>
      <c r="E152" s="570">
        <v>1685.42</v>
      </c>
    </row>
    <row r="153" spans="1:5">
      <c r="A153" s="14">
        <v>147</v>
      </c>
      <c r="B153" t="s">
        <v>5696</v>
      </c>
      <c r="C153" t="s">
        <v>5696</v>
      </c>
      <c r="D153" s="569">
        <v>1.3</v>
      </c>
      <c r="E153" s="570">
        <v>48942.75</v>
      </c>
    </row>
    <row r="154" spans="1:5">
      <c r="A154" s="14">
        <v>148</v>
      </c>
      <c r="B154" t="s">
        <v>5697</v>
      </c>
      <c r="C154" t="s">
        <v>2738</v>
      </c>
      <c r="D154" s="569" t="s">
        <v>2738</v>
      </c>
      <c r="E154" s="570" t="s">
        <v>2738</v>
      </c>
    </row>
    <row r="155" spans="1:5">
      <c r="A155" s="14">
        <v>149</v>
      </c>
      <c r="B155" t="s">
        <v>5698</v>
      </c>
      <c r="C155" t="s">
        <v>5698</v>
      </c>
      <c r="D155" s="569">
        <v>9.9700000000000006</v>
      </c>
      <c r="E155" s="570">
        <v>3483.78</v>
      </c>
    </row>
    <row r="156" spans="1:5">
      <c r="A156" s="14">
        <v>150</v>
      </c>
      <c r="B156" t="s">
        <v>5699</v>
      </c>
      <c r="C156" t="s">
        <v>5699</v>
      </c>
      <c r="D156" s="569">
        <v>9.1</v>
      </c>
      <c r="E156" s="570">
        <v>334.06</v>
      </c>
    </row>
    <row r="157" spans="1:5">
      <c r="A157" s="14">
        <v>151</v>
      </c>
      <c r="B157" t="s">
        <v>5700</v>
      </c>
      <c r="C157" t="s">
        <v>2738</v>
      </c>
      <c r="D157" s="569" t="s">
        <v>2738</v>
      </c>
      <c r="E157" s="570" t="s">
        <v>2738</v>
      </c>
    </row>
    <row r="158" spans="1:5">
      <c r="A158" s="14">
        <v>153</v>
      </c>
      <c r="B158" t="s">
        <v>5701</v>
      </c>
      <c r="C158" t="s">
        <v>2738</v>
      </c>
      <c r="D158" s="569" t="s">
        <v>2738</v>
      </c>
      <c r="E158" s="570" t="s">
        <v>2738</v>
      </c>
    </row>
    <row r="159" spans="1:5">
      <c r="A159" s="14">
        <v>156</v>
      </c>
      <c r="B159" t="s">
        <v>5702</v>
      </c>
      <c r="C159" t="s">
        <v>5702</v>
      </c>
      <c r="D159" s="569">
        <v>15.48</v>
      </c>
      <c r="E159" s="570">
        <v>12538.64</v>
      </c>
    </row>
    <row r="160" spans="1:5">
      <c r="A160" s="14">
        <v>157</v>
      </c>
      <c r="B160" t="s">
        <v>5703</v>
      </c>
      <c r="C160" t="s">
        <v>5703</v>
      </c>
      <c r="D160" s="569">
        <v>14.62</v>
      </c>
      <c r="E160" s="570">
        <v>624.94000000000005</v>
      </c>
    </row>
    <row r="161" spans="1:5">
      <c r="A161" s="14">
        <v>158</v>
      </c>
      <c r="B161" t="s">
        <v>5704</v>
      </c>
      <c r="C161" t="s">
        <v>5704</v>
      </c>
      <c r="D161" s="569">
        <v>4.1900000000000004</v>
      </c>
      <c r="E161" s="570">
        <v>27122.01</v>
      </c>
    </row>
    <row r="162" spans="1:5">
      <c r="A162" s="14">
        <v>159</v>
      </c>
      <c r="B162" t="s">
        <v>5705</v>
      </c>
      <c r="C162" t="s">
        <v>5705</v>
      </c>
      <c r="D162" s="569">
        <v>9.01</v>
      </c>
      <c r="E162" s="570">
        <v>33313.279999999999</v>
      </c>
    </row>
    <row r="163" spans="1:5">
      <c r="A163" s="14">
        <v>160</v>
      </c>
      <c r="B163" t="s">
        <v>5706</v>
      </c>
      <c r="C163" t="s">
        <v>2738</v>
      </c>
      <c r="D163" s="569" t="s">
        <v>2738</v>
      </c>
      <c r="E163" s="570" t="s">
        <v>2738</v>
      </c>
    </row>
    <row r="164" spans="1:5">
      <c r="A164" s="14">
        <v>161</v>
      </c>
      <c r="B164" t="s">
        <v>5707</v>
      </c>
      <c r="C164" t="s">
        <v>2738</v>
      </c>
      <c r="D164" s="569" t="s">
        <v>2738</v>
      </c>
      <c r="E164" s="570" t="s">
        <v>2738</v>
      </c>
    </row>
    <row r="165" spans="1:5">
      <c r="A165" s="14">
        <v>163</v>
      </c>
      <c r="B165" t="s">
        <v>5708</v>
      </c>
      <c r="C165" t="s">
        <v>2738</v>
      </c>
      <c r="D165" s="569" t="s">
        <v>2738</v>
      </c>
      <c r="E165" s="570" t="s">
        <v>2738</v>
      </c>
    </row>
    <row r="166" spans="1:5">
      <c r="A166" s="14">
        <v>162</v>
      </c>
      <c r="B166" t="s">
        <v>5709</v>
      </c>
      <c r="C166" t="s">
        <v>5709</v>
      </c>
      <c r="D166" s="569">
        <v>8.85</v>
      </c>
      <c r="E166" s="570">
        <v>150.78</v>
      </c>
    </row>
    <row r="167" spans="1:5">
      <c r="A167" s="14">
        <v>299</v>
      </c>
      <c r="B167" t="s">
        <v>5710</v>
      </c>
      <c r="C167" t="s">
        <v>2738</v>
      </c>
      <c r="D167" s="569" t="s">
        <v>2738</v>
      </c>
      <c r="E167" s="570" t="s">
        <v>2738</v>
      </c>
    </row>
    <row r="168" spans="1:5">
      <c r="A168" s="14">
        <v>221</v>
      </c>
      <c r="B168" t="s">
        <v>5711</v>
      </c>
      <c r="C168" t="s">
        <v>5711</v>
      </c>
      <c r="D168" s="569">
        <v>1.39</v>
      </c>
      <c r="E168" s="570">
        <v>3524.72</v>
      </c>
    </row>
    <row r="169" spans="1:5">
      <c r="A169" s="14">
        <v>164</v>
      </c>
      <c r="B169" t="s">
        <v>5712</v>
      </c>
      <c r="C169" t="s">
        <v>2738</v>
      </c>
      <c r="D169" s="569" t="s">
        <v>2738</v>
      </c>
      <c r="E169" s="570" t="s">
        <v>2738</v>
      </c>
    </row>
    <row r="170" spans="1:5">
      <c r="A170" s="14">
        <v>165</v>
      </c>
      <c r="B170" t="s">
        <v>5713</v>
      </c>
      <c r="C170" t="s">
        <v>5713</v>
      </c>
      <c r="D170" s="569">
        <v>1.9</v>
      </c>
      <c r="E170" s="570">
        <v>28349.19</v>
      </c>
    </row>
    <row r="171" spans="1:5">
      <c r="A171" s="14">
        <v>180</v>
      </c>
      <c r="B171" t="s">
        <v>5714</v>
      </c>
      <c r="C171" t="s">
        <v>2738</v>
      </c>
      <c r="D171" s="569" t="s">
        <v>2738</v>
      </c>
      <c r="E171" s="570" t="s">
        <v>2738</v>
      </c>
    </row>
    <row r="172" spans="1:5">
      <c r="A172" s="14">
        <v>166</v>
      </c>
      <c r="B172" t="s">
        <v>5715</v>
      </c>
      <c r="C172" t="s">
        <v>5715</v>
      </c>
      <c r="D172" s="569">
        <v>14.57</v>
      </c>
      <c r="E172" s="570">
        <v>725.82</v>
      </c>
    </row>
    <row r="173" spans="1:5">
      <c r="A173" s="14">
        <v>168</v>
      </c>
      <c r="B173" t="s">
        <v>5716</v>
      </c>
      <c r="C173" t="s">
        <v>5716</v>
      </c>
      <c r="D173" s="569">
        <v>19.260000000000002</v>
      </c>
      <c r="E173" s="570">
        <v>7572.97</v>
      </c>
    </row>
    <row r="174" spans="1:5">
      <c r="A174" s="14">
        <v>169</v>
      </c>
      <c r="B174" t="s">
        <v>5717</v>
      </c>
      <c r="C174" t="s">
        <v>5717</v>
      </c>
      <c r="D174" s="569">
        <v>12.25</v>
      </c>
      <c r="E174" s="570">
        <v>16372.41</v>
      </c>
    </row>
    <row r="175" spans="1:5">
      <c r="A175" s="14">
        <v>170</v>
      </c>
      <c r="B175" t="s">
        <v>5718</v>
      </c>
      <c r="C175" t="s">
        <v>5718</v>
      </c>
      <c r="D175" s="569">
        <v>11.22</v>
      </c>
      <c r="E175" s="570">
        <v>22805.46</v>
      </c>
    </row>
    <row r="176" spans="1:5">
      <c r="A176" s="14">
        <v>171</v>
      </c>
      <c r="B176" t="s">
        <v>5719</v>
      </c>
      <c r="C176" t="s">
        <v>5719</v>
      </c>
      <c r="D176" s="569">
        <v>13.38</v>
      </c>
      <c r="E176" s="570">
        <v>2159.64</v>
      </c>
    </row>
    <row r="177" spans="1:5">
      <c r="A177" s="14">
        <v>172</v>
      </c>
      <c r="B177" t="s">
        <v>5720</v>
      </c>
      <c r="C177" t="s">
        <v>2738</v>
      </c>
      <c r="D177" s="569" t="s">
        <v>2738</v>
      </c>
      <c r="E177" s="570" t="s">
        <v>2738</v>
      </c>
    </row>
    <row r="178" spans="1:5">
      <c r="A178" s="14">
        <v>173</v>
      </c>
      <c r="B178" t="s">
        <v>5721</v>
      </c>
      <c r="C178" t="s">
        <v>5721</v>
      </c>
      <c r="D178" s="569">
        <v>13.05</v>
      </c>
      <c r="E178" s="570">
        <v>3243.61</v>
      </c>
    </row>
    <row r="179" spans="1:5">
      <c r="A179" s="14">
        <v>174</v>
      </c>
      <c r="B179" t="s">
        <v>5722</v>
      </c>
      <c r="C179" t="s">
        <v>5722</v>
      </c>
      <c r="D179" s="569">
        <v>11.89</v>
      </c>
      <c r="E179" s="570">
        <v>907.53</v>
      </c>
    </row>
    <row r="180" spans="1:5">
      <c r="A180" s="14">
        <v>177</v>
      </c>
      <c r="B180" t="s">
        <v>5723</v>
      </c>
      <c r="C180" t="s">
        <v>5723</v>
      </c>
      <c r="D180" s="569">
        <v>0</v>
      </c>
      <c r="E180" s="570" t="s">
        <v>2738</v>
      </c>
    </row>
    <row r="181" spans="1:5">
      <c r="A181" s="14">
        <v>179</v>
      </c>
      <c r="B181" t="s">
        <v>5724</v>
      </c>
      <c r="C181" t="s">
        <v>5724</v>
      </c>
      <c r="D181" s="569">
        <v>0.05</v>
      </c>
      <c r="E181" s="570">
        <v>230.48</v>
      </c>
    </row>
    <row r="182" spans="1:5">
      <c r="A182" s="14">
        <v>182</v>
      </c>
      <c r="B182" t="s">
        <v>5725</v>
      </c>
      <c r="C182" t="s">
        <v>2738</v>
      </c>
      <c r="D182" s="569" t="s">
        <v>2738</v>
      </c>
      <c r="E182" s="570" t="s">
        <v>2738</v>
      </c>
    </row>
    <row r="183" spans="1:5">
      <c r="A183" s="14">
        <v>183</v>
      </c>
      <c r="B183" t="s">
        <v>5726</v>
      </c>
      <c r="C183" t="s">
        <v>5726</v>
      </c>
      <c r="D183" s="569">
        <v>11.01</v>
      </c>
      <c r="E183" s="570">
        <v>2273.1999999999998</v>
      </c>
    </row>
    <row r="184" spans="1:5">
      <c r="A184" s="14">
        <v>185</v>
      </c>
      <c r="B184" t="s">
        <v>5727</v>
      </c>
      <c r="C184" t="s">
        <v>2738</v>
      </c>
      <c r="D184" s="569">
        <v>7.19</v>
      </c>
      <c r="E184" s="570" t="s">
        <v>2738</v>
      </c>
    </row>
    <row r="185" spans="1:5">
      <c r="A185" s="14">
        <v>184</v>
      </c>
      <c r="B185" t="s">
        <v>5728</v>
      </c>
      <c r="C185" t="s">
        <v>5728</v>
      </c>
      <c r="D185" s="569">
        <v>19.47</v>
      </c>
      <c r="E185" s="570">
        <v>745.72</v>
      </c>
    </row>
    <row r="186" spans="1:5">
      <c r="A186" s="14">
        <v>187</v>
      </c>
      <c r="B186" t="s">
        <v>5729</v>
      </c>
      <c r="C186" t="s">
        <v>2738</v>
      </c>
      <c r="D186" s="569" t="s">
        <v>2738</v>
      </c>
      <c r="E186" s="570" t="s">
        <v>2738</v>
      </c>
    </row>
    <row r="187" spans="1:5">
      <c r="A187" s="14">
        <v>188</v>
      </c>
      <c r="B187" t="s">
        <v>5730</v>
      </c>
      <c r="C187" t="s">
        <v>2738</v>
      </c>
      <c r="D187" s="569" t="s">
        <v>2738</v>
      </c>
      <c r="E187" s="570" t="s">
        <v>2738</v>
      </c>
    </row>
    <row r="188" spans="1:5">
      <c r="A188" s="14">
        <v>189</v>
      </c>
      <c r="B188" t="s">
        <v>5731</v>
      </c>
      <c r="C188" t="s">
        <v>2738</v>
      </c>
      <c r="D188" s="569" t="s">
        <v>2738</v>
      </c>
      <c r="E188" s="570" t="s">
        <v>2738</v>
      </c>
    </row>
    <row r="189" spans="1:5">
      <c r="A189" s="14">
        <v>190</v>
      </c>
      <c r="B189" t="s">
        <v>5732</v>
      </c>
      <c r="C189" t="s">
        <v>2738</v>
      </c>
      <c r="D189" s="569" t="s">
        <v>2738</v>
      </c>
      <c r="E189" s="570" t="s">
        <v>2738</v>
      </c>
    </row>
    <row r="190" spans="1:5">
      <c r="A190" s="14">
        <v>191</v>
      </c>
      <c r="B190" t="s">
        <v>5733</v>
      </c>
      <c r="C190" t="s">
        <v>2738</v>
      </c>
      <c r="D190" s="569" t="s">
        <v>2738</v>
      </c>
      <c r="E190" s="570" t="s">
        <v>2738</v>
      </c>
    </row>
    <row r="191" spans="1:5">
      <c r="A191" s="14">
        <v>244</v>
      </c>
      <c r="B191" t="s">
        <v>5734</v>
      </c>
      <c r="C191" t="s">
        <v>2738</v>
      </c>
      <c r="D191" s="569" t="s">
        <v>2738</v>
      </c>
      <c r="E191" s="570" t="s">
        <v>2738</v>
      </c>
    </row>
    <row r="192" spans="1:5">
      <c r="A192" s="14">
        <v>192</v>
      </c>
      <c r="B192" t="s">
        <v>5735</v>
      </c>
      <c r="C192" t="s">
        <v>5735</v>
      </c>
      <c r="D192" s="569">
        <v>0</v>
      </c>
      <c r="E192" s="570" t="s">
        <v>2738</v>
      </c>
    </row>
    <row r="193" spans="1:5">
      <c r="A193" s="14">
        <v>193</v>
      </c>
      <c r="B193" t="s">
        <v>5736</v>
      </c>
      <c r="C193" t="s">
        <v>2738</v>
      </c>
      <c r="D193" s="569" t="s">
        <v>2738</v>
      </c>
      <c r="E193" s="570" t="s">
        <v>2738</v>
      </c>
    </row>
    <row r="194" spans="1:5">
      <c r="A194" s="14">
        <v>194</v>
      </c>
      <c r="B194" t="s">
        <v>5737</v>
      </c>
      <c r="C194" t="s">
        <v>5737</v>
      </c>
      <c r="D194" s="569">
        <v>0.27</v>
      </c>
      <c r="E194" s="570">
        <v>44468.22</v>
      </c>
    </row>
    <row r="195" spans="1:5">
      <c r="A195" s="14">
        <v>195</v>
      </c>
      <c r="B195" t="s">
        <v>5738</v>
      </c>
      <c r="C195" t="s">
        <v>5738</v>
      </c>
      <c r="D195" s="569">
        <v>5.86</v>
      </c>
      <c r="E195" s="570">
        <v>7445.03</v>
      </c>
    </row>
    <row r="196" spans="1:5">
      <c r="A196" s="14">
        <v>272</v>
      </c>
      <c r="B196" t="s">
        <v>5739</v>
      </c>
      <c r="C196" t="s">
        <v>2738</v>
      </c>
      <c r="D196" s="569" t="s">
        <v>2738</v>
      </c>
      <c r="E196" s="570" t="s">
        <v>2738</v>
      </c>
    </row>
    <row r="197" spans="1:5">
      <c r="A197" s="14">
        <v>186</v>
      </c>
      <c r="B197" t="s">
        <v>5740</v>
      </c>
      <c r="C197" t="s">
        <v>2738</v>
      </c>
      <c r="D197" s="569" t="s">
        <v>2738</v>
      </c>
      <c r="E197" s="570" t="s">
        <v>2738</v>
      </c>
    </row>
    <row r="198" spans="1:5">
      <c r="A198" s="14">
        <v>196</v>
      </c>
      <c r="B198" t="s">
        <v>5741</v>
      </c>
      <c r="C198" t="s">
        <v>2738</v>
      </c>
      <c r="D198" s="569" t="s">
        <v>2738</v>
      </c>
      <c r="E198" s="570" t="s">
        <v>2738</v>
      </c>
    </row>
    <row r="199" spans="1:5">
      <c r="A199" s="14">
        <v>197</v>
      </c>
      <c r="B199" t="s">
        <v>5742</v>
      </c>
      <c r="C199" t="s">
        <v>5742</v>
      </c>
      <c r="D199" s="569">
        <v>13.13</v>
      </c>
      <c r="E199" s="570">
        <v>1957.02</v>
      </c>
    </row>
    <row r="200" spans="1:5">
      <c r="A200" s="14">
        <v>200</v>
      </c>
      <c r="B200" t="s">
        <v>5743</v>
      </c>
      <c r="C200" t="s">
        <v>5743</v>
      </c>
      <c r="D200" s="569">
        <v>20.32</v>
      </c>
      <c r="E200" s="570">
        <v>0.09</v>
      </c>
    </row>
    <row r="201" spans="1:5">
      <c r="A201" s="14">
        <v>199</v>
      </c>
      <c r="B201" t="s">
        <v>5744</v>
      </c>
      <c r="C201" t="s">
        <v>5744</v>
      </c>
      <c r="D201" s="569">
        <v>12.83</v>
      </c>
      <c r="E201" s="570">
        <v>270.97000000000003</v>
      </c>
    </row>
    <row r="202" spans="1:5">
      <c r="A202" s="14">
        <v>198</v>
      </c>
      <c r="B202" t="s">
        <v>5745</v>
      </c>
      <c r="C202" t="s">
        <v>5745</v>
      </c>
      <c r="D202" s="569">
        <v>11.71</v>
      </c>
      <c r="E202" s="570">
        <v>94.51</v>
      </c>
    </row>
    <row r="203" spans="1:5">
      <c r="A203" s="14">
        <v>25</v>
      </c>
      <c r="B203" t="s">
        <v>5746</v>
      </c>
      <c r="C203" t="s">
        <v>2738</v>
      </c>
      <c r="D203" s="569" t="s">
        <v>2738</v>
      </c>
      <c r="E203" s="570" t="s">
        <v>2738</v>
      </c>
    </row>
    <row r="204" spans="1:5">
      <c r="A204" s="14">
        <v>201</v>
      </c>
      <c r="B204" t="s">
        <v>5747</v>
      </c>
      <c r="C204" t="s">
        <v>5747</v>
      </c>
      <c r="D204" s="569">
        <v>1.83</v>
      </c>
      <c r="E204" s="570">
        <v>39035.43</v>
      </c>
    </row>
    <row r="205" spans="1:5">
      <c r="A205" s="14">
        <v>202</v>
      </c>
      <c r="B205" t="s">
        <v>5748</v>
      </c>
      <c r="C205" t="s">
        <v>5748</v>
      </c>
      <c r="D205" s="569">
        <v>4.91</v>
      </c>
      <c r="E205" s="570">
        <v>66056.639999999999</v>
      </c>
    </row>
    <row r="206" spans="1:5">
      <c r="A206" s="14">
        <v>203</v>
      </c>
      <c r="B206" t="s">
        <v>5749</v>
      </c>
      <c r="C206" t="s">
        <v>5749</v>
      </c>
      <c r="D206" s="569">
        <v>7.51</v>
      </c>
      <c r="E206" s="570">
        <v>8029.92</v>
      </c>
    </row>
    <row r="207" spans="1:5">
      <c r="A207" s="14">
        <v>38</v>
      </c>
      <c r="B207" t="s">
        <v>5750</v>
      </c>
      <c r="C207" t="s">
        <v>5750</v>
      </c>
      <c r="D207" s="569">
        <v>12.85</v>
      </c>
      <c r="E207" s="570">
        <v>980.61</v>
      </c>
    </row>
    <row r="208" spans="1:5">
      <c r="A208" s="14">
        <v>206</v>
      </c>
      <c r="B208" t="s">
        <v>5751</v>
      </c>
      <c r="C208" t="s">
        <v>5751</v>
      </c>
      <c r="D208" s="569">
        <v>3.87</v>
      </c>
      <c r="E208" s="570">
        <v>64456.14</v>
      </c>
    </row>
    <row r="209" spans="1:5">
      <c r="A209" s="14">
        <v>207</v>
      </c>
      <c r="B209" t="s">
        <v>5752</v>
      </c>
      <c r="C209" t="s">
        <v>5752</v>
      </c>
      <c r="D209" s="569">
        <v>12.2</v>
      </c>
      <c r="E209" s="570">
        <v>226.55</v>
      </c>
    </row>
    <row r="210" spans="1:5">
      <c r="A210" s="14">
        <v>209</v>
      </c>
      <c r="B210" t="s">
        <v>8836</v>
      </c>
      <c r="C210" t="s">
        <v>8836</v>
      </c>
      <c r="D210" s="569">
        <v>8.33</v>
      </c>
      <c r="E210" s="570">
        <v>640.63</v>
      </c>
    </row>
    <row r="211" spans="1:5">
      <c r="A211" s="14">
        <v>210</v>
      </c>
      <c r="B211" t="s">
        <v>5753</v>
      </c>
      <c r="C211" t="s">
        <v>5753</v>
      </c>
      <c r="D211" s="569">
        <v>10.02</v>
      </c>
      <c r="E211" s="570">
        <v>343.66</v>
      </c>
    </row>
    <row r="212" spans="1:5">
      <c r="A212" s="14">
        <v>211</v>
      </c>
      <c r="B212" t="s">
        <v>5754</v>
      </c>
      <c r="C212" t="s">
        <v>5754</v>
      </c>
      <c r="D212" s="569">
        <v>13.69</v>
      </c>
      <c r="E212" s="570">
        <v>762.08</v>
      </c>
    </row>
    <row r="213" spans="1:5">
      <c r="A213" s="14">
        <v>212</v>
      </c>
      <c r="B213" t="s">
        <v>5755</v>
      </c>
      <c r="C213" t="s">
        <v>2738</v>
      </c>
      <c r="D213" s="569">
        <v>3.61</v>
      </c>
      <c r="E213" s="570" t="s">
        <v>2738</v>
      </c>
    </row>
    <row r="214" spans="1:5">
      <c r="A214" s="14">
        <v>208</v>
      </c>
      <c r="B214" t="s">
        <v>5757</v>
      </c>
      <c r="C214" t="s">
        <v>5757</v>
      </c>
      <c r="D214" s="569">
        <v>3.91</v>
      </c>
      <c r="E214" s="570">
        <v>6607.95</v>
      </c>
    </row>
    <row r="215" spans="1:5">
      <c r="A215" s="14">
        <v>215</v>
      </c>
      <c r="B215" t="s">
        <v>5758</v>
      </c>
      <c r="C215" t="s">
        <v>2738</v>
      </c>
      <c r="D215" s="569">
        <v>9.15</v>
      </c>
      <c r="E215" s="570" t="s">
        <v>2738</v>
      </c>
    </row>
    <row r="216" spans="1:5">
      <c r="A216" s="14">
        <v>216</v>
      </c>
      <c r="B216" t="s">
        <v>5759</v>
      </c>
      <c r="C216" t="s">
        <v>5759</v>
      </c>
      <c r="D216" s="569">
        <v>12.16</v>
      </c>
      <c r="E216" s="570">
        <v>2877.26</v>
      </c>
    </row>
    <row r="217" spans="1:5">
      <c r="A217" s="14">
        <v>176</v>
      </c>
      <c r="B217" t="s">
        <v>5760</v>
      </c>
      <c r="C217" t="s">
        <v>2738</v>
      </c>
      <c r="D217" s="569" t="s">
        <v>2738</v>
      </c>
      <c r="E217" s="570" t="s">
        <v>2738</v>
      </c>
    </row>
    <row r="218" spans="1:5">
      <c r="A218" s="14">
        <v>217</v>
      </c>
      <c r="B218" t="s">
        <v>5761</v>
      </c>
      <c r="C218" t="s">
        <v>5761</v>
      </c>
      <c r="D218" s="569">
        <v>10.81</v>
      </c>
      <c r="E218" s="570">
        <v>3715.43</v>
      </c>
    </row>
    <row r="219" spans="1:5">
      <c r="A219" s="14">
        <v>218</v>
      </c>
      <c r="B219" t="s">
        <v>5762</v>
      </c>
      <c r="C219" t="s">
        <v>2738</v>
      </c>
      <c r="D219" s="569" t="s">
        <v>2738</v>
      </c>
      <c r="E219" s="570" t="s">
        <v>2738</v>
      </c>
    </row>
    <row r="220" spans="1:5">
      <c r="A220" s="14">
        <v>219</v>
      </c>
      <c r="B220" t="s">
        <v>5763</v>
      </c>
      <c r="C220" t="s">
        <v>2738</v>
      </c>
      <c r="D220" s="569" t="s">
        <v>2738</v>
      </c>
      <c r="E220" s="570" t="s">
        <v>2738</v>
      </c>
    </row>
    <row r="221" spans="1:5">
      <c r="A221" s="14">
        <v>220</v>
      </c>
      <c r="B221" t="s">
        <v>5764</v>
      </c>
      <c r="C221" t="s">
        <v>5764</v>
      </c>
      <c r="D221" s="569">
        <v>15.96</v>
      </c>
      <c r="E221" s="570">
        <v>16.28</v>
      </c>
    </row>
    <row r="222" spans="1:5">
      <c r="A222" s="14">
        <v>222</v>
      </c>
      <c r="B222" t="s">
        <v>5765</v>
      </c>
      <c r="C222" t="s">
        <v>5765</v>
      </c>
      <c r="D222" s="569">
        <v>2.4900000000000002</v>
      </c>
      <c r="E222" s="570">
        <v>2650.87</v>
      </c>
    </row>
    <row r="223" spans="1:5">
      <c r="A223" s="14">
        <v>223</v>
      </c>
      <c r="B223" t="s">
        <v>5766</v>
      </c>
      <c r="C223" t="s">
        <v>5766</v>
      </c>
      <c r="D223" s="569">
        <v>8.1999999999999993</v>
      </c>
      <c r="E223" s="570">
        <v>26594.06</v>
      </c>
    </row>
    <row r="224" spans="1:5">
      <c r="A224" s="14">
        <v>213</v>
      </c>
      <c r="B224" t="s">
        <v>5767</v>
      </c>
      <c r="C224" t="s">
        <v>5767</v>
      </c>
      <c r="D224" s="569">
        <v>4.3499999999999996</v>
      </c>
      <c r="E224" s="570">
        <v>26059.25</v>
      </c>
    </row>
    <row r="225" spans="1:5">
      <c r="A225" s="14">
        <v>224</v>
      </c>
      <c r="B225" t="s">
        <v>5768</v>
      </c>
      <c r="C225" t="s">
        <v>2738</v>
      </c>
      <c r="D225" s="569" t="s">
        <v>2738</v>
      </c>
      <c r="E225" s="570" t="s">
        <v>2738</v>
      </c>
    </row>
    <row r="226" spans="1:5">
      <c r="A226" s="14">
        <v>227</v>
      </c>
      <c r="B226" t="s">
        <v>5769</v>
      </c>
      <c r="C226" t="s">
        <v>2738</v>
      </c>
      <c r="D226" s="569" t="s">
        <v>2738</v>
      </c>
      <c r="E226" s="570" t="s">
        <v>2738</v>
      </c>
    </row>
    <row r="227" spans="1:5">
      <c r="A227" s="14">
        <v>226</v>
      </c>
      <c r="B227" t="s">
        <v>5770</v>
      </c>
      <c r="C227" t="s">
        <v>5770</v>
      </c>
      <c r="D227" s="569">
        <v>14.05</v>
      </c>
      <c r="E227" s="570">
        <v>4884.59</v>
      </c>
    </row>
    <row r="228" spans="1:5">
      <c r="A228" s="14">
        <v>230</v>
      </c>
      <c r="B228" t="s">
        <v>5771</v>
      </c>
      <c r="C228" t="s">
        <v>5771</v>
      </c>
      <c r="D228" s="569">
        <v>9.85</v>
      </c>
      <c r="E228" s="570">
        <v>8992.59</v>
      </c>
    </row>
    <row r="229" spans="1:5">
      <c r="A229" s="14">
        <v>225</v>
      </c>
      <c r="B229" t="s">
        <v>5772</v>
      </c>
      <c r="C229" t="s">
        <v>5772</v>
      </c>
      <c r="D229" s="569">
        <v>0.5</v>
      </c>
      <c r="E229" s="570">
        <v>452.18</v>
      </c>
    </row>
    <row r="230" spans="1:5">
      <c r="A230" s="14">
        <v>229</v>
      </c>
      <c r="B230" t="s">
        <v>5773</v>
      </c>
      <c r="C230" t="s">
        <v>5773</v>
      </c>
      <c r="D230" s="569">
        <v>9.3000000000000007</v>
      </c>
      <c r="E230" s="570">
        <v>2264.59</v>
      </c>
    </row>
    <row r="231" spans="1:5">
      <c r="A231" s="14">
        <v>231</v>
      </c>
      <c r="B231" t="s">
        <v>5774</v>
      </c>
      <c r="C231" t="s">
        <v>5969</v>
      </c>
      <c r="D231" s="569">
        <v>4.4800000000000004</v>
      </c>
      <c r="E231" s="570">
        <v>257857.88</v>
      </c>
    </row>
    <row r="232" spans="1:5">
      <c r="A232" s="14">
        <v>234</v>
      </c>
      <c r="B232" t="s">
        <v>5775</v>
      </c>
      <c r="C232" t="s">
        <v>5775</v>
      </c>
      <c r="D232" s="569">
        <v>17.95</v>
      </c>
      <c r="E232" s="570">
        <v>9505.17</v>
      </c>
    </row>
    <row r="233" spans="1:5">
      <c r="A233" s="14">
        <v>240</v>
      </c>
      <c r="B233" t="s">
        <v>5957</v>
      </c>
      <c r="C233" t="s">
        <v>2738</v>
      </c>
      <c r="D233" s="569" t="s">
        <v>2738</v>
      </c>
      <c r="E233" s="570" t="s">
        <v>2738</v>
      </c>
    </row>
    <row r="234" spans="1:5">
      <c r="A234" s="14">
        <v>228</v>
      </c>
      <c r="B234" t="s">
        <v>5776</v>
      </c>
      <c r="C234"/>
      <c r="D234" s="569">
        <v>3.1512872894254671</v>
      </c>
      <c r="E234" s="570">
        <f>E252</f>
        <v>213553.84000000003</v>
      </c>
    </row>
    <row r="235" spans="1:5">
      <c r="A235" s="14">
        <v>235</v>
      </c>
      <c r="B235" t="s">
        <v>5777</v>
      </c>
      <c r="C235" t="s">
        <v>5777</v>
      </c>
      <c r="D235" s="569">
        <v>3.46</v>
      </c>
      <c r="E235" s="570">
        <v>19532.439999999999</v>
      </c>
    </row>
    <row r="236" spans="1:5">
      <c r="A236" s="14">
        <v>155</v>
      </c>
      <c r="B236" t="s">
        <v>5778</v>
      </c>
      <c r="C236" t="s">
        <v>2738</v>
      </c>
      <c r="D236" s="569" t="s">
        <v>2738</v>
      </c>
      <c r="E236" s="570" t="s">
        <v>2738</v>
      </c>
    </row>
    <row r="237" spans="1:5">
      <c r="A237" s="14">
        <v>236</v>
      </c>
      <c r="B237" t="s">
        <v>5779</v>
      </c>
      <c r="C237" t="s">
        <v>2738</v>
      </c>
      <c r="D237" s="569">
        <v>12.85</v>
      </c>
      <c r="E237" s="570" t="s">
        <v>2738</v>
      </c>
    </row>
    <row r="238" spans="1:5">
      <c r="A238" s="14">
        <v>237</v>
      </c>
      <c r="B238" t="s">
        <v>5780</v>
      </c>
      <c r="C238" t="s">
        <v>2738</v>
      </c>
      <c r="D238" s="569">
        <v>16.899999999999999</v>
      </c>
      <c r="E238" s="570" t="s">
        <v>2738</v>
      </c>
    </row>
    <row r="239" spans="1:5">
      <c r="A239" s="14">
        <v>242</v>
      </c>
      <c r="B239" t="s">
        <v>5781</v>
      </c>
      <c r="C239" t="s">
        <v>2738</v>
      </c>
      <c r="D239" s="569" t="s">
        <v>2738</v>
      </c>
      <c r="E239" s="570" t="s">
        <v>2738</v>
      </c>
    </row>
    <row r="240" spans="1:5">
      <c r="A240" s="14">
        <v>243</v>
      </c>
      <c r="B240" t="s">
        <v>5782</v>
      </c>
      <c r="C240" t="s">
        <v>2738</v>
      </c>
      <c r="D240" s="569" t="s">
        <v>2738</v>
      </c>
      <c r="E240" s="570" t="s">
        <v>2738</v>
      </c>
    </row>
    <row r="241" spans="1:5">
      <c r="A241" s="14">
        <v>205</v>
      </c>
      <c r="B241" t="s">
        <v>5783</v>
      </c>
      <c r="C241" t="s">
        <v>2738</v>
      </c>
      <c r="D241" s="569" t="s">
        <v>2738</v>
      </c>
      <c r="E241" s="570" t="s">
        <v>2738</v>
      </c>
    </row>
    <row r="242" spans="1:5">
      <c r="A242" s="14">
        <v>249</v>
      </c>
      <c r="B242" t="s">
        <v>5784</v>
      </c>
      <c r="C242" t="s">
        <v>5784</v>
      </c>
      <c r="D242" s="569">
        <v>1.79</v>
      </c>
      <c r="E242" s="570">
        <v>18171.580000000002</v>
      </c>
    </row>
    <row r="243" spans="1:5">
      <c r="A243" s="14">
        <v>248</v>
      </c>
      <c r="B243" t="s">
        <v>5785</v>
      </c>
      <c r="C243" t="s">
        <v>2738</v>
      </c>
      <c r="D243" s="569">
        <v>12.144741987377801</v>
      </c>
      <c r="E243" s="570">
        <f>E266</f>
        <v>484.86</v>
      </c>
    </row>
    <row r="244" spans="1:5">
      <c r="A244" s="14">
        <v>251</v>
      </c>
      <c r="B244" t="s">
        <v>5786</v>
      </c>
      <c r="C244" t="s">
        <v>5786</v>
      </c>
      <c r="D244" s="569">
        <v>9.01</v>
      </c>
      <c r="E244" s="570">
        <v>32402.92</v>
      </c>
    </row>
    <row r="245" spans="1:5">
      <c r="A245" s="14">
        <v>351</v>
      </c>
      <c r="B245" s="13" t="s">
        <v>5594</v>
      </c>
      <c r="C245"/>
      <c r="D245" s="569"/>
      <c r="E245" s="570"/>
    </row>
    <row r="246" spans="1:5">
      <c r="A246" s="14">
        <v>181</v>
      </c>
      <c r="B246" t="s">
        <v>5787</v>
      </c>
      <c r="C246" t="s">
        <v>5787</v>
      </c>
      <c r="D246" s="569">
        <v>4.92</v>
      </c>
      <c r="E246" s="570">
        <v>19209.95</v>
      </c>
    </row>
    <row r="247" spans="1:5">
      <c r="A247" s="14"/>
      <c r="B247"/>
      <c r="C247"/>
      <c r="D247" s="569"/>
      <c r="E247" s="570"/>
    </row>
    <row r="248" spans="1:5">
      <c r="A248" s="14">
        <v>5001</v>
      </c>
      <c r="B248" t="s">
        <v>2966</v>
      </c>
      <c r="C248" t="s">
        <v>3843</v>
      </c>
      <c r="D248" s="569">
        <v>6.19</v>
      </c>
      <c r="E248" s="570">
        <v>3220509.3</v>
      </c>
    </row>
    <row r="249" spans="1:5">
      <c r="A249" s="14"/>
      <c r="B249"/>
      <c r="C249"/>
      <c r="D249" s="2"/>
      <c r="E249" s="54"/>
    </row>
    <row r="250" spans="1:5">
      <c r="A250" s="14"/>
      <c r="B250"/>
      <c r="C250"/>
      <c r="D250" s="2"/>
      <c r="E250" s="54"/>
    </row>
    <row r="251" spans="1:5">
      <c r="A251" s="14"/>
      <c r="B251"/>
      <c r="C251"/>
      <c r="D251" s="2"/>
      <c r="E251" s="54"/>
    </row>
    <row r="252" spans="1:5">
      <c r="A252" s="472">
        <v>228</v>
      </c>
      <c r="B252" s="239" t="s">
        <v>5776</v>
      </c>
      <c r="C252" s="473"/>
      <c r="D252" s="473">
        <f>SUMPRODUCT(D253:D264,E253:E264)/E252</f>
        <v>3.1512872894254671</v>
      </c>
      <c r="E252" s="474">
        <f>SUM(E253:E264)</f>
        <v>213553.84000000003</v>
      </c>
    </row>
    <row r="253" spans="1:5">
      <c r="A253" s="14">
        <v>1</v>
      </c>
      <c r="B253" t="s">
        <v>5561</v>
      </c>
      <c r="C253"/>
      <c r="D253" s="2">
        <f t="shared" ref="D253:D260" si="0">VLOOKUP(A253,A6:E248,4,FALSE)</f>
        <v>9.06</v>
      </c>
      <c r="E253" s="54">
        <f t="shared" ref="E253:E260" si="1">VLOOKUP(B253,B6:E248,4,FALSE)</f>
        <v>532.41</v>
      </c>
    </row>
    <row r="254" spans="1:5">
      <c r="A254" s="14">
        <v>52</v>
      </c>
      <c r="B254" t="s">
        <v>5565</v>
      </c>
      <c r="C254"/>
      <c r="D254" s="2">
        <f t="shared" si="0"/>
        <v>9.6999999999999993</v>
      </c>
      <c r="E254" s="54">
        <f t="shared" si="1"/>
        <v>1971.66</v>
      </c>
    </row>
    <row r="255" spans="1:5">
      <c r="A255" s="14">
        <v>57</v>
      </c>
      <c r="B255" t="s">
        <v>5570</v>
      </c>
      <c r="C255"/>
      <c r="D255" s="2">
        <f t="shared" si="0"/>
        <v>12.27</v>
      </c>
      <c r="E255" s="54">
        <f t="shared" si="1"/>
        <v>4250.1899999999996</v>
      </c>
    </row>
    <row r="256" spans="1:5">
      <c r="A256" s="14">
        <v>63</v>
      </c>
      <c r="B256" t="s">
        <v>5618</v>
      </c>
      <c r="C256"/>
      <c r="D256" s="2">
        <f t="shared" si="0"/>
        <v>5.31</v>
      </c>
      <c r="E256" s="54">
        <f t="shared" si="1"/>
        <v>771.98</v>
      </c>
    </row>
    <row r="257" spans="1:5">
      <c r="A257" s="14">
        <v>73</v>
      </c>
      <c r="B257" t="s">
        <v>5630</v>
      </c>
      <c r="C257"/>
      <c r="D257" s="2">
        <f t="shared" si="0"/>
        <v>11.11</v>
      </c>
      <c r="E257" s="54">
        <f t="shared" si="1"/>
        <v>1022.61</v>
      </c>
    </row>
    <row r="258" spans="1:5">
      <c r="A258" s="14">
        <v>108</v>
      </c>
      <c r="B258" t="s">
        <v>5659</v>
      </c>
      <c r="C258"/>
      <c r="D258" s="2">
        <f t="shared" si="0"/>
        <v>2.29</v>
      </c>
      <c r="E258" s="54">
        <f t="shared" si="1"/>
        <v>174091.51</v>
      </c>
    </row>
    <row r="259" spans="1:5">
      <c r="A259" s="14">
        <v>119</v>
      </c>
      <c r="B259" t="s">
        <v>5667</v>
      </c>
      <c r="C259"/>
      <c r="D259" s="2">
        <f t="shared" si="0"/>
        <v>9.86</v>
      </c>
      <c r="E259" s="54">
        <f t="shared" si="1"/>
        <v>1098.4100000000001</v>
      </c>
    </row>
    <row r="260" spans="1:5">
      <c r="A260" s="14">
        <v>126</v>
      </c>
      <c r="B260" t="s">
        <v>5673</v>
      </c>
      <c r="C260"/>
      <c r="D260" s="2">
        <f t="shared" si="0"/>
        <v>12.21</v>
      </c>
      <c r="E260" s="54">
        <f t="shared" si="1"/>
        <v>1290.04</v>
      </c>
    </row>
    <row r="261" spans="1:5">
      <c r="A261" s="14">
        <v>146</v>
      </c>
      <c r="B261" t="s">
        <v>5689</v>
      </c>
      <c r="C261"/>
      <c r="D261" s="2"/>
      <c r="E261" s="54"/>
    </row>
    <row r="262" spans="1:5">
      <c r="A262" s="14">
        <v>185</v>
      </c>
      <c r="B262" t="s">
        <v>5727</v>
      </c>
      <c r="C262"/>
      <c r="D262" s="2"/>
      <c r="E262" s="54"/>
    </row>
    <row r="263" spans="1:5">
      <c r="A263" s="14">
        <v>230</v>
      </c>
      <c r="B263" t="s">
        <v>5771</v>
      </c>
      <c r="C263"/>
      <c r="D263" s="2">
        <f>VLOOKUP(A263,A16:E258,4,FALSE)</f>
        <v>9.85</v>
      </c>
      <c r="E263" s="54">
        <f>VLOOKUP(B263,B16:E258,4,FALSE)</f>
        <v>8992.59</v>
      </c>
    </row>
    <row r="264" spans="1:5">
      <c r="A264" s="14">
        <v>235</v>
      </c>
      <c r="B264" t="s">
        <v>5777</v>
      </c>
      <c r="C264"/>
      <c r="D264" s="2">
        <f>VLOOKUP(A264,A17:E259,4,FALSE)</f>
        <v>3.46</v>
      </c>
      <c r="E264" s="54">
        <f>VLOOKUP(B264,B17:E259,4,FALSE)</f>
        <v>19532.439999999999</v>
      </c>
    </row>
    <row r="265" spans="1:5">
      <c r="A265" s="14"/>
      <c r="B265"/>
      <c r="C265"/>
      <c r="D265" s="2"/>
      <c r="E265" s="54"/>
    </row>
    <row r="266" spans="1:5">
      <c r="A266" s="475">
        <v>248</v>
      </c>
      <c r="B266" s="240" t="s">
        <v>5785</v>
      </c>
      <c r="C266" s="476"/>
      <c r="D266" s="476">
        <f>SUMPRODUCT(D267:D272*E267:E272)/E266</f>
        <v>12.144741987377801</v>
      </c>
      <c r="E266" s="477">
        <f>SUM(E267:E272)</f>
        <v>484.86</v>
      </c>
    </row>
    <row r="267" spans="1:5">
      <c r="A267" s="14">
        <v>80</v>
      </c>
      <c r="B267" t="s">
        <v>5577</v>
      </c>
      <c r="C267"/>
      <c r="D267" s="2"/>
      <c r="E267" s="54"/>
    </row>
    <row r="268" spans="1:5">
      <c r="A268" s="14">
        <v>98</v>
      </c>
      <c r="B268" t="s">
        <v>5604</v>
      </c>
      <c r="C268"/>
      <c r="D268" s="2">
        <f>VLOOKUP(A268,A21:E263,4,FALSE)</f>
        <v>12.25</v>
      </c>
      <c r="E268" s="54">
        <f>VLOOKUP(B268,B21:E263,4,FALSE)</f>
        <v>390.35</v>
      </c>
    </row>
    <row r="269" spans="1:5">
      <c r="A269" s="14">
        <v>154</v>
      </c>
      <c r="B269" t="s">
        <v>5675</v>
      </c>
      <c r="C269"/>
      <c r="D269" s="2"/>
      <c r="E269" s="54"/>
    </row>
    <row r="270" spans="1:5">
      <c r="A270" s="14">
        <v>273</v>
      </c>
      <c r="B270" t="s">
        <v>5691</v>
      </c>
      <c r="C270"/>
      <c r="D270" s="2"/>
      <c r="E270" s="54"/>
    </row>
    <row r="271" spans="1:5">
      <c r="A271" s="14">
        <v>272</v>
      </c>
      <c r="B271" t="s">
        <v>5739</v>
      </c>
      <c r="C271"/>
      <c r="D271" s="2"/>
      <c r="E271" s="54"/>
    </row>
    <row r="272" spans="1:5">
      <c r="A272" s="14">
        <v>198</v>
      </c>
      <c r="B272" t="s">
        <v>5745</v>
      </c>
      <c r="C272"/>
      <c r="D272" s="2">
        <f>VLOOKUP(A272,A25:E267,4,FALSE)</f>
        <v>11.71</v>
      </c>
      <c r="E272" s="54">
        <f>VLOOKUP(B272,B25:E267,4,FALSE)</f>
        <v>94.51</v>
      </c>
    </row>
    <row r="273" spans="1:5">
      <c r="A273" s="14"/>
      <c r="B273"/>
      <c r="C273"/>
      <c r="D273" s="2"/>
      <c r="E273" s="54"/>
    </row>
    <row r="274" spans="1:5">
      <c r="A274" s="478">
        <v>62</v>
      </c>
      <c r="B274" s="241" t="s">
        <v>5620</v>
      </c>
      <c r="C274" s="479"/>
      <c r="D274" s="479">
        <f>SUMPRODUCT(D275:D276*E275:E276)/E274</f>
        <v>6.4550823323271729</v>
      </c>
      <c r="E274" s="480">
        <f>SUM(E275:E276)</f>
        <v>51409.94</v>
      </c>
    </row>
    <row r="275" spans="1:5">
      <c r="A275" s="14">
        <v>178</v>
      </c>
      <c r="B275" t="s">
        <v>5617</v>
      </c>
      <c r="C275"/>
      <c r="D275" s="2">
        <f>VLOOKUP(A275,A28:E270,4,FALSE)</f>
        <v>2.2400000000000002</v>
      </c>
      <c r="E275" s="54">
        <f>VLOOKUP(B275,B28:E270,4,FALSE)</f>
        <v>4908.41</v>
      </c>
    </row>
    <row r="276" spans="1:5">
      <c r="A276" s="19">
        <v>238</v>
      </c>
      <c r="B276" s="20" t="s">
        <v>5619</v>
      </c>
      <c r="C276" s="20"/>
      <c r="D276" s="57">
        <f>VLOOKUP(A276,A29:E271,4,FALSE)</f>
        <v>6.9</v>
      </c>
      <c r="E276" s="81">
        <f>VLOOKUP(B276,B29:E271,4,FALSE)</f>
        <v>46501.53</v>
      </c>
    </row>
    <row r="281" spans="1:5">
      <c r="A281" s="273" t="s">
        <v>5958</v>
      </c>
    </row>
    <row r="282" spans="1:5">
      <c r="A282" s="393" t="s">
        <v>5959</v>
      </c>
    </row>
  </sheetData>
  <hyperlinks>
    <hyperlink ref="D3" location="yf" display="yf" xr:uid="{00000000-0004-0000-2300-000000000000}"/>
    <hyperlink ref="E3" location="feed_intensity_w" display="feed_intensity_w" xr:uid="{00000000-0004-0000-2300-000001000000}"/>
  </hyperlinks>
  <pageMargins left="0.75" right="0.75" top="1" bottom="1" header="0.5" footer="0.5"/>
  <pageSetup orientation="portrait"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98">
    <tabColor theme="7"/>
  </sheetPr>
  <dimension ref="A1:F252"/>
  <sheetViews>
    <sheetView zoomScaleNormal="100" workbookViewId="0">
      <selection activeCell="A65536" sqref="A65536"/>
    </sheetView>
  </sheetViews>
  <sheetFormatPr defaultColWidth="9.1796875" defaultRowHeight="12.5"/>
  <cols>
    <col min="1" max="1" width="24.81640625" style="253" customWidth="1"/>
    <col min="2" max="2" width="10.1796875" style="253" customWidth="1"/>
    <col min="3" max="3" width="12.54296875" style="253" customWidth="1"/>
    <col min="4" max="4" width="16.54296875" style="253" customWidth="1"/>
    <col min="5" max="16384" width="9.1796875" style="253"/>
  </cols>
  <sheetData>
    <row r="1" spans="1:6">
      <c r="A1" s="273"/>
    </row>
    <row r="2" spans="1:6">
      <c r="A2" s="273"/>
    </row>
    <row r="3" spans="1:6" ht="28.5" customHeight="1">
      <c r="A3" s="273"/>
      <c r="D3" s="488" t="s">
        <v>986</v>
      </c>
      <c r="E3" s="489" t="s">
        <v>4</v>
      </c>
      <c r="F3" s="490"/>
    </row>
    <row r="4" spans="1:6" ht="13">
      <c r="A4" s="928" t="s">
        <v>7573</v>
      </c>
      <c r="B4" s="928" t="s">
        <v>1907</v>
      </c>
      <c r="C4" s="929" t="s">
        <v>5954</v>
      </c>
    </row>
    <row r="5" spans="1:6">
      <c r="A5" s="1091" t="s">
        <v>542</v>
      </c>
      <c r="B5" s="1091" t="s">
        <v>542</v>
      </c>
      <c r="C5" s="1125" t="s">
        <v>542</v>
      </c>
    </row>
    <row r="6" spans="1:6">
      <c r="A6" s="17" t="s">
        <v>5552</v>
      </c>
      <c r="B6" s="18">
        <v>2</v>
      </c>
      <c r="C6" s="541" t="s">
        <v>5922</v>
      </c>
    </row>
    <row r="7" spans="1:6">
      <c r="A7" s="14" t="s">
        <v>5553</v>
      </c>
      <c r="B7">
        <v>3</v>
      </c>
      <c r="C7" s="552" t="s">
        <v>5923</v>
      </c>
    </row>
    <row r="8" spans="1:6">
      <c r="A8" s="14" t="s">
        <v>5554</v>
      </c>
      <c r="B8">
        <v>4</v>
      </c>
      <c r="C8" s="552" t="s">
        <v>5924</v>
      </c>
    </row>
    <row r="9" spans="1:6">
      <c r="A9" s="14" t="s">
        <v>5555</v>
      </c>
      <c r="B9">
        <v>5</v>
      </c>
      <c r="C9" s="552" t="s">
        <v>5928</v>
      </c>
    </row>
    <row r="10" spans="1:6">
      <c r="A10" s="14" t="s">
        <v>5556</v>
      </c>
      <c r="B10">
        <v>6</v>
      </c>
      <c r="C10" s="552" t="s">
        <v>5926</v>
      </c>
    </row>
    <row r="11" spans="1:6">
      <c r="A11" s="14" t="s">
        <v>5557</v>
      </c>
      <c r="B11">
        <v>7</v>
      </c>
      <c r="C11" s="552" t="s">
        <v>5927</v>
      </c>
    </row>
    <row r="12" spans="1:6">
      <c r="A12" s="14" t="s">
        <v>5559</v>
      </c>
      <c r="B12">
        <v>258</v>
      </c>
      <c r="C12" s="552" t="s">
        <v>5928</v>
      </c>
    </row>
    <row r="13" spans="1:6">
      <c r="A13" s="14" t="s">
        <v>5558</v>
      </c>
      <c r="B13">
        <v>8</v>
      </c>
      <c r="C13" s="552" t="s">
        <v>5928</v>
      </c>
    </row>
    <row r="14" spans="1:6">
      <c r="A14" s="14" t="s">
        <v>5560</v>
      </c>
      <c r="B14">
        <v>9</v>
      </c>
      <c r="C14" s="552" t="s">
        <v>5928</v>
      </c>
    </row>
    <row r="15" spans="1:6">
      <c r="A15" s="14" t="s">
        <v>5561</v>
      </c>
      <c r="B15">
        <v>1</v>
      </c>
      <c r="C15" s="552" t="s">
        <v>5924</v>
      </c>
    </row>
    <row r="16" spans="1:6">
      <c r="A16" s="14" t="s">
        <v>5562</v>
      </c>
      <c r="B16">
        <v>22</v>
      </c>
      <c r="C16" s="552" t="s">
        <v>5928</v>
      </c>
    </row>
    <row r="17" spans="1:3">
      <c r="A17" s="14" t="s">
        <v>5563</v>
      </c>
      <c r="B17">
        <v>10</v>
      </c>
      <c r="C17" s="552" t="s">
        <v>5925</v>
      </c>
    </row>
    <row r="18" spans="1:3">
      <c r="A18" s="14" t="s">
        <v>5564</v>
      </c>
      <c r="B18">
        <v>11</v>
      </c>
      <c r="C18" s="552" t="s">
        <v>5926</v>
      </c>
    </row>
    <row r="19" spans="1:3">
      <c r="A19" s="14" t="s">
        <v>5565</v>
      </c>
      <c r="B19">
        <v>52</v>
      </c>
      <c r="C19" s="552" t="s">
        <v>5924</v>
      </c>
    </row>
    <row r="20" spans="1:3">
      <c r="A20" s="14" t="s">
        <v>5566</v>
      </c>
      <c r="B20">
        <v>12</v>
      </c>
      <c r="C20" s="552" t="s">
        <v>5928</v>
      </c>
    </row>
    <row r="21" spans="1:3">
      <c r="A21" s="14" t="s">
        <v>5567</v>
      </c>
      <c r="B21">
        <v>13</v>
      </c>
      <c r="C21" s="552" t="s">
        <v>5924</v>
      </c>
    </row>
    <row r="22" spans="1:3">
      <c r="A22" s="14" t="s">
        <v>5568</v>
      </c>
      <c r="B22">
        <v>16</v>
      </c>
      <c r="C22" s="552" t="s">
        <v>5922</v>
      </c>
    </row>
    <row r="23" spans="1:3">
      <c r="A23" s="14" t="s">
        <v>5569</v>
      </c>
      <c r="B23">
        <v>14</v>
      </c>
      <c r="C23" s="552" t="s">
        <v>5928</v>
      </c>
    </row>
    <row r="24" spans="1:3">
      <c r="A24" s="14" t="s">
        <v>5570</v>
      </c>
      <c r="B24">
        <v>57</v>
      </c>
      <c r="C24" s="552" t="s">
        <v>5923</v>
      </c>
    </row>
    <row r="25" spans="1:3">
      <c r="A25" s="14" t="s">
        <v>5544</v>
      </c>
      <c r="B25">
        <v>255</v>
      </c>
      <c r="C25" s="552" t="s">
        <v>5926</v>
      </c>
    </row>
    <row r="26" spans="1:3">
      <c r="A26" s="14" t="s">
        <v>5571</v>
      </c>
      <c r="B26">
        <v>15</v>
      </c>
      <c r="C26" s="552" t="s">
        <v>5926</v>
      </c>
    </row>
    <row r="27" spans="1:3">
      <c r="A27" s="14" t="s">
        <v>5572</v>
      </c>
      <c r="B27">
        <v>23</v>
      </c>
      <c r="C27" s="552" t="s">
        <v>5928</v>
      </c>
    </row>
    <row r="28" spans="1:3">
      <c r="A28" s="14" t="s">
        <v>5573</v>
      </c>
      <c r="B28">
        <v>53</v>
      </c>
      <c r="C28" s="552" t="s">
        <v>5927</v>
      </c>
    </row>
    <row r="29" spans="1:3">
      <c r="A29" s="14" t="s">
        <v>5574</v>
      </c>
      <c r="B29">
        <v>17</v>
      </c>
      <c r="C29" s="552" t="s">
        <v>5928</v>
      </c>
    </row>
    <row r="30" spans="1:3">
      <c r="A30" s="14" t="s">
        <v>5575</v>
      </c>
      <c r="B30">
        <v>18</v>
      </c>
      <c r="C30" s="552" t="s">
        <v>5922</v>
      </c>
    </row>
    <row r="31" spans="1:3">
      <c r="A31" s="14" t="s">
        <v>5576</v>
      </c>
      <c r="B31">
        <v>19</v>
      </c>
      <c r="C31" s="552" t="s">
        <v>5928</v>
      </c>
    </row>
    <row r="32" spans="1:3">
      <c r="A32" s="14" t="s">
        <v>5577</v>
      </c>
      <c r="B32">
        <v>80</v>
      </c>
      <c r="C32" s="552" t="s">
        <v>5923</v>
      </c>
    </row>
    <row r="33" spans="1:3">
      <c r="A33" s="14" t="s">
        <v>5578</v>
      </c>
      <c r="B33">
        <v>20</v>
      </c>
      <c r="C33" s="552" t="s">
        <v>5927</v>
      </c>
    </row>
    <row r="34" spans="1:3">
      <c r="A34" s="14" t="s">
        <v>5579</v>
      </c>
      <c r="B34">
        <v>21</v>
      </c>
      <c r="C34" s="552" t="s">
        <v>5928</v>
      </c>
    </row>
    <row r="35" spans="1:3">
      <c r="A35" s="14" t="s">
        <v>5580</v>
      </c>
      <c r="B35">
        <v>24</v>
      </c>
      <c r="C35" s="552" t="s">
        <v>5928</v>
      </c>
    </row>
    <row r="36" spans="1:3">
      <c r="A36" s="14" t="s">
        <v>5581</v>
      </c>
      <c r="B36">
        <v>239</v>
      </c>
      <c r="C36" s="552" t="s">
        <v>5928</v>
      </c>
    </row>
    <row r="37" spans="1:3">
      <c r="A37" s="14" t="s">
        <v>5582</v>
      </c>
      <c r="B37">
        <v>26</v>
      </c>
      <c r="C37" s="552" t="s">
        <v>5922</v>
      </c>
    </row>
    <row r="38" spans="1:3">
      <c r="A38" s="14" t="s">
        <v>5583</v>
      </c>
      <c r="B38">
        <v>27</v>
      </c>
      <c r="C38" s="552" t="s">
        <v>5923</v>
      </c>
    </row>
    <row r="39" spans="1:3">
      <c r="A39" s="14" t="s">
        <v>5584</v>
      </c>
      <c r="B39">
        <v>233</v>
      </c>
      <c r="C39" s="552" t="s">
        <v>5927</v>
      </c>
    </row>
    <row r="40" spans="1:3">
      <c r="A40" s="14" t="s">
        <v>5585</v>
      </c>
      <c r="B40">
        <v>29</v>
      </c>
      <c r="C40" s="552" t="s">
        <v>5927</v>
      </c>
    </row>
    <row r="41" spans="1:3">
      <c r="A41" s="14" t="s">
        <v>5586</v>
      </c>
      <c r="B41">
        <v>115</v>
      </c>
      <c r="C41" s="552" t="s">
        <v>5922</v>
      </c>
    </row>
    <row r="42" spans="1:3">
      <c r="A42" s="14" t="s">
        <v>5587</v>
      </c>
      <c r="B42">
        <v>32</v>
      </c>
      <c r="C42" s="552" t="s">
        <v>5927</v>
      </c>
    </row>
    <row r="43" spans="1:3">
      <c r="A43" s="14" t="s">
        <v>5588</v>
      </c>
      <c r="B43">
        <v>33</v>
      </c>
      <c r="C43" s="552" t="s">
        <v>5925</v>
      </c>
    </row>
    <row r="44" spans="1:3">
      <c r="A44" s="210" t="s">
        <v>7554</v>
      </c>
      <c r="B44">
        <v>35</v>
      </c>
      <c r="C44" s="552" t="s">
        <v>5927</v>
      </c>
    </row>
    <row r="45" spans="1:3">
      <c r="A45" s="14" t="s">
        <v>5589</v>
      </c>
      <c r="B45">
        <v>36</v>
      </c>
      <c r="C45" s="552" t="s">
        <v>5928</v>
      </c>
    </row>
    <row r="46" spans="1:3">
      <c r="A46" s="14" t="s">
        <v>5590</v>
      </c>
      <c r="B46">
        <v>37</v>
      </c>
      <c r="C46" s="552" t="s">
        <v>5927</v>
      </c>
    </row>
    <row r="47" spans="1:3">
      <c r="A47" s="14" t="s">
        <v>5591</v>
      </c>
      <c r="B47">
        <v>39</v>
      </c>
      <c r="C47" s="552" t="s">
        <v>5927</v>
      </c>
    </row>
    <row r="48" spans="1:3">
      <c r="A48" s="14" t="s">
        <v>5592</v>
      </c>
      <c r="B48">
        <v>259</v>
      </c>
      <c r="C48" s="552" t="s">
        <v>5926</v>
      </c>
    </row>
    <row r="49" spans="1:3">
      <c r="A49" s="14" t="s">
        <v>5593</v>
      </c>
      <c r="B49">
        <v>40</v>
      </c>
      <c r="C49" s="552" t="s">
        <v>5928</v>
      </c>
    </row>
    <row r="50" spans="1:3">
      <c r="A50" s="210" t="s">
        <v>7553</v>
      </c>
      <c r="B50">
        <v>41</v>
      </c>
      <c r="C50" s="552" t="s">
        <v>5929</v>
      </c>
    </row>
    <row r="51" spans="1:3">
      <c r="A51" s="14" t="s">
        <v>5595</v>
      </c>
      <c r="B51">
        <v>42</v>
      </c>
      <c r="C51" s="552" t="s">
        <v>5928</v>
      </c>
    </row>
    <row r="52" spans="1:3">
      <c r="A52" s="14" t="s">
        <v>5596</v>
      </c>
      <c r="B52">
        <v>43</v>
      </c>
      <c r="C52" s="552" t="s">
        <v>5928</v>
      </c>
    </row>
    <row r="53" spans="1:3">
      <c r="A53" s="14" t="s">
        <v>5597</v>
      </c>
      <c r="B53">
        <v>44</v>
      </c>
      <c r="C53" s="552" t="s">
        <v>5928</v>
      </c>
    </row>
    <row r="54" spans="1:3">
      <c r="A54" s="14" t="s">
        <v>5598</v>
      </c>
      <c r="B54">
        <v>45</v>
      </c>
      <c r="C54" s="552" t="s">
        <v>5928</v>
      </c>
    </row>
    <row r="55" spans="1:3">
      <c r="A55" s="14" t="s">
        <v>5599</v>
      </c>
      <c r="B55">
        <v>46</v>
      </c>
      <c r="C55" s="552" t="s">
        <v>5927</v>
      </c>
    </row>
    <row r="56" spans="1:3">
      <c r="A56" s="14" t="s">
        <v>5600</v>
      </c>
      <c r="B56">
        <v>250</v>
      </c>
      <c r="C56" s="552" t="s">
        <v>5927</v>
      </c>
    </row>
    <row r="57" spans="1:3">
      <c r="A57" s="14" t="s">
        <v>5601</v>
      </c>
      <c r="B57">
        <v>47</v>
      </c>
      <c r="C57" s="552" t="s">
        <v>5925</v>
      </c>
    </row>
    <row r="58" spans="1:3">
      <c r="A58" s="14" t="s">
        <v>5602</v>
      </c>
      <c r="B58">
        <v>48</v>
      </c>
      <c r="C58" s="552" t="s">
        <v>5928</v>
      </c>
    </row>
    <row r="59" spans="1:3">
      <c r="A59" s="14" t="s">
        <v>5603</v>
      </c>
      <c r="B59">
        <v>107</v>
      </c>
      <c r="C59" s="552" t="s">
        <v>5927</v>
      </c>
    </row>
    <row r="60" spans="1:3">
      <c r="A60" s="14" t="s">
        <v>5604</v>
      </c>
      <c r="B60">
        <v>98</v>
      </c>
      <c r="C60" s="552" t="s">
        <v>5923</v>
      </c>
    </row>
    <row r="61" spans="1:3">
      <c r="A61" s="14" t="s">
        <v>5605</v>
      </c>
      <c r="B61">
        <v>49</v>
      </c>
      <c r="C61" s="552" t="s">
        <v>5928</v>
      </c>
    </row>
    <row r="62" spans="1:3">
      <c r="A62" s="14" t="s">
        <v>5606</v>
      </c>
      <c r="B62">
        <v>50</v>
      </c>
      <c r="C62" s="552" t="s">
        <v>5926</v>
      </c>
    </row>
    <row r="63" spans="1:3">
      <c r="A63" s="14" t="s">
        <v>5607</v>
      </c>
      <c r="B63">
        <v>167</v>
      </c>
      <c r="C63" s="552" t="s">
        <v>5923</v>
      </c>
    </row>
    <row r="64" spans="1:3">
      <c r="A64" s="14" t="s">
        <v>5608</v>
      </c>
      <c r="B64">
        <v>51</v>
      </c>
      <c r="C64" s="552" t="s">
        <v>5923</v>
      </c>
    </row>
    <row r="65" spans="1:3">
      <c r="A65" s="14" t="s">
        <v>5609</v>
      </c>
      <c r="B65">
        <v>54</v>
      </c>
      <c r="C65" s="552" t="s">
        <v>5926</v>
      </c>
    </row>
    <row r="66" spans="1:3">
      <c r="A66" s="14" t="s">
        <v>5610</v>
      </c>
      <c r="B66">
        <v>72</v>
      </c>
      <c r="C66" s="552" t="s">
        <v>5927</v>
      </c>
    </row>
    <row r="67" spans="1:3">
      <c r="A67" s="14" t="s">
        <v>5611</v>
      </c>
      <c r="B67">
        <v>55</v>
      </c>
      <c r="C67" s="552" t="s">
        <v>5928</v>
      </c>
    </row>
    <row r="68" spans="1:3">
      <c r="A68" s="14" t="s">
        <v>5612</v>
      </c>
      <c r="B68">
        <v>56</v>
      </c>
      <c r="C68" s="552" t="s">
        <v>5928</v>
      </c>
    </row>
    <row r="69" spans="1:3">
      <c r="A69" s="14" t="s">
        <v>5613</v>
      </c>
      <c r="B69">
        <v>58</v>
      </c>
      <c r="C69" s="552" t="s">
        <v>5928</v>
      </c>
    </row>
    <row r="70" spans="1:3">
      <c r="A70" s="14" t="s">
        <v>5614</v>
      </c>
      <c r="B70">
        <v>59</v>
      </c>
      <c r="C70" s="552" t="s">
        <v>5924</v>
      </c>
    </row>
    <row r="71" spans="1:3">
      <c r="A71" s="14" t="s">
        <v>5615</v>
      </c>
      <c r="B71">
        <v>60</v>
      </c>
      <c r="C71" s="552" t="s">
        <v>5928</v>
      </c>
    </row>
    <row r="72" spans="1:3">
      <c r="A72" s="14" t="s">
        <v>5616</v>
      </c>
      <c r="B72">
        <v>61</v>
      </c>
      <c r="C72" s="552" t="s">
        <v>5927</v>
      </c>
    </row>
    <row r="73" spans="1:3">
      <c r="A73" s="14" t="s">
        <v>5617</v>
      </c>
      <c r="B73">
        <v>178</v>
      </c>
      <c r="C73" s="552" t="s">
        <v>5927</v>
      </c>
    </row>
    <row r="74" spans="1:3">
      <c r="A74" s="14" t="s">
        <v>5618</v>
      </c>
      <c r="B74">
        <v>63</v>
      </c>
      <c r="C74" s="552" t="s">
        <v>5923</v>
      </c>
    </row>
    <row r="75" spans="1:3">
      <c r="A75" s="14" t="s">
        <v>5619</v>
      </c>
      <c r="B75">
        <v>238</v>
      </c>
      <c r="C75" s="552" t="s">
        <v>5927</v>
      </c>
    </row>
    <row r="76" spans="1:3">
      <c r="A76" s="14" t="s">
        <v>5620</v>
      </c>
      <c r="B76">
        <v>62</v>
      </c>
      <c r="C76" s="552" t="s">
        <v>5927</v>
      </c>
    </row>
    <row r="77" spans="1:3">
      <c r="A77" s="14" t="s">
        <v>5621</v>
      </c>
      <c r="B77">
        <v>65</v>
      </c>
      <c r="C77" s="552" t="s">
        <v>5928</v>
      </c>
    </row>
    <row r="78" spans="1:3">
      <c r="A78" s="14" t="s">
        <v>5622</v>
      </c>
      <c r="B78">
        <v>64</v>
      </c>
      <c r="C78" s="552" t="s">
        <v>5926</v>
      </c>
    </row>
    <row r="79" spans="1:3">
      <c r="A79" s="14" t="s">
        <v>5623</v>
      </c>
      <c r="B79">
        <v>66</v>
      </c>
      <c r="C79" s="552" t="s">
        <v>5925</v>
      </c>
    </row>
    <row r="80" spans="1:3">
      <c r="A80" s="14" t="s">
        <v>5624</v>
      </c>
      <c r="B80">
        <v>67</v>
      </c>
      <c r="C80" s="552" t="s">
        <v>5926</v>
      </c>
    </row>
    <row r="81" spans="1:3">
      <c r="A81" s="14" t="s">
        <v>5625</v>
      </c>
      <c r="B81">
        <v>68</v>
      </c>
      <c r="C81" s="552" t="s">
        <v>5926</v>
      </c>
    </row>
    <row r="82" spans="1:3">
      <c r="A82" s="14" t="s">
        <v>5626</v>
      </c>
      <c r="B82">
        <v>69</v>
      </c>
      <c r="C82" s="552" t="s">
        <v>5928</v>
      </c>
    </row>
    <row r="83" spans="1:3">
      <c r="A83" s="14" t="s">
        <v>5627</v>
      </c>
      <c r="B83">
        <v>70</v>
      </c>
      <c r="C83" s="552" t="s">
        <v>5928</v>
      </c>
    </row>
    <row r="84" spans="1:3">
      <c r="A84" s="14" t="s">
        <v>5628</v>
      </c>
      <c r="B84">
        <v>74</v>
      </c>
      <c r="C84" s="552" t="s">
        <v>5927</v>
      </c>
    </row>
    <row r="85" spans="1:3">
      <c r="A85" s="14" t="s">
        <v>5629</v>
      </c>
      <c r="B85">
        <v>75</v>
      </c>
      <c r="C85" s="552" t="s">
        <v>5927</v>
      </c>
    </row>
    <row r="86" spans="1:3">
      <c r="A86" s="14" t="s">
        <v>5630</v>
      </c>
      <c r="B86">
        <v>73</v>
      </c>
      <c r="C86" s="552" t="s">
        <v>5924</v>
      </c>
    </row>
    <row r="87" spans="1:3">
      <c r="A87" s="14" t="s">
        <v>5631</v>
      </c>
      <c r="B87">
        <v>79</v>
      </c>
      <c r="C87" s="552" t="s">
        <v>5926</v>
      </c>
    </row>
    <row r="88" spans="1:3">
      <c r="A88" s="14" t="s">
        <v>5632</v>
      </c>
      <c r="B88">
        <v>81</v>
      </c>
      <c r="C88" s="552" t="s">
        <v>5927</v>
      </c>
    </row>
    <row r="89" spans="1:3">
      <c r="A89" s="14" t="s">
        <v>5633</v>
      </c>
      <c r="B89">
        <v>82</v>
      </c>
      <c r="C89" s="552" t="s">
        <v>5926</v>
      </c>
    </row>
    <row r="90" spans="1:3">
      <c r="A90" s="14" t="s">
        <v>5634</v>
      </c>
      <c r="B90">
        <v>84</v>
      </c>
      <c r="C90" s="552" t="s">
        <v>5926</v>
      </c>
    </row>
    <row r="91" spans="1:3">
      <c r="A91" s="14" t="s">
        <v>5635</v>
      </c>
      <c r="B91">
        <v>85</v>
      </c>
      <c r="C91" s="552" t="s">
        <v>5925</v>
      </c>
    </row>
    <row r="92" spans="1:3">
      <c r="A92" s="14" t="s">
        <v>5636</v>
      </c>
      <c r="B92">
        <v>86</v>
      </c>
      <c r="C92" s="552" t="s">
        <v>5928</v>
      </c>
    </row>
    <row r="93" spans="1:3">
      <c r="A93" s="14" t="s">
        <v>5637</v>
      </c>
      <c r="B93">
        <v>87</v>
      </c>
      <c r="C93" s="552" t="s">
        <v>5928</v>
      </c>
    </row>
    <row r="94" spans="1:3">
      <c r="A94" s="14" t="s">
        <v>5638</v>
      </c>
      <c r="B94">
        <v>88</v>
      </c>
      <c r="C94" s="552" t="s">
        <v>5928</v>
      </c>
    </row>
    <row r="95" spans="1:3">
      <c r="A95" s="14" t="s">
        <v>5639</v>
      </c>
      <c r="B95">
        <v>89</v>
      </c>
      <c r="C95" s="552" t="s">
        <v>5928</v>
      </c>
    </row>
    <row r="96" spans="1:3">
      <c r="A96" s="14" t="s">
        <v>5640</v>
      </c>
      <c r="B96">
        <v>90</v>
      </c>
      <c r="C96" s="552" t="s">
        <v>5927</v>
      </c>
    </row>
    <row r="97" spans="1:3">
      <c r="A97" s="14" t="s">
        <v>5641</v>
      </c>
      <c r="B97">
        <v>175</v>
      </c>
      <c r="C97" s="552" t="s">
        <v>5927</v>
      </c>
    </row>
    <row r="98" spans="1:3">
      <c r="A98" s="14" t="s">
        <v>5642</v>
      </c>
      <c r="B98">
        <v>91</v>
      </c>
      <c r="C98" s="552" t="s">
        <v>5928</v>
      </c>
    </row>
    <row r="99" spans="1:3">
      <c r="A99" s="14" t="s">
        <v>5643</v>
      </c>
      <c r="B99">
        <v>93</v>
      </c>
      <c r="C99" s="552" t="s">
        <v>5928</v>
      </c>
    </row>
    <row r="100" spans="1:3">
      <c r="A100" s="14" t="s">
        <v>5644</v>
      </c>
      <c r="B100">
        <v>94</v>
      </c>
      <c r="C100" s="552" t="s">
        <v>5926</v>
      </c>
    </row>
    <row r="101" spans="1:3">
      <c r="A101" s="14" t="s">
        <v>5645</v>
      </c>
      <c r="B101">
        <v>95</v>
      </c>
      <c r="C101" s="552" t="s">
        <v>5928</v>
      </c>
    </row>
    <row r="102" spans="1:3">
      <c r="A102" s="446" t="s">
        <v>7555</v>
      </c>
      <c r="B102">
        <v>96</v>
      </c>
      <c r="C102" s="552" t="s">
        <v>5929</v>
      </c>
    </row>
    <row r="103" spans="1:3">
      <c r="A103" s="14" t="s">
        <v>5646</v>
      </c>
      <c r="B103">
        <v>97</v>
      </c>
      <c r="C103" s="552" t="s">
        <v>5923</v>
      </c>
    </row>
    <row r="104" spans="1:3">
      <c r="A104" s="14" t="s">
        <v>5647</v>
      </c>
      <c r="B104">
        <v>99</v>
      </c>
      <c r="C104" s="552" t="s">
        <v>5926</v>
      </c>
    </row>
    <row r="105" spans="1:3">
      <c r="A105" s="14" t="s">
        <v>5648</v>
      </c>
      <c r="B105">
        <v>100</v>
      </c>
      <c r="C105" s="552" t="s">
        <v>5922</v>
      </c>
    </row>
    <row r="106" spans="1:3">
      <c r="A106" s="14" t="s">
        <v>5649</v>
      </c>
      <c r="B106">
        <v>101</v>
      </c>
      <c r="C106" s="552" t="s">
        <v>5922</v>
      </c>
    </row>
    <row r="107" spans="1:3">
      <c r="A107" s="14" t="s">
        <v>5650</v>
      </c>
      <c r="B107">
        <v>102</v>
      </c>
      <c r="C107" s="552" t="s">
        <v>5922</v>
      </c>
    </row>
    <row r="108" spans="1:3">
      <c r="A108" s="14" t="s">
        <v>5651</v>
      </c>
      <c r="B108">
        <v>103</v>
      </c>
      <c r="C108" s="552" t="s">
        <v>5924</v>
      </c>
    </row>
    <row r="109" spans="1:3">
      <c r="A109" s="14" t="s">
        <v>5652</v>
      </c>
      <c r="B109">
        <v>104</v>
      </c>
      <c r="C109" s="552" t="s">
        <v>5926</v>
      </c>
    </row>
    <row r="110" spans="1:3">
      <c r="A110" s="14" t="s">
        <v>5653</v>
      </c>
      <c r="B110">
        <v>264</v>
      </c>
      <c r="C110" s="552" t="s">
        <v>5926</v>
      </c>
    </row>
    <row r="111" spans="1:3">
      <c r="A111" s="14" t="s">
        <v>5654</v>
      </c>
      <c r="B111">
        <v>105</v>
      </c>
      <c r="C111" s="552" t="s">
        <v>5924</v>
      </c>
    </row>
    <row r="112" spans="1:3">
      <c r="A112" s="14" t="s">
        <v>5655</v>
      </c>
      <c r="B112">
        <v>106</v>
      </c>
      <c r="C112" s="552" t="s">
        <v>5926</v>
      </c>
    </row>
    <row r="113" spans="1:3">
      <c r="A113" s="14" t="s">
        <v>5656</v>
      </c>
      <c r="B113">
        <v>109</v>
      </c>
      <c r="C113" s="552" t="s">
        <v>5928</v>
      </c>
    </row>
    <row r="114" spans="1:3">
      <c r="A114" s="14" t="s">
        <v>5657</v>
      </c>
      <c r="B114">
        <v>110</v>
      </c>
      <c r="C114" s="552" t="s">
        <v>5929</v>
      </c>
    </row>
    <row r="115" spans="1:3">
      <c r="A115" s="14" t="s">
        <v>5658</v>
      </c>
      <c r="B115">
        <v>112</v>
      </c>
      <c r="C115" s="552" t="s">
        <v>5924</v>
      </c>
    </row>
    <row r="116" spans="1:3">
      <c r="A116" s="14" t="s">
        <v>5659</v>
      </c>
      <c r="B116">
        <v>108</v>
      </c>
      <c r="C116" s="552" t="s">
        <v>5922</v>
      </c>
    </row>
    <row r="117" spans="1:3">
      <c r="A117" s="14" t="s">
        <v>5661</v>
      </c>
      <c r="B117">
        <v>114</v>
      </c>
      <c r="C117" s="552" t="s">
        <v>5925</v>
      </c>
    </row>
    <row r="118" spans="1:3">
      <c r="A118" s="14" t="s">
        <v>5660</v>
      </c>
      <c r="B118">
        <v>83</v>
      </c>
      <c r="C118" s="552" t="s">
        <v>5927</v>
      </c>
    </row>
    <row r="119" spans="1:3">
      <c r="A119" s="14" t="s">
        <v>5662</v>
      </c>
      <c r="B119">
        <v>116</v>
      </c>
      <c r="C119" s="552" t="s">
        <v>5929</v>
      </c>
    </row>
    <row r="120" spans="1:3">
      <c r="A120" s="14" t="s">
        <v>5663</v>
      </c>
      <c r="B120">
        <v>117</v>
      </c>
      <c r="C120" s="552" t="s">
        <v>5929</v>
      </c>
    </row>
    <row r="121" spans="1:3">
      <c r="A121" s="14" t="s">
        <v>5664</v>
      </c>
      <c r="B121">
        <v>118</v>
      </c>
      <c r="C121" s="552" t="s">
        <v>5924</v>
      </c>
    </row>
    <row r="122" spans="1:3">
      <c r="A122" s="14" t="s">
        <v>5665</v>
      </c>
      <c r="B122">
        <v>113</v>
      </c>
      <c r="C122" s="552" t="s">
        <v>5922</v>
      </c>
    </row>
    <row r="123" spans="1:3">
      <c r="A123" s="14" t="s">
        <v>5666</v>
      </c>
      <c r="B123">
        <v>120</v>
      </c>
      <c r="C123" s="552" t="s">
        <v>5922</v>
      </c>
    </row>
    <row r="124" spans="1:3">
      <c r="A124" s="14" t="s">
        <v>5667</v>
      </c>
      <c r="B124">
        <v>119</v>
      </c>
      <c r="C124" s="552" t="s">
        <v>5923</v>
      </c>
    </row>
    <row r="125" spans="1:3">
      <c r="A125" s="14" t="s">
        <v>5668</v>
      </c>
      <c r="B125">
        <v>121</v>
      </c>
      <c r="C125" s="552" t="s">
        <v>5924</v>
      </c>
    </row>
    <row r="126" spans="1:3">
      <c r="A126" s="14" t="s">
        <v>5669</v>
      </c>
      <c r="B126">
        <v>122</v>
      </c>
      <c r="C126" s="552" t="s">
        <v>5927</v>
      </c>
    </row>
    <row r="127" spans="1:3">
      <c r="A127" s="14" t="s">
        <v>5670</v>
      </c>
      <c r="B127">
        <v>123</v>
      </c>
      <c r="C127" s="552" t="s">
        <v>5927</v>
      </c>
    </row>
    <row r="128" spans="1:3">
      <c r="A128" s="14" t="s">
        <v>5671</v>
      </c>
      <c r="B128">
        <v>124</v>
      </c>
      <c r="C128" s="552" t="s">
        <v>5924</v>
      </c>
    </row>
    <row r="129" spans="1:3">
      <c r="A129" s="14" t="s">
        <v>5672</v>
      </c>
      <c r="B129">
        <v>125</v>
      </c>
      <c r="C129" s="552" t="s">
        <v>5926</v>
      </c>
    </row>
    <row r="130" spans="1:3">
      <c r="A130" s="14" t="s">
        <v>5673</v>
      </c>
      <c r="B130">
        <v>126</v>
      </c>
      <c r="C130" s="552" t="s">
        <v>5923</v>
      </c>
    </row>
    <row r="131" spans="1:3">
      <c r="A131" s="14" t="s">
        <v>5674</v>
      </c>
      <c r="B131">
        <v>256</v>
      </c>
      <c r="C131" s="552" t="s">
        <v>5926</v>
      </c>
    </row>
    <row r="132" spans="1:3">
      <c r="A132" s="446" t="s">
        <v>7556</v>
      </c>
      <c r="B132" s="404">
        <v>128</v>
      </c>
      <c r="C132" s="552" t="s">
        <v>5929</v>
      </c>
    </row>
    <row r="133" spans="1:3">
      <c r="A133" s="14" t="s">
        <v>8922</v>
      </c>
      <c r="B133">
        <v>154</v>
      </c>
      <c r="C133" s="552" t="s">
        <v>5923</v>
      </c>
    </row>
    <row r="134" spans="1:3">
      <c r="A134" s="14" t="s">
        <v>5676</v>
      </c>
      <c r="B134">
        <v>129</v>
      </c>
      <c r="C134" s="552" t="s">
        <v>5927</v>
      </c>
    </row>
    <row r="135" spans="1:3">
      <c r="A135" s="14" t="s">
        <v>5677</v>
      </c>
      <c r="B135">
        <v>130</v>
      </c>
      <c r="C135" s="552" t="s">
        <v>5927</v>
      </c>
    </row>
    <row r="136" spans="1:3">
      <c r="A136" s="14" t="s">
        <v>5678</v>
      </c>
      <c r="B136">
        <v>131</v>
      </c>
      <c r="C136" s="552" t="s">
        <v>5922</v>
      </c>
    </row>
    <row r="137" spans="1:3">
      <c r="A137" s="14" t="s">
        <v>5679</v>
      </c>
      <c r="B137">
        <v>132</v>
      </c>
      <c r="C137" s="552" t="s">
        <v>5922</v>
      </c>
    </row>
    <row r="138" spans="1:3">
      <c r="A138" s="14" t="s">
        <v>5680</v>
      </c>
      <c r="B138">
        <v>133</v>
      </c>
      <c r="C138" s="552" t="s">
        <v>5927</v>
      </c>
    </row>
    <row r="139" spans="1:3">
      <c r="A139" s="14" t="s">
        <v>5681</v>
      </c>
      <c r="B139">
        <v>134</v>
      </c>
      <c r="C139" s="552" t="s">
        <v>5926</v>
      </c>
    </row>
    <row r="140" spans="1:3">
      <c r="A140" s="14" t="s">
        <v>5682</v>
      </c>
      <c r="B140">
        <v>127</v>
      </c>
      <c r="C140" s="552" t="s">
        <v>5925</v>
      </c>
    </row>
    <row r="141" spans="1:3">
      <c r="A141" s="14" t="s">
        <v>5683</v>
      </c>
      <c r="B141">
        <v>135</v>
      </c>
      <c r="C141" s="552" t="s">
        <v>5928</v>
      </c>
    </row>
    <row r="142" spans="1:3">
      <c r="A142" s="14" t="s">
        <v>5684</v>
      </c>
      <c r="B142">
        <v>136</v>
      </c>
      <c r="C142" s="552" t="s">
        <v>5927</v>
      </c>
    </row>
    <row r="143" spans="1:3">
      <c r="A143" s="14" t="s">
        <v>5685</v>
      </c>
      <c r="B143">
        <v>137</v>
      </c>
      <c r="C143" s="552" t="s">
        <v>5922</v>
      </c>
    </row>
    <row r="144" spans="1:3">
      <c r="A144" s="14" t="s">
        <v>5686</v>
      </c>
      <c r="B144">
        <v>270</v>
      </c>
      <c r="C144" s="552" t="s">
        <v>5928</v>
      </c>
    </row>
    <row r="145" spans="1:3">
      <c r="A145" s="14" t="s">
        <v>5687</v>
      </c>
      <c r="B145">
        <v>138</v>
      </c>
      <c r="C145" s="552" t="s">
        <v>5928</v>
      </c>
    </row>
    <row r="146" spans="1:3">
      <c r="A146" s="14" t="s">
        <v>5688</v>
      </c>
      <c r="B146">
        <v>145</v>
      </c>
      <c r="C146" s="552" t="s">
        <v>5925</v>
      </c>
    </row>
    <row r="147" spans="1:3">
      <c r="A147" s="14" t="s">
        <v>5689</v>
      </c>
      <c r="B147">
        <v>146</v>
      </c>
      <c r="C147" s="552" t="s">
        <v>5923</v>
      </c>
    </row>
    <row r="148" spans="1:3">
      <c r="A148" s="14" t="s">
        <v>5955</v>
      </c>
      <c r="B148">
        <v>140</v>
      </c>
      <c r="C148" s="552" t="s">
        <v>5926</v>
      </c>
    </row>
    <row r="149" spans="1:3">
      <c r="A149" s="14" t="s">
        <v>5690</v>
      </c>
      <c r="B149">
        <v>141</v>
      </c>
      <c r="C149" s="552" t="s">
        <v>5929</v>
      </c>
    </row>
    <row r="150" spans="1:3">
      <c r="A150" s="14" t="s">
        <v>5691</v>
      </c>
      <c r="B150">
        <v>273</v>
      </c>
      <c r="C150" s="552" t="s">
        <v>5923</v>
      </c>
    </row>
    <row r="151" spans="1:3">
      <c r="A151" s="14" t="s">
        <v>5692</v>
      </c>
      <c r="B151">
        <v>142</v>
      </c>
      <c r="C151" s="552" t="s">
        <v>5928</v>
      </c>
    </row>
    <row r="152" spans="1:3">
      <c r="A152" s="14" t="s">
        <v>5693</v>
      </c>
      <c r="B152">
        <v>143</v>
      </c>
      <c r="C152" s="552" t="s">
        <v>5924</v>
      </c>
    </row>
    <row r="153" spans="1:3">
      <c r="A153" s="14" t="s">
        <v>5694</v>
      </c>
      <c r="B153">
        <v>144</v>
      </c>
      <c r="C153" s="552" t="s">
        <v>5927</v>
      </c>
    </row>
    <row r="154" spans="1:3">
      <c r="A154" s="14" t="s">
        <v>5695</v>
      </c>
      <c r="B154">
        <v>28</v>
      </c>
      <c r="C154" s="552" t="s">
        <v>5922</v>
      </c>
    </row>
    <row r="155" spans="1:3">
      <c r="A155" s="14" t="s">
        <v>5696</v>
      </c>
      <c r="B155">
        <v>147</v>
      </c>
      <c r="C155" s="552" t="s">
        <v>5927</v>
      </c>
    </row>
    <row r="156" spans="1:3">
      <c r="A156" s="14" t="s">
        <v>5697</v>
      </c>
      <c r="B156">
        <v>148</v>
      </c>
      <c r="C156" s="552" t="s">
        <v>5925</v>
      </c>
    </row>
    <row r="157" spans="1:3">
      <c r="A157" s="14" t="s">
        <v>5698</v>
      </c>
      <c r="B157">
        <v>149</v>
      </c>
      <c r="C157" s="552" t="s">
        <v>5922</v>
      </c>
    </row>
    <row r="158" spans="1:3">
      <c r="A158" s="14" t="s">
        <v>5699</v>
      </c>
      <c r="B158">
        <v>150</v>
      </c>
      <c r="C158" s="552" t="s">
        <v>5926</v>
      </c>
    </row>
    <row r="159" spans="1:3">
      <c r="A159" s="14" t="s">
        <v>5700</v>
      </c>
      <c r="B159">
        <v>151</v>
      </c>
      <c r="C159" s="552" t="s">
        <v>5925</v>
      </c>
    </row>
    <row r="160" spans="1:3">
      <c r="A160" s="14" t="s">
        <v>5701</v>
      </c>
      <c r="B160">
        <v>153</v>
      </c>
      <c r="C160" s="552" t="s">
        <v>5928</v>
      </c>
    </row>
    <row r="161" spans="1:3">
      <c r="A161" s="14" t="s">
        <v>5702</v>
      </c>
      <c r="B161">
        <v>156</v>
      </c>
      <c r="C161" s="552" t="s">
        <v>5925</v>
      </c>
    </row>
    <row r="162" spans="1:3">
      <c r="A162" s="14" t="s">
        <v>5703</v>
      </c>
      <c r="B162">
        <v>157</v>
      </c>
      <c r="C162" s="552" t="s">
        <v>5928</v>
      </c>
    </row>
    <row r="163" spans="1:3">
      <c r="A163" s="14" t="s">
        <v>5704</v>
      </c>
      <c r="B163">
        <v>158</v>
      </c>
      <c r="C163" s="552" t="s">
        <v>5927</v>
      </c>
    </row>
    <row r="164" spans="1:3">
      <c r="A164" s="14" t="s">
        <v>5705</v>
      </c>
      <c r="B164">
        <v>159</v>
      </c>
      <c r="C164" s="552" t="s">
        <v>5927</v>
      </c>
    </row>
    <row r="165" spans="1:3">
      <c r="A165" s="14" t="s">
        <v>5706</v>
      </c>
      <c r="B165">
        <v>160</v>
      </c>
      <c r="C165" s="552" t="s">
        <v>5925</v>
      </c>
    </row>
    <row r="166" spans="1:3">
      <c r="A166" s="14" t="s">
        <v>5707</v>
      </c>
      <c r="B166">
        <v>161</v>
      </c>
      <c r="C166" s="552" t="s">
        <v>5928</v>
      </c>
    </row>
    <row r="167" spans="1:3">
      <c r="A167" s="14" t="s">
        <v>5708</v>
      </c>
      <c r="B167">
        <v>163</v>
      </c>
      <c r="C167" s="552" t="s">
        <v>5928</v>
      </c>
    </row>
    <row r="168" spans="1:3">
      <c r="A168" s="14" t="s">
        <v>5709</v>
      </c>
      <c r="B168">
        <v>162</v>
      </c>
      <c r="C168" s="552" t="s">
        <v>5926</v>
      </c>
    </row>
    <row r="169" spans="1:3">
      <c r="A169" s="14" t="s">
        <v>5710</v>
      </c>
      <c r="B169">
        <v>299</v>
      </c>
      <c r="C169" s="552" t="s">
        <v>5924</v>
      </c>
    </row>
    <row r="170" spans="1:3">
      <c r="A170" s="14" t="s">
        <v>5711</v>
      </c>
      <c r="B170">
        <v>221</v>
      </c>
      <c r="C170" s="552" t="s">
        <v>5924</v>
      </c>
    </row>
    <row r="171" spans="1:3">
      <c r="A171" s="14" t="s">
        <v>5956</v>
      </c>
      <c r="B171">
        <v>164</v>
      </c>
      <c r="C171" s="552" t="s">
        <v>5925</v>
      </c>
    </row>
    <row r="172" spans="1:3">
      <c r="A172" s="14" t="s">
        <v>5713</v>
      </c>
      <c r="B172">
        <v>165</v>
      </c>
      <c r="C172" s="552" t="s">
        <v>5922</v>
      </c>
    </row>
    <row r="173" spans="1:3">
      <c r="A173" s="14" t="s">
        <v>5714</v>
      </c>
      <c r="B173">
        <v>180</v>
      </c>
      <c r="C173" s="552" t="s">
        <v>5925</v>
      </c>
    </row>
    <row r="174" spans="1:3">
      <c r="A174" s="14" t="s">
        <v>5715</v>
      </c>
      <c r="B174">
        <v>166</v>
      </c>
      <c r="C174" s="552" t="s">
        <v>5928</v>
      </c>
    </row>
    <row r="175" spans="1:3">
      <c r="A175" s="14" t="s">
        <v>5716</v>
      </c>
      <c r="B175">
        <v>168</v>
      </c>
      <c r="C175" s="552" t="s">
        <v>5922</v>
      </c>
    </row>
    <row r="176" spans="1:3">
      <c r="A176" s="14" t="s">
        <v>5717</v>
      </c>
      <c r="B176">
        <v>169</v>
      </c>
      <c r="C176" s="552" t="s">
        <v>5928</v>
      </c>
    </row>
    <row r="177" spans="1:3">
      <c r="A177" s="14" t="s">
        <v>5718</v>
      </c>
      <c r="B177">
        <v>170</v>
      </c>
      <c r="C177" s="552" t="s">
        <v>5928</v>
      </c>
    </row>
    <row r="178" spans="1:3">
      <c r="A178" s="14" t="s">
        <v>5719</v>
      </c>
      <c r="B178">
        <v>171</v>
      </c>
      <c r="C178" s="552" t="s">
        <v>5922</v>
      </c>
    </row>
    <row r="179" spans="1:3">
      <c r="A179" s="14" t="s">
        <v>5720</v>
      </c>
      <c r="B179">
        <v>172</v>
      </c>
      <c r="C179" s="552" t="s">
        <v>5928</v>
      </c>
    </row>
    <row r="180" spans="1:3">
      <c r="A180" s="14" t="s">
        <v>5721</v>
      </c>
      <c r="B180">
        <v>173</v>
      </c>
      <c r="C180" s="552" t="s">
        <v>5923</v>
      </c>
    </row>
    <row r="181" spans="1:3">
      <c r="A181" s="14" t="s">
        <v>5722</v>
      </c>
      <c r="B181">
        <v>174</v>
      </c>
      <c r="C181" s="552" t="s">
        <v>5926</v>
      </c>
    </row>
    <row r="182" spans="1:3">
      <c r="A182" s="14" t="s">
        <v>5723</v>
      </c>
      <c r="B182">
        <v>177</v>
      </c>
      <c r="C182" s="552" t="s">
        <v>5928</v>
      </c>
    </row>
    <row r="183" spans="1:3">
      <c r="A183" s="14" t="s">
        <v>5724</v>
      </c>
      <c r="B183">
        <v>179</v>
      </c>
      <c r="C183" s="552" t="s">
        <v>5924</v>
      </c>
    </row>
    <row r="184" spans="1:3">
      <c r="A184" s="14" t="s">
        <v>5725</v>
      </c>
      <c r="B184">
        <v>182</v>
      </c>
      <c r="C184" s="552" t="s">
        <v>5928</v>
      </c>
    </row>
    <row r="185" spans="1:3">
      <c r="A185" s="14" t="s">
        <v>5726</v>
      </c>
      <c r="B185">
        <v>183</v>
      </c>
      <c r="C185" s="552" t="s">
        <v>5923</v>
      </c>
    </row>
    <row r="186" spans="1:3">
      <c r="A186" s="14" t="s">
        <v>5727</v>
      </c>
      <c r="B186">
        <v>185</v>
      </c>
      <c r="C186" s="552" t="s">
        <v>5922</v>
      </c>
    </row>
    <row r="187" spans="1:3">
      <c r="A187" s="14" t="s">
        <v>5728</v>
      </c>
      <c r="B187">
        <v>184</v>
      </c>
      <c r="C187" s="552" t="s">
        <v>5927</v>
      </c>
    </row>
    <row r="188" spans="1:3">
      <c r="A188" s="14" t="s">
        <v>5734</v>
      </c>
      <c r="B188">
        <v>244</v>
      </c>
      <c r="C188" s="552" t="s">
        <v>5925</v>
      </c>
    </row>
    <row r="189" spans="1:3">
      <c r="A189" s="14" t="s">
        <v>5735</v>
      </c>
      <c r="B189">
        <v>192</v>
      </c>
      <c r="C189" s="552" t="s">
        <v>5926</v>
      </c>
    </row>
    <row r="190" spans="1:3">
      <c r="A190" s="14" t="s">
        <v>5736</v>
      </c>
      <c r="B190">
        <v>193</v>
      </c>
      <c r="C190" s="552" t="s">
        <v>5927</v>
      </c>
    </row>
    <row r="191" spans="1:3">
      <c r="A191" s="14" t="s">
        <v>5737</v>
      </c>
      <c r="B191">
        <v>194</v>
      </c>
      <c r="C191" s="552" t="s">
        <v>5924</v>
      </c>
    </row>
    <row r="192" spans="1:3">
      <c r="A192" s="14" t="s">
        <v>5738</v>
      </c>
      <c r="B192">
        <v>195</v>
      </c>
      <c r="C192" s="552" t="s">
        <v>5927</v>
      </c>
    </row>
    <row r="193" spans="1:3">
      <c r="A193" s="14" t="s">
        <v>5739</v>
      </c>
      <c r="B193">
        <v>272</v>
      </c>
      <c r="C193" s="552" t="s">
        <v>5923</v>
      </c>
    </row>
    <row r="194" spans="1:3">
      <c r="A194" s="14" t="s">
        <v>5740</v>
      </c>
      <c r="B194">
        <v>186</v>
      </c>
      <c r="C194" s="552" t="s">
        <v>5923</v>
      </c>
    </row>
    <row r="195" spans="1:3">
      <c r="A195" s="14" t="s">
        <v>5741</v>
      </c>
      <c r="B195">
        <v>196</v>
      </c>
      <c r="C195" s="552" t="s">
        <v>5927</v>
      </c>
    </row>
    <row r="196" spans="1:3">
      <c r="A196" s="14" t="s">
        <v>5742</v>
      </c>
      <c r="B196">
        <v>197</v>
      </c>
      <c r="C196" s="552" t="s">
        <v>5927</v>
      </c>
    </row>
    <row r="197" spans="1:3">
      <c r="A197" s="14" t="s">
        <v>5743</v>
      </c>
      <c r="B197">
        <v>200</v>
      </c>
      <c r="C197" s="552" t="s">
        <v>5922</v>
      </c>
    </row>
    <row r="198" spans="1:3">
      <c r="A198" s="14" t="s">
        <v>5744</v>
      </c>
      <c r="B198">
        <v>199</v>
      </c>
      <c r="C198" s="552" t="s">
        <v>5923</v>
      </c>
    </row>
    <row r="199" spans="1:3">
      <c r="A199" s="14" t="s">
        <v>5745</v>
      </c>
      <c r="B199">
        <v>198</v>
      </c>
      <c r="C199" s="552" t="s">
        <v>5923</v>
      </c>
    </row>
    <row r="200" spans="1:3">
      <c r="A200" s="14" t="s">
        <v>5746</v>
      </c>
      <c r="B200">
        <v>25</v>
      </c>
      <c r="C200" s="552" t="s">
        <v>5925</v>
      </c>
    </row>
    <row r="201" spans="1:3">
      <c r="A201" s="14" t="s">
        <v>5747</v>
      </c>
      <c r="B201">
        <v>201</v>
      </c>
      <c r="C201" s="552" t="s">
        <v>5927</v>
      </c>
    </row>
    <row r="202" spans="1:3">
      <c r="A202" s="14" t="s">
        <v>5748</v>
      </c>
      <c r="B202">
        <v>202</v>
      </c>
      <c r="C202" s="552" t="s">
        <v>5927</v>
      </c>
    </row>
    <row r="203" spans="1:3">
      <c r="A203" s="14" t="s">
        <v>5749</v>
      </c>
      <c r="B203">
        <v>203</v>
      </c>
      <c r="C203" s="552" t="s">
        <v>5926</v>
      </c>
    </row>
    <row r="204" spans="1:3">
      <c r="A204" s="14" t="s">
        <v>5750</v>
      </c>
      <c r="B204">
        <v>38</v>
      </c>
      <c r="C204" s="552" t="s">
        <v>5922</v>
      </c>
    </row>
    <row r="205" spans="1:3">
      <c r="A205" s="14" t="s">
        <v>5729</v>
      </c>
      <c r="B205">
        <v>187</v>
      </c>
      <c r="C205" s="552" t="s">
        <v>2738</v>
      </c>
    </row>
    <row r="206" spans="1:3">
      <c r="A206" s="14" t="s">
        <v>5730</v>
      </c>
      <c r="B206">
        <v>188</v>
      </c>
      <c r="C206" s="552" t="s">
        <v>5928</v>
      </c>
    </row>
    <row r="207" spans="1:3">
      <c r="A207" s="14" t="s">
        <v>5731</v>
      </c>
      <c r="B207">
        <v>189</v>
      </c>
      <c r="C207" s="552" t="s">
        <v>5928</v>
      </c>
    </row>
    <row r="208" spans="1:3">
      <c r="A208" s="14" t="s">
        <v>5732</v>
      </c>
      <c r="B208">
        <v>190</v>
      </c>
      <c r="C208" s="552" t="s">
        <v>2738</v>
      </c>
    </row>
    <row r="209" spans="1:3">
      <c r="A209" s="14" t="s">
        <v>5733</v>
      </c>
      <c r="B209">
        <v>191</v>
      </c>
      <c r="C209" s="552" t="s">
        <v>5928</v>
      </c>
    </row>
    <row r="210" spans="1:3">
      <c r="A210" s="486" t="s">
        <v>6192</v>
      </c>
      <c r="B210" s="487">
        <v>277</v>
      </c>
      <c r="C210" s="552" t="s">
        <v>5927</v>
      </c>
    </row>
    <row r="211" spans="1:3">
      <c r="A211" s="486" t="s">
        <v>5751</v>
      </c>
      <c r="B211" s="487">
        <v>276</v>
      </c>
      <c r="C211" s="552" t="s">
        <v>5927</v>
      </c>
    </row>
    <row r="212" spans="1:3">
      <c r="A212" s="486" t="s">
        <v>6191</v>
      </c>
      <c r="B212">
        <v>206</v>
      </c>
      <c r="C212" s="552" t="s">
        <v>5927</v>
      </c>
    </row>
    <row r="213" spans="1:3">
      <c r="A213" s="14" t="s">
        <v>5752</v>
      </c>
      <c r="B213">
        <v>207</v>
      </c>
      <c r="C213" s="552" t="s">
        <v>5928</v>
      </c>
    </row>
    <row r="214" spans="1:3">
      <c r="A214" s="14" t="s">
        <v>8836</v>
      </c>
      <c r="B214">
        <v>209</v>
      </c>
      <c r="C214" s="552" t="s">
        <v>5927</v>
      </c>
    </row>
    <row r="215" spans="1:3">
      <c r="A215" s="14" t="s">
        <v>5753</v>
      </c>
      <c r="B215">
        <v>210</v>
      </c>
      <c r="C215" s="552" t="s">
        <v>5926</v>
      </c>
    </row>
    <row r="216" spans="1:3">
      <c r="A216" s="14" t="s">
        <v>5754</v>
      </c>
      <c r="B216">
        <v>211</v>
      </c>
      <c r="C216" s="552" t="s">
        <v>5926</v>
      </c>
    </row>
    <row r="217" spans="1:3">
      <c r="A217" s="14" t="s">
        <v>5755</v>
      </c>
      <c r="B217">
        <v>212</v>
      </c>
      <c r="C217" s="552" t="s">
        <v>5924</v>
      </c>
    </row>
    <row r="218" spans="1:3">
      <c r="A218" s="210" t="s">
        <v>5756</v>
      </c>
      <c r="B218">
        <v>214</v>
      </c>
      <c r="C218" s="571" t="s">
        <v>5929</v>
      </c>
    </row>
    <row r="219" spans="1:3">
      <c r="A219" s="14" t="s">
        <v>5757</v>
      </c>
      <c r="B219">
        <v>208</v>
      </c>
      <c r="C219" s="552" t="s">
        <v>5922</v>
      </c>
    </row>
    <row r="220" spans="1:3">
      <c r="A220" s="14" t="s">
        <v>5758</v>
      </c>
      <c r="B220">
        <v>215</v>
      </c>
      <c r="C220" s="552" t="s">
        <v>5927</v>
      </c>
    </row>
    <row r="221" spans="1:3">
      <c r="A221" s="14" t="s">
        <v>5759</v>
      </c>
      <c r="B221">
        <v>216</v>
      </c>
      <c r="C221" s="552" t="s">
        <v>5922</v>
      </c>
    </row>
    <row r="222" spans="1:3">
      <c r="A222" s="14" t="s">
        <v>5760</v>
      </c>
      <c r="B222">
        <v>176</v>
      </c>
      <c r="C222" s="552" t="s">
        <v>5922</v>
      </c>
    </row>
    <row r="223" spans="1:3">
      <c r="A223" s="14" t="s">
        <v>5761</v>
      </c>
      <c r="B223">
        <v>217</v>
      </c>
      <c r="C223" s="552" t="s">
        <v>5927</v>
      </c>
    </row>
    <row r="224" spans="1:3">
      <c r="A224" s="14" t="s">
        <v>5762</v>
      </c>
      <c r="B224">
        <v>218</v>
      </c>
      <c r="C224" s="552" t="s">
        <v>5928</v>
      </c>
    </row>
    <row r="225" spans="1:3">
      <c r="A225" s="14" t="s">
        <v>5763</v>
      </c>
      <c r="B225">
        <v>219</v>
      </c>
      <c r="C225" s="552" t="s">
        <v>5925</v>
      </c>
    </row>
    <row r="226" spans="1:3">
      <c r="A226" s="14" t="s">
        <v>5764</v>
      </c>
      <c r="B226">
        <v>220</v>
      </c>
      <c r="C226" s="552" t="s">
        <v>5928</v>
      </c>
    </row>
    <row r="227" spans="1:3">
      <c r="A227" s="14" t="s">
        <v>5765</v>
      </c>
      <c r="B227">
        <v>222</v>
      </c>
      <c r="C227" s="552" t="s">
        <v>5924</v>
      </c>
    </row>
    <row r="228" spans="1:3">
      <c r="A228" s="14" t="s">
        <v>5766</v>
      </c>
      <c r="B228">
        <v>223</v>
      </c>
      <c r="C228" s="552" t="s">
        <v>5924</v>
      </c>
    </row>
    <row r="229" spans="1:3">
      <c r="A229" s="14" t="s">
        <v>5767</v>
      </c>
      <c r="B229">
        <v>213</v>
      </c>
      <c r="C229" s="552" t="s">
        <v>5922</v>
      </c>
    </row>
    <row r="230" spans="1:3">
      <c r="A230" s="14" t="s">
        <v>5768</v>
      </c>
      <c r="B230">
        <v>224</v>
      </c>
      <c r="C230" s="552" t="s">
        <v>5928</v>
      </c>
    </row>
    <row r="231" spans="1:3">
      <c r="A231" s="14" t="s">
        <v>5769</v>
      </c>
      <c r="B231">
        <v>227</v>
      </c>
      <c r="C231" s="552" t="s">
        <v>5925</v>
      </c>
    </row>
    <row r="232" spans="1:3">
      <c r="A232" s="14" t="s">
        <v>5770</v>
      </c>
      <c r="B232">
        <v>226</v>
      </c>
      <c r="C232" s="552" t="s">
        <v>5927</v>
      </c>
    </row>
    <row r="233" spans="1:3">
      <c r="A233" s="14" t="s">
        <v>5771</v>
      </c>
      <c r="B233">
        <v>230</v>
      </c>
      <c r="C233" s="552" t="s">
        <v>5923</v>
      </c>
    </row>
    <row r="234" spans="1:3">
      <c r="A234" s="14" t="s">
        <v>5772</v>
      </c>
      <c r="B234">
        <v>225</v>
      </c>
      <c r="C234" s="552" t="s">
        <v>5924</v>
      </c>
    </row>
    <row r="235" spans="1:3">
      <c r="A235" s="14" t="s">
        <v>5773</v>
      </c>
      <c r="B235">
        <v>229</v>
      </c>
      <c r="C235" s="552" t="s">
        <v>5926</v>
      </c>
    </row>
    <row r="236" spans="1:3">
      <c r="A236" s="14" t="s">
        <v>5774</v>
      </c>
      <c r="B236">
        <v>231</v>
      </c>
      <c r="C236" s="552" t="s">
        <v>5925</v>
      </c>
    </row>
    <row r="237" spans="1:3">
      <c r="A237" s="14" t="s">
        <v>5775</v>
      </c>
      <c r="B237">
        <v>234</v>
      </c>
      <c r="C237" s="552" t="s">
        <v>5928</v>
      </c>
    </row>
    <row r="238" spans="1:3">
      <c r="A238" s="14" t="s">
        <v>5957</v>
      </c>
      <c r="B238">
        <v>240</v>
      </c>
      <c r="C238" s="552" t="s">
        <v>5925</v>
      </c>
    </row>
    <row r="239" spans="1:3">
      <c r="A239" s="14" t="s">
        <v>5776</v>
      </c>
      <c r="B239">
        <v>228</v>
      </c>
      <c r="C239" s="552" t="s">
        <v>5922</v>
      </c>
    </row>
    <row r="240" spans="1:3">
      <c r="A240" s="14" t="s">
        <v>5777</v>
      </c>
      <c r="B240">
        <v>235</v>
      </c>
      <c r="C240" s="552" t="s">
        <v>5922</v>
      </c>
    </row>
    <row r="241" spans="1:3">
      <c r="A241" s="14" t="s">
        <v>5778</v>
      </c>
      <c r="B241">
        <v>155</v>
      </c>
      <c r="C241" s="552" t="s">
        <v>5925</v>
      </c>
    </row>
    <row r="242" spans="1:3">
      <c r="A242" s="14" t="s">
        <v>5779</v>
      </c>
      <c r="B242">
        <v>236</v>
      </c>
      <c r="C242" s="552" t="s">
        <v>5928</v>
      </c>
    </row>
    <row r="243" spans="1:3">
      <c r="A243" s="14" t="s">
        <v>5780</v>
      </c>
      <c r="B243">
        <v>237</v>
      </c>
      <c r="C243" s="552" t="s">
        <v>5922</v>
      </c>
    </row>
    <row r="244" spans="1:3">
      <c r="A244" s="14" t="s">
        <v>5781</v>
      </c>
      <c r="B244">
        <v>242</v>
      </c>
      <c r="C244" s="552" t="s">
        <v>5928</v>
      </c>
    </row>
    <row r="245" spans="1:3">
      <c r="A245" s="14" t="s">
        <v>5782</v>
      </c>
      <c r="B245">
        <v>243</v>
      </c>
      <c r="C245" s="552" t="s">
        <v>5928</v>
      </c>
    </row>
    <row r="246" spans="1:3">
      <c r="A246" s="14" t="s">
        <v>5783</v>
      </c>
      <c r="B246">
        <v>205</v>
      </c>
      <c r="C246" s="552" t="s">
        <v>5924</v>
      </c>
    </row>
    <row r="247" spans="1:3">
      <c r="A247" s="14" t="s">
        <v>5784</v>
      </c>
      <c r="B247">
        <v>249</v>
      </c>
      <c r="C247" s="552" t="s">
        <v>5924</v>
      </c>
    </row>
    <row r="248" spans="1:3">
      <c r="A248" s="14" t="s">
        <v>5785</v>
      </c>
      <c r="B248">
        <v>248</v>
      </c>
      <c r="C248" s="552" t="s">
        <v>5923</v>
      </c>
    </row>
    <row r="249" spans="1:3">
      <c r="A249" s="14" t="s">
        <v>5786</v>
      </c>
      <c r="B249">
        <v>251</v>
      </c>
      <c r="C249" s="552" t="s">
        <v>5927</v>
      </c>
    </row>
    <row r="250" spans="1:3">
      <c r="A250" s="210" t="s">
        <v>5594</v>
      </c>
      <c r="B250">
        <v>351</v>
      </c>
      <c r="C250" s="571" t="s">
        <v>5929</v>
      </c>
    </row>
    <row r="251" spans="1:3">
      <c r="A251" s="14" t="s">
        <v>5787</v>
      </c>
      <c r="B251">
        <v>181</v>
      </c>
      <c r="C251" s="552" t="s">
        <v>5927</v>
      </c>
    </row>
    <row r="252" spans="1:3">
      <c r="A252" s="19" t="s">
        <v>2966</v>
      </c>
      <c r="B252" s="20">
        <v>5001</v>
      </c>
      <c r="C252" s="554" t="s">
        <v>5930</v>
      </c>
    </row>
  </sheetData>
  <hyperlinks>
    <hyperlink ref="E3" location="residue_supply_n!A1" display="residue_supply_n" xr:uid="{00000000-0004-0000-2400-000000000000}"/>
  </hyperlinks>
  <pageMargins left="0.75" right="0.75" top="1" bottom="1" header="0.5" footer="0.5"/>
  <pageSetup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9">
    <tabColor theme="7"/>
  </sheetPr>
  <dimension ref="A2:V60"/>
  <sheetViews>
    <sheetView zoomScaleNormal="100" workbookViewId="0">
      <selection activeCell="A65536" sqref="A65536"/>
    </sheetView>
  </sheetViews>
  <sheetFormatPr defaultColWidth="9.1796875" defaultRowHeight="12.5"/>
  <cols>
    <col min="1" max="1" width="45.54296875" style="273" customWidth="1"/>
    <col min="2" max="2" width="21.453125" style="273" customWidth="1"/>
    <col min="3" max="3" width="14.81640625" style="273" customWidth="1"/>
    <col min="4" max="4" width="12.7265625" style="273" customWidth="1"/>
    <col min="5" max="5" width="16.26953125" style="273" customWidth="1"/>
    <col min="6" max="6" width="19.453125" style="273" customWidth="1"/>
    <col min="7" max="7" width="23" style="273" customWidth="1"/>
    <col min="8" max="8" width="17.1796875" style="273" customWidth="1"/>
    <col min="9" max="9" width="24.81640625" style="273" customWidth="1"/>
    <col min="10" max="10" width="12.26953125" style="273" customWidth="1"/>
    <col min="11" max="11" width="9.7265625" style="273" customWidth="1"/>
    <col min="12" max="13" width="9.1796875" style="273" customWidth="1"/>
    <col min="14" max="14" width="17.1796875" style="273" customWidth="1"/>
    <col min="15" max="15" width="2.81640625" style="273" customWidth="1"/>
    <col min="16" max="16" width="4.7265625" style="273" customWidth="1"/>
    <col min="17" max="17" width="3.453125" style="273" customWidth="1"/>
    <col min="18" max="18" width="5.7265625" style="273" customWidth="1"/>
    <col min="19" max="19" width="3.26953125" style="273" customWidth="1"/>
    <col min="20" max="20" width="4.7265625" style="273" customWidth="1"/>
    <col min="21" max="21" width="3.26953125" style="273" customWidth="1"/>
    <col min="22" max="22" width="4.54296875" style="273" customWidth="1"/>
    <col min="23" max="23" width="3.26953125" style="273" customWidth="1"/>
    <col min="24" max="24" width="4.7265625" style="273" customWidth="1"/>
    <col min="25" max="25" width="3.453125" style="273" customWidth="1"/>
    <col min="26" max="26" width="4.54296875" style="273" customWidth="1"/>
    <col min="27" max="27" width="3.1796875" style="273" customWidth="1"/>
    <col min="28" max="28" width="4.1796875" style="273" customWidth="1"/>
    <col min="29" max="29" width="3.1796875" style="273" customWidth="1"/>
    <col min="30" max="16384" width="9.1796875" style="273"/>
  </cols>
  <sheetData>
    <row r="2" spans="1:15" ht="13">
      <c r="B2" s="274" t="s">
        <v>985</v>
      </c>
    </row>
    <row r="3" spans="1:15" ht="25.5" customHeight="1">
      <c r="B3" s="275" t="s">
        <v>986</v>
      </c>
      <c r="C3" s="489" t="s">
        <v>4</v>
      </c>
    </row>
    <row r="4" spans="1:15" s="276" customFormat="1" ht="42" customHeight="1">
      <c r="A4" s="982"/>
      <c r="B4" s="928" t="s">
        <v>5938</v>
      </c>
      <c r="C4" s="928" t="s">
        <v>5921</v>
      </c>
      <c r="D4" s="928" t="s">
        <v>5915</v>
      </c>
      <c r="E4" s="928" t="s">
        <v>5939</v>
      </c>
      <c r="F4" s="928" t="s">
        <v>5940</v>
      </c>
      <c r="G4" s="928" t="s">
        <v>5941</v>
      </c>
      <c r="H4" s="928" t="s">
        <v>5914</v>
      </c>
      <c r="I4" s="928" t="s">
        <v>5942</v>
      </c>
      <c r="J4" s="928" t="s">
        <v>5918</v>
      </c>
      <c r="K4" s="929"/>
      <c r="O4" s="273"/>
    </row>
    <row r="5" spans="1:15" s="276" customFormat="1" ht="15" customHeight="1">
      <c r="A5" s="1126"/>
      <c r="B5" s="1127"/>
      <c r="C5" s="1127" t="s">
        <v>5929</v>
      </c>
      <c r="D5" s="1127" t="s">
        <v>5923</v>
      </c>
      <c r="E5" s="1127" t="s">
        <v>5928</v>
      </c>
      <c r="F5" s="1127" t="s">
        <v>5924</v>
      </c>
      <c r="G5" s="1127" t="s">
        <v>5925</v>
      </c>
      <c r="H5" s="1127" t="s">
        <v>5922</v>
      </c>
      <c r="I5" s="1127" t="s">
        <v>5927</v>
      </c>
      <c r="J5" s="1127" t="s">
        <v>5926</v>
      </c>
      <c r="K5" s="1128" t="s">
        <v>5930</v>
      </c>
      <c r="L5" s="277"/>
      <c r="N5" s="278"/>
      <c r="O5" s="279"/>
    </row>
    <row r="6" spans="1:15" ht="12.75" customHeight="1">
      <c r="A6" s="14" t="s">
        <v>5943</v>
      </c>
      <c r="B6"/>
      <c r="C6"/>
      <c r="D6"/>
      <c r="E6"/>
      <c r="F6"/>
      <c r="G6"/>
      <c r="H6"/>
      <c r="I6"/>
      <c r="J6"/>
      <c r="K6" s="89"/>
      <c r="L6" s="277"/>
    </row>
    <row r="7" spans="1:15">
      <c r="A7" s="14"/>
      <c r="B7" t="s">
        <v>2166</v>
      </c>
      <c r="C7" s="2">
        <v>1.5</v>
      </c>
      <c r="D7" s="2">
        <v>1.5</v>
      </c>
      <c r="E7" s="2">
        <v>1.5</v>
      </c>
      <c r="F7" s="2">
        <v>1.5</v>
      </c>
      <c r="G7" s="2">
        <v>1.2</v>
      </c>
      <c r="H7" s="2">
        <v>1.7</v>
      </c>
      <c r="I7" s="2">
        <v>2.2999999999999998</v>
      </c>
      <c r="J7" s="2">
        <v>1</v>
      </c>
      <c r="K7" s="54"/>
      <c r="L7" s="277"/>
    </row>
    <row r="8" spans="1:15">
      <c r="A8" s="14"/>
      <c r="B8" t="s">
        <v>2167</v>
      </c>
      <c r="C8" s="2">
        <v>1</v>
      </c>
      <c r="D8" s="2">
        <v>1.2</v>
      </c>
      <c r="E8" s="2">
        <v>1.2</v>
      </c>
      <c r="F8" s="2">
        <v>1.2</v>
      </c>
      <c r="G8" s="2">
        <v>1.2</v>
      </c>
      <c r="H8" s="2">
        <v>1.5</v>
      </c>
      <c r="I8" s="2">
        <v>1.5</v>
      </c>
      <c r="J8" s="2">
        <v>1.2</v>
      </c>
      <c r="K8" s="54"/>
      <c r="L8" s="277"/>
    </row>
    <row r="9" spans="1:15">
      <c r="A9" s="14"/>
      <c r="B9" t="s">
        <v>2057</v>
      </c>
      <c r="C9" s="2">
        <v>3</v>
      </c>
      <c r="D9" s="2">
        <v>1.9</v>
      </c>
      <c r="E9" s="2">
        <v>3</v>
      </c>
      <c r="F9" s="2">
        <v>3</v>
      </c>
      <c r="G9" s="2">
        <v>1.2</v>
      </c>
      <c r="H9" s="2">
        <v>3.5</v>
      </c>
      <c r="I9" s="2">
        <v>3.5</v>
      </c>
      <c r="J9" s="2">
        <v>1.2</v>
      </c>
      <c r="K9" s="54"/>
      <c r="L9" s="277"/>
    </row>
    <row r="10" spans="1:15">
      <c r="A10" s="14"/>
      <c r="B10" t="s">
        <v>2774</v>
      </c>
      <c r="C10" s="2">
        <v>3</v>
      </c>
      <c r="D10" s="2">
        <v>1.9</v>
      </c>
      <c r="E10" s="2">
        <v>3</v>
      </c>
      <c r="F10" s="2">
        <v>3</v>
      </c>
      <c r="G10" s="2">
        <v>1.2</v>
      </c>
      <c r="H10" s="2">
        <v>3.5</v>
      </c>
      <c r="I10" s="2">
        <v>3.5</v>
      </c>
      <c r="J10" s="2">
        <v>1.2</v>
      </c>
      <c r="K10" s="54"/>
      <c r="L10" s="277"/>
    </row>
    <row r="11" spans="1:15">
      <c r="A11" s="14"/>
      <c r="B11" t="s">
        <v>2681</v>
      </c>
      <c r="C11" s="2">
        <v>3</v>
      </c>
      <c r="D11" s="2">
        <v>1.9</v>
      </c>
      <c r="E11" s="2">
        <v>3</v>
      </c>
      <c r="F11" s="2">
        <v>3</v>
      </c>
      <c r="G11" s="2">
        <v>1.2</v>
      </c>
      <c r="H11" s="2">
        <v>3.5</v>
      </c>
      <c r="I11" s="2">
        <v>3.5</v>
      </c>
      <c r="J11" s="2">
        <v>1.2</v>
      </c>
      <c r="K11" s="54"/>
      <c r="L11" s="277"/>
    </row>
    <row r="12" spans="1:15">
      <c r="A12" s="14"/>
      <c r="B12" t="s">
        <v>2379</v>
      </c>
      <c r="C12" s="2">
        <v>1</v>
      </c>
      <c r="D12" s="2">
        <v>1</v>
      </c>
      <c r="E12" s="2">
        <v>1</v>
      </c>
      <c r="F12" s="2">
        <v>1</v>
      </c>
      <c r="G12" s="2">
        <v>1</v>
      </c>
      <c r="H12" s="2">
        <v>1</v>
      </c>
      <c r="I12" s="2">
        <v>1</v>
      </c>
      <c r="J12" s="2">
        <v>1</v>
      </c>
      <c r="K12" s="54"/>
      <c r="L12" s="277"/>
    </row>
    <row r="13" spans="1:15">
      <c r="A13" s="14"/>
      <c r="B13" t="s">
        <v>4505</v>
      </c>
      <c r="C13" s="2">
        <v>0.8</v>
      </c>
      <c r="D13" s="2">
        <v>0.8</v>
      </c>
      <c r="E13" s="2">
        <v>0.8</v>
      </c>
      <c r="F13" s="2">
        <v>0.8</v>
      </c>
      <c r="G13" s="2">
        <v>0.8</v>
      </c>
      <c r="H13" s="2">
        <v>0.8</v>
      </c>
      <c r="I13" s="2">
        <v>0.8</v>
      </c>
      <c r="J13" s="2">
        <v>0.8</v>
      </c>
      <c r="K13" s="54"/>
      <c r="L13" s="277"/>
    </row>
    <row r="14" spans="1:15">
      <c r="A14" s="14"/>
      <c r="B14" t="s">
        <v>1038</v>
      </c>
      <c r="C14" s="2">
        <v>0.7</v>
      </c>
      <c r="D14" s="2">
        <v>0.7</v>
      </c>
      <c r="E14" s="2">
        <v>0.7</v>
      </c>
      <c r="F14" s="2">
        <v>0.7</v>
      </c>
      <c r="G14" s="2">
        <v>0.7</v>
      </c>
      <c r="H14" s="2">
        <v>0.7</v>
      </c>
      <c r="I14" s="2">
        <v>0.7</v>
      </c>
      <c r="J14" s="2">
        <v>0.7</v>
      </c>
      <c r="K14" s="54"/>
      <c r="L14" s="277"/>
    </row>
    <row r="15" spans="1:15">
      <c r="A15" s="14"/>
      <c r="B15" t="s">
        <v>2380</v>
      </c>
      <c r="C15" s="2">
        <v>0.7</v>
      </c>
      <c r="D15" s="2">
        <v>0.5</v>
      </c>
      <c r="E15" s="2">
        <v>0.7</v>
      </c>
      <c r="F15" s="2">
        <v>0.7</v>
      </c>
      <c r="G15" s="2">
        <v>0.5</v>
      </c>
      <c r="H15" s="2">
        <v>0.7</v>
      </c>
      <c r="I15" s="2">
        <v>0.7</v>
      </c>
      <c r="J15" s="2">
        <v>0.5</v>
      </c>
      <c r="K15" s="54"/>
      <c r="L15" s="277"/>
    </row>
    <row r="16" spans="1:15">
      <c r="A16" s="14"/>
      <c r="B16" t="s">
        <v>4905</v>
      </c>
      <c r="C16" s="2">
        <v>0.4</v>
      </c>
      <c r="D16" s="2">
        <v>1</v>
      </c>
      <c r="E16" s="2">
        <v>0.4</v>
      </c>
      <c r="F16" s="2">
        <v>0.4</v>
      </c>
      <c r="G16" s="2">
        <v>1</v>
      </c>
      <c r="H16" s="2">
        <v>0.4</v>
      </c>
      <c r="I16" s="2">
        <v>0.4</v>
      </c>
      <c r="J16" s="2">
        <v>1</v>
      </c>
      <c r="K16" s="54"/>
      <c r="L16" s="277"/>
    </row>
    <row r="17" spans="1:12">
      <c r="A17" s="14"/>
      <c r="B17" t="s">
        <v>3905</v>
      </c>
      <c r="C17" s="2">
        <v>1.2</v>
      </c>
      <c r="D17" s="2">
        <v>1.5</v>
      </c>
      <c r="E17" s="2">
        <v>1.5</v>
      </c>
      <c r="F17" s="2">
        <v>1.5</v>
      </c>
      <c r="G17" s="2">
        <v>1.2</v>
      </c>
      <c r="H17" s="2">
        <v>1.5</v>
      </c>
      <c r="I17" s="2">
        <v>1.5</v>
      </c>
      <c r="J17" s="2">
        <v>1.2</v>
      </c>
      <c r="K17" s="54"/>
      <c r="L17" s="277"/>
    </row>
    <row r="18" spans="1:12">
      <c r="A18" s="14"/>
      <c r="B18" t="s">
        <v>353</v>
      </c>
      <c r="C18" s="2">
        <v>1.2</v>
      </c>
      <c r="D18" s="2">
        <v>1.2</v>
      </c>
      <c r="E18" s="2">
        <v>1.5</v>
      </c>
      <c r="F18" s="2">
        <v>1.5</v>
      </c>
      <c r="G18" s="2">
        <v>1.2</v>
      </c>
      <c r="H18" s="2">
        <v>1.5</v>
      </c>
      <c r="I18" s="2">
        <v>1.5</v>
      </c>
      <c r="J18" s="2">
        <v>1.2</v>
      </c>
      <c r="K18" s="54"/>
      <c r="L18" s="277"/>
    </row>
    <row r="19" spans="1:12">
      <c r="A19" s="14"/>
      <c r="B19" t="s">
        <v>793</v>
      </c>
      <c r="C19" s="2">
        <v>1.5</v>
      </c>
      <c r="D19" s="2">
        <v>1.9</v>
      </c>
      <c r="E19" s="2">
        <v>1.9</v>
      </c>
      <c r="F19" s="2">
        <v>1.9</v>
      </c>
      <c r="G19" s="2">
        <v>1.9</v>
      </c>
      <c r="H19" s="2">
        <v>1.9</v>
      </c>
      <c r="I19" s="2">
        <v>1.9</v>
      </c>
      <c r="J19" s="2">
        <v>1.9</v>
      </c>
      <c r="K19" s="54"/>
      <c r="L19" s="277"/>
    </row>
    <row r="20" spans="1:12">
      <c r="A20" s="14"/>
      <c r="B20" t="s">
        <v>5944</v>
      </c>
      <c r="C20" s="2">
        <v>0.4</v>
      </c>
      <c r="D20" s="2">
        <v>1</v>
      </c>
      <c r="E20" s="2">
        <v>0.4</v>
      </c>
      <c r="F20" s="2">
        <v>0.4</v>
      </c>
      <c r="G20" s="2">
        <v>1</v>
      </c>
      <c r="H20" s="2">
        <v>0.4</v>
      </c>
      <c r="I20" s="2">
        <v>0.4</v>
      </c>
      <c r="J20" s="2">
        <v>1</v>
      </c>
      <c r="K20" s="54"/>
      <c r="L20" s="277"/>
    </row>
    <row r="21" spans="1:12">
      <c r="A21" s="14"/>
      <c r="B21" t="s">
        <v>2491</v>
      </c>
      <c r="C21" s="2">
        <v>2.2999999999999998</v>
      </c>
      <c r="D21" s="2">
        <v>1.9</v>
      </c>
      <c r="E21" s="2">
        <v>2.2999999999999998</v>
      </c>
      <c r="F21" s="2">
        <v>2.2999999999999998</v>
      </c>
      <c r="G21" s="2">
        <v>1.9</v>
      </c>
      <c r="H21" s="2">
        <v>2.2999999999999998</v>
      </c>
      <c r="I21" s="2">
        <v>2.2999999999999998</v>
      </c>
      <c r="J21" s="2">
        <v>1.9</v>
      </c>
      <c r="K21" s="54"/>
      <c r="L21" s="277"/>
    </row>
    <row r="22" spans="1:12">
      <c r="A22" s="282"/>
      <c r="B22" s="13" t="s">
        <v>5945</v>
      </c>
      <c r="C22" s="43">
        <v>1.3</v>
      </c>
      <c r="D22" s="43">
        <v>1.3</v>
      </c>
      <c r="E22" s="43">
        <v>1.3</v>
      </c>
      <c r="F22" s="43">
        <v>1.3</v>
      </c>
      <c r="G22" s="43">
        <v>1.3</v>
      </c>
      <c r="H22" s="43">
        <v>1.3</v>
      </c>
      <c r="I22" s="43">
        <v>1.3</v>
      </c>
      <c r="J22" s="43">
        <v>1.3</v>
      </c>
      <c r="K22" s="283"/>
      <c r="L22" s="277"/>
    </row>
    <row r="23" spans="1:12">
      <c r="A23" s="282"/>
      <c r="B23" s="13" t="s">
        <v>5946</v>
      </c>
      <c r="C23" s="43">
        <v>2.5</v>
      </c>
      <c r="D23" s="43">
        <v>2.5</v>
      </c>
      <c r="E23" s="43">
        <v>2.5</v>
      </c>
      <c r="F23" s="43">
        <v>2.5</v>
      </c>
      <c r="G23" s="43">
        <v>2.5</v>
      </c>
      <c r="H23" s="43">
        <v>2.5</v>
      </c>
      <c r="I23" s="43">
        <v>2.5</v>
      </c>
      <c r="J23" s="43">
        <v>2.5</v>
      </c>
      <c r="K23" s="283"/>
      <c r="L23" s="277"/>
    </row>
    <row r="24" spans="1:12" ht="12.75" customHeight="1">
      <c r="A24" s="14" t="s">
        <v>6019</v>
      </c>
      <c r="B24"/>
      <c r="C24"/>
      <c r="D24"/>
      <c r="E24"/>
      <c r="F24"/>
      <c r="G24"/>
      <c r="H24"/>
      <c r="I24"/>
      <c r="J24"/>
      <c r="K24" s="89"/>
      <c r="L24" s="277"/>
    </row>
    <row r="25" spans="1:12">
      <c r="A25" s="14"/>
      <c r="B25" t="s">
        <v>5947</v>
      </c>
      <c r="C25" s="2">
        <v>0.8</v>
      </c>
      <c r="D25" s="2">
        <v>0.75</v>
      </c>
      <c r="E25" s="2">
        <v>0.8</v>
      </c>
      <c r="F25" s="2">
        <v>0.8</v>
      </c>
      <c r="G25" s="2">
        <v>0.7</v>
      </c>
      <c r="H25" s="2">
        <v>0.9</v>
      </c>
      <c r="I25" s="2">
        <v>0.9</v>
      </c>
      <c r="J25" s="2">
        <v>0.7</v>
      </c>
      <c r="K25" s="54"/>
      <c r="L25" s="277"/>
    </row>
    <row r="26" spans="1:12">
      <c r="A26" s="14"/>
      <c r="B26" t="s">
        <v>2379</v>
      </c>
      <c r="C26" s="2">
        <v>0.75</v>
      </c>
      <c r="D26" s="2">
        <v>0.25</v>
      </c>
      <c r="E26" s="2">
        <v>0.75</v>
      </c>
      <c r="F26" s="2">
        <v>0.75</v>
      </c>
      <c r="G26" s="2">
        <v>0</v>
      </c>
      <c r="H26" s="2">
        <v>0.75</v>
      </c>
      <c r="I26" s="2">
        <v>0.75</v>
      </c>
      <c r="J26" s="2">
        <v>0</v>
      </c>
      <c r="K26" s="54"/>
      <c r="L26" s="277"/>
    </row>
    <row r="27" spans="1:12">
      <c r="A27" s="14"/>
      <c r="B27" t="s">
        <v>1038</v>
      </c>
      <c r="C27" s="2">
        <v>0.9</v>
      </c>
      <c r="D27" s="2">
        <v>0.9</v>
      </c>
      <c r="E27" s="2">
        <v>0.9</v>
      </c>
      <c r="F27" s="2">
        <v>0.9</v>
      </c>
      <c r="G27" s="2">
        <v>0.9</v>
      </c>
      <c r="H27" s="2">
        <v>0.9</v>
      </c>
      <c r="I27" s="2">
        <v>0.9</v>
      </c>
      <c r="J27" s="2">
        <v>0.9</v>
      </c>
      <c r="K27" s="54"/>
      <c r="L27" s="277"/>
    </row>
    <row r="28" spans="1:12">
      <c r="A28" s="14"/>
      <c r="B28" t="s">
        <v>2380</v>
      </c>
      <c r="C28" s="2">
        <v>0.75</v>
      </c>
      <c r="D28" s="2">
        <v>0.25</v>
      </c>
      <c r="E28" s="2">
        <v>0.75</v>
      </c>
      <c r="F28" s="2">
        <v>0.75</v>
      </c>
      <c r="G28" s="2">
        <v>0</v>
      </c>
      <c r="H28" s="2">
        <v>0.75</v>
      </c>
      <c r="I28" s="2">
        <v>0.75</v>
      </c>
      <c r="J28" s="2">
        <v>0</v>
      </c>
      <c r="K28" s="54"/>
      <c r="L28" s="277"/>
    </row>
    <row r="29" spans="1:12">
      <c r="A29" s="14"/>
      <c r="B29" t="s">
        <v>5948</v>
      </c>
      <c r="C29" s="2">
        <v>0.8</v>
      </c>
      <c r="D29" s="2">
        <v>0.3</v>
      </c>
      <c r="E29" s="2">
        <v>0.8</v>
      </c>
      <c r="F29" s="2">
        <v>0.8</v>
      </c>
      <c r="G29" s="2">
        <v>0</v>
      </c>
      <c r="H29" s="2">
        <v>0.8</v>
      </c>
      <c r="I29" s="2">
        <v>0.8</v>
      </c>
      <c r="J29" s="2">
        <v>0</v>
      </c>
      <c r="K29" s="54"/>
      <c r="L29" s="277"/>
    </row>
    <row r="30" spans="1:12">
      <c r="A30" s="14"/>
      <c r="B30" t="s">
        <v>1917</v>
      </c>
      <c r="C30" s="2">
        <v>0.5</v>
      </c>
      <c r="D30" s="2">
        <v>0.5</v>
      </c>
      <c r="E30" s="2">
        <v>0.5</v>
      </c>
      <c r="F30" s="2">
        <v>0.5</v>
      </c>
      <c r="G30" s="2">
        <v>0</v>
      </c>
      <c r="H30" s="2">
        <v>0.5</v>
      </c>
      <c r="I30" s="2">
        <v>0.5</v>
      </c>
      <c r="J30" s="2">
        <v>0</v>
      </c>
      <c r="K30" s="54"/>
      <c r="L30" s="277"/>
    </row>
    <row r="31" spans="1:12">
      <c r="A31" s="14"/>
      <c r="B31" t="s">
        <v>5949</v>
      </c>
      <c r="C31" s="2">
        <v>0.8</v>
      </c>
      <c r="D31" s="2">
        <v>0.75</v>
      </c>
      <c r="E31" s="2">
        <v>0.8</v>
      </c>
      <c r="F31" s="2">
        <v>0.8</v>
      </c>
      <c r="G31" s="2">
        <v>0.7</v>
      </c>
      <c r="H31" s="2">
        <v>0.9</v>
      </c>
      <c r="I31" s="2">
        <v>0.9</v>
      </c>
      <c r="J31" s="2">
        <v>0.7</v>
      </c>
      <c r="K31" s="54"/>
      <c r="L31" s="277"/>
    </row>
    <row r="32" spans="1:12">
      <c r="A32" s="14"/>
      <c r="B32" t="s">
        <v>5950</v>
      </c>
      <c r="C32" s="2">
        <v>0.8</v>
      </c>
      <c r="D32" s="2">
        <v>0.75</v>
      </c>
      <c r="E32" s="2">
        <v>0.8</v>
      </c>
      <c r="F32" s="2">
        <v>0.8</v>
      </c>
      <c r="G32" s="2">
        <v>0.7</v>
      </c>
      <c r="H32" s="2">
        <v>0.9</v>
      </c>
      <c r="I32" s="2">
        <v>0.9</v>
      </c>
      <c r="J32" s="2">
        <v>0.7</v>
      </c>
      <c r="K32" s="54"/>
      <c r="L32" s="277"/>
    </row>
    <row r="33" spans="1:22">
      <c r="A33" s="14"/>
      <c r="B33" t="s">
        <v>793</v>
      </c>
      <c r="C33" s="2">
        <v>0.9</v>
      </c>
      <c r="D33" s="2">
        <v>0.9</v>
      </c>
      <c r="E33" s="2">
        <v>0.9</v>
      </c>
      <c r="F33" s="2">
        <v>0.9</v>
      </c>
      <c r="G33" s="2">
        <v>0.9</v>
      </c>
      <c r="H33" s="2">
        <v>0.9</v>
      </c>
      <c r="I33" s="2">
        <v>0.9</v>
      </c>
      <c r="J33" s="2">
        <v>0.9</v>
      </c>
      <c r="K33" s="54"/>
      <c r="L33" s="277"/>
    </row>
    <row r="34" spans="1:22">
      <c r="A34" s="14"/>
      <c r="B34" t="s">
        <v>3774</v>
      </c>
      <c r="C34" s="2">
        <v>0.5</v>
      </c>
      <c r="D34" s="2">
        <v>0.5</v>
      </c>
      <c r="E34" s="2">
        <v>0.5</v>
      </c>
      <c r="F34" s="2">
        <v>0.5</v>
      </c>
      <c r="G34" s="2">
        <v>0.5</v>
      </c>
      <c r="H34" s="2">
        <v>0.5</v>
      </c>
      <c r="I34" s="2">
        <v>0.5</v>
      </c>
      <c r="J34" s="2">
        <v>0.5</v>
      </c>
      <c r="K34" s="54"/>
      <c r="L34" s="277"/>
    </row>
    <row r="35" spans="1:22">
      <c r="A35" s="14"/>
      <c r="B35" t="s">
        <v>5951</v>
      </c>
      <c r="C35" s="2">
        <v>0.7</v>
      </c>
      <c r="D35" s="2">
        <v>0.7</v>
      </c>
      <c r="E35" s="2">
        <v>0.7</v>
      </c>
      <c r="F35" s="2">
        <v>0.7</v>
      </c>
      <c r="G35" s="2">
        <v>0.7</v>
      </c>
      <c r="H35" s="2">
        <v>0.7</v>
      </c>
      <c r="I35" s="2">
        <v>0.7</v>
      </c>
      <c r="J35" s="2">
        <v>0.7</v>
      </c>
      <c r="K35" s="54"/>
      <c r="L35" s="277"/>
    </row>
    <row r="36" spans="1:22" ht="12.75" customHeight="1">
      <c r="A36" s="14" t="s">
        <v>5952</v>
      </c>
      <c r="B36"/>
      <c r="C36"/>
      <c r="D36"/>
      <c r="E36"/>
      <c r="F36"/>
      <c r="G36"/>
      <c r="H36"/>
      <c r="I36"/>
      <c r="J36"/>
      <c r="K36" s="89"/>
      <c r="L36" s="277"/>
      <c r="N36" s="1211"/>
      <c r="O36" s="1211"/>
      <c r="P36" s="1211"/>
      <c r="Q36" s="1211"/>
      <c r="R36" s="1211"/>
      <c r="S36" s="1211"/>
      <c r="T36" s="1211"/>
      <c r="U36" s="1211"/>
      <c r="V36" s="1211"/>
    </row>
    <row r="37" spans="1:22" ht="12.75" customHeight="1">
      <c r="A37" s="14"/>
      <c r="B37"/>
      <c r="C37" s="2">
        <v>0.24</v>
      </c>
      <c r="D37" s="2">
        <v>0.06</v>
      </c>
      <c r="E37" s="2">
        <v>0.5</v>
      </c>
      <c r="F37" s="2">
        <v>0.38</v>
      </c>
      <c r="G37" s="2">
        <v>0.05</v>
      </c>
      <c r="H37" s="2">
        <v>0.83</v>
      </c>
      <c r="I37" s="2">
        <v>0.41</v>
      </c>
      <c r="J37" s="2">
        <v>0.1</v>
      </c>
      <c r="K37" s="54"/>
      <c r="L37" s="277"/>
      <c r="N37" s="281"/>
      <c r="O37" s="1211"/>
      <c r="P37" s="1211"/>
      <c r="Q37" s="1211"/>
      <c r="R37" s="1211"/>
      <c r="S37" s="1211"/>
      <c r="T37" s="1211"/>
      <c r="U37" s="1211"/>
      <c r="V37" s="1211"/>
    </row>
    <row r="38" spans="1:22">
      <c r="A38" s="14" t="s">
        <v>5953</v>
      </c>
      <c r="B38"/>
      <c r="C38"/>
      <c r="D38"/>
      <c r="E38"/>
      <c r="F38"/>
      <c r="G38"/>
      <c r="H38"/>
      <c r="I38"/>
      <c r="J38"/>
      <c r="K38" s="89"/>
      <c r="L38" s="277"/>
      <c r="N38" s="281"/>
      <c r="O38" s="1211"/>
      <c r="P38" s="1211"/>
      <c r="Q38" s="1211"/>
      <c r="R38" s="1211"/>
      <c r="S38" s="1211"/>
      <c r="T38" s="1211"/>
      <c r="U38" s="1211"/>
      <c r="V38" s="1211"/>
    </row>
    <row r="39" spans="1:22">
      <c r="A39" s="14"/>
      <c r="B39" t="s">
        <v>2166</v>
      </c>
      <c r="C39" s="2">
        <v>0.28800000000000003</v>
      </c>
      <c r="D39" s="2">
        <v>6.7500000000000004E-2</v>
      </c>
      <c r="E39" s="2">
        <v>0.60000000000000009</v>
      </c>
      <c r="F39" s="2">
        <v>0.45600000000000007</v>
      </c>
      <c r="G39" s="2">
        <v>4.2000000000000003E-2</v>
      </c>
      <c r="H39" s="2">
        <v>1.2699</v>
      </c>
      <c r="I39" s="2">
        <v>0.8486999999999999</v>
      </c>
      <c r="J39" s="2">
        <v>6.9999999999999993E-2</v>
      </c>
      <c r="K39" s="54">
        <v>0.46</v>
      </c>
      <c r="L39" s="277"/>
      <c r="N39" s="281"/>
      <c r="O39" s="1211"/>
      <c r="P39" s="1211"/>
      <c r="Q39" s="1211"/>
      <c r="R39" s="1211"/>
      <c r="S39" s="1211"/>
      <c r="T39" s="1211"/>
      <c r="U39" s="1211"/>
      <c r="V39" s="1211"/>
    </row>
    <row r="40" spans="1:22">
      <c r="A40" s="14"/>
      <c r="B40" t="s">
        <v>2167</v>
      </c>
      <c r="C40" s="2">
        <v>0.192</v>
      </c>
      <c r="D40" s="2">
        <v>5.3999999999999992E-2</v>
      </c>
      <c r="E40" s="2">
        <v>0.48</v>
      </c>
      <c r="F40" s="2">
        <v>0.36480000000000001</v>
      </c>
      <c r="G40" s="2">
        <v>4.2000000000000003E-2</v>
      </c>
      <c r="H40" s="2">
        <v>1.1205000000000001</v>
      </c>
      <c r="I40" s="2">
        <v>0.55349999999999999</v>
      </c>
      <c r="J40" s="2">
        <v>8.4000000000000005E-2</v>
      </c>
      <c r="K40" s="54">
        <v>0.36</v>
      </c>
      <c r="L40" s="277"/>
    </row>
    <row r="41" spans="1:22">
      <c r="A41" s="14"/>
      <c r="B41" t="s">
        <v>2057</v>
      </c>
      <c r="C41" s="2">
        <v>0.57600000000000007</v>
      </c>
      <c r="D41" s="2">
        <v>8.5499999999999993E-2</v>
      </c>
      <c r="E41" s="2">
        <v>1.2000000000000002</v>
      </c>
      <c r="F41" s="2">
        <v>0.91200000000000014</v>
      </c>
      <c r="G41" s="2">
        <v>4.2000000000000003E-2</v>
      </c>
      <c r="H41" s="2">
        <v>2.6144999999999996</v>
      </c>
      <c r="I41" s="2">
        <v>1.2914999999999999</v>
      </c>
      <c r="J41" s="2">
        <v>8.4000000000000005E-2</v>
      </c>
      <c r="K41" s="54">
        <v>0.85</v>
      </c>
      <c r="L41" s="277"/>
    </row>
    <row r="42" spans="1:22">
      <c r="A42" s="14"/>
      <c r="B42" t="s">
        <v>2774</v>
      </c>
      <c r="C42" s="2">
        <v>0.57600000000000007</v>
      </c>
      <c r="D42" s="2">
        <v>8.5499999999999993E-2</v>
      </c>
      <c r="E42" s="2">
        <v>1.2000000000000002</v>
      </c>
      <c r="F42" s="2">
        <v>0.91200000000000014</v>
      </c>
      <c r="G42" s="2">
        <v>4.2000000000000003E-2</v>
      </c>
      <c r="H42" s="2">
        <v>2.6144999999999996</v>
      </c>
      <c r="I42" s="2">
        <v>1.2914999999999999</v>
      </c>
      <c r="J42" s="2">
        <v>8.4000000000000005E-2</v>
      </c>
      <c r="K42" s="54">
        <v>0.85</v>
      </c>
      <c r="L42" s="277"/>
    </row>
    <row r="43" spans="1:22">
      <c r="A43" s="14"/>
      <c r="B43" t="s">
        <v>2681</v>
      </c>
      <c r="C43" s="2">
        <v>0.57600000000000007</v>
      </c>
      <c r="D43" s="2">
        <v>8.5499999999999993E-2</v>
      </c>
      <c r="E43" s="2">
        <v>1.2000000000000002</v>
      </c>
      <c r="F43" s="2">
        <v>0.91200000000000014</v>
      </c>
      <c r="G43" s="2">
        <v>4.2000000000000003E-2</v>
      </c>
      <c r="H43" s="2">
        <v>2.6144999999999996</v>
      </c>
      <c r="I43" s="2">
        <v>1.2914999999999999</v>
      </c>
      <c r="J43" s="2">
        <v>8.4000000000000005E-2</v>
      </c>
      <c r="K43" s="54">
        <v>0.85</v>
      </c>
      <c r="L43" s="277"/>
    </row>
    <row r="44" spans="1:22">
      <c r="A44" s="14"/>
      <c r="B44" t="s">
        <v>2379</v>
      </c>
      <c r="C44" s="2">
        <v>0.18</v>
      </c>
      <c r="D44" s="2">
        <v>1.4999999999999999E-2</v>
      </c>
      <c r="E44" s="2">
        <v>0.375</v>
      </c>
      <c r="F44" s="2">
        <v>0.28500000000000003</v>
      </c>
      <c r="G44" s="2">
        <v>0</v>
      </c>
      <c r="H44" s="2">
        <v>0.62249999999999994</v>
      </c>
      <c r="I44" s="2">
        <v>0.3075</v>
      </c>
      <c r="J44" s="2">
        <v>0</v>
      </c>
      <c r="K44" s="54">
        <v>0.22</v>
      </c>
      <c r="L44" s="277"/>
    </row>
    <row r="45" spans="1:22">
      <c r="A45" s="14"/>
      <c r="B45" t="s">
        <v>4505</v>
      </c>
      <c r="C45" s="2">
        <v>0.14400000000000002</v>
      </c>
      <c r="D45" s="2">
        <v>1.2E-2</v>
      </c>
      <c r="E45" s="2">
        <v>0.30000000000000004</v>
      </c>
      <c r="F45" s="2">
        <v>0.22800000000000004</v>
      </c>
      <c r="G45" s="2">
        <v>0</v>
      </c>
      <c r="H45" s="2">
        <v>0.49800000000000005</v>
      </c>
      <c r="I45" s="2">
        <v>0.24600000000000002</v>
      </c>
      <c r="J45" s="2">
        <v>0</v>
      </c>
      <c r="K45" s="54">
        <v>0.18</v>
      </c>
      <c r="L45" s="277"/>
    </row>
    <row r="46" spans="1:22">
      <c r="A46" s="14"/>
      <c r="B46" t="s">
        <v>1038</v>
      </c>
      <c r="C46" s="2">
        <v>0.1512</v>
      </c>
      <c r="D46" s="2">
        <v>3.78E-2</v>
      </c>
      <c r="E46" s="2">
        <v>0.315</v>
      </c>
      <c r="F46" s="2">
        <v>0.2394</v>
      </c>
      <c r="G46" s="2">
        <v>3.15E-2</v>
      </c>
      <c r="H46" s="2">
        <v>0.52290000000000003</v>
      </c>
      <c r="I46" s="2">
        <v>0.25829999999999997</v>
      </c>
      <c r="J46" s="2">
        <v>6.3E-2</v>
      </c>
      <c r="K46" s="54">
        <v>0.2</v>
      </c>
      <c r="L46" s="277"/>
    </row>
    <row r="47" spans="1:22">
      <c r="A47" s="14"/>
      <c r="B47" t="s">
        <v>2380</v>
      </c>
      <c r="C47" s="2">
        <v>0.12599999999999997</v>
      </c>
      <c r="D47" s="2">
        <v>7.4999999999999997E-3</v>
      </c>
      <c r="E47" s="2">
        <v>0.26249999999999996</v>
      </c>
      <c r="F47" s="2">
        <v>0.19949999999999996</v>
      </c>
      <c r="G47" s="2">
        <v>0</v>
      </c>
      <c r="H47" s="2">
        <v>0.43574999999999992</v>
      </c>
      <c r="I47" s="2">
        <v>0.21524999999999994</v>
      </c>
      <c r="J47" s="2">
        <v>0</v>
      </c>
      <c r="K47" s="54">
        <v>0.16</v>
      </c>
      <c r="L47" s="277"/>
    </row>
    <row r="48" spans="1:22">
      <c r="A48" s="14"/>
      <c r="B48" t="s">
        <v>4905</v>
      </c>
      <c r="C48" s="2">
        <v>7.6800000000000007E-2</v>
      </c>
      <c r="D48" s="2">
        <v>4.4999999999999998E-2</v>
      </c>
      <c r="E48" s="2">
        <v>0.16000000000000003</v>
      </c>
      <c r="F48" s="2">
        <v>0.12160000000000003</v>
      </c>
      <c r="G48" s="2">
        <v>3.4999999999999996E-2</v>
      </c>
      <c r="H48" s="2">
        <v>0.29880000000000001</v>
      </c>
      <c r="I48" s="2">
        <v>0.14760000000000001</v>
      </c>
      <c r="J48" s="2">
        <v>6.9999999999999993E-2</v>
      </c>
      <c r="K48" s="54">
        <v>0.12</v>
      </c>
      <c r="L48" s="277"/>
    </row>
    <row r="49" spans="1:12">
      <c r="A49" s="14"/>
      <c r="B49" t="s">
        <v>3905</v>
      </c>
      <c r="C49" s="2">
        <v>0.14399999999999999</v>
      </c>
      <c r="D49" s="2">
        <v>4.4999999999999998E-2</v>
      </c>
      <c r="E49" s="2">
        <v>0.375</v>
      </c>
      <c r="F49" s="2">
        <v>0.28500000000000003</v>
      </c>
      <c r="G49" s="2">
        <v>0</v>
      </c>
      <c r="H49" s="2">
        <v>0.62249999999999994</v>
      </c>
      <c r="I49" s="2">
        <v>0.3075</v>
      </c>
      <c r="J49" s="2">
        <v>0</v>
      </c>
      <c r="K49" s="54">
        <v>0.22</v>
      </c>
      <c r="L49" s="277"/>
    </row>
    <row r="50" spans="1:12">
      <c r="A50" s="14"/>
      <c r="B50" t="s">
        <v>353</v>
      </c>
      <c r="C50" s="2">
        <v>0.23039999999999999</v>
      </c>
      <c r="D50" s="2">
        <v>5.3999999999999992E-2</v>
      </c>
      <c r="E50" s="2">
        <v>0.60000000000000009</v>
      </c>
      <c r="F50" s="2">
        <v>0.45600000000000007</v>
      </c>
      <c r="G50" s="2">
        <v>4.2000000000000003E-2</v>
      </c>
      <c r="H50" s="2">
        <v>1.1205000000000001</v>
      </c>
      <c r="I50" s="2">
        <v>0.55349999999999999</v>
      </c>
      <c r="J50" s="2">
        <v>8.4000000000000005E-2</v>
      </c>
      <c r="K50" s="54">
        <v>0.39</v>
      </c>
      <c r="L50" s="277"/>
    </row>
    <row r="51" spans="1:12">
      <c r="A51" s="14"/>
      <c r="B51" t="s">
        <v>793</v>
      </c>
      <c r="C51" s="2">
        <v>0.32400000000000001</v>
      </c>
      <c r="D51" s="2">
        <v>0.1026</v>
      </c>
      <c r="E51" s="2">
        <v>0.85499999999999998</v>
      </c>
      <c r="F51" s="2">
        <v>0.64980000000000004</v>
      </c>
      <c r="G51" s="2">
        <v>8.5500000000000007E-2</v>
      </c>
      <c r="H51" s="2">
        <v>1.4193</v>
      </c>
      <c r="I51" s="2">
        <v>0.70109999999999995</v>
      </c>
      <c r="J51" s="2">
        <v>0.17100000000000001</v>
      </c>
      <c r="K51" s="54">
        <v>0.54</v>
      </c>
      <c r="L51" s="277"/>
    </row>
    <row r="52" spans="1:12">
      <c r="A52" s="14"/>
      <c r="B52" t="s">
        <v>5944</v>
      </c>
      <c r="C52" s="2">
        <v>7.6800000000000007E-2</v>
      </c>
      <c r="D52" s="2">
        <v>4.4999999999999998E-2</v>
      </c>
      <c r="E52" s="2">
        <v>0.16000000000000003</v>
      </c>
      <c r="F52" s="2">
        <v>0.12160000000000003</v>
      </c>
      <c r="G52" s="2">
        <v>3.4999999999999996E-2</v>
      </c>
      <c r="H52" s="2">
        <v>0.29880000000000001</v>
      </c>
      <c r="I52" s="2">
        <v>0.14760000000000001</v>
      </c>
      <c r="J52" s="2">
        <v>6.9999999999999993E-2</v>
      </c>
      <c r="K52" s="54">
        <v>0.12</v>
      </c>
      <c r="L52" s="277"/>
    </row>
    <row r="53" spans="1:12">
      <c r="A53" s="14"/>
      <c r="B53" t="s">
        <v>2491</v>
      </c>
      <c r="C53" s="2">
        <v>0.38639999999999997</v>
      </c>
      <c r="D53" s="2">
        <v>7.9799999999999982E-2</v>
      </c>
      <c r="E53" s="2">
        <v>0.80499999999999994</v>
      </c>
      <c r="F53" s="2">
        <v>0.61180000000000001</v>
      </c>
      <c r="G53" s="2">
        <v>6.649999999999999E-2</v>
      </c>
      <c r="H53" s="2">
        <v>1.3362999999999998</v>
      </c>
      <c r="I53" s="2">
        <v>0.66009999999999991</v>
      </c>
      <c r="J53" s="2">
        <v>0.13299999999999998</v>
      </c>
      <c r="K53" s="54">
        <v>0.51</v>
      </c>
      <c r="L53" s="277"/>
    </row>
    <row r="54" spans="1:12">
      <c r="A54" s="282"/>
      <c r="B54" s="13" t="s">
        <v>5945</v>
      </c>
      <c r="C54" s="43"/>
      <c r="D54" s="43"/>
      <c r="E54" s="43"/>
      <c r="F54" s="43"/>
      <c r="G54" s="43"/>
      <c r="H54" s="43"/>
      <c r="I54" s="43"/>
      <c r="J54" s="43"/>
      <c r="K54" s="323"/>
      <c r="L54" s="277"/>
    </row>
    <row r="55" spans="1:12">
      <c r="A55" s="284"/>
      <c r="B55" s="228" t="s">
        <v>5946</v>
      </c>
      <c r="C55" s="358"/>
      <c r="D55" s="358"/>
      <c r="E55" s="358"/>
      <c r="F55" s="358"/>
      <c r="G55" s="358"/>
      <c r="H55" s="358"/>
      <c r="I55" s="358"/>
      <c r="J55" s="358"/>
      <c r="K55" s="1149"/>
      <c r="L55" s="277"/>
    </row>
    <row r="56" spans="1:12">
      <c r="F56" s="280"/>
      <c r="G56" s="280"/>
      <c r="H56" s="280"/>
      <c r="I56" s="280"/>
      <c r="J56" s="280"/>
      <c r="K56" s="280"/>
      <c r="L56" s="280"/>
    </row>
    <row r="57" spans="1:12">
      <c r="F57" s="280"/>
      <c r="G57" s="280"/>
      <c r="H57" s="280"/>
      <c r="I57" s="280"/>
      <c r="J57" s="280"/>
      <c r="K57" s="280"/>
      <c r="L57" s="280"/>
    </row>
    <row r="58" spans="1:12">
      <c r="A58" s="273" t="s">
        <v>5936</v>
      </c>
      <c r="C58" s="280"/>
      <c r="D58" s="280"/>
      <c r="E58" s="280"/>
      <c r="F58" s="280"/>
      <c r="G58" s="280"/>
      <c r="H58" s="280"/>
      <c r="I58" s="280"/>
      <c r="J58" s="280"/>
      <c r="K58" s="280"/>
      <c r="L58" s="280"/>
    </row>
    <row r="59" spans="1:12">
      <c r="A59" s="273" t="s">
        <v>8831</v>
      </c>
      <c r="B59" s="273" t="s">
        <v>5937</v>
      </c>
      <c r="C59" s="280"/>
      <c r="D59" s="280"/>
      <c r="E59" s="280"/>
      <c r="F59" s="280"/>
      <c r="G59" s="280"/>
      <c r="H59" s="280"/>
      <c r="I59" s="280"/>
      <c r="J59" s="280"/>
      <c r="K59" s="280"/>
      <c r="L59" s="280"/>
    </row>
    <row r="60" spans="1:12">
      <c r="C60" s="280"/>
      <c r="D60" s="280"/>
      <c r="E60" s="280"/>
      <c r="F60" s="280"/>
      <c r="G60" s="280"/>
      <c r="H60" s="280"/>
      <c r="I60" s="280"/>
      <c r="J60" s="280"/>
      <c r="K60" s="280"/>
      <c r="L60" s="280"/>
    </row>
  </sheetData>
  <mergeCells count="13">
    <mergeCell ref="O39:P39"/>
    <mergeCell ref="Q39:R39"/>
    <mergeCell ref="S39:T39"/>
    <mergeCell ref="U39:V39"/>
    <mergeCell ref="N36:V36"/>
    <mergeCell ref="O37:P37"/>
    <mergeCell ref="Q37:R37"/>
    <mergeCell ref="S37:T37"/>
    <mergeCell ref="U37:V37"/>
    <mergeCell ref="O38:P38"/>
    <mergeCell ref="Q38:R38"/>
    <mergeCell ref="S38:T38"/>
    <mergeCell ref="U38:V38"/>
  </mergeCells>
  <hyperlinks>
    <hyperlink ref="B59" r:id="rId1" xr:uid="{00000000-0004-0000-2500-000000000000}"/>
    <hyperlink ref="C3" location="residue_supply_n!A1" display="residue_supply_n" xr:uid="{00000000-0004-0000-2500-000001000000}"/>
  </hyperlinks>
  <pageMargins left="0.75" right="0.75" top="1" bottom="1" header="0.5" footer="0.5"/>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autoPageBreaks="0"/>
  </sheetPr>
  <dimension ref="A1:F8"/>
  <sheetViews>
    <sheetView zoomScaleNormal="100" workbookViewId="0">
      <selection activeCell="A65536" sqref="A65536"/>
    </sheetView>
  </sheetViews>
  <sheetFormatPr defaultColWidth="9.1796875" defaultRowHeight="12.75" customHeight="1"/>
  <cols>
    <col min="1" max="1" width="50.7265625" style="36" customWidth="1"/>
    <col min="2" max="6" width="21.7265625" style="36" customWidth="1"/>
    <col min="7" max="16384" width="9.1796875" style="36"/>
  </cols>
  <sheetData>
    <row r="1" spans="1:6" ht="13">
      <c r="A1" s="1135" t="s">
        <v>1022</v>
      </c>
      <c r="B1" s="1006" t="s">
        <v>5254</v>
      </c>
      <c r="C1" s="1006" t="s">
        <v>4069</v>
      </c>
      <c r="D1" s="1006" t="s">
        <v>6022</v>
      </c>
      <c r="E1" s="1006" t="s">
        <v>1771</v>
      </c>
      <c r="F1" s="1003" t="s">
        <v>1783</v>
      </c>
    </row>
    <row r="2" spans="1:6" ht="14.5">
      <c r="A2" s="1136" t="s">
        <v>542</v>
      </c>
      <c r="B2" s="1137" t="s">
        <v>4980</v>
      </c>
      <c r="C2" s="1137" t="s">
        <v>9217</v>
      </c>
      <c r="D2" s="1137" t="s">
        <v>542</v>
      </c>
      <c r="E2" s="1007" t="s">
        <v>9214</v>
      </c>
      <c r="F2" s="1138" t="s">
        <v>720</v>
      </c>
    </row>
    <row r="3" spans="1:6" ht="12.5">
      <c r="A3" s="72" t="s">
        <v>6183</v>
      </c>
      <c r="B3" s="673">
        <f>IF(bioproductive_area!$D$7&gt;0,bioproductive_area!$D$7,(IF(bioproductive_area!$D$13&gt;0,bioproductive_area!$D$13)))*1000</f>
        <v>33135000</v>
      </c>
      <c r="C3" s="165">
        <f t="shared" ref="C3:C8" si="0">VLOOKUP(A3,yf,4,FALSE)</f>
        <v>1.231695465699624</v>
      </c>
      <c r="D3" s="165">
        <f t="shared" ref="D3:D8" si="1">VLOOKUP(A3,iyf,2,FALSE)</f>
        <v>1</v>
      </c>
      <c r="E3" s="165">
        <f t="shared" ref="E3:E8" si="2">VLOOKUP(A3,eqf,2,FALSE)</f>
        <v>2.4993969139811365</v>
      </c>
      <c r="F3" s="163">
        <f t="shared" ref="F3:F8" si="3">B3*C3*E3*D3</f>
        <v>102005959.85502967</v>
      </c>
    </row>
    <row r="4" spans="1:6" ht="12.5">
      <c r="A4" s="4" t="s">
        <v>888</v>
      </c>
      <c r="B4" s="673">
        <f>IF(bioproductive_area!$D$10&gt;0,bioproductive_area!$D$10,(IF(bioproductive_area!$D$16+bioproductive_area!$D$17&gt;0,bioproductive_area!$D$16+bioproductive_area!$D$17)))*1000</f>
        <v>25064000</v>
      </c>
      <c r="C4" s="165">
        <f t="shared" si="0"/>
        <v>1.0936995153473343</v>
      </c>
      <c r="D4" s="165">
        <f t="shared" si="1"/>
        <v>1</v>
      </c>
      <c r="E4" s="165">
        <f t="shared" si="2"/>
        <v>0.45312105834289551</v>
      </c>
      <c r="F4" s="163">
        <f t="shared" si="3"/>
        <v>12421174.057624212</v>
      </c>
    </row>
    <row r="5" spans="1:6" ht="12.5">
      <c r="A5" s="4" t="s">
        <v>6180</v>
      </c>
      <c r="B5" s="673">
        <f>(IF(ISERROR(1/bioproductive_area!D26),0,bioproductive_area!D26))*1000</f>
        <v>254525900</v>
      </c>
      <c r="C5" s="165">
        <f t="shared" si="0"/>
        <v>0.9308579988077873</v>
      </c>
      <c r="D5" s="165">
        <f t="shared" si="1"/>
        <v>1</v>
      </c>
      <c r="E5" s="165">
        <f t="shared" si="2"/>
        <v>0.36449057933102513</v>
      </c>
      <c r="F5" s="163">
        <f t="shared" si="3"/>
        <v>86357830.770119578</v>
      </c>
    </row>
    <row r="6" spans="1:6" ht="12.5">
      <c r="A6" s="4" t="s">
        <v>6181</v>
      </c>
      <c r="B6" s="673">
        <f>IF(bioproductive_area!$D$8&gt;0,bioproductive_area!$D$8,(IF(bioproductive_area!$D$14&gt;0,bioproductive_area!$D$14)))*1000</f>
        <v>91416000</v>
      </c>
      <c r="C6" s="166">
        <f t="shared" si="0"/>
        <v>1</v>
      </c>
      <c r="D6" s="166">
        <f t="shared" si="1"/>
        <v>1</v>
      </c>
      <c r="E6" s="165">
        <f t="shared" si="2"/>
        <v>0.36449057933102513</v>
      </c>
      <c r="F6" s="163">
        <f t="shared" si="3"/>
        <v>33320270.800124995</v>
      </c>
    </row>
    <row r="7" spans="1:6" ht="12.5">
      <c r="A7" s="4" t="s">
        <v>2800</v>
      </c>
      <c r="B7" s="673">
        <f>IF(bioproductive_area!D9&gt;0,bioproductive_area!D9,(IF(bioproductive_area!D15&gt;0,bioproductive_area!D15)))*1000</f>
        <v>347002070</v>
      </c>
      <c r="C7" s="165">
        <f t="shared" si="0"/>
        <v>0.70528382626982011</v>
      </c>
      <c r="D7" s="165">
        <f t="shared" si="1"/>
        <v>1</v>
      </c>
      <c r="E7" s="165">
        <f t="shared" si="2"/>
        <v>1.2621587876897493</v>
      </c>
      <c r="F7" s="163">
        <f t="shared" si="3"/>
        <v>308894364.83521152</v>
      </c>
    </row>
    <row r="8" spans="1:6" ht="12.5">
      <c r="A8" s="34" t="s">
        <v>3532</v>
      </c>
      <c r="B8" s="773">
        <f>infrastructure_efp!B7</f>
        <v>1089630.0048828125</v>
      </c>
      <c r="C8" s="774">
        <f t="shared" si="0"/>
        <v>1.231695465699624</v>
      </c>
      <c r="D8" s="774">
        <f t="shared" si="1"/>
        <v>1</v>
      </c>
      <c r="E8" s="774">
        <f t="shared" si="2"/>
        <v>2.4993969139811365</v>
      </c>
      <c r="F8" s="164">
        <f t="shared" si="3"/>
        <v>3354421.443636999</v>
      </c>
    </row>
  </sheetData>
  <phoneticPr fontId="5" type="noConversion"/>
  <pageMargins left="0.75" right="0.75" top="1" bottom="1" header="0.5" footer="0.5"/>
  <pageSetup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00">
    <tabColor theme="7"/>
  </sheetPr>
  <dimension ref="A2:K50"/>
  <sheetViews>
    <sheetView zoomScaleNormal="100" workbookViewId="0">
      <selection activeCell="A65536" sqref="A65536"/>
    </sheetView>
  </sheetViews>
  <sheetFormatPr defaultColWidth="9.1796875" defaultRowHeight="12.5"/>
  <cols>
    <col min="1" max="1" width="42.81640625" style="273" customWidth="1"/>
    <col min="2" max="2" width="14.81640625" style="273" customWidth="1"/>
    <col min="3" max="3" width="14.1796875" style="273" customWidth="1"/>
    <col min="4" max="4" width="9.7265625" style="273" customWidth="1"/>
    <col min="5" max="5" width="20.453125" style="273" customWidth="1"/>
    <col min="6" max="6" width="23.54296875" style="273" customWidth="1"/>
    <col min="7" max="7" width="10.453125" style="273" customWidth="1"/>
    <col min="8" max="8" width="19" style="273" customWidth="1"/>
    <col min="9" max="9" width="31.81640625" style="273" customWidth="1"/>
    <col min="10" max="10" width="10.26953125" style="273" customWidth="1"/>
    <col min="11" max="11" width="8" style="273" customWidth="1"/>
    <col min="12" max="16384" width="9.1796875" style="273"/>
  </cols>
  <sheetData>
    <row r="2" spans="1:11" ht="13">
      <c r="B2" s="274" t="s">
        <v>985</v>
      </c>
    </row>
    <row r="3" spans="1:11" ht="26.25" customHeight="1">
      <c r="B3" s="275" t="s">
        <v>986</v>
      </c>
      <c r="C3" s="489" t="s">
        <v>1746</v>
      </c>
      <c r="D3" s="466"/>
      <c r="E3" s="466"/>
    </row>
    <row r="4" spans="1:11" ht="13">
      <c r="A4" s="982"/>
      <c r="B4" s="928" t="s">
        <v>1907</v>
      </c>
      <c r="C4" s="928" t="s">
        <v>5914</v>
      </c>
      <c r="D4" s="928" t="s">
        <v>5915</v>
      </c>
      <c r="E4" s="928" t="s">
        <v>5916</v>
      </c>
      <c r="F4" s="928" t="s">
        <v>5917</v>
      </c>
      <c r="G4" s="928" t="s">
        <v>5918</v>
      </c>
      <c r="H4" s="928" t="s">
        <v>5919</v>
      </c>
      <c r="I4" s="928" t="s">
        <v>5920</v>
      </c>
      <c r="J4" s="928" t="s">
        <v>5921</v>
      </c>
      <c r="K4" s="929"/>
    </row>
    <row r="5" spans="1:11" ht="13">
      <c r="A5" s="1129"/>
      <c r="B5" s="1130"/>
      <c r="C5" s="1130" t="s">
        <v>5922</v>
      </c>
      <c r="D5" s="1130" t="s">
        <v>5923</v>
      </c>
      <c r="E5" s="1130" t="s">
        <v>5924</v>
      </c>
      <c r="F5" s="1130" t="s">
        <v>5925</v>
      </c>
      <c r="G5" s="1130" t="s">
        <v>5926</v>
      </c>
      <c r="H5" s="1130" t="s">
        <v>5927</v>
      </c>
      <c r="I5" s="1130" t="s">
        <v>5928</v>
      </c>
      <c r="J5" s="1130" t="s">
        <v>5929</v>
      </c>
      <c r="K5" s="1131" t="s">
        <v>5930</v>
      </c>
    </row>
    <row r="6" spans="1:11" ht="13">
      <c r="A6" s="1132" t="s">
        <v>5931</v>
      </c>
      <c r="B6" s="1133"/>
      <c r="C6" s="1127"/>
      <c r="D6" s="1127"/>
      <c r="E6" s="1127"/>
      <c r="F6" s="1127"/>
      <c r="G6" s="1127"/>
      <c r="H6" s="1127"/>
      <c r="I6" s="1127"/>
      <c r="J6" s="1127"/>
      <c r="K6" s="1128"/>
    </row>
    <row r="7" spans="1:11">
      <c r="A7" s="14" t="s">
        <v>4756</v>
      </c>
      <c r="B7" s="403">
        <v>866</v>
      </c>
      <c r="C7" s="555">
        <v>6.4</v>
      </c>
      <c r="D7" s="555">
        <v>9.1999999999999993</v>
      </c>
      <c r="E7" s="555">
        <v>6.8</v>
      </c>
      <c r="F7" s="555">
        <v>14.3</v>
      </c>
      <c r="G7" s="555">
        <v>13.9</v>
      </c>
      <c r="H7" s="555">
        <v>6.7</v>
      </c>
      <c r="I7" s="555">
        <v>9.5</v>
      </c>
      <c r="J7" s="555">
        <v>7.9</v>
      </c>
      <c r="K7" s="541">
        <v>9.3375000000000004</v>
      </c>
    </row>
    <row r="8" spans="1:11">
      <c r="A8" s="14" t="s">
        <v>4757</v>
      </c>
      <c r="B8" s="403">
        <v>976</v>
      </c>
      <c r="C8" s="558">
        <v>1</v>
      </c>
      <c r="D8" s="558">
        <v>1.5</v>
      </c>
      <c r="E8" s="558">
        <v>1</v>
      </c>
      <c r="F8" s="558">
        <v>1.5</v>
      </c>
      <c r="G8" s="558">
        <v>1.5</v>
      </c>
      <c r="H8" s="558">
        <v>1.1000000000000001</v>
      </c>
      <c r="I8" s="558">
        <v>1</v>
      </c>
      <c r="J8" s="558">
        <v>1</v>
      </c>
      <c r="K8" s="552">
        <v>1.2</v>
      </c>
    </row>
    <row r="9" spans="1:11">
      <c r="A9" s="14" t="s">
        <v>1682</v>
      </c>
      <c r="B9" s="403">
        <v>1034</v>
      </c>
      <c r="C9" s="558">
        <v>0.9</v>
      </c>
      <c r="D9" s="558">
        <v>1.3</v>
      </c>
      <c r="E9" s="558">
        <v>1.6</v>
      </c>
      <c r="F9" s="558">
        <v>1.5</v>
      </c>
      <c r="G9" s="558">
        <v>1.6</v>
      </c>
      <c r="H9" s="558">
        <v>0.8</v>
      </c>
      <c r="I9" s="558">
        <v>1.4</v>
      </c>
      <c r="J9" s="558">
        <v>1.3</v>
      </c>
      <c r="K9" s="552">
        <v>1.3</v>
      </c>
    </row>
    <row r="10" spans="1:11">
      <c r="A10" s="14" t="s">
        <v>1254</v>
      </c>
      <c r="B10" s="403">
        <v>1057</v>
      </c>
      <c r="C10" s="558">
        <v>0.05</v>
      </c>
      <c r="D10" s="558">
        <v>0.08</v>
      </c>
      <c r="E10" s="558">
        <v>0.06</v>
      </c>
      <c r="F10" s="558">
        <v>0.09</v>
      </c>
      <c r="G10" s="558">
        <v>0.1</v>
      </c>
      <c r="H10" s="558">
        <v>0.05</v>
      </c>
      <c r="I10" s="558">
        <v>7.0000000000000007E-2</v>
      </c>
      <c r="J10" s="558">
        <v>7.0000000000000007E-2</v>
      </c>
      <c r="K10" s="552">
        <v>7.1249999999999994E-2</v>
      </c>
    </row>
    <row r="11" spans="1:11">
      <c r="A11" s="14" t="s">
        <v>2659</v>
      </c>
      <c r="B11" s="403">
        <v>1096</v>
      </c>
      <c r="C11" s="558">
        <v>10</v>
      </c>
      <c r="D11" s="558">
        <v>10</v>
      </c>
      <c r="E11" s="558">
        <v>10</v>
      </c>
      <c r="F11" s="558">
        <v>10</v>
      </c>
      <c r="G11" s="558">
        <v>10</v>
      </c>
      <c r="H11" s="558">
        <v>10</v>
      </c>
      <c r="I11" s="558">
        <v>10</v>
      </c>
      <c r="J11" s="558">
        <v>10</v>
      </c>
      <c r="K11" s="552">
        <v>10</v>
      </c>
    </row>
    <row r="12" spans="1:11">
      <c r="A12" s="14" t="s">
        <v>3253</v>
      </c>
      <c r="B12" s="403">
        <v>1107</v>
      </c>
      <c r="C12" s="558">
        <v>6</v>
      </c>
      <c r="D12" s="558">
        <v>6</v>
      </c>
      <c r="E12" s="558">
        <v>6</v>
      </c>
      <c r="F12" s="558">
        <v>6</v>
      </c>
      <c r="G12" s="558">
        <v>6</v>
      </c>
      <c r="H12" s="558">
        <v>6</v>
      </c>
      <c r="I12" s="558">
        <v>6</v>
      </c>
      <c r="J12" s="558">
        <v>6</v>
      </c>
      <c r="K12" s="552">
        <v>6</v>
      </c>
    </row>
    <row r="13" spans="1:11">
      <c r="A13" s="14" t="s">
        <v>4998</v>
      </c>
      <c r="B13" s="403">
        <v>1110</v>
      </c>
      <c r="C13" s="558">
        <v>6</v>
      </c>
      <c r="D13" s="558">
        <v>6</v>
      </c>
      <c r="E13" s="558">
        <v>6</v>
      </c>
      <c r="F13" s="558">
        <v>6</v>
      </c>
      <c r="G13" s="558">
        <v>6</v>
      </c>
      <c r="H13" s="558">
        <v>6</v>
      </c>
      <c r="I13" s="558">
        <v>6</v>
      </c>
      <c r="J13" s="558">
        <v>6</v>
      </c>
      <c r="K13" s="552">
        <v>6</v>
      </c>
    </row>
    <row r="14" spans="1:11">
      <c r="A14" s="14" t="s">
        <v>4903</v>
      </c>
      <c r="B14" s="403">
        <v>1126</v>
      </c>
      <c r="C14" s="558">
        <v>10</v>
      </c>
      <c r="D14" s="558">
        <v>10</v>
      </c>
      <c r="E14" s="558">
        <v>10</v>
      </c>
      <c r="F14" s="558">
        <v>10</v>
      </c>
      <c r="G14" s="558">
        <v>10</v>
      </c>
      <c r="H14" s="558">
        <v>10</v>
      </c>
      <c r="I14" s="558">
        <v>10</v>
      </c>
      <c r="J14" s="558">
        <v>10</v>
      </c>
      <c r="K14" s="552">
        <v>10</v>
      </c>
    </row>
    <row r="15" spans="1:11">
      <c r="A15" s="14" t="s">
        <v>5932</v>
      </c>
      <c r="B15" s="403">
        <v>1140</v>
      </c>
      <c r="C15" s="558">
        <v>0.1</v>
      </c>
      <c r="D15" s="558">
        <v>0.1</v>
      </c>
      <c r="E15" s="558">
        <v>0.1</v>
      </c>
      <c r="F15" s="558">
        <v>0.1</v>
      </c>
      <c r="G15" s="558">
        <v>0.1</v>
      </c>
      <c r="H15" s="558">
        <v>0.1</v>
      </c>
      <c r="I15" s="558">
        <v>0.1</v>
      </c>
      <c r="J15" s="558">
        <v>0.1</v>
      </c>
      <c r="K15" s="552">
        <v>0.1</v>
      </c>
    </row>
    <row r="16" spans="1:11">
      <c r="A16" s="14" t="s">
        <v>5933</v>
      </c>
      <c r="B16" s="403">
        <v>1150</v>
      </c>
      <c r="C16" s="558">
        <v>0.1</v>
      </c>
      <c r="D16" s="558">
        <v>0.1</v>
      </c>
      <c r="E16" s="558">
        <v>0.1</v>
      </c>
      <c r="F16" s="558">
        <v>0.1</v>
      </c>
      <c r="G16" s="558">
        <v>0.1</v>
      </c>
      <c r="H16" s="558">
        <v>0.1</v>
      </c>
      <c r="I16" s="558">
        <v>0.1</v>
      </c>
      <c r="J16" s="558">
        <v>0.1</v>
      </c>
      <c r="K16" s="552">
        <v>0.1</v>
      </c>
    </row>
    <row r="17" spans="1:11">
      <c r="A17" s="14" t="s">
        <v>5934</v>
      </c>
      <c r="B17" s="403">
        <v>1157</v>
      </c>
      <c r="C17" s="558">
        <v>10</v>
      </c>
      <c r="D17" s="558">
        <v>10</v>
      </c>
      <c r="E17" s="558">
        <v>10</v>
      </c>
      <c r="F17" s="558">
        <v>10</v>
      </c>
      <c r="G17" s="558">
        <v>10</v>
      </c>
      <c r="H17" s="558">
        <v>10</v>
      </c>
      <c r="I17" s="558">
        <v>10</v>
      </c>
      <c r="J17" s="558">
        <v>10</v>
      </c>
      <c r="K17" s="552">
        <v>10</v>
      </c>
    </row>
    <row r="18" spans="1:11">
      <c r="A18" s="19" t="s">
        <v>5935</v>
      </c>
      <c r="B18" s="20"/>
      <c r="C18" s="561">
        <v>5</v>
      </c>
      <c r="D18" s="561">
        <v>5</v>
      </c>
      <c r="E18" s="561">
        <v>5</v>
      </c>
      <c r="F18" s="561">
        <v>5</v>
      </c>
      <c r="G18" s="561">
        <v>5</v>
      </c>
      <c r="H18" s="561">
        <v>5</v>
      </c>
      <c r="I18" s="561">
        <v>5</v>
      </c>
      <c r="J18" s="561">
        <v>5</v>
      </c>
      <c r="K18" s="554">
        <v>5</v>
      </c>
    </row>
    <row r="20" spans="1:11">
      <c r="A20" s="273" t="s">
        <v>5912</v>
      </c>
    </row>
    <row r="21" spans="1:11">
      <c r="A21" s="273" t="s">
        <v>5913</v>
      </c>
    </row>
    <row r="23" spans="1:11" ht="13">
      <c r="A23" s="928"/>
      <c r="B23" s="928" t="s">
        <v>1907</v>
      </c>
      <c r="C23" s="928" t="s">
        <v>5914</v>
      </c>
      <c r="D23" s="928" t="s">
        <v>5915</v>
      </c>
      <c r="E23" s="928" t="s">
        <v>5916</v>
      </c>
      <c r="F23" s="928" t="s">
        <v>5917</v>
      </c>
      <c r="G23" s="928" t="s">
        <v>5918</v>
      </c>
      <c r="H23" s="928" t="s">
        <v>5919</v>
      </c>
      <c r="I23" s="928" t="s">
        <v>5920</v>
      </c>
      <c r="J23" s="928" t="s">
        <v>5921</v>
      </c>
      <c r="K23" s="929"/>
    </row>
    <row r="24" spans="1:11" ht="13">
      <c r="A24" s="1130"/>
      <c r="B24" s="1130"/>
      <c r="C24" s="1130" t="s">
        <v>5922</v>
      </c>
      <c r="D24" s="1130" t="s">
        <v>5923</v>
      </c>
      <c r="E24" s="1130" t="s">
        <v>5924</v>
      </c>
      <c r="F24" s="1130" t="s">
        <v>5925</v>
      </c>
      <c r="G24" s="1130" t="s">
        <v>5926</v>
      </c>
      <c r="H24" s="1130" t="s">
        <v>5927</v>
      </c>
      <c r="I24" s="1130" t="s">
        <v>5928</v>
      </c>
      <c r="J24" s="1130" t="s">
        <v>5929</v>
      </c>
      <c r="K24" s="1134" t="s">
        <v>5930</v>
      </c>
    </row>
    <row r="25" spans="1:11" ht="13">
      <c r="A25" s="1133" t="s">
        <v>7558</v>
      </c>
      <c r="B25" s="1133"/>
      <c r="C25" s="1127"/>
      <c r="D25" s="1127"/>
      <c r="E25" s="1127"/>
      <c r="F25" s="1127"/>
      <c r="G25" s="1127"/>
      <c r="H25" s="1127"/>
      <c r="I25" s="1127"/>
      <c r="J25" s="1127"/>
      <c r="K25" s="1128"/>
    </row>
    <row r="26" spans="1:11">
      <c r="A26" s="403" t="s">
        <v>4668</v>
      </c>
      <c r="B26" s="403">
        <v>866</v>
      </c>
      <c r="C26" s="572">
        <v>41.89948234430063</v>
      </c>
      <c r="D26" s="572">
        <v>14.874133030167446</v>
      </c>
      <c r="E26" s="572">
        <v>17.699906146285521</v>
      </c>
      <c r="F26" s="572">
        <v>25.987511009685317</v>
      </c>
      <c r="G26" s="572">
        <v>20.42577900423754</v>
      </c>
      <c r="H26" s="572">
        <v>71.964113393968788</v>
      </c>
      <c r="I26" s="572">
        <v>42.237391855511838</v>
      </c>
      <c r="J26" s="572">
        <v>39.525987673386282</v>
      </c>
      <c r="K26" s="573">
        <v>37.101932493773369</v>
      </c>
    </row>
    <row r="27" spans="1:11">
      <c r="A27" s="403" t="s">
        <v>1867</v>
      </c>
      <c r="B27" s="403">
        <v>976</v>
      </c>
      <c r="C27" s="574">
        <v>8.8063796050000001</v>
      </c>
      <c r="D27" s="574">
        <v>14.09585223</v>
      </c>
      <c r="E27" s="574">
        <v>7.7684671590000001</v>
      </c>
      <c r="F27" s="574">
        <v>10.96470772</v>
      </c>
      <c r="G27" s="574">
        <v>14.055665449999999</v>
      </c>
      <c r="H27" s="574">
        <v>11.98146049</v>
      </c>
      <c r="I27" s="574">
        <v>10.30601321</v>
      </c>
      <c r="J27" s="574">
        <v>9.1951368149999997</v>
      </c>
      <c r="K27" s="575">
        <v>10.308350880000001</v>
      </c>
    </row>
    <row r="28" spans="1:11">
      <c r="A28" s="403" t="s">
        <v>4551</v>
      </c>
      <c r="B28" s="403">
        <v>1057</v>
      </c>
      <c r="C28" s="574">
        <v>4.3781811537022177</v>
      </c>
      <c r="D28" s="574">
        <v>2.598786750517994</v>
      </c>
      <c r="E28" s="574">
        <v>4.0302083669632225</v>
      </c>
      <c r="F28" s="574">
        <v>2.8779473855037678</v>
      </c>
      <c r="G28" s="574">
        <v>2.7155348373522696</v>
      </c>
      <c r="H28" s="574">
        <v>5.3809657675262859</v>
      </c>
      <c r="I28" s="574">
        <v>3.1424697818867218</v>
      </c>
      <c r="J28" s="574">
        <v>5.003141384319556</v>
      </c>
      <c r="K28" s="575">
        <v>3.8188949630106408</v>
      </c>
    </row>
    <row r="29" spans="1:11">
      <c r="A29" s="403" t="s">
        <v>406</v>
      </c>
      <c r="B29" s="403">
        <v>1016</v>
      </c>
      <c r="C29" s="574">
        <v>43.309331753295154</v>
      </c>
      <c r="D29" s="574">
        <v>32.011783677034444</v>
      </c>
      <c r="E29" s="574">
        <v>31.776444059625717</v>
      </c>
      <c r="F29" s="574">
        <v>53.489177717677755</v>
      </c>
      <c r="G29" s="574">
        <v>37.650302890902793</v>
      </c>
      <c r="H29" s="574">
        <v>56.010584964459824</v>
      </c>
      <c r="I29" s="574">
        <v>57.177057402943419</v>
      </c>
      <c r="J29" s="574">
        <v>26.941138095917189</v>
      </c>
      <c r="K29" s="575">
        <v>41.757245708311125</v>
      </c>
    </row>
    <row r="30" spans="1:11">
      <c r="A30" s="403" t="s">
        <v>2157</v>
      </c>
      <c r="B30" s="403">
        <v>946</v>
      </c>
      <c r="C30" s="574">
        <v>68.828635647572938</v>
      </c>
      <c r="D30" s="574">
        <v>27.785970751473084</v>
      </c>
      <c r="E30" s="574">
        <v>19.39162495816678</v>
      </c>
      <c r="F30" s="574">
        <v>76.898621634833887</v>
      </c>
      <c r="G30" s="574">
        <v>240.08736495505892</v>
      </c>
      <c r="H30" s="574">
        <v>76.898621634833887</v>
      </c>
      <c r="I30" s="574">
        <v>58.654490238282143</v>
      </c>
      <c r="J30" s="574">
        <v>116.56483639912126</v>
      </c>
      <c r="K30" s="575">
        <v>76.898621634833887</v>
      </c>
    </row>
    <row r="31" spans="1:11">
      <c r="A31" s="403" t="s">
        <v>1682</v>
      </c>
      <c r="B31" s="403">
        <v>1034</v>
      </c>
      <c r="C31" s="574">
        <v>3.0638273374395397</v>
      </c>
      <c r="D31" s="574">
        <v>3.7942502257503383</v>
      </c>
      <c r="E31" s="574">
        <v>4.8707244784268946</v>
      </c>
      <c r="F31" s="574">
        <v>3.0126159627880931</v>
      </c>
      <c r="G31" s="574">
        <v>3.3460015782367556</v>
      </c>
      <c r="H31" s="574">
        <v>6.881004658268294</v>
      </c>
      <c r="I31" s="574">
        <v>6.698180077693495</v>
      </c>
      <c r="J31" s="574">
        <v>4.4230987119994225</v>
      </c>
      <c r="K31" s="575">
        <v>3.9587771364368303</v>
      </c>
    </row>
    <row r="32" spans="1:11">
      <c r="A32" s="403" t="s">
        <v>3071</v>
      </c>
      <c r="B32" s="403">
        <v>1068</v>
      </c>
      <c r="C32" s="574">
        <v>8.9488515107940625</v>
      </c>
      <c r="D32" s="574">
        <v>3.8713193460805706</v>
      </c>
      <c r="E32" s="574">
        <v>4.3931078393614813</v>
      </c>
      <c r="F32" s="574">
        <v>3.1911129280115875</v>
      </c>
      <c r="G32" s="574">
        <v>2.8093575606617587</v>
      </c>
      <c r="H32" s="574">
        <v>7.741607981999028</v>
      </c>
      <c r="I32" s="574">
        <v>8.8853217329254601</v>
      </c>
      <c r="J32" s="574">
        <v>7.333398872384981</v>
      </c>
      <c r="K32" s="575">
        <v>7.2091176853858947</v>
      </c>
    </row>
    <row r="33" spans="1:11">
      <c r="A33" s="210" t="s">
        <v>3620</v>
      </c>
      <c r="B33" s="403">
        <v>1072</v>
      </c>
      <c r="C33" s="574">
        <v>5.1038273262865523</v>
      </c>
      <c r="D33" s="574">
        <v>2.0969696010260437</v>
      </c>
      <c r="E33" s="574">
        <v>4.9096162143793372</v>
      </c>
      <c r="F33" s="574">
        <v>9.1050983478790783</v>
      </c>
      <c r="G33" s="574">
        <v>3.2978801662735964</v>
      </c>
      <c r="H33" s="574">
        <v>3.2580082104260919</v>
      </c>
      <c r="I33" s="574">
        <v>8.0016918478114842</v>
      </c>
      <c r="J33" s="574">
        <v>2.9355927728041258</v>
      </c>
      <c r="K33" s="575">
        <v>2.9626956221559522</v>
      </c>
    </row>
    <row r="34" spans="1:11">
      <c r="A34" s="403" t="s">
        <v>4652</v>
      </c>
      <c r="B34" s="403">
        <v>1079</v>
      </c>
      <c r="C34" s="574">
        <v>2.119661491366871</v>
      </c>
      <c r="D34" s="574">
        <v>1.5024653676988955</v>
      </c>
      <c r="E34" s="574">
        <v>2.3252429512214849</v>
      </c>
      <c r="F34" s="574">
        <v>2.8893552741438469</v>
      </c>
      <c r="G34" s="574">
        <v>1.6450999120284739</v>
      </c>
      <c r="H34" s="574">
        <v>3.3028914787332377</v>
      </c>
      <c r="I34" s="574">
        <v>3.1273322757272899</v>
      </c>
      <c r="J34" s="574">
        <v>1.4426451098104054</v>
      </c>
      <c r="K34" s="575">
        <v>2.3848280582867658</v>
      </c>
    </row>
    <row r="35" spans="1:11">
      <c r="A35" s="403" t="s">
        <v>2659</v>
      </c>
      <c r="B35" s="403">
        <v>1096</v>
      </c>
      <c r="C35" s="574">
        <v>53.420971544562697</v>
      </c>
      <c r="D35" s="574">
        <v>114.27447881530712</v>
      </c>
      <c r="E35" s="574">
        <v>211.40122311544374</v>
      </c>
      <c r="F35" s="574">
        <v>123.9788537163454</v>
      </c>
      <c r="G35" s="574">
        <v>48.422046219071902</v>
      </c>
      <c r="H35" s="574">
        <v>195.05498418041191</v>
      </c>
      <c r="I35" s="574">
        <v>237.3276816054113</v>
      </c>
      <c r="J35" s="574">
        <v>140.14645062794702</v>
      </c>
      <c r="K35" s="575">
        <v>138.8575539671647</v>
      </c>
    </row>
    <row r="36" spans="1:11">
      <c r="A36" s="403" t="s">
        <v>3253</v>
      </c>
      <c r="B36" s="403">
        <v>1107</v>
      </c>
      <c r="C36" s="574">
        <v>103.19460287223529</v>
      </c>
      <c r="D36" s="574">
        <v>103.19460287223529</v>
      </c>
      <c r="E36" s="574">
        <v>103.19460287223529</v>
      </c>
      <c r="F36" s="574">
        <v>103.19460287223529</v>
      </c>
      <c r="G36" s="574">
        <v>288.88106194976802</v>
      </c>
      <c r="H36" s="574">
        <v>287.09311620096383</v>
      </c>
      <c r="I36" s="574">
        <v>103.19460287223529</v>
      </c>
      <c r="J36" s="574">
        <v>91.755330291963318</v>
      </c>
      <c r="K36" s="575">
        <v>103.19460287223529</v>
      </c>
    </row>
    <row r="37" spans="1:11">
      <c r="A37" s="403" t="s">
        <v>4998</v>
      </c>
      <c r="B37" s="403">
        <v>1110</v>
      </c>
      <c r="C37" s="574">
        <v>117.50354520578824</v>
      </c>
      <c r="D37" s="574">
        <v>117.50354520578824</v>
      </c>
      <c r="E37" s="574">
        <v>117.50354520578824</v>
      </c>
      <c r="F37" s="574">
        <v>117.50354520578824</v>
      </c>
      <c r="G37" s="574">
        <v>112.40235631626336</v>
      </c>
      <c r="H37" s="574">
        <v>117.50354520578824</v>
      </c>
      <c r="I37" s="574">
        <v>117.50354520578824</v>
      </c>
      <c r="J37" s="574">
        <v>117.54469738993819</v>
      </c>
      <c r="K37" s="575">
        <v>117.50354520578824</v>
      </c>
    </row>
    <row r="38" spans="1:11">
      <c r="A38" s="403" t="s">
        <v>4903</v>
      </c>
      <c r="B38" s="403">
        <v>1126</v>
      </c>
      <c r="C38" s="574">
        <v>98.17517466515605</v>
      </c>
      <c r="D38" s="574">
        <v>111.51952599434503</v>
      </c>
      <c r="E38" s="574">
        <v>37.3859393702825</v>
      </c>
      <c r="F38" s="574">
        <v>111.51952599434503</v>
      </c>
      <c r="G38" s="574">
        <v>111.51952599434503</v>
      </c>
      <c r="H38" s="574">
        <v>161.52762733765331</v>
      </c>
      <c r="I38" s="574">
        <v>111.51952599434503</v>
      </c>
      <c r="J38" s="574">
        <v>52.4701864702538</v>
      </c>
      <c r="K38" s="575">
        <v>111.51952599434503</v>
      </c>
    </row>
    <row r="39" spans="1:11">
      <c r="A39" s="403" t="s">
        <v>3595</v>
      </c>
      <c r="B39" s="403">
        <v>1140</v>
      </c>
      <c r="C39" s="574">
        <v>9.3515018838613511</v>
      </c>
      <c r="D39" s="574">
        <v>4.3037680782453833</v>
      </c>
      <c r="E39" s="574">
        <v>4.8774472185290083</v>
      </c>
      <c r="F39" s="574">
        <v>10.418392721620096</v>
      </c>
      <c r="G39" s="574">
        <v>7.1689349815863395</v>
      </c>
      <c r="H39" s="574">
        <v>4.8939863808678723</v>
      </c>
      <c r="I39" s="574">
        <v>10.412604742983429</v>
      </c>
      <c r="J39" s="574">
        <v>13.446098408670235</v>
      </c>
      <c r="K39" s="575">
        <v>10.418392721620096</v>
      </c>
    </row>
    <row r="40" spans="1:11">
      <c r="A40" s="403" t="s">
        <v>5933</v>
      </c>
      <c r="B40" s="403">
        <v>1150</v>
      </c>
      <c r="C40" s="574">
        <v>30.515022953937244</v>
      </c>
      <c r="D40" s="574">
        <v>30.515022953937244</v>
      </c>
      <c r="E40" s="574">
        <v>30.515022953937244</v>
      </c>
      <c r="F40" s="574">
        <v>30.515022953937244</v>
      </c>
      <c r="G40" s="574">
        <v>30.515022953937244</v>
      </c>
      <c r="H40" s="574">
        <v>30.515022953937244</v>
      </c>
      <c r="I40" s="574">
        <v>37.928272134629175</v>
      </c>
      <c r="J40" s="574">
        <v>30.515022953937244</v>
      </c>
      <c r="K40" s="575">
        <v>30.515022953937244</v>
      </c>
    </row>
    <row r="41" spans="1:11">
      <c r="A41" s="403" t="s">
        <v>5934</v>
      </c>
      <c r="B41" s="403">
        <v>1157</v>
      </c>
      <c r="C41" s="578">
        <v>710.3944224696836</v>
      </c>
      <c r="D41" s="578">
        <v>710.3944224696836</v>
      </c>
      <c r="E41" s="578">
        <v>710.3944224696836</v>
      </c>
      <c r="F41" s="578">
        <v>710.3944224696836</v>
      </c>
      <c r="G41" s="578">
        <v>710.3944224696836</v>
      </c>
      <c r="H41" s="578">
        <v>710.3944224696836</v>
      </c>
      <c r="I41" s="578">
        <v>712.76949876056142</v>
      </c>
      <c r="J41" s="578">
        <v>710.3944224696836</v>
      </c>
      <c r="K41" s="579">
        <v>710.3944224696836</v>
      </c>
    </row>
    <row r="42" spans="1:11" ht="13">
      <c r="A42" s="743"/>
      <c r="B42" s="743" t="s">
        <v>1907</v>
      </c>
      <c r="C42" s="743" t="s">
        <v>5914</v>
      </c>
      <c r="D42" s="743" t="s">
        <v>5915</v>
      </c>
      <c r="E42" s="743" t="s">
        <v>5916</v>
      </c>
      <c r="F42" s="743" t="s">
        <v>5917</v>
      </c>
      <c r="G42" s="743" t="s">
        <v>5918</v>
      </c>
      <c r="H42" s="743" t="s">
        <v>5919</v>
      </c>
      <c r="I42" s="743" t="s">
        <v>5920</v>
      </c>
      <c r="J42" s="743" t="s">
        <v>5921</v>
      </c>
      <c r="K42" s="744"/>
    </row>
    <row r="43" spans="1:11" ht="13">
      <c r="A43" s="971"/>
      <c r="B43" s="971"/>
      <c r="C43" s="971" t="s">
        <v>5922</v>
      </c>
      <c r="D43" s="971" t="s">
        <v>5923</v>
      </c>
      <c r="E43" s="971" t="s">
        <v>5924</v>
      </c>
      <c r="F43" s="971" t="s">
        <v>5925</v>
      </c>
      <c r="G43" s="971" t="s">
        <v>5926</v>
      </c>
      <c r="H43" s="971" t="s">
        <v>5927</v>
      </c>
      <c r="I43" s="971" t="s">
        <v>5928</v>
      </c>
      <c r="J43" s="971" t="s">
        <v>5929</v>
      </c>
      <c r="K43" s="1065" t="s">
        <v>5930</v>
      </c>
    </row>
    <row r="44" spans="1:11" ht="13">
      <c r="A44" s="1062" t="s">
        <v>7559</v>
      </c>
      <c r="B44" s="1062"/>
      <c r="C44" s="1063"/>
      <c r="D44" s="1063"/>
      <c r="E44" s="1063"/>
      <c r="F44" s="1063"/>
      <c r="G44" s="1063"/>
      <c r="H44" s="1063"/>
      <c r="I44" s="1063"/>
      <c r="J44" s="1063"/>
      <c r="K44" s="1064"/>
    </row>
    <row r="45" spans="1:11">
      <c r="A45" s="403" t="s">
        <v>5420</v>
      </c>
      <c r="B45" s="403">
        <v>882</v>
      </c>
      <c r="C45" s="572">
        <v>1.6735798156699184</v>
      </c>
      <c r="D45" s="572">
        <v>1.1182271207555294</v>
      </c>
      <c r="E45" s="572">
        <v>1.6429080507346212</v>
      </c>
      <c r="F45" s="572">
        <v>0.85817551756708677</v>
      </c>
      <c r="G45" s="572">
        <v>0.97939335048806586</v>
      </c>
      <c r="H45" s="572">
        <v>5.9971903769206287</v>
      </c>
      <c r="I45" s="572">
        <v>2.3503641456448983</v>
      </c>
      <c r="J45" s="572">
        <v>1.0866984974675642</v>
      </c>
      <c r="K45" s="573">
        <v>1.5674255905914334</v>
      </c>
    </row>
    <row r="46" spans="1:11">
      <c r="A46" s="403" t="s">
        <v>4473</v>
      </c>
      <c r="B46" s="403">
        <v>951</v>
      </c>
      <c r="C46" s="574">
        <v>2.749203782837327</v>
      </c>
      <c r="D46" s="574">
        <v>2.088930225902875</v>
      </c>
      <c r="E46" s="574">
        <v>1.7999336548620304</v>
      </c>
      <c r="F46" s="574">
        <v>2.539393418518392</v>
      </c>
      <c r="G46" s="574">
        <v>11.511921710521003</v>
      </c>
      <c r="H46" s="574">
        <v>6.4084118030075912</v>
      </c>
      <c r="I46" s="574">
        <v>3.2639186460360681</v>
      </c>
      <c r="J46" s="574">
        <v>3.204748066492157</v>
      </c>
      <c r="K46" s="575">
        <v>3.2486951306882763</v>
      </c>
    </row>
    <row r="47" spans="1:11">
      <c r="A47" s="403" t="s">
        <v>1862</v>
      </c>
      <c r="B47" s="403">
        <v>982</v>
      </c>
      <c r="C47" s="574">
        <v>11.090700596009993</v>
      </c>
      <c r="D47" s="574">
        <v>10.459584822692841</v>
      </c>
      <c r="E47" s="574">
        <v>7.8243722902786468</v>
      </c>
      <c r="F47" s="574">
        <v>10.224594922011988</v>
      </c>
      <c r="G47" s="574">
        <v>4.9545629253724561</v>
      </c>
      <c r="H47" s="574">
        <v>12.189068827316099</v>
      </c>
      <c r="I47" s="574">
        <v>13.757393559974453</v>
      </c>
      <c r="J47" s="574">
        <v>13.296181983861818</v>
      </c>
      <c r="K47" s="575">
        <v>10.224594922011988</v>
      </c>
    </row>
    <row r="48" spans="1:11">
      <c r="A48" s="403" t="s">
        <v>1866</v>
      </c>
      <c r="B48" s="403">
        <v>987</v>
      </c>
      <c r="C48" s="574">
        <v>272.1480270653297</v>
      </c>
      <c r="D48" s="574">
        <v>308.80653840267843</v>
      </c>
      <c r="E48" s="574">
        <v>235.63082644799121</v>
      </c>
      <c r="F48" s="574">
        <v>113.18465788685307</v>
      </c>
      <c r="G48" s="574">
        <v>285.79000496946463</v>
      </c>
      <c r="H48" s="574">
        <v>271.68008428599393</v>
      </c>
      <c r="I48" s="574">
        <v>133.93379543985637</v>
      </c>
      <c r="J48" s="574">
        <v>247.65294102839164</v>
      </c>
      <c r="K48" s="575">
        <v>193.150621915171</v>
      </c>
    </row>
    <row r="49" spans="1:11">
      <c r="A49" s="403" t="s">
        <v>1680</v>
      </c>
      <c r="B49" s="403">
        <v>1062</v>
      </c>
      <c r="C49" s="574">
        <v>2.2185045434715609</v>
      </c>
      <c r="D49" s="574">
        <v>3.024046247097913</v>
      </c>
      <c r="E49" s="574">
        <v>2.6555604048332295</v>
      </c>
      <c r="F49" s="574">
        <v>2.2027761384143378</v>
      </c>
      <c r="G49" s="574">
        <v>2.4813739549871765</v>
      </c>
      <c r="H49" s="574">
        <v>4.0104290400095772</v>
      </c>
      <c r="I49" s="574">
        <v>2.7507549654749903</v>
      </c>
      <c r="J49" s="574">
        <v>2.6698456821459811</v>
      </c>
      <c r="K49" s="575">
        <v>2.6758408644881384</v>
      </c>
    </row>
    <row r="50" spans="1:11">
      <c r="A50" s="427" t="s">
        <v>3821</v>
      </c>
      <c r="B50" s="427">
        <v>1091</v>
      </c>
      <c r="C50" s="576">
        <v>2.2185045434715609</v>
      </c>
      <c r="D50" s="576">
        <v>3.024046247097913</v>
      </c>
      <c r="E50" s="576">
        <v>2.6555604048332295</v>
      </c>
      <c r="F50" s="576">
        <v>2.2027761384143378</v>
      </c>
      <c r="G50" s="576">
        <v>2.4813739549871765</v>
      </c>
      <c r="H50" s="576">
        <v>4.0104290400095772</v>
      </c>
      <c r="I50" s="576">
        <v>2.7507549654749903</v>
      </c>
      <c r="J50" s="576">
        <v>2.6698456821459811</v>
      </c>
      <c r="K50" s="577">
        <v>2.6758408644881384</v>
      </c>
    </row>
  </sheetData>
  <hyperlinks>
    <hyperlink ref="C3" location="feed_demand_n!A1" display="feed_demand_n" xr:uid="{00000000-0004-0000-2600-000000000000}"/>
  </hyperlinks>
  <pageMargins left="0.75" right="0.75" top="1" bottom="1" header="0.5" footer="0.5"/>
  <headerFooter alignWithMargins="0"/>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2">
    <tabColor theme="4"/>
    <pageSetUpPr autoPageBreaks="0"/>
  </sheetPr>
  <dimension ref="A1:AE2327"/>
  <sheetViews>
    <sheetView zoomScaleNormal="100" workbookViewId="0">
      <pane xSplit="2" ySplit="6" topLeftCell="C7" activePane="bottomRight" state="frozen"/>
      <selection activeCell="B24" sqref="B24"/>
      <selection pane="topRight" activeCell="B24" sqref="B24"/>
      <selection pane="bottomLeft" activeCell="B24" sqref="B24"/>
      <selection pane="bottomRight" activeCell="A65536" sqref="A65536"/>
    </sheetView>
  </sheetViews>
  <sheetFormatPr defaultColWidth="9.1796875" defaultRowHeight="12.75" customHeight="1"/>
  <cols>
    <col min="1" max="1" width="30.81640625" style="36" customWidth="1"/>
    <col min="2" max="2" width="30.54296875" style="36" customWidth="1"/>
    <col min="3" max="3" width="15.1796875" style="36" customWidth="1"/>
    <col min="4" max="5" width="19.7265625" style="36" customWidth="1"/>
    <col min="6" max="10" width="16.7265625" style="36" customWidth="1"/>
    <col min="11" max="11" width="18.81640625" style="36" customWidth="1"/>
    <col min="12" max="13" width="19.7265625" style="36" customWidth="1"/>
    <col min="14" max="20" width="16.7265625" style="36" customWidth="1"/>
    <col min="21" max="16384" width="9.1796875" style="36"/>
  </cols>
  <sheetData>
    <row r="1" spans="1:31" ht="12.75" customHeight="1">
      <c r="B1" s="97"/>
      <c r="C1" s="97"/>
      <c r="D1" s="97"/>
      <c r="E1" s="97"/>
      <c r="F1" s="97"/>
      <c r="G1" s="97"/>
      <c r="H1" s="97"/>
      <c r="I1" s="97"/>
      <c r="J1" s="97"/>
      <c r="K1" s="97"/>
      <c r="L1" s="97"/>
      <c r="M1" s="97"/>
      <c r="N1" s="97"/>
      <c r="S1" s="97"/>
      <c r="T1" s="97"/>
    </row>
    <row r="2" spans="1:31" ht="12.75" customHeight="1">
      <c r="C2" s="37" t="s">
        <v>985</v>
      </c>
      <c r="D2" s="466" t="s">
        <v>5244</v>
      </c>
      <c r="E2" s="466" t="s">
        <v>2004</v>
      </c>
      <c r="F2" s="466" t="s">
        <v>6145</v>
      </c>
      <c r="G2" s="466" t="s">
        <v>6160</v>
      </c>
      <c r="H2" s="466" t="s">
        <v>1759</v>
      </c>
      <c r="I2" s="466"/>
      <c r="J2" s="466"/>
    </row>
    <row r="3" spans="1:31" ht="12.75" customHeight="1">
      <c r="C3" s="37" t="s">
        <v>986</v>
      </c>
      <c r="D3" s="466" t="s">
        <v>1758</v>
      </c>
      <c r="E3" s="466"/>
      <c r="F3" s="466"/>
      <c r="G3" s="466"/>
      <c r="H3" s="466"/>
      <c r="I3" s="466"/>
      <c r="J3" s="466"/>
      <c r="K3" s="466"/>
      <c r="M3" s="97"/>
      <c r="N3" s="97"/>
    </row>
    <row r="4" spans="1:31" ht="12.75" customHeight="1">
      <c r="S4" s="74"/>
    </row>
    <row r="5" spans="1:31" ht="15">
      <c r="A5" s="1053" t="s">
        <v>6193</v>
      </c>
      <c r="B5" s="1054" t="s">
        <v>5331</v>
      </c>
      <c r="C5" s="1054" t="s">
        <v>6736</v>
      </c>
      <c r="D5" s="1017" t="s">
        <v>9229</v>
      </c>
      <c r="E5" s="1017" t="s">
        <v>9230</v>
      </c>
      <c r="F5" s="1017" t="s">
        <v>1926</v>
      </c>
      <c r="G5" s="1018" t="s">
        <v>6022</v>
      </c>
      <c r="H5" s="1018" t="s">
        <v>1771</v>
      </c>
      <c r="I5" s="1017" t="s">
        <v>9231</v>
      </c>
      <c r="J5" s="1019" t="s">
        <v>9232</v>
      </c>
      <c r="L5" s="178" t="s">
        <v>6922</v>
      </c>
      <c r="M5" s="152" t="s">
        <v>6923</v>
      </c>
      <c r="N5" s="152" t="s">
        <v>102</v>
      </c>
      <c r="O5" s="152" t="s">
        <v>5467</v>
      </c>
      <c r="P5" s="152" t="s">
        <v>7590</v>
      </c>
      <c r="Q5" s="152" t="s">
        <v>7591</v>
      </c>
      <c r="R5" s="146" t="s">
        <v>2242</v>
      </c>
      <c r="S5" s="146" t="s">
        <v>2243</v>
      </c>
      <c r="T5" s="217" t="s">
        <v>6924</v>
      </c>
    </row>
    <row r="6" spans="1:31" ht="14.5">
      <c r="A6" s="1055" t="s">
        <v>542</v>
      </c>
      <c r="B6" s="1056" t="s">
        <v>542</v>
      </c>
      <c r="C6" s="1056" t="s">
        <v>542</v>
      </c>
      <c r="D6" s="1023" t="s">
        <v>2977</v>
      </c>
      <c r="E6" s="1023" t="s">
        <v>2977</v>
      </c>
      <c r="F6" s="1021" t="s">
        <v>9224</v>
      </c>
      <c r="G6" s="1022" t="s">
        <v>542</v>
      </c>
      <c r="H6" s="1022" t="s">
        <v>9214</v>
      </c>
      <c r="I6" s="1023" t="s">
        <v>720</v>
      </c>
      <c r="J6" s="1024" t="s">
        <v>720</v>
      </c>
      <c r="L6" s="719" t="s">
        <v>4303</v>
      </c>
      <c r="M6" s="355" t="s">
        <v>4303</v>
      </c>
      <c r="N6" s="148" t="s">
        <v>542</v>
      </c>
      <c r="O6" s="148" t="s">
        <v>542</v>
      </c>
      <c r="P6" s="355" t="s">
        <v>4303</v>
      </c>
      <c r="Q6" s="355" t="s">
        <v>4303</v>
      </c>
      <c r="R6" s="148" t="s">
        <v>542</v>
      </c>
      <c r="S6" s="148" t="s">
        <v>3231</v>
      </c>
      <c r="T6" s="150" t="s">
        <v>720</v>
      </c>
    </row>
    <row r="7" spans="1:31" ht="14.5">
      <c r="A7" t="s">
        <v>5434</v>
      </c>
      <c r="B7" t="s">
        <v>2283</v>
      </c>
      <c r="C7">
        <v>10118</v>
      </c>
      <c r="D7" s="580"/>
      <c r="E7" s="580"/>
      <c r="F7" s="55">
        <f>(1/S7)*cnst_fish!$C$6</f>
        <v>9.5299549485983424E-3</v>
      </c>
      <c r="G7" s="55">
        <f>VLOOKUP("Marine Fishing Grounds",iyf,2,FALSE)</f>
        <v>1</v>
      </c>
      <c r="H7" s="55">
        <f>VLOOKUP("Marine Fishing Grounds",eqf,2,FALSE)</f>
        <v>0.36449057933102513</v>
      </c>
      <c r="I7" s="55">
        <f t="shared" ref="I7:I70" si="0">IF($F7=0,0,D7/$F7*$H7*$G7)</f>
        <v>0</v>
      </c>
      <c r="J7" s="56">
        <f t="shared" ref="J7:J70" si="1">IF($F7=0,0,E7/$F7*$H7*$G7)</f>
        <v>0</v>
      </c>
      <c r="L7" s="720">
        <v>22</v>
      </c>
      <c r="M7" s="580"/>
      <c r="N7" s="583" t="s">
        <v>1738</v>
      </c>
      <c r="O7" s="584" t="s">
        <v>4699</v>
      </c>
      <c r="P7" s="234">
        <f t="shared" ref="P7:P70" si="2">D7+E7</f>
        <v>0</v>
      </c>
      <c r="Q7" s="234">
        <f t="shared" ref="Q7:Q70" si="3">L7+M7</f>
        <v>22</v>
      </c>
      <c r="R7" s="55">
        <f t="shared" ref="R7:R70" si="4">VLOOKUP(B7,constant_fish_trophic,3,FALSE)</f>
        <v>4.5</v>
      </c>
      <c r="S7" s="55">
        <f>(1/9)*cnst_fish!$C$7*(1/cnst_fish!$C$8)^(R7-1)</f>
        <v>445.96223412630997</v>
      </c>
      <c r="T7" s="679">
        <f t="shared" ref="T7:T70" si="5">IF(F7=0,0,Q7/F7*H7*G7)</f>
        <v>841.43028886636546</v>
      </c>
      <c r="W7" s="818"/>
      <c r="X7" s="818"/>
      <c r="Y7" s="819"/>
      <c r="Z7" s="820"/>
      <c r="AA7" s="820"/>
      <c r="AB7" s="821"/>
      <c r="AC7" s="821"/>
      <c r="AD7" s="253"/>
      <c r="AE7" s="253"/>
    </row>
    <row r="8" spans="1:31" ht="14.5">
      <c r="A8" t="s">
        <v>2936</v>
      </c>
      <c r="B8" t="s">
        <v>2235</v>
      </c>
      <c r="C8">
        <v>2153</v>
      </c>
      <c r="D8" s="836"/>
      <c r="E8" s="836"/>
      <c r="F8" s="867">
        <f>(1/S8)*cnst_fish!$C$6</f>
        <v>0.34601175047837884</v>
      </c>
      <c r="G8" s="867">
        <f t="shared" ref="G8:H27" si="6">G$7</f>
        <v>1</v>
      </c>
      <c r="H8" s="867">
        <f t="shared" si="6"/>
        <v>0.36449057933102513</v>
      </c>
      <c r="I8" s="867">
        <f t="shared" si="0"/>
        <v>0</v>
      </c>
      <c r="J8" s="389">
        <f t="shared" si="1"/>
        <v>0</v>
      </c>
      <c r="L8" s="870">
        <v>1636.4099999999999</v>
      </c>
      <c r="M8" s="836">
        <v>50029.32</v>
      </c>
      <c r="N8" s="875" t="s">
        <v>1738</v>
      </c>
      <c r="O8" s="875" t="s">
        <v>4685</v>
      </c>
      <c r="P8" s="233">
        <f t="shared" si="2"/>
        <v>0</v>
      </c>
      <c r="Q8" s="233">
        <f t="shared" si="3"/>
        <v>51665.729999999996</v>
      </c>
      <c r="R8" s="867">
        <f t="shared" si="4"/>
        <v>2.94</v>
      </c>
      <c r="S8" s="867">
        <f>(1/9)*cnst_fish!$C$7*(1/cnst_fish!$C$8)^(R8-1)</f>
        <v>12.282819858354982</v>
      </c>
      <c r="T8" s="682">
        <f t="shared" si="5"/>
        <v>54424.948959752321</v>
      </c>
      <c r="W8" s="818"/>
      <c r="X8" s="818"/>
      <c r="Y8" s="819"/>
      <c r="Z8" s="820"/>
      <c r="AA8" s="820"/>
      <c r="AB8" s="821"/>
      <c r="AC8" s="821"/>
      <c r="AD8" s="253"/>
      <c r="AE8" s="253"/>
    </row>
    <row r="9" spans="1:31" ht="14.5">
      <c r="A9" t="s">
        <v>4800</v>
      </c>
      <c r="B9" t="s">
        <v>2236</v>
      </c>
      <c r="C9">
        <v>2956</v>
      </c>
      <c r="D9" s="836"/>
      <c r="E9" s="836"/>
      <c r="F9" s="867">
        <f>(1/S9)*cnst_fish!$C$6</f>
        <v>0.34601175047837884</v>
      </c>
      <c r="G9" s="867">
        <f t="shared" si="6"/>
        <v>1</v>
      </c>
      <c r="H9" s="867">
        <f t="shared" si="6"/>
        <v>0.36449057933102513</v>
      </c>
      <c r="I9" s="867">
        <f t="shared" si="0"/>
        <v>0</v>
      </c>
      <c r="J9" s="389">
        <f t="shared" si="1"/>
        <v>0</v>
      </c>
      <c r="L9" s="870">
        <v>1797</v>
      </c>
      <c r="M9" s="836">
        <v>3038</v>
      </c>
      <c r="N9" s="875" t="s">
        <v>1738</v>
      </c>
      <c r="O9" s="875" t="s">
        <v>4685</v>
      </c>
      <c r="P9" s="233">
        <f t="shared" si="2"/>
        <v>0</v>
      </c>
      <c r="Q9" s="233">
        <f t="shared" si="3"/>
        <v>4835</v>
      </c>
      <c r="R9" s="867">
        <f t="shared" si="4"/>
        <v>2.94</v>
      </c>
      <c r="S9" s="867">
        <f>(1/9)*cnst_fish!$C$7*(1/cnst_fish!$C$8)^(R9-1)</f>
        <v>12.282819858354982</v>
      </c>
      <c r="T9" s="682">
        <f t="shared" si="5"/>
        <v>5093.2141715679327</v>
      </c>
      <c r="W9" s="818"/>
      <c r="X9" s="818"/>
      <c r="Y9" s="819"/>
      <c r="Z9" s="820"/>
      <c r="AA9" s="820"/>
      <c r="AB9" s="821"/>
      <c r="AC9" s="821"/>
      <c r="AD9" s="253"/>
      <c r="AE9" s="253"/>
    </row>
    <row r="10" spans="1:31" ht="14.5">
      <c r="A10" t="s">
        <v>3529</v>
      </c>
      <c r="B10" t="s">
        <v>4184</v>
      </c>
      <c r="C10">
        <v>3081</v>
      </c>
      <c r="D10" s="836"/>
      <c r="E10" s="836"/>
      <c r="F10" s="867">
        <f>(1/S10)*cnst_fish!$C$6</f>
        <v>2.945037624971374E-2</v>
      </c>
      <c r="G10" s="867">
        <f t="shared" si="6"/>
        <v>1</v>
      </c>
      <c r="H10" s="867">
        <f t="shared" si="6"/>
        <v>0.36449057933102513</v>
      </c>
      <c r="I10" s="867">
        <f t="shared" si="0"/>
        <v>0</v>
      </c>
      <c r="J10" s="389">
        <f t="shared" si="1"/>
        <v>0</v>
      </c>
      <c r="L10" s="870">
        <v>748</v>
      </c>
      <c r="M10" s="836"/>
      <c r="N10" s="875" t="s">
        <v>2319</v>
      </c>
      <c r="O10" s="875" t="s">
        <v>4681</v>
      </c>
      <c r="P10" s="233">
        <f t="shared" si="2"/>
        <v>0</v>
      </c>
      <c r="Q10" s="233">
        <f t="shared" si="3"/>
        <v>748</v>
      </c>
      <c r="R10" s="867">
        <f t="shared" si="4"/>
        <v>4.01</v>
      </c>
      <c r="S10" s="867">
        <f>(1/9)*cnst_fish!$C$7*(1/cnst_fish!$C$8)^(R10-1)</f>
        <v>144.31055019343972</v>
      </c>
      <c r="T10" s="682">
        <f t="shared" si="5"/>
        <v>9257.5711436711063</v>
      </c>
      <c r="W10" s="818"/>
      <c r="X10" s="818"/>
      <c r="Y10" s="819"/>
      <c r="Z10" s="820"/>
      <c r="AA10" s="820"/>
      <c r="AB10" s="821"/>
      <c r="AC10" s="821"/>
      <c r="AD10" s="253"/>
      <c r="AE10" s="253"/>
    </row>
    <row r="11" spans="1:31" ht="14.5">
      <c r="A11" t="s">
        <v>3683</v>
      </c>
      <c r="B11" t="s">
        <v>2237</v>
      </c>
      <c r="C11">
        <v>10125</v>
      </c>
      <c r="D11" s="836"/>
      <c r="E11" s="836"/>
      <c r="F11" s="867">
        <f>(1/S11)*cnst_fish!$C$6</f>
        <v>0.30136363636363639</v>
      </c>
      <c r="G11" s="867">
        <f t="shared" si="6"/>
        <v>1</v>
      </c>
      <c r="H11" s="867">
        <f t="shared" si="6"/>
        <v>0.36449057933102513</v>
      </c>
      <c r="I11" s="867">
        <f t="shared" si="0"/>
        <v>0</v>
      </c>
      <c r="J11" s="389">
        <f t="shared" si="1"/>
        <v>0</v>
      </c>
      <c r="L11" s="870"/>
      <c r="M11" s="836">
        <v>45</v>
      </c>
      <c r="N11" s="875" t="s">
        <v>1738</v>
      </c>
      <c r="O11" s="875" t="s">
        <v>4685</v>
      </c>
      <c r="P11" s="233">
        <f t="shared" si="2"/>
        <v>0</v>
      </c>
      <c r="Q11" s="233">
        <f t="shared" si="3"/>
        <v>45</v>
      </c>
      <c r="R11" s="867">
        <f t="shared" si="4"/>
        <v>3</v>
      </c>
      <c r="S11" s="867">
        <f>(1/9)*cnst_fish!$C$7*(1/cnst_fish!$C$8)^(R11-1)</f>
        <v>14.1025641025641</v>
      </c>
      <c r="T11" s="682">
        <f t="shared" si="5"/>
        <v>54.426195103727729</v>
      </c>
      <c r="W11" s="818"/>
      <c r="X11" s="818"/>
      <c r="Y11" s="819"/>
      <c r="Z11" s="820"/>
      <c r="AA11" s="820"/>
      <c r="AB11" s="821"/>
      <c r="AC11" s="821"/>
      <c r="AD11" s="253"/>
      <c r="AE11" s="253"/>
    </row>
    <row r="12" spans="1:31" ht="14.5">
      <c r="A12" t="s">
        <v>3784</v>
      </c>
      <c r="B12" t="s">
        <v>4114</v>
      </c>
      <c r="C12">
        <v>3279</v>
      </c>
      <c r="D12" s="836"/>
      <c r="E12" s="836"/>
      <c r="F12" s="867">
        <f>(1/S12)*cnst_fish!$C$6</f>
        <v>1.1997502458044018E-2</v>
      </c>
      <c r="G12" s="867">
        <f t="shared" si="6"/>
        <v>1</v>
      </c>
      <c r="H12" s="867">
        <f t="shared" si="6"/>
        <v>0.36449057933102513</v>
      </c>
      <c r="I12" s="867">
        <f t="shared" si="0"/>
        <v>0</v>
      </c>
      <c r="J12" s="389">
        <f t="shared" si="1"/>
        <v>0</v>
      </c>
      <c r="L12" s="870">
        <v>6274.07</v>
      </c>
      <c r="M12" s="836"/>
      <c r="N12" s="875" t="s">
        <v>1738</v>
      </c>
      <c r="O12" s="875" t="s">
        <v>4699</v>
      </c>
      <c r="P12" s="233">
        <f t="shared" si="2"/>
        <v>0</v>
      </c>
      <c r="Q12" s="233">
        <f t="shared" si="3"/>
        <v>6274.07</v>
      </c>
      <c r="R12" s="867">
        <f t="shared" si="4"/>
        <v>4.4000000000000004</v>
      </c>
      <c r="S12" s="867">
        <f>(1/9)*cnst_fish!$C$7*(1/cnst_fish!$C$8)^(R12-1)</f>
        <v>354.24039418724885</v>
      </c>
      <c r="T12" s="682">
        <f t="shared" si="5"/>
        <v>190609.62204930722</v>
      </c>
      <c r="W12" s="818"/>
      <c r="X12" s="818"/>
      <c r="Y12" s="819"/>
      <c r="Z12" s="820"/>
      <c r="AA12" s="820"/>
      <c r="AB12" s="821"/>
      <c r="AC12" s="821"/>
      <c r="AD12" s="253"/>
      <c r="AE12" s="253"/>
    </row>
    <row r="13" spans="1:31" ht="14.5">
      <c r="A13" t="s">
        <v>5257</v>
      </c>
      <c r="B13" t="s">
        <v>3619</v>
      </c>
      <c r="C13">
        <v>2398</v>
      </c>
      <c r="D13" s="836"/>
      <c r="E13" s="836"/>
      <c r="F13" s="867">
        <f>(1/S13)*cnst_fish!$C$6</f>
        <v>9.9790878883162681E-2</v>
      </c>
      <c r="G13" s="867">
        <f t="shared" si="6"/>
        <v>1</v>
      </c>
      <c r="H13" s="867">
        <f t="shared" si="6"/>
        <v>0.36449057933102513</v>
      </c>
      <c r="I13" s="867">
        <f t="shared" si="0"/>
        <v>0</v>
      </c>
      <c r="J13" s="389">
        <f t="shared" si="1"/>
        <v>0</v>
      </c>
      <c r="L13" s="870">
        <v>102</v>
      </c>
      <c r="M13" s="836"/>
      <c r="N13" s="875" t="s">
        <v>1738</v>
      </c>
      <c r="O13" s="875" t="s">
        <v>4681</v>
      </c>
      <c r="P13" s="233">
        <f t="shared" si="2"/>
        <v>0</v>
      </c>
      <c r="Q13" s="233">
        <f t="shared" si="3"/>
        <v>102</v>
      </c>
      <c r="R13" s="867">
        <f t="shared" si="4"/>
        <v>3.48</v>
      </c>
      <c r="S13" s="867">
        <f>(1/9)*cnst_fish!$C$7*(1/cnst_fish!$C$8)^(R13-1)</f>
        <v>42.589062723618177</v>
      </c>
      <c r="T13" s="682">
        <f t="shared" si="5"/>
        <v>372.55949148712693</v>
      </c>
      <c r="W13" s="818"/>
      <c r="X13" s="818"/>
      <c r="Y13" s="819"/>
      <c r="Z13" s="820"/>
      <c r="AA13" s="820"/>
      <c r="AB13" s="821"/>
      <c r="AC13" s="821"/>
      <c r="AD13" s="253"/>
      <c r="AE13" s="253"/>
    </row>
    <row r="14" spans="1:31" ht="14.5">
      <c r="A14" t="s">
        <v>4620</v>
      </c>
      <c r="B14" t="s">
        <v>3439</v>
      </c>
      <c r="C14">
        <v>18786</v>
      </c>
      <c r="D14" s="836"/>
      <c r="E14" s="836"/>
      <c r="F14" s="867">
        <f>(1/S14)*cnst_fish!$C$6</f>
        <v>0.12276960190187568</v>
      </c>
      <c r="G14" s="867">
        <f t="shared" si="6"/>
        <v>1</v>
      </c>
      <c r="H14" s="867">
        <f t="shared" si="6"/>
        <v>0.36449057933102513</v>
      </c>
      <c r="I14" s="867">
        <f t="shared" si="0"/>
        <v>0</v>
      </c>
      <c r="J14" s="389">
        <f t="shared" si="1"/>
        <v>0</v>
      </c>
      <c r="L14" s="870">
        <v>7575</v>
      </c>
      <c r="M14" s="836"/>
      <c r="N14" s="875" t="s">
        <v>1738</v>
      </c>
      <c r="O14" s="875" t="s">
        <v>4681</v>
      </c>
      <c r="P14" s="233">
        <f t="shared" si="2"/>
        <v>0</v>
      </c>
      <c r="Q14" s="233">
        <f t="shared" si="3"/>
        <v>7575</v>
      </c>
      <c r="R14" s="867">
        <f t="shared" si="4"/>
        <v>3.39</v>
      </c>
      <c r="S14" s="867">
        <f>(1/9)*cnst_fish!$C$7*(1/cnst_fish!$C$8)^(R14-1)</f>
        <v>34.617689836583793</v>
      </c>
      <c r="T14" s="682">
        <f t="shared" si="5"/>
        <v>22489.411838602147</v>
      </c>
      <c r="W14" s="818"/>
      <c r="X14" s="818"/>
      <c r="Y14" s="819"/>
      <c r="Z14" s="820"/>
      <c r="AA14" s="820"/>
      <c r="AB14" s="821"/>
      <c r="AC14" s="821"/>
      <c r="AD14" s="253"/>
      <c r="AE14" s="253"/>
    </row>
    <row r="15" spans="1:31" ht="14.5">
      <c r="A15" t="s">
        <v>5071</v>
      </c>
      <c r="B15" t="s">
        <v>3440</v>
      </c>
      <c r="C15">
        <v>3203</v>
      </c>
      <c r="D15" s="836"/>
      <c r="E15" s="836"/>
      <c r="F15" s="867">
        <f>(1/S15)*cnst_fish!$C$6</f>
        <v>0.2133491159303107</v>
      </c>
      <c r="G15" s="867">
        <f t="shared" si="6"/>
        <v>1</v>
      </c>
      <c r="H15" s="867">
        <f t="shared" si="6"/>
        <v>0.36449057933102513</v>
      </c>
      <c r="I15" s="867">
        <f t="shared" si="0"/>
        <v>0</v>
      </c>
      <c r="J15" s="389">
        <f t="shared" si="1"/>
        <v>0</v>
      </c>
      <c r="L15" s="870">
        <v>582</v>
      </c>
      <c r="M15" s="836"/>
      <c r="N15" s="875" t="s">
        <v>1738</v>
      </c>
      <c r="O15" s="875" t="s">
        <v>4681</v>
      </c>
      <c r="P15" s="233">
        <f t="shared" si="2"/>
        <v>0</v>
      </c>
      <c r="Q15" s="233">
        <f t="shared" si="3"/>
        <v>582</v>
      </c>
      <c r="R15" s="867">
        <f t="shared" si="4"/>
        <v>3.15</v>
      </c>
      <c r="S15" s="867">
        <f>(1/9)*cnst_fish!$C$7*(1/cnst_fish!$C$8)^(R15-1)</f>
        <v>19.920401270320887</v>
      </c>
      <c r="T15" s="682">
        <f t="shared" si="5"/>
        <v>994.30230233505563</v>
      </c>
      <c r="W15" s="818"/>
      <c r="X15" s="818"/>
      <c r="Y15" s="819"/>
      <c r="Z15" s="820"/>
      <c r="AA15" s="820"/>
      <c r="AB15" s="821"/>
      <c r="AC15" s="821"/>
      <c r="AD15" s="253"/>
      <c r="AE15" s="253"/>
    </row>
    <row r="16" spans="1:31" ht="14.5">
      <c r="A16" t="s">
        <v>4315</v>
      </c>
      <c r="B16" t="s">
        <v>3441</v>
      </c>
      <c r="C16">
        <v>3202</v>
      </c>
      <c r="D16" s="836"/>
      <c r="E16" s="836"/>
      <c r="F16" s="867">
        <f>(1/S16)*cnst_fish!$C$6</f>
        <v>0.17341667202478855</v>
      </c>
      <c r="G16" s="867">
        <f t="shared" si="6"/>
        <v>1</v>
      </c>
      <c r="H16" s="867">
        <f t="shared" si="6"/>
        <v>0.36449057933102513</v>
      </c>
      <c r="I16" s="867">
        <f t="shared" si="0"/>
        <v>0</v>
      </c>
      <c r="J16" s="389">
        <f t="shared" si="1"/>
        <v>0</v>
      </c>
      <c r="L16" s="870">
        <v>224</v>
      </c>
      <c r="M16" s="836"/>
      <c r="N16" s="875" t="s">
        <v>1738</v>
      </c>
      <c r="O16" s="875" t="s">
        <v>4681</v>
      </c>
      <c r="P16" s="233">
        <f t="shared" si="2"/>
        <v>0</v>
      </c>
      <c r="Q16" s="233">
        <f t="shared" si="3"/>
        <v>224</v>
      </c>
      <c r="R16" s="867">
        <f t="shared" si="4"/>
        <v>3.24</v>
      </c>
      <c r="S16" s="867">
        <f>(1/9)*cnst_fish!$C$7*(1/cnst_fish!$C$8)^(R16-1)</f>
        <v>24.507447584927103</v>
      </c>
      <c r="T16" s="682">
        <f t="shared" si="5"/>
        <v>470.80761507451251</v>
      </c>
      <c r="W16" s="818"/>
      <c r="X16" s="818"/>
      <c r="Y16" s="819"/>
      <c r="Z16" s="820"/>
      <c r="AA16" s="820"/>
      <c r="AB16" s="821"/>
      <c r="AC16" s="821"/>
      <c r="AD16" s="253"/>
      <c r="AE16" s="253"/>
    </row>
    <row r="17" spans="1:31" ht="14.5">
      <c r="A17" t="s">
        <v>172</v>
      </c>
      <c r="B17" t="s">
        <v>3442</v>
      </c>
      <c r="C17">
        <v>3264</v>
      </c>
      <c r="D17" s="836"/>
      <c r="E17" s="836"/>
      <c r="F17" s="867">
        <f>(1/S17)*cnst_fish!$C$6</f>
        <v>1.774560652276161</v>
      </c>
      <c r="G17" s="867">
        <f t="shared" si="6"/>
        <v>1</v>
      </c>
      <c r="H17" s="867">
        <f t="shared" si="6"/>
        <v>0.36449057933102513</v>
      </c>
      <c r="I17" s="867">
        <f t="shared" si="0"/>
        <v>0</v>
      </c>
      <c r="J17" s="389">
        <f t="shared" si="1"/>
        <v>0</v>
      </c>
      <c r="L17" s="870">
        <v>6150</v>
      </c>
      <c r="M17" s="836"/>
      <c r="N17" s="875" t="s">
        <v>1738</v>
      </c>
      <c r="O17" s="875" t="s">
        <v>4681</v>
      </c>
      <c r="P17" s="233">
        <f t="shared" si="2"/>
        <v>0</v>
      </c>
      <c r="Q17" s="233">
        <f t="shared" si="3"/>
        <v>6150</v>
      </c>
      <c r="R17" s="867">
        <f t="shared" si="4"/>
        <v>2.23</v>
      </c>
      <c r="S17" s="867">
        <f>(1/9)*cnst_fish!$C$7*(1/cnst_fish!$C$8)^(R17-1)</f>
        <v>2.3949589970614347</v>
      </c>
      <c r="T17" s="682">
        <f t="shared" si="5"/>
        <v>1263.1955182881848</v>
      </c>
      <c r="W17" s="818"/>
      <c r="X17" s="818"/>
      <c r="Y17" s="819"/>
      <c r="Z17" s="820"/>
      <c r="AA17" s="820"/>
      <c r="AB17" s="821"/>
      <c r="AC17" s="821"/>
      <c r="AD17" s="253"/>
      <c r="AE17" s="253"/>
    </row>
    <row r="18" spans="1:31" ht="14.5">
      <c r="A18" t="s">
        <v>694</v>
      </c>
      <c r="B18" t="s">
        <v>3443</v>
      </c>
      <c r="C18">
        <v>18959</v>
      </c>
      <c r="D18" s="836"/>
      <c r="E18" s="836"/>
      <c r="F18" s="867">
        <f>(1/S18)*cnst_fish!$C$6</f>
        <v>3.0136363636363641</v>
      </c>
      <c r="G18" s="867">
        <f t="shared" si="6"/>
        <v>1</v>
      </c>
      <c r="H18" s="867">
        <f t="shared" si="6"/>
        <v>0.36449057933102513</v>
      </c>
      <c r="I18" s="867">
        <f t="shared" si="0"/>
        <v>0</v>
      </c>
      <c r="J18" s="389">
        <f t="shared" si="1"/>
        <v>0</v>
      </c>
      <c r="L18" s="870">
        <v>41</v>
      </c>
      <c r="M18" s="836"/>
      <c r="N18" s="875" t="s">
        <v>1738</v>
      </c>
      <c r="O18" s="875" t="s">
        <v>4681</v>
      </c>
      <c r="P18" s="233">
        <f t="shared" si="2"/>
        <v>0</v>
      </c>
      <c r="Q18" s="233">
        <f t="shared" si="3"/>
        <v>41</v>
      </c>
      <c r="R18" s="867">
        <f t="shared" si="4"/>
        <v>2</v>
      </c>
      <c r="S18" s="867">
        <f>(1/9)*cnst_fish!$C$7*(1/cnst_fish!$C$8)^(R18-1)</f>
        <v>1.4102564102564099</v>
      </c>
      <c r="T18" s="682">
        <f t="shared" si="5"/>
        <v>4.958831109450748</v>
      </c>
      <c r="W18" s="818"/>
      <c r="X18" s="818"/>
      <c r="Y18" s="819"/>
      <c r="Z18" s="820"/>
      <c r="AA18" s="820"/>
      <c r="AB18" s="821"/>
      <c r="AC18" s="821"/>
      <c r="AD18" s="253"/>
      <c r="AE18" s="253"/>
    </row>
    <row r="19" spans="1:31" ht="14.5">
      <c r="A19" t="s">
        <v>550</v>
      </c>
      <c r="B19" t="s">
        <v>551</v>
      </c>
      <c r="C19">
        <v>16643</v>
      </c>
      <c r="D19" s="836"/>
      <c r="E19" s="836"/>
      <c r="F19" s="867">
        <f>(1/S19)*cnst_fish!$C$6</f>
        <v>0.14481532779905856</v>
      </c>
      <c r="G19" s="867">
        <f t="shared" si="6"/>
        <v>1</v>
      </c>
      <c r="H19" s="867">
        <f t="shared" si="6"/>
        <v>0.36449057933102513</v>
      </c>
      <c r="I19" s="867">
        <f t="shared" si="0"/>
        <v>0</v>
      </c>
      <c r="J19" s="389">
        <f t="shared" si="1"/>
        <v>0</v>
      </c>
      <c r="L19" s="870">
        <v>3535</v>
      </c>
      <c r="M19" s="836"/>
      <c r="N19" s="875" t="s">
        <v>2322</v>
      </c>
      <c r="O19" s="875" t="s">
        <v>4680</v>
      </c>
      <c r="P19" s="233">
        <f t="shared" si="2"/>
        <v>0</v>
      </c>
      <c r="Q19" s="233">
        <f t="shared" si="3"/>
        <v>3535</v>
      </c>
      <c r="R19" s="867">
        <f t="shared" si="4"/>
        <v>3.3182763159269002</v>
      </c>
      <c r="S19" s="867">
        <f>(1/9)*cnst_fish!$C$7*(1/cnst_fish!$C$8)^(R19-1)</f>
        <v>29.347722127157517</v>
      </c>
      <c r="T19" s="682">
        <f t="shared" si="5"/>
        <v>8897.3606421208551</v>
      </c>
      <c r="W19" s="818"/>
      <c r="X19" s="818"/>
      <c r="Y19" s="819"/>
      <c r="Z19" s="820"/>
      <c r="AA19" s="820"/>
      <c r="AB19" s="821"/>
      <c r="AC19" s="821"/>
      <c r="AD19" s="253"/>
      <c r="AE19" s="253"/>
    </row>
    <row r="20" spans="1:31" ht="14.5">
      <c r="A20" t="s">
        <v>1489</v>
      </c>
      <c r="B20" t="s">
        <v>3819</v>
      </c>
      <c r="C20">
        <v>3428</v>
      </c>
      <c r="D20" s="836"/>
      <c r="E20" s="836"/>
      <c r="F20" s="867">
        <f>(1/S20)*cnst_fish!$C$6</f>
        <v>0.60129950673834842</v>
      </c>
      <c r="G20" s="867">
        <f t="shared" si="6"/>
        <v>1</v>
      </c>
      <c r="H20" s="867">
        <f t="shared" si="6"/>
        <v>0.36449057933102513</v>
      </c>
      <c r="I20" s="867">
        <f t="shared" si="0"/>
        <v>0</v>
      </c>
      <c r="J20" s="389">
        <f t="shared" si="1"/>
        <v>0</v>
      </c>
      <c r="L20" s="870">
        <v>438663</v>
      </c>
      <c r="M20" s="836"/>
      <c r="N20" s="875" t="s">
        <v>2322</v>
      </c>
      <c r="O20" s="875" t="s">
        <v>4680</v>
      </c>
      <c r="P20" s="233">
        <f t="shared" si="2"/>
        <v>0</v>
      </c>
      <c r="Q20" s="233">
        <f t="shared" si="3"/>
        <v>438663</v>
      </c>
      <c r="R20" s="867">
        <f t="shared" si="4"/>
        <v>2.7</v>
      </c>
      <c r="S20" s="867">
        <f>(1/9)*cnst_fish!$C$7*(1/cnst_fish!$C$8)^(R20-1)</f>
        <v>7.0680250896153813</v>
      </c>
      <c r="T20" s="682">
        <f t="shared" si="5"/>
        <v>265904.97615468682</v>
      </c>
      <c r="W20" s="818"/>
      <c r="X20" s="818"/>
      <c r="Y20" s="819"/>
      <c r="Z20" s="820"/>
      <c r="AA20" s="820"/>
      <c r="AB20" s="821"/>
      <c r="AC20" s="821"/>
      <c r="AD20" s="253"/>
      <c r="AE20" s="253"/>
    </row>
    <row r="21" spans="1:31" ht="14.5">
      <c r="A21" t="s">
        <v>4255</v>
      </c>
      <c r="B21" t="s">
        <v>8524</v>
      </c>
      <c r="C21">
        <v>2879</v>
      </c>
      <c r="D21" s="836"/>
      <c r="E21" s="836"/>
      <c r="F21" s="867">
        <f>(1/S21)*cnst_fish!$C$6</f>
        <v>0.15103960722494611</v>
      </c>
      <c r="G21" s="867">
        <f t="shared" si="6"/>
        <v>1</v>
      </c>
      <c r="H21" s="867">
        <f t="shared" si="6"/>
        <v>0.36449057933102513</v>
      </c>
      <c r="I21" s="867">
        <f t="shared" si="0"/>
        <v>0</v>
      </c>
      <c r="J21" s="389">
        <f t="shared" si="1"/>
        <v>0</v>
      </c>
      <c r="L21" s="870"/>
      <c r="M21" s="836"/>
      <c r="N21" s="875" t="s">
        <v>1738</v>
      </c>
      <c r="O21" s="875" t="s">
        <v>4685</v>
      </c>
      <c r="P21" s="233">
        <f t="shared" si="2"/>
        <v>0</v>
      </c>
      <c r="Q21" s="233">
        <f t="shared" si="3"/>
        <v>0</v>
      </c>
      <c r="R21" s="867">
        <f t="shared" si="4"/>
        <v>3.3</v>
      </c>
      <c r="S21" s="867">
        <f>(1/9)*cnst_fish!$C$7*(1/cnst_fish!$C$8)^(R21-1)</f>
        <v>28.138314698279075</v>
      </c>
      <c r="T21" s="682">
        <f t="shared" si="5"/>
        <v>0</v>
      </c>
      <c r="W21" s="818"/>
      <c r="X21" s="818"/>
      <c r="Y21" s="819"/>
      <c r="Z21" s="820"/>
      <c r="AA21" s="820"/>
      <c r="AB21" s="821"/>
      <c r="AC21" s="821"/>
      <c r="AD21" s="253"/>
      <c r="AE21" s="253"/>
    </row>
    <row r="22" spans="1:31" ht="14.5">
      <c r="A22" t="s">
        <v>4429</v>
      </c>
      <c r="B22" t="s">
        <v>4392</v>
      </c>
      <c r="C22">
        <v>2877</v>
      </c>
      <c r="D22" s="836"/>
      <c r="E22" s="836"/>
      <c r="F22" s="867">
        <f>(1/S22)*cnst_fish!$C$6</f>
        <v>0.23393265378401026</v>
      </c>
      <c r="G22" s="867">
        <f t="shared" si="6"/>
        <v>1</v>
      </c>
      <c r="H22" s="867">
        <f t="shared" si="6"/>
        <v>0.36449057933102513</v>
      </c>
      <c r="I22" s="867">
        <f t="shared" si="0"/>
        <v>0</v>
      </c>
      <c r="J22" s="389">
        <f t="shared" si="1"/>
        <v>0</v>
      </c>
      <c r="L22" s="870">
        <v>0</v>
      </c>
      <c r="M22" s="836">
        <v>29</v>
      </c>
      <c r="N22" s="875" t="s">
        <v>1738</v>
      </c>
      <c r="O22" s="875" t="s">
        <v>4685</v>
      </c>
      <c r="P22" s="233">
        <f t="shared" si="2"/>
        <v>0</v>
      </c>
      <c r="Q22" s="233">
        <f t="shared" si="3"/>
        <v>29</v>
      </c>
      <c r="R22" s="867">
        <f t="shared" si="4"/>
        <v>3.11</v>
      </c>
      <c r="S22" s="867">
        <f>(1/9)*cnst_fish!$C$7*(1/cnst_fish!$C$8)^(R22-1)</f>
        <v>18.16762188285189</v>
      </c>
      <c r="T22" s="682">
        <f t="shared" si="5"/>
        <v>45.184913818654863</v>
      </c>
      <c r="W22" s="818"/>
      <c r="X22" s="818"/>
      <c r="Y22" s="819"/>
      <c r="Z22" s="820"/>
      <c r="AA22" s="820"/>
      <c r="AB22" s="821"/>
      <c r="AC22" s="821"/>
      <c r="AD22" s="253"/>
      <c r="AE22" s="253"/>
    </row>
    <row r="23" spans="1:31" ht="14.5">
      <c r="A23" t="s">
        <v>1351</v>
      </c>
      <c r="B23" t="s">
        <v>4393</v>
      </c>
      <c r="C23">
        <v>10180</v>
      </c>
      <c r="D23" s="836"/>
      <c r="E23" s="836"/>
      <c r="F23" s="867">
        <f>(1/S23)*cnst_fish!$C$6</f>
        <v>0.16946922663690964</v>
      </c>
      <c r="G23" s="867">
        <f t="shared" si="6"/>
        <v>1</v>
      </c>
      <c r="H23" s="867">
        <f t="shared" si="6"/>
        <v>0.36449057933102513</v>
      </c>
      <c r="I23" s="867">
        <f t="shared" si="0"/>
        <v>0</v>
      </c>
      <c r="J23" s="389">
        <f t="shared" si="1"/>
        <v>0</v>
      </c>
      <c r="L23" s="870"/>
      <c r="M23" s="836"/>
      <c r="N23" s="875" t="s">
        <v>1738</v>
      </c>
      <c r="O23" s="875" t="s">
        <v>4685</v>
      </c>
      <c r="P23" s="233">
        <f t="shared" si="2"/>
        <v>0</v>
      </c>
      <c r="Q23" s="233">
        <f t="shared" si="3"/>
        <v>0</v>
      </c>
      <c r="R23" s="867">
        <f t="shared" si="4"/>
        <v>3.25</v>
      </c>
      <c r="S23" s="867">
        <f>(1/9)*cnst_fish!$C$7*(1/cnst_fish!$C$8)^(R23-1)</f>
        <v>25.078299372343796</v>
      </c>
      <c r="T23" s="682">
        <f t="shared" si="5"/>
        <v>0</v>
      </c>
      <c r="W23" s="818"/>
      <c r="X23" s="818"/>
      <c r="Y23" s="819"/>
      <c r="Z23" s="820"/>
      <c r="AA23" s="820"/>
      <c r="AB23" s="821"/>
      <c r="AC23" s="821"/>
      <c r="AD23" s="253"/>
      <c r="AE23" s="253"/>
    </row>
    <row r="24" spans="1:31" ht="14.5">
      <c r="A24" t="s">
        <v>3998</v>
      </c>
      <c r="B24" t="s">
        <v>8525</v>
      </c>
      <c r="C24">
        <v>10183</v>
      </c>
      <c r="D24" s="836"/>
      <c r="E24" s="836"/>
      <c r="F24" s="867">
        <f>(1/S24)*cnst_fish!$C$6</f>
        <v>0.11997502458044032</v>
      </c>
      <c r="G24" s="867">
        <f t="shared" si="6"/>
        <v>1</v>
      </c>
      <c r="H24" s="867">
        <f t="shared" si="6"/>
        <v>0.36449057933102513</v>
      </c>
      <c r="I24" s="867">
        <f t="shared" si="0"/>
        <v>0</v>
      </c>
      <c r="J24" s="389">
        <f t="shared" si="1"/>
        <v>0</v>
      </c>
      <c r="L24" s="870"/>
      <c r="M24" s="836"/>
      <c r="N24" s="875" t="s">
        <v>1738</v>
      </c>
      <c r="O24" s="875" t="s">
        <v>4699</v>
      </c>
      <c r="P24" s="233">
        <f t="shared" si="2"/>
        <v>0</v>
      </c>
      <c r="Q24" s="233">
        <f t="shared" si="3"/>
        <v>0</v>
      </c>
      <c r="R24" s="867">
        <f t="shared" si="4"/>
        <v>3.4</v>
      </c>
      <c r="S24" s="867">
        <f>(1/9)*cnst_fish!$C$7*(1/cnst_fish!$C$8)^(R24-1)</f>
        <v>35.424039418724846</v>
      </c>
      <c r="T24" s="682">
        <f t="shared" si="5"/>
        <v>0</v>
      </c>
      <c r="W24" s="818"/>
      <c r="X24" s="818"/>
      <c r="Y24" s="819"/>
      <c r="Z24" s="820"/>
      <c r="AA24" s="820"/>
      <c r="AB24" s="821"/>
      <c r="AC24" s="821"/>
      <c r="AD24" s="253"/>
      <c r="AE24" s="253"/>
    </row>
    <row r="25" spans="1:31" ht="14.5">
      <c r="A25" t="s">
        <v>1877</v>
      </c>
      <c r="B25" t="s">
        <v>1878</v>
      </c>
      <c r="C25">
        <v>10184</v>
      </c>
      <c r="D25" s="836"/>
      <c r="E25" s="836"/>
      <c r="F25" s="867">
        <f>(1/S25)*cnst_fish!$C$6</f>
        <v>0.1409583630333692</v>
      </c>
      <c r="G25" s="867">
        <f t="shared" si="6"/>
        <v>1</v>
      </c>
      <c r="H25" s="867">
        <f t="shared" si="6"/>
        <v>0.36449057933102513</v>
      </c>
      <c r="I25" s="867">
        <f t="shared" si="0"/>
        <v>0</v>
      </c>
      <c r="J25" s="389">
        <f t="shared" si="1"/>
        <v>0</v>
      </c>
      <c r="L25" s="870"/>
      <c r="M25" s="836">
        <v>0</v>
      </c>
      <c r="N25" s="875" t="s">
        <v>1738</v>
      </c>
      <c r="O25" s="875" t="s">
        <v>4685</v>
      </c>
      <c r="P25" s="233">
        <f t="shared" si="2"/>
        <v>0</v>
      </c>
      <c r="Q25" s="233">
        <f t="shared" si="3"/>
        <v>0</v>
      </c>
      <c r="R25" s="867">
        <f t="shared" si="4"/>
        <v>3.33</v>
      </c>
      <c r="S25" s="867">
        <f>(1/9)*cnst_fish!$C$7*(1/cnst_fish!$C$8)^(R25-1)</f>
        <v>30.15074741605714</v>
      </c>
      <c r="T25" s="682">
        <f t="shared" si="5"/>
        <v>0</v>
      </c>
      <c r="W25" s="818"/>
      <c r="X25" s="818"/>
      <c r="Y25" s="819"/>
      <c r="Z25" s="820"/>
      <c r="AA25" s="820"/>
      <c r="AB25" s="821"/>
      <c r="AC25" s="821"/>
      <c r="AD25" s="253"/>
      <c r="AE25" s="253"/>
    </row>
    <row r="26" spans="1:31" ht="14.5">
      <c r="A26" t="s">
        <v>3312</v>
      </c>
      <c r="B26" t="s">
        <v>4394</v>
      </c>
      <c r="C26">
        <v>2070</v>
      </c>
      <c r="D26" s="836"/>
      <c r="E26" s="836"/>
      <c r="F26" s="867">
        <f>(1/S26)*cnst_fish!$C$6</f>
        <v>7.5699122913220479E-2</v>
      </c>
      <c r="G26" s="867">
        <f t="shared" si="6"/>
        <v>1</v>
      </c>
      <c r="H26" s="867">
        <f t="shared" si="6"/>
        <v>0.36449057933102513</v>
      </c>
      <c r="I26" s="867">
        <f t="shared" si="0"/>
        <v>0</v>
      </c>
      <c r="J26" s="389">
        <f t="shared" si="1"/>
        <v>0</v>
      </c>
      <c r="L26" s="870">
        <v>0</v>
      </c>
      <c r="M26" s="836">
        <v>20</v>
      </c>
      <c r="N26" s="875" t="s">
        <v>1738</v>
      </c>
      <c r="O26" s="875" t="s">
        <v>4685</v>
      </c>
      <c r="P26" s="233">
        <f t="shared" si="2"/>
        <v>0</v>
      </c>
      <c r="Q26" s="233">
        <f t="shared" si="3"/>
        <v>20</v>
      </c>
      <c r="R26" s="867">
        <f t="shared" si="4"/>
        <v>3.6</v>
      </c>
      <c r="S26" s="867">
        <f>(1/9)*cnst_fish!$C$7*(1/cnst_fish!$C$8)^(R26-1)</f>
        <v>56.143318924211187</v>
      </c>
      <c r="T26" s="682">
        <f t="shared" si="5"/>
        <v>96.299815718834083</v>
      </c>
      <c r="W26" s="818"/>
      <c r="X26" s="818"/>
      <c r="Y26" s="819"/>
      <c r="Z26" s="820"/>
      <c r="AA26" s="820"/>
      <c r="AB26" s="821"/>
      <c r="AC26" s="821"/>
      <c r="AD26" s="253"/>
      <c r="AE26" s="253"/>
    </row>
    <row r="27" spans="1:31" ht="14.5">
      <c r="A27" t="s">
        <v>1045</v>
      </c>
      <c r="B27" t="s">
        <v>913</v>
      </c>
      <c r="C27">
        <v>2071</v>
      </c>
      <c r="D27" s="836"/>
      <c r="E27" s="836"/>
      <c r="F27" s="867">
        <f>(1/S27)*cnst_fish!$C$6</f>
        <v>0.23938164528281752</v>
      </c>
      <c r="G27" s="867">
        <f t="shared" si="6"/>
        <v>1</v>
      </c>
      <c r="H27" s="867">
        <f t="shared" si="6"/>
        <v>0.36449057933102513</v>
      </c>
      <c r="I27" s="867">
        <f t="shared" si="0"/>
        <v>0</v>
      </c>
      <c r="J27" s="389">
        <f t="shared" si="1"/>
        <v>0</v>
      </c>
      <c r="L27" s="870">
        <v>0</v>
      </c>
      <c r="M27" s="836">
        <v>1.1299999999999999</v>
      </c>
      <c r="N27" s="875" t="s">
        <v>1738</v>
      </c>
      <c r="O27" s="875" t="s">
        <v>4685</v>
      </c>
      <c r="P27" s="233">
        <f t="shared" si="2"/>
        <v>0</v>
      </c>
      <c r="Q27" s="233">
        <f t="shared" si="3"/>
        <v>1.1299999999999999</v>
      </c>
      <c r="R27" s="867">
        <f t="shared" si="4"/>
        <v>3.1</v>
      </c>
      <c r="S27" s="867">
        <f>(1/9)*cnst_fish!$C$7*(1/cnst_fish!$C$8)^(R27-1)</f>
        <v>17.754076320174157</v>
      </c>
      <c r="T27" s="682">
        <f t="shared" si="5"/>
        <v>1.7205761709819032</v>
      </c>
      <c r="W27" s="818"/>
      <c r="X27" s="818"/>
      <c r="Y27" s="819"/>
      <c r="Z27" s="820"/>
      <c r="AA27" s="820"/>
      <c r="AB27" s="821"/>
      <c r="AC27" s="821"/>
      <c r="AD27" s="253"/>
      <c r="AE27" s="253"/>
    </row>
    <row r="28" spans="1:31" ht="14.5">
      <c r="A28" t="s">
        <v>2633</v>
      </c>
      <c r="B28" t="s">
        <v>1105</v>
      </c>
      <c r="C28">
        <v>2878</v>
      </c>
      <c r="D28" s="836"/>
      <c r="E28" s="836"/>
      <c r="F28" s="867">
        <f>(1/S28)*cnst_fish!$C$6</f>
        <v>0.18158954798513588</v>
      </c>
      <c r="G28" s="867">
        <f t="shared" ref="G28:H47" si="7">G$7</f>
        <v>1</v>
      </c>
      <c r="H28" s="867">
        <f t="shared" si="7"/>
        <v>0.36449057933102513</v>
      </c>
      <c r="I28" s="867">
        <f t="shared" si="0"/>
        <v>0</v>
      </c>
      <c r="J28" s="389">
        <f t="shared" si="1"/>
        <v>0</v>
      </c>
      <c r="L28" s="870">
        <v>26</v>
      </c>
      <c r="M28" s="836"/>
      <c r="N28" s="875" t="s">
        <v>1738</v>
      </c>
      <c r="O28" s="875" t="s">
        <v>4685</v>
      </c>
      <c r="P28" s="233">
        <f t="shared" si="2"/>
        <v>0</v>
      </c>
      <c r="Q28" s="233">
        <f t="shared" si="3"/>
        <v>26</v>
      </c>
      <c r="R28" s="867">
        <f t="shared" si="4"/>
        <v>3.22</v>
      </c>
      <c r="S28" s="867">
        <f>(1/9)*cnst_fish!$C$7*(1/cnst_fish!$C$8)^(R28-1)</f>
        <v>23.404430745914333</v>
      </c>
      <c r="T28" s="682">
        <f t="shared" si="5"/>
        <v>52.187778249122459</v>
      </c>
      <c r="W28" s="818"/>
      <c r="X28" s="818"/>
      <c r="Y28" s="819"/>
      <c r="Z28" s="820"/>
      <c r="AA28" s="820"/>
      <c r="AB28" s="821"/>
      <c r="AC28" s="821"/>
      <c r="AD28" s="253"/>
      <c r="AE28" s="253"/>
    </row>
    <row r="29" spans="1:31" ht="14.5">
      <c r="A29" t="s">
        <v>3223</v>
      </c>
      <c r="B29" t="s">
        <v>1106</v>
      </c>
      <c r="C29">
        <v>2069</v>
      </c>
      <c r="D29" s="836"/>
      <c r="E29" s="836">
        <v>117</v>
      </c>
      <c r="F29" s="867">
        <f>(1/S29)*cnst_fish!$C$6</f>
        <v>0.11724405960509449</v>
      </c>
      <c r="G29" s="867">
        <f t="shared" si="7"/>
        <v>1</v>
      </c>
      <c r="H29" s="867">
        <f t="shared" si="7"/>
        <v>0.36449057933102513</v>
      </c>
      <c r="I29" s="867">
        <f t="shared" si="0"/>
        <v>0</v>
      </c>
      <c r="J29" s="389">
        <f t="shared" si="1"/>
        <v>363.73184215362085</v>
      </c>
      <c r="L29" s="870">
        <v>8</v>
      </c>
      <c r="M29" s="836">
        <v>139</v>
      </c>
      <c r="N29" s="875" t="s">
        <v>1738</v>
      </c>
      <c r="O29" s="875" t="s">
        <v>4685</v>
      </c>
      <c r="P29" s="233">
        <f t="shared" si="2"/>
        <v>117</v>
      </c>
      <c r="Q29" s="233">
        <f t="shared" si="3"/>
        <v>147</v>
      </c>
      <c r="R29" s="867">
        <f t="shared" si="4"/>
        <v>3.41</v>
      </c>
      <c r="S29" s="867">
        <f>(1/9)*cnst_fish!$C$7*(1/cnst_fish!$C$8)^(R29-1)</f>
        <v>36.24917129545836</v>
      </c>
      <c r="T29" s="682">
        <f t="shared" si="5"/>
        <v>456.99641706480566</v>
      </c>
      <c r="W29" s="818"/>
      <c r="X29" s="818"/>
      <c r="Y29" s="819"/>
      <c r="Z29" s="820"/>
      <c r="AA29" s="820"/>
      <c r="AB29" s="821"/>
      <c r="AC29" s="821"/>
      <c r="AD29" s="253"/>
      <c r="AE29" s="253"/>
    </row>
    <row r="30" spans="1:31" ht="14.5">
      <c r="A30" t="s">
        <v>1699</v>
      </c>
      <c r="B30" t="s">
        <v>3106</v>
      </c>
      <c r="C30">
        <v>18775</v>
      </c>
      <c r="D30" s="836"/>
      <c r="E30" s="836"/>
      <c r="F30" s="867">
        <f>(1/S30)*cnst_fish!$C$6</f>
        <v>1.5107419935611153</v>
      </c>
      <c r="G30" s="867">
        <f t="shared" si="7"/>
        <v>1</v>
      </c>
      <c r="H30" s="867">
        <f t="shared" si="7"/>
        <v>0.36449057933102513</v>
      </c>
      <c r="I30" s="867">
        <f t="shared" si="0"/>
        <v>0</v>
      </c>
      <c r="J30" s="389">
        <f t="shared" si="1"/>
        <v>0</v>
      </c>
      <c r="L30" s="870">
        <v>16.03</v>
      </c>
      <c r="M30" s="836"/>
      <c r="N30" s="875" t="s">
        <v>1738</v>
      </c>
      <c r="O30" s="875"/>
      <c r="P30" s="233">
        <f t="shared" si="2"/>
        <v>0</v>
      </c>
      <c r="Q30" s="233">
        <f t="shared" si="3"/>
        <v>16.03</v>
      </c>
      <c r="R30" s="867">
        <f t="shared" si="4"/>
        <v>2.299900546274809</v>
      </c>
      <c r="S30" s="867">
        <f>(1/9)*cnst_fish!$C$7*(1/cnst_fish!$C$8)^(R30-1)</f>
        <v>2.8131871743247938</v>
      </c>
      <c r="T30" s="682">
        <f t="shared" si="5"/>
        <v>3.8674929349807408</v>
      </c>
      <c r="W30" s="818"/>
      <c r="X30" s="818"/>
      <c r="Y30" s="819"/>
      <c r="Z30" s="820"/>
      <c r="AA30" s="820"/>
      <c r="AB30" s="821"/>
      <c r="AC30" s="821"/>
      <c r="AD30" s="253"/>
      <c r="AE30" s="253"/>
    </row>
    <row r="31" spans="1:31" ht="14.5">
      <c r="A31" t="s">
        <v>4200</v>
      </c>
      <c r="B31" t="s">
        <v>6409</v>
      </c>
      <c r="C31">
        <v>2422</v>
      </c>
      <c r="D31" s="836"/>
      <c r="E31" s="836"/>
      <c r="F31" s="867">
        <f>(1/S31)*cnst_fish!$C$6</f>
        <v>3.0136363636363641</v>
      </c>
      <c r="G31" s="867">
        <f t="shared" si="7"/>
        <v>1</v>
      </c>
      <c r="H31" s="867">
        <f t="shared" si="7"/>
        <v>0.36449057933102513</v>
      </c>
      <c r="I31" s="867">
        <f t="shared" si="0"/>
        <v>0</v>
      </c>
      <c r="J31" s="389">
        <f t="shared" si="1"/>
        <v>0</v>
      </c>
      <c r="L31" s="870"/>
      <c r="M31" s="836">
        <v>34</v>
      </c>
      <c r="N31" s="875" t="s">
        <v>1738</v>
      </c>
      <c r="O31" s="875" t="s">
        <v>4685</v>
      </c>
      <c r="P31" s="233">
        <f t="shared" si="2"/>
        <v>0</v>
      </c>
      <c r="Q31" s="233">
        <f t="shared" si="3"/>
        <v>34</v>
      </c>
      <c r="R31" s="867">
        <f t="shared" si="4"/>
        <v>2</v>
      </c>
      <c r="S31" s="867">
        <f>(1/9)*cnst_fish!$C$7*(1/cnst_fish!$C$8)^(R31-1)</f>
        <v>1.4102564102564099</v>
      </c>
      <c r="T31" s="682">
        <f t="shared" si="5"/>
        <v>4.1122014078372064</v>
      </c>
      <c r="W31" s="818"/>
      <c r="X31" s="818"/>
      <c r="Y31" s="819"/>
      <c r="Z31" s="820"/>
      <c r="AA31" s="820"/>
      <c r="AB31" s="821"/>
      <c r="AC31" s="821"/>
      <c r="AD31" s="253"/>
      <c r="AE31" s="253"/>
    </row>
    <row r="32" spans="1:31" ht="14.5">
      <c r="A32" t="s">
        <v>4770</v>
      </c>
      <c r="B32" t="s">
        <v>290</v>
      </c>
      <c r="C32">
        <v>3523</v>
      </c>
      <c r="D32" s="836"/>
      <c r="E32" s="836"/>
      <c r="F32" s="867">
        <f>(1/S32)*cnst_fish!$C$6</f>
        <v>2.3938164528281742</v>
      </c>
      <c r="G32" s="867">
        <f t="shared" si="7"/>
        <v>1</v>
      </c>
      <c r="H32" s="867">
        <f t="shared" si="7"/>
        <v>0.36449057933102513</v>
      </c>
      <c r="I32" s="867">
        <f t="shared" si="0"/>
        <v>0</v>
      </c>
      <c r="J32" s="389">
        <f t="shared" si="1"/>
        <v>0</v>
      </c>
      <c r="L32" s="870">
        <v>12985</v>
      </c>
      <c r="M32" s="836"/>
      <c r="N32" s="875" t="s">
        <v>2318</v>
      </c>
      <c r="O32" s="875" t="s">
        <v>4691</v>
      </c>
      <c r="P32" s="233">
        <f t="shared" si="2"/>
        <v>0</v>
      </c>
      <c r="Q32" s="233">
        <f t="shared" si="3"/>
        <v>12985</v>
      </c>
      <c r="R32" s="867">
        <f t="shared" si="4"/>
        <v>2.1</v>
      </c>
      <c r="S32" s="867">
        <f>(1/9)*cnst_fish!$C$7*(1/cnst_fish!$C$8)^(R32-1)</f>
        <v>1.7754076320174161</v>
      </c>
      <c r="T32" s="682">
        <f t="shared" si="5"/>
        <v>1977.1399628495599</v>
      </c>
      <c r="W32" s="818"/>
      <c r="X32" s="818"/>
      <c r="Y32" s="819"/>
      <c r="Z32" s="820"/>
      <c r="AA32" s="820"/>
      <c r="AB32" s="821"/>
      <c r="AC32" s="821"/>
      <c r="AD32" s="253"/>
      <c r="AE32" s="253"/>
    </row>
    <row r="33" spans="1:31" ht="14.5">
      <c r="A33" t="s">
        <v>2542</v>
      </c>
      <c r="B33" t="s">
        <v>649</v>
      </c>
      <c r="C33">
        <v>10211</v>
      </c>
      <c r="D33" s="836"/>
      <c r="E33" s="836"/>
      <c r="F33" s="867">
        <f>(1/S33)*cnst_fish!$C$6</f>
        <v>1.9014759972289439E-2</v>
      </c>
      <c r="G33" s="867">
        <f t="shared" si="7"/>
        <v>1</v>
      </c>
      <c r="H33" s="867">
        <f t="shared" si="7"/>
        <v>0.36449057933102513</v>
      </c>
      <c r="I33" s="867">
        <f t="shared" si="0"/>
        <v>0</v>
      </c>
      <c r="J33" s="389">
        <f t="shared" si="1"/>
        <v>0</v>
      </c>
      <c r="L33" s="870">
        <v>32</v>
      </c>
      <c r="M33" s="836"/>
      <c r="N33" s="875" t="s">
        <v>1738</v>
      </c>
      <c r="O33" s="875" t="s">
        <v>4681</v>
      </c>
      <c r="P33" s="233">
        <f t="shared" si="2"/>
        <v>0</v>
      </c>
      <c r="Q33" s="233">
        <f t="shared" si="3"/>
        <v>32</v>
      </c>
      <c r="R33" s="867">
        <f t="shared" si="4"/>
        <v>4.2</v>
      </c>
      <c r="S33" s="867">
        <f>(1/9)*cnst_fish!$C$7*(1/cnst_fish!$C$8)^(R33-1)</f>
        <v>223.51057842400343</v>
      </c>
      <c r="T33" s="682">
        <f t="shared" si="5"/>
        <v>613.40235457037204</v>
      </c>
      <c r="W33" s="818"/>
      <c r="X33" s="818"/>
      <c r="Y33" s="819"/>
      <c r="Z33" s="820"/>
      <c r="AA33" s="820"/>
      <c r="AB33" s="821"/>
      <c r="AC33" s="821"/>
      <c r="AD33" s="253"/>
      <c r="AE33" s="253"/>
    </row>
    <row r="34" spans="1:31" ht="14.5">
      <c r="A34" t="s">
        <v>8838</v>
      </c>
      <c r="B34" t="s">
        <v>8839</v>
      </c>
      <c r="C34">
        <v>10215</v>
      </c>
      <c r="D34" s="836"/>
      <c r="E34" s="836"/>
      <c r="F34" s="867">
        <f>(1/S34)*cnst_fish!$C$6</f>
        <v>1.9014759972289439E-2</v>
      </c>
      <c r="G34" s="867">
        <f t="shared" si="7"/>
        <v>1</v>
      </c>
      <c r="H34" s="867">
        <f t="shared" si="7"/>
        <v>0.36449057933102513</v>
      </c>
      <c r="I34" s="867">
        <f t="shared" si="0"/>
        <v>0</v>
      </c>
      <c r="J34" s="389">
        <f t="shared" si="1"/>
        <v>0</v>
      </c>
      <c r="L34" s="870">
        <v>370</v>
      </c>
      <c r="M34" s="836"/>
      <c r="N34" s="875" t="s">
        <v>4282</v>
      </c>
      <c r="O34" s="875" t="s">
        <v>4681</v>
      </c>
      <c r="P34" s="233">
        <f t="shared" si="2"/>
        <v>0</v>
      </c>
      <c r="Q34" s="233">
        <f t="shared" si="3"/>
        <v>370</v>
      </c>
      <c r="R34" s="867">
        <f t="shared" si="4"/>
        <v>4.2</v>
      </c>
      <c r="S34" s="867">
        <f>(1/9)*cnst_fish!$C$7*(1/cnst_fish!$C$8)^(R34-1)</f>
        <v>223.51057842400343</v>
      </c>
      <c r="T34" s="682">
        <f t="shared" si="5"/>
        <v>7092.4647247199273</v>
      </c>
      <c r="W34" s="818"/>
      <c r="X34" s="818"/>
      <c r="Y34" s="819"/>
      <c r="Z34" s="820"/>
      <c r="AA34" s="820"/>
      <c r="AB34" s="821"/>
      <c r="AC34" s="821"/>
      <c r="AD34" s="253"/>
      <c r="AE34" s="253"/>
    </row>
    <row r="35" spans="1:31" ht="14.5">
      <c r="A35" t="s">
        <v>8242</v>
      </c>
      <c r="B35" t="s">
        <v>8243</v>
      </c>
      <c r="C35">
        <v>6812</v>
      </c>
      <c r="D35" s="836"/>
      <c r="E35" s="836"/>
      <c r="F35" s="867">
        <f>(1/S35)*cnst_fish!$C$6</f>
        <v>3.0136363636363642E-2</v>
      </c>
      <c r="G35" s="867">
        <f t="shared" si="7"/>
        <v>1</v>
      </c>
      <c r="H35" s="867">
        <f t="shared" si="7"/>
        <v>0.36449057933102513</v>
      </c>
      <c r="I35" s="867">
        <f t="shared" si="0"/>
        <v>0</v>
      </c>
      <c r="J35" s="389">
        <f t="shared" si="1"/>
        <v>0</v>
      </c>
      <c r="L35" s="870"/>
      <c r="M35" s="836">
        <v>2043.68</v>
      </c>
      <c r="N35" s="875" t="s">
        <v>1738</v>
      </c>
      <c r="O35" s="875" t="s">
        <v>4685</v>
      </c>
      <c r="P35" s="233">
        <f t="shared" si="2"/>
        <v>0</v>
      </c>
      <c r="Q35" s="233">
        <f t="shared" si="3"/>
        <v>2043.68</v>
      </c>
      <c r="R35" s="867">
        <f t="shared" si="4"/>
        <v>4</v>
      </c>
      <c r="S35" s="867">
        <f>(1/9)*cnst_fish!$C$7*(1/cnst_fish!$C$8)^(R35-1)</f>
        <v>141.02564102564099</v>
      </c>
      <c r="T35" s="682">
        <f t="shared" si="5"/>
        <v>24717.716979908062</v>
      </c>
      <c r="W35" s="818"/>
      <c r="X35" s="818"/>
      <c r="Y35" s="819"/>
      <c r="Z35" s="820"/>
      <c r="AA35" s="820"/>
      <c r="AB35" s="821"/>
      <c r="AC35" s="821"/>
      <c r="AD35" s="253"/>
      <c r="AE35" s="253"/>
    </row>
    <row r="36" spans="1:31" ht="14.5">
      <c r="A36" t="s">
        <v>870</v>
      </c>
      <c r="B36" t="s">
        <v>650</v>
      </c>
      <c r="C36">
        <v>18787</v>
      </c>
      <c r="D36" s="836"/>
      <c r="E36" s="836"/>
      <c r="F36" s="867">
        <f>(1/S36)*cnst_fish!$C$6</f>
        <v>0.10941852286935322</v>
      </c>
      <c r="G36" s="867">
        <f t="shared" si="7"/>
        <v>1</v>
      </c>
      <c r="H36" s="867">
        <f t="shared" si="7"/>
        <v>0.36449057933102513</v>
      </c>
      <c r="I36" s="867">
        <f t="shared" si="0"/>
        <v>0</v>
      </c>
      <c r="J36" s="389">
        <f t="shared" si="1"/>
        <v>0</v>
      </c>
      <c r="L36" s="870"/>
      <c r="M36" s="836">
        <v>7</v>
      </c>
      <c r="N36" s="875" t="s">
        <v>1738</v>
      </c>
      <c r="O36" s="875" t="s">
        <v>4681</v>
      </c>
      <c r="P36" s="233">
        <f t="shared" si="2"/>
        <v>0</v>
      </c>
      <c r="Q36" s="233">
        <f t="shared" si="3"/>
        <v>7</v>
      </c>
      <c r="R36" s="867">
        <f t="shared" si="4"/>
        <v>3.44</v>
      </c>
      <c r="S36" s="867">
        <f>(1/9)*cnst_fish!$C$7*(1/cnst_fish!$C$8)^(R36-1)</f>
        <v>38.841686841948523</v>
      </c>
      <c r="T36" s="682">
        <f t="shared" si="5"/>
        <v>23.318118252826469</v>
      </c>
      <c r="W36" s="818"/>
      <c r="X36" s="818"/>
      <c r="Y36" s="819"/>
      <c r="Z36" s="820"/>
      <c r="AA36" s="820"/>
      <c r="AB36" s="821"/>
      <c r="AC36" s="821"/>
      <c r="AD36" s="253"/>
      <c r="AE36" s="253"/>
    </row>
    <row r="37" spans="1:31" ht="14.5">
      <c r="A37" t="s">
        <v>8526</v>
      </c>
      <c r="B37" t="s">
        <v>8527</v>
      </c>
      <c r="C37">
        <v>10244</v>
      </c>
      <c r="D37" s="836"/>
      <c r="E37" s="836"/>
      <c r="F37" s="867">
        <f>(1/S37)*cnst_fish!$C$6</f>
        <v>0.11997502458044032</v>
      </c>
      <c r="G37" s="867">
        <f t="shared" si="7"/>
        <v>1</v>
      </c>
      <c r="H37" s="867">
        <f t="shared" si="7"/>
        <v>0.36449057933102513</v>
      </c>
      <c r="I37" s="867">
        <f t="shared" si="0"/>
        <v>0</v>
      </c>
      <c r="J37" s="389">
        <f t="shared" si="1"/>
        <v>0</v>
      </c>
      <c r="L37" s="870">
        <v>0</v>
      </c>
      <c r="M37" s="836"/>
      <c r="N37" s="875" t="s">
        <v>1738</v>
      </c>
      <c r="O37" s="875" t="s">
        <v>4681</v>
      </c>
      <c r="P37" s="233">
        <f t="shared" si="2"/>
        <v>0</v>
      </c>
      <c r="Q37" s="233">
        <f t="shared" si="3"/>
        <v>0</v>
      </c>
      <c r="R37" s="867">
        <f t="shared" si="4"/>
        <v>3.4</v>
      </c>
      <c r="S37" s="867">
        <f>(1/9)*cnst_fish!$C$7*(1/cnst_fish!$C$8)^(R37-1)</f>
        <v>35.424039418724846</v>
      </c>
      <c r="T37" s="682">
        <f t="shared" si="5"/>
        <v>0</v>
      </c>
      <c r="W37" s="818"/>
      <c r="X37" s="818"/>
      <c r="Y37" s="819"/>
      <c r="Z37" s="820"/>
      <c r="AA37" s="820"/>
      <c r="AB37" s="821"/>
      <c r="AC37" s="821"/>
      <c r="AD37" s="253"/>
      <c r="AE37" s="253"/>
    </row>
    <row r="38" spans="1:31" ht="14.5">
      <c r="A38" t="s">
        <v>8528</v>
      </c>
      <c r="B38" t="s">
        <v>8529</v>
      </c>
      <c r="C38">
        <v>18543</v>
      </c>
      <c r="D38" s="836"/>
      <c r="E38" s="836"/>
      <c r="F38" s="867">
        <f>(1/S38)*cnst_fish!$C$6</f>
        <v>30.136363636363644</v>
      </c>
      <c r="G38" s="867">
        <f t="shared" si="7"/>
        <v>1</v>
      </c>
      <c r="H38" s="867">
        <f t="shared" si="7"/>
        <v>0.36449057933102513</v>
      </c>
      <c r="I38" s="867">
        <f t="shared" si="0"/>
        <v>0</v>
      </c>
      <c r="J38" s="389">
        <f t="shared" si="1"/>
        <v>0</v>
      </c>
      <c r="L38" s="870"/>
      <c r="M38" s="836"/>
      <c r="N38" s="875" t="s">
        <v>1740</v>
      </c>
      <c r="O38" s="875" t="s">
        <v>4671</v>
      </c>
      <c r="P38" s="233">
        <f t="shared" si="2"/>
        <v>0</v>
      </c>
      <c r="Q38" s="233">
        <f t="shared" si="3"/>
        <v>0</v>
      </c>
      <c r="R38" s="867">
        <f t="shared" si="4"/>
        <v>1</v>
      </c>
      <c r="S38" s="867">
        <f>(1/9)*cnst_fish!$C$7*(1/cnst_fish!$C$8)^(R38-1)</f>
        <v>0.141025641025641</v>
      </c>
      <c r="T38" s="682">
        <f t="shared" si="5"/>
        <v>0</v>
      </c>
      <c r="W38" s="818"/>
      <c r="X38" s="818"/>
      <c r="Y38" s="819"/>
      <c r="Z38" s="820"/>
      <c r="AA38" s="820"/>
      <c r="AB38" s="821"/>
      <c r="AC38" s="821"/>
      <c r="AD38" s="253"/>
      <c r="AE38" s="253"/>
    </row>
    <row r="39" spans="1:31" ht="14.5">
      <c r="A39" t="s">
        <v>124</v>
      </c>
      <c r="B39" t="s">
        <v>651</v>
      </c>
      <c r="C39">
        <v>2076</v>
      </c>
      <c r="D39" s="836"/>
      <c r="E39" s="836"/>
      <c r="F39" s="867">
        <f>(1/S39)*cnst_fish!$C$6</f>
        <v>6.4430402969999093E-2</v>
      </c>
      <c r="G39" s="867">
        <f t="shared" si="7"/>
        <v>1</v>
      </c>
      <c r="H39" s="867">
        <f t="shared" si="7"/>
        <v>0.36449057933102513</v>
      </c>
      <c r="I39" s="867">
        <f t="shared" si="0"/>
        <v>0</v>
      </c>
      <c r="J39" s="389">
        <f t="shared" si="1"/>
        <v>0</v>
      </c>
      <c r="L39" s="870">
        <v>725</v>
      </c>
      <c r="M39" s="836"/>
      <c r="N39" s="875" t="s">
        <v>1738</v>
      </c>
      <c r="O39" s="875" t="s">
        <v>4681</v>
      </c>
      <c r="P39" s="233">
        <f t="shared" si="2"/>
        <v>0</v>
      </c>
      <c r="Q39" s="233">
        <f t="shared" si="3"/>
        <v>725</v>
      </c>
      <c r="R39" s="867">
        <f t="shared" si="4"/>
        <v>3.67</v>
      </c>
      <c r="S39" s="867">
        <f>(1/9)*cnst_fish!$C$7*(1/cnst_fish!$C$8)^(R39-1)</f>
        <v>65.962648130245896</v>
      </c>
      <c r="T39" s="682">
        <f t="shared" si="5"/>
        <v>4101.412653557969</v>
      </c>
      <c r="W39" s="818"/>
      <c r="X39" s="818"/>
      <c r="Y39" s="819"/>
      <c r="Z39" s="820"/>
      <c r="AA39" s="820"/>
      <c r="AB39" s="821"/>
      <c r="AC39" s="821"/>
      <c r="AD39" s="253"/>
      <c r="AE39" s="253"/>
    </row>
    <row r="40" spans="1:31" ht="14.5">
      <c r="A40" t="s">
        <v>4161</v>
      </c>
      <c r="B40" t="s">
        <v>2238</v>
      </c>
      <c r="C40">
        <v>2155</v>
      </c>
      <c r="D40" s="836"/>
      <c r="E40" s="836"/>
      <c r="F40" s="867">
        <f>(1/S40)*cnst_fish!$C$6</f>
        <v>0.29450376249713744</v>
      </c>
      <c r="G40" s="867">
        <f t="shared" si="7"/>
        <v>1</v>
      </c>
      <c r="H40" s="867">
        <f t="shared" si="7"/>
        <v>0.36449057933102513</v>
      </c>
      <c r="I40" s="867">
        <f t="shared" si="0"/>
        <v>0</v>
      </c>
      <c r="J40" s="389">
        <f t="shared" si="1"/>
        <v>0</v>
      </c>
      <c r="L40" s="870">
        <v>0</v>
      </c>
      <c r="M40" s="836">
        <v>117</v>
      </c>
      <c r="N40" s="875" t="s">
        <v>1738</v>
      </c>
      <c r="O40" s="875" t="s">
        <v>4685</v>
      </c>
      <c r="P40" s="233">
        <f t="shared" si="2"/>
        <v>0</v>
      </c>
      <c r="Q40" s="233">
        <f t="shared" si="3"/>
        <v>117</v>
      </c>
      <c r="R40" s="867">
        <f t="shared" si="4"/>
        <v>3.01</v>
      </c>
      <c r="S40" s="867">
        <f>(1/9)*cnst_fish!$C$7*(1/cnst_fish!$C$8)^(R40-1)</f>
        <v>14.431055019343969</v>
      </c>
      <c r="T40" s="682">
        <f t="shared" si="5"/>
        <v>144.8042545199892</v>
      </c>
      <c r="W40" s="818"/>
      <c r="X40" s="818"/>
      <c r="Y40" s="819"/>
      <c r="Z40" s="820"/>
      <c r="AA40" s="820"/>
      <c r="AB40" s="821"/>
      <c r="AC40" s="821"/>
      <c r="AD40" s="253"/>
      <c r="AE40" s="253"/>
    </row>
    <row r="41" spans="1:31" ht="14.5">
      <c r="A41" t="s">
        <v>2724</v>
      </c>
      <c r="B41" t="s">
        <v>2722</v>
      </c>
      <c r="C41">
        <v>3121</v>
      </c>
      <c r="D41" s="836"/>
      <c r="E41" s="836"/>
      <c r="F41" s="867">
        <f>(1/S41)*cnst_fish!$C$6</f>
        <v>7.5699122913220479E-2</v>
      </c>
      <c r="G41" s="867">
        <f t="shared" si="7"/>
        <v>1</v>
      </c>
      <c r="H41" s="867">
        <f t="shared" si="7"/>
        <v>0.36449057933102513</v>
      </c>
      <c r="I41" s="867">
        <f t="shared" si="0"/>
        <v>0</v>
      </c>
      <c r="J41" s="389">
        <f t="shared" si="1"/>
        <v>0</v>
      </c>
      <c r="L41" s="870">
        <v>1878</v>
      </c>
      <c r="M41" s="836"/>
      <c r="N41" s="875" t="s">
        <v>1738</v>
      </c>
      <c r="O41" s="875" t="s">
        <v>4699</v>
      </c>
      <c r="P41" s="233">
        <f t="shared" si="2"/>
        <v>0</v>
      </c>
      <c r="Q41" s="233">
        <f t="shared" si="3"/>
        <v>1878</v>
      </c>
      <c r="R41" s="867">
        <f t="shared" si="4"/>
        <v>3.6</v>
      </c>
      <c r="S41" s="867">
        <f>(1/9)*cnst_fish!$C$7*(1/cnst_fish!$C$8)^(R41-1)</f>
        <v>56.143318924211187</v>
      </c>
      <c r="T41" s="682">
        <f t="shared" si="5"/>
        <v>9042.55269599852</v>
      </c>
      <c r="W41" s="818"/>
      <c r="X41" s="818"/>
      <c r="Y41" s="819"/>
      <c r="Z41" s="820"/>
      <c r="AA41" s="820"/>
      <c r="AB41" s="821"/>
      <c r="AC41" s="821"/>
      <c r="AD41" s="253"/>
      <c r="AE41" s="253"/>
    </row>
    <row r="42" spans="1:31" ht="14.5">
      <c r="A42" t="s">
        <v>8244</v>
      </c>
      <c r="B42" t="s">
        <v>8245</v>
      </c>
      <c r="C42">
        <v>10264</v>
      </c>
      <c r="D42" s="836"/>
      <c r="E42" s="836"/>
      <c r="F42" s="867">
        <f>(1/S42)*cnst_fish!$C$6</f>
        <v>3.0136363636363642E-2</v>
      </c>
      <c r="G42" s="867">
        <f t="shared" si="7"/>
        <v>1</v>
      </c>
      <c r="H42" s="867">
        <f t="shared" si="7"/>
        <v>0.36449057933102513</v>
      </c>
      <c r="I42" s="867">
        <f t="shared" si="0"/>
        <v>0</v>
      </c>
      <c r="J42" s="389">
        <f t="shared" si="1"/>
        <v>0</v>
      </c>
      <c r="L42" s="870">
        <v>5</v>
      </c>
      <c r="M42" s="836"/>
      <c r="N42" s="875" t="s">
        <v>1738</v>
      </c>
      <c r="O42" s="875" t="s">
        <v>4699</v>
      </c>
      <c r="P42" s="233">
        <f t="shared" si="2"/>
        <v>0</v>
      </c>
      <c r="Q42" s="233">
        <f t="shared" si="3"/>
        <v>5</v>
      </c>
      <c r="R42" s="867">
        <f t="shared" si="4"/>
        <v>4</v>
      </c>
      <c r="S42" s="867">
        <f>(1/9)*cnst_fish!$C$7*(1/cnst_fish!$C$8)^(R42-1)</f>
        <v>141.02564102564099</v>
      </c>
      <c r="T42" s="682">
        <f t="shared" si="5"/>
        <v>60.473550115253033</v>
      </c>
      <c r="W42" s="818"/>
      <c r="X42" s="818"/>
      <c r="Y42" s="819"/>
      <c r="Z42" s="820"/>
      <c r="AA42" s="820"/>
      <c r="AB42" s="821"/>
      <c r="AC42" s="821"/>
      <c r="AD42" s="253"/>
      <c r="AE42" s="253"/>
    </row>
    <row r="43" spans="1:31" ht="14.5">
      <c r="A43" t="s">
        <v>3727</v>
      </c>
      <c r="B43" t="s">
        <v>2723</v>
      </c>
      <c r="C43">
        <v>10268</v>
      </c>
      <c r="D43" s="836"/>
      <c r="E43" s="836"/>
      <c r="F43" s="867">
        <f>(1/S43)*cnst_fish!$C$6</f>
        <v>0.14424170509541331</v>
      </c>
      <c r="G43" s="867">
        <f t="shared" si="7"/>
        <v>1</v>
      </c>
      <c r="H43" s="867">
        <f t="shared" si="7"/>
        <v>0.36449057933102513</v>
      </c>
      <c r="I43" s="867">
        <f t="shared" si="0"/>
        <v>0</v>
      </c>
      <c r="J43" s="389">
        <f t="shared" si="1"/>
        <v>0</v>
      </c>
      <c r="L43" s="870">
        <v>300</v>
      </c>
      <c r="M43" s="836"/>
      <c r="N43" s="875" t="s">
        <v>1738</v>
      </c>
      <c r="O43" s="875" t="s">
        <v>4699</v>
      </c>
      <c r="P43" s="233">
        <f t="shared" si="2"/>
        <v>0</v>
      </c>
      <c r="Q43" s="233">
        <f t="shared" si="3"/>
        <v>300</v>
      </c>
      <c r="R43" s="867">
        <f t="shared" si="4"/>
        <v>3.32</v>
      </c>
      <c r="S43" s="867">
        <f>(1/9)*cnst_fish!$C$7*(1/cnst_fish!$C$8)^(R43-1)</f>
        <v>29.464432614608246</v>
      </c>
      <c r="T43" s="682">
        <f t="shared" si="5"/>
        <v>758.08292564883607</v>
      </c>
      <c r="W43" s="818"/>
      <c r="X43" s="818"/>
      <c r="Y43" s="819"/>
      <c r="Z43" s="820"/>
      <c r="AA43" s="820"/>
      <c r="AB43" s="821"/>
      <c r="AC43" s="821"/>
      <c r="AD43" s="253"/>
      <c r="AE43" s="253"/>
    </row>
    <row r="44" spans="1:31" ht="14.5">
      <c r="A44" t="s">
        <v>6469</v>
      </c>
      <c r="B44" t="s">
        <v>6468</v>
      </c>
      <c r="C44">
        <v>10272</v>
      </c>
      <c r="D44" s="836"/>
      <c r="E44" s="836"/>
      <c r="F44" s="867">
        <f>(1/S44)*cnst_fish!$C$6</f>
        <v>2.3938164528281767E-2</v>
      </c>
      <c r="G44" s="867">
        <f t="shared" si="7"/>
        <v>1</v>
      </c>
      <c r="H44" s="867">
        <f t="shared" si="7"/>
        <v>0.36449057933102513</v>
      </c>
      <c r="I44" s="867">
        <f t="shared" si="0"/>
        <v>0</v>
      </c>
      <c r="J44" s="389">
        <f t="shared" si="1"/>
        <v>0</v>
      </c>
      <c r="L44" s="870">
        <v>0</v>
      </c>
      <c r="M44" s="836"/>
      <c r="N44" s="875" t="s">
        <v>1738</v>
      </c>
      <c r="O44" s="875" t="s">
        <v>4699</v>
      </c>
      <c r="P44" s="233">
        <f t="shared" si="2"/>
        <v>0</v>
      </c>
      <c r="Q44" s="233">
        <f t="shared" si="3"/>
        <v>0</v>
      </c>
      <c r="R44" s="867">
        <f t="shared" si="4"/>
        <v>4.0999999999999996</v>
      </c>
      <c r="S44" s="867">
        <f>(1/9)*cnst_fish!$C$7*(1/cnst_fish!$C$8)^(R44-1)</f>
        <v>177.54076320174144</v>
      </c>
      <c r="T44" s="682">
        <f t="shared" si="5"/>
        <v>0</v>
      </c>
      <c r="W44" s="818"/>
      <c r="X44" s="818"/>
      <c r="Y44" s="819"/>
      <c r="Z44" s="820"/>
      <c r="AA44" s="820"/>
      <c r="AB44" s="821"/>
      <c r="AC44" s="821"/>
      <c r="AD44" s="253"/>
      <c r="AE44" s="253"/>
    </row>
    <row r="45" spans="1:31" ht="14.5">
      <c r="A45" t="s">
        <v>3985</v>
      </c>
      <c r="B45" t="s">
        <v>2185</v>
      </c>
      <c r="C45">
        <v>2923</v>
      </c>
      <c r="D45" s="836"/>
      <c r="E45" s="836"/>
      <c r="F45" s="867">
        <f>(1/S45)*cnst_fish!$C$6</f>
        <v>6.1530557150722649E-2</v>
      </c>
      <c r="G45" s="867">
        <f t="shared" si="7"/>
        <v>1</v>
      </c>
      <c r="H45" s="867">
        <f t="shared" si="7"/>
        <v>0.36449057933102513</v>
      </c>
      <c r="I45" s="867">
        <f t="shared" si="0"/>
        <v>0</v>
      </c>
      <c r="J45" s="389">
        <f t="shared" si="1"/>
        <v>0</v>
      </c>
      <c r="L45" s="870">
        <v>406</v>
      </c>
      <c r="M45" s="836"/>
      <c r="N45" s="875" t="s">
        <v>1738</v>
      </c>
      <c r="O45" s="875" t="s">
        <v>4681</v>
      </c>
      <c r="P45" s="233">
        <f t="shared" si="2"/>
        <v>0</v>
      </c>
      <c r="Q45" s="233">
        <f t="shared" si="3"/>
        <v>406</v>
      </c>
      <c r="R45" s="867">
        <f t="shared" si="4"/>
        <v>3.69</v>
      </c>
      <c r="S45" s="867">
        <f>(1/9)*cnst_fish!$C$7*(1/cnst_fish!$C$8)^(R45-1)</f>
        <v>69.071371962216759</v>
      </c>
      <c r="T45" s="682">
        <f t="shared" si="5"/>
        <v>2405.0355150515361</v>
      </c>
      <c r="W45" s="818"/>
      <c r="X45" s="818"/>
      <c r="Y45" s="819"/>
      <c r="Z45" s="820"/>
      <c r="AA45" s="820"/>
      <c r="AB45" s="821"/>
      <c r="AC45" s="821"/>
      <c r="AD45" s="253"/>
      <c r="AE45" s="253"/>
    </row>
    <row r="46" spans="1:31" ht="14.5">
      <c r="A46" t="s">
        <v>5514</v>
      </c>
      <c r="B46" t="s">
        <v>5515</v>
      </c>
      <c r="C46">
        <v>2111</v>
      </c>
      <c r="D46" s="836"/>
      <c r="E46" s="836"/>
      <c r="F46" s="867">
        <f>(1/S46)*cnst_fish!$C$6</f>
        <v>0.10692785320993656</v>
      </c>
      <c r="G46" s="867">
        <f t="shared" si="7"/>
        <v>1</v>
      </c>
      <c r="H46" s="867">
        <f t="shared" si="7"/>
        <v>0.36449057933102513</v>
      </c>
      <c r="I46" s="867">
        <f t="shared" si="0"/>
        <v>0</v>
      </c>
      <c r="J46" s="389">
        <f t="shared" si="1"/>
        <v>0</v>
      </c>
      <c r="L46" s="870">
        <v>87.01</v>
      </c>
      <c r="M46" s="836"/>
      <c r="N46" s="875" t="s">
        <v>1738</v>
      </c>
      <c r="O46" s="875" t="s">
        <v>4681</v>
      </c>
      <c r="P46" s="233">
        <f t="shared" si="2"/>
        <v>0</v>
      </c>
      <c r="Q46" s="233">
        <f t="shared" si="3"/>
        <v>87.01</v>
      </c>
      <c r="R46" s="867">
        <f t="shared" si="4"/>
        <v>3.45</v>
      </c>
      <c r="S46" s="867">
        <f>(1/9)*cnst_fish!$C$7*(1/cnst_fish!$C$8)^(R46-1)</f>
        <v>39.746425953729492</v>
      </c>
      <c r="T46" s="682">
        <f t="shared" si="5"/>
        <v>296.5955488260505</v>
      </c>
      <c r="W46" s="818"/>
      <c r="X46" s="818"/>
      <c r="Y46" s="819"/>
      <c r="Z46" s="820"/>
      <c r="AA46" s="820"/>
      <c r="AB46" s="821"/>
      <c r="AC46" s="821"/>
      <c r="AD46" s="253"/>
      <c r="AE46" s="253"/>
    </row>
    <row r="47" spans="1:31" ht="14.5">
      <c r="A47" t="s">
        <v>6207</v>
      </c>
      <c r="B47" t="s">
        <v>6206</v>
      </c>
      <c r="C47">
        <v>10276</v>
      </c>
      <c r="D47" s="836"/>
      <c r="E47" s="836"/>
      <c r="F47" s="867">
        <f>(1/S47)*cnst_fish!$C$6</f>
        <v>3.0136363636363641</v>
      </c>
      <c r="G47" s="867">
        <f t="shared" si="7"/>
        <v>1</v>
      </c>
      <c r="H47" s="867">
        <f t="shared" si="7"/>
        <v>0.36449057933102513</v>
      </c>
      <c r="I47" s="867">
        <f t="shared" si="0"/>
        <v>0</v>
      </c>
      <c r="J47" s="389">
        <f t="shared" si="1"/>
        <v>0</v>
      </c>
      <c r="L47" s="870"/>
      <c r="M47" s="836">
        <v>506</v>
      </c>
      <c r="N47" s="875" t="s">
        <v>1738</v>
      </c>
      <c r="O47" s="875" t="s">
        <v>4685</v>
      </c>
      <c r="P47" s="233">
        <f t="shared" si="2"/>
        <v>0</v>
      </c>
      <c r="Q47" s="233">
        <f t="shared" si="3"/>
        <v>506</v>
      </c>
      <c r="R47" s="867">
        <f t="shared" si="4"/>
        <v>2</v>
      </c>
      <c r="S47" s="867">
        <f>(1/9)*cnst_fish!$C$7*(1/cnst_fish!$C$8)^(R47-1)</f>
        <v>1.4102564102564099</v>
      </c>
      <c r="T47" s="682">
        <f t="shared" si="5"/>
        <v>61.199232716636068</v>
      </c>
      <c r="W47" s="818"/>
      <c r="X47" s="818"/>
      <c r="Y47" s="819"/>
      <c r="Z47" s="820"/>
      <c r="AA47" s="820"/>
      <c r="AB47" s="821"/>
      <c r="AC47" s="821"/>
      <c r="AD47" s="253"/>
      <c r="AE47" s="253"/>
    </row>
    <row r="48" spans="1:31" ht="14.5">
      <c r="A48" t="s">
        <v>8246</v>
      </c>
      <c r="B48" t="s">
        <v>8247</v>
      </c>
      <c r="C48">
        <v>20410</v>
      </c>
      <c r="D48" s="836"/>
      <c r="E48" s="836"/>
      <c r="F48" s="867">
        <f>(1/S48)*cnst_fish!$C$6</f>
        <v>0.44574948243432794</v>
      </c>
      <c r="G48" s="867">
        <f t="shared" ref="G48:H67" si="8">G$7</f>
        <v>1</v>
      </c>
      <c r="H48" s="867">
        <f t="shared" si="8"/>
        <v>0.36449057933102513</v>
      </c>
      <c r="I48" s="867">
        <f t="shared" si="0"/>
        <v>0</v>
      </c>
      <c r="J48" s="389">
        <f t="shared" si="1"/>
        <v>0</v>
      </c>
      <c r="L48" s="870"/>
      <c r="M48" s="836">
        <v>608</v>
      </c>
      <c r="N48" s="875" t="s">
        <v>1738</v>
      </c>
      <c r="O48" s="875" t="s">
        <v>4685</v>
      </c>
      <c r="P48" s="233">
        <f t="shared" si="2"/>
        <v>0</v>
      </c>
      <c r="Q48" s="233">
        <f t="shared" si="3"/>
        <v>608</v>
      </c>
      <c r="R48" s="867">
        <f t="shared" si="4"/>
        <v>2.83</v>
      </c>
      <c r="S48" s="867">
        <f>(1/9)*cnst_fish!$C$7*(1/cnst_fish!$C$8)^(R48-1)</f>
        <v>9.534503499117692</v>
      </c>
      <c r="T48" s="682">
        <f t="shared" si="5"/>
        <v>497.16327436434659</v>
      </c>
      <c r="W48" s="818"/>
      <c r="X48" s="818"/>
      <c r="Y48" s="819"/>
      <c r="Z48" s="820"/>
      <c r="AA48" s="820"/>
      <c r="AB48" s="821"/>
      <c r="AC48" s="821"/>
      <c r="AD48" s="253"/>
      <c r="AE48" s="253"/>
    </row>
    <row r="49" spans="1:31" ht="14.5">
      <c r="A49" t="s">
        <v>3873</v>
      </c>
      <c r="B49" t="s">
        <v>3874</v>
      </c>
      <c r="C49">
        <v>3643</v>
      </c>
      <c r="D49" s="836"/>
      <c r="E49" s="836"/>
      <c r="F49" s="867">
        <f>(1/S49)*cnst_fish!$C$6</f>
        <v>30.136363636363644</v>
      </c>
      <c r="G49" s="867">
        <f t="shared" si="8"/>
        <v>1</v>
      </c>
      <c r="H49" s="867">
        <f t="shared" si="8"/>
        <v>0.36449057933102513</v>
      </c>
      <c r="I49" s="867">
        <f t="shared" si="0"/>
        <v>0</v>
      </c>
      <c r="J49" s="389">
        <f t="shared" si="1"/>
        <v>0</v>
      </c>
      <c r="L49" s="870">
        <v>3375</v>
      </c>
      <c r="M49" s="836"/>
      <c r="N49" s="875" t="s">
        <v>1740</v>
      </c>
      <c r="O49" s="875" t="s">
        <v>4671</v>
      </c>
      <c r="P49" s="233">
        <f t="shared" si="2"/>
        <v>0</v>
      </c>
      <c r="Q49" s="233">
        <f t="shared" si="3"/>
        <v>3375</v>
      </c>
      <c r="R49" s="867">
        <f t="shared" si="4"/>
        <v>1</v>
      </c>
      <c r="S49" s="867">
        <f>(1/9)*cnst_fish!$C$7*(1/cnst_fish!$C$8)^(R49-1)</f>
        <v>0.141025641025641</v>
      </c>
      <c r="T49" s="682">
        <f t="shared" si="5"/>
        <v>40.819646327795795</v>
      </c>
      <c r="W49" s="818"/>
      <c r="X49" s="818"/>
      <c r="Y49" s="819"/>
      <c r="Z49" s="820"/>
      <c r="AA49" s="820"/>
      <c r="AB49" s="821"/>
      <c r="AC49" s="821"/>
      <c r="AD49" s="253"/>
      <c r="AE49" s="253"/>
    </row>
    <row r="50" spans="1:31" ht="14.5">
      <c r="A50" t="s">
        <v>4835</v>
      </c>
      <c r="B50" t="s">
        <v>2186</v>
      </c>
      <c r="C50">
        <v>2253</v>
      </c>
      <c r="D50" s="836"/>
      <c r="E50" s="836"/>
      <c r="F50" s="867">
        <f>(1/S50)*cnst_fish!$C$6</f>
        <v>0.12562927329128742</v>
      </c>
      <c r="G50" s="867">
        <f t="shared" si="8"/>
        <v>1</v>
      </c>
      <c r="H50" s="867">
        <f t="shared" si="8"/>
        <v>0.36449057933102513</v>
      </c>
      <c r="I50" s="867">
        <f t="shared" si="0"/>
        <v>0</v>
      </c>
      <c r="J50" s="389">
        <f t="shared" si="1"/>
        <v>0</v>
      </c>
      <c r="L50" s="870">
        <v>0</v>
      </c>
      <c r="M50" s="836"/>
      <c r="N50" s="875" t="s">
        <v>1738</v>
      </c>
      <c r="O50" s="875" t="s">
        <v>4681</v>
      </c>
      <c r="P50" s="233">
        <f t="shared" si="2"/>
        <v>0</v>
      </c>
      <c r="Q50" s="233">
        <f t="shared" si="3"/>
        <v>0</v>
      </c>
      <c r="R50" s="867">
        <f t="shared" si="4"/>
        <v>3.38</v>
      </c>
      <c r="S50" s="867">
        <f>(1/9)*cnst_fish!$C$7*(1/cnst_fish!$C$8)^(R50-1)</f>
        <v>33.829695011813328</v>
      </c>
      <c r="T50" s="682">
        <f t="shared" si="5"/>
        <v>0</v>
      </c>
      <c r="W50" s="818"/>
      <c r="X50" s="818"/>
      <c r="Y50" s="819"/>
      <c r="Z50" s="820"/>
      <c r="AA50" s="820"/>
      <c r="AB50" s="821"/>
      <c r="AC50" s="821"/>
      <c r="AD50" s="253"/>
      <c r="AE50" s="253"/>
    </row>
    <row r="51" spans="1:31" ht="14.5">
      <c r="A51" t="s">
        <v>6721</v>
      </c>
      <c r="B51" t="s">
        <v>6720</v>
      </c>
      <c r="C51">
        <v>2254</v>
      </c>
      <c r="D51" s="836"/>
      <c r="E51" s="836"/>
      <c r="F51" s="867">
        <f>(1/S51)*cnst_fish!$C$6</f>
        <v>3.0136363636363641</v>
      </c>
      <c r="G51" s="867">
        <f t="shared" si="8"/>
        <v>1</v>
      </c>
      <c r="H51" s="867">
        <f t="shared" si="8"/>
        <v>0.36449057933102513</v>
      </c>
      <c r="I51" s="867">
        <f t="shared" si="0"/>
        <v>0</v>
      </c>
      <c r="J51" s="389">
        <f t="shared" si="1"/>
        <v>0</v>
      </c>
      <c r="L51" s="870">
        <v>703</v>
      </c>
      <c r="M51" s="836"/>
      <c r="N51" s="875" t="s">
        <v>1738</v>
      </c>
      <c r="O51" s="875" t="s">
        <v>4699</v>
      </c>
      <c r="P51" s="233">
        <f t="shared" si="2"/>
        <v>0</v>
      </c>
      <c r="Q51" s="233">
        <f t="shared" si="3"/>
        <v>703</v>
      </c>
      <c r="R51" s="867">
        <f t="shared" si="4"/>
        <v>2</v>
      </c>
      <c r="S51" s="867">
        <f>(1/9)*cnst_fish!$C$7*(1/cnst_fish!$C$8)^(R51-1)</f>
        <v>1.4102564102564099</v>
      </c>
      <c r="T51" s="682">
        <f t="shared" si="5"/>
        <v>85.025811462045752</v>
      </c>
      <c r="W51" s="818"/>
      <c r="X51" s="818"/>
      <c r="Y51" s="819"/>
      <c r="Z51" s="820"/>
      <c r="AA51" s="820"/>
      <c r="AB51" s="821"/>
      <c r="AC51" s="821"/>
      <c r="AD51" s="253"/>
      <c r="AE51" s="253"/>
    </row>
    <row r="52" spans="1:31" ht="14.5">
      <c r="A52" t="s">
        <v>8530</v>
      </c>
      <c r="B52" t="s">
        <v>8531</v>
      </c>
      <c r="C52">
        <v>18820</v>
      </c>
      <c r="D52" s="836"/>
      <c r="E52" s="836"/>
      <c r="F52" s="867">
        <f>(1/S52)*cnst_fish!$C$6</f>
        <v>9.1010363210297068E-2</v>
      </c>
      <c r="G52" s="867">
        <f t="shared" si="8"/>
        <v>1</v>
      </c>
      <c r="H52" s="867">
        <f t="shared" si="8"/>
        <v>0.36449057933102513</v>
      </c>
      <c r="I52" s="867">
        <f t="shared" si="0"/>
        <v>0</v>
      </c>
      <c r="J52" s="389">
        <f t="shared" si="1"/>
        <v>0</v>
      </c>
      <c r="L52" s="870">
        <v>210</v>
      </c>
      <c r="M52" s="836"/>
      <c r="N52" s="875" t="s">
        <v>5197</v>
      </c>
      <c r="O52" s="875" t="s">
        <v>4675</v>
      </c>
      <c r="P52" s="233">
        <f t="shared" si="2"/>
        <v>0</v>
      </c>
      <c r="Q52" s="233">
        <f t="shared" si="3"/>
        <v>210</v>
      </c>
      <c r="R52" s="867">
        <f t="shared" si="4"/>
        <v>3.52</v>
      </c>
      <c r="S52" s="867">
        <f>(1/9)*cnst_fish!$C$7*(1/cnst_fish!$C$8)^(R52-1)</f>
        <v>46.69797867062185</v>
      </c>
      <c r="T52" s="682">
        <f t="shared" si="5"/>
        <v>841.03632772729202</v>
      </c>
      <c r="W52" s="818"/>
      <c r="X52" s="818"/>
      <c r="Y52" s="819"/>
      <c r="Z52" s="820"/>
      <c r="AA52" s="820"/>
      <c r="AB52" s="821"/>
      <c r="AC52" s="821"/>
      <c r="AD52" s="253"/>
      <c r="AE52" s="253"/>
    </row>
    <row r="53" spans="1:31" ht="14.5">
      <c r="A53" t="s">
        <v>3885</v>
      </c>
      <c r="B53" t="s">
        <v>3886</v>
      </c>
      <c r="C53">
        <v>3299</v>
      </c>
      <c r="D53" s="836"/>
      <c r="E53" s="836"/>
      <c r="F53" s="867">
        <f>(1/S53)*cnst_fish!$C$6</f>
        <v>5.4839166784473523E-2</v>
      </c>
      <c r="G53" s="867">
        <f t="shared" si="8"/>
        <v>1</v>
      </c>
      <c r="H53" s="867">
        <f t="shared" si="8"/>
        <v>0.36449057933102513</v>
      </c>
      <c r="I53" s="867">
        <f t="shared" si="0"/>
        <v>0</v>
      </c>
      <c r="J53" s="389">
        <f t="shared" si="1"/>
        <v>0</v>
      </c>
      <c r="L53" s="870">
        <v>622</v>
      </c>
      <c r="M53" s="836"/>
      <c r="N53" s="875" t="s">
        <v>2843</v>
      </c>
      <c r="O53" s="875" t="s">
        <v>4699</v>
      </c>
      <c r="P53" s="233">
        <f t="shared" si="2"/>
        <v>0</v>
      </c>
      <c r="Q53" s="233">
        <f t="shared" si="3"/>
        <v>622</v>
      </c>
      <c r="R53" s="867">
        <f t="shared" si="4"/>
        <v>3.74</v>
      </c>
      <c r="S53" s="867">
        <f>(1/9)*cnst_fish!$C$7*(1/cnst_fish!$C$8)^(R53-1)</f>
        <v>77.499354005562537</v>
      </c>
      <c r="T53" s="682">
        <f t="shared" si="5"/>
        <v>4134.1463344057656</v>
      </c>
      <c r="W53" s="818"/>
      <c r="X53" s="818"/>
      <c r="Y53" s="819"/>
      <c r="Z53" s="820"/>
      <c r="AA53" s="820"/>
      <c r="AB53" s="821"/>
      <c r="AC53" s="821"/>
      <c r="AD53" s="253"/>
      <c r="AE53" s="253"/>
    </row>
    <row r="54" spans="1:31" ht="14.5">
      <c r="A54" t="s">
        <v>1589</v>
      </c>
      <c r="B54" t="s">
        <v>1590</v>
      </c>
      <c r="C54">
        <v>2009</v>
      </c>
      <c r="D54" s="836"/>
      <c r="E54" s="836"/>
      <c r="F54" s="867">
        <f>(1/S54)*cnst_fish!$C$6</f>
        <v>9.5299549485983424E-3</v>
      </c>
      <c r="G54" s="867">
        <f t="shared" si="8"/>
        <v>1</v>
      </c>
      <c r="H54" s="867">
        <f t="shared" si="8"/>
        <v>0.36449057933102513</v>
      </c>
      <c r="I54" s="867">
        <f t="shared" si="0"/>
        <v>0</v>
      </c>
      <c r="J54" s="389">
        <f t="shared" si="1"/>
        <v>0</v>
      </c>
      <c r="L54" s="870">
        <v>3880</v>
      </c>
      <c r="M54" s="836"/>
      <c r="N54" s="875" t="s">
        <v>1738</v>
      </c>
      <c r="O54" s="875" t="s">
        <v>4681</v>
      </c>
      <c r="P54" s="233">
        <f t="shared" si="2"/>
        <v>0</v>
      </c>
      <c r="Q54" s="233">
        <f t="shared" si="3"/>
        <v>3880</v>
      </c>
      <c r="R54" s="867">
        <f t="shared" si="4"/>
        <v>4.5</v>
      </c>
      <c r="S54" s="867">
        <f>(1/9)*cnst_fish!$C$7*(1/cnst_fish!$C$8)^(R54-1)</f>
        <v>445.96223412630997</v>
      </c>
      <c r="T54" s="682">
        <f t="shared" si="5"/>
        <v>148397.70549097718</v>
      </c>
      <c r="W54" s="818"/>
      <c r="X54" s="818"/>
      <c r="Y54" s="819"/>
      <c r="Z54" s="820"/>
      <c r="AA54" s="820"/>
      <c r="AB54" s="821"/>
      <c r="AC54" s="821"/>
      <c r="AD54" s="253"/>
      <c r="AE54" s="253"/>
    </row>
    <row r="55" spans="1:31" ht="14.5">
      <c r="A55" t="s">
        <v>968</v>
      </c>
      <c r="B55" t="s">
        <v>4062</v>
      </c>
      <c r="C55">
        <v>2007</v>
      </c>
      <c r="D55" s="836"/>
      <c r="E55" s="836"/>
      <c r="F55" s="867">
        <f>(1/S55)*cnst_fish!$C$6</f>
        <v>9.5299549485983424E-3</v>
      </c>
      <c r="G55" s="867">
        <f t="shared" si="8"/>
        <v>1</v>
      </c>
      <c r="H55" s="867">
        <f t="shared" si="8"/>
        <v>0.36449057933102513</v>
      </c>
      <c r="I55" s="867">
        <f t="shared" si="0"/>
        <v>0</v>
      </c>
      <c r="J55" s="389">
        <f t="shared" si="1"/>
        <v>0</v>
      </c>
      <c r="L55" s="870">
        <v>4116.66</v>
      </c>
      <c r="M55" s="836"/>
      <c r="N55" s="875" t="s">
        <v>3785</v>
      </c>
      <c r="O55" s="875" t="s">
        <v>4681</v>
      </c>
      <c r="P55" s="233">
        <f t="shared" si="2"/>
        <v>0</v>
      </c>
      <c r="Q55" s="233">
        <f t="shared" si="3"/>
        <v>4116.66</v>
      </c>
      <c r="R55" s="867">
        <f t="shared" si="4"/>
        <v>4.5</v>
      </c>
      <c r="S55" s="867">
        <f>(1/9)*cnst_fish!$C$7*(1/cnst_fish!$C$8)^(R55-1)</f>
        <v>445.96223412630997</v>
      </c>
      <c r="T55" s="682">
        <f t="shared" si="5"/>
        <v>157449.20058930054</v>
      </c>
      <c r="W55" s="818"/>
      <c r="X55" s="818"/>
      <c r="Y55" s="819"/>
      <c r="Z55" s="820"/>
      <c r="AA55" s="820"/>
      <c r="AB55" s="821"/>
      <c r="AC55" s="821"/>
      <c r="AD55" s="253"/>
      <c r="AE55" s="253"/>
    </row>
    <row r="56" spans="1:31" ht="14.5">
      <c r="A56" t="s">
        <v>2574</v>
      </c>
      <c r="B56" t="s">
        <v>4063</v>
      </c>
      <c r="C56">
        <v>2795</v>
      </c>
      <c r="D56" s="836"/>
      <c r="E56" s="836"/>
      <c r="F56" s="867">
        <f>(1/S56)*cnst_fish!$C$6</f>
        <v>9.5299549485983424E-3</v>
      </c>
      <c r="G56" s="867">
        <f t="shared" si="8"/>
        <v>1</v>
      </c>
      <c r="H56" s="867">
        <f t="shared" si="8"/>
        <v>0.36449057933102513</v>
      </c>
      <c r="I56" s="867">
        <f t="shared" si="0"/>
        <v>0</v>
      </c>
      <c r="J56" s="389">
        <f t="shared" si="1"/>
        <v>0</v>
      </c>
      <c r="L56" s="870">
        <v>257</v>
      </c>
      <c r="M56" s="836"/>
      <c r="N56" s="875" t="s">
        <v>1738</v>
      </c>
      <c r="O56" s="875" t="s">
        <v>4681</v>
      </c>
      <c r="P56" s="233">
        <f t="shared" si="2"/>
        <v>0</v>
      </c>
      <c r="Q56" s="233">
        <f t="shared" si="3"/>
        <v>257</v>
      </c>
      <c r="R56" s="867">
        <f t="shared" si="4"/>
        <v>4.5</v>
      </c>
      <c r="S56" s="867">
        <f>(1/9)*cnst_fish!$C$7*(1/cnst_fish!$C$8)^(R56-1)</f>
        <v>445.96223412630997</v>
      </c>
      <c r="T56" s="682">
        <f t="shared" si="5"/>
        <v>9829.4356472116342</v>
      </c>
      <c r="W56" s="818"/>
      <c r="X56" s="818"/>
      <c r="Y56" s="819"/>
      <c r="Z56" s="820"/>
      <c r="AA56" s="820"/>
      <c r="AB56" s="821"/>
      <c r="AC56" s="821"/>
      <c r="AD56" s="253"/>
      <c r="AE56" s="253"/>
    </row>
    <row r="57" spans="1:31" ht="14.5">
      <c r="A57" t="s">
        <v>2945</v>
      </c>
      <c r="B57" t="s">
        <v>4064</v>
      </c>
      <c r="C57">
        <v>2008</v>
      </c>
      <c r="D57" s="836"/>
      <c r="E57" s="836"/>
      <c r="F57" s="867">
        <f>(1/S57)*cnst_fish!$C$6</f>
        <v>9.5299549485983424E-3</v>
      </c>
      <c r="G57" s="867">
        <f t="shared" si="8"/>
        <v>1</v>
      </c>
      <c r="H57" s="867">
        <f t="shared" si="8"/>
        <v>0.36449057933102513</v>
      </c>
      <c r="I57" s="867">
        <f t="shared" si="0"/>
        <v>0</v>
      </c>
      <c r="J57" s="389">
        <f t="shared" si="1"/>
        <v>0</v>
      </c>
      <c r="L57" s="870">
        <v>85</v>
      </c>
      <c r="M57" s="836"/>
      <c r="N57" s="875" t="s">
        <v>1738</v>
      </c>
      <c r="O57" s="875" t="s">
        <v>4681</v>
      </c>
      <c r="P57" s="233">
        <f t="shared" si="2"/>
        <v>0</v>
      </c>
      <c r="Q57" s="233">
        <f t="shared" si="3"/>
        <v>85</v>
      </c>
      <c r="R57" s="867">
        <f t="shared" si="4"/>
        <v>4.5</v>
      </c>
      <c r="S57" s="867">
        <f>(1/9)*cnst_fish!$C$7*(1/cnst_fish!$C$8)^(R57-1)</f>
        <v>445.96223412630997</v>
      </c>
      <c r="T57" s="682">
        <f t="shared" si="5"/>
        <v>3250.98066152914</v>
      </c>
      <c r="W57" s="818"/>
      <c r="X57" s="818"/>
      <c r="Y57" s="819"/>
      <c r="Z57" s="820"/>
      <c r="AA57" s="820"/>
      <c r="AB57" s="821"/>
      <c r="AC57" s="821"/>
      <c r="AD57" s="253"/>
      <c r="AE57" s="253"/>
    </row>
    <row r="58" spans="1:31" ht="14.5">
      <c r="A58" t="s">
        <v>307</v>
      </c>
      <c r="B58" t="s">
        <v>78</v>
      </c>
      <c r="C58">
        <v>2082</v>
      </c>
      <c r="D58" s="836"/>
      <c r="E58" s="836"/>
      <c r="F58" s="867">
        <f>(1/S58)*cnst_fish!$C$6</f>
        <v>7.5699122913220479E-2</v>
      </c>
      <c r="G58" s="867">
        <f t="shared" si="8"/>
        <v>1</v>
      </c>
      <c r="H58" s="867">
        <f t="shared" si="8"/>
        <v>0.36449057933102513</v>
      </c>
      <c r="I58" s="867">
        <f t="shared" si="0"/>
        <v>0</v>
      </c>
      <c r="J58" s="389">
        <f t="shared" si="1"/>
        <v>0</v>
      </c>
      <c r="L58" s="870">
        <v>0</v>
      </c>
      <c r="M58" s="836">
        <v>5</v>
      </c>
      <c r="N58" s="875" t="s">
        <v>1738</v>
      </c>
      <c r="O58" s="875" t="s">
        <v>4685</v>
      </c>
      <c r="P58" s="233">
        <f t="shared" si="2"/>
        <v>0</v>
      </c>
      <c r="Q58" s="233">
        <f t="shared" si="3"/>
        <v>5</v>
      </c>
      <c r="R58" s="867">
        <f t="shared" si="4"/>
        <v>3.6</v>
      </c>
      <c r="S58" s="867">
        <f>(1/9)*cnst_fish!$C$7*(1/cnst_fish!$C$8)^(R58-1)</f>
        <v>56.143318924211187</v>
      </c>
      <c r="T58" s="682">
        <f t="shared" si="5"/>
        <v>24.074953929708521</v>
      </c>
      <c r="W58" s="818"/>
      <c r="X58" s="818"/>
      <c r="Y58" s="819"/>
      <c r="Z58" s="820"/>
      <c r="AA58" s="820"/>
      <c r="AB58" s="821"/>
      <c r="AC58" s="821"/>
      <c r="AD58" s="253"/>
      <c r="AE58" s="253"/>
    </row>
    <row r="59" spans="1:31" ht="14.5">
      <c r="A59" t="s">
        <v>2061</v>
      </c>
      <c r="B59" t="s">
        <v>79</v>
      </c>
      <c r="C59">
        <v>2890</v>
      </c>
      <c r="D59" s="836"/>
      <c r="E59" s="836"/>
      <c r="F59" s="867">
        <f>(1/S59)*cnst_fish!$C$6</f>
        <v>7.2292101150450983E-2</v>
      </c>
      <c r="G59" s="867">
        <f t="shared" si="8"/>
        <v>1</v>
      </c>
      <c r="H59" s="867">
        <f t="shared" si="8"/>
        <v>0.36449057933102513</v>
      </c>
      <c r="I59" s="867">
        <f t="shared" si="0"/>
        <v>0</v>
      </c>
      <c r="J59" s="389">
        <f t="shared" si="1"/>
        <v>0</v>
      </c>
      <c r="L59" s="870">
        <v>113</v>
      </c>
      <c r="M59" s="836">
        <v>10</v>
      </c>
      <c r="N59" s="875" t="s">
        <v>1738</v>
      </c>
      <c r="O59" s="875" t="s">
        <v>4685</v>
      </c>
      <c r="P59" s="233">
        <f t="shared" si="2"/>
        <v>0</v>
      </c>
      <c r="Q59" s="233">
        <f t="shared" si="3"/>
        <v>123</v>
      </c>
      <c r="R59" s="867">
        <f t="shared" si="4"/>
        <v>3.62</v>
      </c>
      <c r="S59" s="867">
        <f>(1/9)*cnst_fish!$C$7*(1/cnst_fish!$C$8)^(R59-1)</f>
        <v>58.789272027867845</v>
      </c>
      <c r="T59" s="682">
        <f t="shared" si="5"/>
        <v>620.15546019907617</v>
      </c>
      <c r="W59" s="818"/>
      <c r="X59" s="818"/>
      <c r="Y59" s="819"/>
      <c r="Z59" s="820"/>
      <c r="AA59" s="820"/>
      <c r="AB59" s="821"/>
      <c r="AC59" s="821"/>
      <c r="AD59" s="253"/>
      <c r="AE59" s="253"/>
    </row>
    <row r="60" spans="1:31" ht="14.5">
      <c r="A60" t="s">
        <v>8840</v>
      </c>
      <c r="B60" t="s">
        <v>8841</v>
      </c>
      <c r="C60">
        <v>10294</v>
      </c>
      <c r="D60" s="836"/>
      <c r="E60" s="836"/>
      <c r="F60" s="867">
        <f>(1/S60)*cnst_fish!$C$6</f>
        <v>9.5299549485983348E-2</v>
      </c>
      <c r="G60" s="867">
        <f t="shared" si="8"/>
        <v>1</v>
      </c>
      <c r="H60" s="867">
        <f t="shared" si="8"/>
        <v>0.36449057933102513</v>
      </c>
      <c r="I60" s="867">
        <f t="shared" si="0"/>
        <v>0</v>
      </c>
      <c r="J60" s="389">
        <f t="shared" si="1"/>
        <v>0</v>
      </c>
      <c r="L60" s="870">
        <v>3</v>
      </c>
      <c r="M60" s="836"/>
      <c r="N60" s="875" t="s">
        <v>4282</v>
      </c>
      <c r="O60" s="875" t="s">
        <v>4685</v>
      </c>
      <c r="P60" s="233">
        <f t="shared" si="2"/>
        <v>0</v>
      </c>
      <c r="Q60" s="233">
        <f t="shared" si="3"/>
        <v>3</v>
      </c>
      <c r="R60" s="867">
        <f t="shared" si="4"/>
        <v>3.5</v>
      </c>
      <c r="S60" s="867">
        <f>(1/9)*cnst_fish!$C$7*(1/cnst_fish!$C$8)^(R60-1)</f>
        <v>44.596223412631026</v>
      </c>
      <c r="T60" s="682">
        <f t="shared" si="5"/>
        <v>11.474049393632267</v>
      </c>
      <c r="W60" s="818"/>
      <c r="X60" s="818"/>
      <c r="Y60" s="819"/>
      <c r="Z60" s="820"/>
      <c r="AA60" s="820"/>
      <c r="AB60" s="821"/>
      <c r="AC60" s="821"/>
      <c r="AD60" s="253"/>
      <c r="AE60" s="253"/>
    </row>
    <row r="61" spans="1:31" ht="14.5">
      <c r="A61" t="s">
        <v>2947</v>
      </c>
      <c r="B61" t="s">
        <v>80</v>
      </c>
      <c r="C61">
        <v>2080</v>
      </c>
      <c r="D61" s="836"/>
      <c r="E61" s="836"/>
      <c r="F61" s="867">
        <f>(1/S61)*cnst_fish!$C$6</f>
        <v>7.7462381998898044E-2</v>
      </c>
      <c r="G61" s="867">
        <f t="shared" si="8"/>
        <v>1</v>
      </c>
      <c r="H61" s="867">
        <f t="shared" si="8"/>
        <v>0.36449057933102513</v>
      </c>
      <c r="I61" s="867">
        <f t="shared" si="0"/>
        <v>0</v>
      </c>
      <c r="J61" s="389">
        <f t="shared" si="1"/>
        <v>0</v>
      </c>
      <c r="L61" s="870">
        <v>23</v>
      </c>
      <c r="M61" s="836">
        <v>13</v>
      </c>
      <c r="N61" s="875" t="s">
        <v>1738</v>
      </c>
      <c r="O61" s="875" t="s">
        <v>4685</v>
      </c>
      <c r="P61" s="233">
        <f t="shared" si="2"/>
        <v>0</v>
      </c>
      <c r="Q61" s="233">
        <f t="shared" si="3"/>
        <v>36</v>
      </c>
      <c r="R61" s="867">
        <f t="shared" si="4"/>
        <v>3.59</v>
      </c>
      <c r="S61" s="867">
        <f>(1/9)*cnst_fish!$C$7*(1/cnst_fish!$C$8)^(R61-1)</f>
        <v>54.865340960731871</v>
      </c>
      <c r="T61" s="682">
        <f t="shared" si="5"/>
        <v>169.39397572493408</v>
      </c>
      <c r="W61" s="818"/>
      <c r="X61" s="818"/>
      <c r="Y61" s="819"/>
      <c r="Z61" s="820"/>
      <c r="AA61" s="820"/>
      <c r="AB61" s="821"/>
      <c r="AC61" s="821"/>
      <c r="AD61" s="253"/>
      <c r="AE61" s="253"/>
    </row>
    <row r="62" spans="1:31" ht="14.5">
      <c r="A62" t="s">
        <v>2245</v>
      </c>
      <c r="B62" t="s">
        <v>81</v>
      </c>
      <c r="C62">
        <v>2083</v>
      </c>
      <c r="D62" s="836"/>
      <c r="E62" s="836"/>
      <c r="F62" s="867">
        <f>(1/S62)*cnst_fish!$C$6</f>
        <v>1.8581931192461935E-2</v>
      </c>
      <c r="G62" s="867">
        <f t="shared" si="8"/>
        <v>1</v>
      </c>
      <c r="H62" s="867">
        <f t="shared" si="8"/>
        <v>0.36449057933102513</v>
      </c>
      <c r="I62" s="867">
        <f t="shared" si="0"/>
        <v>0</v>
      </c>
      <c r="J62" s="389">
        <f t="shared" si="1"/>
        <v>0</v>
      </c>
      <c r="L62" s="870">
        <v>44</v>
      </c>
      <c r="M62" s="836"/>
      <c r="N62" s="875" t="s">
        <v>1738</v>
      </c>
      <c r="O62" s="875" t="s">
        <v>4685</v>
      </c>
      <c r="P62" s="233">
        <f t="shared" si="2"/>
        <v>0</v>
      </c>
      <c r="Q62" s="233">
        <f t="shared" si="3"/>
        <v>44</v>
      </c>
      <c r="R62" s="867">
        <f t="shared" si="4"/>
        <v>4.21</v>
      </c>
      <c r="S62" s="867">
        <f>(1/9)*cnst_fish!$C$7*(1/cnst_fish!$C$8)^(R62-1)</f>
        <v>228.71680860190045</v>
      </c>
      <c r="T62" s="682">
        <f t="shared" si="5"/>
        <v>863.07420496051645</v>
      </c>
      <c r="W62" s="818"/>
      <c r="X62" s="818"/>
      <c r="Y62" s="819"/>
      <c r="Z62" s="820"/>
      <c r="AA62" s="820"/>
      <c r="AB62" s="821"/>
      <c r="AC62" s="821"/>
      <c r="AD62" s="253"/>
      <c r="AE62" s="253"/>
    </row>
    <row r="63" spans="1:31" ht="14.5">
      <c r="A63" t="s">
        <v>3322</v>
      </c>
      <c r="B63" t="s">
        <v>5202</v>
      </c>
      <c r="C63">
        <v>2079</v>
      </c>
      <c r="D63" s="836"/>
      <c r="E63" s="836"/>
      <c r="F63" s="867">
        <f>(1/S63)*cnst_fish!$C$6</f>
        <v>3.5407139951132149E-2</v>
      </c>
      <c r="G63" s="867">
        <f t="shared" si="8"/>
        <v>1</v>
      </c>
      <c r="H63" s="867">
        <f t="shared" si="8"/>
        <v>0.36449057933102513</v>
      </c>
      <c r="I63" s="867">
        <f t="shared" si="0"/>
        <v>0</v>
      </c>
      <c r="J63" s="389">
        <f t="shared" si="1"/>
        <v>0</v>
      </c>
      <c r="L63" s="870">
        <v>312</v>
      </c>
      <c r="M63" s="836">
        <v>340</v>
      </c>
      <c r="N63" s="875" t="s">
        <v>1738</v>
      </c>
      <c r="O63" s="875" t="s">
        <v>4685</v>
      </c>
      <c r="P63" s="233">
        <f t="shared" si="2"/>
        <v>0</v>
      </c>
      <c r="Q63" s="233">
        <f t="shared" si="3"/>
        <v>652</v>
      </c>
      <c r="R63" s="867">
        <f t="shared" si="4"/>
        <v>3.93</v>
      </c>
      <c r="S63" s="867">
        <f>(1/9)*cnst_fish!$C$7*(1/cnst_fish!$C$8)^(R63-1)</f>
        <v>120.03228743879681</v>
      </c>
      <c r="T63" s="682">
        <f t="shared" si="5"/>
        <v>6711.8625805931424</v>
      </c>
      <c r="W63" s="818"/>
      <c r="X63" s="818"/>
      <c r="Y63" s="819"/>
      <c r="Z63" s="820"/>
      <c r="AA63" s="820"/>
      <c r="AB63" s="821"/>
      <c r="AC63" s="821"/>
      <c r="AD63" s="253"/>
      <c r="AE63" s="253"/>
    </row>
    <row r="64" spans="1:31" ht="14.5">
      <c r="A64" t="s">
        <v>4414</v>
      </c>
      <c r="B64" t="s">
        <v>5203</v>
      </c>
      <c r="C64">
        <v>2081</v>
      </c>
      <c r="D64" s="836">
        <v>2205</v>
      </c>
      <c r="E64" s="836">
        <v>1146</v>
      </c>
      <c r="F64" s="867">
        <f>(1/S64)*cnst_fish!$C$6</f>
        <v>9.3130266898023228E-2</v>
      </c>
      <c r="G64" s="867">
        <f t="shared" si="8"/>
        <v>1</v>
      </c>
      <c r="H64" s="867">
        <f t="shared" si="8"/>
        <v>0.36449057933102513</v>
      </c>
      <c r="I64" s="867">
        <f t="shared" si="0"/>
        <v>8629.8660381265345</v>
      </c>
      <c r="J64" s="389">
        <f t="shared" si="1"/>
        <v>4485.182076958281</v>
      </c>
      <c r="L64" s="870">
        <v>3112</v>
      </c>
      <c r="M64" s="836">
        <v>1146</v>
      </c>
      <c r="N64" s="875" t="s">
        <v>1738</v>
      </c>
      <c r="O64" s="875" t="s">
        <v>4685</v>
      </c>
      <c r="P64" s="233">
        <f t="shared" si="2"/>
        <v>3351</v>
      </c>
      <c r="Q64" s="233">
        <f t="shared" si="3"/>
        <v>4258</v>
      </c>
      <c r="R64" s="867">
        <f t="shared" si="4"/>
        <v>3.51</v>
      </c>
      <c r="S64" s="867">
        <f>(1/9)*cnst_fish!$C$7*(1/cnst_fish!$C$8)^(R64-1)</f>
        <v>45.635002900332182</v>
      </c>
      <c r="T64" s="682">
        <f t="shared" si="5"/>
        <v>16664.838816481988</v>
      </c>
      <c r="W64" s="818"/>
      <c r="X64" s="818"/>
      <c r="Y64" s="819"/>
      <c r="Z64" s="820"/>
      <c r="AA64" s="820"/>
      <c r="AB64" s="821"/>
      <c r="AC64" s="821"/>
      <c r="AD64" s="253"/>
      <c r="AE64" s="253"/>
    </row>
    <row r="65" spans="1:31" ht="14.5">
      <c r="A65" t="s">
        <v>4415</v>
      </c>
      <c r="B65" t="s">
        <v>5204</v>
      </c>
      <c r="C65">
        <v>2889</v>
      </c>
      <c r="D65" s="836"/>
      <c r="E65" s="836">
        <v>7</v>
      </c>
      <c r="F65" s="867">
        <f>(1/S65)*cnst_fish!$C$6</f>
        <v>0.10449387811364928</v>
      </c>
      <c r="G65" s="867">
        <f t="shared" si="8"/>
        <v>1</v>
      </c>
      <c r="H65" s="867">
        <f t="shared" si="8"/>
        <v>0.36449057933102513</v>
      </c>
      <c r="I65" s="867">
        <f t="shared" si="0"/>
        <v>0</v>
      </c>
      <c r="J65" s="389">
        <f t="shared" si="1"/>
        <v>24.417067309361357</v>
      </c>
      <c r="L65" s="870">
        <v>292</v>
      </c>
      <c r="M65" s="836">
        <v>7</v>
      </c>
      <c r="N65" s="875" t="s">
        <v>1738</v>
      </c>
      <c r="O65" s="875" t="s">
        <v>4685</v>
      </c>
      <c r="P65" s="233">
        <f t="shared" si="2"/>
        <v>7</v>
      </c>
      <c r="Q65" s="233">
        <f t="shared" si="3"/>
        <v>299</v>
      </c>
      <c r="R65" s="867">
        <f t="shared" si="4"/>
        <v>3.46</v>
      </c>
      <c r="S65" s="867">
        <f>(1/9)*cnst_fish!$C$7*(1/cnst_fish!$C$8)^(R65-1)</f>
        <v>40.672239146657276</v>
      </c>
      <c r="T65" s="682">
        <f t="shared" si="5"/>
        <v>1042.9575893570066</v>
      </c>
      <c r="W65" s="818"/>
      <c r="X65" s="818"/>
      <c r="Y65" s="819"/>
      <c r="Z65" s="820"/>
      <c r="AA65" s="820"/>
      <c r="AB65" s="821"/>
      <c r="AC65" s="821"/>
      <c r="AD65" s="253"/>
      <c r="AE65" s="253"/>
    </row>
    <row r="66" spans="1:31" ht="14.5">
      <c r="A66" t="s">
        <v>3697</v>
      </c>
      <c r="B66" t="s">
        <v>5205</v>
      </c>
      <c r="C66">
        <v>2887</v>
      </c>
      <c r="D66" s="836"/>
      <c r="E66" s="836"/>
      <c r="F66" s="867">
        <f>(1/S66)*cnst_fish!$C$6</f>
        <v>5.7423657091346926E-2</v>
      </c>
      <c r="G66" s="867">
        <f t="shared" si="8"/>
        <v>1</v>
      </c>
      <c r="H66" s="867">
        <f t="shared" si="8"/>
        <v>0.36449057933102513</v>
      </c>
      <c r="I66" s="867">
        <f t="shared" si="0"/>
        <v>0</v>
      </c>
      <c r="J66" s="389">
        <f t="shared" si="1"/>
        <v>0</v>
      </c>
      <c r="L66" s="870">
        <v>1704</v>
      </c>
      <c r="M66" s="836">
        <v>79</v>
      </c>
      <c r="N66" s="875" t="s">
        <v>1738</v>
      </c>
      <c r="O66" s="875" t="s">
        <v>4685</v>
      </c>
      <c r="P66" s="233">
        <f t="shared" si="2"/>
        <v>0</v>
      </c>
      <c r="Q66" s="233">
        <f t="shared" si="3"/>
        <v>1783</v>
      </c>
      <c r="R66" s="867">
        <f t="shared" si="4"/>
        <v>3.72</v>
      </c>
      <c r="S66" s="867">
        <f>(1/9)*cnst_fish!$C$7*(1/cnst_fish!$C$8)^(R66-1)</f>
        <v>74.011308496762837</v>
      </c>
      <c r="T66" s="682">
        <f t="shared" si="5"/>
        <v>11317.403590534259</v>
      </c>
      <c r="W66" s="818"/>
      <c r="X66" s="818"/>
      <c r="Y66" s="819"/>
      <c r="Z66" s="820"/>
      <c r="AA66" s="820"/>
      <c r="AB66" s="821"/>
      <c r="AC66" s="821"/>
      <c r="AD66" s="253"/>
      <c r="AE66" s="253"/>
    </row>
    <row r="67" spans="1:31" ht="14.5">
      <c r="A67" t="s">
        <v>1988</v>
      </c>
      <c r="B67" t="s">
        <v>652</v>
      </c>
      <c r="C67">
        <v>18636</v>
      </c>
      <c r="D67" s="836"/>
      <c r="E67" s="836"/>
      <c r="F67" s="867">
        <f>(1/S67)*cnst_fish!$C$6</f>
        <v>8.4935812883106004E-2</v>
      </c>
      <c r="G67" s="867">
        <f t="shared" si="8"/>
        <v>1</v>
      </c>
      <c r="H67" s="867">
        <f t="shared" si="8"/>
        <v>0.36449057933102513</v>
      </c>
      <c r="I67" s="867">
        <f t="shared" si="0"/>
        <v>0</v>
      </c>
      <c r="J67" s="389">
        <f t="shared" si="1"/>
        <v>0</v>
      </c>
      <c r="L67" s="870">
        <v>1160</v>
      </c>
      <c r="M67" s="836"/>
      <c r="N67" s="875" t="s">
        <v>1738</v>
      </c>
      <c r="O67" s="875" t="s">
        <v>4685</v>
      </c>
      <c r="P67" s="233">
        <f t="shared" si="2"/>
        <v>0</v>
      </c>
      <c r="Q67" s="233">
        <f t="shared" si="3"/>
        <v>1160</v>
      </c>
      <c r="R67" s="867">
        <f t="shared" si="4"/>
        <v>3.55</v>
      </c>
      <c r="S67" s="867">
        <f>(1/9)*cnst_fish!$C$7*(1/cnst_fish!$C$8)^(R67-1)</f>
        <v>50.037785661145278</v>
      </c>
      <c r="T67" s="682">
        <f t="shared" si="5"/>
        <v>4977.9834638880247</v>
      </c>
      <c r="W67" s="818"/>
      <c r="X67" s="818"/>
      <c r="Y67" s="819"/>
      <c r="Z67" s="820"/>
      <c r="AA67" s="820"/>
      <c r="AB67" s="821"/>
      <c r="AC67" s="821"/>
      <c r="AD67" s="253"/>
      <c r="AE67" s="253"/>
    </row>
    <row r="68" spans="1:31" ht="14.5">
      <c r="A68" s="403" t="s">
        <v>8942</v>
      </c>
      <c r="B68" s="403" t="s">
        <v>8943</v>
      </c>
      <c r="C68" s="403">
        <v>10316</v>
      </c>
      <c r="D68" s="836"/>
      <c r="E68" s="836"/>
      <c r="F68" s="869">
        <f>(1/S68)*cnst_fish!$C$6</f>
        <v>0.11997502458044032</v>
      </c>
      <c r="G68" s="869">
        <f t="shared" ref="G68:H87" si="9">G$7</f>
        <v>1</v>
      </c>
      <c r="H68" s="869">
        <f t="shared" si="9"/>
        <v>0.36449057933102513</v>
      </c>
      <c r="I68" s="869">
        <f t="shared" si="0"/>
        <v>0</v>
      </c>
      <c r="J68" s="389">
        <f t="shared" si="1"/>
        <v>0</v>
      </c>
      <c r="L68" s="870"/>
      <c r="M68" s="836">
        <v>2</v>
      </c>
      <c r="N68" s="873" t="s">
        <v>2319</v>
      </c>
      <c r="O68" s="874" t="s">
        <v>4685</v>
      </c>
      <c r="P68" s="871">
        <f t="shared" si="2"/>
        <v>0</v>
      </c>
      <c r="Q68" s="871">
        <f t="shared" si="3"/>
        <v>2</v>
      </c>
      <c r="R68" s="869">
        <f t="shared" si="4"/>
        <v>3.4</v>
      </c>
      <c r="S68" s="869">
        <f>(1/9)*cnst_fish!$C$7*(1/cnst_fish!$C$8)^(R68-1)</f>
        <v>35.424039418724846</v>
      </c>
      <c r="T68" s="682">
        <f t="shared" si="5"/>
        <v>6.0761075999887479</v>
      </c>
      <c r="W68" s="818"/>
      <c r="X68" s="818"/>
      <c r="Y68" s="819"/>
      <c r="Z68" s="820"/>
      <c r="AA68" s="820"/>
      <c r="AB68" s="821"/>
      <c r="AC68" s="821"/>
      <c r="AD68" s="253"/>
      <c r="AE68" s="253"/>
    </row>
    <row r="69" spans="1:31" ht="14.5">
      <c r="A69" t="s">
        <v>5225</v>
      </c>
      <c r="B69" t="s">
        <v>844</v>
      </c>
      <c r="C69">
        <v>10324</v>
      </c>
      <c r="D69" s="836"/>
      <c r="E69" s="836"/>
      <c r="F69" s="867">
        <f>(1/S69)*cnst_fish!$C$6</f>
        <v>0.15103960722494611</v>
      </c>
      <c r="G69" s="867">
        <f t="shared" si="9"/>
        <v>1</v>
      </c>
      <c r="H69" s="867">
        <f t="shared" si="9"/>
        <v>0.36449057933102513</v>
      </c>
      <c r="I69" s="867">
        <f t="shared" si="0"/>
        <v>0</v>
      </c>
      <c r="J69" s="389">
        <f t="shared" si="1"/>
        <v>0</v>
      </c>
      <c r="L69" s="870">
        <v>43514</v>
      </c>
      <c r="M69" s="836"/>
      <c r="N69" s="875" t="s">
        <v>2321</v>
      </c>
      <c r="O69" s="875" t="s">
        <v>4699</v>
      </c>
      <c r="P69" s="233">
        <f t="shared" si="2"/>
        <v>0</v>
      </c>
      <c r="Q69" s="233">
        <f t="shared" si="3"/>
        <v>43514</v>
      </c>
      <c r="R69" s="867">
        <f t="shared" si="4"/>
        <v>3.3</v>
      </c>
      <c r="S69" s="867">
        <f>(1/9)*cnst_fish!$C$7*(1/cnst_fish!$C$8)^(R69-1)</f>
        <v>28.138314698279075</v>
      </c>
      <c r="T69" s="682">
        <f t="shared" si="5"/>
        <v>105008.5031364586</v>
      </c>
      <c r="W69" s="818"/>
      <c r="X69" s="818"/>
      <c r="Y69" s="819"/>
      <c r="Z69" s="820"/>
      <c r="AA69" s="820"/>
      <c r="AB69" s="821"/>
      <c r="AC69" s="821"/>
      <c r="AD69" s="253"/>
      <c r="AE69" s="253"/>
    </row>
    <row r="70" spans="1:31" ht="14.5">
      <c r="A70" t="s">
        <v>4969</v>
      </c>
      <c r="B70" t="s">
        <v>8532</v>
      </c>
      <c r="C70">
        <v>2190</v>
      </c>
      <c r="D70" s="836"/>
      <c r="E70" s="836"/>
      <c r="F70" s="867">
        <f>(1/S70)*cnst_fish!$C$6</f>
        <v>4.7762917572805388E-2</v>
      </c>
      <c r="G70" s="867">
        <f t="shared" si="9"/>
        <v>1</v>
      </c>
      <c r="H70" s="867">
        <f t="shared" si="9"/>
        <v>0.36449057933102513</v>
      </c>
      <c r="I70" s="867">
        <f t="shared" si="0"/>
        <v>0</v>
      </c>
      <c r="J70" s="389">
        <f t="shared" si="1"/>
        <v>0</v>
      </c>
      <c r="L70" s="870"/>
      <c r="M70" s="836">
        <v>0</v>
      </c>
      <c r="N70" s="875" t="s">
        <v>1738</v>
      </c>
      <c r="O70" s="875" t="s">
        <v>4685</v>
      </c>
      <c r="P70" s="233">
        <f t="shared" si="2"/>
        <v>0</v>
      </c>
      <c r="Q70" s="233">
        <f t="shared" si="3"/>
        <v>0</v>
      </c>
      <c r="R70" s="867">
        <f t="shared" si="4"/>
        <v>3.8</v>
      </c>
      <c r="S70" s="867">
        <f>(1/9)*cnst_fish!$C$7*(1/cnst_fish!$C$8)^(R70-1)</f>
        <v>88.981163965155432</v>
      </c>
      <c r="T70" s="682">
        <f t="shared" si="5"/>
        <v>0</v>
      </c>
      <c r="W70" s="818"/>
      <c r="X70" s="818"/>
      <c r="Y70" s="819"/>
      <c r="Z70" s="820"/>
      <c r="AA70" s="820"/>
      <c r="AB70" s="821"/>
      <c r="AC70" s="821"/>
      <c r="AD70" s="253"/>
      <c r="AE70" s="253"/>
    </row>
    <row r="71" spans="1:31" ht="14.5">
      <c r="A71" t="s">
        <v>4969</v>
      </c>
      <c r="B71" t="s">
        <v>8532</v>
      </c>
      <c r="C71">
        <v>2190</v>
      </c>
      <c r="D71" s="836"/>
      <c r="E71" s="836"/>
      <c r="F71" s="867">
        <f>(1/S71)*cnst_fish!$C$6</f>
        <v>4.7762917572805388E-2</v>
      </c>
      <c r="G71" s="867">
        <f t="shared" si="9"/>
        <v>1</v>
      </c>
      <c r="H71" s="867">
        <f t="shared" si="9"/>
        <v>0.36449057933102513</v>
      </c>
      <c r="I71" s="867">
        <f t="shared" ref="I71:I134" si="10">IF($F71=0,0,D71/$F71*$H71*$G71)</f>
        <v>0</v>
      </c>
      <c r="J71" s="389">
        <f t="shared" ref="J71:J134" si="11">IF($F71=0,0,E71/$F71*$H71*$G71)</f>
        <v>0</v>
      </c>
      <c r="L71" s="870"/>
      <c r="M71" s="836">
        <v>0</v>
      </c>
      <c r="N71" s="875" t="s">
        <v>4282</v>
      </c>
      <c r="O71" s="875" t="s">
        <v>4685</v>
      </c>
      <c r="P71" s="233">
        <f t="shared" ref="P71:P134" si="12">D71+E71</f>
        <v>0</v>
      </c>
      <c r="Q71" s="233">
        <f t="shared" ref="Q71:Q134" si="13">L71+M71</f>
        <v>0</v>
      </c>
      <c r="R71" s="867">
        <f t="shared" ref="R71:R134" si="14">VLOOKUP(B71,constant_fish_trophic,3,FALSE)</f>
        <v>3.8</v>
      </c>
      <c r="S71" s="867">
        <f>(1/9)*cnst_fish!$C$7*(1/cnst_fish!$C$8)^(R71-1)</f>
        <v>88.981163965155432</v>
      </c>
      <c r="T71" s="682">
        <f t="shared" ref="T71:T134" si="15">IF(F71=0,0,Q71/F71*H71*G71)</f>
        <v>0</v>
      </c>
      <c r="W71" s="818"/>
      <c r="X71" s="818"/>
      <c r="Y71" s="819"/>
      <c r="Z71" s="820"/>
      <c r="AA71" s="820"/>
      <c r="AB71" s="821"/>
      <c r="AC71" s="821"/>
      <c r="AD71" s="253"/>
      <c r="AE71" s="253"/>
    </row>
    <row r="72" spans="1:31" ht="14.5">
      <c r="A72" t="s">
        <v>3043</v>
      </c>
      <c r="B72" t="s">
        <v>522</v>
      </c>
      <c r="C72">
        <v>2191</v>
      </c>
      <c r="D72" s="836"/>
      <c r="E72" s="836"/>
      <c r="F72" s="867">
        <f>(1/S72)*cnst_fish!$C$6</f>
        <v>0.11457525898206007</v>
      </c>
      <c r="G72" s="867">
        <f t="shared" si="9"/>
        <v>1</v>
      </c>
      <c r="H72" s="867">
        <f t="shared" si="9"/>
        <v>0.36449057933102513</v>
      </c>
      <c r="I72" s="867">
        <f t="shared" si="10"/>
        <v>0</v>
      </c>
      <c r="J72" s="389">
        <f t="shared" si="11"/>
        <v>0</v>
      </c>
      <c r="L72" s="870"/>
      <c r="M72" s="836">
        <v>256</v>
      </c>
      <c r="N72" s="875" t="s">
        <v>1738</v>
      </c>
      <c r="O72" s="875" t="s">
        <v>4685</v>
      </c>
      <c r="P72" s="233">
        <f t="shared" si="12"/>
        <v>0</v>
      </c>
      <c r="Q72" s="233">
        <f t="shared" si="13"/>
        <v>256</v>
      </c>
      <c r="R72" s="867">
        <f t="shared" si="14"/>
        <v>3.42</v>
      </c>
      <c r="S72" s="867">
        <f>(1/9)*cnst_fish!$C$7*(1/cnst_fish!$C$8)^(R72-1)</f>
        <v>37.093522962627169</v>
      </c>
      <c r="T72" s="682">
        <f t="shared" si="15"/>
        <v>814.39561330908816</v>
      </c>
      <c r="W72" s="818"/>
      <c r="X72" s="818"/>
      <c r="Y72" s="819"/>
      <c r="Z72" s="820"/>
      <c r="AA72" s="820"/>
      <c r="AB72" s="821"/>
      <c r="AC72" s="821"/>
      <c r="AD72" s="253"/>
      <c r="AE72" s="253"/>
    </row>
    <row r="73" spans="1:31" ht="14.5">
      <c r="A73" t="s">
        <v>6278</v>
      </c>
      <c r="B73" t="s">
        <v>6277</v>
      </c>
      <c r="C73">
        <v>10338</v>
      </c>
      <c r="D73" s="836"/>
      <c r="E73" s="836"/>
      <c r="F73" s="867">
        <f>(1/S73)*cnst_fish!$C$6</f>
        <v>3.0136363636363641</v>
      </c>
      <c r="G73" s="867">
        <f t="shared" si="9"/>
        <v>1</v>
      </c>
      <c r="H73" s="867">
        <f t="shared" si="9"/>
        <v>0.36449057933102513</v>
      </c>
      <c r="I73" s="867">
        <f t="shared" si="10"/>
        <v>0</v>
      </c>
      <c r="J73" s="389">
        <f t="shared" si="11"/>
        <v>0</v>
      </c>
      <c r="L73" s="870"/>
      <c r="M73" s="836">
        <v>114</v>
      </c>
      <c r="N73" s="875" t="s">
        <v>1738</v>
      </c>
      <c r="O73" s="875" t="s">
        <v>4685</v>
      </c>
      <c r="P73" s="233">
        <f t="shared" si="12"/>
        <v>0</v>
      </c>
      <c r="Q73" s="233">
        <f t="shared" si="13"/>
        <v>114</v>
      </c>
      <c r="R73" s="867">
        <f t="shared" si="14"/>
        <v>2</v>
      </c>
      <c r="S73" s="867">
        <f>(1/9)*cnst_fish!$C$7*(1/cnst_fish!$C$8)^(R73-1)</f>
        <v>1.4102564102564099</v>
      </c>
      <c r="T73" s="682">
        <f t="shared" si="15"/>
        <v>13.787969426277691</v>
      </c>
      <c r="W73" s="818"/>
      <c r="X73" s="818"/>
      <c r="Y73" s="819"/>
      <c r="Z73" s="820"/>
      <c r="AA73" s="820"/>
      <c r="AB73" s="821"/>
      <c r="AC73" s="821"/>
      <c r="AD73" s="253"/>
      <c r="AE73" s="253"/>
    </row>
    <row r="74" spans="1:31" ht="14.5">
      <c r="A74" t="s">
        <v>505</v>
      </c>
      <c r="B74" t="s">
        <v>653</v>
      </c>
      <c r="C74">
        <v>3261</v>
      </c>
      <c r="D74" s="836"/>
      <c r="E74" s="836"/>
      <c r="F74" s="867">
        <f>(1/S74)*cnst_fish!$C$6</f>
        <v>0.23938164528281752</v>
      </c>
      <c r="G74" s="867">
        <f t="shared" si="9"/>
        <v>1</v>
      </c>
      <c r="H74" s="867">
        <f t="shared" si="9"/>
        <v>0.36449057933102513</v>
      </c>
      <c r="I74" s="867">
        <f t="shared" si="10"/>
        <v>0</v>
      </c>
      <c r="J74" s="389">
        <f t="shared" si="11"/>
        <v>0</v>
      </c>
      <c r="L74" s="870">
        <v>114142</v>
      </c>
      <c r="M74" s="836"/>
      <c r="N74" s="875" t="s">
        <v>1738</v>
      </c>
      <c r="O74" s="875" t="s">
        <v>4681</v>
      </c>
      <c r="P74" s="233">
        <f t="shared" si="12"/>
        <v>0</v>
      </c>
      <c r="Q74" s="233">
        <f t="shared" si="13"/>
        <v>114142</v>
      </c>
      <c r="R74" s="867">
        <f t="shared" si="14"/>
        <v>3.1</v>
      </c>
      <c r="S74" s="867">
        <f>(1/9)*cnst_fish!$C$7*(1/cnst_fish!$C$8)^(R74-1)</f>
        <v>17.754076320174157</v>
      </c>
      <c r="T74" s="682">
        <f t="shared" si="15"/>
        <v>173796.4648745278</v>
      </c>
      <c r="W74" s="818"/>
      <c r="X74" s="818"/>
      <c r="Y74" s="819"/>
      <c r="Z74" s="820"/>
      <c r="AA74" s="820"/>
      <c r="AB74" s="821"/>
      <c r="AC74" s="821"/>
      <c r="AD74" s="253"/>
      <c r="AE74" s="253"/>
    </row>
    <row r="75" spans="1:31" ht="14.5">
      <c r="A75" t="s">
        <v>817</v>
      </c>
      <c r="B75" t="s">
        <v>654</v>
      </c>
      <c r="C75">
        <v>3260</v>
      </c>
      <c r="D75" s="836"/>
      <c r="E75" s="836"/>
      <c r="F75" s="867">
        <f>(1/S75)*cnst_fish!$C$6</f>
        <v>0.23938164528281752</v>
      </c>
      <c r="G75" s="867">
        <f t="shared" si="9"/>
        <v>1</v>
      </c>
      <c r="H75" s="867">
        <f t="shared" si="9"/>
        <v>0.36449057933102513</v>
      </c>
      <c r="I75" s="867">
        <f t="shared" si="10"/>
        <v>0</v>
      </c>
      <c r="J75" s="389">
        <f t="shared" si="11"/>
        <v>0</v>
      </c>
      <c r="L75" s="870">
        <v>271740</v>
      </c>
      <c r="M75" s="836"/>
      <c r="N75" s="875" t="s">
        <v>1738</v>
      </c>
      <c r="O75" s="875" t="s">
        <v>4681</v>
      </c>
      <c r="P75" s="233">
        <f t="shared" si="12"/>
        <v>0</v>
      </c>
      <c r="Q75" s="233">
        <f t="shared" si="13"/>
        <v>271740</v>
      </c>
      <c r="R75" s="867">
        <f t="shared" si="14"/>
        <v>3.1</v>
      </c>
      <c r="S75" s="867">
        <f>(1/9)*cnst_fish!$C$7*(1/cnst_fish!$C$8)^(R75-1)</f>
        <v>17.754076320174157</v>
      </c>
      <c r="T75" s="682">
        <f t="shared" si="15"/>
        <v>413760.50327665702</v>
      </c>
      <c r="W75" s="818"/>
      <c r="X75" s="818"/>
      <c r="Y75" s="819"/>
      <c r="Z75" s="820"/>
      <c r="AA75" s="820"/>
      <c r="AB75" s="821"/>
      <c r="AC75" s="821"/>
      <c r="AD75" s="253"/>
      <c r="AE75" s="253"/>
    </row>
    <row r="76" spans="1:31" ht="14.5">
      <c r="A76" t="s">
        <v>8533</v>
      </c>
      <c r="B76" t="s">
        <v>8534</v>
      </c>
      <c r="C76">
        <v>3662</v>
      </c>
      <c r="D76" s="836"/>
      <c r="E76" s="836"/>
      <c r="F76" s="867">
        <f>(1/S76)*cnst_fish!$C$6</f>
        <v>0.23938164528281752</v>
      </c>
      <c r="G76" s="867">
        <f t="shared" si="9"/>
        <v>1</v>
      </c>
      <c r="H76" s="867">
        <f t="shared" si="9"/>
        <v>0.36449057933102513</v>
      </c>
      <c r="I76" s="867">
        <f t="shared" si="10"/>
        <v>0</v>
      </c>
      <c r="J76" s="389">
        <f t="shared" si="11"/>
        <v>0</v>
      </c>
      <c r="L76" s="870">
        <v>0</v>
      </c>
      <c r="M76" s="836"/>
      <c r="N76" s="875" t="s">
        <v>3786</v>
      </c>
      <c r="O76" s="875" t="s">
        <v>4685</v>
      </c>
      <c r="P76" s="233">
        <f t="shared" si="12"/>
        <v>0</v>
      </c>
      <c r="Q76" s="233">
        <f t="shared" si="13"/>
        <v>0</v>
      </c>
      <c r="R76" s="867">
        <f t="shared" si="14"/>
        <v>3.1</v>
      </c>
      <c r="S76" s="867">
        <f>(1/9)*cnst_fish!$C$7*(1/cnst_fish!$C$8)^(R76-1)</f>
        <v>17.754076320174157</v>
      </c>
      <c r="T76" s="682">
        <f t="shared" si="15"/>
        <v>0</v>
      </c>
      <c r="W76" s="818"/>
      <c r="X76" s="818"/>
      <c r="Y76" s="819"/>
      <c r="Z76" s="820"/>
      <c r="AA76" s="820"/>
      <c r="AB76" s="821"/>
      <c r="AC76" s="821"/>
      <c r="AD76" s="253"/>
      <c r="AE76" s="253"/>
    </row>
    <row r="77" spans="1:31" ht="14.5">
      <c r="A77" t="s">
        <v>6274</v>
      </c>
      <c r="B77" t="s">
        <v>6273</v>
      </c>
      <c r="C77">
        <v>10348</v>
      </c>
      <c r="D77" s="836"/>
      <c r="E77" s="836"/>
      <c r="F77" s="867">
        <f>(1/S77)*cnst_fish!$C$6</f>
        <v>3.0136363636363641</v>
      </c>
      <c r="G77" s="867">
        <f t="shared" si="9"/>
        <v>1</v>
      </c>
      <c r="H77" s="867">
        <f t="shared" si="9"/>
        <v>0.36449057933102513</v>
      </c>
      <c r="I77" s="867">
        <f t="shared" si="10"/>
        <v>0</v>
      </c>
      <c r="J77" s="389">
        <f t="shared" si="11"/>
        <v>0</v>
      </c>
      <c r="L77" s="870">
        <v>310</v>
      </c>
      <c r="M77" s="836"/>
      <c r="N77" s="875" t="s">
        <v>1738</v>
      </c>
      <c r="O77" s="875" t="s">
        <v>4681</v>
      </c>
      <c r="P77" s="233">
        <f t="shared" si="12"/>
        <v>0</v>
      </c>
      <c r="Q77" s="233">
        <f t="shared" si="13"/>
        <v>310</v>
      </c>
      <c r="R77" s="867">
        <f t="shared" si="14"/>
        <v>2</v>
      </c>
      <c r="S77" s="867">
        <f>(1/9)*cnst_fish!$C$7*(1/cnst_fish!$C$8)^(R77-1)</f>
        <v>1.4102564102564099</v>
      </c>
      <c r="T77" s="682">
        <f t="shared" si="15"/>
        <v>37.493601071456879</v>
      </c>
      <c r="W77" s="818"/>
      <c r="X77" s="818"/>
      <c r="Y77" s="819"/>
      <c r="Z77" s="820"/>
      <c r="AA77" s="820"/>
      <c r="AB77" s="821"/>
      <c r="AC77" s="821"/>
      <c r="AD77" s="253"/>
      <c r="AE77" s="253"/>
    </row>
    <row r="78" spans="1:31" ht="14.5">
      <c r="A78" t="s">
        <v>3764</v>
      </c>
      <c r="B78" t="s">
        <v>523</v>
      </c>
      <c r="C78">
        <v>3315</v>
      </c>
      <c r="D78" s="836"/>
      <c r="E78" s="836"/>
      <c r="F78" s="867">
        <f>(1/S78)*cnst_fish!$C$6</f>
        <v>0.56116535073067308</v>
      </c>
      <c r="G78" s="867">
        <f t="shared" si="9"/>
        <v>1</v>
      </c>
      <c r="H78" s="867">
        <f t="shared" si="9"/>
        <v>0.36449057933102513</v>
      </c>
      <c r="I78" s="867">
        <f t="shared" si="10"/>
        <v>0</v>
      </c>
      <c r="J78" s="389">
        <f t="shared" si="11"/>
        <v>0</v>
      </c>
      <c r="L78" s="870"/>
      <c r="M78" s="836">
        <v>43462</v>
      </c>
      <c r="N78" s="875" t="s">
        <v>1738</v>
      </c>
      <c r="O78" s="875" t="s">
        <v>4685</v>
      </c>
      <c r="P78" s="233">
        <f t="shared" si="12"/>
        <v>0</v>
      </c>
      <c r="Q78" s="233">
        <f t="shared" si="13"/>
        <v>43462</v>
      </c>
      <c r="R78" s="867">
        <f t="shared" si="14"/>
        <v>2.73</v>
      </c>
      <c r="S78" s="867">
        <f>(1/9)*cnst_fish!$C$7*(1/cnst_fish!$C$8)^(R78-1)</f>
        <v>7.5735253334266428</v>
      </c>
      <c r="T78" s="682">
        <f t="shared" si="15"/>
        <v>28229.62882198337</v>
      </c>
      <c r="W78" s="818"/>
      <c r="X78" s="818"/>
      <c r="Y78" s="819"/>
      <c r="Z78" s="820"/>
      <c r="AA78" s="820"/>
      <c r="AB78" s="821"/>
      <c r="AC78" s="821"/>
      <c r="AD78" s="253"/>
      <c r="AE78" s="253"/>
    </row>
    <row r="79" spans="1:31" ht="14.5">
      <c r="A79" t="s">
        <v>4206</v>
      </c>
      <c r="B79" t="s">
        <v>8535</v>
      </c>
      <c r="C79">
        <v>2662</v>
      </c>
      <c r="D79" s="836"/>
      <c r="E79" s="836"/>
      <c r="F79" s="867">
        <f>(1/S79)*cnst_fish!$C$6</f>
        <v>2.3938164528281742</v>
      </c>
      <c r="G79" s="867">
        <f t="shared" si="9"/>
        <v>1</v>
      </c>
      <c r="H79" s="867">
        <f t="shared" si="9"/>
        <v>0.36449057933102513</v>
      </c>
      <c r="I79" s="867">
        <f t="shared" si="10"/>
        <v>0</v>
      </c>
      <c r="J79" s="389">
        <f t="shared" si="11"/>
        <v>0</v>
      </c>
      <c r="L79" s="870"/>
      <c r="M79" s="836"/>
      <c r="N79" s="875" t="s">
        <v>2316</v>
      </c>
      <c r="O79" s="875" t="s">
        <v>4680</v>
      </c>
      <c r="P79" s="233">
        <f t="shared" si="12"/>
        <v>0</v>
      </c>
      <c r="Q79" s="233">
        <f t="shared" si="13"/>
        <v>0</v>
      </c>
      <c r="R79" s="867">
        <f t="shared" si="14"/>
        <v>2.1</v>
      </c>
      <c r="S79" s="867">
        <f>(1/9)*cnst_fish!$C$7*(1/cnst_fish!$C$8)^(R79-1)</f>
        <v>1.7754076320174161</v>
      </c>
      <c r="T79" s="682">
        <f t="shared" si="15"/>
        <v>0</v>
      </c>
      <c r="W79" s="818"/>
      <c r="X79" s="818"/>
      <c r="Y79" s="819"/>
      <c r="Z79" s="820"/>
      <c r="AA79" s="820"/>
      <c r="AB79" s="821"/>
      <c r="AC79" s="821"/>
      <c r="AD79" s="253"/>
      <c r="AE79" s="253"/>
    </row>
    <row r="80" spans="1:31" ht="14.5">
      <c r="A80" t="s">
        <v>6761</v>
      </c>
      <c r="B80" t="s">
        <v>8536</v>
      </c>
      <c r="C80">
        <v>17115</v>
      </c>
      <c r="D80" s="836"/>
      <c r="E80" s="836"/>
      <c r="F80" s="867">
        <f>(1/S80)*cnst_fish!$C$6</f>
        <v>2.565020542400799</v>
      </c>
      <c r="G80" s="867">
        <f t="shared" si="9"/>
        <v>1</v>
      </c>
      <c r="H80" s="867">
        <f t="shared" si="9"/>
        <v>0.36449057933102513</v>
      </c>
      <c r="I80" s="867">
        <f t="shared" si="10"/>
        <v>0</v>
      </c>
      <c r="J80" s="389">
        <f t="shared" si="11"/>
        <v>0</v>
      </c>
      <c r="L80" s="870"/>
      <c r="M80" s="836"/>
      <c r="N80" s="875" t="s">
        <v>1736</v>
      </c>
      <c r="O80" s="875" t="s">
        <v>4691</v>
      </c>
      <c r="P80" s="233">
        <f t="shared" si="12"/>
        <v>0</v>
      </c>
      <c r="Q80" s="233">
        <f t="shared" si="13"/>
        <v>0</v>
      </c>
      <c r="R80" s="867">
        <f t="shared" si="14"/>
        <v>2.0699999999999998</v>
      </c>
      <c r="S80" s="867">
        <f>(1/9)*cnst_fish!$C$7*(1/cnst_fish!$C$8)^(R80-1)</f>
        <v>1.656906808248054</v>
      </c>
      <c r="T80" s="682">
        <f t="shared" si="15"/>
        <v>0</v>
      </c>
      <c r="W80" s="818"/>
      <c r="X80" s="818"/>
      <c r="Y80" s="819"/>
      <c r="Z80" s="820"/>
      <c r="AA80" s="820"/>
      <c r="AB80" s="821"/>
      <c r="AC80" s="821"/>
      <c r="AD80" s="253"/>
      <c r="AE80" s="253"/>
    </row>
    <row r="81" spans="1:31" ht="14.5">
      <c r="A81" t="s">
        <v>4851</v>
      </c>
      <c r="B81" t="s">
        <v>2634</v>
      </c>
      <c r="C81">
        <v>3503</v>
      </c>
      <c r="D81" s="836"/>
      <c r="E81" s="836"/>
      <c r="F81" s="867">
        <f>(1/S81)*cnst_fish!$C$6</f>
        <v>2.3938164528281742</v>
      </c>
      <c r="G81" s="867">
        <f t="shared" si="9"/>
        <v>1</v>
      </c>
      <c r="H81" s="867">
        <f t="shared" si="9"/>
        <v>0.36449057933102513</v>
      </c>
      <c r="I81" s="867">
        <f t="shared" si="10"/>
        <v>0</v>
      </c>
      <c r="J81" s="389">
        <f t="shared" si="11"/>
        <v>0</v>
      </c>
      <c r="L81" s="870">
        <v>63378.54</v>
      </c>
      <c r="M81" s="836"/>
      <c r="N81" s="875" t="s">
        <v>1736</v>
      </c>
      <c r="O81" s="875" t="s">
        <v>4691</v>
      </c>
      <c r="P81" s="233">
        <f t="shared" si="12"/>
        <v>0</v>
      </c>
      <c r="Q81" s="233">
        <f t="shared" si="13"/>
        <v>63378.54</v>
      </c>
      <c r="R81" s="867">
        <f t="shared" si="14"/>
        <v>2.1</v>
      </c>
      <c r="S81" s="867">
        <f>(1/9)*cnst_fish!$C$7*(1/cnst_fish!$C$8)^(R81-1)</f>
        <v>1.7754076320174161</v>
      </c>
      <c r="T81" s="682">
        <f t="shared" si="15"/>
        <v>9650.230590763138</v>
      </c>
      <c r="W81" s="818"/>
      <c r="X81" s="818"/>
      <c r="Y81" s="819"/>
      <c r="Z81" s="820"/>
      <c r="AA81" s="820"/>
      <c r="AB81" s="821"/>
      <c r="AC81" s="821"/>
      <c r="AD81" s="253"/>
      <c r="AE81" s="253"/>
    </row>
    <row r="82" spans="1:31" ht="14.5">
      <c r="A82" t="s">
        <v>3525</v>
      </c>
      <c r="B82" t="s">
        <v>2635</v>
      </c>
      <c r="C82">
        <v>18998</v>
      </c>
      <c r="D82" s="836"/>
      <c r="E82" s="836"/>
      <c r="F82" s="867">
        <f>(1/S82)*cnst_fish!$C$6</f>
        <v>2.6141530827766903</v>
      </c>
      <c r="G82" s="867">
        <f t="shared" si="9"/>
        <v>1</v>
      </c>
      <c r="H82" s="867">
        <f t="shared" si="9"/>
        <v>0.36449057933102513</v>
      </c>
      <c r="I82" s="867">
        <f t="shared" si="10"/>
        <v>0</v>
      </c>
      <c r="J82" s="389">
        <f t="shared" si="11"/>
        <v>0</v>
      </c>
      <c r="L82" s="870">
        <v>180</v>
      </c>
      <c r="M82" s="836"/>
      <c r="N82" s="875" t="s">
        <v>1736</v>
      </c>
      <c r="O82" s="875" t="s">
        <v>4691</v>
      </c>
      <c r="P82" s="233">
        <f t="shared" si="12"/>
        <v>0</v>
      </c>
      <c r="Q82" s="233">
        <f t="shared" si="13"/>
        <v>180</v>
      </c>
      <c r="R82" s="867">
        <f t="shared" si="14"/>
        <v>2.0617598316454031</v>
      </c>
      <c r="S82" s="867">
        <f>(1/9)*cnst_fish!$C$7*(1/cnst_fish!$C$8)^(R82-1)</f>
        <v>1.6257655406644176</v>
      </c>
      <c r="T82" s="682">
        <f t="shared" si="15"/>
        <v>25.097345948041024</v>
      </c>
      <c r="W82" s="818"/>
      <c r="X82" s="818"/>
      <c r="Y82" s="819"/>
      <c r="Z82" s="820"/>
      <c r="AA82" s="820"/>
      <c r="AB82" s="821"/>
      <c r="AC82" s="821"/>
      <c r="AD82" s="253"/>
      <c r="AE82" s="253"/>
    </row>
    <row r="83" spans="1:31" ht="14.5">
      <c r="A83" t="s">
        <v>3157</v>
      </c>
      <c r="B83" t="s">
        <v>4541</v>
      </c>
      <c r="C83">
        <v>2663</v>
      </c>
      <c r="D83" s="836"/>
      <c r="E83" s="836"/>
      <c r="F83" s="867">
        <f>(1/S83)*cnst_fish!$C$6</f>
        <v>2.3938164528281742</v>
      </c>
      <c r="G83" s="867">
        <f t="shared" si="9"/>
        <v>1</v>
      </c>
      <c r="H83" s="867">
        <f t="shared" si="9"/>
        <v>0.36449057933102513</v>
      </c>
      <c r="I83" s="867">
        <f t="shared" si="10"/>
        <v>0</v>
      </c>
      <c r="J83" s="389">
        <f t="shared" si="11"/>
        <v>0</v>
      </c>
      <c r="L83" s="870">
        <v>946</v>
      </c>
      <c r="M83" s="836"/>
      <c r="N83" s="875" t="s">
        <v>1736</v>
      </c>
      <c r="O83" s="875" t="s">
        <v>4691</v>
      </c>
      <c r="P83" s="233">
        <f t="shared" si="12"/>
        <v>0</v>
      </c>
      <c r="Q83" s="233">
        <f t="shared" si="13"/>
        <v>946</v>
      </c>
      <c r="R83" s="867">
        <f t="shared" si="14"/>
        <v>2.1</v>
      </c>
      <c r="S83" s="867">
        <f>(1/9)*cnst_fish!$C$7*(1/cnst_fish!$C$8)^(R83-1)</f>
        <v>1.7754076320174161</v>
      </c>
      <c r="T83" s="682">
        <f t="shared" si="15"/>
        <v>144.04115555299833</v>
      </c>
      <c r="W83" s="818"/>
      <c r="X83" s="818"/>
      <c r="Y83" s="819"/>
      <c r="Z83" s="820"/>
      <c r="AA83" s="820"/>
      <c r="AB83" s="821"/>
      <c r="AC83" s="821"/>
      <c r="AD83" s="253"/>
      <c r="AE83" s="253"/>
    </row>
    <row r="84" spans="1:31" ht="14.5">
      <c r="A84" t="s">
        <v>6744</v>
      </c>
      <c r="B84" t="s">
        <v>8537</v>
      </c>
      <c r="C84">
        <v>17120</v>
      </c>
      <c r="D84" s="836"/>
      <c r="E84" s="836"/>
      <c r="F84" s="867">
        <f>(1/S84)*cnst_fish!$C$6</f>
        <v>2.6859062362848798</v>
      </c>
      <c r="G84" s="867">
        <f t="shared" si="9"/>
        <v>1</v>
      </c>
      <c r="H84" s="867">
        <f t="shared" si="9"/>
        <v>0.36449057933102513</v>
      </c>
      <c r="I84" s="867">
        <f t="shared" si="10"/>
        <v>0</v>
      </c>
      <c r="J84" s="389">
        <f t="shared" si="11"/>
        <v>0</v>
      </c>
      <c r="L84" s="870">
        <v>14</v>
      </c>
      <c r="M84" s="836"/>
      <c r="N84" s="875" t="s">
        <v>1736</v>
      </c>
      <c r="O84" s="875" t="s">
        <v>4691</v>
      </c>
      <c r="P84" s="233">
        <f t="shared" si="12"/>
        <v>0</v>
      </c>
      <c r="Q84" s="233">
        <f t="shared" si="13"/>
        <v>14</v>
      </c>
      <c r="R84" s="867">
        <f t="shared" si="14"/>
        <v>2.0499999999999998</v>
      </c>
      <c r="S84" s="867">
        <f>(1/9)*cnst_fish!$C$7*(1/cnst_fish!$C$8)^(R84-1)</f>
        <v>1.5823337176053323</v>
      </c>
      <c r="T84" s="682">
        <f t="shared" si="15"/>
        <v>1.8998682983411181</v>
      </c>
      <c r="W84" s="818"/>
      <c r="X84" s="818"/>
      <c r="Y84" s="819"/>
      <c r="Z84" s="820"/>
      <c r="AA84" s="820"/>
      <c r="AB84" s="821"/>
      <c r="AC84" s="821"/>
      <c r="AD84" s="253"/>
      <c r="AE84" s="253"/>
    </row>
    <row r="85" spans="1:31" ht="14.5">
      <c r="A85" t="s">
        <v>1950</v>
      </c>
      <c r="B85" t="s">
        <v>1951</v>
      </c>
      <c r="C85">
        <v>3253</v>
      </c>
      <c r="D85" s="836"/>
      <c r="E85" s="836"/>
      <c r="F85" s="867">
        <f>(1/S85)*cnst_fish!$C$6</f>
        <v>5.3590874947991168E-2</v>
      </c>
      <c r="G85" s="867">
        <f t="shared" si="9"/>
        <v>1</v>
      </c>
      <c r="H85" s="867">
        <f t="shared" si="9"/>
        <v>0.36449057933102513</v>
      </c>
      <c r="I85" s="867">
        <f t="shared" si="10"/>
        <v>0</v>
      </c>
      <c r="J85" s="389">
        <f t="shared" si="11"/>
        <v>0</v>
      </c>
      <c r="L85" s="870">
        <v>14326</v>
      </c>
      <c r="M85" s="836"/>
      <c r="N85" s="875" t="s">
        <v>1738</v>
      </c>
      <c r="O85" s="875" t="s">
        <v>4681</v>
      </c>
      <c r="P85" s="233">
        <f t="shared" si="12"/>
        <v>0</v>
      </c>
      <c r="Q85" s="233">
        <f t="shared" si="13"/>
        <v>14326</v>
      </c>
      <c r="R85" s="867">
        <f t="shared" si="14"/>
        <v>3.75</v>
      </c>
      <c r="S85" s="867">
        <f>(1/9)*cnst_fish!$C$7*(1/cnst_fish!$C$8)^(R85-1)</f>
        <v>79.304545860177441</v>
      </c>
      <c r="T85" s="682">
        <f t="shared" si="15"/>
        <v>97436.215485636494</v>
      </c>
      <c r="W85" s="818"/>
      <c r="X85" s="818"/>
      <c r="Y85" s="819"/>
      <c r="Z85" s="820"/>
      <c r="AA85" s="820"/>
      <c r="AB85" s="821"/>
      <c r="AC85" s="821"/>
      <c r="AD85" s="253"/>
      <c r="AE85" s="253"/>
    </row>
    <row r="86" spans="1:31" ht="14.5">
      <c r="A86" t="s">
        <v>1485</v>
      </c>
      <c r="B86" t="s">
        <v>2187</v>
      </c>
      <c r="C86">
        <v>2456</v>
      </c>
      <c r="D86" s="836"/>
      <c r="E86" s="836"/>
      <c r="F86" s="867">
        <f>(1/S86)*cnst_fish!$C$6</f>
        <v>0.17341667202478855</v>
      </c>
      <c r="G86" s="867">
        <f t="shared" si="9"/>
        <v>1</v>
      </c>
      <c r="H86" s="867">
        <f t="shared" si="9"/>
        <v>0.36449057933102513</v>
      </c>
      <c r="I86" s="867">
        <f t="shared" si="10"/>
        <v>0</v>
      </c>
      <c r="J86" s="389">
        <f t="shared" si="11"/>
        <v>0</v>
      </c>
      <c r="L86" s="870">
        <v>14404</v>
      </c>
      <c r="M86" s="836"/>
      <c r="N86" s="875" t="s">
        <v>1738</v>
      </c>
      <c r="O86" s="875" t="s">
        <v>4681</v>
      </c>
      <c r="P86" s="233">
        <f t="shared" si="12"/>
        <v>0</v>
      </c>
      <c r="Q86" s="233">
        <f t="shared" si="13"/>
        <v>14404</v>
      </c>
      <c r="R86" s="867">
        <f t="shared" si="14"/>
        <v>3.24</v>
      </c>
      <c r="S86" s="867">
        <f>(1/9)*cnst_fish!$C$7*(1/cnst_fish!$C$8)^(R86-1)</f>
        <v>24.507447584927103</v>
      </c>
      <c r="T86" s="682">
        <f t="shared" si="15"/>
        <v>30274.611105059277</v>
      </c>
      <c r="W86" s="818"/>
      <c r="X86" s="818"/>
      <c r="Y86" s="819"/>
      <c r="Z86" s="820"/>
      <c r="AA86" s="820"/>
      <c r="AB86" s="821"/>
      <c r="AC86" s="821"/>
      <c r="AD86" s="253"/>
      <c r="AE86" s="253"/>
    </row>
    <row r="87" spans="1:31" ht="14.5">
      <c r="A87" t="s">
        <v>1487</v>
      </c>
      <c r="B87" t="s">
        <v>2188</v>
      </c>
      <c r="C87">
        <v>2457</v>
      </c>
      <c r="D87" s="836"/>
      <c r="E87" s="836"/>
      <c r="F87" s="867">
        <f>(1/S87)*cnst_fish!$C$6</f>
        <v>0.10692785320993656</v>
      </c>
      <c r="G87" s="867">
        <f t="shared" si="9"/>
        <v>1</v>
      </c>
      <c r="H87" s="867">
        <f t="shared" si="9"/>
        <v>0.36449057933102513</v>
      </c>
      <c r="I87" s="867">
        <f t="shared" si="10"/>
        <v>0</v>
      </c>
      <c r="J87" s="389">
        <f t="shared" si="11"/>
        <v>0</v>
      </c>
      <c r="L87" s="870">
        <v>10657</v>
      </c>
      <c r="M87" s="836"/>
      <c r="N87" s="875" t="s">
        <v>1738</v>
      </c>
      <c r="O87" s="875" t="s">
        <v>4681</v>
      </c>
      <c r="P87" s="233">
        <f t="shared" si="12"/>
        <v>0</v>
      </c>
      <c r="Q87" s="233">
        <f t="shared" si="13"/>
        <v>10657</v>
      </c>
      <c r="R87" s="867">
        <f t="shared" si="14"/>
        <v>3.45</v>
      </c>
      <c r="S87" s="867">
        <f>(1/9)*cnst_fish!$C$7*(1/cnst_fish!$C$8)^(R87-1)</f>
        <v>39.746425953729492</v>
      </c>
      <c r="T87" s="682">
        <f t="shared" si="15"/>
        <v>36327.074633251577</v>
      </c>
      <c r="W87" s="818"/>
      <c r="X87" s="818"/>
      <c r="Y87" s="819"/>
      <c r="Z87" s="820"/>
      <c r="AA87" s="820"/>
      <c r="AB87" s="821"/>
      <c r="AC87" s="821"/>
      <c r="AD87" s="253"/>
      <c r="AE87" s="253"/>
    </row>
    <row r="88" spans="1:31" ht="14.5">
      <c r="A88" t="s">
        <v>2627</v>
      </c>
      <c r="B88" t="s">
        <v>2189</v>
      </c>
      <c r="C88">
        <v>3252</v>
      </c>
      <c r="D88" s="836"/>
      <c r="E88" s="836"/>
      <c r="F88" s="867">
        <f>(1/S88)*cnst_fish!$C$6</f>
        <v>9.9790878883162681E-2</v>
      </c>
      <c r="G88" s="867">
        <f t="shared" ref="G88:H107" si="16">G$7</f>
        <v>1</v>
      </c>
      <c r="H88" s="867">
        <f t="shared" si="16"/>
        <v>0.36449057933102513</v>
      </c>
      <c r="I88" s="867">
        <f t="shared" si="10"/>
        <v>0</v>
      </c>
      <c r="J88" s="389">
        <f t="shared" si="11"/>
        <v>0</v>
      </c>
      <c r="L88" s="870">
        <v>1100</v>
      </c>
      <c r="M88" s="836"/>
      <c r="N88" s="875" t="s">
        <v>1738</v>
      </c>
      <c r="O88" s="875" t="s">
        <v>4681</v>
      </c>
      <c r="P88" s="233">
        <f t="shared" si="12"/>
        <v>0</v>
      </c>
      <c r="Q88" s="233">
        <f t="shared" si="13"/>
        <v>1100</v>
      </c>
      <c r="R88" s="867">
        <f t="shared" si="14"/>
        <v>3.48</v>
      </c>
      <c r="S88" s="867">
        <f>(1/9)*cnst_fish!$C$7*(1/cnst_fish!$C$8)^(R88-1)</f>
        <v>42.589062723618177</v>
      </c>
      <c r="T88" s="682">
        <f t="shared" si="15"/>
        <v>4017.7984376062714</v>
      </c>
      <c r="W88" s="818"/>
      <c r="X88" s="818"/>
      <c r="Y88" s="819"/>
      <c r="Z88" s="820"/>
      <c r="AA88" s="820"/>
      <c r="AB88" s="821"/>
      <c r="AC88" s="821"/>
      <c r="AD88" s="253"/>
      <c r="AE88" s="253"/>
    </row>
    <row r="89" spans="1:31" ht="14.5">
      <c r="A89" t="s">
        <v>5262</v>
      </c>
      <c r="B89" t="s">
        <v>3782</v>
      </c>
      <c r="C89">
        <v>2918</v>
      </c>
      <c r="D89" s="836"/>
      <c r="E89" s="836"/>
      <c r="F89" s="867">
        <f>(1/S89)*cnst_fish!$C$6</f>
        <v>0.1409583630333692</v>
      </c>
      <c r="G89" s="867">
        <f t="shared" si="16"/>
        <v>1</v>
      </c>
      <c r="H89" s="867">
        <f t="shared" si="16"/>
        <v>0.36449057933102513</v>
      </c>
      <c r="I89" s="867">
        <f t="shared" si="10"/>
        <v>0</v>
      </c>
      <c r="J89" s="389">
        <f t="shared" si="11"/>
        <v>0</v>
      </c>
      <c r="L89" s="870">
        <v>0</v>
      </c>
      <c r="M89" s="836"/>
      <c r="N89" s="875" t="s">
        <v>103</v>
      </c>
      <c r="O89" s="875" t="s">
        <v>4699</v>
      </c>
      <c r="P89" s="233">
        <f t="shared" si="12"/>
        <v>0</v>
      </c>
      <c r="Q89" s="233">
        <f t="shared" si="13"/>
        <v>0</v>
      </c>
      <c r="R89" s="867">
        <f t="shared" si="14"/>
        <v>3.33</v>
      </c>
      <c r="S89" s="867">
        <f>(1/9)*cnst_fish!$C$7*(1/cnst_fish!$C$8)^(R89-1)</f>
        <v>30.15074741605714</v>
      </c>
      <c r="T89" s="682">
        <f t="shared" si="15"/>
        <v>0</v>
      </c>
      <c r="W89" s="818"/>
      <c r="X89" s="818"/>
      <c r="Y89" s="819"/>
      <c r="Z89" s="820"/>
      <c r="AA89" s="820"/>
      <c r="AB89" s="821"/>
      <c r="AC89" s="821"/>
      <c r="AD89" s="253"/>
      <c r="AE89" s="253"/>
    </row>
    <row r="90" spans="1:31" ht="14.5">
      <c r="A90" t="s">
        <v>6493</v>
      </c>
      <c r="B90" t="s">
        <v>6492</v>
      </c>
      <c r="C90">
        <v>10382</v>
      </c>
      <c r="D90" s="836"/>
      <c r="E90" s="836"/>
      <c r="F90" s="867">
        <f>(1/S90)*cnst_fish!$C$6</f>
        <v>3.0136363636363641</v>
      </c>
      <c r="G90" s="867">
        <f t="shared" si="16"/>
        <v>1</v>
      </c>
      <c r="H90" s="867">
        <f t="shared" si="16"/>
        <v>0.36449057933102513</v>
      </c>
      <c r="I90" s="867">
        <f t="shared" si="10"/>
        <v>0</v>
      </c>
      <c r="J90" s="389">
        <f t="shared" si="11"/>
        <v>0</v>
      </c>
      <c r="L90" s="870"/>
      <c r="M90" s="836"/>
      <c r="N90" s="875" t="s">
        <v>103</v>
      </c>
      <c r="O90" s="875" t="s">
        <v>4699</v>
      </c>
      <c r="P90" s="233">
        <f t="shared" si="12"/>
        <v>0</v>
      </c>
      <c r="Q90" s="233">
        <f t="shared" si="13"/>
        <v>0</v>
      </c>
      <c r="R90" s="867">
        <f t="shared" si="14"/>
        <v>2</v>
      </c>
      <c r="S90" s="867">
        <f>(1/9)*cnst_fish!$C$7*(1/cnst_fish!$C$8)^(R90-1)</f>
        <v>1.4102564102564099</v>
      </c>
      <c r="T90" s="682">
        <f t="shared" si="15"/>
        <v>0</v>
      </c>
      <c r="W90" s="818"/>
      <c r="X90" s="818"/>
      <c r="Y90" s="819"/>
      <c r="Z90" s="820"/>
      <c r="AA90" s="820"/>
      <c r="AB90" s="821"/>
      <c r="AC90" s="821"/>
      <c r="AD90" s="253"/>
      <c r="AE90" s="253"/>
    </row>
    <row r="91" spans="1:31" ht="14.5">
      <c r="A91" t="s">
        <v>2256</v>
      </c>
      <c r="B91" t="s">
        <v>2257</v>
      </c>
      <c r="C91">
        <v>10383</v>
      </c>
      <c r="D91" s="836"/>
      <c r="E91" s="836"/>
      <c r="F91" s="867">
        <f>(1/S91)*cnst_fish!$C$6</f>
        <v>0.11997502458044032</v>
      </c>
      <c r="G91" s="867">
        <f t="shared" si="16"/>
        <v>1</v>
      </c>
      <c r="H91" s="867">
        <f t="shared" si="16"/>
        <v>0.36449057933102513</v>
      </c>
      <c r="I91" s="867">
        <f t="shared" si="10"/>
        <v>0</v>
      </c>
      <c r="J91" s="389">
        <f t="shared" si="11"/>
        <v>0</v>
      </c>
      <c r="L91" s="870">
        <v>539</v>
      </c>
      <c r="M91" s="836"/>
      <c r="N91" s="875" t="s">
        <v>103</v>
      </c>
      <c r="O91" s="875" t="s">
        <v>4699</v>
      </c>
      <c r="P91" s="233">
        <f t="shared" si="12"/>
        <v>0</v>
      </c>
      <c r="Q91" s="233">
        <f t="shared" si="13"/>
        <v>539</v>
      </c>
      <c r="R91" s="867">
        <f t="shared" si="14"/>
        <v>3.4</v>
      </c>
      <c r="S91" s="867">
        <f>(1/9)*cnst_fish!$C$7*(1/cnst_fish!$C$8)^(R91-1)</f>
        <v>35.424039418724846</v>
      </c>
      <c r="T91" s="682">
        <f t="shared" si="15"/>
        <v>1637.5109981969676</v>
      </c>
      <c r="W91" s="818"/>
      <c r="X91" s="818"/>
      <c r="Y91" s="819"/>
      <c r="Z91" s="820"/>
      <c r="AA91" s="820"/>
      <c r="AB91" s="821"/>
      <c r="AC91" s="821"/>
      <c r="AD91" s="253"/>
      <c r="AE91" s="253"/>
    </row>
    <row r="92" spans="1:31" ht="14.5">
      <c r="A92" t="s">
        <v>2552</v>
      </c>
      <c r="B92" t="s">
        <v>1109</v>
      </c>
      <c r="C92">
        <v>2203</v>
      </c>
      <c r="D92" s="836"/>
      <c r="E92" s="836"/>
      <c r="F92" s="867">
        <f>(1/S92)*cnst_fish!$C$6</f>
        <v>8.8938714421809756E-2</v>
      </c>
      <c r="G92" s="867">
        <f t="shared" si="16"/>
        <v>1</v>
      </c>
      <c r="H92" s="867">
        <f t="shared" si="16"/>
        <v>0.36449057933102513</v>
      </c>
      <c r="I92" s="867">
        <f t="shared" si="10"/>
        <v>0</v>
      </c>
      <c r="J92" s="389">
        <f t="shared" si="11"/>
        <v>0</v>
      </c>
      <c r="L92" s="870">
        <v>1221.06</v>
      </c>
      <c r="M92" s="836">
        <v>2949.5</v>
      </c>
      <c r="N92" s="875" t="s">
        <v>3786</v>
      </c>
      <c r="O92" s="875" t="s">
        <v>4685</v>
      </c>
      <c r="P92" s="233">
        <f t="shared" si="12"/>
        <v>0</v>
      </c>
      <c r="Q92" s="233">
        <f t="shared" si="13"/>
        <v>4170.5599999999995</v>
      </c>
      <c r="R92" s="867">
        <f t="shared" si="14"/>
        <v>3.53</v>
      </c>
      <c r="S92" s="867">
        <f>(1/9)*cnst_fish!$C$7*(1/cnst_fish!$C$8)^(R92-1)</f>
        <v>47.785714327323419</v>
      </c>
      <c r="T92" s="682">
        <f t="shared" si="15"/>
        <v>17091.879958206708</v>
      </c>
      <c r="W92" s="818"/>
      <c r="X92" s="818"/>
      <c r="Y92" s="819"/>
      <c r="Z92" s="820"/>
      <c r="AA92" s="820"/>
      <c r="AB92" s="821"/>
      <c r="AC92" s="821"/>
      <c r="AD92" s="253"/>
      <c r="AE92" s="253"/>
    </row>
    <row r="93" spans="1:31" ht="14.5">
      <c r="A93" t="s">
        <v>712</v>
      </c>
      <c r="B93" t="s">
        <v>4395</v>
      </c>
      <c r="C93">
        <v>2204</v>
      </c>
      <c r="D93" s="836"/>
      <c r="E93" s="836"/>
      <c r="F93" s="867">
        <f>(1/S93)*cnst_fish!$C$6</f>
        <v>2.5650205424007942E-2</v>
      </c>
      <c r="G93" s="867">
        <f t="shared" si="16"/>
        <v>1</v>
      </c>
      <c r="H93" s="867">
        <f t="shared" si="16"/>
        <v>0.36449057933102513</v>
      </c>
      <c r="I93" s="867">
        <f t="shared" si="10"/>
        <v>0</v>
      </c>
      <c r="J93" s="389">
        <f t="shared" si="11"/>
        <v>0</v>
      </c>
      <c r="L93" s="870">
        <v>0</v>
      </c>
      <c r="M93" s="836"/>
      <c r="N93" s="875" t="s">
        <v>3786</v>
      </c>
      <c r="O93" s="875" t="s">
        <v>4685</v>
      </c>
      <c r="P93" s="233">
        <f t="shared" si="12"/>
        <v>0</v>
      </c>
      <c r="Q93" s="233">
        <f t="shared" si="13"/>
        <v>0</v>
      </c>
      <c r="R93" s="867">
        <f t="shared" si="14"/>
        <v>4.07</v>
      </c>
      <c r="S93" s="867">
        <f>(1/9)*cnst_fish!$C$7*(1/cnst_fish!$C$8)^(R93-1)</f>
        <v>165.6906808248057</v>
      </c>
      <c r="T93" s="682">
        <f t="shared" si="15"/>
        <v>0</v>
      </c>
      <c r="W93" s="818"/>
      <c r="X93" s="818"/>
      <c r="Y93" s="819"/>
      <c r="Z93" s="820"/>
      <c r="AA93" s="820"/>
      <c r="AB93" s="821"/>
      <c r="AC93" s="821"/>
      <c r="AD93" s="253"/>
      <c r="AE93" s="253"/>
    </row>
    <row r="94" spans="1:31" ht="14.5">
      <c r="A94" t="s">
        <v>899</v>
      </c>
      <c r="B94" t="s">
        <v>4396</v>
      </c>
      <c r="C94">
        <v>2988</v>
      </c>
      <c r="D94" s="836"/>
      <c r="E94" s="836"/>
      <c r="F94" s="867">
        <f>(1/S94)*cnst_fish!$C$6</f>
        <v>8.4935812883106004E-2</v>
      </c>
      <c r="G94" s="867">
        <f t="shared" si="16"/>
        <v>1</v>
      </c>
      <c r="H94" s="867">
        <f t="shared" si="16"/>
        <v>0.36449057933102513</v>
      </c>
      <c r="I94" s="867">
        <f t="shared" si="10"/>
        <v>0</v>
      </c>
      <c r="J94" s="389">
        <f t="shared" si="11"/>
        <v>0</v>
      </c>
      <c r="L94" s="870"/>
      <c r="M94" s="836">
        <v>119</v>
      </c>
      <c r="N94" s="875" t="s">
        <v>3786</v>
      </c>
      <c r="O94" s="875" t="s">
        <v>4685</v>
      </c>
      <c r="P94" s="233">
        <f t="shared" si="12"/>
        <v>0</v>
      </c>
      <c r="Q94" s="233">
        <f t="shared" si="13"/>
        <v>119</v>
      </c>
      <c r="R94" s="867">
        <f t="shared" si="14"/>
        <v>3.55</v>
      </c>
      <c r="S94" s="867">
        <f>(1/9)*cnst_fish!$C$7*(1/cnst_fish!$C$8)^(R94-1)</f>
        <v>50.037785661145278</v>
      </c>
      <c r="T94" s="682">
        <f t="shared" si="15"/>
        <v>510.67244155403012</v>
      </c>
      <c r="W94" s="818"/>
      <c r="X94" s="818"/>
      <c r="Y94" s="819"/>
      <c r="Z94" s="820"/>
      <c r="AA94" s="820"/>
      <c r="AB94" s="821"/>
      <c r="AC94" s="821"/>
      <c r="AD94" s="253"/>
      <c r="AE94" s="253"/>
    </row>
    <row r="95" spans="1:31" ht="14.5">
      <c r="A95" t="s">
        <v>3699</v>
      </c>
      <c r="B95" t="s">
        <v>4397</v>
      </c>
      <c r="C95">
        <v>2989</v>
      </c>
      <c r="D95" s="836">
        <v>226</v>
      </c>
      <c r="E95" s="836">
        <v>50</v>
      </c>
      <c r="F95" s="867">
        <f>(1/S95)*cnst_fish!$C$6</f>
        <v>6.4430402969999093E-2</v>
      </c>
      <c r="G95" s="867">
        <f t="shared" si="16"/>
        <v>1</v>
      </c>
      <c r="H95" s="867">
        <f t="shared" si="16"/>
        <v>0.36449057933102513</v>
      </c>
      <c r="I95" s="867">
        <f t="shared" si="10"/>
        <v>1278.5093237297945</v>
      </c>
      <c r="J95" s="389">
        <f t="shared" si="11"/>
        <v>282.85604507296335</v>
      </c>
      <c r="L95" s="870">
        <v>572</v>
      </c>
      <c r="M95" s="836">
        <v>50</v>
      </c>
      <c r="N95" s="875" t="s">
        <v>3786</v>
      </c>
      <c r="O95" s="875" t="s">
        <v>4685</v>
      </c>
      <c r="P95" s="233">
        <f t="shared" si="12"/>
        <v>276</v>
      </c>
      <c r="Q95" s="233">
        <f t="shared" si="13"/>
        <v>622</v>
      </c>
      <c r="R95" s="867">
        <f t="shared" si="14"/>
        <v>3.67</v>
      </c>
      <c r="S95" s="867">
        <f>(1/9)*cnst_fish!$C$7*(1/cnst_fish!$C$8)^(R95-1)</f>
        <v>65.962648130245896</v>
      </c>
      <c r="T95" s="682">
        <f t="shared" si="15"/>
        <v>3518.7292007076644</v>
      </c>
      <c r="W95" s="818"/>
      <c r="X95" s="818"/>
      <c r="Y95" s="819"/>
      <c r="Z95" s="820"/>
      <c r="AA95" s="820"/>
      <c r="AB95" s="821"/>
      <c r="AC95" s="821"/>
      <c r="AD95" s="253"/>
      <c r="AE95" s="253"/>
    </row>
    <row r="96" spans="1:31" ht="14.5">
      <c r="A96" t="s">
        <v>4159</v>
      </c>
      <c r="B96" t="s">
        <v>3824</v>
      </c>
      <c r="C96">
        <v>2987</v>
      </c>
      <c r="D96" s="836"/>
      <c r="E96" s="836"/>
      <c r="F96" s="867">
        <f>(1/S96)*cnst_fish!$C$6</f>
        <v>5.7423657091346926E-2</v>
      </c>
      <c r="G96" s="867">
        <f t="shared" si="16"/>
        <v>1</v>
      </c>
      <c r="H96" s="867">
        <f t="shared" si="16"/>
        <v>0.36449057933102513</v>
      </c>
      <c r="I96" s="867">
        <f t="shared" si="10"/>
        <v>0</v>
      </c>
      <c r="J96" s="389">
        <f t="shared" si="11"/>
        <v>0</v>
      </c>
      <c r="L96" s="870">
        <v>0</v>
      </c>
      <c r="M96" s="836">
        <v>3178</v>
      </c>
      <c r="N96" s="875" t="s">
        <v>3786</v>
      </c>
      <c r="O96" s="875" t="s">
        <v>4685</v>
      </c>
      <c r="P96" s="233">
        <f t="shared" si="12"/>
        <v>0</v>
      </c>
      <c r="Q96" s="233">
        <f t="shared" si="13"/>
        <v>3178</v>
      </c>
      <c r="R96" s="867">
        <f t="shared" si="14"/>
        <v>3.72</v>
      </c>
      <c r="S96" s="867">
        <f>(1/9)*cnst_fish!$C$7*(1/cnst_fish!$C$8)^(R96-1)</f>
        <v>74.011308496762837</v>
      </c>
      <c r="T96" s="682">
        <f t="shared" si="15"/>
        <v>20172.018289802512</v>
      </c>
      <c r="W96" s="818"/>
      <c r="X96" s="818"/>
      <c r="Y96" s="819"/>
      <c r="Z96" s="820"/>
      <c r="AA96" s="820"/>
      <c r="AB96" s="821"/>
      <c r="AC96" s="821"/>
      <c r="AD96" s="253"/>
      <c r="AE96" s="253"/>
    </row>
    <row r="97" spans="1:31" ht="14.5">
      <c r="A97" t="s">
        <v>8842</v>
      </c>
      <c r="B97" t="s">
        <v>8843</v>
      </c>
      <c r="C97">
        <v>10411</v>
      </c>
      <c r="D97" s="836"/>
      <c r="E97" s="836"/>
      <c r="F97" s="867">
        <f>(1/S97)*cnst_fish!$C$6</f>
        <v>7.5699122913220479E-2</v>
      </c>
      <c r="G97" s="867">
        <f t="shared" si="16"/>
        <v>1</v>
      </c>
      <c r="H97" s="867">
        <f t="shared" si="16"/>
        <v>0.36449057933102513</v>
      </c>
      <c r="I97" s="867">
        <f t="shared" si="10"/>
        <v>0</v>
      </c>
      <c r="J97" s="389">
        <f t="shared" si="11"/>
        <v>0</v>
      </c>
      <c r="L97" s="870"/>
      <c r="M97" s="836"/>
      <c r="N97" s="875" t="s">
        <v>3786</v>
      </c>
      <c r="O97" s="875"/>
      <c r="P97" s="233">
        <f t="shared" si="12"/>
        <v>0</v>
      </c>
      <c r="Q97" s="233">
        <f t="shared" si="13"/>
        <v>0</v>
      </c>
      <c r="R97" s="867">
        <f t="shared" si="14"/>
        <v>3.6</v>
      </c>
      <c r="S97" s="867">
        <f>(1/9)*cnst_fish!$C$7*(1/cnst_fish!$C$8)^(R97-1)</f>
        <v>56.143318924211187</v>
      </c>
      <c r="T97" s="682">
        <f t="shared" si="15"/>
        <v>0</v>
      </c>
      <c r="W97" s="818"/>
      <c r="X97" s="818"/>
      <c r="Y97" s="819"/>
      <c r="Z97" s="820"/>
      <c r="AA97" s="820"/>
      <c r="AB97" s="821"/>
      <c r="AC97" s="821"/>
      <c r="AD97" s="253"/>
      <c r="AE97" s="253"/>
    </row>
    <row r="98" spans="1:31" ht="14.5">
      <c r="A98" s="771" t="s">
        <v>8929</v>
      </c>
      <c r="B98" s="403" t="s">
        <v>8930</v>
      </c>
      <c r="C98" s="403">
        <v>10417</v>
      </c>
      <c r="D98" s="836"/>
      <c r="E98" s="836"/>
      <c r="F98" s="869">
        <f>(1/S98)*cnst_fish!$C$6</f>
        <v>6.0129950673834844E-2</v>
      </c>
      <c r="G98" s="869">
        <f t="shared" si="16"/>
        <v>1</v>
      </c>
      <c r="H98" s="869">
        <f t="shared" si="16"/>
        <v>0.36449057933102513</v>
      </c>
      <c r="I98" s="869">
        <f t="shared" si="10"/>
        <v>0</v>
      </c>
      <c r="J98" s="389">
        <f t="shared" si="11"/>
        <v>0</v>
      </c>
      <c r="L98" s="870">
        <v>250</v>
      </c>
      <c r="M98" s="836"/>
      <c r="N98" s="873" t="s">
        <v>1738</v>
      </c>
      <c r="O98" s="873" t="s">
        <v>4681</v>
      </c>
      <c r="P98" s="871">
        <f t="shared" si="12"/>
        <v>0</v>
      </c>
      <c r="Q98" s="871">
        <f t="shared" si="13"/>
        <v>250</v>
      </c>
      <c r="R98" s="869">
        <f t="shared" si="14"/>
        <v>3.7</v>
      </c>
      <c r="S98" s="869">
        <f>(1/9)*cnst_fish!$C$7*(1/cnst_fish!$C$8)^(R98-1)</f>
        <v>70.680250896153822</v>
      </c>
      <c r="T98" s="682">
        <f t="shared" si="15"/>
        <v>1515.4285644941947</v>
      </c>
      <c r="W98" s="818"/>
      <c r="X98" s="818"/>
      <c r="Y98" s="819"/>
      <c r="Z98" s="820"/>
      <c r="AA98" s="820"/>
      <c r="AB98" s="821"/>
      <c r="AC98" s="821"/>
      <c r="AD98" s="253"/>
      <c r="AE98" s="253"/>
    </row>
    <row r="99" spans="1:31" ht="14.5">
      <c r="A99" t="s">
        <v>4271</v>
      </c>
      <c r="B99" t="s">
        <v>8538</v>
      </c>
      <c r="C99">
        <v>18994</v>
      </c>
      <c r="D99" s="836"/>
      <c r="E99" s="836"/>
      <c r="F99" s="867">
        <f>(1/S99)*cnst_fish!$C$6</f>
        <v>2.3938164528281742</v>
      </c>
      <c r="G99" s="867">
        <f t="shared" si="16"/>
        <v>1</v>
      </c>
      <c r="H99" s="867">
        <f t="shared" si="16"/>
        <v>0.36449057933102513</v>
      </c>
      <c r="I99" s="867">
        <f t="shared" si="10"/>
        <v>0</v>
      </c>
      <c r="J99" s="389">
        <f t="shared" si="11"/>
        <v>0</v>
      </c>
      <c r="L99" s="870"/>
      <c r="M99" s="836"/>
      <c r="N99" s="875" t="s">
        <v>2314</v>
      </c>
      <c r="O99" s="875" t="s">
        <v>4691</v>
      </c>
      <c r="P99" s="233">
        <f t="shared" si="12"/>
        <v>0</v>
      </c>
      <c r="Q99" s="233">
        <f t="shared" si="13"/>
        <v>0</v>
      </c>
      <c r="R99" s="867">
        <f t="shared" si="14"/>
        <v>2.1</v>
      </c>
      <c r="S99" s="867">
        <f>(1/9)*cnst_fish!$C$7*(1/cnst_fish!$C$8)^(R99-1)</f>
        <v>1.7754076320174161</v>
      </c>
      <c r="T99" s="682">
        <f t="shared" si="15"/>
        <v>0</v>
      </c>
      <c r="W99" s="818"/>
      <c r="X99" s="818"/>
      <c r="Y99" s="819"/>
      <c r="Z99" s="820"/>
      <c r="AA99" s="820"/>
      <c r="AB99" s="821"/>
      <c r="AC99" s="821"/>
      <c r="AD99" s="253"/>
      <c r="AE99" s="253"/>
    </row>
    <row r="100" spans="1:31" ht="14.5">
      <c r="A100" t="s">
        <v>4954</v>
      </c>
      <c r="B100" t="s">
        <v>5206</v>
      </c>
      <c r="C100">
        <v>2897</v>
      </c>
      <c r="D100" s="836"/>
      <c r="E100" s="836"/>
      <c r="F100" s="867">
        <f>(1/S100)*cnst_fish!$C$6</f>
        <v>0.43560298545661363</v>
      </c>
      <c r="G100" s="867">
        <f t="shared" si="16"/>
        <v>1</v>
      </c>
      <c r="H100" s="867">
        <f t="shared" si="16"/>
        <v>0.36449057933102513</v>
      </c>
      <c r="I100" s="867">
        <f t="shared" si="10"/>
        <v>0</v>
      </c>
      <c r="J100" s="389">
        <f t="shared" si="11"/>
        <v>0</v>
      </c>
      <c r="L100" s="870">
        <v>27773</v>
      </c>
      <c r="M100" s="836"/>
      <c r="N100" s="875" t="s">
        <v>1738</v>
      </c>
      <c r="O100" s="875" t="s">
        <v>4685</v>
      </c>
      <c r="P100" s="233">
        <f t="shared" si="12"/>
        <v>0</v>
      </c>
      <c r="Q100" s="233">
        <f t="shared" si="13"/>
        <v>27773</v>
      </c>
      <c r="R100" s="867">
        <f t="shared" si="14"/>
        <v>2.84</v>
      </c>
      <c r="S100" s="867">
        <f>(1/9)*cnst_fish!$C$7*(1/cnst_fish!$C$8)^(R100-1)</f>
        <v>9.7565906155234625</v>
      </c>
      <c r="T100" s="682">
        <f t="shared" si="15"/>
        <v>23239.043803038439</v>
      </c>
      <c r="W100" s="818"/>
      <c r="X100" s="818"/>
      <c r="Y100" s="819"/>
      <c r="Z100" s="820"/>
      <c r="AA100" s="820"/>
      <c r="AB100" s="821"/>
      <c r="AC100" s="821"/>
      <c r="AD100" s="253"/>
      <c r="AE100" s="253"/>
    </row>
    <row r="101" spans="1:31" ht="14.5">
      <c r="A101" t="s">
        <v>484</v>
      </c>
      <c r="B101" t="s">
        <v>2190</v>
      </c>
      <c r="C101">
        <v>3341</v>
      </c>
      <c r="D101" s="836"/>
      <c r="E101" s="836"/>
      <c r="F101" s="867">
        <f>(1/S101)*cnst_fish!$C$6</f>
        <v>4.4574948243432784E-2</v>
      </c>
      <c r="G101" s="867">
        <f t="shared" si="16"/>
        <v>1</v>
      </c>
      <c r="H101" s="867">
        <f t="shared" si="16"/>
        <v>0.36449057933102513</v>
      </c>
      <c r="I101" s="867">
        <f t="shared" si="10"/>
        <v>0</v>
      </c>
      <c r="J101" s="389">
        <f t="shared" si="11"/>
        <v>0</v>
      </c>
      <c r="L101" s="870">
        <v>17676</v>
      </c>
      <c r="M101" s="836"/>
      <c r="N101" s="875" t="s">
        <v>1738</v>
      </c>
      <c r="O101" s="875" t="s">
        <v>4681</v>
      </c>
      <c r="P101" s="233">
        <f t="shared" si="12"/>
        <v>0</v>
      </c>
      <c r="Q101" s="233">
        <f t="shared" si="13"/>
        <v>17676</v>
      </c>
      <c r="R101" s="867">
        <f t="shared" si="14"/>
        <v>3.83</v>
      </c>
      <c r="S101" s="867">
        <f>(1/9)*cnst_fish!$C$7*(1/cnst_fish!$C$8)^(R101-1)</f>
        <v>95.345034991176945</v>
      </c>
      <c r="T101" s="682">
        <f t="shared" si="15"/>
        <v>144537.13877737158</v>
      </c>
      <c r="W101" s="818"/>
      <c r="X101" s="818"/>
      <c r="Y101" s="819"/>
      <c r="Z101" s="820"/>
      <c r="AA101" s="820"/>
      <c r="AB101" s="821"/>
      <c r="AC101" s="821"/>
      <c r="AD101" s="253"/>
      <c r="AE101" s="253"/>
    </row>
    <row r="102" spans="1:31" ht="14.5">
      <c r="A102" t="s">
        <v>6740</v>
      </c>
      <c r="B102" t="s">
        <v>8539</v>
      </c>
      <c r="C102">
        <v>10428</v>
      </c>
      <c r="D102" s="836"/>
      <c r="E102" s="836"/>
      <c r="F102" s="867">
        <f>(1/S102)*cnst_fish!$C$6</f>
        <v>1.9014759972289452</v>
      </c>
      <c r="G102" s="867">
        <f t="shared" si="16"/>
        <v>1</v>
      </c>
      <c r="H102" s="867">
        <f t="shared" si="16"/>
        <v>0.36449057933102513</v>
      </c>
      <c r="I102" s="867">
        <f t="shared" si="10"/>
        <v>0</v>
      </c>
      <c r="J102" s="389">
        <f t="shared" si="11"/>
        <v>0</v>
      </c>
      <c r="L102" s="870"/>
      <c r="M102" s="836"/>
      <c r="N102" s="875" t="s">
        <v>1738</v>
      </c>
      <c r="O102" s="875" t="s">
        <v>4685</v>
      </c>
      <c r="P102" s="233">
        <f t="shared" si="12"/>
        <v>0</v>
      </c>
      <c r="Q102" s="233">
        <f t="shared" si="13"/>
        <v>0</v>
      </c>
      <c r="R102" s="867">
        <f t="shared" si="14"/>
        <v>2.2000000000000002</v>
      </c>
      <c r="S102" s="867">
        <f>(1/9)*cnst_fish!$C$7*(1/cnst_fish!$C$8)^(R102-1)</f>
        <v>2.2351057842400328</v>
      </c>
      <c r="T102" s="682">
        <f t="shared" si="15"/>
        <v>0</v>
      </c>
      <c r="W102" s="818"/>
      <c r="X102" s="818"/>
      <c r="Y102" s="819"/>
      <c r="Z102" s="820"/>
      <c r="AA102" s="820"/>
      <c r="AB102" s="821"/>
      <c r="AC102" s="821"/>
      <c r="AD102" s="253"/>
      <c r="AE102" s="253"/>
    </row>
    <row r="103" spans="1:31" ht="14.5">
      <c r="A103" t="s">
        <v>1838</v>
      </c>
      <c r="B103" t="s">
        <v>4978</v>
      </c>
      <c r="C103">
        <v>2216</v>
      </c>
      <c r="D103" s="836"/>
      <c r="E103" s="836"/>
      <c r="F103" s="867">
        <f>(1/S103)*cnst_fish!$C$6</f>
        <v>7.9266712664847111E-2</v>
      </c>
      <c r="G103" s="867">
        <f t="shared" si="16"/>
        <v>1</v>
      </c>
      <c r="H103" s="867">
        <f t="shared" si="16"/>
        <v>0.36449057933102513</v>
      </c>
      <c r="I103" s="867">
        <f t="shared" si="10"/>
        <v>0</v>
      </c>
      <c r="J103" s="389">
        <f t="shared" si="11"/>
        <v>0</v>
      </c>
      <c r="L103" s="870">
        <v>239.85999999999996</v>
      </c>
      <c r="M103" s="836"/>
      <c r="N103" s="875" t="s">
        <v>1738</v>
      </c>
      <c r="O103" s="875" t="s">
        <v>4681</v>
      </c>
      <c r="P103" s="233">
        <f t="shared" si="12"/>
        <v>0</v>
      </c>
      <c r="Q103" s="233">
        <f t="shared" si="13"/>
        <v>239.85999999999996</v>
      </c>
      <c r="R103" s="867">
        <f t="shared" si="14"/>
        <v>3.58</v>
      </c>
      <c r="S103" s="867">
        <f>(1/9)*cnst_fish!$C$7*(1/cnst_fish!$C$8)^(R103-1)</f>
        <v>53.616453327258682</v>
      </c>
      <c r="T103" s="682">
        <f t="shared" si="15"/>
        <v>1102.9435612902782</v>
      </c>
      <c r="W103" s="818"/>
      <c r="X103" s="818"/>
      <c r="Y103" s="819"/>
      <c r="Z103" s="820"/>
      <c r="AA103" s="820"/>
      <c r="AB103" s="821"/>
      <c r="AC103" s="821"/>
      <c r="AD103" s="253"/>
      <c r="AE103" s="253"/>
    </row>
    <row r="104" spans="1:31" ht="14.5">
      <c r="A104" t="s">
        <v>6258</v>
      </c>
      <c r="B104" t="s">
        <v>6257</v>
      </c>
      <c r="C104">
        <v>18772</v>
      </c>
      <c r="D104" s="836"/>
      <c r="E104" s="836"/>
      <c r="F104" s="867">
        <f>(1/S104)*cnst_fish!$C$6</f>
        <v>3.0136363636363641</v>
      </c>
      <c r="G104" s="867">
        <f t="shared" si="16"/>
        <v>1</v>
      </c>
      <c r="H104" s="867">
        <f t="shared" si="16"/>
        <v>0.36449057933102513</v>
      </c>
      <c r="I104" s="867">
        <f t="shared" si="10"/>
        <v>0</v>
      </c>
      <c r="J104" s="389">
        <f t="shared" si="11"/>
        <v>0</v>
      </c>
      <c r="L104" s="870">
        <v>0</v>
      </c>
      <c r="M104" s="836"/>
      <c r="N104" s="875" t="s">
        <v>5196</v>
      </c>
      <c r="O104" s="875"/>
      <c r="P104" s="233">
        <f t="shared" si="12"/>
        <v>0</v>
      </c>
      <c r="Q104" s="233">
        <f t="shared" si="13"/>
        <v>0</v>
      </c>
      <c r="R104" s="867">
        <f t="shared" si="14"/>
        <v>2</v>
      </c>
      <c r="S104" s="867">
        <f>(1/9)*cnst_fish!$C$7*(1/cnst_fish!$C$8)^(R104-1)</f>
        <v>1.4102564102564099</v>
      </c>
      <c r="T104" s="682">
        <f t="shared" si="15"/>
        <v>0</v>
      </c>
      <c r="W104" s="818"/>
      <c r="X104" s="818"/>
      <c r="Y104" s="819"/>
      <c r="Z104" s="820"/>
      <c r="AA104" s="820"/>
      <c r="AB104" s="821"/>
      <c r="AC104" s="821"/>
      <c r="AD104" s="253"/>
      <c r="AE104" s="253"/>
    </row>
    <row r="105" spans="1:31" ht="14.5">
      <c r="A105" t="s">
        <v>3986</v>
      </c>
      <c r="B105" t="s">
        <v>5034</v>
      </c>
      <c r="C105">
        <v>2469</v>
      </c>
      <c r="D105" s="836"/>
      <c r="E105" s="836"/>
      <c r="F105" s="867">
        <f>(1/S105)*cnst_fish!$C$6</f>
        <v>9.979087888316248E-3</v>
      </c>
      <c r="G105" s="867">
        <f t="shared" si="16"/>
        <v>1</v>
      </c>
      <c r="H105" s="867">
        <f t="shared" si="16"/>
        <v>0.36449057933102513</v>
      </c>
      <c r="I105" s="867">
        <f t="shared" si="10"/>
        <v>0</v>
      </c>
      <c r="J105" s="389">
        <f t="shared" si="11"/>
        <v>0</v>
      </c>
      <c r="L105" s="870">
        <v>6709</v>
      </c>
      <c r="M105" s="836"/>
      <c r="N105" s="875" t="s">
        <v>1738</v>
      </c>
      <c r="O105" s="875" t="s">
        <v>4681</v>
      </c>
      <c r="P105" s="233">
        <f t="shared" si="12"/>
        <v>0</v>
      </c>
      <c r="Q105" s="233">
        <f t="shared" si="13"/>
        <v>6709</v>
      </c>
      <c r="R105" s="867">
        <f t="shared" si="14"/>
        <v>4.4800000000000004</v>
      </c>
      <c r="S105" s="867">
        <f>(1/9)*cnst_fish!$C$7*(1/cnst_fish!$C$8)^(R105-1)</f>
        <v>425.89062723618264</v>
      </c>
      <c r="T105" s="682">
        <f t="shared" si="15"/>
        <v>245049.17925364117</v>
      </c>
      <c r="W105" s="818"/>
      <c r="X105" s="818"/>
      <c r="Y105" s="819"/>
      <c r="Z105" s="820"/>
      <c r="AA105" s="820"/>
      <c r="AB105" s="821"/>
      <c r="AC105" s="821"/>
      <c r="AD105" s="253"/>
      <c r="AE105" s="253"/>
    </row>
    <row r="106" spans="1:31" ht="14.5">
      <c r="A106" t="s">
        <v>6431</v>
      </c>
      <c r="B106" t="s">
        <v>6430</v>
      </c>
      <c r="C106">
        <v>10448</v>
      </c>
      <c r="D106" s="836"/>
      <c r="E106" s="836"/>
      <c r="F106" s="867">
        <f>(1/S106)*cnst_fish!$C$6</f>
        <v>3.0136363636363641</v>
      </c>
      <c r="G106" s="867">
        <f t="shared" si="16"/>
        <v>1</v>
      </c>
      <c r="H106" s="867">
        <f t="shared" si="16"/>
        <v>0.36449057933102513</v>
      </c>
      <c r="I106" s="867">
        <f t="shared" si="10"/>
        <v>0</v>
      </c>
      <c r="J106" s="389">
        <f t="shared" si="11"/>
        <v>0</v>
      </c>
      <c r="L106" s="870">
        <v>2</v>
      </c>
      <c r="M106" s="836"/>
      <c r="N106" s="875" t="s">
        <v>1738</v>
      </c>
      <c r="O106" s="875" t="s">
        <v>4681</v>
      </c>
      <c r="P106" s="233">
        <f t="shared" si="12"/>
        <v>0</v>
      </c>
      <c r="Q106" s="233">
        <f t="shared" si="13"/>
        <v>2</v>
      </c>
      <c r="R106" s="867">
        <f t="shared" si="14"/>
        <v>2</v>
      </c>
      <c r="S106" s="867">
        <f>(1/9)*cnst_fish!$C$7*(1/cnst_fish!$C$8)^(R106-1)</f>
        <v>1.4102564102564099</v>
      </c>
      <c r="T106" s="682">
        <f t="shared" si="15"/>
        <v>0.24189420046101209</v>
      </c>
      <c r="W106" s="818"/>
      <c r="X106" s="818"/>
      <c r="Y106" s="819"/>
      <c r="Z106" s="820"/>
      <c r="AA106" s="820"/>
      <c r="AB106" s="821"/>
      <c r="AC106" s="821"/>
      <c r="AD106" s="253"/>
      <c r="AE106" s="253"/>
    </row>
    <row r="107" spans="1:31" ht="14.5">
      <c r="A107" t="s">
        <v>3334</v>
      </c>
      <c r="B107" t="s">
        <v>655</v>
      </c>
      <c r="C107">
        <v>10450</v>
      </c>
      <c r="D107" s="581"/>
      <c r="E107" s="581"/>
      <c r="F107" s="2">
        <f>(1/S107)*cnst_fish!$C$6</f>
        <v>2.3393265378400998E-2</v>
      </c>
      <c r="G107" s="2">
        <f t="shared" si="16"/>
        <v>1</v>
      </c>
      <c r="H107" s="2">
        <f t="shared" si="16"/>
        <v>0.36449057933102513</v>
      </c>
      <c r="I107" s="2">
        <f t="shared" si="10"/>
        <v>0</v>
      </c>
      <c r="J107" s="389">
        <f t="shared" si="11"/>
        <v>0</v>
      </c>
      <c r="L107" s="721">
        <v>306</v>
      </c>
      <c r="M107" s="581"/>
      <c r="N107" s="585" t="s">
        <v>1738</v>
      </c>
      <c r="O107" s="586" t="s">
        <v>4681</v>
      </c>
      <c r="P107" s="233">
        <f t="shared" si="12"/>
        <v>0</v>
      </c>
      <c r="Q107" s="233">
        <f t="shared" si="13"/>
        <v>306</v>
      </c>
      <c r="R107" s="2">
        <f t="shared" si="14"/>
        <v>4.1100000000000003</v>
      </c>
      <c r="S107" s="2">
        <f>(1/9)*cnst_fish!$C$7*(1/cnst_fish!$C$8)^(R107-1)</f>
        <v>181.67621882851913</v>
      </c>
      <c r="T107" s="682">
        <f t="shared" si="15"/>
        <v>4767.7874581063461</v>
      </c>
      <c r="W107" s="818"/>
      <c r="X107" s="818"/>
      <c r="Y107" s="819"/>
      <c r="Z107" s="820"/>
      <c r="AA107" s="820"/>
      <c r="AB107" s="821"/>
      <c r="AC107" s="821"/>
      <c r="AD107" s="253"/>
      <c r="AE107" s="253"/>
    </row>
    <row r="108" spans="1:31" ht="14.5">
      <c r="A108" t="s">
        <v>548</v>
      </c>
      <c r="B108" t="s">
        <v>549</v>
      </c>
      <c r="C108">
        <v>10451</v>
      </c>
      <c r="D108" s="581"/>
      <c r="E108" s="581"/>
      <c r="F108" s="2">
        <f>(1/S108)*cnst_fish!$C$6</f>
        <v>0.23938164528281752</v>
      </c>
      <c r="G108" s="2">
        <f t="shared" ref="G108:H127" si="17">G$7</f>
        <v>1</v>
      </c>
      <c r="H108" s="2">
        <f t="shared" si="17"/>
        <v>0.36449057933102513</v>
      </c>
      <c r="I108" s="2">
        <f t="shared" si="10"/>
        <v>0</v>
      </c>
      <c r="J108" s="389">
        <f t="shared" si="11"/>
        <v>0</v>
      </c>
      <c r="L108" s="721">
        <v>81</v>
      </c>
      <c r="M108" s="581"/>
      <c r="N108" s="585" t="s">
        <v>1738</v>
      </c>
      <c r="O108" s="586" t="s">
        <v>4681</v>
      </c>
      <c r="P108" s="233">
        <f t="shared" si="12"/>
        <v>0</v>
      </c>
      <c r="Q108" s="233">
        <f t="shared" si="13"/>
        <v>81</v>
      </c>
      <c r="R108" s="2">
        <f t="shared" si="14"/>
        <v>3.1</v>
      </c>
      <c r="S108" s="2">
        <f>(1/9)*cnst_fish!$C$7*(1/cnst_fish!$C$8)^(R108-1)</f>
        <v>17.754076320174157</v>
      </c>
      <c r="T108" s="682">
        <f t="shared" si="15"/>
        <v>123.33333615003023</v>
      </c>
      <c r="W108" s="818"/>
      <c r="X108" s="818"/>
      <c r="Y108" s="819"/>
      <c r="Z108" s="820"/>
      <c r="AA108" s="820"/>
      <c r="AB108" s="821"/>
      <c r="AC108" s="821"/>
      <c r="AD108" s="253"/>
      <c r="AE108" s="253"/>
    </row>
    <row r="109" spans="1:31" ht="14.5">
      <c r="A109" t="s">
        <v>6211</v>
      </c>
      <c r="B109" t="s">
        <v>6210</v>
      </c>
      <c r="C109">
        <v>19408</v>
      </c>
      <c r="D109" s="581"/>
      <c r="E109" s="581"/>
      <c r="F109" s="2">
        <f>(1/S109)*cnst_fish!$C$6</f>
        <v>3.0136363636363641</v>
      </c>
      <c r="G109" s="2">
        <f t="shared" si="17"/>
        <v>1</v>
      </c>
      <c r="H109" s="2">
        <f t="shared" si="17"/>
        <v>0.36449057933102513</v>
      </c>
      <c r="I109" s="2">
        <f t="shared" si="10"/>
        <v>0</v>
      </c>
      <c r="J109" s="389">
        <f t="shared" si="11"/>
        <v>0</v>
      </c>
      <c r="L109" s="721">
        <v>11</v>
      </c>
      <c r="M109" s="581"/>
      <c r="N109" s="585" t="s">
        <v>1738</v>
      </c>
      <c r="O109" s="586" t="s">
        <v>4681</v>
      </c>
      <c r="P109" s="233">
        <f t="shared" si="12"/>
        <v>0</v>
      </c>
      <c r="Q109" s="233">
        <f t="shared" si="13"/>
        <v>11</v>
      </c>
      <c r="R109" s="2">
        <f t="shared" si="14"/>
        <v>2</v>
      </c>
      <c r="S109" s="2">
        <f>(1/9)*cnst_fish!$C$7*(1/cnst_fish!$C$8)^(R109-1)</f>
        <v>1.4102564102564099</v>
      </c>
      <c r="T109" s="682">
        <f t="shared" si="15"/>
        <v>1.3304181025355666</v>
      </c>
      <c r="W109" s="818"/>
      <c r="X109" s="818"/>
      <c r="Y109" s="819"/>
      <c r="Z109" s="820"/>
      <c r="AA109" s="820"/>
      <c r="AB109" s="821"/>
      <c r="AC109" s="821"/>
      <c r="AD109" s="253"/>
      <c r="AE109" s="253"/>
    </row>
    <row r="110" spans="1:31" ht="14.5">
      <c r="A110" t="s">
        <v>2385</v>
      </c>
      <c r="B110" t="s">
        <v>4099</v>
      </c>
      <c r="C110">
        <v>2344</v>
      </c>
      <c r="D110" s="581"/>
      <c r="E110" s="581"/>
      <c r="F110" s="2">
        <f>(1/S110)*cnst_fish!$C$6</f>
        <v>0.13154999853419541</v>
      </c>
      <c r="G110" s="2">
        <f t="shared" si="17"/>
        <v>1</v>
      </c>
      <c r="H110" s="2">
        <f t="shared" si="17"/>
        <v>0.36449057933102513</v>
      </c>
      <c r="I110" s="2">
        <f t="shared" si="10"/>
        <v>0</v>
      </c>
      <c r="J110" s="389">
        <f t="shared" si="11"/>
        <v>0</v>
      </c>
      <c r="L110" s="721"/>
      <c r="M110" s="581">
        <v>589</v>
      </c>
      <c r="N110" s="585" t="s">
        <v>1738</v>
      </c>
      <c r="O110" s="586" t="s">
        <v>4685</v>
      </c>
      <c r="P110" s="233">
        <f t="shared" si="12"/>
        <v>0</v>
      </c>
      <c r="Q110" s="233">
        <f t="shared" si="13"/>
        <v>589</v>
      </c>
      <c r="R110" s="2">
        <f t="shared" si="14"/>
        <v>3.36</v>
      </c>
      <c r="S110" s="2">
        <f>(1/9)*cnst_fish!$C$7*(1/cnst_fish!$C$8)^(R110-1)</f>
        <v>32.307107923648097</v>
      </c>
      <c r="T110" s="682">
        <f t="shared" si="15"/>
        <v>1631.9646797272148</v>
      </c>
      <c r="W110" s="818"/>
      <c r="X110" s="818"/>
      <c r="Y110" s="819"/>
      <c r="Z110" s="820"/>
      <c r="AA110" s="820"/>
      <c r="AB110" s="821"/>
      <c r="AC110" s="821"/>
      <c r="AD110" s="253"/>
      <c r="AE110" s="253"/>
    </row>
    <row r="111" spans="1:31" ht="14.5">
      <c r="A111" t="s">
        <v>438</v>
      </c>
      <c r="B111" t="s">
        <v>4099</v>
      </c>
      <c r="C111">
        <v>2355</v>
      </c>
      <c r="D111" s="581"/>
      <c r="E111" s="581"/>
      <c r="F111" s="2">
        <f>(1/S111)*cnst_fish!$C$6</f>
        <v>0.13154999853419541</v>
      </c>
      <c r="G111" s="2">
        <f t="shared" si="17"/>
        <v>1</v>
      </c>
      <c r="H111" s="2">
        <f t="shared" si="17"/>
        <v>0.36449057933102513</v>
      </c>
      <c r="I111" s="2">
        <f t="shared" si="10"/>
        <v>0</v>
      </c>
      <c r="J111" s="389">
        <f t="shared" si="11"/>
        <v>0</v>
      </c>
      <c r="L111" s="721"/>
      <c r="M111" s="581"/>
      <c r="N111" s="585" t="s">
        <v>1738</v>
      </c>
      <c r="O111" s="585" t="s">
        <v>4681</v>
      </c>
      <c r="P111" s="233">
        <f t="shared" si="12"/>
        <v>0</v>
      </c>
      <c r="Q111" s="233">
        <f t="shared" si="13"/>
        <v>0</v>
      </c>
      <c r="R111" s="2">
        <f t="shared" si="14"/>
        <v>3.36</v>
      </c>
      <c r="S111" s="2">
        <f>(1/9)*cnst_fish!$C$7*(1/cnst_fish!$C$8)^(R111-1)</f>
        <v>32.307107923648097</v>
      </c>
      <c r="T111" s="682">
        <f t="shared" si="15"/>
        <v>0</v>
      </c>
      <c r="W111" s="818"/>
      <c r="X111" s="818"/>
      <c r="Y111" s="819"/>
      <c r="Z111" s="820"/>
      <c r="AA111" s="820"/>
      <c r="AB111" s="821"/>
      <c r="AC111" s="821"/>
      <c r="AD111" s="253"/>
      <c r="AE111" s="253"/>
    </row>
    <row r="112" spans="1:31" ht="14.5">
      <c r="A112" t="s">
        <v>3013</v>
      </c>
      <c r="B112" t="s">
        <v>656</v>
      </c>
      <c r="C112">
        <v>2296</v>
      </c>
      <c r="D112" s="581"/>
      <c r="E112" s="581"/>
      <c r="F112" s="2">
        <f>(1/S112)*cnst_fish!$C$6</f>
        <v>0.10449387811364928</v>
      </c>
      <c r="G112" s="2">
        <f t="shared" si="17"/>
        <v>1</v>
      </c>
      <c r="H112" s="2">
        <f t="shared" si="17"/>
        <v>0.36449057933102513</v>
      </c>
      <c r="I112" s="2">
        <f t="shared" si="10"/>
        <v>0</v>
      </c>
      <c r="J112" s="389">
        <f t="shared" si="11"/>
        <v>0</v>
      </c>
      <c r="L112" s="721">
        <v>196</v>
      </c>
      <c r="M112" s="581"/>
      <c r="N112" s="585" t="s">
        <v>1738</v>
      </c>
      <c r="O112" s="586" t="s">
        <v>4681</v>
      </c>
      <c r="P112" s="233">
        <f t="shared" si="12"/>
        <v>0</v>
      </c>
      <c r="Q112" s="233">
        <f t="shared" si="13"/>
        <v>196</v>
      </c>
      <c r="R112" s="2">
        <f t="shared" si="14"/>
        <v>3.46</v>
      </c>
      <c r="S112" s="2">
        <f>(1/9)*cnst_fish!$C$7*(1/cnst_fish!$C$8)^(R112-1)</f>
        <v>40.672239146657276</v>
      </c>
      <c r="T112" s="682">
        <f t="shared" si="15"/>
        <v>683.67788466211789</v>
      </c>
      <c r="W112" s="818"/>
      <c r="X112" s="818"/>
      <c r="Y112" s="819"/>
      <c r="Z112" s="820"/>
      <c r="AA112" s="820"/>
      <c r="AB112" s="821"/>
      <c r="AC112" s="821"/>
      <c r="AD112" s="253"/>
      <c r="AE112" s="253"/>
    </row>
    <row r="113" spans="1:31" ht="14.5">
      <c r="A113" t="s">
        <v>1323</v>
      </c>
      <c r="B113" t="s">
        <v>1324</v>
      </c>
      <c r="C113">
        <v>10484</v>
      </c>
      <c r="D113" s="581"/>
      <c r="E113" s="581"/>
      <c r="F113" s="2">
        <f>(1/S113)*cnst_fish!$C$6</f>
        <v>3.3813556145554591E-2</v>
      </c>
      <c r="G113" s="2">
        <f t="shared" si="17"/>
        <v>1</v>
      </c>
      <c r="H113" s="2">
        <f t="shared" si="17"/>
        <v>0.36449057933102513</v>
      </c>
      <c r="I113" s="2">
        <f t="shared" si="10"/>
        <v>0</v>
      </c>
      <c r="J113" s="389">
        <f t="shared" si="11"/>
        <v>0</v>
      </c>
      <c r="L113" s="721">
        <v>32</v>
      </c>
      <c r="M113" s="581"/>
      <c r="N113" s="585" t="s">
        <v>1738</v>
      </c>
      <c r="O113" s="586" t="s">
        <v>4681</v>
      </c>
      <c r="P113" s="233">
        <f t="shared" si="12"/>
        <v>0</v>
      </c>
      <c r="Q113" s="233">
        <f t="shared" si="13"/>
        <v>32</v>
      </c>
      <c r="R113" s="2">
        <f t="shared" si="14"/>
        <v>3.95</v>
      </c>
      <c r="S113" s="2">
        <f>(1/9)*cnst_fish!$C$7*(1/cnst_fish!$C$8)^(R113-1)</f>
        <v>125.68923486501552</v>
      </c>
      <c r="T113" s="682">
        <f t="shared" si="15"/>
        <v>344.94149294398335</v>
      </c>
      <c r="W113" s="818"/>
      <c r="X113" s="818"/>
      <c r="Y113" s="819"/>
      <c r="Z113" s="820"/>
      <c r="AA113" s="820"/>
      <c r="AB113" s="821"/>
      <c r="AC113" s="821"/>
      <c r="AD113" s="253"/>
      <c r="AE113" s="253"/>
    </row>
    <row r="114" spans="1:31" ht="14.5">
      <c r="A114" t="s">
        <v>8248</v>
      </c>
      <c r="B114" t="s">
        <v>8249</v>
      </c>
      <c r="C114">
        <v>10515</v>
      </c>
      <c r="D114" s="581"/>
      <c r="E114" s="581"/>
      <c r="F114" s="2">
        <f>(1/S114)*cnst_fish!$C$6</f>
        <v>2.3938164528281767E-2</v>
      </c>
      <c r="G114" s="2">
        <f t="shared" si="17"/>
        <v>1</v>
      </c>
      <c r="H114" s="2">
        <f t="shared" si="17"/>
        <v>0.36449057933102513</v>
      </c>
      <c r="I114" s="2">
        <f t="shared" si="10"/>
        <v>0</v>
      </c>
      <c r="J114" s="389">
        <f t="shared" si="11"/>
        <v>0</v>
      </c>
      <c r="L114" s="721">
        <v>1</v>
      </c>
      <c r="M114" s="581"/>
      <c r="N114" s="585" t="s">
        <v>1738</v>
      </c>
      <c r="O114" s="586" t="s">
        <v>4681</v>
      </c>
      <c r="P114" s="233">
        <f t="shared" si="12"/>
        <v>0</v>
      </c>
      <c r="Q114" s="233">
        <f t="shared" si="13"/>
        <v>1</v>
      </c>
      <c r="R114" s="2">
        <f t="shared" si="14"/>
        <v>4.0999999999999996</v>
      </c>
      <c r="S114" s="2">
        <f>(1/9)*cnst_fish!$C$7*(1/cnst_fish!$C$8)^(R114-1)</f>
        <v>177.54076320174144</v>
      </c>
      <c r="T114" s="682">
        <f t="shared" si="15"/>
        <v>15.226337796300021</v>
      </c>
      <c r="W114" s="818"/>
      <c r="X114" s="818"/>
      <c r="Y114" s="819"/>
      <c r="Z114" s="820"/>
      <c r="AA114" s="820"/>
      <c r="AB114" s="821"/>
      <c r="AC114" s="821"/>
      <c r="AD114" s="253"/>
      <c r="AE114" s="253"/>
    </row>
    <row r="115" spans="1:31" ht="14.5">
      <c r="A115" t="s">
        <v>2846</v>
      </c>
      <c r="B115" t="s">
        <v>4832</v>
      </c>
      <c r="C115">
        <v>10516</v>
      </c>
      <c r="D115" s="581"/>
      <c r="E115" s="581"/>
      <c r="F115" s="2">
        <f>(1/S115)*cnst_fish!$C$6</f>
        <v>3.0838329721915438E-2</v>
      </c>
      <c r="G115" s="2">
        <f t="shared" si="17"/>
        <v>1</v>
      </c>
      <c r="H115" s="2">
        <f t="shared" si="17"/>
        <v>0.36449057933102513</v>
      </c>
      <c r="I115" s="2">
        <f t="shared" si="10"/>
        <v>0</v>
      </c>
      <c r="J115" s="389">
        <f t="shared" si="11"/>
        <v>0</v>
      </c>
      <c r="L115" s="721">
        <v>181</v>
      </c>
      <c r="M115" s="581"/>
      <c r="N115" s="585" t="s">
        <v>1738</v>
      </c>
      <c r="O115" s="586" t="s">
        <v>4681</v>
      </c>
      <c r="P115" s="233">
        <f t="shared" si="12"/>
        <v>0</v>
      </c>
      <c r="Q115" s="233">
        <f t="shared" si="13"/>
        <v>181</v>
      </c>
      <c r="R115" s="2">
        <f t="shared" si="14"/>
        <v>3.99</v>
      </c>
      <c r="S115" s="2">
        <f>(1/9)*cnst_fish!$C$7*(1/cnst_fish!$C$8)^(R115-1)</f>
        <v>137.81550551940927</v>
      </c>
      <c r="T115" s="682">
        <f t="shared" si="15"/>
        <v>2139.3115468258193</v>
      </c>
      <c r="W115" s="818"/>
      <c r="X115" s="818"/>
      <c r="Y115" s="819"/>
      <c r="Z115" s="820"/>
      <c r="AA115" s="820"/>
      <c r="AB115" s="821"/>
      <c r="AC115" s="821"/>
      <c r="AD115" s="253"/>
      <c r="AE115" s="253"/>
    </row>
    <row r="116" spans="1:31" ht="14.5">
      <c r="A116" t="s">
        <v>489</v>
      </c>
      <c r="B116" t="s">
        <v>4100</v>
      </c>
      <c r="C116">
        <v>2945</v>
      </c>
      <c r="D116" s="581"/>
      <c r="E116" s="581"/>
      <c r="F116" s="2">
        <f>(1/S116)*cnst_fish!$C$6</f>
        <v>9.5299549485983424E-3</v>
      </c>
      <c r="G116" s="2">
        <f t="shared" si="17"/>
        <v>1</v>
      </c>
      <c r="H116" s="2">
        <f t="shared" si="17"/>
        <v>0.36449057933102513</v>
      </c>
      <c r="I116" s="2">
        <f t="shared" si="10"/>
        <v>0</v>
      </c>
      <c r="J116" s="389">
        <f t="shared" si="11"/>
        <v>0</v>
      </c>
      <c r="L116" s="721"/>
      <c r="M116" s="581">
        <v>1647</v>
      </c>
      <c r="N116" s="585" t="s">
        <v>1738</v>
      </c>
      <c r="O116" s="586" t="s">
        <v>4685</v>
      </c>
      <c r="P116" s="233">
        <f t="shared" si="12"/>
        <v>0</v>
      </c>
      <c r="Q116" s="233">
        <f t="shared" si="13"/>
        <v>1647</v>
      </c>
      <c r="R116" s="2">
        <f t="shared" si="14"/>
        <v>4.5</v>
      </c>
      <c r="S116" s="2">
        <f>(1/9)*cnst_fish!$C$7*(1/cnst_fish!$C$8)^(R116-1)</f>
        <v>445.96223412630997</v>
      </c>
      <c r="T116" s="682">
        <f t="shared" si="15"/>
        <v>62992.531171041097</v>
      </c>
      <c r="W116" s="818"/>
      <c r="X116" s="818"/>
      <c r="Y116" s="819"/>
      <c r="Z116" s="820"/>
      <c r="AA116" s="820"/>
      <c r="AB116" s="821"/>
      <c r="AC116" s="821"/>
      <c r="AD116" s="253"/>
      <c r="AE116" s="253"/>
    </row>
    <row r="117" spans="1:31" ht="14.5">
      <c r="A117" t="s">
        <v>6528</v>
      </c>
      <c r="B117" t="s">
        <v>6527</v>
      </c>
      <c r="C117">
        <v>17123</v>
      </c>
      <c r="D117" s="581"/>
      <c r="E117" s="581"/>
      <c r="F117" s="2">
        <f>(1/S117)*cnst_fish!$C$6</f>
        <v>3.0136363636363641</v>
      </c>
      <c r="G117" s="2">
        <f t="shared" si="17"/>
        <v>1</v>
      </c>
      <c r="H117" s="2">
        <f t="shared" si="17"/>
        <v>0.36449057933102513</v>
      </c>
      <c r="I117" s="2">
        <f t="shared" si="10"/>
        <v>0</v>
      </c>
      <c r="J117" s="389">
        <f t="shared" si="11"/>
        <v>0</v>
      </c>
      <c r="L117" s="721">
        <v>24</v>
      </c>
      <c r="M117" s="581"/>
      <c r="N117" s="585" t="s">
        <v>1736</v>
      </c>
      <c r="O117" s="586" t="s">
        <v>4691</v>
      </c>
      <c r="P117" s="233">
        <f t="shared" si="12"/>
        <v>0</v>
      </c>
      <c r="Q117" s="233">
        <f t="shared" si="13"/>
        <v>24</v>
      </c>
      <c r="R117" s="2">
        <f t="shared" si="14"/>
        <v>2</v>
      </c>
      <c r="S117" s="2">
        <f>(1/9)*cnst_fish!$C$7*(1/cnst_fish!$C$8)^(R117-1)</f>
        <v>1.4102564102564099</v>
      </c>
      <c r="T117" s="682">
        <f t="shared" si="15"/>
        <v>2.9027304055321452</v>
      </c>
      <c r="W117" s="818"/>
      <c r="X117" s="818"/>
      <c r="Y117" s="819"/>
      <c r="Z117" s="820"/>
      <c r="AA117" s="820"/>
      <c r="AB117" s="821"/>
      <c r="AC117" s="821"/>
      <c r="AD117" s="253"/>
      <c r="AE117" s="253"/>
    </row>
    <row r="118" spans="1:31" ht="14.5">
      <c r="A118" t="s">
        <v>474</v>
      </c>
      <c r="B118" t="s">
        <v>4542</v>
      </c>
      <c r="C118">
        <v>3501</v>
      </c>
      <c r="D118" s="581"/>
      <c r="E118" s="581"/>
      <c r="F118" s="2">
        <f>(1/S118)*cnst_fish!$C$6</f>
        <v>2.3938164528281742</v>
      </c>
      <c r="G118" s="2">
        <f t="shared" si="17"/>
        <v>1</v>
      </c>
      <c r="H118" s="2">
        <f t="shared" si="17"/>
        <v>0.36449057933102513</v>
      </c>
      <c r="I118" s="2">
        <f t="shared" si="10"/>
        <v>0</v>
      </c>
      <c r="J118" s="389">
        <f t="shared" si="11"/>
        <v>0</v>
      </c>
      <c r="L118" s="721">
        <v>30535</v>
      </c>
      <c r="M118" s="581"/>
      <c r="N118" s="585" t="s">
        <v>1736</v>
      </c>
      <c r="O118" s="586" t="s">
        <v>4691</v>
      </c>
      <c r="P118" s="233">
        <f t="shared" si="12"/>
        <v>0</v>
      </c>
      <c r="Q118" s="233">
        <f t="shared" si="13"/>
        <v>30535</v>
      </c>
      <c r="R118" s="2">
        <f t="shared" si="14"/>
        <v>2.1</v>
      </c>
      <c r="S118" s="2">
        <f>(1/9)*cnst_fish!$C$7*(1/cnst_fish!$C$8)^(R118-1)</f>
        <v>1.7754076320174161</v>
      </c>
      <c r="T118" s="682">
        <f t="shared" si="15"/>
        <v>4649.362246100216</v>
      </c>
      <c r="W118" s="818"/>
      <c r="X118" s="818"/>
      <c r="Y118" s="819"/>
      <c r="Z118" s="820"/>
      <c r="AA118" s="820"/>
      <c r="AB118" s="821"/>
      <c r="AC118" s="821"/>
      <c r="AD118" s="253"/>
      <c r="AE118" s="253"/>
    </row>
    <row r="119" spans="1:31" ht="14.5">
      <c r="A119" t="s">
        <v>6712</v>
      </c>
      <c r="B119" t="s">
        <v>6711</v>
      </c>
      <c r="C119">
        <v>17126</v>
      </c>
      <c r="D119" s="581"/>
      <c r="E119" s="581"/>
      <c r="F119" s="2">
        <f>(1/S119)*cnst_fish!$C$6</f>
        <v>3.0136363636363641</v>
      </c>
      <c r="G119" s="2">
        <f t="shared" si="17"/>
        <v>1</v>
      </c>
      <c r="H119" s="2">
        <f t="shared" si="17"/>
        <v>0.36449057933102513</v>
      </c>
      <c r="I119" s="2">
        <f t="shared" si="10"/>
        <v>0</v>
      </c>
      <c r="J119" s="389">
        <f t="shared" si="11"/>
        <v>0</v>
      </c>
      <c r="L119" s="721">
        <v>0</v>
      </c>
      <c r="M119" s="581"/>
      <c r="N119" s="585" t="s">
        <v>1736</v>
      </c>
      <c r="O119" s="586" t="s">
        <v>4691</v>
      </c>
      <c r="P119" s="233">
        <f t="shared" si="12"/>
        <v>0</v>
      </c>
      <c r="Q119" s="233">
        <f t="shared" si="13"/>
        <v>0</v>
      </c>
      <c r="R119" s="2">
        <f t="shared" si="14"/>
        <v>2</v>
      </c>
      <c r="S119" s="2">
        <f>(1/9)*cnst_fish!$C$7*(1/cnst_fish!$C$8)^(R119-1)</f>
        <v>1.4102564102564099</v>
      </c>
      <c r="T119" s="682">
        <f t="shared" si="15"/>
        <v>0</v>
      </c>
      <c r="W119" s="818"/>
      <c r="X119" s="818"/>
      <c r="Y119" s="819"/>
      <c r="Z119" s="820"/>
      <c r="AA119" s="820"/>
      <c r="AB119" s="821"/>
      <c r="AC119" s="821"/>
      <c r="AD119" s="253"/>
      <c r="AE119" s="253"/>
    </row>
    <row r="120" spans="1:31" ht="14.5">
      <c r="A120" t="s">
        <v>1977</v>
      </c>
      <c r="B120" t="s">
        <v>3058</v>
      </c>
      <c r="C120">
        <v>3186</v>
      </c>
      <c r="D120" s="581"/>
      <c r="E120" s="581"/>
      <c r="F120" s="2">
        <f>(1/S120)*cnst_fish!$C$6</f>
        <v>8.8938714421809756E-2</v>
      </c>
      <c r="G120" s="2">
        <f t="shared" si="17"/>
        <v>1</v>
      </c>
      <c r="H120" s="2">
        <f t="shared" si="17"/>
        <v>0.36449057933102513</v>
      </c>
      <c r="I120" s="2">
        <f t="shared" si="10"/>
        <v>0</v>
      </c>
      <c r="J120" s="389">
        <f t="shared" si="11"/>
        <v>0</v>
      </c>
      <c r="L120" s="721">
        <v>861</v>
      </c>
      <c r="M120" s="581"/>
      <c r="N120" s="585" t="s">
        <v>1738</v>
      </c>
      <c r="O120" s="586" t="s">
        <v>4681</v>
      </c>
      <c r="P120" s="233">
        <f t="shared" si="12"/>
        <v>0</v>
      </c>
      <c r="Q120" s="233">
        <f t="shared" si="13"/>
        <v>861</v>
      </c>
      <c r="R120" s="2">
        <f t="shared" si="14"/>
        <v>3.53</v>
      </c>
      <c r="S120" s="2">
        <f>(1/9)*cnst_fish!$C$7*(1/cnst_fish!$C$8)^(R120-1)</f>
        <v>47.785714327323419</v>
      </c>
      <c r="T120" s="682">
        <f t="shared" si="15"/>
        <v>3528.5689797091941</v>
      </c>
      <c r="W120" s="818"/>
      <c r="X120" s="818"/>
      <c r="Y120" s="819"/>
      <c r="Z120" s="820"/>
      <c r="AA120" s="820"/>
      <c r="AB120" s="821"/>
      <c r="AC120" s="821"/>
      <c r="AD120" s="253"/>
      <c r="AE120" s="253"/>
    </row>
    <row r="121" spans="1:31" ht="14.5">
      <c r="A121" t="s">
        <v>1426</v>
      </c>
      <c r="B121" t="s">
        <v>3647</v>
      </c>
      <c r="C121">
        <v>18788</v>
      </c>
      <c r="D121" s="581"/>
      <c r="E121" s="581"/>
      <c r="F121" s="2">
        <f>(1/S121)*cnst_fish!$C$6</f>
        <v>1.8158954798513589</v>
      </c>
      <c r="G121" s="2">
        <f t="shared" si="17"/>
        <v>1</v>
      </c>
      <c r="H121" s="2">
        <f t="shared" si="17"/>
        <v>0.36449057933102513</v>
      </c>
      <c r="I121" s="2">
        <f t="shared" si="10"/>
        <v>0</v>
      </c>
      <c r="J121" s="389">
        <f t="shared" si="11"/>
        <v>0</v>
      </c>
      <c r="L121" s="721">
        <v>1</v>
      </c>
      <c r="M121" s="581"/>
      <c r="N121" s="585" t="s">
        <v>1738</v>
      </c>
      <c r="O121" s="586" t="s">
        <v>4681</v>
      </c>
      <c r="P121" s="233">
        <f t="shared" si="12"/>
        <v>0</v>
      </c>
      <c r="Q121" s="233">
        <f t="shared" si="13"/>
        <v>1</v>
      </c>
      <c r="R121" s="2">
        <f t="shared" si="14"/>
        <v>2.2200000000000002</v>
      </c>
      <c r="S121" s="2">
        <f>(1/9)*cnst_fish!$C$7*(1/cnst_fish!$C$8)^(R121-1)</f>
        <v>2.3404430745914331</v>
      </c>
      <c r="T121" s="682">
        <f t="shared" si="15"/>
        <v>0.20072222403508638</v>
      </c>
      <c r="W121" s="818"/>
      <c r="X121" s="818"/>
      <c r="Y121" s="819"/>
      <c r="Z121" s="820"/>
      <c r="AA121" s="820"/>
      <c r="AB121" s="821"/>
      <c r="AC121" s="821"/>
      <c r="AD121" s="253"/>
      <c r="AE121" s="253"/>
    </row>
    <row r="122" spans="1:31" ht="14.5">
      <c r="A122" t="s">
        <v>1618</v>
      </c>
      <c r="B122" t="s">
        <v>4543</v>
      </c>
      <c r="C122">
        <v>3534</v>
      </c>
      <c r="D122" s="581"/>
      <c r="E122" s="581"/>
      <c r="F122" s="2">
        <f>(1/S122)*cnst_fish!$C$6</f>
        <v>2.3938164528281742</v>
      </c>
      <c r="G122" s="2">
        <f t="shared" si="17"/>
        <v>1</v>
      </c>
      <c r="H122" s="2">
        <f t="shared" si="17"/>
        <v>0.36449057933102513</v>
      </c>
      <c r="I122" s="2">
        <f t="shared" si="10"/>
        <v>0</v>
      </c>
      <c r="J122" s="389">
        <f t="shared" si="11"/>
        <v>0</v>
      </c>
      <c r="L122" s="721">
        <v>1129</v>
      </c>
      <c r="M122" s="581"/>
      <c r="N122" s="585" t="s">
        <v>1736</v>
      </c>
      <c r="O122" s="586" t="s">
        <v>4691</v>
      </c>
      <c r="P122" s="233">
        <f t="shared" si="12"/>
        <v>0</v>
      </c>
      <c r="Q122" s="233">
        <f t="shared" si="13"/>
        <v>1129</v>
      </c>
      <c r="R122" s="2">
        <f t="shared" si="14"/>
        <v>2.1</v>
      </c>
      <c r="S122" s="2">
        <f>(1/9)*cnst_fish!$C$7*(1/cnst_fish!$C$8)^(R122-1)</f>
        <v>1.7754076320174161</v>
      </c>
      <c r="T122" s="682">
        <f t="shared" si="15"/>
        <v>171.9053537202274</v>
      </c>
      <c r="W122" s="818"/>
      <c r="X122" s="818"/>
      <c r="Y122" s="819"/>
      <c r="Z122" s="820"/>
      <c r="AA122" s="820"/>
      <c r="AB122" s="821"/>
      <c r="AC122" s="821"/>
      <c r="AD122" s="253"/>
      <c r="AE122" s="253"/>
    </row>
    <row r="123" spans="1:31" ht="14.5">
      <c r="A123" t="s">
        <v>4447</v>
      </c>
      <c r="B123" t="s">
        <v>2565</v>
      </c>
      <c r="C123">
        <v>3230</v>
      </c>
      <c r="D123" s="581"/>
      <c r="E123" s="581"/>
      <c r="F123" s="2">
        <f>(1/S123)*cnst_fish!$C$6</f>
        <v>9.3130266898023228E-2</v>
      </c>
      <c r="G123" s="2">
        <f t="shared" si="17"/>
        <v>1</v>
      </c>
      <c r="H123" s="2">
        <f t="shared" si="17"/>
        <v>0.36449057933102513</v>
      </c>
      <c r="I123" s="2">
        <f t="shared" si="10"/>
        <v>0</v>
      </c>
      <c r="J123" s="389">
        <f t="shared" si="11"/>
        <v>0</v>
      </c>
      <c r="L123" s="721">
        <v>8899</v>
      </c>
      <c r="M123" s="581"/>
      <c r="N123" s="585" t="s">
        <v>1738</v>
      </c>
      <c r="O123" s="586" t="s">
        <v>4681</v>
      </c>
      <c r="P123" s="233">
        <f t="shared" si="12"/>
        <v>0</v>
      </c>
      <c r="Q123" s="233">
        <f t="shared" si="13"/>
        <v>8899</v>
      </c>
      <c r="R123" s="2">
        <f t="shared" si="14"/>
        <v>3.51</v>
      </c>
      <c r="S123" s="2">
        <f>(1/9)*cnst_fish!$C$7*(1/cnst_fish!$C$8)^(R123-1)</f>
        <v>45.635002900332182</v>
      </c>
      <c r="T123" s="682">
        <f t="shared" si="15"/>
        <v>34828.65209672926</v>
      </c>
      <c r="W123" s="818"/>
      <c r="X123" s="818"/>
      <c r="Y123" s="819"/>
      <c r="Z123" s="820"/>
      <c r="AA123" s="820"/>
      <c r="AB123" s="821"/>
      <c r="AC123" s="821"/>
      <c r="AD123" s="253"/>
      <c r="AE123" s="253"/>
    </row>
    <row r="124" spans="1:31" ht="14.5">
      <c r="A124" t="s">
        <v>3897</v>
      </c>
      <c r="B124" t="s">
        <v>415</v>
      </c>
      <c r="C124">
        <v>10536</v>
      </c>
      <c r="D124" s="581"/>
      <c r="E124" s="581"/>
      <c r="F124" s="2">
        <f>(1/S124)*cnst_fish!$C$6</f>
        <v>0.14760152601876345</v>
      </c>
      <c r="G124" s="2">
        <f t="shared" si="17"/>
        <v>1</v>
      </c>
      <c r="H124" s="2">
        <f t="shared" si="17"/>
        <v>0.36449057933102513</v>
      </c>
      <c r="I124" s="2">
        <f t="shared" si="10"/>
        <v>0</v>
      </c>
      <c r="J124" s="389">
        <f t="shared" si="11"/>
        <v>0</v>
      </c>
      <c r="L124" s="721">
        <v>3982</v>
      </c>
      <c r="M124" s="581"/>
      <c r="N124" s="585" t="s">
        <v>1738</v>
      </c>
      <c r="O124" s="586" t="s">
        <v>4681</v>
      </c>
      <c r="P124" s="233">
        <f t="shared" si="12"/>
        <v>0</v>
      </c>
      <c r="Q124" s="233">
        <f t="shared" si="13"/>
        <v>3982</v>
      </c>
      <c r="R124" s="2">
        <f t="shared" si="14"/>
        <v>3.31</v>
      </c>
      <c r="S124" s="2">
        <f>(1/9)*cnst_fish!$C$7*(1/cnst_fish!$C$8)^(R124-1)</f>
        <v>28.793740245339542</v>
      </c>
      <c r="T124" s="682">
        <f t="shared" si="15"/>
        <v>9833.2417424440209</v>
      </c>
      <c r="W124" s="818"/>
      <c r="X124" s="818"/>
      <c r="Y124" s="819"/>
      <c r="Z124" s="820"/>
      <c r="AA124" s="820"/>
      <c r="AB124" s="821"/>
      <c r="AC124" s="821"/>
      <c r="AD124" s="253"/>
      <c r="AE124" s="253"/>
    </row>
    <row r="125" spans="1:31" ht="14.5">
      <c r="A125" t="s">
        <v>1223</v>
      </c>
      <c r="B125" t="s">
        <v>1224</v>
      </c>
      <c r="C125">
        <v>10537</v>
      </c>
      <c r="D125" s="581"/>
      <c r="E125" s="581"/>
      <c r="F125" s="2">
        <f>(1/S125)*cnst_fish!$C$6</f>
        <v>7.2125833931671435E-2</v>
      </c>
      <c r="G125" s="2">
        <f t="shared" si="17"/>
        <v>1</v>
      </c>
      <c r="H125" s="2">
        <f t="shared" si="17"/>
        <v>0.36449057933102513</v>
      </c>
      <c r="I125" s="2">
        <f t="shared" si="10"/>
        <v>0</v>
      </c>
      <c r="J125" s="389">
        <f t="shared" si="11"/>
        <v>0</v>
      </c>
      <c r="L125" s="721">
        <v>8030</v>
      </c>
      <c r="M125" s="581"/>
      <c r="N125" s="585" t="s">
        <v>1738</v>
      </c>
      <c r="O125" s="586" t="s">
        <v>4681</v>
      </c>
      <c r="P125" s="233">
        <f t="shared" si="12"/>
        <v>0</v>
      </c>
      <c r="Q125" s="233">
        <f t="shared" si="13"/>
        <v>8030</v>
      </c>
      <c r="R125" s="2">
        <f t="shared" si="14"/>
        <v>3.621</v>
      </c>
      <c r="S125" s="2">
        <f>(1/9)*cnst_fish!$C$7*(1/cnst_fish!$C$8)^(R125-1)</f>
        <v>58.924795296318472</v>
      </c>
      <c r="T125" s="682">
        <f t="shared" si="15"/>
        <v>40579.90310102894</v>
      </c>
      <c r="W125" s="818"/>
      <c r="X125" s="818"/>
      <c r="Y125" s="819"/>
      <c r="Z125" s="820"/>
      <c r="AA125" s="820"/>
      <c r="AB125" s="821"/>
      <c r="AC125" s="821"/>
      <c r="AD125" s="253"/>
      <c r="AE125" s="253"/>
    </row>
    <row r="126" spans="1:31" ht="14.5">
      <c r="A126" t="s">
        <v>4490</v>
      </c>
      <c r="B126" t="s">
        <v>2566</v>
      </c>
      <c r="C126">
        <v>2131</v>
      </c>
      <c r="D126" s="581"/>
      <c r="E126" s="581"/>
      <c r="F126" s="2">
        <f>(1/S126)*cnst_fish!$C$6</f>
        <v>0.11196720767792057</v>
      </c>
      <c r="G126" s="2">
        <f t="shared" si="17"/>
        <v>1</v>
      </c>
      <c r="H126" s="2">
        <f t="shared" si="17"/>
        <v>0.36449057933102513</v>
      </c>
      <c r="I126" s="2">
        <f t="shared" si="10"/>
        <v>0</v>
      </c>
      <c r="J126" s="389">
        <f t="shared" si="11"/>
        <v>0</v>
      </c>
      <c r="L126" s="721">
        <v>33479</v>
      </c>
      <c r="M126" s="581"/>
      <c r="N126" s="585" t="s">
        <v>1738</v>
      </c>
      <c r="O126" s="586" t="s">
        <v>4681</v>
      </c>
      <c r="P126" s="233">
        <f t="shared" si="12"/>
        <v>0</v>
      </c>
      <c r="Q126" s="233">
        <f t="shared" si="13"/>
        <v>33479</v>
      </c>
      <c r="R126" s="2">
        <f t="shared" si="14"/>
        <v>3.43</v>
      </c>
      <c r="S126" s="2">
        <f>(1/9)*cnst_fish!$C$7*(1/cnst_fish!$C$8)^(R126-1)</f>
        <v>37.957542106661656</v>
      </c>
      <c r="T126" s="682">
        <f t="shared" si="15"/>
        <v>108985.30345175094</v>
      </c>
      <c r="W126" s="818"/>
      <c r="X126" s="818"/>
      <c r="Y126" s="819"/>
      <c r="Z126" s="820"/>
      <c r="AA126" s="820"/>
      <c r="AB126" s="821"/>
      <c r="AC126" s="821"/>
      <c r="AD126" s="253"/>
      <c r="AE126" s="253"/>
    </row>
    <row r="127" spans="1:31" ht="14.5">
      <c r="A127" t="s">
        <v>53</v>
      </c>
      <c r="B127" t="s">
        <v>291</v>
      </c>
      <c r="C127">
        <v>2682</v>
      </c>
      <c r="D127" s="581"/>
      <c r="E127" s="581"/>
      <c r="F127" s="2">
        <f>(1/S127)*cnst_fish!$C$6</f>
        <v>2.3938164528281742</v>
      </c>
      <c r="G127" s="2">
        <f t="shared" si="17"/>
        <v>1</v>
      </c>
      <c r="H127" s="2">
        <f t="shared" si="17"/>
        <v>0.36449057933102513</v>
      </c>
      <c r="I127" s="2">
        <f t="shared" si="10"/>
        <v>0</v>
      </c>
      <c r="J127" s="389">
        <f t="shared" si="11"/>
        <v>0</v>
      </c>
      <c r="L127" s="721"/>
      <c r="M127" s="581"/>
      <c r="N127" s="585" t="s">
        <v>2318</v>
      </c>
      <c r="O127" s="586" t="s">
        <v>4691</v>
      </c>
      <c r="P127" s="233">
        <f t="shared" si="12"/>
        <v>0</v>
      </c>
      <c r="Q127" s="233">
        <f t="shared" si="13"/>
        <v>0</v>
      </c>
      <c r="R127" s="2">
        <f t="shared" si="14"/>
        <v>2.1</v>
      </c>
      <c r="S127" s="2">
        <f>(1/9)*cnst_fish!$C$7*(1/cnst_fish!$C$8)^(R127-1)</f>
        <v>1.7754076320174161</v>
      </c>
      <c r="T127" s="682">
        <f t="shared" si="15"/>
        <v>0</v>
      </c>
      <c r="W127" s="818"/>
      <c r="X127" s="818"/>
      <c r="Y127" s="819"/>
      <c r="Z127" s="820"/>
      <c r="AA127" s="820"/>
      <c r="AB127" s="821"/>
      <c r="AC127" s="821"/>
      <c r="AD127" s="253"/>
      <c r="AE127" s="253"/>
    </row>
    <row r="128" spans="1:31" ht="14.5">
      <c r="A128" t="s">
        <v>2398</v>
      </c>
      <c r="B128" t="s">
        <v>292</v>
      </c>
      <c r="C128">
        <v>3520</v>
      </c>
      <c r="D128" s="581"/>
      <c r="E128" s="581"/>
      <c r="F128" s="2">
        <f>(1/S128)*cnst_fish!$C$6</f>
        <v>2.3938164528281742</v>
      </c>
      <c r="G128" s="2">
        <f t="shared" ref="G128:H147" si="18">G$7</f>
        <v>1</v>
      </c>
      <c r="H128" s="2">
        <f t="shared" si="18"/>
        <v>0.36449057933102513</v>
      </c>
      <c r="I128" s="2">
        <f t="shared" si="10"/>
        <v>0</v>
      </c>
      <c r="J128" s="389">
        <f t="shared" si="11"/>
        <v>0</v>
      </c>
      <c r="L128" s="721">
        <v>1874</v>
      </c>
      <c r="M128" s="581"/>
      <c r="N128" s="585" t="s">
        <v>2318</v>
      </c>
      <c r="O128" s="586" t="s">
        <v>4691</v>
      </c>
      <c r="P128" s="233">
        <f t="shared" si="12"/>
        <v>0</v>
      </c>
      <c r="Q128" s="233">
        <f t="shared" si="13"/>
        <v>1874</v>
      </c>
      <c r="R128" s="2">
        <f t="shared" si="14"/>
        <v>2.1</v>
      </c>
      <c r="S128" s="2">
        <f>(1/9)*cnst_fish!$C$7*(1/cnst_fish!$C$8)^(R128-1)</f>
        <v>1.7754076320174161</v>
      </c>
      <c r="T128" s="682">
        <f t="shared" si="15"/>
        <v>285.34157030266266</v>
      </c>
      <c r="W128" s="818"/>
      <c r="X128" s="818"/>
      <c r="Y128" s="819"/>
      <c r="Z128" s="820"/>
      <c r="AA128" s="820"/>
      <c r="AB128" s="821"/>
      <c r="AC128" s="821"/>
      <c r="AD128" s="253"/>
      <c r="AE128" s="253"/>
    </row>
    <row r="129" spans="1:31" ht="14.5">
      <c r="A129" t="s">
        <v>332</v>
      </c>
      <c r="B129" t="s">
        <v>1498</v>
      </c>
      <c r="C129">
        <v>3521</v>
      </c>
      <c r="D129" s="581"/>
      <c r="E129" s="581"/>
      <c r="F129" s="2">
        <f>(1/S129)*cnst_fish!$C$6</f>
        <v>2.3938164528281742</v>
      </c>
      <c r="G129" s="2">
        <f t="shared" si="18"/>
        <v>1</v>
      </c>
      <c r="H129" s="2">
        <f t="shared" si="18"/>
        <v>0.36449057933102513</v>
      </c>
      <c r="I129" s="2">
        <f t="shared" si="10"/>
        <v>0</v>
      </c>
      <c r="J129" s="389">
        <f t="shared" si="11"/>
        <v>0</v>
      </c>
      <c r="L129" s="721">
        <v>19472</v>
      </c>
      <c r="M129" s="581"/>
      <c r="N129" s="585" t="s">
        <v>2318</v>
      </c>
      <c r="O129" s="586" t="s">
        <v>4691</v>
      </c>
      <c r="P129" s="233">
        <f t="shared" si="12"/>
        <v>0</v>
      </c>
      <c r="Q129" s="233">
        <f t="shared" si="13"/>
        <v>19472</v>
      </c>
      <c r="R129" s="2">
        <f t="shared" si="14"/>
        <v>2.1</v>
      </c>
      <c r="S129" s="2">
        <f>(1/9)*cnst_fish!$C$7*(1/cnst_fish!$C$8)^(R129-1)</f>
        <v>1.7754076320174161</v>
      </c>
      <c r="T129" s="682">
        <f t="shared" si="15"/>
        <v>2964.872495695543</v>
      </c>
      <c r="W129" s="818"/>
      <c r="X129" s="818"/>
      <c r="Y129" s="819"/>
      <c r="Z129" s="820"/>
      <c r="AA129" s="820"/>
      <c r="AB129" s="821"/>
      <c r="AC129" s="821"/>
      <c r="AD129" s="253"/>
      <c r="AE129" s="253"/>
    </row>
    <row r="130" spans="1:31" ht="14.5">
      <c r="A130" t="s">
        <v>4608</v>
      </c>
      <c r="B130" t="s">
        <v>1499</v>
      </c>
      <c r="C130">
        <v>2683</v>
      </c>
      <c r="D130" s="581"/>
      <c r="E130" s="581"/>
      <c r="F130" s="2">
        <f>(1/S130)*cnst_fish!$C$6</f>
        <v>2.3938164528281742</v>
      </c>
      <c r="G130" s="2">
        <f t="shared" si="18"/>
        <v>1</v>
      </c>
      <c r="H130" s="2">
        <f t="shared" si="18"/>
        <v>0.36449057933102513</v>
      </c>
      <c r="I130" s="2">
        <f t="shared" si="10"/>
        <v>0</v>
      </c>
      <c r="J130" s="389">
        <f t="shared" si="11"/>
        <v>0</v>
      </c>
      <c r="L130" s="721">
        <v>268</v>
      </c>
      <c r="M130" s="581"/>
      <c r="N130" s="585" t="s">
        <v>2318</v>
      </c>
      <c r="O130" s="586" t="s">
        <v>4691</v>
      </c>
      <c r="P130" s="233">
        <f t="shared" si="12"/>
        <v>0</v>
      </c>
      <c r="Q130" s="233">
        <f t="shared" si="13"/>
        <v>268</v>
      </c>
      <c r="R130" s="2">
        <f t="shared" si="14"/>
        <v>2.1</v>
      </c>
      <c r="S130" s="2">
        <f>(1/9)*cnst_fish!$C$7*(1/cnst_fish!$C$8)^(R130-1)</f>
        <v>1.7754076320174161</v>
      </c>
      <c r="T130" s="682">
        <f t="shared" si="15"/>
        <v>40.806585294084101</v>
      </c>
      <c r="W130" s="818"/>
      <c r="X130" s="818"/>
      <c r="Y130" s="819"/>
      <c r="Z130" s="820"/>
      <c r="AA130" s="820"/>
      <c r="AB130" s="821"/>
      <c r="AC130" s="821"/>
      <c r="AD130" s="253"/>
      <c r="AE130" s="253"/>
    </row>
    <row r="131" spans="1:31" ht="14.25" customHeight="1">
      <c r="A131" t="s">
        <v>5435</v>
      </c>
      <c r="B131" t="s">
        <v>1195</v>
      </c>
      <c r="C131">
        <v>2378</v>
      </c>
      <c r="D131" s="581"/>
      <c r="E131" s="581"/>
      <c r="F131" s="2">
        <f>(1/S131)*cnst_fish!$C$6</f>
        <v>1.0211530705467781E-2</v>
      </c>
      <c r="G131" s="2">
        <f t="shared" si="18"/>
        <v>1</v>
      </c>
      <c r="H131" s="2">
        <f t="shared" si="18"/>
        <v>0.36449057933102513</v>
      </c>
      <c r="I131" s="2">
        <f t="shared" si="10"/>
        <v>0</v>
      </c>
      <c r="J131" s="389">
        <f t="shared" si="11"/>
        <v>0</v>
      </c>
      <c r="L131" s="721">
        <v>4766</v>
      </c>
      <c r="M131" s="581"/>
      <c r="N131" s="585" t="s">
        <v>1738</v>
      </c>
      <c r="O131" s="586" t="s">
        <v>4681</v>
      </c>
      <c r="P131" s="233">
        <f t="shared" si="12"/>
        <v>0</v>
      </c>
      <c r="Q131" s="233">
        <f t="shared" si="13"/>
        <v>4766</v>
      </c>
      <c r="R131" s="2">
        <f t="shared" si="14"/>
        <v>4.47</v>
      </c>
      <c r="S131" s="2">
        <f>(1/9)*cnst_fish!$C$7*(1/cnst_fish!$C$8)^(R131-1)</f>
        <v>416.19617299141356</v>
      </c>
      <c r="T131" s="682">
        <f t="shared" si="15"/>
        <v>170117.69843295868</v>
      </c>
      <c r="W131" s="818"/>
      <c r="X131" s="818"/>
      <c r="Y131" s="819"/>
      <c r="Z131" s="820"/>
      <c r="AA131" s="820"/>
      <c r="AB131" s="821"/>
      <c r="AC131" s="821"/>
      <c r="AD131" s="253"/>
      <c r="AE131" s="253"/>
    </row>
    <row r="132" spans="1:31" ht="14.5">
      <c r="A132" t="s">
        <v>2124</v>
      </c>
      <c r="B132" t="s">
        <v>1825</v>
      </c>
      <c r="C132">
        <v>3157</v>
      </c>
      <c r="D132" s="581"/>
      <c r="E132" s="581"/>
      <c r="F132" s="2">
        <f>(1/S132)*cnst_fish!$C$6</f>
        <v>4.5613232168782068E-2</v>
      </c>
      <c r="G132" s="2">
        <f t="shared" si="18"/>
        <v>1</v>
      </c>
      <c r="H132" s="2">
        <f t="shared" si="18"/>
        <v>0.36449057933102513</v>
      </c>
      <c r="I132" s="2">
        <f t="shared" si="10"/>
        <v>0</v>
      </c>
      <c r="J132" s="389">
        <f t="shared" si="11"/>
        <v>0</v>
      </c>
      <c r="L132" s="721">
        <v>10941</v>
      </c>
      <c r="M132" s="581"/>
      <c r="N132" s="585" t="s">
        <v>1738</v>
      </c>
      <c r="O132" s="586" t="s">
        <v>4681</v>
      </c>
      <c r="P132" s="233">
        <f t="shared" si="12"/>
        <v>0</v>
      </c>
      <c r="Q132" s="233">
        <f t="shared" si="13"/>
        <v>10941</v>
      </c>
      <c r="R132" s="2">
        <f t="shared" si="14"/>
        <v>3.82</v>
      </c>
      <c r="S132" s="2">
        <f>(1/9)*cnst_fish!$C$7*(1/cnst_fish!$C$8)^(R132-1)</f>
        <v>93.174717026712301</v>
      </c>
      <c r="T132" s="682">
        <f t="shared" si="15"/>
        <v>87428.389501195663</v>
      </c>
      <c r="W132" s="822"/>
      <c r="X132" s="822"/>
      <c r="Y132" s="819"/>
      <c r="Z132" s="820"/>
      <c r="AA132" s="820"/>
      <c r="AB132" s="821"/>
      <c r="AC132" s="821"/>
      <c r="AD132" s="253"/>
      <c r="AE132" s="253"/>
    </row>
    <row r="133" spans="1:31" ht="14.5">
      <c r="A133" t="s">
        <v>6766</v>
      </c>
      <c r="B133" t="s">
        <v>8540</v>
      </c>
      <c r="C133">
        <v>10543</v>
      </c>
      <c r="D133" s="581"/>
      <c r="E133" s="581"/>
      <c r="F133" s="2">
        <f>(1/S133)*cnst_fish!$C$6</f>
        <v>9.5299549485983424E-3</v>
      </c>
      <c r="G133" s="2">
        <f t="shared" si="18"/>
        <v>1</v>
      </c>
      <c r="H133" s="2">
        <f t="shared" si="18"/>
        <v>0.36449057933102513</v>
      </c>
      <c r="I133" s="2">
        <f t="shared" si="10"/>
        <v>0</v>
      </c>
      <c r="J133" s="389">
        <f t="shared" si="11"/>
        <v>0</v>
      </c>
      <c r="L133" s="721"/>
      <c r="M133" s="581"/>
      <c r="N133" s="585" t="s">
        <v>1738</v>
      </c>
      <c r="O133" s="586" t="s">
        <v>4681</v>
      </c>
      <c r="P133" s="233">
        <f t="shared" si="12"/>
        <v>0</v>
      </c>
      <c r="Q133" s="233">
        <f t="shared" si="13"/>
        <v>0</v>
      </c>
      <c r="R133" s="2">
        <f t="shared" si="14"/>
        <v>4.5</v>
      </c>
      <c r="S133" s="2">
        <f>(1/9)*cnst_fish!$C$7*(1/cnst_fish!$C$8)^(R133-1)</f>
        <v>445.96223412630997</v>
      </c>
      <c r="T133" s="682">
        <f t="shared" si="15"/>
        <v>0</v>
      </c>
      <c r="W133" s="818"/>
      <c r="X133" s="818"/>
      <c r="Y133" s="819"/>
      <c r="Z133" s="820"/>
      <c r="AA133" s="820"/>
      <c r="AB133" s="821"/>
      <c r="AC133" s="821"/>
      <c r="AD133" s="253"/>
      <c r="AE133" s="253"/>
    </row>
    <row r="134" spans="1:31" ht="14.5">
      <c r="A134" t="s">
        <v>3159</v>
      </c>
      <c r="B134" t="s">
        <v>1826</v>
      </c>
      <c r="C134">
        <v>2357</v>
      </c>
      <c r="D134" s="581"/>
      <c r="E134" s="581"/>
      <c r="F134" s="2">
        <f>(1/S134)*cnst_fish!$C$6</f>
        <v>1.5455777163012491E-2</v>
      </c>
      <c r="G134" s="2">
        <f t="shared" si="18"/>
        <v>1</v>
      </c>
      <c r="H134" s="2">
        <f t="shared" si="18"/>
        <v>0.36449057933102513</v>
      </c>
      <c r="I134" s="2">
        <f t="shared" si="10"/>
        <v>0</v>
      </c>
      <c r="J134" s="389">
        <f t="shared" si="11"/>
        <v>0</v>
      </c>
      <c r="L134" s="721">
        <v>9236.61</v>
      </c>
      <c r="M134" s="581">
        <v>285</v>
      </c>
      <c r="N134" s="585" t="s">
        <v>1738</v>
      </c>
      <c r="O134" s="586" t="s">
        <v>4681</v>
      </c>
      <c r="P134" s="233">
        <f t="shared" si="12"/>
        <v>0</v>
      </c>
      <c r="Q134" s="233">
        <f t="shared" si="13"/>
        <v>9521.61</v>
      </c>
      <c r="R134" s="2">
        <f t="shared" si="14"/>
        <v>4.29</v>
      </c>
      <c r="S134" s="2">
        <f>(1/9)*cnst_fish!$C$7*(1/cnst_fish!$C$8)^(R134-1)</f>
        <v>274.97808458126286</v>
      </c>
      <c r="T134" s="682">
        <f t="shared" si="15"/>
        <v>224546.27214537549</v>
      </c>
      <c r="W134" s="818"/>
      <c r="X134" s="818"/>
      <c r="Y134" s="819"/>
      <c r="Z134" s="820"/>
      <c r="AA134" s="820"/>
      <c r="AB134" s="821"/>
      <c r="AC134" s="821"/>
      <c r="AD134" s="253"/>
      <c r="AE134" s="253"/>
    </row>
    <row r="135" spans="1:31" ht="14.5">
      <c r="A135" t="s">
        <v>1225</v>
      </c>
      <c r="B135" t="s">
        <v>1827</v>
      </c>
      <c r="C135">
        <v>3187</v>
      </c>
      <c r="D135" s="581"/>
      <c r="E135" s="581"/>
      <c r="F135" s="2">
        <f>(1/S135)*cnst_fish!$C$6</f>
        <v>0.10449387811364928</v>
      </c>
      <c r="G135" s="2">
        <f t="shared" si="18"/>
        <v>1</v>
      </c>
      <c r="H135" s="2">
        <f t="shared" si="18"/>
        <v>0.36449057933102513</v>
      </c>
      <c r="I135" s="2">
        <f t="shared" ref="I135:I198" si="19">IF($F135=0,0,D135/$F135*$H135*$G135)</f>
        <v>0</v>
      </c>
      <c r="J135" s="389">
        <f t="shared" ref="J135:J198" si="20">IF($F135=0,0,E135/$F135*$H135*$G135)</f>
        <v>0</v>
      </c>
      <c r="L135" s="721">
        <v>815</v>
      </c>
      <c r="M135" s="581"/>
      <c r="N135" s="585" t="s">
        <v>1738</v>
      </c>
      <c r="O135" s="586" t="s">
        <v>4681</v>
      </c>
      <c r="P135" s="233">
        <f t="shared" ref="P135:P198" si="21">D135+E135</f>
        <v>0</v>
      </c>
      <c r="Q135" s="233">
        <f t="shared" ref="Q135:Q198" si="22">L135+M135</f>
        <v>815</v>
      </c>
      <c r="R135" s="2">
        <f t="shared" ref="R135:R198" si="23">VLOOKUP(B135,constant_fish_trophic,3,FALSE)</f>
        <v>3.46</v>
      </c>
      <c r="S135" s="2">
        <f>(1/9)*cnst_fish!$C$7*(1/cnst_fish!$C$8)^(R135-1)</f>
        <v>40.672239146657276</v>
      </c>
      <c r="T135" s="682">
        <f t="shared" ref="T135:T198" si="24">IF(F135=0,0,Q135/F135*H135*G135)</f>
        <v>2842.8442653042148</v>
      </c>
      <c r="W135" s="818"/>
      <c r="X135" s="818"/>
      <c r="Y135" s="819"/>
      <c r="Z135" s="820"/>
      <c r="AA135" s="820"/>
      <c r="AB135" s="821"/>
      <c r="AC135" s="821"/>
      <c r="AD135" s="253"/>
      <c r="AE135" s="253"/>
    </row>
    <row r="136" spans="1:31" ht="14.5">
      <c r="A136" t="s">
        <v>3047</v>
      </c>
      <c r="B136" t="s">
        <v>1828</v>
      </c>
      <c r="C136">
        <v>2181</v>
      </c>
      <c r="D136" s="581"/>
      <c r="E136" s="581"/>
      <c r="F136" s="2">
        <f>(1/S136)*cnst_fish!$C$6</f>
        <v>6.2963787943464855E-2</v>
      </c>
      <c r="G136" s="2">
        <f t="shared" si="18"/>
        <v>1</v>
      </c>
      <c r="H136" s="2">
        <f t="shared" si="18"/>
        <v>0.36449057933102513</v>
      </c>
      <c r="I136" s="2">
        <f t="shared" si="19"/>
        <v>0</v>
      </c>
      <c r="J136" s="389">
        <f t="shared" si="20"/>
        <v>0</v>
      </c>
      <c r="L136" s="721">
        <v>368814.02</v>
      </c>
      <c r="M136" s="581">
        <v>3681</v>
      </c>
      <c r="N136" s="585" t="s">
        <v>1738</v>
      </c>
      <c r="O136" s="586" t="s">
        <v>4681</v>
      </c>
      <c r="P136" s="233">
        <f t="shared" si="21"/>
        <v>0</v>
      </c>
      <c r="Q136" s="233">
        <f t="shared" si="22"/>
        <v>372495.02</v>
      </c>
      <c r="R136" s="2">
        <f t="shared" si="23"/>
        <v>3.68</v>
      </c>
      <c r="S136" s="2">
        <f>(1/9)*cnst_fish!$C$7*(1/cnst_fish!$C$8)^(R136-1)</f>
        <v>67.499115583961881</v>
      </c>
      <c r="T136" s="682">
        <f t="shared" si="24"/>
        <v>2156333.5064851949</v>
      </c>
      <c r="W136" s="818"/>
      <c r="X136" s="818"/>
      <c r="Y136" s="819"/>
      <c r="Z136" s="820"/>
      <c r="AA136" s="820"/>
      <c r="AB136" s="821"/>
      <c r="AC136" s="821"/>
      <c r="AD136" s="253"/>
      <c r="AE136" s="253"/>
    </row>
    <row r="137" spans="1:31" ht="14.5">
      <c r="A137" t="s">
        <v>3942</v>
      </c>
      <c r="B137" t="s">
        <v>2567</v>
      </c>
      <c r="C137">
        <v>2507</v>
      </c>
      <c r="D137" s="581"/>
      <c r="E137" s="581"/>
      <c r="F137" s="2">
        <f>(1/S137)*cnst_fish!$C$6</f>
        <v>7.0646532025323075E-2</v>
      </c>
      <c r="G137" s="2">
        <f t="shared" si="18"/>
        <v>1</v>
      </c>
      <c r="H137" s="2">
        <f t="shared" si="18"/>
        <v>0.36449057933102513</v>
      </c>
      <c r="I137" s="2">
        <f t="shared" si="19"/>
        <v>0</v>
      </c>
      <c r="J137" s="389">
        <f t="shared" si="20"/>
        <v>0</v>
      </c>
      <c r="L137" s="721">
        <v>390</v>
      </c>
      <c r="M137" s="581"/>
      <c r="N137" s="585" t="s">
        <v>1738</v>
      </c>
      <c r="O137" s="586" t="s">
        <v>4681</v>
      </c>
      <c r="P137" s="233">
        <f t="shared" si="21"/>
        <v>0</v>
      </c>
      <c r="Q137" s="233">
        <f t="shared" si="22"/>
        <v>390</v>
      </c>
      <c r="R137" s="2">
        <f t="shared" si="23"/>
        <v>3.63</v>
      </c>
      <c r="S137" s="2">
        <f>(1/9)*cnst_fish!$C$7*(1/cnst_fish!$C$8)^(R137-1)</f>
        <v>60.158650087404119</v>
      </c>
      <c r="T137" s="682">
        <f t="shared" si="24"/>
        <v>2012.1486768543148</v>
      </c>
      <c r="W137" s="822"/>
      <c r="X137" s="822"/>
      <c r="Y137" s="819"/>
      <c r="Z137" s="820"/>
      <c r="AA137" s="820"/>
      <c r="AB137" s="821"/>
      <c r="AC137" s="821"/>
      <c r="AD137" s="253"/>
      <c r="AE137" s="253"/>
    </row>
    <row r="138" spans="1:31" ht="14.5">
      <c r="A138" t="s">
        <v>212</v>
      </c>
      <c r="B138" t="s">
        <v>213</v>
      </c>
      <c r="C138">
        <v>2602</v>
      </c>
      <c r="D138" s="581"/>
      <c r="E138" s="581"/>
      <c r="F138" s="2">
        <f>(1/S138)*cnst_fish!$C$6</f>
        <v>0.14481532779905856</v>
      </c>
      <c r="G138" s="2">
        <f t="shared" si="18"/>
        <v>1</v>
      </c>
      <c r="H138" s="2">
        <f t="shared" si="18"/>
        <v>0.36449057933102513</v>
      </c>
      <c r="I138" s="2">
        <f t="shared" si="19"/>
        <v>0</v>
      </c>
      <c r="J138" s="389">
        <f t="shared" si="20"/>
        <v>0</v>
      </c>
      <c r="L138" s="721">
        <v>2575</v>
      </c>
      <c r="M138" s="581"/>
      <c r="N138" s="585" t="s">
        <v>2322</v>
      </c>
      <c r="O138" s="586" t="s">
        <v>4680</v>
      </c>
      <c r="P138" s="233">
        <f t="shared" si="21"/>
        <v>0</v>
      </c>
      <c r="Q138" s="233">
        <f t="shared" si="22"/>
        <v>2575</v>
      </c>
      <c r="R138" s="2">
        <f t="shared" si="23"/>
        <v>3.3182763159269002</v>
      </c>
      <c r="S138" s="2">
        <f>(1/9)*cnst_fish!$C$7*(1/cnst_fish!$C$8)^(R138-1)</f>
        <v>29.347722127157517</v>
      </c>
      <c r="T138" s="682">
        <f t="shared" si="24"/>
        <v>6481.1042866934094</v>
      </c>
      <c r="W138" s="818"/>
      <c r="X138" s="818"/>
      <c r="Y138" s="819"/>
      <c r="Z138" s="820"/>
      <c r="AA138" s="820"/>
      <c r="AB138" s="821"/>
      <c r="AC138" s="821"/>
      <c r="AD138" s="253"/>
      <c r="AE138" s="253"/>
    </row>
    <row r="139" spans="1:31" ht="14.5">
      <c r="A139" t="s">
        <v>1490</v>
      </c>
      <c r="B139" t="s">
        <v>3820</v>
      </c>
      <c r="C139">
        <v>3420</v>
      </c>
      <c r="D139" s="581"/>
      <c r="E139" s="581"/>
      <c r="F139" s="2">
        <f>(1/S139)*cnst_fish!$C$6</f>
        <v>1.5103960722494616</v>
      </c>
      <c r="G139" s="2">
        <f t="shared" si="18"/>
        <v>1</v>
      </c>
      <c r="H139" s="2">
        <f t="shared" si="18"/>
        <v>0.36449057933102513</v>
      </c>
      <c r="I139" s="2">
        <f t="shared" si="19"/>
        <v>0</v>
      </c>
      <c r="J139" s="389">
        <f t="shared" si="20"/>
        <v>0</v>
      </c>
      <c r="L139" s="721">
        <v>0</v>
      </c>
      <c r="M139" s="581"/>
      <c r="N139" s="585" t="s">
        <v>2322</v>
      </c>
      <c r="O139" s="586" t="s">
        <v>4680</v>
      </c>
      <c r="P139" s="233">
        <f t="shared" si="21"/>
        <v>0</v>
      </c>
      <c r="Q139" s="233">
        <f t="shared" si="22"/>
        <v>0</v>
      </c>
      <c r="R139" s="2">
        <f t="shared" si="23"/>
        <v>2.2999999999999998</v>
      </c>
      <c r="S139" s="2">
        <f>(1/9)*cnst_fish!$C$7*(1/cnst_fish!$C$8)^(R139-1)</f>
        <v>2.8138314698279068</v>
      </c>
      <c r="T139" s="682">
        <f t="shared" si="24"/>
        <v>0</v>
      </c>
      <c r="W139" s="818"/>
      <c r="X139" s="818"/>
      <c r="Y139" s="819"/>
      <c r="Z139" s="820"/>
      <c r="AA139" s="820"/>
      <c r="AB139" s="821"/>
      <c r="AC139" s="821"/>
      <c r="AD139" s="253"/>
      <c r="AE139" s="253"/>
    </row>
    <row r="140" spans="1:31" ht="14.5">
      <c r="A140" t="s">
        <v>942</v>
      </c>
      <c r="B140" t="s">
        <v>2586</v>
      </c>
      <c r="C140">
        <v>3422</v>
      </c>
      <c r="D140" s="581"/>
      <c r="E140" s="581"/>
      <c r="F140" s="2">
        <f>(1/S140)*cnst_fish!$C$6</f>
        <v>1.5103960722494616</v>
      </c>
      <c r="G140" s="2">
        <f t="shared" si="18"/>
        <v>1</v>
      </c>
      <c r="H140" s="2">
        <f t="shared" si="18"/>
        <v>0.36449057933102513</v>
      </c>
      <c r="I140" s="2">
        <f t="shared" si="19"/>
        <v>0</v>
      </c>
      <c r="J140" s="389">
        <f t="shared" si="20"/>
        <v>0</v>
      </c>
      <c r="L140" s="721">
        <v>4513</v>
      </c>
      <c r="M140" s="581"/>
      <c r="N140" s="585" t="s">
        <v>2322</v>
      </c>
      <c r="O140" s="586" t="s">
        <v>4680</v>
      </c>
      <c r="P140" s="233">
        <f t="shared" si="21"/>
        <v>0</v>
      </c>
      <c r="Q140" s="233">
        <f t="shared" si="22"/>
        <v>4513</v>
      </c>
      <c r="R140" s="2">
        <f t="shared" si="23"/>
        <v>2.2999999999999998</v>
      </c>
      <c r="S140" s="2">
        <f>(1/9)*cnst_fish!$C$7*(1/cnst_fish!$C$8)^(R140-1)</f>
        <v>2.8138314698279068</v>
      </c>
      <c r="T140" s="682">
        <f t="shared" si="24"/>
        <v>1089.0825358616478</v>
      </c>
      <c r="W140" s="818"/>
      <c r="X140" s="818"/>
      <c r="Y140" s="819"/>
      <c r="Z140" s="820"/>
      <c r="AA140" s="820"/>
      <c r="AB140" s="821"/>
      <c r="AC140" s="821"/>
      <c r="AD140" s="253"/>
      <c r="AE140" s="253"/>
    </row>
    <row r="141" spans="1:31" ht="14.5">
      <c r="A141" t="s">
        <v>6216</v>
      </c>
      <c r="B141" t="s">
        <v>6215</v>
      </c>
      <c r="C141">
        <v>19329</v>
      </c>
      <c r="D141" s="581"/>
      <c r="E141" s="581"/>
      <c r="F141" s="2">
        <f>(1/S141)*cnst_fish!$C$6</f>
        <v>3.0136363636363641</v>
      </c>
      <c r="G141" s="2">
        <f t="shared" si="18"/>
        <v>1</v>
      </c>
      <c r="H141" s="2">
        <f t="shared" si="18"/>
        <v>0.36449057933102513</v>
      </c>
      <c r="I141" s="2">
        <f t="shared" si="19"/>
        <v>0</v>
      </c>
      <c r="J141" s="389">
        <f t="shared" si="20"/>
        <v>0</v>
      </c>
      <c r="L141" s="721"/>
      <c r="M141" s="581"/>
      <c r="N141" s="585" t="s">
        <v>2322</v>
      </c>
      <c r="O141" s="586" t="s">
        <v>4680</v>
      </c>
      <c r="P141" s="233">
        <f t="shared" si="21"/>
        <v>0</v>
      </c>
      <c r="Q141" s="233">
        <f t="shared" si="22"/>
        <v>0</v>
      </c>
      <c r="R141" s="2">
        <f t="shared" si="23"/>
        <v>2</v>
      </c>
      <c r="S141" s="2">
        <f>(1/9)*cnst_fish!$C$7*(1/cnst_fish!$C$8)^(R141-1)</f>
        <v>1.4102564102564099</v>
      </c>
      <c r="T141" s="682">
        <f t="shared" si="24"/>
        <v>0</v>
      </c>
      <c r="W141" s="818"/>
      <c r="X141" s="818"/>
      <c r="Y141" s="819"/>
      <c r="Z141" s="820"/>
      <c r="AA141" s="820"/>
      <c r="AB141" s="821"/>
      <c r="AC141" s="821"/>
      <c r="AD141" s="253"/>
      <c r="AE141" s="253"/>
    </row>
    <row r="142" spans="1:31" ht="14.5">
      <c r="A142" t="s">
        <v>2125</v>
      </c>
      <c r="B142" t="s">
        <v>2767</v>
      </c>
      <c r="C142">
        <v>2603</v>
      </c>
      <c r="D142" s="581"/>
      <c r="E142" s="581"/>
      <c r="F142" s="2">
        <f>(1/S142)*cnst_fish!$C$6</f>
        <v>1.5103960722494616</v>
      </c>
      <c r="G142" s="2">
        <f t="shared" si="18"/>
        <v>1</v>
      </c>
      <c r="H142" s="2">
        <f t="shared" si="18"/>
        <v>0.36449057933102513</v>
      </c>
      <c r="I142" s="2">
        <f t="shared" si="19"/>
        <v>0</v>
      </c>
      <c r="J142" s="389">
        <f t="shared" si="20"/>
        <v>0</v>
      </c>
      <c r="L142" s="721">
        <v>3058</v>
      </c>
      <c r="M142" s="581"/>
      <c r="N142" s="585" t="s">
        <v>2322</v>
      </c>
      <c r="O142" s="586" t="s">
        <v>4680</v>
      </c>
      <c r="P142" s="233">
        <f t="shared" si="21"/>
        <v>0</v>
      </c>
      <c r="Q142" s="233">
        <f t="shared" si="22"/>
        <v>3058</v>
      </c>
      <c r="R142" s="2">
        <f t="shared" si="23"/>
        <v>2.2999999999999998</v>
      </c>
      <c r="S142" s="2">
        <f>(1/9)*cnst_fish!$C$7*(1/cnst_fish!$C$8)^(R142-1)</f>
        <v>2.8138314698279068</v>
      </c>
      <c r="T142" s="682">
        <f t="shared" si="24"/>
        <v>737.96020267337008</v>
      </c>
      <c r="W142" s="818"/>
      <c r="X142" s="818"/>
      <c r="Y142" s="819"/>
      <c r="Z142" s="820"/>
      <c r="AA142" s="820"/>
      <c r="AB142" s="821"/>
      <c r="AC142" s="821"/>
      <c r="AD142" s="253"/>
      <c r="AE142" s="253"/>
    </row>
    <row r="143" spans="1:31" ht="14.5">
      <c r="A143" t="s">
        <v>8844</v>
      </c>
      <c r="B143" t="s">
        <v>8845</v>
      </c>
      <c r="C143">
        <v>19010</v>
      </c>
      <c r="D143" s="581"/>
      <c r="E143" s="581"/>
      <c r="F143" s="2">
        <f>(1/S143)*cnst_fish!$C$6</f>
        <v>1.1997502458044018E-2</v>
      </c>
      <c r="G143" s="2">
        <f t="shared" si="18"/>
        <v>1</v>
      </c>
      <c r="H143" s="2">
        <f t="shared" si="18"/>
        <v>0.36449057933102513</v>
      </c>
      <c r="I143" s="2">
        <f t="shared" si="19"/>
        <v>0</v>
      </c>
      <c r="J143" s="389">
        <f t="shared" si="20"/>
        <v>0</v>
      </c>
      <c r="L143" s="721">
        <v>1225</v>
      </c>
      <c r="M143" s="581"/>
      <c r="N143" s="585" t="s">
        <v>4282</v>
      </c>
      <c r="O143" s="586" t="s">
        <v>4681</v>
      </c>
      <c r="P143" s="233">
        <f t="shared" si="21"/>
        <v>0</v>
      </c>
      <c r="Q143" s="233">
        <f t="shared" si="22"/>
        <v>1225</v>
      </c>
      <c r="R143" s="2">
        <f t="shared" si="23"/>
        <v>4.4000000000000004</v>
      </c>
      <c r="S143" s="2">
        <f>(1/9)*cnst_fish!$C$7*(1/cnst_fish!$C$8)^(R143-1)</f>
        <v>354.24039418724885</v>
      </c>
      <c r="T143" s="682">
        <f t="shared" si="24"/>
        <v>37216.159049931128</v>
      </c>
      <c r="W143" s="822"/>
      <c r="X143" s="822"/>
      <c r="Y143" s="819"/>
      <c r="Z143" s="820"/>
      <c r="AA143" s="820"/>
      <c r="AB143" s="821"/>
      <c r="AC143" s="821"/>
      <c r="AD143" s="253"/>
      <c r="AE143" s="253"/>
    </row>
    <row r="144" spans="1:31" ht="14.5">
      <c r="A144" t="s">
        <v>6218</v>
      </c>
      <c r="B144" t="s">
        <v>6217</v>
      </c>
      <c r="C144">
        <v>19184</v>
      </c>
      <c r="D144" s="581"/>
      <c r="E144" s="581"/>
      <c r="F144" s="2">
        <f>(1/S144)*cnst_fish!$C$6</f>
        <v>3.0136363636363641</v>
      </c>
      <c r="G144" s="2">
        <f t="shared" si="18"/>
        <v>1</v>
      </c>
      <c r="H144" s="2">
        <f t="shared" si="18"/>
        <v>0.36449057933102513</v>
      </c>
      <c r="I144" s="2">
        <f t="shared" si="19"/>
        <v>0</v>
      </c>
      <c r="J144" s="389">
        <f t="shared" si="20"/>
        <v>0</v>
      </c>
      <c r="L144" s="721"/>
      <c r="M144" s="581">
        <v>69</v>
      </c>
      <c r="N144" s="585" t="s">
        <v>1738</v>
      </c>
      <c r="O144" s="586" t="s">
        <v>4681</v>
      </c>
      <c r="P144" s="233">
        <f t="shared" si="21"/>
        <v>0</v>
      </c>
      <c r="Q144" s="233">
        <f t="shared" si="22"/>
        <v>69</v>
      </c>
      <c r="R144" s="2">
        <f t="shared" si="23"/>
        <v>2</v>
      </c>
      <c r="S144" s="2">
        <f>(1/9)*cnst_fish!$C$7*(1/cnst_fish!$C$8)^(R144-1)</f>
        <v>1.4102564102564099</v>
      </c>
      <c r="T144" s="682">
        <f t="shared" si="24"/>
        <v>8.3453499159049187</v>
      </c>
      <c r="W144" s="818"/>
      <c r="X144" s="818"/>
      <c r="Y144" s="819"/>
      <c r="Z144" s="820"/>
      <c r="AA144" s="820"/>
      <c r="AB144" s="821"/>
      <c r="AC144" s="821"/>
      <c r="AD144" s="253"/>
      <c r="AE144" s="253"/>
    </row>
    <row r="145" spans="1:31" ht="14.5">
      <c r="A145" t="s">
        <v>3955</v>
      </c>
      <c r="B145" t="s">
        <v>4863</v>
      </c>
      <c r="C145">
        <v>10566</v>
      </c>
      <c r="D145" s="581"/>
      <c r="E145" s="581"/>
      <c r="F145" s="2">
        <f>(1/S145)*cnst_fish!$C$6</f>
        <v>0.23938164528281752</v>
      </c>
      <c r="G145" s="2">
        <f t="shared" si="18"/>
        <v>1</v>
      </c>
      <c r="H145" s="2">
        <f t="shared" si="18"/>
        <v>0.36449057933102513</v>
      </c>
      <c r="I145" s="2">
        <f t="shared" si="19"/>
        <v>0</v>
      </c>
      <c r="J145" s="389">
        <f t="shared" si="20"/>
        <v>0</v>
      </c>
      <c r="L145" s="721">
        <v>1902</v>
      </c>
      <c r="M145" s="581"/>
      <c r="N145" s="585" t="s">
        <v>1738</v>
      </c>
      <c r="O145" s="586" t="s">
        <v>4681</v>
      </c>
      <c r="P145" s="233">
        <f t="shared" si="21"/>
        <v>0</v>
      </c>
      <c r="Q145" s="233">
        <f t="shared" si="22"/>
        <v>1902</v>
      </c>
      <c r="R145" s="2">
        <f t="shared" si="23"/>
        <v>3.1</v>
      </c>
      <c r="S145" s="2">
        <f>(1/9)*cnst_fish!$C$7*(1/cnst_fish!$C$8)^(R145-1)</f>
        <v>17.754076320174157</v>
      </c>
      <c r="T145" s="682">
        <f t="shared" si="24"/>
        <v>2896.0494488562658</v>
      </c>
      <c r="W145" s="818"/>
      <c r="X145" s="818"/>
      <c r="Y145" s="819"/>
      <c r="Z145" s="820"/>
      <c r="AA145" s="820"/>
      <c r="AB145" s="821"/>
      <c r="AC145" s="821"/>
      <c r="AD145" s="253"/>
      <c r="AE145" s="253"/>
    </row>
    <row r="146" spans="1:31" ht="14.5">
      <c r="A146" t="s">
        <v>8541</v>
      </c>
      <c r="B146" t="s">
        <v>8542</v>
      </c>
      <c r="C146">
        <v>3349</v>
      </c>
      <c r="D146" s="581"/>
      <c r="E146" s="581"/>
      <c r="F146" s="2">
        <f>(1/S146)*cnst_fish!$C$6</f>
        <v>7.5699122913220479E-2</v>
      </c>
      <c r="G146" s="2">
        <f t="shared" si="18"/>
        <v>1</v>
      </c>
      <c r="H146" s="2">
        <f t="shared" si="18"/>
        <v>0.36449057933102513</v>
      </c>
      <c r="I146" s="2">
        <f t="shared" si="19"/>
        <v>0</v>
      </c>
      <c r="J146" s="389">
        <f t="shared" si="20"/>
        <v>0</v>
      </c>
      <c r="L146" s="721">
        <v>526</v>
      </c>
      <c r="M146" s="581"/>
      <c r="N146" s="585" t="s">
        <v>1738</v>
      </c>
      <c r="O146" s="586" t="s">
        <v>4681</v>
      </c>
      <c r="P146" s="233">
        <f t="shared" si="21"/>
        <v>0</v>
      </c>
      <c r="Q146" s="233">
        <f t="shared" si="22"/>
        <v>526</v>
      </c>
      <c r="R146" s="2">
        <f t="shared" si="23"/>
        <v>3.6</v>
      </c>
      <c r="S146" s="2">
        <f>(1/9)*cnst_fish!$C$7*(1/cnst_fish!$C$8)^(R146-1)</f>
        <v>56.143318924211187</v>
      </c>
      <c r="T146" s="682">
        <f t="shared" si="24"/>
        <v>2532.6851534053362</v>
      </c>
      <c r="W146" s="818"/>
      <c r="X146" s="818"/>
      <c r="Y146" s="819"/>
      <c r="Z146" s="820"/>
      <c r="AA146" s="820"/>
      <c r="AB146" s="821"/>
      <c r="AC146" s="821"/>
      <c r="AD146" s="253"/>
      <c r="AE146" s="253"/>
    </row>
    <row r="147" spans="1:31" ht="14.5">
      <c r="A147" t="s">
        <v>1697</v>
      </c>
      <c r="B147" t="s">
        <v>4864</v>
      </c>
      <c r="C147">
        <v>2330</v>
      </c>
      <c r="D147" s="581"/>
      <c r="E147" s="581"/>
      <c r="F147" s="2">
        <f>(1/S147)*cnst_fish!$C$6</f>
        <v>1.4760152601876367E-2</v>
      </c>
      <c r="G147" s="2">
        <f t="shared" si="18"/>
        <v>1</v>
      </c>
      <c r="H147" s="2">
        <f t="shared" si="18"/>
        <v>0.36449057933102513</v>
      </c>
      <c r="I147" s="2">
        <f t="shared" si="19"/>
        <v>0</v>
      </c>
      <c r="J147" s="389">
        <f t="shared" si="20"/>
        <v>0</v>
      </c>
      <c r="L147" s="721">
        <v>156</v>
      </c>
      <c r="M147" s="581"/>
      <c r="N147" s="585" t="s">
        <v>1738</v>
      </c>
      <c r="O147" s="586" t="s">
        <v>4681</v>
      </c>
      <c r="P147" s="233">
        <f t="shared" si="21"/>
        <v>0</v>
      </c>
      <c r="Q147" s="233">
        <f t="shared" si="22"/>
        <v>156</v>
      </c>
      <c r="R147" s="2">
        <f t="shared" si="23"/>
        <v>4.3099999999999996</v>
      </c>
      <c r="S147" s="2">
        <f>(1/9)*cnst_fish!$C$7*(1/cnst_fish!$C$8)^(R147-1)</f>
        <v>287.93740245339495</v>
      </c>
      <c r="T147" s="682">
        <f t="shared" si="24"/>
        <v>3852.2996278786168</v>
      </c>
      <c r="W147" s="818"/>
      <c r="X147" s="818"/>
      <c r="Y147" s="819"/>
      <c r="Z147" s="820"/>
      <c r="AA147" s="820"/>
      <c r="AB147" s="821"/>
      <c r="AC147" s="821"/>
      <c r="AD147" s="253"/>
      <c r="AE147" s="253"/>
    </row>
    <row r="148" spans="1:31" ht="14.5">
      <c r="A148" t="s">
        <v>2959</v>
      </c>
      <c r="B148" t="s">
        <v>4865</v>
      </c>
      <c r="C148">
        <v>3131</v>
      </c>
      <c r="D148" s="581"/>
      <c r="E148" s="581"/>
      <c r="F148" s="2">
        <f>(1/S148)*cnst_fish!$C$6</f>
        <v>2.5650205424007942E-2</v>
      </c>
      <c r="G148" s="2">
        <f t="shared" ref="G148:H167" si="25">G$7</f>
        <v>1</v>
      </c>
      <c r="H148" s="2">
        <f t="shared" si="25"/>
        <v>0.36449057933102513</v>
      </c>
      <c r="I148" s="2">
        <f t="shared" si="19"/>
        <v>0</v>
      </c>
      <c r="J148" s="389">
        <f t="shared" si="20"/>
        <v>0</v>
      </c>
      <c r="L148" s="721">
        <v>3707</v>
      </c>
      <c r="M148" s="581"/>
      <c r="N148" s="585" t="s">
        <v>3791</v>
      </c>
      <c r="O148" s="586" t="s">
        <v>4681</v>
      </c>
      <c r="P148" s="233">
        <f t="shared" si="21"/>
        <v>0</v>
      </c>
      <c r="Q148" s="233">
        <f t="shared" si="22"/>
        <v>3707</v>
      </c>
      <c r="R148" s="2">
        <f t="shared" si="23"/>
        <v>4.07</v>
      </c>
      <c r="S148" s="2">
        <f>(1/9)*cnst_fish!$C$7*(1/cnst_fish!$C$8)^(R148-1)</f>
        <v>165.6906808248057</v>
      </c>
      <c r="T148" s="682">
        <f t="shared" si="24"/>
        <v>52676.637681640255</v>
      </c>
      <c r="W148" s="818"/>
      <c r="X148" s="818"/>
      <c r="Y148" s="819"/>
      <c r="Z148" s="820"/>
      <c r="AA148" s="820"/>
      <c r="AB148" s="821"/>
      <c r="AC148" s="821"/>
      <c r="AD148" s="253"/>
      <c r="AE148" s="253"/>
    </row>
    <row r="149" spans="1:31" ht="14.5">
      <c r="A149" t="s">
        <v>3531</v>
      </c>
      <c r="B149" t="s">
        <v>5252</v>
      </c>
      <c r="C149">
        <v>2601</v>
      </c>
      <c r="D149" s="581"/>
      <c r="E149" s="581"/>
      <c r="F149" s="2">
        <f>(1/S149)*cnst_fish!$C$6</f>
        <v>0.60129950673834842</v>
      </c>
      <c r="G149" s="2">
        <f t="shared" si="25"/>
        <v>1</v>
      </c>
      <c r="H149" s="2">
        <f t="shared" si="25"/>
        <v>0.36449057933102513</v>
      </c>
      <c r="I149" s="2">
        <f t="shared" si="19"/>
        <v>0</v>
      </c>
      <c r="J149" s="389">
        <f t="shared" si="20"/>
        <v>0</v>
      </c>
      <c r="L149" s="721">
        <v>2856</v>
      </c>
      <c r="M149" s="581"/>
      <c r="N149" s="585" t="s">
        <v>2322</v>
      </c>
      <c r="O149" s="586" t="s">
        <v>4680</v>
      </c>
      <c r="P149" s="233">
        <f t="shared" si="21"/>
        <v>0</v>
      </c>
      <c r="Q149" s="233">
        <f t="shared" si="22"/>
        <v>2856</v>
      </c>
      <c r="R149" s="2">
        <f t="shared" si="23"/>
        <v>2.7</v>
      </c>
      <c r="S149" s="2">
        <f>(1/9)*cnst_fish!$C$7*(1/cnst_fish!$C$8)^(R149-1)</f>
        <v>7.0680250896153813</v>
      </c>
      <c r="T149" s="682">
        <f t="shared" si="24"/>
        <v>1731.2255920781681</v>
      </c>
      <c r="W149" s="818"/>
      <c r="X149" s="818"/>
      <c r="Y149" s="819"/>
      <c r="Z149" s="820"/>
      <c r="AA149" s="820"/>
      <c r="AB149" s="821"/>
      <c r="AC149" s="821"/>
      <c r="AD149" s="253"/>
      <c r="AE149" s="253"/>
    </row>
    <row r="150" spans="1:31" ht="14.5">
      <c r="A150" t="s">
        <v>4888</v>
      </c>
      <c r="B150" t="s">
        <v>2299</v>
      </c>
      <c r="C150">
        <v>2576</v>
      </c>
      <c r="D150" s="581"/>
      <c r="E150" s="581"/>
      <c r="F150" s="2">
        <f>(1/S150)*cnst_fish!$C$6</f>
        <v>0.75699122913220485</v>
      </c>
      <c r="G150" s="2">
        <f t="shared" si="25"/>
        <v>1</v>
      </c>
      <c r="H150" s="2">
        <f t="shared" si="25"/>
        <v>0.36449057933102513</v>
      </c>
      <c r="I150" s="2">
        <f t="shared" si="19"/>
        <v>0</v>
      </c>
      <c r="J150" s="389">
        <f t="shared" si="20"/>
        <v>0</v>
      </c>
      <c r="L150" s="721">
        <v>70</v>
      </c>
      <c r="M150" s="581">
        <v>0</v>
      </c>
      <c r="N150" s="585" t="s">
        <v>2322</v>
      </c>
      <c r="O150" s="586" t="s">
        <v>4680</v>
      </c>
      <c r="P150" s="233">
        <f t="shared" si="21"/>
        <v>0</v>
      </c>
      <c r="Q150" s="233">
        <f t="shared" si="22"/>
        <v>70</v>
      </c>
      <c r="R150" s="2">
        <f t="shared" si="23"/>
        <v>2.6</v>
      </c>
      <c r="S150" s="2">
        <f>(1/9)*cnst_fish!$C$7*(1/cnst_fish!$C$8)^(R150-1)</f>
        <v>5.6143318924211183</v>
      </c>
      <c r="T150" s="682">
        <f t="shared" si="24"/>
        <v>33.704935501591926</v>
      </c>
      <c r="W150" s="818"/>
      <c r="X150" s="818"/>
      <c r="Y150" s="819"/>
      <c r="Z150" s="820"/>
      <c r="AA150" s="820"/>
      <c r="AB150" s="821"/>
      <c r="AC150" s="821"/>
      <c r="AD150" s="253"/>
      <c r="AE150" s="253"/>
    </row>
    <row r="151" spans="1:31" ht="14.5">
      <c r="A151" t="s">
        <v>8543</v>
      </c>
      <c r="B151" t="s">
        <v>8544</v>
      </c>
      <c r="C151">
        <v>17291</v>
      </c>
      <c r="D151" s="581"/>
      <c r="E151" s="581"/>
      <c r="F151" s="2">
        <f>(1/S151)*cnst_fish!$C$6</f>
        <v>2.3938164528281742</v>
      </c>
      <c r="G151" s="2">
        <f t="shared" si="25"/>
        <v>1</v>
      </c>
      <c r="H151" s="2">
        <f t="shared" si="25"/>
        <v>0.36449057933102513</v>
      </c>
      <c r="I151" s="2">
        <f t="shared" si="19"/>
        <v>0</v>
      </c>
      <c r="J151" s="389">
        <f t="shared" si="20"/>
        <v>0</v>
      </c>
      <c r="L151" s="721"/>
      <c r="M151" s="581"/>
      <c r="N151" s="585" t="s">
        <v>1736</v>
      </c>
      <c r="O151" s="586" t="s">
        <v>4691</v>
      </c>
      <c r="P151" s="233">
        <f t="shared" si="21"/>
        <v>0</v>
      </c>
      <c r="Q151" s="233">
        <f t="shared" si="22"/>
        <v>0</v>
      </c>
      <c r="R151" s="2">
        <f t="shared" si="23"/>
        <v>2.1</v>
      </c>
      <c r="S151" s="2">
        <f>(1/9)*cnst_fish!$C$7*(1/cnst_fish!$C$8)^(R151-1)</f>
        <v>1.7754076320174161</v>
      </c>
      <c r="T151" s="682">
        <f t="shared" si="24"/>
        <v>0</v>
      </c>
      <c r="W151" s="818"/>
      <c r="X151" s="818"/>
      <c r="Y151" s="819"/>
      <c r="Z151" s="820"/>
      <c r="AA151" s="820"/>
      <c r="AB151" s="821"/>
      <c r="AC151" s="821"/>
      <c r="AD151" s="253"/>
      <c r="AE151" s="253"/>
    </row>
    <row r="152" spans="1:31" ht="14.5">
      <c r="A152" t="s">
        <v>1053</v>
      </c>
      <c r="B152" t="s">
        <v>5314</v>
      </c>
      <c r="C152">
        <v>3623</v>
      </c>
      <c r="D152" s="581"/>
      <c r="E152" s="581"/>
      <c r="F152" s="2">
        <f>(1/S152)*cnst_fish!$C$6</f>
        <v>0.30136363636363639</v>
      </c>
      <c r="G152" s="2">
        <f t="shared" si="25"/>
        <v>1</v>
      </c>
      <c r="H152" s="2">
        <f t="shared" si="25"/>
        <v>0.36449057933102513</v>
      </c>
      <c r="I152" s="2">
        <f t="shared" si="19"/>
        <v>0</v>
      </c>
      <c r="J152" s="389">
        <f t="shared" si="20"/>
        <v>0</v>
      </c>
      <c r="L152" s="721">
        <v>937.62</v>
      </c>
      <c r="M152" s="581"/>
      <c r="N152" s="585" t="s">
        <v>1738</v>
      </c>
      <c r="O152" s="586"/>
      <c r="P152" s="233">
        <f t="shared" si="21"/>
        <v>0</v>
      </c>
      <c r="Q152" s="233">
        <f t="shared" si="22"/>
        <v>937.62</v>
      </c>
      <c r="R152" s="2">
        <f t="shared" si="23"/>
        <v>3</v>
      </c>
      <c r="S152" s="2">
        <f>(1/9)*cnst_fish!$C$7*(1/cnst_fish!$C$8)^(R152-1)</f>
        <v>14.1025641025641</v>
      </c>
      <c r="T152" s="682">
        <f t="shared" si="24"/>
        <v>1134.0242011812709</v>
      </c>
      <c r="W152" s="818"/>
      <c r="X152" s="818"/>
      <c r="Y152" s="819"/>
      <c r="Z152" s="820"/>
      <c r="AA152" s="820"/>
      <c r="AB152" s="821"/>
      <c r="AC152" s="821"/>
      <c r="AD152" s="253"/>
      <c r="AE152" s="253"/>
    </row>
    <row r="153" spans="1:31" ht="14.5">
      <c r="A153" t="s">
        <v>1617</v>
      </c>
      <c r="B153" t="s">
        <v>3728</v>
      </c>
      <c r="C153">
        <v>3632</v>
      </c>
      <c r="D153" s="581">
        <v>11497</v>
      </c>
      <c r="E153" s="581"/>
      <c r="F153" s="2">
        <f>(1/S153)*cnst_fish!$C$6</f>
        <v>30.136363636363644</v>
      </c>
      <c r="G153" s="2">
        <f t="shared" si="25"/>
        <v>1</v>
      </c>
      <c r="H153" s="2">
        <f t="shared" si="25"/>
        <v>0.36449057933102513</v>
      </c>
      <c r="I153" s="2">
        <f t="shared" si="19"/>
        <v>139.05288113501283</v>
      </c>
      <c r="J153" s="389">
        <f t="shared" si="20"/>
        <v>0</v>
      </c>
      <c r="L153" s="721">
        <v>85464</v>
      </c>
      <c r="M153" s="581"/>
      <c r="N153" s="585" t="s">
        <v>1740</v>
      </c>
      <c r="O153" s="586" t="s">
        <v>4671</v>
      </c>
      <c r="P153" s="233">
        <f t="shared" si="21"/>
        <v>11497</v>
      </c>
      <c r="Q153" s="233">
        <f t="shared" si="22"/>
        <v>85464</v>
      </c>
      <c r="R153" s="2">
        <f t="shared" si="23"/>
        <v>1</v>
      </c>
      <c r="S153" s="2">
        <f>(1/9)*cnst_fish!$C$7*(1/cnst_fish!$C$8)^(R153-1)</f>
        <v>0.141025641025641</v>
      </c>
      <c r="T153" s="682">
        <f t="shared" si="24"/>
        <v>1033.6622974099969</v>
      </c>
      <c r="W153" s="818"/>
      <c r="X153" s="818"/>
      <c r="Y153" s="819"/>
      <c r="Z153" s="820"/>
      <c r="AA153" s="820"/>
      <c r="AB153" s="821"/>
      <c r="AC153" s="821"/>
      <c r="AD153" s="253"/>
      <c r="AE153" s="253"/>
    </row>
    <row r="154" spans="1:31" ht="14.5">
      <c r="A154" t="s">
        <v>5989</v>
      </c>
      <c r="B154" t="s">
        <v>8545</v>
      </c>
      <c r="C154">
        <v>3640</v>
      </c>
      <c r="D154" s="581"/>
      <c r="E154" s="581"/>
      <c r="F154" s="2">
        <f>(1/S154)*cnst_fish!$C$6</f>
        <v>30.136363636363644</v>
      </c>
      <c r="G154" s="2">
        <f t="shared" si="25"/>
        <v>1</v>
      </c>
      <c r="H154" s="2">
        <f t="shared" si="25"/>
        <v>0.36449057933102513</v>
      </c>
      <c r="I154" s="2">
        <f t="shared" si="19"/>
        <v>0</v>
      </c>
      <c r="J154" s="389">
        <f t="shared" si="20"/>
        <v>0</v>
      </c>
      <c r="L154" s="721"/>
      <c r="M154" s="581"/>
      <c r="N154" s="585" t="s">
        <v>1740</v>
      </c>
      <c r="O154" s="586" t="s">
        <v>4671</v>
      </c>
      <c r="P154" s="233">
        <f t="shared" si="21"/>
        <v>0</v>
      </c>
      <c r="Q154" s="233">
        <f t="shared" si="22"/>
        <v>0</v>
      </c>
      <c r="R154" s="2">
        <f t="shared" si="23"/>
        <v>1</v>
      </c>
      <c r="S154" s="2">
        <f>(1/9)*cnst_fish!$C$7*(1/cnst_fish!$C$8)^(R154-1)</f>
        <v>0.141025641025641</v>
      </c>
      <c r="T154" s="682">
        <f t="shared" si="24"/>
        <v>0</v>
      </c>
      <c r="W154" s="818"/>
      <c r="X154" s="818"/>
      <c r="Y154" s="819"/>
      <c r="Z154" s="820"/>
      <c r="AA154" s="820"/>
      <c r="AB154" s="821"/>
      <c r="AC154" s="821"/>
      <c r="AD154" s="253"/>
      <c r="AE154" s="253"/>
    </row>
    <row r="155" spans="1:31" ht="14.5">
      <c r="A155" t="s">
        <v>199</v>
      </c>
      <c r="B155" t="s">
        <v>2568</v>
      </c>
      <c r="C155">
        <v>2533</v>
      </c>
      <c r="D155" s="581"/>
      <c r="E155" s="581"/>
      <c r="F155" s="2">
        <f>(1/S155)*cnst_fish!$C$6</f>
        <v>4.2568745094767511E-2</v>
      </c>
      <c r="G155" s="2">
        <f t="shared" si="25"/>
        <v>1</v>
      </c>
      <c r="H155" s="2">
        <f t="shared" si="25"/>
        <v>0.36449057933102513</v>
      </c>
      <c r="I155" s="2">
        <f t="shared" si="19"/>
        <v>0</v>
      </c>
      <c r="J155" s="389">
        <f t="shared" si="20"/>
        <v>0</v>
      </c>
      <c r="L155" s="721">
        <v>4586</v>
      </c>
      <c r="M155" s="581"/>
      <c r="N155" s="585" t="s">
        <v>1738</v>
      </c>
      <c r="O155" s="586" t="s">
        <v>4681</v>
      </c>
      <c r="P155" s="233">
        <f t="shared" si="21"/>
        <v>0</v>
      </c>
      <c r="Q155" s="233">
        <f t="shared" si="22"/>
        <v>4586</v>
      </c>
      <c r="R155" s="2">
        <f t="shared" si="23"/>
        <v>3.85</v>
      </c>
      <c r="S155" s="2">
        <f>(1/9)*cnst_fish!$C$7*(1/cnst_fish!$C$8)^(R155-1)</f>
        <v>99.838508054173388</v>
      </c>
      <c r="T155" s="682">
        <f t="shared" si="24"/>
        <v>39267.161695531075</v>
      </c>
      <c r="W155" s="818"/>
      <c r="X155" s="818"/>
      <c r="Y155" s="819"/>
      <c r="Z155" s="820"/>
      <c r="AA155" s="820"/>
      <c r="AB155" s="821"/>
      <c r="AC155" s="821"/>
      <c r="AD155" s="253"/>
      <c r="AE155" s="253"/>
    </row>
    <row r="156" spans="1:31" ht="14.5">
      <c r="A156" t="s">
        <v>2935</v>
      </c>
      <c r="B156" t="s">
        <v>3629</v>
      </c>
      <c r="C156">
        <v>2171</v>
      </c>
      <c r="D156" s="581"/>
      <c r="E156" s="581"/>
      <c r="F156" s="2">
        <f>(1/S156)*cnst_fish!$C$6</f>
        <v>1.0211530705467781E-2</v>
      </c>
      <c r="G156" s="2">
        <f t="shared" si="25"/>
        <v>1</v>
      </c>
      <c r="H156" s="2">
        <f t="shared" si="25"/>
        <v>0.36449057933102513</v>
      </c>
      <c r="I156" s="2">
        <f t="shared" si="19"/>
        <v>0</v>
      </c>
      <c r="J156" s="389">
        <f t="shared" si="20"/>
        <v>0</v>
      </c>
      <c r="L156" s="721">
        <v>10</v>
      </c>
      <c r="M156" s="581">
        <v>2724.27</v>
      </c>
      <c r="N156" s="585" t="s">
        <v>1738</v>
      </c>
      <c r="O156" s="586" t="s">
        <v>4685</v>
      </c>
      <c r="P156" s="233">
        <f t="shared" si="21"/>
        <v>0</v>
      </c>
      <c r="Q156" s="233">
        <f t="shared" si="22"/>
        <v>2734.27</v>
      </c>
      <c r="R156" s="2">
        <f t="shared" si="23"/>
        <v>4.47</v>
      </c>
      <c r="S156" s="2">
        <f>(1/9)*cnst_fish!$C$7*(1/cnst_fish!$C$8)^(R156-1)</f>
        <v>416.19617299141356</v>
      </c>
      <c r="T156" s="682">
        <f t="shared" si="24"/>
        <v>97597.087556501458</v>
      </c>
      <c r="W156" s="818"/>
      <c r="X156" s="818"/>
      <c r="Y156" s="819"/>
      <c r="Z156" s="820"/>
      <c r="AA156" s="820"/>
      <c r="AB156" s="821"/>
      <c r="AC156" s="821"/>
      <c r="AD156" s="253"/>
      <c r="AE156" s="253"/>
    </row>
    <row r="157" spans="1:31" ht="14.5">
      <c r="A157" t="s">
        <v>5235</v>
      </c>
      <c r="B157" t="s">
        <v>5288</v>
      </c>
      <c r="C157">
        <v>3441</v>
      </c>
      <c r="D157" s="581"/>
      <c r="E157" s="581"/>
      <c r="F157" s="2">
        <f>(1/S157)*cnst_fish!$C$6</f>
        <v>1.9014759972289452</v>
      </c>
      <c r="G157" s="2">
        <f t="shared" si="25"/>
        <v>1</v>
      </c>
      <c r="H157" s="2">
        <f t="shared" si="25"/>
        <v>0.36449057933102513</v>
      </c>
      <c r="I157" s="2">
        <f t="shared" si="19"/>
        <v>0</v>
      </c>
      <c r="J157" s="389">
        <f t="shared" si="20"/>
        <v>0</v>
      </c>
      <c r="L157" s="721"/>
      <c r="M157" s="581">
        <v>7310</v>
      </c>
      <c r="N157" s="585" t="s">
        <v>1737</v>
      </c>
      <c r="O157" s="586" t="s">
        <v>4680</v>
      </c>
      <c r="P157" s="233">
        <f t="shared" si="21"/>
        <v>0</v>
      </c>
      <c r="Q157" s="233">
        <f t="shared" si="22"/>
        <v>7310</v>
      </c>
      <c r="R157" s="2">
        <f t="shared" si="23"/>
        <v>2.2000000000000002</v>
      </c>
      <c r="S157" s="2">
        <f>(1/9)*cnst_fish!$C$7*(1/cnst_fish!$C$8)^(R157-1)</f>
        <v>2.2351057842400328</v>
      </c>
      <c r="T157" s="682">
        <f t="shared" si="24"/>
        <v>1401.2410037216926</v>
      </c>
      <c r="W157" s="818"/>
      <c r="X157" s="818"/>
      <c r="Y157" s="819"/>
      <c r="Z157" s="820"/>
      <c r="AA157" s="820"/>
      <c r="AB157" s="821"/>
      <c r="AC157" s="821"/>
      <c r="AD157" s="253"/>
      <c r="AE157" s="253"/>
    </row>
    <row r="158" spans="1:31" ht="14.5">
      <c r="A158" t="s">
        <v>1044</v>
      </c>
      <c r="B158" t="s">
        <v>5289</v>
      </c>
      <c r="C158">
        <v>2621</v>
      </c>
      <c r="D158" s="581"/>
      <c r="E158" s="581"/>
      <c r="F158" s="2">
        <f>(1/S158)*cnst_fish!$C$6</f>
        <v>1.9014759972289452</v>
      </c>
      <c r="G158" s="2">
        <f t="shared" si="25"/>
        <v>1</v>
      </c>
      <c r="H158" s="2">
        <f t="shared" si="25"/>
        <v>0.36449057933102513</v>
      </c>
      <c r="I158" s="2">
        <f t="shared" si="19"/>
        <v>0</v>
      </c>
      <c r="J158" s="389">
        <f t="shared" si="20"/>
        <v>0</v>
      </c>
      <c r="L158" s="721"/>
      <c r="M158" s="581">
        <v>14</v>
      </c>
      <c r="N158" s="585" t="s">
        <v>1737</v>
      </c>
      <c r="O158" s="586" t="s">
        <v>4680</v>
      </c>
      <c r="P158" s="233">
        <f t="shared" si="21"/>
        <v>0</v>
      </c>
      <c r="Q158" s="233">
        <f t="shared" si="22"/>
        <v>14</v>
      </c>
      <c r="R158" s="2">
        <f t="shared" si="23"/>
        <v>2.2000000000000002</v>
      </c>
      <c r="S158" s="2">
        <f>(1/9)*cnst_fish!$C$7*(1/cnst_fish!$C$8)^(R158-1)</f>
        <v>2.2351057842400328</v>
      </c>
      <c r="T158" s="682">
        <f t="shared" si="24"/>
        <v>2.6836353012453755</v>
      </c>
      <c r="W158" s="818"/>
      <c r="X158" s="818"/>
      <c r="Y158" s="819"/>
      <c r="Z158" s="820"/>
      <c r="AA158" s="820"/>
      <c r="AB158" s="821"/>
      <c r="AC158" s="821"/>
      <c r="AD158" s="253"/>
      <c r="AE158" s="253"/>
    </row>
    <row r="159" spans="1:31" ht="14.5">
      <c r="A159" t="s">
        <v>436</v>
      </c>
      <c r="B159" t="s">
        <v>6354</v>
      </c>
      <c r="C159">
        <v>3455</v>
      </c>
      <c r="D159" s="581"/>
      <c r="E159" s="581"/>
      <c r="F159" s="2">
        <f>(1/S159)*cnst_fish!$C$6</f>
        <v>3.0136363636363641</v>
      </c>
      <c r="G159" s="2">
        <f t="shared" si="25"/>
        <v>1</v>
      </c>
      <c r="H159" s="2">
        <f t="shared" si="25"/>
        <v>0.36449057933102513</v>
      </c>
      <c r="I159" s="2">
        <f t="shared" si="19"/>
        <v>0</v>
      </c>
      <c r="J159" s="389">
        <f t="shared" si="20"/>
        <v>0</v>
      </c>
      <c r="L159" s="721"/>
      <c r="M159" s="581">
        <v>339</v>
      </c>
      <c r="N159" s="585" t="s">
        <v>1737</v>
      </c>
      <c r="O159" s="586" t="s">
        <v>4680</v>
      </c>
      <c r="P159" s="233">
        <f t="shared" si="21"/>
        <v>0</v>
      </c>
      <c r="Q159" s="233">
        <f t="shared" si="22"/>
        <v>339</v>
      </c>
      <c r="R159" s="2">
        <f t="shared" si="23"/>
        <v>2</v>
      </c>
      <c r="S159" s="2">
        <f>(1/9)*cnst_fish!$C$7*(1/cnst_fish!$C$8)^(R159-1)</f>
        <v>1.4102564102564099</v>
      </c>
      <c r="T159" s="682">
        <f t="shared" si="24"/>
        <v>41.001066978141552</v>
      </c>
      <c r="W159" s="818"/>
      <c r="X159" s="818"/>
      <c r="Y159" s="819"/>
      <c r="Z159" s="820"/>
      <c r="AA159" s="820"/>
      <c r="AB159" s="821"/>
      <c r="AC159" s="821"/>
      <c r="AD159" s="253"/>
      <c r="AE159" s="253"/>
    </row>
    <row r="160" spans="1:31" ht="14.5">
      <c r="A160" t="s">
        <v>5540</v>
      </c>
      <c r="B160" t="s">
        <v>5320</v>
      </c>
      <c r="C160">
        <v>3618</v>
      </c>
      <c r="D160" s="581"/>
      <c r="E160" s="581"/>
      <c r="F160" s="2">
        <f>(1/S160)*cnst_fish!$C$6</f>
        <v>1.5103960722494616</v>
      </c>
      <c r="G160" s="2">
        <f t="shared" si="25"/>
        <v>1</v>
      </c>
      <c r="H160" s="2">
        <f t="shared" si="25"/>
        <v>0.36449057933102513</v>
      </c>
      <c r="I160" s="2">
        <f t="shared" si="19"/>
        <v>0</v>
      </c>
      <c r="J160" s="389">
        <f t="shared" si="20"/>
        <v>0</v>
      </c>
      <c r="L160" s="721"/>
      <c r="M160" s="581"/>
      <c r="N160" s="585" t="s">
        <v>1738</v>
      </c>
      <c r="O160" s="586"/>
      <c r="P160" s="233">
        <f t="shared" si="21"/>
        <v>0</v>
      </c>
      <c r="Q160" s="233">
        <f t="shared" si="22"/>
        <v>0</v>
      </c>
      <c r="R160" s="2">
        <f t="shared" si="23"/>
        <v>2.2999999999999998</v>
      </c>
      <c r="S160" s="2">
        <f>(1/9)*cnst_fish!$C$7*(1/cnst_fish!$C$8)^(R160-1)</f>
        <v>2.8138314698279068</v>
      </c>
      <c r="T160" s="682">
        <f t="shared" si="24"/>
        <v>0</v>
      </c>
      <c r="W160" s="818"/>
      <c r="X160" s="818"/>
      <c r="Y160" s="819"/>
      <c r="Z160" s="820"/>
      <c r="AA160" s="820"/>
      <c r="AB160" s="821"/>
      <c r="AC160" s="821"/>
      <c r="AD160" s="253"/>
      <c r="AE160" s="253"/>
    </row>
    <row r="161" spans="1:31" ht="14.5">
      <c r="A161" t="s">
        <v>4715</v>
      </c>
      <c r="B161" t="s">
        <v>5321</v>
      </c>
      <c r="C161">
        <v>3617</v>
      </c>
      <c r="D161" s="581"/>
      <c r="E161" s="581"/>
      <c r="F161" s="2">
        <f>(1/S161)*cnst_fish!$C$6</f>
        <v>1.5103960722494616</v>
      </c>
      <c r="G161" s="2">
        <f t="shared" si="25"/>
        <v>1</v>
      </c>
      <c r="H161" s="2">
        <f t="shared" si="25"/>
        <v>0.36449057933102513</v>
      </c>
      <c r="I161" s="2">
        <f t="shared" si="19"/>
        <v>0</v>
      </c>
      <c r="J161" s="389">
        <f t="shared" si="20"/>
        <v>0</v>
      </c>
      <c r="L161" s="721">
        <v>1043.53</v>
      </c>
      <c r="M161" s="581"/>
      <c r="N161" s="585" t="s">
        <v>1738</v>
      </c>
      <c r="O161" s="586"/>
      <c r="P161" s="233">
        <f t="shared" si="21"/>
        <v>0</v>
      </c>
      <c r="Q161" s="233">
        <f t="shared" si="22"/>
        <v>1043.53</v>
      </c>
      <c r="R161" s="2">
        <f t="shared" si="23"/>
        <v>2.2999999999999998</v>
      </c>
      <c r="S161" s="2">
        <f>(1/9)*cnst_fish!$C$7*(1/cnst_fish!$C$8)^(R161-1)</f>
        <v>2.8138314698279068</v>
      </c>
      <c r="T161" s="682">
        <f t="shared" si="24"/>
        <v>251.82590264739761</v>
      </c>
      <c r="W161" s="818"/>
      <c r="X161" s="818"/>
      <c r="Y161" s="819"/>
      <c r="Z161" s="820"/>
      <c r="AA161" s="820"/>
      <c r="AB161" s="821"/>
      <c r="AC161" s="821"/>
      <c r="AD161" s="253"/>
      <c r="AE161" s="253"/>
    </row>
    <row r="162" spans="1:31" ht="14.5">
      <c r="A162" t="s">
        <v>6549</v>
      </c>
      <c r="B162" t="s">
        <v>6548</v>
      </c>
      <c r="C162">
        <v>10623</v>
      </c>
      <c r="D162" s="581"/>
      <c r="E162" s="581"/>
      <c r="F162" s="2">
        <f>(1/S162)*cnst_fish!$C$6</f>
        <v>0.47762917572805397</v>
      </c>
      <c r="G162" s="2">
        <f t="shared" si="25"/>
        <v>1</v>
      </c>
      <c r="H162" s="2">
        <f t="shared" si="25"/>
        <v>0.36449057933102513</v>
      </c>
      <c r="I162" s="2">
        <f t="shared" si="19"/>
        <v>0</v>
      </c>
      <c r="J162" s="389">
        <f t="shared" si="20"/>
        <v>0</v>
      </c>
      <c r="L162" s="721"/>
      <c r="M162" s="581">
        <v>1815</v>
      </c>
      <c r="N162" s="585" t="s">
        <v>1738</v>
      </c>
      <c r="O162" s="586" t="s">
        <v>4685</v>
      </c>
      <c r="P162" s="233">
        <f t="shared" si="21"/>
        <v>0</v>
      </c>
      <c r="Q162" s="233">
        <f t="shared" si="22"/>
        <v>1815</v>
      </c>
      <c r="R162" s="2">
        <f t="shared" si="23"/>
        <v>2.8</v>
      </c>
      <c r="S162" s="2">
        <f>(1/9)*cnst_fish!$C$7*(1/cnst_fish!$C$8)^(R162-1)</f>
        <v>8.8981163965155421</v>
      </c>
      <c r="T162" s="682">
        <f t="shared" si="24"/>
        <v>1385.0711704899602</v>
      </c>
      <c r="W162" s="818"/>
      <c r="X162" s="818"/>
      <c r="Y162" s="819"/>
      <c r="Z162" s="820"/>
      <c r="AA162" s="820"/>
      <c r="AB162" s="821"/>
      <c r="AC162" s="821"/>
      <c r="AD162" s="253"/>
      <c r="AE162" s="253"/>
    </row>
    <row r="163" spans="1:31" ht="14.5">
      <c r="A163" t="s">
        <v>490</v>
      </c>
      <c r="B163" t="s">
        <v>50</v>
      </c>
      <c r="C163">
        <v>2421</v>
      </c>
      <c r="D163" s="581"/>
      <c r="E163" s="581"/>
      <c r="F163" s="2">
        <f>(1/S163)*cnst_fish!$C$6</f>
        <v>0.44574948243432794</v>
      </c>
      <c r="G163" s="2">
        <f t="shared" si="25"/>
        <v>1</v>
      </c>
      <c r="H163" s="2">
        <f t="shared" si="25"/>
        <v>0.36449057933102513</v>
      </c>
      <c r="I163" s="2">
        <f t="shared" si="19"/>
        <v>0</v>
      </c>
      <c r="J163" s="389">
        <f t="shared" si="20"/>
        <v>0</v>
      </c>
      <c r="L163" s="721"/>
      <c r="M163" s="581">
        <v>334</v>
      </c>
      <c r="N163" s="585" t="s">
        <v>1738</v>
      </c>
      <c r="O163" s="586" t="s">
        <v>4685</v>
      </c>
      <c r="P163" s="233">
        <f t="shared" si="21"/>
        <v>0</v>
      </c>
      <c r="Q163" s="233">
        <f t="shared" si="22"/>
        <v>334</v>
      </c>
      <c r="R163" s="2">
        <f t="shared" si="23"/>
        <v>2.83</v>
      </c>
      <c r="S163" s="2">
        <f>(1/9)*cnst_fish!$C$7*(1/cnst_fish!$C$8)^(R163-1)</f>
        <v>9.534503499117692</v>
      </c>
      <c r="T163" s="682">
        <f t="shared" si="24"/>
        <v>273.11271979883514</v>
      </c>
      <c r="W163" s="818"/>
      <c r="X163" s="818"/>
      <c r="Y163" s="819"/>
      <c r="Z163" s="820"/>
      <c r="AA163" s="820"/>
      <c r="AB163" s="821"/>
      <c r="AC163" s="821"/>
      <c r="AD163" s="253"/>
      <c r="AE163" s="253"/>
    </row>
    <row r="164" spans="1:31" ht="14.5">
      <c r="A164" t="s">
        <v>6233</v>
      </c>
      <c r="B164" t="s">
        <v>6232</v>
      </c>
      <c r="C164">
        <v>10625</v>
      </c>
      <c r="D164" s="581"/>
      <c r="E164" s="581"/>
      <c r="F164" s="2">
        <f>(1/S164)*cnst_fish!$C$6</f>
        <v>3.0136363636363641</v>
      </c>
      <c r="G164" s="2">
        <f t="shared" si="25"/>
        <v>1</v>
      </c>
      <c r="H164" s="2">
        <f t="shared" si="25"/>
        <v>0.36449057933102513</v>
      </c>
      <c r="I164" s="2">
        <f t="shared" si="19"/>
        <v>0</v>
      </c>
      <c r="J164" s="389">
        <f t="shared" si="20"/>
        <v>0</v>
      </c>
      <c r="L164" s="721"/>
      <c r="M164" s="581">
        <v>1000</v>
      </c>
      <c r="N164" s="585" t="s">
        <v>1738</v>
      </c>
      <c r="O164" s="586" t="s">
        <v>4685</v>
      </c>
      <c r="P164" s="233">
        <f t="shared" si="21"/>
        <v>0</v>
      </c>
      <c r="Q164" s="233">
        <f t="shared" si="22"/>
        <v>1000</v>
      </c>
      <c r="R164" s="2">
        <f t="shared" si="23"/>
        <v>2</v>
      </c>
      <c r="S164" s="2">
        <f>(1/9)*cnst_fish!$C$7*(1/cnst_fish!$C$8)^(R164-1)</f>
        <v>1.4102564102564099</v>
      </c>
      <c r="T164" s="682">
        <f t="shared" si="24"/>
        <v>120.94710023050607</v>
      </c>
      <c r="W164" s="818"/>
      <c r="X164" s="818"/>
      <c r="Y164" s="819"/>
      <c r="Z164" s="820"/>
      <c r="AA164" s="820"/>
      <c r="AB164" s="821"/>
      <c r="AC164" s="821"/>
      <c r="AD164" s="253"/>
      <c r="AE164" s="253"/>
    </row>
    <row r="165" spans="1:31" ht="14.5">
      <c r="A165" t="s">
        <v>4450</v>
      </c>
      <c r="B165" t="s">
        <v>1637</v>
      </c>
      <c r="C165">
        <v>3357</v>
      </c>
      <c r="D165" s="581"/>
      <c r="E165" s="581"/>
      <c r="F165" s="2">
        <f>(1/S165)*cnst_fish!$C$6</f>
        <v>1.0692785320993655E-2</v>
      </c>
      <c r="G165" s="2">
        <f t="shared" si="25"/>
        <v>1</v>
      </c>
      <c r="H165" s="2">
        <f t="shared" si="25"/>
        <v>0.36449057933102513</v>
      </c>
      <c r="I165" s="2">
        <f t="shared" si="19"/>
        <v>0</v>
      </c>
      <c r="J165" s="389">
        <f t="shared" si="20"/>
        <v>0</v>
      </c>
      <c r="L165" s="721">
        <v>516</v>
      </c>
      <c r="M165" s="581"/>
      <c r="N165" s="585" t="s">
        <v>1739</v>
      </c>
      <c r="O165" s="586" t="s">
        <v>4681</v>
      </c>
      <c r="P165" s="233">
        <f t="shared" si="21"/>
        <v>0</v>
      </c>
      <c r="Q165" s="233">
        <f t="shared" si="22"/>
        <v>516</v>
      </c>
      <c r="R165" s="2">
        <f t="shared" si="23"/>
        <v>4.45</v>
      </c>
      <c r="S165" s="2">
        <f>(1/9)*cnst_fish!$C$7*(1/cnst_fish!$C$8)^(R165-1)</f>
        <v>397.46425953729499</v>
      </c>
      <c r="T165" s="682">
        <f t="shared" si="24"/>
        <v>17589.162532380422</v>
      </c>
      <c r="W165" s="818"/>
      <c r="X165" s="818"/>
      <c r="Y165" s="819"/>
      <c r="Z165" s="820"/>
      <c r="AA165" s="820"/>
      <c r="AB165" s="821"/>
      <c r="AC165" s="821"/>
      <c r="AD165" s="253"/>
      <c r="AE165" s="253"/>
    </row>
    <row r="166" spans="1:31" ht="14.5">
      <c r="A166" t="s">
        <v>4491</v>
      </c>
      <c r="B166" t="s">
        <v>1638</v>
      </c>
      <c r="C166">
        <v>3356</v>
      </c>
      <c r="D166" s="581"/>
      <c r="E166" s="581"/>
      <c r="F166" s="2">
        <f>(1/S166)*cnst_fish!$C$6</f>
        <v>1.6561163607618418E-2</v>
      </c>
      <c r="G166" s="2">
        <f t="shared" si="25"/>
        <v>1</v>
      </c>
      <c r="H166" s="2">
        <f t="shared" si="25"/>
        <v>0.36449057933102513</v>
      </c>
      <c r="I166" s="2">
        <f t="shared" si="19"/>
        <v>0</v>
      </c>
      <c r="J166" s="389">
        <f t="shared" si="20"/>
        <v>0</v>
      </c>
      <c r="L166" s="721">
        <v>23817</v>
      </c>
      <c r="M166" s="581"/>
      <c r="N166" s="585" t="s">
        <v>1739</v>
      </c>
      <c r="O166" s="586" t="s">
        <v>4681</v>
      </c>
      <c r="P166" s="233">
        <f t="shared" si="21"/>
        <v>0</v>
      </c>
      <c r="Q166" s="233">
        <f t="shared" si="22"/>
        <v>23817</v>
      </c>
      <c r="R166" s="2">
        <f t="shared" si="23"/>
        <v>4.26</v>
      </c>
      <c r="S166" s="2">
        <f>(1/9)*cnst_fish!$C$7*(1/cnst_fish!$C$8)^(R166-1)</f>
        <v>256.62448006038221</v>
      </c>
      <c r="T166" s="682">
        <f t="shared" si="24"/>
        <v>524182.4991049291</v>
      </c>
      <c r="W166" s="818"/>
      <c r="X166" s="818"/>
      <c r="Y166" s="819"/>
      <c r="Z166" s="820"/>
      <c r="AA166" s="820"/>
      <c r="AB166" s="821"/>
      <c r="AC166" s="821"/>
      <c r="AD166" s="253"/>
      <c r="AE166" s="253"/>
    </row>
    <row r="167" spans="1:31" ht="14.5">
      <c r="A167" t="s">
        <v>875</v>
      </c>
      <c r="B167" t="s">
        <v>4986</v>
      </c>
      <c r="C167">
        <v>2263</v>
      </c>
      <c r="D167" s="581"/>
      <c r="E167" s="581"/>
      <c r="F167" s="2">
        <f>(1/S167)*cnst_fish!$C$6</f>
        <v>1.4424170509541332</v>
      </c>
      <c r="G167" s="2">
        <f t="shared" si="25"/>
        <v>1</v>
      </c>
      <c r="H167" s="2">
        <f t="shared" si="25"/>
        <v>0.36449057933102513</v>
      </c>
      <c r="I167" s="2">
        <f t="shared" si="19"/>
        <v>0</v>
      </c>
      <c r="J167" s="389">
        <f t="shared" si="20"/>
        <v>0</v>
      </c>
      <c r="L167" s="721">
        <v>765</v>
      </c>
      <c r="M167" s="581">
        <v>140</v>
      </c>
      <c r="N167" s="585" t="s">
        <v>1738</v>
      </c>
      <c r="O167" s="586" t="s">
        <v>4699</v>
      </c>
      <c r="P167" s="233">
        <f t="shared" si="21"/>
        <v>0</v>
      </c>
      <c r="Q167" s="233">
        <f t="shared" si="22"/>
        <v>905</v>
      </c>
      <c r="R167" s="2">
        <f t="shared" si="23"/>
        <v>2.3199999999999998</v>
      </c>
      <c r="S167" s="2">
        <f>(1/9)*cnst_fish!$C$7*(1/cnst_fish!$C$8)^(R167-1)</f>
        <v>2.946443261460824</v>
      </c>
      <c r="T167" s="682">
        <f t="shared" si="24"/>
        <v>228.68834923739885</v>
      </c>
      <c r="W167" s="818"/>
      <c r="X167" s="818"/>
      <c r="Y167" s="819"/>
      <c r="Z167" s="820"/>
      <c r="AA167" s="820"/>
      <c r="AB167" s="821"/>
      <c r="AC167" s="821"/>
      <c r="AD167" s="253"/>
      <c r="AE167" s="253"/>
    </row>
    <row r="168" spans="1:31" ht="14.5">
      <c r="A168" t="s">
        <v>6503</v>
      </c>
      <c r="B168" t="s">
        <v>6502</v>
      </c>
      <c r="C168">
        <v>10634</v>
      </c>
      <c r="D168" s="581"/>
      <c r="E168" s="581"/>
      <c r="F168" s="2">
        <f>(1/S168)*cnst_fish!$C$6</f>
        <v>3.0136363636363641</v>
      </c>
      <c r="G168" s="2">
        <f t="shared" ref="G168:H187" si="26">G$7</f>
        <v>1</v>
      </c>
      <c r="H168" s="2">
        <f t="shared" si="26"/>
        <v>0.36449057933102513</v>
      </c>
      <c r="I168" s="2">
        <f t="shared" si="19"/>
        <v>0</v>
      </c>
      <c r="J168" s="389">
        <f t="shared" si="20"/>
        <v>0</v>
      </c>
      <c r="L168" s="721">
        <v>5</v>
      </c>
      <c r="M168" s="581"/>
      <c r="N168" s="585" t="s">
        <v>1738</v>
      </c>
      <c r="O168" s="586" t="s">
        <v>4699</v>
      </c>
      <c r="P168" s="233">
        <f t="shared" si="21"/>
        <v>0</v>
      </c>
      <c r="Q168" s="233">
        <f t="shared" si="22"/>
        <v>5</v>
      </c>
      <c r="R168" s="2">
        <f t="shared" si="23"/>
        <v>2</v>
      </c>
      <c r="S168" s="2">
        <f>(1/9)*cnst_fish!$C$7*(1/cnst_fish!$C$8)^(R168-1)</f>
        <v>1.4102564102564099</v>
      </c>
      <c r="T168" s="682">
        <f t="shared" si="24"/>
        <v>0.60473550115253027</v>
      </c>
      <c r="W168" s="818"/>
      <c r="X168" s="818"/>
      <c r="Y168" s="819"/>
      <c r="Z168" s="820"/>
      <c r="AA168" s="820"/>
      <c r="AB168" s="821"/>
      <c r="AC168" s="821"/>
      <c r="AD168" s="253"/>
      <c r="AE168" s="253"/>
    </row>
    <row r="169" spans="1:31" ht="14.5">
      <c r="A169" t="s">
        <v>1401</v>
      </c>
      <c r="B169" t="s">
        <v>4987</v>
      </c>
      <c r="C169">
        <v>3058</v>
      </c>
      <c r="D169" s="581"/>
      <c r="E169" s="581"/>
      <c r="F169" s="2">
        <f>(1/S169)*cnst_fish!$C$6</f>
        <v>0.22340394999204924</v>
      </c>
      <c r="G169" s="2">
        <f t="shared" si="26"/>
        <v>1</v>
      </c>
      <c r="H169" s="2">
        <f t="shared" si="26"/>
        <v>0.36449057933102513</v>
      </c>
      <c r="I169" s="2">
        <f t="shared" si="19"/>
        <v>0</v>
      </c>
      <c r="J169" s="389">
        <f t="shared" si="20"/>
        <v>0</v>
      </c>
      <c r="L169" s="721">
        <v>7637</v>
      </c>
      <c r="M169" s="581">
        <v>8071</v>
      </c>
      <c r="N169" s="585" t="s">
        <v>1738</v>
      </c>
      <c r="O169" s="586" t="s">
        <v>4699</v>
      </c>
      <c r="P169" s="233">
        <f t="shared" si="21"/>
        <v>0</v>
      </c>
      <c r="Q169" s="233">
        <f t="shared" si="22"/>
        <v>15708</v>
      </c>
      <c r="R169" s="2">
        <f t="shared" si="23"/>
        <v>3.13</v>
      </c>
      <c r="S169" s="2">
        <f>(1/9)*cnst_fish!$C$7*(1/cnst_fish!$C$8)^(R169-1)</f>
        <v>19.023835523728447</v>
      </c>
      <c r="T169" s="682">
        <f t="shared" si="24"/>
        <v>25628.096639900526</v>
      </c>
      <c r="W169" s="818"/>
      <c r="X169" s="818"/>
      <c r="Y169" s="819"/>
      <c r="Z169" s="820"/>
      <c r="AA169" s="820"/>
      <c r="AB169" s="821"/>
      <c r="AC169" s="821"/>
      <c r="AD169" s="253"/>
      <c r="AE169" s="253"/>
    </row>
    <row r="170" spans="1:31" ht="14.5">
      <c r="A170" t="s">
        <v>5364</v>
      </c>
      <c r="B170" t="s">
        <v>4866</v>
      </c>
      <c r="C170">
        <v>3158</v>
      </c>
      <c r="D170" s="581"/>
      <c r="E170" s="581"/>
      <c r="F170" s="2">
        <f>(1/S170)*cnst_fish!$C$6</f>
        <v>3.8823156944206696E-2</v>
      </c>
      <c r="G170" s="2">
        <f t="shared" si="26"/>
        <v>1</v>
      </c>
      <c r="H170" s="2">
        <f t="shared" si="26"/>
        <v>0.36449057933102513</v>
      </c>
      <c r="I170" s="2">
        <f t="shared" si="19"/>
        <v>0</v>
      </c>
      <c r="J170" s="389">
        <f t="shared" si="20"/>
        <v>0</v>
      </c>
      <c r="L170" s="721">
        <v>215</v>
      </c>
      <c r="M170" s="581"/>
      <c r="N170" s="585" t="s">
        <v>1738</v>
      </c>
      <c r="O170" s="586" t="s">
        <v>4681</v>
      </c>
      <c r="P170" s="233">
        <f t="shared" si="21"/>
        <v>0</v>
      </c>
      <c r="Q170" s="233">
        <f t="shared" si="22"/>
        <v>215</v>
      </c>
      <c r="R170" s="2">
        <f t="shared" si="23"/>
        <v>3.89</v>
      </c>
      <c r="S170" s="2">
        <f>(1/9)*cnst_fish!$C$7*(1/cnst_fish!$C$8)^(R170-1)</f>
        <v>109.47074721686684</v>
      </c>
      <c r="T170" s="682">
        <f t="shared" si="24"/>
        <v>2018.524013098433</v>
      </c>
      <c r="W170" s="818"/>
      <c r="X170" s="818"/>
      <c r="Y170" s="819"/>
      <c r="Z170" s="820"/>
      <c r="AA170" s="820"/>
      <c r="AB170" s="821"/>
      <c r="AC170" s="821"/>
      <c r="AD170" s="253"/>
      <c r="AE170" s="253"/>
    </row>
    <row r="171" spans="1:31" ht="14.5">
      <c r="A171" t="s">
        <v>1016</v>
      </c>
      <c r="B171" t="s">
        <v>4867</v>
      </c>
      <c r="C171">
        <v>2358</v>
      </c>
      <c r="D171" s="581"/>
      <c r="E171" s="581"/>
      <c r="F171" s="2">
        <f>(1/S171)*cnst_fish!$C$6</f>
        <v>0.18581931192461937</v>
      </c>
      <c r="G171" s="2">
        <f t="shared" si="26"/>
        <v>1</v>
      </c>
      <c r="H171" s="2">
        <f t="shared" si="26"/>
        <v>0.36449057933102513</v>
      </c>
      <c r="I171" s="2">
        <f t="shared" si="19"/>
        <v>0</v>
      </c>
      <c r="J171" s="389">
        <f t="shared" si="20"/>
        <v>0</v>
      </c>
      <c r="L171" s="721">
        <v>109</v>
      </c>
      <c r="M171" s="581"/>
      <c r="N171" s="585" t="s">
        <v>1738</v>
      </c>
      <c r="O171" s="586" t="s">
        <v>4681</v>
      </c>
      <c r="P171" s="233">
        <f t="shared" si="21"/>
        <v>0</v>
      </c>
      <c r="Q171" s="233">
        <f t="shared" si="22"/>
        <v>109</v>
      </c>
      <c r="R171" s="2">
        <f t="shared" si="23"/>
        <v>3.21</v>
      </c>
      <c r="S171" s="2">
        <f>(1/9)*cnst_fish!$C$7*(1/cnst_fish!$C$8)^(R171-1)</f>
        <v>22.87168086019004</v>
      </c>
      <c r="T171" s="682">
        <f t="shared" si="24"/>
        <v>213.80701895612793</v>
      </c>
      <c r="W171" s="818"/>
      <c r="X171" s="818"/>
      <c r="Y171" s="819"/>
      <c r="Z171" s="820"/>
      <c r="AA171" s="820"/>
      <c r="AB171" s="821"/>
      <c r="AC171" s="821"/>
      <c r="AD171" s="253"/>
      <c r="AE171" s="253"/>
    </row>
    <row r="172" spans="1:31" ht="14.5">
      <c r="A172" t="s">
        <v>6228</v>
      </c>
      <c r="B172" t="s">
        <v>419</v>
      </c>
      <c r="C172">
        <v>19094</v>
      </c>
      <c r="D172" s="581"/>
      <c r="E172" s="581"/>
      <c r="F172" s="2">
        <f>(1/S172)*cnst_fish!$C$6</f>
        <v>1.6561163607618418E-2</v>
      </c>
      <c r="G172" s="2">
        <f t="shared" si="26"/>
        <v>1</v>
      </c>
      <c r="H172" s="2">
        <f t="shared" si="26"/>
        <v>0.36449057933102513</v>
      </c>
      <c r="I172" s="2">
        <f t="shared" si="19"/>
        <v>0</v>
      </c>
      <c r="J172" s="389">
        <f t="shared" si="20"/>
        <v>0</v>
      </c>
      <c r="L172" s="721"/>
      <c r="M172" s="581">
        <v>500</v>
      </c>
      <c r="N172" s="585" t="s">
        <v>1738</v>
      </c>
      <c r="O172" s="586" t="s">
        <v>4685</v>
      </c>
      <c r="P172" s="233">
        <f t="shared" si="21"/>
        <v>0</v>
      </c>
      <c r="Q172" s="233">
        <f t="shared" si="22"/>
        <v>500</v>
      </c>
      <c r="R172" s="2">
        <f t="shared" si="23"/>
        <v>4.26</v>
      </c>
      <c r="S172" s="2">
        <f>(1/9)*cnst_fish!$C$7*(1/cnst_fish!$C$8)^(R172-1)</f>
        <v>256.62448006038221</v>
      </c>
      <c r="T172" s="682">
        <f t="shared" si="24"/>
        <v>11004.377106791979</v>
      </c>
      <c r="W172" s="818"/>
      <c r="X172" s="818"/>
      <c r="Y172" s="819"/>
      <c r="Z172" s="820"/>
      <c r="AA172" s="820"/>
      <c r="AB172" s="821"/>
      <c r="AC172" s="821"/>
      <c r="AD172" s="253"/>
      <c r="AE172" s="253"/>
    </row>
    <row r="173" spans="1:31" ht="14.5">
      <c r="A173" t="s">
        <v>3385</v>
      </c>
      <c r="B173" t="s">
        <v>4819</v>
      </c>
      <c r="C173">
        <v>19068</v>
      </c>
      <c r="D173" s="581"/>
      <c r="E173" s="581"/>
      <c r="F173" s="2">
        <f>(1/S173)*cnst_fish!$C$6</f>
        <v>1.7745606522761578E-2</v>
      </c>
      <c r="G173" s="2">
        <f t="shared" si="26"/>
        <v>1</v>
      </c>
      <c r="H173" s="2">
        <f t="shared" si="26"/>
        <v>0.36449057933102513</v>
      </c>
      <c r="I173" s="2">
        <f t="shared" si="19"/>
        <v>0</v>
      </c>
      <c r="J173" s="389">
        <f t="shared" si="20"/>
        <v>0</v>
      </c>
      <c r="L173" s="721"/>
      <c r="M173" s="581">
        <v>24</v>
      </c>
      <c r="N173" s="585" t="s">
        <v>1738</v>
      </c>
      <c r="O173" s="586" t="s">
        <v>4685</v>
      </c>
      <c r="P173" s="233">
        <f t="shared" si="21"/>
        <v>0</v>
      </c>
      <c r="Q173" s="233">
        <f t="shared" si="22"/>
        <v>24</v>
      </c>
      <c r="R173" s="2">
        <f t="shared" si="23"/>
        <v>4.2300000000000004</v>
      </c>
      <c r="S173" s="2">
        <f>(1/9)*cnst_fish!$C$7*(1/cnst_fish!$C$8)^(R173-1)</f>
        <v>239.49589970614389</v>
      </c>
      <c r="T173" s="682">
        <f t="shared" si="24"/>
        <v>492.95434860026813</v>
      </c>
      <c r="W173" s="818"/>
      <c r="X173" s="818"/>
      <c r="Y173" s="819"/>
      <c r="Z173" s="820"/>
      <c r="AA173" s="820"/>
      <c r="AB173" s="821"/>
      <c r="AC173" s="821"/>
      <c r="AD173" s="253"/>
      <c r="AE173" s="253"/>
    </row>
    <row r="174" spans="1:31" ht="14.5">
      <c r="A174" t="s">
        <v>9076</v>
      </c>
      <c r="B174" t="s">
        <v>9077</v>
      </c>
      <c r="C174">
        <v>17583</v>
      </c>
      <c r="D174" s="581"/>
      <c r="E174" s="581"/>
      <c r="F174" s="869">
        <f>(1/S174)*cnst_fish!$C$6</f>
        <v>2.3938164528281742</v>
      </c>
      <c r="G174" s="869">
        <f t="shared" si="26"/>
        <v>1</v>
      </c>
      <c r="H174" s="869">
        <f t="shared" si="26"/>
        <v>0.36449057933102513</v>
      </c>
      <c r="I174" s="869">
        <f t="shared" si="19"/>
        <v>0</v>
      </c>
      <c r="J174" s="389">
        <f t="shared" si="20"/>
        <v>0</v>
      </c>
      <c r="L174" s="721">
        <v>0.13</v>
      </c>
      <c r="M174" s="581"/>
      <c r="N174" s="877" t="s">
        <v>1736</v>
      </c>
      <c r="O174" s="882" t="s">
        <v>4691</v>
      </c>
      <c r="P174" s="871">
        <f t="shared" si="21"/>
        <v>0</v>
      </c>
      <c r="Q174" s="871">
        <f t="shared" si="22"/>
        <v>0.13</v>
      </c>
      <c r="R174" s="869">
        <f t="shared" si="23"/>
        <v>2.1</v>
      </c>
      <c r="S174" s="869">
        <f>(1/9)*cnst_fish!$C$7*(1/cnst_fish!$C$8)^(R174-1)</f>
        <v>1.7754076320174161</v>
      </c>
      <c r="T174" s="682">
        <f t="shared" si="24"/>
        <v>1.9794239135190048E-2</v>
      </c>
      <c r="W174" s="818"/>
      <c r="X174" s="818"/>
      <c r="Y174" s="819"/>
      <c r="Z174" s="820"/>
      <c r="AA174" s="820"/>
      <c r="AB174" s="821"/>
      <c r="AC174" s="821"/>
      <c r="AD174" s="253"/>
      <c r="AE174" s="253"/>
    </row>
    <row r="175" spans="1:31" ht="14.5">
      <c r="A175" t="s">
        <v>4236</v>
      </c>
      <c r="B175" t="s">
        <v>8546</v>
      </c>
      <c r="C175">
        <v>18995</v>
      </c>
      <c r="D175" s="581"/>
      <c r="E175" s="581"/>
      <c r="F175" s="2">
        <f>(1/S175)*cnst_fish!$C$6</f>
        <v>2.3938164528281742</v>
      </c>
      <c r="G175" s="2">
        <f t="shared" si="26"/>
        <v>1</v>
      </c>
      <c r="H175" s="2">
        <f t="shared" si="26"/>
        <v>0.36449057933102513</v>
      </c>
      <c r="I175" s="2">
        <f t="shared" si="19"/>
        <v>0</v>
      </c>
      <c r="J175" s="389">
        <f t="shared" si="20"/>
        <v>0</v>
      </c>
      <c r="L175" s="721"/>
      <c r="M175" s="581"/>
      <c r="N175" s="585" t="s">
        <v>1736</v>
      </c>
      <c r="O175" s="586" t="s">
        <v>4691</v>
      </c>
      <c r="P175" s="233">
        <f t="shared" si="21"/>
        <v>0</v>
      </c>
      <c r="Q175" s="233">
        <f t="shared" si="22"/>
        <v>0</v>
      </c>
      <c r="R175" s="2">
        <f t="shared" si="23"/>
        <v>2.1</v>
      </c>
      <c r="S175" s="2">
        <f>(1/9)*cnst_fish!$C$7*(1/cnst_fish!$C$8)^(R175-1)</f>
        <v>1.7754076320174161</v>
      </c>
      <c r="T175" s="682">
        <f t="shared" si="24"/>
        <v>0</v>
      </c>
      <c r="W175" s="818"/>
      <c r="X175" s="818"/>
      <c r="Y175" s="819"/>
      <c r="Z175" s="820"/>
      <c r="AA175" s="820"/>
      <c r="AB175" s="821"/>
      <c r="AC175" s="821"/>
      <c r="AD175" s="253"/>
      <c r="AE175" s="253"/>
    </row>
    <row r="176" spans="1:31" ht="14.5">
      <c r="A176" t="s">
        <v>4368</v>
      </c>
      <c r="B176" t="s">
        <v>4868</v>
      </c>
      <c r="C176">
        <v>3168</v>
      </c>
      <c r="D176" s="581"/>
      <c r="E176" s="581"/>
      <c r="F176" s="2">
        <f>(1/S176)*cnst_fish!$C$6</f>
        <v>6.9038420626592392E-2</v>
      </c>
      <c r="G176" s="2">
        <f t="shared" si="26"/>
        <v>1</v>
      </c>
      <c r="H176" s="2">
        <f t="shared" si="26"/>
        <v>0.36449057933102513</v>
      </c>
      <c r="I176" s="2">
        <f t="shared" si="19"/>
        <v>0</v>
      </c>
      <c r="J176" s="389">
        <f t="shared" si="20"/>
        <v>0</v>
      </c>
      <c r="L176" s="721">
        <v>352</v>
      </c>
      <c r="M176" s="581"/>
      <c r="N176" s="585" t="s">
        <v>1738</v>
      </c>
      <c r="O176" s="586" t="s">
        <v>4681</v>
      </c>
      <c r="P176" s="233">
        <f t="shared" si="21"/>
        <v>0</v>
      </c>
      <c r="Q176" s="233">
        <f t="shared" si="22"/>
        <v>352</v>
      </c>
      <c r="R176" s="2">
        <f t="shared" si="23"/>
        <v>3.64</v>
      </c>
      <c r="S176" s="2">
        <f>(1/9)*cnst_fish!$C$7*(1/cnst_fish!$C$8)^(R176-1)</f>
        <v>61.559925059510611</v>
      </c>
      <c r="T176" s="682">
        <f t="shared" si="24"/>
        <v>1858.3954088182265</v>
      </c>
      <c r="W176" s="818"/>
      <c r="X176" s="818"/>
      <c r="Y176" s="819"/>
      <c r="Z176" s="820"/>
      <c r="AA176" s="820"/>
      <c r="AB176" s="821"/>
      <c r="AC176" s="821"/>
      <c r="AD176" s="253"/>
      <c r="AE176" s="253"/>
    </row>
    <row r="177" spans="1:31" ht="14.5">
      <c r="A177" t="s">
        <v>2819</v>
      </c>
      <c r="B177" t="s">
        <v>5357</v>
      </c>
      <c r="C177">
        <v>10648</v>
      </c>
      <c r="D177" s="581"/>
      <c r="E177" s="581"/>
      <c r="F177" s="2">
        <f>(1/S177)*cnst_fish!$C$6</f>
        <v>1.0692785320993655E-2</v>
      </c>
      <c r="G177" s="2">
        <f t="shared" si="26"/>
        <v>1</v>
      </c>
      <c r="H177" s="2">
        <f t="shared" si="26"/>
        <v>0.36449057933102513</v>
      </c>
      <c r="I177" s="2">
        <f t="shared" si="19"/>
        <v>0</v>
      </c>
      <c r="J177" s="389">
        <f t="shared" si="20"/>
        <v>0</v>
      </c>
      <c r="L177" s="721">
        <v>1771</v>
      </c>
      <c r="M177" s="581"/>
      <c r="N177" s="585" t="s">
        <v>1738</v>
      </c>
      <c r="O177" s="586" t="s">
        <v>4699</v>
      </c>
      <c r="P177" s="233">
        <f t="shared" si="21"/>
        <v>0</v>
      </c>
      <c r="Q177" s="233">
        <f t="shared" si="22"/>
        <v>1771</v>
      </c>
      <c r="R177" s="2">
        <f t="shared" si="23"/>
        <v>4.45</v>
      </c>
      <c r="S177" s="2">
        <f>(1/9)*cnst_fish!$C$7*(1/cnst_fish!$C$8)^(R177-1)</f>
        <v>397.46425953729499</v>
      </c>
      <c r="T177" s="682">
        <f t="shared" si="24"/>
        <v>60369.005513266908</v>
      </c>
      <c r="W177" s="818"/>
      <c r="X177" s="818"/>
      <c r="Y177" s="819"/>
      <c r="Z177" s="820"/>
      <c r="AA177" s="820"/>
      <c r="AB177" s="821"/>
      <c r="AC177" s="821"/>
      <c r="AD177" s="253"/>
      <c r="AE177" s="253"/>
    </row>
    <row r="178" spans="1:31" ht="14.5">
      <c r="A178" t="s">
        <v>8998</v>
      </c>
      <c r="B178" t="s">
        <v>8999</v>
      </c>
      <c r="C178">
        <v>10650</v>
      </c>
      <c r="D178" s="581"/>
      <c r="E178" s="581"/>
      <c r="F178" s="869">
        <f>(1/S178)*cnst_fish!$C$6</f>
        <v>6.0129950673834844E-2</v>
      </c>
      <c r="G178" s="869">
        <f t="shared" si="26"/>
        <v>1</v>
      </c>
      <c r="H178" s="869">
        <f t="shared" si="26"/>
        <v>0.36449057933102513</v>
      </c>
      <c r="I178" s="869">
        <f t="shared" si="19"/>
        <v>0</v>
      </c>
      <c r="J178" s="389">
        <f t="shared" si="20"/>
        <v>0</v>
      </c>
      <c r="L178" s="721">
        <v>1</v>
      </c>
      <c r="M178" s="581"/>
      <c r="N178" s="877" t="s">
        <v>1738</v>
      </c>
      <c r="O178" s="881" t="s">
        <v>4681</v>
      </c>
      <c r="P178" s="871">
        <f t="shared" si="21"/>
        <v>0</v>
      </c>
      <c r="Q178" s="871">
        <f t="shared" si="22"/>
        <v>1</v>
      </c>
      <c r="R178" s="869">
        <f t="shared" si="23"/>
        <v>3.7</v>
      </c>
      <c r="S178" s="869">
        <f>(1/9)*cnst_fish!$C$7*(1/cnst_fish!$C$8)^(R178-1)</f>
        <v>70.680250896153822</v>
      </c>
      <c r="T178" s="682">
        <f t="shared" si="24"/>
        <v>6.0617142579767798</v>
      </c>
      <c r="W178" s="818"/>
      <c r="X178" s="818"/>
      <c r="Y178" s="819"/>
      <c r="Z178" s="820"/>
      <c r="AA178" s="820"/>
      <c r="AB178" s="821"/>
      <c r="AC178" s="821"/>
      <c r="AD178" s="253"/>
      <c r="AE178" s="253"/>
    </row>
    <row r="179" spans="1:31" ht="14.5">
      <c r="A179" t="s">
        <v>8250</v>
      </c>
      <c r="B179" t="s">
        <v>8251</v>
      </c>
      <c r="C179">
        <v>10654</v>
      </c>
      <c r="D179" s="581"/>
      <c r="E179" s="581"/>
      <c r="F179" s="2">
        <f>(1/S179)*cnst_fish!$C$6</f>
        <v>0.23938164528281752</v>
      </c>
      <c r="G179" s="2">
        <f t="shared" si="26"/>
        <v>1</v>
      </c>
      <c r="H179" s="2">
        <f t="shared" si="26"/>
        <v>0.36449057933102513</v>
      </c>
      <c r="I179" s="2">
        <f t="shared" si="19"/>
        <v>0</v>
      </c>
      <c r="J179" s="389">
        <f t="shared" si="20"/>
        <v>0</v>
      </c>
      <c r="L179" s="721"/>
      <c r="M179" s="581">
        <v>104</v>
      </c>
      <c r="N179" s="585" t="s">
        <v>1738</v>
      </c>
      <c r="O179" s="586" t="s">
        <v>4685</v>
      </c>
      <c r="P179" s="233">
        <f t="shared" si="21"/>
        <v>0</v>
      </c>
      <c r="Q179" s="233">
        <f t="shared" si="22"/>
        <v>104</v>
      </c>
      <c r="R179" s="2">
        <f t="shared" si="23"/>
        <v>3.1</v>
      </c>
      <c r="S179" s="2">
        <f>(1/9)*cnst_fish!$C$7*(1/cnst_fish!$C$8)^(R179-1)</f>
        <v>17.754076320174157</v>
      </c>
      <c r="T179" s="682">
        <f t="shared" si="24"/>
        <v>158.35391308152032</v>
      </c>
      <c r="W179" s="818"/>
      <c r="X179" s="818"/>
      <c r="Y179" s="819"/>
      <c r="Z179" s="820"/>
      <c r="AA179" s="820"/>
      <c r="AB179" s="821"/>
      <c r="AC179" s="821"/>
      <c r="AD179" s="253"/>
      <c r="AE179" s="253"/>
    </row>
    <row r="180" spans="1:31" ht="14.5">
      <c r="A180" t="s">
        <v>6294</v>
      </c>
      <c r="B180" t="s">
        <v>6293</v>
      </c>
      <c r="C180">
        <v>10655</v>
      </c>
      <c r="D180" s="581"/>
      <c r="E180" s="581"/>
      <c r="F180" s="2">
        <f>(1/S180)*cnst_fish!$C$6</f>
        <v>0.37939434000887845</v>
      </c>
      <c r="G180" s="2">
        <f t="shared" si="26"/>
        <v>1</v>
      </c>
      <c r="H180" s="2">
        <f t="shared" si="26"/>
        <v>0.36449057933102513</v>
      </c>
      <c r="I180" s="2">
        <f t="shared" si="19"/>
        <v>0</v>
      </c>
      <c r="J180" s="389">
        <f t="shared" si="20"/>
        <v>0</v>
      </c>
      <c r="L180" s="721"/>
      <c r="M180" s="581">
        <v>183</v>
      </c>
      <c r="N180" s="585" t="s">
        <v>1738</v>
      </c>
      <c r="O180" s="586" t="s">
        <v>4685</v>
      </c>
      <c r="P180" s="233">
        <f t="shared" si="21"/>
        <v>0</v>
      </c>
      <c r="Q180" s="233">
        <f t="shared" si="22"/>
        <v>183</v>
      </c>
      <c r="R180" s="2">
        <f t="shared" si="23"/>
        <v>2.9</v>
      </c>
      <c r="S180" s="2">
        <f>(1/9)*cnst_fish!$C$7*(1/cnst_fish!$C$8)^(R180-1)</f>
        <v>11.20206484867577</v>
      </c>
      <c r="T180" s="682">
        <f t="shared" si="24"/>
        <v>175.81120481664715</v>
      </c>
      <c r="W180" s="818"/>
      <c r="X180" s="818"/>
      <c r="Y180" s="819"/>
      <c r="Z180" s="820"/>
      <c r="AA180" s="820"/>
      <c r="AB180" s="821"/>
      <c r="AC180" s="821"/>
      <c r="AD180" s="253"/>
      <c r="AE180" s="253"/>
    </row>
    <row r="181" spans="1:31" ht="14.5">
      <c r="A181" t="s">
        <v>4615</v>
      </c>
      <c r="B181" t="s">
        <v>851</v>
      </c>
      <c r="C181">
        <v>3533</v>
      </c>
      <c r="D181" s="581"/>
      <c r="E181" s="581"/>
      <c r="F181" s="2">
        <f>(1/S181)*cnst_fish!$C$6</f>
        <v>2.3938164528281742</v>
      </c>
      <c r="G181" s="2">
        <f t="shared" si="26"/>
        <v>1</v>
      </c>
      <c r="H181" s="2">
        <f t="shared" si="26"/>
        <v>0.36449057933102513</v>
      </c>
      <c r="I181" s="2">
        <f t="shared" si="19"/>
        <v>0</v>
      </c>
      <c r="J181" s="389">
        <f t="shared" si="20"/>
        <v>0</v>
      </c>
      <c r="L181" s="721">
        <v>7826</v>
      </c>
      <c r="M181" s="581"/>
      <c r="N181" s="585" t="s">
        <v>2314</v>
      </c>
      <c r="O181" s="586" t="s">
        <v>4691</v>
      </c>
      <c r="P181" s="233">
        <f t="shared" si="21"/>
        <v>0</v>
      </c>
      <c r="Q181" s="233">
        <f t="shared" si="22"/>
        <v>7826</v>
      </c>
      <c r="R181" s="2">
        <f t="shared" si="23"/>
        <v>2.1</v>
      </c>
      <c r="S181" s="2">
        <f>(1/9)*cnst_fish!$C$7*(1/cnst_fish!$C$8)^(R181-1)</f>
        <v>1.7754076320174161</v>
      </c>
      <c r="T181" s="682">
        <f t="shared" si="24"/>
        <v>1191.6131959384409</v>
      </c>
      <c r="W181" s="818"/>
      <c r="X181" s="818"/>
      <c r="Y181" s="819"/>
      <c r="Z181" s="820"/>
      <c r="AA181" s="820"/>
      <c r="AB181" s="821"/>
      <c r="AC181" s="821"/>
      <c r="AD181" s="253"/>
      <c r="AE181" s="253"/>
    </row>
    <row r="182" spans="1:31" ht="14.5">
      <c r="A182" t="s">
        <v>826</v>
      </c>
      <c r="B182" t="s">
        <v>1639</v>
      </c>
      <c r="C182">
        <v>2554</v>
      </c>
      <c r="D182" s="581"/>
      <c r="E182" s="581"/>
      <c r="F182" s="2">
        <f>(1/S182)*cnst_fish!$C$6</f>
        <v>9.9790878883162681E-2</v>
      </c>
      <c r="G182" s="2">
        <f t="shared" si="26"/>
        <v>1</v>
      </c>
      <c r="H182" s="2">
        <f t="shared" si="26"/>
        <v>0.36449057933102513</v>
      </c>
      <c r="I182" s="2">
        <f t="shared" si="19"/>
        <v>0</v>
      </c>
      <c r="J182" s="389">
        <f t="shared" si="20"/>
        <v>0</v>
      </c>
      <c r="L182" s="721">
        <v>721</v>
      </c>
      <c r="M182" s="581"/>
      <c r="N182" s="585" t="s">
        <v>1741</v>
      </c>
      <c r="O182" s="586" t="s">
        <v>4681</v>
      </c>
      <c r="P182" s="233">
        <f t="shared" si="21"/>
        <v>0</v>
      </c>
      <c r="Q182" s="233">
        <f t="shared" si="22"/>
        <v>721</v>
      </c>
      <c r="R182" s="2">
        <f t="shared" si="23"/>
        <v>3.48</v>
      </c>
      <c r="S182" s="2">
        <f>(1/9)*cnst_fish!$C$7*(1/cnst_fish!$C$8)^(R182-1)</f>
        <v>42.589062723618177</v>
      </c>
      <c r="T182" s="682">
        <f t="shared" si="24"/>
        <v>2633.4842486492016</v>
      </c>
      <c r="W182" s="818"/>
      <c r="X182" s="818"/>
      <c r="Y182" s="819"/>
      <c r="Z182" s="820"/>
      <c r="AA182" s="820"/>
      <c r="AB182" s="821"/>
      <c r="AC182" s="821"/>
      <c r="AD182" s="253"/>
      <c r="AE182" s="253"/>
    </row>
    <row r="183" spans="1:31" ht="14.5">
      <c r="A183" t="s">
        <v>330</v>
      </c>
      <c r="B183" t="s">
        <v>1428</v>
      </c>
      <c r="C183">
        <v>2555</v>
      </c>
      <c r="D183" s="581"/>
      <c r="E183" s="581"/>
      <c r="F183" s="2">
        <f>(1/S183)*cnst_fish!$C$6</f>
        <v>2.8124890974018386E-2</v>
      </c>
      <c r="G183" s="2">
        <f t="shared" si="26"/>
        <v>1</v>
      </c>
      <c r="H183" s="2">
        <f t="shared" si="26"/>
        <v>0.36449057933102513</v>
      </c>
      <c r="I183" s="2">
        <f t="shared" si="19"/>
        <v>0</v>
      </c>
      <c r="J183" s="389">
        <f t="shared" si="20"/>
        <v>0</v>
      </c>
      <c r="L183" s="721">
        <v>128</v>
      </c>
      <c r="M183" s="581"/>
      <c r="N183" s="585" t="s">
        <v>1741</v>
      </c>
      <c r="O183" s="586" t="s">
        <v>4681</v>
      </c>
      <c r="P183" s="233">
        <f t="shared" si="21"/>
        <v>0</v>
      </c>
      <c r="Q183" s="233">
        <f t="shared" si="22"/>
        <v>128</v>
      </c>
      <c r="R183" s="2">
        <f t="shared" si="23"/>
        <v>4.03</v>
      </c>
      <c r="S183" s="2">
        <f>(1/9)*cnst_fish!$C$7*(1/cnst_fish!$C$8)^(R183-1)</f>
        <v>151.11169689248311</v>
      </c>
      <c r="T183" s="682">
        <f t="shared" si="24"/>
        <v>1658.8435559615377</v>
      </c>
      <c r="W183" s="818"/>
      <c r="X183" s="818"/>
      <c r="Y183" s="819"/>
      <c r="Z183" s="820"/>
      <c r="AA183" s="820"/>
      <c r="AB183" s="821"/>
      <c r="AC183" s="821"/>
      <c r="AD183" s="253"/>
      <c r="AE183" s="253"/>
    </row>
    <row r="184" spans="1:31" ht="14.5">
      <c r="A184" t="s">
        <v>2216</v>
      </c>
      <c r="B184" t="s">
        <v>1429</v>
      </c>
      <c r="C184">
        <v>3369</v>
      </c>
      <c r="D184" s="581"/>
      <c r="E184" s="581"/>
      <c r="F184" s="2">
        <f>(1/S184)*cnst_fish!$C$6</f>
        <v>5.2370997702765265E-2</v>
      </c>
      <c r="G184" s="2">
        <f t="shared" si="26"/>
        <v>1</v>
      </c>
      <c r="H184" s="2">
        <f t="shared" si="26"/>
        <v>0.36449057933102513</v>
      </c>
      <c r="I184" s="2">
        <f t="shared" si="19"/>
        <v>0</v>
      </c>
      <c r="J184" s="389">
        <f t="shared" si="20"/>
        <v>0</v>
      </c>
      <c r="L184" s="721">
        <v>0</v>
      </c>
      <c r="M184" s="581"/>
      <c r="N184" s="585" t="s">
        <v>1741</v>
      </c>
      <c r="O184" s="586" t="s">
        <v>4681</v>
      </c>
      <c r="P184" s="233">
        <f t="shared" si="21"/>
        <v>0</v>
      </c>
      <c r="Q184" s="233">
        <f t="shared" si="22"/>
        <v>0</v>
      </c>
      <c r="R184" s="2">
        <f t="shared" si="23"/>
        <v>3.76</v>
      </c>
      <c r="S184" s="2">
        <f>(1/9)*cnst_fish!$C$7*(1/cnst_fish!$C$8)^(R184-1)</f>
        <v>81.151786034727266</v>
      </c>
      <c r="T184" s="682">
        <f t="shared" si="24"/>
        <v>0</v>
      </c>
      <c r="W184" s="818"/>
      <c r="X184" s="818"/>
      <c r="Y184" s="819"/>
      <c r="Z184" s="820"/>
      <c r="AA184" s="820"/>
      <c r="AB184" s="821"/>
      <c r="AC184" s="821"/>
      <c r="AD184" s="253"/>
      <c r="AE184" s="253"/>
    </row>
    <row r="185" spans="1:31" ht="14.5">
      <c r="A185" t="s">
        <v>2287</v>
      </c>
      <c r="B185" t="s">
        <v>6391</v>
      </c>
      <c r="C185">
        <v>18572</v>
      </c>
      <c r="D185" s="581"/>
      <c r="E185" s="581"/>
      <c r="F185" s="2">
        <f>(1/S185)*cnst_fish!$C$6</f>
        <v>3.0136363636363641</v>
      </c>
      <c r="G185" s="2">
        <f t="shared" si="26"/>
        <v>1</v>
      </c>
      <c r="H185" s="2">
        <f t="shared" si="26"/>
        <v>0.36449057933102513</v>
      </c>
      <c r="I185" s="2">
        <f t="shared" si="19"/>
        <v>0</v>
      </c>
      <c r="J185" s="389">
        <f t="shared" si="20"/>
        <v>0</v>
      </c>
      <c r="L185" s="721">
        <v>283</v>
      </c>
      <c r="M185" s="581"/>
      <c r="N185" s="585" t="s">
        <v>1737</v>
      </c>
      <c r="O185" s="586" t="s">
        <v>4680</v>
      </c>
      <c r="P185" s="233">
        <f t="shared" si="21"/>
        <v>0</v>
      </c>
      <c r="Q185" s="233">
        <f t="shared" si="22"/>
        <v>283</v>
      </c>
      <c r="R185" s="2">
        <f t="shared" si="23"/>
        <v>2</v>
      </c>
      <c r="S185" s="2">
        <f>(1/9)*cnst_fish!$C$7*(1/cnst_fish!$C$8)^(R185-1)</f>
        <v>1.4102564102564099</v>
      </c>
      <c r="T185" s="682">
        <f t="shared" si="24"/>
        <v>34.228029365233212</v>
      </c>
      <c r="W185" s="818"/>
      <c r="X185" s="818"/>
      <c r="Y185" s="819"/>
      <c r="Z185" s="820"/>
      <c r="AA185" s="820"/>
      <c r="AB185" s="821"/>
      <c r="AC185" s="821"/>
      <c r="AD185" s="253"/>
      <c r="AE185" s="253"/>
    </row>
    <row r="186" spans="1:31" ht="14.5">
      <c r="A186" t="s">
        <v>263</v>
      </c>
      <c r="B186" t="s">
        <v>5290</v>
      </c>
      <c r="C186">
        <v>3457</v>
      </c>
      <c r="D186" s="581"/>
      <c r="E186" s="581"/>
      <c r="F186" s="2">
        <f>(1/S186)*cnst_fish!$C$6</f>
        <v>1.9014759972289452</v>
      </c>
      <c r="G186" s="2">
        <f t="shared" si="26"/>
        <v>1</v>
      </c>
      <c r="H186" s="2">
        <f t="shared" si="26"/>
        <v>0.36449057933102513</v>
      </c>
      <c r="I186" s="2">
        <f t="shared" si="19"/>
        <v>0</v>
      </c>
      <c r="J186" s="389">
        <f t="shared" si="20"/>
        <v>0</v>
      </c>
      <c r="L186" s="721"/>
      <c r="M186" s="581">
        <v>0</v>
      </c>
      <c r="N186" s="585" t="s">
        <v>1737</v>
      </c>
      <c r="O186" s="586" t="s">
        <v>4680</v>
      </c>
      <c r="P186" s="233">
        <f t="shared" si="21"/>
        <v>0</v>
      </c>
      <c r="Q186" s="233">
        <f t="shared" si="22"/>
        <v>0</v>
      </c>
      <c r="R186" s="2">
        <f t="shared" si="23"/>
        <v>2.2000000000000002</v>
      </c>
      <c r="S186" s="2">
        <f>(1/9)*cnst_fish!$C$7*(1/cnst_fish!$C$8)^(R186-1)</f>
        <v>2.2351057842400328</v>
      </c>
      <c r="T186" s="682">
        <f t="shared" si="24"/>
        <v>0</v>
      </c>
      <c r="W186" s="818"/>
      <c r="X186" s="818"/>
      <c r="Y186" s="819"/>
      <c r="Z186" s="820"/>
      <c r="AA186" s="820"/>
      <c r="AB186" s="821"/>
      <c r="AC186" s="821"/>
      <c r="AD186" s="253"/>
      <c r="AE186" s="253"/>
    </row>
    <row r="187" spans="1:31" ht="14.5">
      <c r="A187" t="s">
        <v>4952</v>
      </c>
      <c r="B187" t="s">
        <v>4953</v>
      </c>
      <c r="C187">
        <v>2492</v>
      </c>
      <c r="D187" s="581"/>
      <c r="E187" s="581"/>
      <c r="F187" s="2">
        <f>(1/S187)*cnst_fish!$C$6</f>
        <v>2.234039499920492E-2</v>
      </c>
      <c r="G187" s="2">
        <f t="shared" si="26"/>
        <v>1</v>
      </c>
      <c r="H187" s="2">
        <f t="shared" si="26"/>
        <v>0.36449057933102513</v>
      </c>
      <c r="I187" s="2">
        <f t="shared" si="19"/>
        <v>0</v>
      </c>
      <c r="J187" s="389">
        <f t="shared" si="20"/>
        <v>0</v>
      </c>
      <c r="L187" s="721">
        <v>37685.840000000004</v>
      </c>
      <c r="M187" s="581"/>
      <c r="N187" s="585" t="s">
        <v>2843</v>
      </c>
      <c r="O187" s="586" t="s">
        <v>4699</v>
      </c>
      <c r="P187" s="233">
        <f t="shared" si="21"/>
        <v>0</v>
      </c>
      <c r="Q187" s="233">
        <f t="shared" si="22"/>
        <v>37685.840000000004</v>
      </c>
      <c r="R187" s="2">
        <f t="shared" si="23"/>
        <v>4.13</v>
      </c>
      <c r="S187" s="2">
        <f>(1/9)*cnst_fish!$C$7*(1/cnst_fish!$C$8)^(R187-1)</f>
        <v>190.23835523728451</v>
      </c>
      <c r="T187" s="682">
        <f t="shared" si="24"/>
        <v>614856.34675059153</v>
      </c>
      <c r="W187" s="818"/>
      <c r="X187" s="818"/>
      <c r="Y187" s="819"/>
      <c r="Z187" s="820"/>
      <c r="AA187" s="820"/>
      <c r="AB187" s="821"/>
      <c r="AC187" s="821"/>
      <c r="AD187" s="253"/>
      <c r="AE187" s="253"/>
    </row>
    <row r="188" spans="1:31" ht="14.5">
      <c r="A188" t="s">
        <v>4957</v>
      </c>
      <c r="B188" t="s">
        <v>4115</v>
      </c>
      <c r="C188">
        <v>2491</v>
      </c>
      <c r="D188" s="581"/>
      <c r="E188" s="581"/>
      <c r="F188" s="2">
        <f>(1/S188)*cnst_fish!$C$6</f>
        <v>1.3774975896121007E-2</v>
      </c>
      <c r="G188" s="2">
        <f t="shared" ref="G188:H207" si="27">G$7</f>
        <v>1</v>
      </c>
      <c r="H188" s="2">
        <f t="shared" si="27"/>
        <v>0.36449057933102513</v>
      </c>
      <c r="I188" s="2">
        <f t="shared" si="19"/>
        <v>0</v>
      </c>
      <c r="J188" s="389">
        <f t="shared" si="20"/>
        <v>0</v>
      </c>
      <c r="L188" s="721">
        <v>138038.01</v>
      </c>
      <c r="M188" s="581"/>
      <c r="N188" s="585" t="s">
        <v>2843</v>
      </c>
      <c r="O188" s="586" t="s">
        <v>4699</v>
      </c>
      <c r="P188" s="233">
        <f t="shared" si="21"/>
        <v>0</v>
      </c>
      <c r="Q188" s="233">
        <f t="shared" si="22"/>
        <v>138038.01</v>
      </c>
      <c r="R188" s="2">
        <f t="shared" si="23"/>
        <v>4.34</v>
      </c>
      <c r="S188" s="2">
        <f>(1/9)*cnst_fish!$C$7*(1/cnst_fish!$C$8)^(R188-1)</f>
        <v>308.53048542878304</v>
      </c>
      <c r="T188" s="682">
        <f t="shared" si="24"/>
        <v>3652533.0145056732</v>
      </c>
      <c r="W188" s="818"/>
      <c r="X188" s="818"/>
      <c r="Y188" s="819"/>
      <c r="Z188" s="820"/>
      <c r="AA188" s="820"/>
      <c r="AB188" s="821"/>
      <c r="AC188" s="821"/>
      <c r="AD188" s="253"/>
      <c r="AE188" s="253"/>
    </row>
    <row r="189" spans="1:31" ht="14.5">
      <c r="A189" t="s">
        <v>3122</v>
      </c>
      <c r="B189" t="s">
        <v>211</v>
      </c>
      <c r="C189">
        <v>3292</v>
      </c>
      <c r="D189" s="581"/>
      <c r="E189" s="581"/>
      <c r="F189" s="2">
        <f>(1/S189)*cnst_fish!$C$6</f>
        <v>1.7745606522761578E-2</v>
      </c>
      <c r="G189" s="2">
        <f t="shared" si="27"/>
        <v>1</v>
      </c>
      <c r="H189" s="2">
        <f t="shared" si="27"/>
        <v>0.36449057933102513</v>
      </c>
      <c r="I189" s="2">
        <f t="shared" si="19"/>
        <v>0</v>
      </c>
      <c r="J189" s="389">
        <f t="shared" si="20"/>
        <v>0</v>
      </c>
      <c r="L189" s="721">
        <v>271462.90999999997</v>
      </c>
      <c r="M189" s="581"/>
      <c r="N189" s="585" t="s">
        <v>2843</v>
      </c>
      <c r="O189" s="586" t="s">
        <v>4699</v>
      </c>
      <c r="P189" s="233">
        <f t="shared" si="21"/>
        <v>0</v>
      </c>
      <c r="Q189" s="233">
        <f t="shared" si="22"/>
        <v>271462.90999999997</v>
      </c>
      <c r="R189" s="2">
        <f t="shared" si="23"/>
        <v>4.2300000000000004</v>
      </c>
      <c r="S189" s="2">
        <f>(1/9)*cnst_fish!$C$7*(1/cnst_fish!$C$8)^(R189-1)</f>
        <v>239.49589970614389</v>
      </c>
      <c r="T189" s="682">
        <f t="shared" si="24"/>
        <v>5575784.2486743005</v>
      </c>
      <c r="W189" s="818"/>
      <c r="X189" s="818"/>
      <c r="Y189" s="819"/>
      <c r="Z189" s="820"/>
      <c r="AA189" s="820"/>
      <c r="AB189" s="821"/>
      <c r="AC189" s="821"/>
      <c r="AD189" s="253"/>
      <c r="AE189" s="253"/>
    </row>
    <row r="190" spans="1:31" ht="14.5">
      <c r="A190" t="s">
        <v>1660</v>
      </c>
      <c r="B190" t="s">
        <v>4738</v>
      </c>
      <c r="C190">
        <v>19063</v>
      </c>
      <c r="D190" s="581"/>
      <c r="E190" s="581"/>
      <c r="F190" s="2">
        <f>(1/S190)*cnst_fish!$C$6</f>
        <v>0.14481532779905856</v>
      </c>
      <c r="G190" s="2">
        <f t="shared" si="27"/>
        <v>1</v>
      </c>
      <c r="H190" s="2">
        <f t="shared" si="27"/>
        <v>0.36449057933102513</v>
      </c>
      <c r="I190" s="2">
        <f t="shared" si="19"/>
        <v>0</v>
      </c>
      <c r="J190" s="389">
        <f t="shared" si="20"/>
        <v>0</v>
      </c>
      <c r="L190" s="721">
        <v>2180</v>
      </c>
      <c r="M190" s="581"/>
      <c r="N190" s="585" t="s">
        <v>2314</v>
      </c>
      <c r="O190" s="586" t="s">
        <v>4691</v>
      </c>
      <c r="P190" s="233">
        <f t="shared" si="21"/>
        <v>0</v>
      </c>
      <c r="Q190" s="233">
        <f t="shared" si="22"/>
        <v>2180</v>
      </c>
      <c r="R190" s="2">
        <f t="shared" si="23"/>
        <v>3.3182763159269002</v>
      </c>
      <c r="S190" s="2">
        <f>(1/9)*cnst_fish!$C$7*(1/cnst_fish!$C$8)^(R190-1)</f>
        <v>29.347722127157517</v>
      </c>
      <c r="T190" s="682">
        <f t="shared" si="24"/>
        <v>5486.9154737831586</v>
      </c>
      <c r="W190" s="818"/>
      <c r="X190" s="818"/>
      <c r="Y190" s="819"/>
      <c r="Z190" s="820"/>
      <c r="AA190" s="820"/>
      <c r="AB190" s="821"/>
      <c r="AC190" s="821"/>
      <c r="AD190" s="253"/>
      <c r="AE190" s="253"/>
    </row>
    <row r="191" spans="1:31" ht="14.5">
      <c r="A191" t="s">
        <v>8846</v>
      </c>
      <c r="B191" t="s">
        <v>8847</v>
      </c>
      <c r="C191">
        <v>10686</v>
      </c>
      <c r="D191" s="581"/>
      <c r="E191" s="581"/>
      <c r="F191" s="2">
        <f>(1/S191)*cnst_fish!$C$6</f>
        <v>9.5299549485983348E-2</v>
      </c>
      <c r="G191" s="2">
        <f t="shared" si="27"/>
        <v>1</v>
      </c>
      <c r="H191" s="2">
        <f t="shared" si="27"/>
        <v>0.36449057933102513</v>
      </c>
      <c r="I191" s="2">
        <f t="shared" si="19"/>
        <v>0</v>
      </c>
      <c r="J191" s="389">
        <f t="shared" si="20"/>
        <v>0</v>
      </c>
      <c r="L191" s="721">
        <v>510</v>
      </c>
      <c r="M191" s="581"/>
      <c r="N191" s="585" t="s">
        <v>4282</v>
      </c>
      <c r="O191" s="586" t="s">
        <v>4681</v>
      </c>
      <c r="P191" s="233">
        <f t="shared" si="21"/>
        <v>0</v>
      </c>
      <c r="Q191" s="233">
        <f t="shared" si="22"/>
        <v>510</v>
      </c>
      <c r="R191" s="2">
        <f t="shared" si="23"/>
        <v>3.5</v>
      </c>
      <c r="S191" s="2">
        <f>(1/9)*cnst_fish!$C$7*(1/cnst_fish!$C$8)^(R191-1)</f>
        <v>44.596223412631026</v>
      </c>
      <c r="T191" s="682">
        <f t="shared" si="24"/>
        <v>1950.5883969174854</v>
      </c>
      <c r="W191" s="818"/>
      <c r="X191" s="818"/>
      <c r="Y191" s="819"/>
      <c r="Z191" s="820"/>
      <c r="AA191" s="820"/>
      <c r="AB191" s="821"/>
      <c r="AC191" s="821"/>
      <c r="AD191" s="253"/>
      <c r="AE191" s="253"/>
    </row>
    <row r="192" spans="1:31" ht="14.5">
      <c r="A192" t="s">
        <v>4967</v>
      </c>
      <c r="B192" t="s">
        <v>6248</v>
      </c>
      <c r="C192">
        <v>10693</v>
      </c>
      <c r="D192" s="581"/>
      <c r="E192" s="581"/>
      <c r="F192" s="2">
        <f>(1/S192)*cnst_fish!$C$6</f>
        <v>3.0136363636363642E-2</v>
      </c>
      <c r="G192" s="2">
        <f t="shared" si="27"/>
        <v>1</v>
      </c>
      <c r="H192" s="2">
        <f t="shared" si="27"/>
        <v>0.36449057933102513</v>
      </c>
      <c r="I192" s="2">
        <f t="shared" si="19"/>
        <v>0</v>
      </c>
      <c r="J192" s="389">
        <f t="shared" si="20"/>
        <v>0</v>
      </c>
      <c r="L192" s="721"/>
      <c r="M192" s="581">
        <v>6470</v>
      </c>
      <c r="N192" s="585" t="s">
        <v>1738</v>
      </c>
      <c r="O192" s="586" t="s">
        <v>4685</v>
      </c>
      <c r="P192" s="233">
        <f t="shared" si="21"/>
        <v>0</v>
      </c>
      <c r="Q192" s="233">
        <f t="shared" si="22"/>
        <v>6470</v>
      </c>
      <c r="R192" s="2">
        <f t="shared" si="23"/>
        <v>4</v>
      </c>
      <c r="S192" s="2">
        <f>(1/9)*cnst_fish!$C$7*(1/cnst_fish!$C$8)^(R192-1)</f>
        <v>141.02564102564099</v>
      </c>
      <c r="T192" s="682">
        <f t="shared" si="24"/>
        <v>78252.773849137418</v>
      </c>
      <c r="W192" s="818"/>
      <c r="X192" s="818"/>
      <c r="Y192" s="819"/>
      <c r="Z192" s="820"/>
      <c r="AA192" s="820"/>
      <c r="AB192" s="821"/>
      <c r="AC192" s="821"/>
      <c r="AD192" s="253"/>
      <c r="AE192" s="253"/>
    </row>
    <row r="193" spans="1:31" ht="14.5">
      <c r="A193" t="s">
        <v>910</v>
      </c>
      <c r="B193" t="s">
        <v>4101</v>
      </c>
      <c r="C193">
        <v>2975</v>
      </c>
      <c r="D193" s="581"/>
      <c r="E193" s="581"/>
      <c r="F193" s="2">
        <f>(1/S193)*cnst_fish!$C$6</f>
        <v>3.0136363636363642E-2</v>
      </c>
      <c r="G193" s="2">
        <f t="shared" si="27"/>
        <v>1</v>
      </c>
      <c r="H193" s="2">
        <f t="shared" si="27"/>
        <v>0.36449057933102513</v>
      </c>
      <c r="I193" s="2">
        <f t="shared" si="19"/>
        <v>0</v>
      </c>
      <c r="J193" s="389">
        <f t="shared" si="20"/>
        <v>0</v>
      </c>
      <c r="L193" s="721"/>
      <c r="M193" s="581">
        <v>26587</v>
      </c>
      <c r="N193" s="585" t="s">
        <v>1738</v>
      </c>
      <c r="O193" s="586" t="s">
        <v>4685</v>
      </c>
      <c r="P193" s="233">
        <f t="shared" si="21"/>
        <v>0</v>
      </c>
      <c r="Q193" s="233">
        <f t="shared" si="22"/>
        <v>26587</v>
      </c>
      <c r="R193" s="2">
        <f t="shared" si="23"/>
        <v>4</v>
      </c>
      <c r="S193" s="2">
        <f>(1/9)*cnst_fish!$C$7*(1/cnst_fish!$C$8)^(R193-1)</f>
        <v>141.02564102564099</v>
      </c>
      <c r="T193" s="682">
        <f t="shared" si="24"/>
        <v>321562.05538284645</v>
      </c>
      <c r="W193" s="818"/>
      <c r="X193" s="818"/>
      <c r="Y193" s="819"/>
      <c r="Z193" s="820"/>
      <c r="AA193" s="820"/>
      <c r="AB193" s="821"/>
      <c r="AC193" s="821"/>
      <c r="AD193" s="253"/>
      <c r="AE193" s="253"/>
    </row>
    <row r="194" spans="1:31" ht="14.5">
      <c r="A194" t="s">
        <v>3280</v>
      </c>
      <c r="B194" t="s">
        <v>4869</v>
      </c>
      <c r="C194">
        <v>3373</v>
      </c>
      <c r="D194" s="581"/>
      <c r="E194" s="581"/>
      <c r="F194" s="2">
        <f>(1/S194)*cnst_fish!$C$6</f>
        <v>8.4935812883106004E-2</v>
      </c>
      <c r="G194" s="2">
        <f t="shared" si="27"/>
        <v>1</v>
      </c>
      <c r="H194" s="2">
        <f t="shared" si="27"/>
        <v>0.36449057933102513</v>
      </c>
      <c r="I194" s="2">
        <f t="shared" si="19"/>
        <v>0</v>
      </c>
      <c r="J194" s="389">
        <f t="shared" si="20"/>
        <v>0</v>
      </c>
      <c r="L194" s="721">
        <v>724</v>
      </c>
      <c r="M194" s="581"/>
      <c r="N194" s="585" t="s">
        <v>1738</v>
      </c>
      <c r="O194" s="586" t="s">
        <v>4681</v>
      </c>
      <c r="P194" s="233">
        <f t="shared" si="21"/>
        <v>0</v>
      </c>
      <c r="Q194" s="233">
        <f t="shared" si="22"/>
        <v>724</v>
      </c>
      <c r="R194" s="2">
        <f t="shared" si="23"/>
        <v>3.55</v>
      </c>
      <c r="S194" s="2">
        <f>(1/9)*cnst_fish!$C$7*(1/cnst_fish!$C$8)^(R194-1)</f>
        <v>50.037785661145278</v>
      </c>
      <c r="T194" s="682">
        <f t="shared" si="24"/>
        <v>3106.9482998749399</v>
      </c>
      <c r="W194" s="818"/>
      <c r="X194" s="818"/>
      <c r="Y194" s="819"/>
      <c r="Z194" s="820"/>
      <c r="AA194" s="820"/>
      <c r="AB194" s="821"/>
      <c r="AC194" s="821"/>
      <c r="AD194" s="253"/>
      <c r="AE194" s="253"/>
    </row>
    <row r="195" spans="1:31" ht="14.5">
      <c r="A195" s="403" t="s">
        <v>8944</v>
      </c>
      <c r="B195" s="403" t="s">
        <v>8945</v>
      </c>
      <c r="C195" s="403">
        <v>10704</v>
      </c>
      <c r="D195" s="581"/>
      <c r="E195" s="581"/>
      <c r="F195" s="869">
        <f>(1/S195)*cnst_fish!$C$6</f>
        <v>4.7762917572805388E-2</v>
      </c>
      <c r="G195" s="869">
        <f t="shared" si="27"/>
        <v>1</v>
      </c>
      <c r="H195" s="869">
        <f t="shared" si="27"/>
        <v>0.36449057933102513</v>
      </c>
      <c r="I195" s="869">
        <f t="shared" si="19"/>
        <v>0</v>
      </c>
      <c r="J195" s="389">
        <f t="shared" si="20"/>
        <v>0</v>
      </c>
      <c r="L195" s="721">
        <v>0</v>
      </c>
      <c r="M195" s="581"/>
      <c r="N195" s="877" t="s">
        <v>1738</v>
      </c>
      <c r="O195" s="881" t="s">
        <v>4681</v>
      </c>
      <c r="P195" s="871">
        <f t="shared" si="21"/>
        <v>0</v>
      </c>
      <c r="Q195" s="871">
        <f t="shared" si="22"/>
        <v>0</v>
      </c>
      <c r="R195" s="869">
        <f t="shared" si="23"/>
        <v>3.8</v>
      </c>
      <c r="S195" s="869">
        <f>(1/9)*cnst_fish!$C$7*(1/cnst_fish!$C$8)^(R195-1)</f>
        <v>88.981163965155432</v>
      </c>
      <c r="T195" s="682">
        <f t="shared" si="24"/>
        <v>0</v>
      </c>
      <c r="W195" s="822"/>
      <c r="X195" s="822"/>
      <c r="Y195" s="819"/>
      <c r="Z195" s="820"/>
      <c r="AA195" s="820"/>
      <c r="AB195" s="821"/>
      <c r="AC195" s="821"/>
      <c r="AD195" s="253"/>
      <c r="AE195" s="253"/>
    </row>
    <row r="196" spans="1:31" ht="14.5">
      <c r="A196" t="s">
        <v>1854</v>
      </c>
      <c r="B196" t="s">
        <v>4870</v>
      </c>
      <c r="C196">
        <v>2565</v>
      </c>
      <c r="D196" s="581"/>
      <c r="E196" s="581"/>
      <c r="F196" s="2">
        <f>(1/S196)*cnst_fish!$C$6</f>
        <v>0.16184185499703521</v>
      </c>
      <c r="G196" s="2">
        <f t="shared" si="27"/>
        <v>1</v>
      </c>
      <c r="H196" s="2">
        <f t="shared" si="27"/>
        <v>0.36449057933102513</v>
      </c>
      <c r="I196" s="2">
        <f t="shared" si="19"/>
        <v>0</v>
      </c>
      <c r="J196" s="389">
        <f t="shared" si="20"/>
        <v>0</v>
      </c>
      <c r="L196" s="721">
        <v>16294</v>
      </c>
      <c r="M196" s="581"/>
      <c r="N196" s="585" t="s">
        <v>1738</v>
      </c>
      <c r="O196" s="586" t="s">
        <v>4681</v>
      </c>
      <c r="P196" s="233">
        <f t="shared" si="21"/>
        <v>0</v>
      </c>
      <c r="Q196" s="233">
        <f t="shared" si="22"/>
        <v>16294</v>
      </c>
      <c r="R196" s="2">
        <f t="shared" si="23"/>
        <v>3.27</v>
      </c>
      <c r="S196" s="2">
        <f>(1/9)*cnst_fish!$C$7*(1/cnst_fish!$C$8)^(R196-1)</f>
        <v>26.260203209348141</v>
      </c>
      <c r="T196" s="682">
        <f t="shared" si="24"/>
        <v>36696.37560523834</v>
      </c>
      <c r="W196" s="818"/>
      <c r="X196" s="818"/>
      <c r="Y196" s="819"/>
      <c r="Z196" s="820"/>
      <c r="AA196" s="820"/>
      <c r="AB196" s="821"/>
      <c r="AC196" s="821"/>
      <c r="AD196" s="253"/>
      <c r="AE196" s="253"/>
    </row>
    <row r="197" spans="1:31" ht="14.5">
      <c r="A197" t="s">
        <v>6240</v>
      </c>
      <c r="B197" t="s">
        <v>39</v>
      </c>
      <c r="C197">
        <v>10715</v>
      </c>
      <c r="D197" s="581"/>
      <c r="E197" s="581"/>
      <c r="F197" s="2">
        <f>(1/S197)*cnst_fish!$C$6</f>
        <v>2.5066335465503222</v>
      </c>
      <c r="G197" s="2">
        <f t="shared" si="27"/>
        <v>1</v>
      </c>
      <c r="H197" s="2">
        <f t="shared" si="27"/>
        <v>0.36449057933102513</v>
      </c>
      <c r="I197" s="2">
        <f t="shared" si="19"/>
        <v>0</v>
      </c>
      <c r="J197" s="389">
        <f t="shared" si="20"/>
        <v>0</v>
      </c>
      <c r="L197" s="721"/>
      <c r="M197" s="581">
        <v>310.97000000000003</v>
      </c>
      <c r="N197" s="585" t="s">
        <v>1738</v>
      </c>
      <c r="O197" s="586" t="s">
        <v>4685</v>
      </c>
      <c r="P197" s="233">
        <f t="shared" si="21"/>
        <v>0</v>
      </c>
      <c r="Q197" s="233">
        <f t="shared" si="22"/>
        <v>310.97000000000003</v>
      </c>
      <c r="R197" s="2">
        <f t="shared" si="23"/>
        <v>2.08</v>
      </c>
      <c r="S197" s="2">
        <f>(1/9)*cnst_fish!$C$7*(1/cnst_fish!$C$8)^(R197-1)</f>
        <v>1.6955011257425054</v>
      </c>
      <c r="T197" s="682">
        <f t="shared" si="24"/>
        <v>45.218271179110864</v>
      </c>
      <c r="W197" s="818"/>
      <c r="X197" s="818"/>
      <c r="Y197" s="819"/>
      <c r="Z197" s="820"/>
      <c r="AA197" s="820"/>
      <c r="AB197" s="821"/>
      <c r="AC197" s="821"/>
      <c r="AD197" s="253"/>
      <c r="AE197" s="253"/>
    </row>
    <row r="198" spans="1:31" ht="14.5">
      <c r="A198" t="s">
        <v>3475</v>
      </c>
      <c r="B198" t="s">
        <v>898</v>
      </c>
      <c r="C198">
        <v>2175</v>
      </c>
      <c r="D198" s="581"/>
      <c r="E198" s="581"/>
      <c r="F198" s="2">
        <f>(1/S198)*cnst_fish!$C$6</f>
        <v>1.3154999853419551</v>
      </c>
      <c r="G198" s="2">
        <f t="shared" si="27"/>
        <v>1</v>
      </c>
      <c r="H198" s="2">
        <f t="shared" si="27"/>
        <v>0.36449057933102513</v>
      </c>
      <c r="I198" s="2">
        <f t="shared" si="19"/>
        <v>0</v>
      </c>
      <c r="J198" s="389">
        <f t="shared" si="20"/>
        <v>0</v>
      </c>
      <c r="L198" s="721"/>
      <c r="M198" s="581">
        <v>38258.78</v>
      </c>
      <c r="N198" s="585" t="s">
        <v>1738</v>
      </c>
      <c r="O198" s="586" t="s">
        <v>4685</v>
      </c>
      <c r="P198" s="233">
        <f t="shared" si="21"/>
        <v>0</v>
      </c>
      <c r="Q198" s="233">
        <f t="shared" si="22"/>
        <v>38258.78</v>
      </c>
      <c r="R198" s="2">
        <f t="shared" si="23"/>
        <v>2.36</v>
      </c>
      <c r="S198" s="2">
        <f>(1/9)*cnst_fish!$C$7*(1/cnst_fish!$C$8)^(R198-1)</f>
        <v>3.2307107923648068</v>
      </c>
      <c r="T198" s="682">
        <f t="shared" si="24"/>
        <v>10600.505543201005</v>
      </c>
      <c r="W198" s="818"/>
      <c r="X198" s="818"/>
      <c r="Y198" s="819"/>
      <c r="Z198" s="820"/>
      <c r="AA198" s="820"/>
      <c r="AB198" s="821"/>
      <c r="AC198" s="821"/>
      <c r="AD198" s="253"/>
      <c r="AE198" s="253"/>
    </row>
    <row r="199" spans="1:31" ht="14.5">
      <c r="A199" t="s">
        <v>747</v>
      </c>
      <c r="B199" t="s">
        <v>748</v>
      </c>
      <c r="C199">
        <v>19019</v>
      </c>
      <c r="D199" s="581"/>
      <c r="E199" s="581"/>
      <c r="F199" s="2">
        <f>(1/S199)*cnst_fish!$C$6</f>
        <v>0.37075827047664034</v>
      </c>
      <c r="G199" s="2">
        <f t="shared" si="27"/>
        <v>1</v>
      </c>
      <c r="H199" s="2">
        <f t="shared" si="27"/>
        <v>0.36449057933102513</v>
      </c>
      <c r="I199" s="2">
        <f t="shared" ref="I199:I262" si="28">IF($F199=0,0,D199/$F199*$H199*$G199)</f>
        <v>0</v>
      </c>
      <c r="J199" s="389">
        <f t="shared" ref="J199:J262" si="29">IF($F199=0,0,E199/$F199*$H199*$G199)</f>
        <v>0</v>
      </c>
      <c r="L199" s="721"/>
      <c r="M199" s="581">
        <v>3474</v>
      </c>
      <c r="N199" s="585" t="s">
        <v>1738</v>
      </c>
      <c r="O199" s="586" t="s">
        <v>4685</v>
      </c>
      <c r="P199" s="233">
        <f t="shared" ref="P199:P262" si="30">D199+E199</f>
        <v>0</v>
      </c>
      <c r="Q199" s="233">
        <f t="shared" ref="Q199:Q262" si="31">L199+M199</f>
        <v>3474</v>
      </c>
      <c r="R199" s="2">
        <f t="shared" ref="R199:R262" si="32">VLOOKUP(B199,constant_fish_trophic,3,FALSE)</f>
        <v>2.91</v>
      </c>
      <c r="S199" s="2">
        <f>(1/9)*cnst_fish!$C$7*(1/cnst_fish!$C$8)^(R199-1)</f>
        <v>11.462994458724479</v>
      </c>
      <c r="T199" s="682">
        <f t="shared" ref="T199:T262" si="33">IF(F199=0,0,Q199/F199*H199*G199)</f>
        <v>3415.271818395649</v>
      </c>
      <c r="W199" s="818"/>
      <c r="X199" s="818"/>
      <c r="Y199" s="819"/>
      <c r="Z199" s="820"/>
      <c r="AA199" s="820"/>
      <c r="AB199" s="821"/>
      <c r="AC199" s="821"/>
      <c r="AD199" s="253"/>
      <c r="AE199" s="253"/>
    </row>
    <row r="200" spans="1:31" ht="14.5">
      <c r="A200" t="s">
        <v>6717</v>
      </c>
      <c r="B200" t="s">
        <v>6716</v>
      </c>
      <c r="C200">
        <v>10719</v>
      </c>
      <c r="D200" s="581"/>
      <c r="E200" s="581"/>
      <c r="F200" s="2">
        <f>(1/S200)*cnst_fish!$C$6</f>
        <v>0.15103960722494611</v>
      </c>
      <c r="G200" s="2">
        <f t="shared" si="27"/>
        <v>1</v>
      </c>
      <c r="H200" s="2">
        <f t="shared" si="27"/>
        <v>0.36449057933102513</v>
      </c>
      <c r="I200" s="2">
        <f t="shared" si="28"/>
        <v>0</v>
      </c>
      <c r="J200" s="389">
        <f t="shared" si="29"/>
        <v>0</v>
      </c>
      <c r="L200" s="721"/>
      <c r="M200" s="581"/>
      <c r="N200" s="585" t="s">
        <v>1738</v>
      </c>
      <c r="O200" s="586" t="s">
        <v>4681</v>
      </c>
      <c r="P200" s="233">
        <f t="shared" si="30"/>
        <v>0</v>
      </c>
      <c r="Q200" s="233">
        <f t="shared" si="31"/>
        <v>0</v>
      </c>
      <c r="R200" s="2">
        <f t="shared" si="32"/>
        <v>3.3</v>
      </c>
      <c r="S200" s="2">
        <f>(1/9)*cnst_fish!$C$7*(1/cnst_fish!$C$8)^(R200-1)</f>
        <v>28.138314698279075</v>
      </c>
      <c r="T200" s="682">
        <f t="shared" si="33"/>
        <v>0</v>
      </c>
      <c r="W200" s="818"/>
      <c r="X200" s="818"/>
      <c r="Y200" s="819"/>
      <c r="Z200" s="820"/>
      <c r="AA200" s="820"/>
      <c r="AB200" s="821"/>
      <c r="AC200" s="821"/>
      <c r="AD200" s="253"/>
      <c r="AE200" s="253"/>
    </row>
    <row r="201" spans="1:31" ht="14.5">
      <c r="A201" t="s">
        <v>2607</v>
      </c>
      <c r="B201" t="s">
        <v>3630</v>
      </c>
      <c r="C201">
        <v>2958</v>
      </c>
      <c r="D201" s="581"/>
      <c r="E201" s="581"/>
      <c r="F201" s="2">
        <f>(1/S201)*cnst_fish!$C$6</f>
        <v>0.23938164528281752</v>
      </c>
      <c r="G201" s="2">
        <f t="shared" si="27"/>
        <v>1</v>
      </c>
      <c r="H201" s="2">
        <f t="shared" si="27"/>
        <v>0.36449057933102513</v>
      </c>
      <c r="I201" s="2">
        <f t="shared" si="28"/>
        <v>0</v>
      </c>
      <c r="J201" s="389">
        <f t="shared" si="29"/>
        <v>0</v>
      </c>
      <c r="L201" s="721"/>
      <c r="M201" s="581">
        <v>174</v>
      </c>
      <c r="N201" s="585" t="s">
        <v>1738</v>
      </c>
      <c r="O201" s="586" t="s">
        <v>4685</v>
      </c>
      <c r="P201" s="233">
        <f t="shared" si="30"/>
        <v>0</v>
      </c>
      <c r="Q201" s="233">
        <f t="shared" si="31"/>
        <v>174</v>
      </c>
      <c r="R201" s="2">
        <f t="shared" si="32"/>
        <v>3.1</v>
      </c>
      <c r="S201" s="2">
        <f>(1/9)*cnst_fish!$C$7*(1/cnst_fish!$C$8)^(R201-1)</f>
        <v>17.754076320174157</v>
      </c>
      <c r="T201" s="682">
        <f t="shared" si="33"/>
        <v>264.93827765562054</v>
      </c>
      <c r="W201" s="818"/>
      <c r="X201" s="818"/>
      <c r="Y201" s="819"/>
      <c r="Z201" s="820"/>
      <c r="AA201" s="820"/>
      <c r="AB201" s="821"/>
      <c r="AC201" s="821"/>
      <c r="AD201" s="253"/>
      <c r="AE201" s="253"/>
    </row>
    <row r="202" spans="1:31" ht="14.5">
      <c r="A202" t="s">
        <v>6241</v>
      </c>
      <c r="B202" t="s">
        <v>5075</v>
      </c>
      <c r="C202">
        <v>18822</v>
      </c>
      <c r="D202" s="581"/>
      <c r="E202" s="581"/>
      <c r="F202" s="2">
        <f>(1/S202)*cnst_fish!$C$6</f>
        <v>0.39727464439222648</v>
      </c>
      <c r="G202" s="2">
        <f t="shared" si="27"/>
        <v>1</v>
      </c>
      <c r="H202" s="2">
        <f t="shared" si="27"/>
        <v>0.36449057933102513</v>
      </c>
      <c r="I202" s="2">
        <f t="shared" si="28"/>
        <v>0</v>
      </c>
      <c r="J202" s="389">
        <f t="shared" si="29"/>
        <v>0</v>
      </c>
      <c r="L202" s="721"/>
      <c r="M202" s="581">
        <v>0</v>
      </c>
      <c r="N202" s="585" t="s">
        <v>1738</v>
      </c>
      <c r="O202" s="586" t="s">
        <v>4685</v>
      </c>
      <c r="P202" s="233">
        <f t="shared" si="30"/>
        <v>0</v>
      </c>
      <c r="Q202" s="233">
        <f t="shared" si="31"/>
        <v>0</v>
      </c>
      <c r="R202" s="2">
        <f t="shared" si="32"/>
        <v>2.88</v>
      </c>
      <c r="S202" s="2">
        <f>(1/9)*cnst_fish!$C$7*(1/cnst_fish!$C$8)^(R202-1)</f>
        <v>10.697888878616689</v>
      </c>
      <c r="T202" s="682">
        <f t="shared" si="33"/>
        <v>0</v>
      </c>
      <c r="W202" s="818"/>
      <c r="X202" s="818"/>
      <c r="Y202" s="819"/>
      <c r="Z202" s="820"/>
      <c r="AA202" s="820"/>
      <c r="AB202" s="821"/>
      <c r="AC202" s="821"/>
      <c r="AD202" s="253"/>
      <c r="AE202" s="253"/>
    </row>
    <row r="203" spans="1:31" ht="14.5">
      <c r="A203" t="s">
        <v>3321</v>
      </c>
      <c r="B203" t="s">
        <v>5113</v>
      </c>
      <c r="C203">
        <v>10740</v>
      </c>
      <c r="D203" s="581"/>
      <c r="E203" s="581"/>
      <c r="F203" s="2">
        <f>(1/S203)*cnst_fish!$C$6</f>
        <v>0.35407139951132155</v>
      </c>
      <c r="G203" s="2">
        <f t="shared" si="27"/>
        <v>1</v>
      </c>
      <c r="H203" s="2">
        <f t="shared" si="27"/>
        <v>0.36449057933102513</v>
      </c>
      <c r="I203" s="2">
        <f t="shared" si="28"/>
        <v>0</v>
      </c>
      <c r="J203" s="389">
        <f t="shared" si="29"/>
        <v>0</v>
      </c>
      <c r="L203" s="721"/>
      <c r="M203" s="581">
        <v>0</v>
      </c>
      <c r="N203" s="585" t="s">
        <v>1738</v>
      </c>
      <c r="O203" s="586" t="s">
        <v>4685</v>
      </c>
      <c r="P203" s="233">
        <f t="shared" si="30"/>
        <v>0</v>
      </c>
      <c r="Q203" s="233">
        <f t="shared" si="31"/>
        <v>0</v>
      </c>
      <c r="R203" s="2">
        <f t="shared" si="32"/>
        <v>2.93</v>
      </c>
      <c r="S203" s="2">
        <f>(1/9)*cnst_fish!$C$7*(1/cnst_fish!$C$8)^(R203-1)</f>
        <v>12.003228743879678</v>
      </c>
      <c r="T203" s="682">
        <f t="shared" si="33"/>
        <v>0</v>
      </c>
      <c r="W203" s="818"/>
      <c r="X203" s="818"/>
      <c r="Y203" s="819"/>
      <c r="Z203" s="820"/>
      <c r="AA203" s="820"/>
      <c r="AB203" s="821"/>
      <c r="AC203" s="821"/>
      <c r="AD203" s="253"/>
      <c r="AE203" s="253"/>
    </row>
    <row r="204" spans="1:31" ht="14.5">
      <c r="A204" t="s">
        <v>6245</v>
      </c>
      <c r="B204" t="s">
        <v>6244</v>
      </c>
      <c r="C204">
        <v>19680</v>
      </c>
      <c r="D204" s="581"/>
      <c r="E204" s="581"/>
      <c r="F204" s="2">
        <f>(1/S204)*cnst_fish!$C$6</f>
        <v>1.9014759972289439E-2</v>
      </c>
      <c r="G204" s="2">
        <f t="shared" si="27"/>
        <v>1</v>
      </c>
      <c r="H204" s="2">
        <f t="shared" si="27"/>
        <v>0.36449057933102513</v>
      </c>
      <c r="I204" s="2">
        <f t="shared" si="28"/>
        <v>0</v>
      </c>
      <c r="J204" s="389">
        <f t="shared" si="29"/>
        <v>0</v>
      </c>
      <c r="L204" s="721"/>
      <c r="M204" s="581">
        <v>70</v>
      </c>
      <c r="N204" s="585" t="s">
        <v>1738</v>
      </c>
      <c r="O204" s="586" t="s">
        <v>4685</v>
      </c>
      <c r="P204" s="233">
        <f t="shared" si="30"/>
        <v>0</v>
      </c>
      <c r="Q204" s="233">
        <f t="shared" si="31"/>
        <v>70</v>
      </c>
      <c r="R204" s="2">
        <f t="shared" si="32"/>
        <v>4.2</v>
      </c>
      <c r="S204" s="2">
        <f>(1/9)*cnst_fish!$C$7*(1/cnst_fish!$C$8)^(R204-1)</f>
        <v>223.51057842400343</v>
      </c>
      <c r="T204" s="682">
        <f t="shared" si="33"/>
        <v>1341.8176506226887</v>
      </c>
      <c r="W204" s="818"/>
      <c r="X204" s="818"/>
      <c r="Y204" s="819"/>
      <c r="Z204" s="820"/>
      <c r="AA204" s="820"/>
      <c r="AB204" s="821"/>
      <c r="AC204" s="821"/>
      <c r="AD204" s="253"/>
      <c r="AE204" s="253"/>
    </row>
    <row r="205" spans="1:31" ht="14.5">
      <c r="A205" t="s">
        <v>6284</v>
      </c>
      <c r="B205" t="s">
        <v>6283</v>
      </c>
      <c r="C205">
        <v>19253</v>
      </c>
      <c r="D205" s="581"/>
      <c r="E205" s="581"/>
      <c r="F205" s="2">
        <f>(1/S205)*cnst_fish!$C$6</f>
        <v>3.0136363636363641</v>
      </c>
      <c r="G205" s="2">
        <f t="shared" si="27"/>
        <v>1</v>
      </c>
      <c r="H205" s="2">
        <f t="shared" si="27"/>
        <v>0.36449057933102513</v>
      </c>
      <c r="I205" s="2">
        <f t="shared" si="28"/>
        <v>0</v>
      </c>
      <c r="J205" s="389">
        <f t="shared" si="29"/>
        <v>0</v>
      </c>
      <c r="L205" s="721">
        <v>0</v>
      </c>
      <c r="M205" s="581"/>
      <c r="N205" s="585" t="s">
        <v>1738</v>
      </c>
      <c r="O205" s="586" t="s">
        <v>4681</v>
      </c>
      <c r="P205" s="233">
        <f t="shared" si="30"/>
        <v>0</v>
      </c>
      <c r="Q205" s="233">
        <f t="shared" si="31"/>
        <v>0</v>
      </c>
      <c r="R205" s="2">
        <f t="shared" si="32"/>
        <v>2</v>
      </c>
      <c r="S205" s="2">
        <f>(1/9)*cnst_fish!$C$7*(1/cnst_fish!$C$8)^(R205-1)</f>
        <v>1.4102564102564099</v>
      </c>
      <c r="T205" s="682">
        <f t="shared" si="33"/>
        <v>0</v>
      </c>
      <c r="W205" s="818"/>
      <c r="X205" s="818"/>
      <c r="Y205" s="819"/>
      <c r="Z205" s="820"/>
      <c r="AA205" s="820"/>
      <c r="AB205" s="821"/>
      <c r="AC205" s="821"/>
      <c r="AD205" s="253"/>
      <c r="AE205" s="253"/>
    </row>
    <row r="206" spans="1:31" ht="14.5">
      <c r="A206" t="s">
        <v>3410</v>
      </c>
      <c r="B206" t="s">
        <v>2647</v>
      </c>
      <c r="C206">
        <v>2059</v>
      </c>
      <c r="D206" s="581"/>
      <c r="E206" s="581"/>
      <c r="F206" s="2">
        <f>(1/S206)*cnst_fish!$C$6</f>
        <v>3.6231878188697476E-2</v>
      </c>
      <c r="G206" s="2">
        <f t="shared" si="27"/>
        <v>1</v>
      </c>
      <c r="H206" s="2">
        <f t="shared" si="27"/>
        <v>0.36449057933102513</v>
      </c>
      <c r="I206" s="2">
        <f t="shared" si="28"/>
        <v>0</v>
      </c>
      <c r="J206" s="389">
        <f t="shared" si="29"/>
        <v>0</v>
      </c>
      <c r="L206" s="721">
        <v>34.86</v>
      </c>
      <c r="M206" s="581"/>
      <c r="N206" s="585" t="s">
        <v>1738</v>
      </c>
      <c r="O206" s="586" t="s">
        <v>4681</v>
      </c>
      <c r="P206" s="233">
        <f t="shared" si="30"/>
        <v>0</v>
      </c>
      <c r="Q206" s="233">
        <f t="shared" si="31"/>
        <v>34.86</v>
      </c>
      <c r="R206" s="2">
        <f t="shared" si="32"/>
        <v>3.92</v>
      </c>
      <c r="S206" s="2">
        <f>(1/9)*cnst_fish!$C$7*(1/cnst_fish!$C$8)^(R206-1)</f>
        <v>117.30001900165877</v>
      </c>
      <c r="T206" s="682">
        <f t="shared" si="33"/>
        <v>350.68956484412149</v>
      </c>
      <c r="W206" s="818"/>
      <c r="X206" s="818"/>
      <c r="Y206" s="819"/>
      <c r="Z206" s="820"/>
      <c r="AA206" s="820"/>
      <c r="AB206" s="821"/>
      <c r="AC206" s="821"/>
      <c r="AD206" s="253"/>
      <c r="AE206" s="253"/>
    </row>
    <row r="207" spans="1:31" ht="14.5">
      <c r="A207" t="s">
        <v>3125</v>
      </c>
      <c r="B207" t="s">
        <v>4077</v>
      </c>
      <c r="C207">
        <v>10809</v>
      </c>
      <c r="D207" s="581"/>
      <c r="E207" s="581"/>
      <c r="F207" s="2">
        <f>(1/S207)*cnst_fish!$C$6</f>
        <v>3.304386563831508E-2</v>
      </c>
      <c r="G207" s="2">
        <f t="shared" si="27"/>
        <v>1</v>
      </c>
      <c r="H207" s="2">
        <f t="shared" si="27"/>
        <v>0.36449057933102513</v>
      </c>
      <c r="I207" s="2">
        <f t="shared" si="28"/>
        <v>0</v>
      </c>
      <c r="J207" s="389">
        <f t="shared" si="29"/>
        <v>0</v>
      </c>
      <c r="L207" s="721">
        <v>15.559999999999999</v>
      </c>
      <c r="M207" s="581"/>
      <c r="N207" s="585" t="s">
        <v>1738</v>
      </c>
      <c r="O207" s="586" t="s">
        <v>4681</v>
      </c>
      <c r="P207" s="233">
        <f t="shared" si="30"/>
        <v>0</v>
      </c>
      <c r="Q207" s="233">
        <f t="shared" si="31"/>
        <v>15.559999999999999</v>
      </c>
      <c r="R207" s="2">
        <f t="shared" si="32"/>
        <v>3.96</v>
      </c>
      <c r="S207" s="2">
        <f>(1/9)*cnst_fish!$C$7*(1/cnst_fish!$C$8)^(R207-1)</f>
        <v>128.61691324250009</v>
      </c>
      <c r="T207" s="682">
        <f t="shared" si="33"/>
        <v>171.63468331666843</v>
      </c>
      <c r="W207" s="818"/>
      <c r="X207" s="818"/>
      <c r="Y207" s="819"/>
      <c r="Z207" s="820"/>
      <c r="AA207" s="820"/>
      <c r="AB207" s="821"/>
      <c r="AC207" s="821"/>
      <c r="AD207" s="253"/>
      <c r="AE207" s="253"/>
    </row>
    <row r="208" spans="1:31" ht="14.5">
      <c r="A208" t="s">
        <v>4582</v>
      </c>
      <c r="B208" t="s">
        <v>2701</v>
      </c>
      <c r="C208">
        <v>2862</v>
      </c>
      <c r="D208" s="581"/>
      <c r="E208" s="581"/>
      <c r="F208" s="2">
        <f>(1/S208)*cnst_fish!$C$6</f>
        <v>3.304386563831508E-2</v>
      </c>
      <c r="G208" s="2">
        <f t="shared" ref="G208:H227" si="34">G$7</f>
        <v>1</v>
      </c>
      <c r="H208" s="2">
        <f t="shared" si="34"/>
        <v>0.36449057933102513</v>
      </c>
      <c r="I208" s="2">
        <f t="shared" si="28"/>
        <v>0</v>
      </c>
      <c r="J208" s="389">
        <f t="shared" si="29"/>
        <v>0</v>
      </c>
      <c r="L208" s="721">
        <v>0.01</v>
      </c>
      <c r="M208" s="581"/>
      <c r="N208" s="585" t="s">
        <v>1738</v>
      </c>
      <c r="O208" s="586" t="s">
        <v>4681</v>
      </c>
      <c r="P208" s="233">
        <f t="shared" si="30"/>
        <v>0</v>
      </c>
      <c r="Q208" s="233">
        <f t="shared" si="31"/>
        <v>0.01</v>
      </c>
      <c r="R208" s="2">
        <f t="shared" si="32"/>
        <v>3.96</v>
      </c>
      <c r="S208" s="2">
        <f>(1/9)*cnst_fish!$C$7*(1/cnst_fish!$C$8)^(R208-1)</f>
        <v>128.61691324250009</v>
      </c>
      <c r="T208" s="682">
        <f t="shared" si="33"/>
        <v>0.11030506639888718</v>
      </c>
      <c r="W208" s="818"/>
      <c r="X208" s="818"/>
      <c r="Y208" s="819"/>
      <c r="Z208" s="820"/>
      <c r="AA208" s="820"/>
      <c r="AB208" s="821"/>
      <c r="AC208" s="821"/>
      <c r="AD208" s="253"/>
      <c r="AE208" s="253"/>
    </row>
    <row r="209" spans="1:31" ht="14.5">
      <c r="A209" t="s">
        <v>6563</v>
      </c>
      <c r="B209" t="s">
        <v>6562</v>
      </c>
      <c r="C209">
        <v>19254</v>
      </c>
      <c r="D209" s="581"/>
      <c r="E209" s="581"/>
      <c r="F209" s="2">
        <f>(1/S209)*cnst_fish!$C$6</f>
        <v>3.0136363636363641</v>
      </c>
      <c r="G209" s="2">
        <f t="shared" si="34"/>
        <v>1</v>
      </c>
      <c r="H209" s="2">
        <f t="shared" si="34"/>
        <v>0.36449057933102513</v>
      </c>
      <c r="I209" s="2">
        <f t="shared" si="28"/>
        <v>0</v>
      </c>
      <c r="J209" s="389">
        <f t="shared" si="29"/>
        <v>0</v>
      </c>
      <c r="L209" s="721">
        <v>1</v>
      </c>
      <c r="M209" s="581"/>
      <c r="N209" s="585" t="s">
        <v>1738</v>
      </c>
      <c r="O209" s="586" t="s">
        <v>4681</v>
      </c>
      <c r="P209" s="233">
        <f t="shared" si="30"/>
        <v>0</v>
      </c>
      <c r="Q209" s="233">
        <f t="shared" si="31"/>
        <v>1</v>
      </c>
      <c r="R209" s="2">
        <f t="shared" si="32"/>
        <v>2</v>
      </c>
      <c r="S209" s="2">
        <f>(1/9)*cnst_fish!$C$7*(1/cnst_fish!$C$8)^(R209-1)</f>
        <v>1.4102564102564099</v>
      </c>
      <c r="T209" s="682">
        <f t="shared" si="33"/>
        <v>0.12094710023050605</v>
      </c>
      <c r="W209" s="818"/>
      <c r="X209" s="818"/>
      <c r="Y209" s="819"/>
      <c r="Z209" s="820"/>
      <c r="AA209" s="820"/>
      <c r="AB209" s="821"/>
      <c r="AC209" s="821"/>
      <c r="AD209" s="253"/>
      <c r="AE209" s="253"/>
    </row>
    <row r="210" spans="1:31" ht="14.5">
      <c r="A210" t="s">
        <v>5475</v>
      </c>
      <c r="B210" t="s">
        <v>5476</v>
      </c>
      <c r="C210">
        <v>10813</v>
      </c>
      <c r="D210" s="581"/>
      <c r="E210" s="581"/>
      <c r="F210" s="2">
        <f>(1/S210)*cnst_fish!$C$6</f>
        <v>3.304386563831508E-2</v>
      </c>
      <c r="G210" s="2">
        <f t="shared" si="34"/>
        <v>1</v>
      </c>
      <c r="H210" s="2">
        <f t="shared" si="34"/>
        <v>0.36449057933102513</v>
      </c>
      <c r="I210" s="2">
        <f t="shared" si="28"/>
        <v>0</v>
      </c>
      <c r="J210" s="389">
        <f t="shared" si="29"/>
        <v>0</v>
      </c>
      <c r="L210" s="721">
        <v>0</v>
      </c>
      <c r="M210" s="581"/>
      <c r="N210" s="585" t="s">
        <v>1738</v>
      </c>
      <c r="O210" s="586" t="s">
        <v>4681</v>
      </c>
      <c r="P210" s="233">
        <f t="shared" si="30"/>
        <v>0</v>
      </c>
      <c r="Q210" s="233">
        <f t="shared" si="31"/>
        <v>0</v>
      </c>
      <c r="R210" s="2">
        <f t="shared" si="32"/>
        <v>3.96</v>
      </c>
      <c r="S210" s="2">
        <f>(1/9)*cnst_fish!$C$7*(1/cnst_fish!$C$8)^(R210-1)</f>
        <v>128.61691324250009</v>
      </c>
      <c r="T210" s="682">
        <f t="shared" si="33"/>
        <v>0</v>
      </c>
      <c r="W210" s="818"/>
      <c r="X210" s="818"/>
      <c r="Y210" s="819"/>
      <c r="Z210" s="820"/>
      <c r="AA210" s="820"/>
      <c r="AB210" s="821"/>
      <c r="AC210" s="821"/>
      <c r="AD210" s="253"/>
      <c r="AE210" s="253"/>
    </row>
    <row r="211" spans="1:31" ht="14.5">
      <c r="A211" t="s">
        <v>3311</v>
      </c>
      <c r="B211" t="s">
        <v>4453</v>
      </c>
      <c r="C211">
        <v>2863</v>
      </c>
      <c r="D211" s="581"/>
      <c r="E211" s="581"/>
      <c r="F211" s="2">
        <f>(1/S211)*cnst_fish!$C$6</f>
        <v>4.7762917572805388E-2</v>
      </c>
      <c r="G211" s="2">
        <f t="shared" si="34"/>
        <v>1</v>
      </c>
      <c r="H211" s="2">
        <f t="shared" si="34"/>
        <v>0.36449057933102513</v>
      </c>
      <c r="I211" s="2">
        <f t="shared" si="28"/>
        <v>0</v>
      </c>
      <c r="J211" s="389">
        <f t="shared" si="29"/>
        <v>0</v>
      </c>
      <c r="L211" s="721">
        <v>0.56000000000000005</v>
      </c>
      <c r="M211" s="581"/>
      <c r="N211" s="585" t="s">
        <v>1738</v>
      </c>
      <c r="O211" s="586" t="s">
        <v>4681</v>
      </c>
      <c r="P211" s="233">
        <f t="shared" si="30"/>
        <v>0</v>
      </c>
      <c r="Q211" s="233">
        <f t="shared" si="31"/>
        <v>0.56000000000000005</v>
      </c>
      <c r="R211" s="2">
        <f t="shared" si="32"/>
        <v>3.8</v>
      </c>
      <c r="S211" s="2">
        <f>(1/9)*cnst_fish!$C$7*(1/cnst_fish!$C$8)^(R211-1)</f>
        <v>88.981163965155432</v>
      </c>
      <c r="T211" s="682">
        <f t="shared" si="33"/>
        <v>4.2734978263051122</v>
      </c>
      <c r="W211" s="818"/>
      <c r="X211" s="818"/>
      <c r="Y211" s="819"/>
      <c r="Z211" s="820"/>
      <c r="AA211" s="820"/>
      <c r="AB211" s="821"/>
      <c r="AC211" s="821"/>
      <c r="AD211" s="253"/>
      <c r="AE211" s="253"/>
    </row>
    <row r="212" spans="1:31" ht="14.5">
      <c r="A212" s="813" t="s">
        <v>8986</v>
      </c>
      <c r="B212" t="s">
        <v>8987</v>
      </c>
      <c r="C212">
        <v>2060</v>
      </c>
      <c r="D212" s="581"/>
      <c r="E212" s="581"/>
      <c r="F212" s="869">
        <f>(1/S212)*cnst_fish!$C$6</f>
        <v>1.1997502458044018E-2</v>
      </c>
      <c r="G212" s="869">
        <f t="shared" si="34"/>
        <v>1</v>
      </c>
      <c r="H212" s="869">
        <f t="shared" si="34"/>
        <v>0.36449057933102513</v>
      </c>
      <c r="I212" s="869">
        <f t="shared" si="28"/>
        <v>0</v>
      </c>
      <c r="J212" s="389">
        <f t="shared" si="29"/>
        <v>0</v>
      </c>
      <c r="L212" s="721">
        <v>164</v>
      </c>
      <c r="M212" s="581"/>
      <c r="N212" s="877" t="s">
        <v>1738</v>
      </c>
      <c r="O212" s="881" t="s">
        <v>4699</v>
      </c>
      <c r="P212" s="871">
        <f t="shared" si="30"/>
        <v>0</v>
      </c>
      <c r="Q212" s="871">
        <f t="shared" si="31"/>
        <v>164</v>
      </c>
      <c r="R212" s="869">
        <f t="shared" si="32"/>
        <v>4.4000000000000004</v>
      </c>
      <c r="S212" s="869">
        <f>(1/9)*cnst_fish!$C$7*(1/cnst_fish!$C$8)^(R212-1)</f>
        <v>354.24039418724885</v>
      </c>
      <c r="T212" s="682">
        <f t="shared" si="33"/>
        <v>4982.4082319907793</v>
      </c>
      <c r="W212" s="818"/>
      <c r="X212" s="818"/>
      <c r="Y212" s="819"/>
      <c r="Z212" s="820"/>
      <c r="AA212" s="820"/>
      <c r="AB212" s="821"/>
      <c r="AC212" s="821"/>
      <c r="AD212" s="253"/>
      <c r="AE212" s="253"/>
    </row>
    <row r="213" spans="1:31" ht="14.5">
      <c r="A213" t="s">
        <v>3207</v>
      </c>
      <c r="B213" t="s">
        <v>4454</v>
      </c>
      <c r="C213">
        <v>2861</v>
      </c>
      <c r="D213" s="581"/>
      <c r="E213" s="581"/>
      <c r="F213" s="2">
        <f>(1/S213)*cnst_fish!$C$6</f>
        <v>3.460117504783787E-2</v>
      </c>
      <c r="G213" s="2">
        <f t="shared" si="34"/>
        <v>1</v>
      </c>
      <c r="H213" s="2">
        <f t="shared" si="34"/>
        <v>0.36449057933102513</v>
      </c>
      <c r="I213" s="2">
        <f t="shared" si="28"/>
        <v>0</v>
      </c>
      <c r="J213" s="389">
        <f t="shared" si="29"/>
        <v>0</v>
      </c>
      <c r="L213" s="721">
        <v>3</v>
      </c>
      <c r="M213" s="581"/>
      <c r="N213" s="585" t="s">
        <v>1738</v>
      </c>
      <c r="O213" s="586" t="s">
        <v>4681</v>
      </c>
      <c r="P213" s="233">
        <f t="shared" si="30"/>
        <v>0</v>
      </c>
      <c r="Q213" s="233">
        <f t="shared" si="31"/>
        <v>3</v>
      </c>
      <c r="R213" s="2">
        <f t="shared" si="32"/>
        <v>3.94</v>
      </c>
      <c r="S213" s="2">
        <f>(1/9)*cnst_fish!$C$7*(1/cnst_fish!$C$8)^(R213-1)</f>
        <v>122.82819858354985</v>
      </c>
      <c r="T213" s="682">
        <f t="shared" si="33"/>
        <v>31.602156183461847</v>
      </c>
      <c r="W213" s="818"/>
      <c r="X213" s="818"/>
      <c r="Y213" s="819"/>
      <c r="Z213" s="820"/>
      <c r="AA213" s="820"/>
      <c r="AB213" s="821"/>
      <c r="AC213" s="821"/>
      <c r="AD213" s="253"/>
      <c r="AE213" s="253"/>
    </row>
    <row r="214" spans="1:31" ht="14.5">
      <c r="A214" t="s">
        <v>8547</v>
      </c>
      <c r="B214" t="s">
        <v>8548</v>
      </c>
      <c r="C214">
        <v>11788</v>
      </c>
      <c r="D214" s="581"/>
      <c r="E214" s="581"/>
      <c r="F214" s="2">
        <f>(1/S214)*cnst_fish!$C$6</f>
        <v>4.7762917572805388E-2</v>
      </c>
      <c r="G214" s="2">
        <f t="shared" si="34"/>
        <v>1</v>
      </c>
      <c r="H214" s="2">
        <f t="shared" si="34"/>
        <v>0.36449057933102513</v>
      </c>
      <c r="I214" s="2">
        <f t="shared" si="28"/>
        <v>0</v>
      </c>
      <c r="J214" s="389">
        <f t="shared" si="29"/>
        <v>0</v>
      </c>
      <c r="L214" s="721">
        <v>0</v>
      </c>
      <c r="M214" s="581"/>
      <c r="N214" s="585" t="s">
        <v>1738</v>
      </c>
      <c r="O214" s="586" t="s">
        <v>4681</v>
      </c>
      <c r="P214" s="233">
        <f t="shared" si="30"/>
        <v>0</v>
      </c>
      <c r="Q214" s="233">
        <f t="shared" si="31"/>
        <v>0</v>
      </c>
      <c r="R214" s="2">
        <f t="shared" si="32"/>
        <v>3.8</v>
      </c>
      <c r="S214" s="2">
        <f>(1/9)*cnst_fish!$C$7*(1/cnst_fish!$C$8)^(R214-1)</f>
        <v>88.981163965155432</v>
      </c>
      <c r="T214" s="682">
        <f t="shared" si="33"/>
        <v>0</v>
      </c>
      <c r="W214" s="818"/>
      <c r="X214" s="818"/>
      <c r="Y214" s="819"/>
      <c r="Z214" s="820"/>
      <c r="AA214" s="820"/>
      <c r="AB214" s="821"/>
      <c r="AC214" s="821"/>
      <c r="AD214" s="253"/>
      <c r="AE214" s="253"/>
    </row>
    <row r="215" spans="1:31" ht="14.5">
      <c r="A215" t="s">
        <v>5432</v>
      </c>
      <c r="B215" t="s">
        <v>4871</v>
      </c>
      <c r="C215">
        <v>18729</v>
      </c>
      <c r="D215" s="581"/>
      <c r="E215" s="581"/>
      <c r="F215" s="2">
        <f>(1/S215)*cnst_fish!$C$6</f>
        <v>6.4430402969999093E-2</v>
      </c>
      <c r="G215" s="2">
        <f t="shared" si="34"/>
        <v>1</v>
      </c>
      <c r="H215" s="2">
        <f t="shared" si="34"/>
        <v>0.36449057933102513</v>
      </c>
      <c r="I215" s="2">
        <f t="shared" si="28"/>
        <v>0</v>
      </c>
      <c r="J215" s="389">
        <f t="shared" si="29"/>
        <v>0</v>
      </c>
      <c r="L215" s="721">
        <v>28</v>
      </c>
      <c r="M215" s="581"/>
      <c r="N215" s="585" t="s">
        <v>1738</v>
      </c>
      <c r="O215" s="586" t="s">
        <v>4681</v>
      </c>
      <c r="P215" s="233">
        <f t="shared" si="30"/>
        <v>0</v>
      </c>
      <c r="Q215" s="233">
        <f t="shared" si="31"/>
        <v>28</v>
      </c>
      <c r="R215" s="2">
        <f t="shared" si="32"/>
        <v>3.67</v>
      </c>
      <c r="S215" s="2">
        <f>(1/9)*cnst_fish!$C$7*(1/cnst_fish!$C$8)^(R215-1)</f>
        <v>65.962648130245896</v>
      </c>
      <c r="T215" s="682">
        <f t="shared" si="33"/>
        <v>158.39938524085949</v>
      </c>
      <c r="W215" s="818"/>
      <c r="X215" s="818"/>
      <c r="Y215" s="819"/>
      <c r="Z215" s="820"/>
      <c r="AA215" s="820"/>
      <c r="AB215" s="821"/>
      <c r="AC215" s="821"/>
      <c r="AD215" s="253"/>
      <c r="AE215" s="253"/>
    </row>
    <row r="216" spans="1:31" ht="14.5">
      <c r="A216" t="s">
        <v>3798</v>
      </c>
      <c r="B216" t="s">
        <v>5358</v>
      </c>
      <c r="C216">
        <v>2208</v>
      </c>
      <c r="D216" s="581"/>
      <c r="E216" s="581"/>
      <c r="F216" s="2">
        <f>(1/S216)*cnst_fish!$C$6</f>
        <v>1.8581931192461935E-2</v>
      </c>
      <c r="G216" s="2">
        <f t="shared" si="34"/>
        <v>1</v>
      </c>
      <c r="H216" s="2">
        <f t="shared" si="34"/>
        <v>0.36449057933102513</v>
      </c>
      <c r="I216" s="2">
        <f t="shared" si="28"/>
        <v>0</v>
      </c>
      <c r="J216" s="389">
        <f t="shared" si="29"/>
        <v>0</v>
      </c>
      <c r="L216" s="721">
        <v>1284</v>
      </c>
      <c r="M216" s="581"/>
      <c r="N216" s="585" t="s">
        <v>1738</v>
      </c>
      <c r="O216" s="586" t="s">
        <v>4699</v>
      </c>
      <c r="P216" s="233">
        <f t="shared" si="30"/>
        <v>0</v>
      </c>
      <c r="Q216" s="233">
        <f t="shared" si="31"/>
        <v>1284</v>
      </c>
      <c r="R216" s="2">
        <f t="shared" si="32"/>
        <v>4.21</v>
      </c>
      <c r="S216" s="2">
        <f>(1/9)*cnst_fish!$C$7*(1/cnst_fish!$C$8)^(R216-1)</f>
        <v>228.71680860190045</v>
      </c>
      <c r="T216" s="682">
        <f t="shared" si="33"/>
        <v>25186.07452657507</v>
      </c>
      <c r="W216" s="818"/>
      <c r="X216" s="818"/>
      <c r="Y216" s="819"/>
      <c r="Z216" s="820"/>
      <c r="AA216" s="820"/>
      <c r="AB216" s="821"/>
      <c r="AC216" s="821"/>
      <c r="AD216" s="253"/>
      <c r="AE216" s="253"/>
    </row>
    <row r="217" spans="1:31" ht="14.5">
      <c r="A217" t="s">
        <v>3490</v>
      </c>
      <c r="B217" t="s">
        <v>5359</v>
      </c>
      <c r="C217">
        <v>2997</v>
      </c>
      <c r="D217" s="581"/>
      <c r="E217" s="581"/>
      <c r="F217" s="2">
        <f>(1/S217)*cnst_fish!$C$6</f>
        <v>1.7745606522761578E-2</v>
      </c>
      <c r="G217" s="2">
        <f t="shared" si="34"/>
        <v>1</v>
      </c>
      <c r="H217" s="2">
        <f t="shared" si="34"/>
        <v>0.36449057933102513</v>
      </c>
      <c r="I217" s="2">
        <f t="shared" si="28"/>
        <v>0</v>
      </c>
      <c r="J217" s="389">
        <f t="shared" si="29"/>
        <v>0</v>
      </c>
      <c r="L217" s="721">
        <v>3689</v>
      </c>
      <c r="M217" s="581"/>
      <c r="N217" s="585" t="s">
        <v>1738</v>
      </c>
      <c r="O217" s="586" t="s">
        <v>4699</v>
      </c>
      <c r="P217" s="233">
        <f t="shared" si="30"/>
        <v>0</v>
      </c>
      <c r="Q217" s="233">
        <f t="shared" si="31"/>
        <v>3689</v>
      </c>
      <c r="R217" s="2">
        <f t="shared" si="32"/>
        <v>4.2300000000000004</v>
      </c>
      <c r="S217" s="2">
        <f>(1/9)*cnst_fish!$C$7*(1/cnst_fish!$C$8)^(R217-1)</f>
        <v>239.49589970614389</v>
      </c>
      <c r="T217" s="682">
        <f t="shared" si="33"/>
        <v>75771.191332766219</v>
      </c>
      <c r="W217" s="818"/>
      <c r="X217" s="818"/>
      <c r="Y217" s="819"/>
      <c r="Z217" s="820"/>
      <c r="AA217" s="820"/>
      <c r="AB217" s="821"/>
      <c r="AC217" s="821"/>
      <c r="AD217" s="253"/>
      <c r="AE217" s="253"/>
    </row>
    <row r="218" spans="1:31" ht="14.5">
      <c r="A218" t="s">
        <v>3804</v>
      </c>
      <c r="B218" t="s">
        <v>2569</v>
      </c>
      <c r="C218">
        <v>18626</v>
      </c>
      <c r="D218" s="581"/>
      <c r="E218" s="581"/>
      <c r="F218" s="2">
        <f>(1/S218)*cnst_fish!$C$6</f>
        <v>3.1556646698079359E-2</v>
      </c>
      <c r="G218" s="2">
        <f t="shared" si="34"/>
        <v>1</v>
      </c>
      <c r="H218" s="2">
        <f t="shared" si="34"/>
        <v>0.36449057933102513</v>
      </c>
      <c r="I218" s="2">
        <f t="shared" si="28"/>
        <v>0</v>
      </c>
      <c r="J218" s="389">
        <f t="shared" si="29"/>
        <v>0</v>
      </c>
      <c r="L218" s="721">
        <v>132</v>
      </c>
      <c r="M218" s="581"/>
      <c r="N218" s="585" t="s">
        <v>1738</v>
      </c>
      <c r="O218" s="586" t="s">
        <v>4681</v>
      </c>
      <c r="P218" s="233">
        <f t="shared" si="30"/>
        <v>0</v>
      </c>
      <c r="Q218" s="233">
        <f t="shared" si="31"/>
        <v>132</v>
      </c>
      <c r="R218" s="2">
        <f t="shared" si="32"/>
        <v>3.98</v>
      </c>
      <c r="S218" s="2">
        <f>(1/9)*cnst_fish!$C$7*(1/cnst_fish!$C$8)^(R218-1)</f>
        <v>134.67844161840773</v>
      </c>
      <c r="T218" s="682">
        <f t="shared" si="33"/>
        <v>1524.6473090762086</v>
      </c>
      <c r="W218" s="818"/>
      <c r="X218" s="818"/>
      <c r="Y218" s="819"/>
      <c r="Z218" s="820"/>
      <c r="AA218" s="820"/>
      <c r="AB218" s="821"/>
      <c r="AC218" s="821"/>
      <c r="AD218" s="253"/>
      <c r="AE218" s="253"/>
    </row>
    <row r="219" spans="1:31" ht="14.5">
      <c r="A219" t="s">
        <v>5081</v>
      </c>
      <c r="B219" t="s">
        <v>248</v>
      </c>
      <c r="C219">
        <v>3656</v>
      </c>
      <c r="D219" s="581"/>
      <c r="E219" s="581"/>
      <c r="F219" s="2">
        <f>(1/S219)*cnst_fish!$C$6</f>
        <v>0.21831865524078092</v>
      </c>
      <c r="G219" s="2">
        <f t="shared" si="34"/>
        <v>1</v>
      </c>
      <c r="H219" s="2">
        <f t="shared" si="34"/>
        <v>0.36449057933102513</v>
      </c>
      <c r="I219" s="2">
        <f t="shared" si="28"/>
        <v>0</v>
      </c>
      <c r="J219" s="389">
        <f t="shared" si="29"/>
        <v>0</v>
      </c>
      <c r="L219" s="721">
        <v>21374</v>
      </c>
      <c r="M219" s="581"/>
      <c r="N219" s="585" t="s">
        <v>1738</v>
      </c>
      <c r="O219" s="586" t="s">
        <v>4681</v>
      </c>
      <c r="P219" s="233">
        <f t="shared" si="30"/>
        <v>0</v>
      </c>
      <c r="Q219" s="233">
        <f t="shared" si="31"/>
        <v>21374</v>
      </c>
      <c r="R219" s="2">
        <f t="shared" si="32"/>
        <v>3.14</v>
      </c>
      <c r="S219" s="2">
        <f>(1/9)*cnst_fish!$C$7*(1/cnst_fish!$C$8)^(R219-1)</f>
        <v>19.466957577733005</v>
      </c>
      <c r="T219" s="682">
        <f t="shared" si="33"/>
        <v>35684.635534371315</v>
      </c>
      <c r="W219" s="818"/>
      <c r="X219" s="818"/>
      <c r="Y219" s="819"/>
      <c r="Z219" s="820"/>
      <c r="AA219" s="820"/>
      <c r="AB219" s="821"/>
      <c r="AC219" s="821"/>
      <c r="AD219" s="253"/>
      <c r="AE219" s="253"/>
    </row>
    <row r="220" spans="1:31" ht="14.5">
      <c r="A220" t="s">
        <v>8549</v>
      </c>
      <c r="B220" t="s">
        <v>8550</v>
      </c>
      <c r="C220">
        <v>14805</v>
      </c>
      <c r="D220" s="581"/>
      <c r="E220" s="581"/>
      <c r="F220" s="2">
        <f>(1/S220)*cnst_fish!$C$6</f>
        <v>3.7939434000887833E-2</v>
      </c>
      <c r="G220" s="2">
        <f t="shared" si="34"/>
        <v>1</v>
      </c>
      <c r="H220" s="2">
        <f t="shared" si="34"/>
        <v>0.36449057933102513</v>
      </c>
      <c r="I220" s="2">
        <f t="shared" si="28"/>
        <v>0</v>
      </c>
      <c r="J220" s="389">
        <f t="shared" si="29"/>
        <v>0</v>
      </c>
      <c r="L220" s="721">
        <v>135</v>
      </c>
      <c r="M220" s="581"/>
      <c r="N220" s="585" t="s">
        <v>1739</v>
      </c>
      <c r="O220" s="586" t="s">
        <v>4681</v>
      </c>
      <c r="P220" s="233">
        <f t="shared" si="30"/>
        <v>0</v>
      </c>
      <c r="Q220" s="233">
        <f t="shared" si="31"/>
        <v>135</v>
      </c>
      <c r="R220" s="2">
        <f t="shared" si="32"/>
        <v>3.9</v>
      </c>
      <c r="S220" s="2">
        <f>(1/9)*cnst_fish!$C$7*(1/cnst_fish!$C$8)^(R220-1)</f>
        <v>112.02064848675771</v>
      </c>
      <c r="T220" s="682">
        <f t="shared" si="33"/>
        <v>1296.9679043851024</v>
      </c>
      <c r="W220" s="818"/>
      <c r="X220" s="818"/>
      <c r="Y220" s="819"/>
      <c r="Z220" s="820"/>
      <c r="AA220" s="820"/>
      <c r="AB220" s="821"/>
      <c r="AC220" s="821"/>
      <c r="AD220" s="253"/>
      <c r="AE220" s="253"/>
    </row>
    <row r="221" spans="1:31" ht="14.5">
      <c r="A221" t="s">
        <v>3871</v>
      </c>
      <c r="B221" t="s">
        <v>3872</v>
      </c>
      <c r="C221">
        <v>17001</v>
      </c>
      <c r="D221" s="581"/>
      <c r="E221" s="581"/>
      <c r="F221" s="2">
        <f>(1/S221)*cnst_fish!$C$6</f>
        <v>2.6859062362848789E-2</v>
      </c>
      <c r="G221" s="2">
        <f t="shared" si="34"/>
        <v>1</v>
      </c>
      <c r="H221" s="2">
        <f t="shared" si="34"/>
        <v>0.36449057933102513</v>
      </c>
      <c r="I221" s="2">
        <f t="shared" si="28"/>
        <v>0</v>
      </c>
      <c r="J221" s="389">
        <f t="shared" si="29"/>
        <v>0</v>
      </c>
      <c r="L221" s="721">
        <v>97566</v>
      </c>
      <c r="M221" s="581"/>
      <c r="N221" s="585" t="s">
        <v>5197</v>
      </c>
      <c r="O221" s="586" t="s">
        <v>4675</v>
      </c>
      <c r="P221" s="233">
        <f t="shared" si="30"/>
        <v>0</v>
      </c>
      <c r="Q221" s="233">
        <f t="shared" si="31"/>
        <v>97566</v>
      </c>
      <c r="R221" s="2">
        <f t="shared" si="32"/>
        <v>4.05</v>
      </c>
      <c r="S221" s="2">
        <f>(1/9)*cnst_fish!$C$7*(1/cnst_fish!$C$8)^(R221-1)</f>
        <v>158.23337176053329</v>
      </c>
      <c r="T221" s="682">
        <f t="shared" si="33"/>
        <v>1324018.2171139258</v>
      </c>
      <c r="W221" s="818"/>
      <c r="X221" s="818"/>
      <c r="Y221" s="819"/>
      <c r="Z221" s="820"/>
      <c r="AA221" s="820"/>
      <c r="AB221" s="821"/>
      <c r="AC221" s="821"/>
      <c r="AD221" s="253"/>
      <c r="AE221" s="253"/>
    </row>
    <row r="222" spans="1:31" ht="14.5">
      <c r="A222" t="s">
        <v>3343</v>
      </c>
      <c r="B222" t="s">
        <v>3344</v>
      </c>
      <c r="C222">
        <v>10871</v>
      </c>
      <c r="D222" s="581"/>
      <c r="E222" s="581"/>
      <c r="F222" s="2">
        <f>(1/S222)*cnst_fish!$C$6</f>
        <v>2.234039499920492E-2</v>
      </c>
      <c r="G222" s="2">
        <f t="shared" si="34"/>
        <v>1</v>
      </c>
      <c r="H222" s="2">
        <f t="shared" si="34"/>
        <v>0.36449057933102513</v>
      </c>
      <c r="I222" s="2">
        <f t="shared" si="28"/>
        <v>0</v>
      </c>
      <c r="J222" s="389">
        <f t="shared" si="29"/>
        <v>0</v>
      </c>
      <c r="L222" s="721">
        <v>1878</v>
      </c>
      <c r="M222" s="581"/>
      <c r="N222" s="585" t="s">
        <v>1738</v>
      </c>
      <c r="O222" s="586" t="s">
        <v>4681</v>
      </c>
      <c r="P222" s="233">
        <f t="shared" si="30"/>
        <v>0</v>
      </c>
      <c r="Q222" s="233">
        <f t="shared" si="31"/>
        <v>1878</v>
      </c>
      <c r="R222" s="2">
        <f t="shared" si="32"/>
        <v>4.13</v>
      </c>
      <c r="S222" s="2">
        <f>(1/9)*cnst_fish!$C$7*(1/cnst_fish!$C$8)^(R222-1)</f>
        <v>190.23835523728451</v>
      </c>
      <c r="T222" s="682">
        <f t="shared" si="33"/>
        <v>30640.161376198877</v>
      </c>
      <c r="W222" s="818"/>
      <c r="X222" s="818"/>
      <c r="Y222" s="819"/>
      <c r="Z222" s="820"/>
      <c r="AA222" s="820"/>
      <c r="AB222" s="821"/>
      <c r="AC222" s="821"/>
      <c r="AD222" s="253"/>
      <c r="AE222" s="253"/>
    </row>
    <row r="223" spans="1:31" ht="14.5">
      <c r="A223" t="s">
        <v>2793</v>
      </c>
      <c r="B223" t="s">
        <v>2794</v>
      </c>
      <c r="C223">
        <v>3040</v>
      </c>
      <c r="D223" s="581"/>
      <c r="E223" s="581"/>
      <c r="F223" s="2">
        <f>(1/S223)*cnst_fish!$C$6</f>
        <v>1.256292732912874E-2</v>
      </c>
      <c r="G223" s="2">
        <f t="shared" si="34"/>
        <v>1</v>
      </c>
      <c r="H223" s="2">
        <f t="shared" si="34"/>
        <v>0.36449057933102513</v>
      </c>
      <c r="I223" s="2">
        <f t="shared" si="28"/>
        <v>0</v>
      </c>
      <c r="J223" s="389">
        <f t="shared" si="29"/>
        <v>0</v>
      </c>
      <c r="L223" s="721">
        <v>107</v>
      </c>
      <c r="M223" s="581"/>
      <c r="N223" s="585" t="s">
        <v>1738</v>
      </c>
      <c r="O223" s="586" t="s">
        <v>4681</v>
      </c>
      <c r="P223" s="233">
        <f t="shared" si="30"/>
        <v>0</v>
      </c>
      <c r="Q223" s="233">
        <f t="shared" si="31"/>
        <v>107</v>
      </c>
      <c r="R223" s="2">
        <f t="shared" si="32"/>
        <v>4.38</v>
      </c>
      <c r="S223" s="2">
        <f>(1/9)*cnst_fish!$C$7*(1/cnst_fish!$C$8)^(R223-1)</f>
        <v>338.2969501181334</v>
      </c>
      <c r="T223" s="682">
        <f t="shared" si="33"/>
        <v>3104.4111747739003</v>
      </c>
      <c r="W223" s="818"/>
      <c r="X223" s="818"/>
      <c r="Y223" s="819"/>
      <c r="Z223" s="820"/>
      <c r="AA223" s="820"/>
      <c r="AB223" s="821"/>
      <c r="AC223" s="821"/>
      <c r="AD223" s="253"/>
      <c r="AE223" s="253"/>
    </row>
    <row r="224" spans="1:31" ht="14.5">
      <c r="A224" t="s">
        <v>2630</v>
      </c>
      <c r="B224" t="s">
        <v>249</v>
      </c>
      <c r="C224">
        <v>2248</v>
      </c>
      <c r="D224" s="581"/>
      <c r="E224" s="581"/>
      <c r="F224" s="2">
        <f>(1/S224)*cnst_fish!$C$6</f>
        <v>1.6561163607618418E-2</v>
      </c>
      <c r="G224" s="2">
        <f t="shared" si="34"/>
        <v>1</v>
      </c>
      <c r="H224" s="2">
        <f t="shared" si="34"/>
        <v>0.36449057933102513</v>
      </c>
      <c r="I224" s="2">
        <f t="shared" si="28"/>
        <v>0</v>
      </c>
      <c r="J224" s="389">
        <f t="shared" si="29"/>
        <v>0</v>
      </c>
      <c r="L224" s="721">
        <v>3544.8</v>
      </c>
      <c r="M224" s="581"/>
      <c r="N224" s="585" t="s">
        <v>1738</v>
      </c>
      <c r="O224" s="586" t="s">
        <v>4681</v>
      </c>
      <c r="P224" s="233">
        <f t="shared" si="30"/>
        <v>0</v>
      </c>
      <c r="Q224" s="233">
        <f t="shared" si="31"/>
        <v>3544.8</v>
      </c>
      <c r="R224" s="2">
        <f t="shared" si="32"/>
        <v>4.26</v>
      </c>
      <c r="S224" s="2">
        <f>(1/9)*cnst_fish!$C$7*(1/cnst_fish!$C$8)^(R224-1)</f>
        <v>256.62448006038221</v>
      </c>
      <c r="T224" s="682">
        <f t="shared" si="33"/>
        <v>78016.631936312406</v>
      </c>
      <c r="W224" s="818"/>
      <c r="X224" s="818"/>
      <c r="Y224" s="819"/>
      <c r="Z224" s="820"/>
      <c r="AA224" s="820"/>
      <c r="AB224" s="821"/>
      <c r="AC224" s="821"/>
      <c r="AD224" s="253"/>
      <c r="AE224" s="253"/>
    </row>
    <row r="225" spans="1:31" ht="14.5">
      <c r="A225" t="s">
        <v>4256</v>
      </c>
      <c r="B225" t="s">
        <v>8551</v>
      </c>
      <c r="C225">
        <v>3084</v>
      </c>
      <c r="D225" s="581"/>
      <c r="E225" s="581"/>
      <c r="F225" s="2">
        <f>(1/S225)*cnst_fish!$C$6</f>
        <v>0.30136363636363639</v>
      </c>
      <c r="G225" s="2">
        <f t="shared" si="34"/>
        <v>1</v>
      </c>
      <c r="H225" s="2">
        <f t="shared" si="34"/>
        <v>0.36449057933102513</v>
      </c>
      <c r="I225" s="2">
        <f t="shared" si="28"/>
        <v>0</v>
      </c>
      <c r="J225" s="389">
        <f t="shared" si="29"/>
        <v>0</v>
      </c>
      <c r="L225" s="721"/>
      <c r="M225" s="581"/>
      <c r="N225" s="585" t="s">
        <v>1738</v>
      </c>
      <c r="O225" s="586" t="s">
        <v>4681</v>
      </c>
      <c r="P225" s="233">
        <f t="shared" si="30"/>
        <v>0</v>
      </c>
      <c r="Q225" s="233">
        <f t="shared" si="31"/>
        <v>0</v>
      </c>
      <c r="R225" s="2">
        <f t="shared" si="32"/>
        <v>3</v>
      </c>
      <c r="S225" s="2">
        <f>(1/9)*cnst_fish!$C$7*(1/cnst_fish!$C$8)^(R225-1)</f>
        <v>14.1025641025641</v>
      </c>
      <c r="T225" s="682">
        <f t="shared" si="33"/>
        <v>0</v>
      </c>
      <c r="W225" s="818"/>
      <c r="X225" s="818"/>
      <c r="Y225" s="819"/>
      <c r="Z225" s="820"/>
      <c r="AA225" s="820"/>
      <c r="AB225" s="821"/>
      <c r="AC225" s="821"/>
      <c r="AD225" s="253"/>
      <c r="AE225" s="253"/>
    </row>
    <row r="226" spans="1:31" ht="14.5">
      <c r="A226" t="s">
        <v>3698</v>
      </c>
      <c r="B226" t="s">
        <v>4544</v>
      </c>
      <c r="C226">
        <v>2725</v>
      </c>
      <c r="D226" s="581">
        <v>37912</v>
      </c>
      <c r="E226" s="581"/>
      <c r="F226" s="2">
        <f>(1/S226)*cnst_fish!$C$6</f>
        <v>2.3938164528281742</v>
      </c>
      <c r="G226" s="2">
        <f t="shared" si="34"/>
        <v>1</v>
      </c>
      <c r="H226" s="2">
        <f t="shared" si="34"/>
        <v>0.36449057933102513</v>
      </c>
      <c r="I226" s="2">
        <f t="shared" si="28"/>
        <v>5772.60918533327</v>
      </c>
      <c r="J226" s="389">
        <f t="shared" si="29"/>
        <v>0</v>
      </c>
      <c r="L226" s="721">
        <v>98599</v>
      </c>
      <c r="M226" s="581">
        <v>457</v>
      </c>
      <c r="N226" s="585" t="s">
        <v>1736</v>
      </c>
      <c r="O226" s="586" t="s">
        <v>4691</v>
      </c>
      <c r="P226" s="233">
        <f t="shared" si="30"/>
        <v>37912</v>
      </c>
      <c r="Q226" s="233">
        <f t="shared" si="31"/>
        <v>99056</v>
      </c>
      <c r="R226" s="2">
        <f t="shared" si="32"/>
        <v>2.1</v>
      </c>
      <c r="S226" s="2">
        <f>(1/9)*cnst_fish!$C$7*(1/cnst_fish!$C$8)^(R226-1)</f>
        <v>1.7754076320174161</v>
      </c>
      <c r="T226" s="682">
        <f t="shared" si="33"/>
        <v>15082.601167502964</v>
      </c>
      <c r="W226" s="818"/>
      <c r="X226" s="818"/>
      <c r="Y226" s="819"/>
      <c r="Z226" s="820"/>
      <c r="AA226" s="820"/>
      <c r="AB226" s="821"/>
      <c r="AC226" s="821"/>
      <c r="AD226" s="253"/>
      <c r="AE226" s="253"/>
    </row>
    <row r="227" spans="1:31" ht="14.5">
      <c r="A227" t="s">
        <v>8252</v>
      </c>
      <c r="B227" t="s">
        <v>8253</v>
      </c>
      <c r="C227">
        <v>3251</v>
      </c>
      <c r="D227" s="581"/>
      <c r="E227" s="581"/>
      <c r="F227" s="2">
        <f>(1/S227)*cnst_fish!$C$6</f>
        <v>1.4760152601876353</v>
      </c>
      <c r="G227" s="2">
        <f t="shared" si="34"/>
        <v>1</v>
      </c>
      <c r="H227" s="2">
        <f t="shared" si="34"/>
        <v>0.36449057933102513</v>
      </c>
      <c r="I227" s="2">
        <f t="shared" si="28"/>
        <v>0</v>
      </c>
      <c r="J227" s="389">
        <f t="shared" si="29"/>
        <v>0</v>
      </c>
      <c r="L227" s="721">
        <v>0</v>
      </c>
      <c r="M227" s="581"/>
      <c r="N227" s="585" t="s">
        <v>1738</v>
      </c>
      <c r="O227" s="586" t="s">
        <v>4681</v>
      </c>
      <c r="P227" s="233">
        <f t="shared" si="30"/>
        <v>0</v>
      </c>
      <c r="Q227" s="233">
        <f t="shared" si="31"/>
        <v>0</v>
      </c>
      <c r="R227" s="2">
        <f t="shared" si="32"/>
        <v>2.31</v>
      </c>
      <c r="S227" s="2">
        <f>(1/9)*cnst_fish!$C$7*(1/cnst_fish!$C$8)^(R227-1)</f>
        <v>2.8793740245339521</v>
      </c>
      <c r="T227" s="682">
        <f t="shared" si="33"/>
        <v>0</v>
      </c>
      <c r="W227" s="818"/>
      <c r="X227" s="818"/>
      <c r="Y227" s="819"/>
      <c r="Z227" s="820"/>
      <c r="AA227" s="820"/>
      <c r="AB227" s="821"/>
      <c r="AC227" s="821"/>
      <c r="AD227" s="253"/>
      <c r="AE227" s="253"/>
    </row>
    <row r="228" spans="1:31" ht="14.5">
      <c r="A228" t="s">
        <v>931</v>
      </c>
      <c r="B228" t="s">
        <v>5114</v>
      </c>
      <c r="C228">
        <v>10120</v>
      </c>
      <c r="D228" s="581"/>
      <c r="E228" s="581"/>
      <c r="F228" s="2">
        <f>(1/S228)*cnst_fish!$C$6</f>
        <v>0.25650205424007994</v>
      </c>
      <c r="G228" s="2">
        <f t="shared" ref="G228:H247" si="35">G$7</f>
        <v>1</v>
      </c>
      <c r="H228" s="2">
        <f t="shared" si="35"/>
        <v>0.36449057933102513</v>
      </c>
      <c r="I228" s="2">
        <f t="shared" si="28"/>
        <v>0</v>
      </c>
      <c r="J228" s="389">
        <f t="shared" si="29"/>
        <v>0</v>
      </c>
      <c r="L228" s="721">
        <v>85</v>
      </c>
      <c r="M228" s="581">
        <v>6054.73</v>
      </c>
      <c r="N228" s="585" t="s">
        <v>1738</v>
      </c>
      <c r="O228" s="586" t="s">
        <v>4685</v>
      </c>
      <c r="P228" s="233">
        <f t="shared" si="30"/>
        <v>0</v>
      </c>
      <c r="Q228" s="233">
        <f t="shared" si="31"/>
        <v>6139.73</v>
      </c>
      <c r="R228" s="2">
        <f t="shared" si="32"/>
        <v>3.07</v>
      </c>
      <c r="S228" s="2">
        <f>(1/9)*cnst_fish!$C$7*(1/cnst_fish!$C$8)^(R228-1)</f>
        <v>16.569068082480538</v>
      </c>
      <c r="T228" s="682">
        <f t="shared" si="33"/>
        <v>8724.5841023225385</v>
      </c>
      <c r="W228" s="818"/>
      <c r="X228" s="818"/>
      <c r="Y228" s="819"/>
      <c r="Z228" s="820"/>
      <c r="AA228" s="820"/>
      <c r="AB228" s="821"/>
      <c r="AC228" s="821"/>
      <c r="AD228" s="253"/>
      <c r="AE228" s="253"/>
    </row>
    <row r="229" spans="1:31" ht="14.5">
      <c r="A229" t="s">
        <v>3132</v>
      </c>
      <c r="B229" t="s">
        <v>4872</v>
      </c>
      <c r="C229">
        <v>10898</v>
      </c>
      <c r="D229" s="581"/>
      <c r="E229" s="581"/>
      <c r="F229" s="2">
        <f>(1/S229)*cnst_fish!$C$6</f>
        <v>0.64430402969999101</v>
      </c>
      <c r="G229" s="2">
        <f t="shared" si="35"/>
        <v>1</v>
      </c>
      <c r="H229" s="2">
        <f t="shared" si="35"/>
        <v>0.36449057933102513</v>
      </c>
      <c r="I229" s="2">
        <f t="shared" si="28"/>
        <v>0</v>
      </c>
      <c r="J229" s="389">
        <f t="shared" si="29"/>
        <v>0</v>
      </c>
      <c r="L229" s="721">
        <v>197</v>
      </c>
      <c r="M229" s="581"/>
      <c r="N229" s="585" t="s">
        <v>1738</v>
      </c>
      <c r="O229" s="586" t="s">
        <v>4681</v>
      </c>
      <c r="P229" s="233">
        <f t="shared" si="30"/>
        <v>0</v>
      </c>
      <c r="Q229" s="233">
        <f t="shared" si="31"/>
        <v>197</v>
      </c>
      <c r="R229" s="2">
        <f t="shared" si="32"/>
        <v>2.67</v>
      </c>
      <c r="S229" s="2">
        <f>(1/9)*cnst_fish!$C$7*(1/cnst_fish!$C$8)^(R229-1)</f>
        <v>6.5962648130245887</v>
      </c>
      <c r="T229" s="682">
        <f t="shared" si="33"/>
        <v>111.44528175874756</v>
      </c>
      <c r="W229" s="818"/>
      <c r="X229" s="818"/>
      <c r="Y229" s="819"/>
      <c r="Z229" s="820"/>
      <c r="AA229" s="820"/>
      <c r="AB229" s="821"/>
      <c r="AC229" s="821"/>
      <c r="AD229" s="253"/>
      <c r="AE229" s="253"/>
    </row>
    <row r="230" spans="1:31" ht="14.5">
      <c r="A230" t="s">
        <v>6762</v>
      </c>
      <c r="B230" t="s">
        <v>8552</v>
      </c>
      <c r="C230">
        <v>6817</v>
      </c>
      <c r="D230" s="581"/>
      <c r="E230" s="581"/>
      <c r="F230" s="2">
        <f>(1/S230)*cnst_fish!$C$6</f>
        <v>3.0136363636363641</v>
      </c>
      <c r="G230" s="2">
        <f t="shared" si="35"/>
        <v>1</v>
      </c>
      <c r="H230" s="2">
        <f t="shared" si="35"/>
        <v>0.36449057933102513</v>
      </c>
      <c r="I230" s="2">
        <f t="shared" si="28"/>
        <v>0</v>
      </c>
      <c r="J230" s="389">
        <f t="shared" si="29"/>
        <v>0</v>
      </c>
      <c r="L230" s="721"/>
      <c r="M230" s="581"/>
      <c r="N230" s="585" t="s">
        <v>1738</v>
      </c>
      <c r="O230" s="586" t="s">
        <v>4685</v>
      </c>
      <c r="P230" s="233">
        <f t="shared" si="30"/>
        <v>0</v>
      </c>
      <c r="Q230" s="233">
        <f t="shared" si="31"/>
        <v>0</v>
      </c>
      <c r="R230" s="2">
        <f t="shared" si="32"/>
        <v>2</v>
      </c>
      <c r="S230" s="2">
        <f>(1/9)*cnst_fish!$C$7*(1/cnst_fish!$C$8)^(R230-1)</f>
        <v>1.4102564102564099</v>
      </c>
      <c r="T230" s="682">
        <f t="shared" si="33"/>
        <v>0</v>
      </c>
      <c r="W230" s="818"/>
      <c r="X230" s="818"/>
      <c r="Y230" s="819"/>
      <c r="Z230" s="820"/>
      <c r="AA230" s="820"/>
      <c r="AB230" s="821"/>
      <c r="AC230" s="821"/>
      <c r="AD230" s="253"/>
      <c r="AE230" s="253"/>
    </row>
    <row r="231" spans="1:31" ht="14.5">
      <c r="A231" t="s">
        <v>8553</v>
      </c>
      <c r="B231" t="s">
        <v>8554</v>
      </c>
      <c r="C231">
        <v>17735</v>
      </c>
      <c r="D231" s="581"/>
      <c r="E231" s="581"/>
      <c r="F231" s="2">
        <f>(1/S231)*cnst_fish!$C$6</f>
        <v>2.3938164528281742</v>
      </c>
      <c r="G231" s="2">
        <f t="shared" si="35"/>
        <v>1</v>
      </c>
      <c r="H231" s="2">
        <f t="shared" si="35"/>
        <v>0.36449057933102513</v>
      </c>
      <c r="I231" s="2">
        <f t="shared" si="28"/>
        <v>0</v>
      </c>
      <c r="J231" s="389">
        <f t="shared" si="29"/>
        <v>0</v>
      </c>
      <c r="L231" s="721">
        <v>0</v>
      </c>
      <c r="M231" s="581"/>
      <c r="N231" s="585" t="s">
        <v>1736</v>
      </c>
      <c r="O231" s="586" t="s">
        <v>4691</v>
      </c>
      <c r="P231" s="233">
        <f t="shared" si="30"/>
        <v>0</v>
      </c>
      <c r="Q231" s="233">
        <f t="shared" si="31"/>
        <v>0</v>
      </c>
      <c r="R231" s="2">
        <f t="shared" si="32"/>
        <v>2.1</v>
      </c>
      <c r="S231" s="2">
        <f>(1/9)*cnst_fish!$C$7*(1/cnst_fish!$C$8)^(R231-1)</f>
        <v>1.7754076320174161</v>
      </c>
      <c r="T231" s="682">
        <f t="shared" si="33"/>
        <v>0</v>
      </c>
      <c r="W231" s="818"/>
      <c r="X231" s="818"/>
      <c r="Y231" s="819"/>
      <c r="Z231" s="820"/>
      <c r="AA231" s="820"/>
      <c r="AB231" s="821"/>
      <c r="AC231" s="821"/>
      <c r="AD231" s="253"/>
      <c r="AE231" s="253"/>
    </row>
    <row r="232" spans="1:31" ht="14.5">
      <c r="A232" t="s">
        <v>944</v>
      </c>
      <c r="B232" t="s">
        <v>2689</v>
      </c>
      <c r="C232">
        <v>2385</v>
      </c>
      <c r="D232" s="581"/>
      <c r="E232" s="581"/>
      <c r="F232" s="2">
        <f>(1/S232)*cnst_fish!$C$6</f>
        <v>0.32291695426024208</v>
      </c>
      <c r="G232" s="2">
        <f t="shared" si="35"/>
        <v>1</v>
      </c>
      <c r="H232" s="2">
        <f t="shared" si="35"/>
        <v>0.36449057933102513</v>
      </c>
      <c r="I232" s="2">
        <f t="shared" si="28"/>
        <v>0</v>
      </c>
      <c r="J232" s="389">
        <f t="shared" si="29"/>
        <v>0</v>
      </c>
      <c r="L232" s="721">
        <v>28955</v>
      </c>
      <c r="M232" s="581"/>
      <c r="N232" s="585" t="s">
        <v>1738</v>
      </c>
      <c r="O232" s="586" t="s">
        <v>4681</v>
      </c>
      <c r="P232" s="233">
        <f t="shared" si="30"/>
        <v>0</v>
      </c>
      <c r="Q232" s="233">
        <f t="shared" si="31"/>
        <v>28955</v>
      </c>
      <c r="R232" s="2">
        <f t="shared" si="32"/>
        <v>2.97</v>
      </c>
      <c r="S232" s="2">
        <f>(1/9)*cnst_fish!$C$7*(1/cnst_fish!$C$8)^(R232-1)</f>
        <v>13.161278600983215</v>
      </c>
      <c r="T232" s="682">
        <f t="shared" si="33"/>
        <v>32682.782942466365</v>
      </c>
      <c r="W232" s="818"/>
      <c r="X232" s="818"/>
      <c r="Y232" s="819"/>
      <c r="Z232" s="820"/>
      <c r="AA232" s="820"/>
      <c r="AB232" s="821"/>
      <c r="AC232" s="821"/>
      <c r="AD232" s="253"/>
      <c r="AE232" s="253"/>
    </row>
    <row r="233" spans="1:31" ht="14.5">
      <c r="A233" t="s">
        <v>4766</v>
      </c>
      <c r="B233" t="s">
        <v>543</v>
      </c>
      <c r="C233">
        <v>2233</v>
      </c>
      <c r="D233" s="581"/>
      <c r="E233" s="581"/>
      <c r="F233" s="2">
        <f>(1/S233)*cnst_fish!$C$6</f>
        <v>0.23883108277661491</v>
      </c>
      <c r="G233" s="2">
        <f t="shared" si="35"/>
        <v>1</v>
      </c>
      <c r="H233" s="2">
        <f t="shared" si="35"/>
        <v>0.36449057933102513</v>
      </c>
      <c r="I233" s="2">
        <f t="shared" si="28"/>
        <v>0</v>
      </c>
      <c r="J233" s="389">
        <f t="shared" si="29"/>
        <v>0</v>
      </c>
      <c r="L233" s="721">
        <v>22</v>
      </c>
      <c r="M233" s="581"/>
      <c r="N233" s="585" t="s">
        <v>5195</v>
      </c>
      <c r="O233" s="586" t="s">
        <v>4681</v>
      </c>
      <c r="P233" s="233">
        <f t="shared" si="30"/>
        <v>0</v>
      </c>
      <c r="Q233" s="233">
        <f t="shared" si="31"/>
        <v>22</v>
      </c>
      <c r="R233" s="2">
        <f t="shared" si="32"/>
        <v>3.101</v>
      </c>
      <c r="S233" s="2">
        <f>(1/9)*cnst_fish!$C$7*(1/cnst_fish!$C$8)^(R233-1)</f>
        <v>17.795003692945354</v>
      </c>
      <c r="T233" s="682">
        <f t="shared" si="33"/>
        <v>33.575163885945045</v>
      </c>
      <c r="W233" s="818"/>
      <c r="X233" s="818"/>
      <c r="Y233" s="819"/>
      <c r="Z233" s="820"/>
      <c r="AA233" s="820"/>
      <c r="AB233" s="821"/>
      <c r="AC233" s="821"/>
      <c r="AD233" s="253"/>
      <c r="AE233" s="253"/>
    </row>
    <row r="234" spans="1:31" ht="14.5">
      <c r="A234" t="s">
        <v>6652</v>
      </c>
      <c r="B234" t="s">
        <v>6651</v>
      </c>
      <c r="C234">
        <v>10906</v>
      </c>
      <c r="D234" s="581"/>
      <c r="E234" s="581"/>
      <c r="F234" s="2">
        <f>(1/S234)*cnst_fish!$C$6</f>
        <v>3.0136363636363641</v>
      </c>
      <c r="G234" s="2">
        <f t="shared" si="35"/>
        <v>1</v>
      </c>
      <c r="H234" s="2">
        <f t="shared" si="35"/>
        <v>0.36449057933102513</v>
      </c>
      <c r="I234" s="2">
        <f t="shared" si="28"/>
        <v>0</v>
      </c>
      <c r="J234" s="389">
        <f t="shared" si="29"/>
        <v>0</v>
      </c>
      <c r="L234" s="721"/>
      <c r="M234" s="581"/>
      <c r="N234" s="585" t="s">
        <v>1738</v>
      </c>
      <c r="O234" s="586" t="s">
        <v>4681</v>
      </c>
      <c r="P234" s="233">
        <f t="shared" si="30"/>
        <v>0</v>
      </c>
      <c r="Q234" s="233">
        <f t="shared" si="31"/>
        <v>0</v>
      </c>
      <c r="R234" s="2">
        <f t="shared" si="32"/>
        <v>2</v>
      </c>
      <c r="S234" s="2">
        <f>(1/9)*cnst_fish!$C$7*(1/cnst_fish!$C$8)^(R234-1)</f>
        <v>1.4102564102564099</v>
      </c>
      <c r="T234" s="682">
        <f t="shared" si="33"/>
        <v>0</v>
      </c>
      <c r="W234" s="818"/>
      <c r="X234" s="818"/>
      <c r="Y234" s="819"/>
      <c r="Z234" s="820"/>
      <c r="AA234" s="820"/>
      <c r="AB234" s="821"/>
      <c r="AC234" s="821"/>
      <c r="AD234" s="253"/>
      <c r="AE234" s="253"/>
    </row>
    <row r="235" spans="1:31" ht="14.5">
      <c r="A235" t="s">
        <v>5159</v>
      </c>
      <c r="B235" t="s">
        <v>1430</v>
      </c>
      <c r="C235">
        <v>3348</v>
      </c>
      <c r="D235" s="581"/>
      <c r="E235" s="581"/>
      <c r="F235" s="2">
        <f>(1/S235)*cnst_fish!$C$6</f>
        <v>7.3976000504507963E-2</v>
      </c>
      <c r="G235" s="2">
        <f t="shared" si="35"/>
        <v>1</v>
      </c>
      <c r="H235" s="2">
        <f t="shared" si="35"/>
        <v>0.36449057933102513</v>
      </c>
      <c r="I235" s="2">
        <f t="shared" si="28"/>
        <v>0</v>
      </c>
      <c r="J235" s="389">
        <f t="shared" si="29"/>
        <v>0</v>
      </c>
      <c r="L235" s="721">
        <v>652.47</v>
      </c>
      <c r="M235" s="581"/>
      <c r="N235" s="585" t="s">
        <v>1739</v>
      </c>
      <c r="O235" s="586" t="s">
        <v>4681</v>
      </c>
      <c r="P235" s="233">
        <f t="shared" si="30"/>
        <v>0</v>
      </c>
      <c r="Q235" s="233">
        <f t="shared" si="31"/>
        <v>652.47</v>
      </c>
      <c r="R235" s="2">
        <f t="shared" si="32"/>
        <v>3.61</v>
      </c>
      <c r="S235" s="2">
        <f>(1/9)*cnst_fish!$C$7*(1/cnst_fish!$C$8)^(R235-1)</f>
        <v>57.451064818528707</v>
      </c>
      <c r="T235" s="682">
        <f t="shared" si="33"/>
        <v>3214.815165380855</v>
      </c>
      <c r="W235" s="818"/>
      <c r="X235" s="818"/>
      <c r="Y235" s="819"/>
      <c r="Z235" s="820"/>
      <c r="AA235" s="820"/>
      <c r="AB235" s="821"/>
      <c r="AC235" s="821"/>
      <c r="AD235" s="253"/>
      <c r="AE235" s="253"/>
    </row>
    <row r="236" spans="1:31" ht="14.5">
      <c r="A236" t="s">
        <v>3943</v>
      </c>
      <c r="B236" t="s">
        <v>1431</v>
      </c>
      <c r="C236">
        <v>10919</v>
      </c>
      <c r="D236" s="581"/>
      <c r="E236" s="581"/>
      <c r="F236" s="2">
        <f>(1/S236)*cnst_fish!$C$6</f>
        <v>9.5299549485983348E-2</v>
      </c>
      <c r="G236" s="2">
        <f t="shared" si="35"/>
        <v>1</v>
      </c>
      <c r="H236" s="2">
        <f t="shared" si="35"/>
        <v>0.36449057933102513</v>
      </c>
      <c r="I236" s="2">
        <f t="shared" si="28"/>
        <v>0</v>
      </c>
      <c r="J236" s="389">
        <f t="shared" si="29"/>
        <v>0</v>
      </c>
      <c r="L236" s="721">
        <v>78</v>
      </c>
      <c r="M236" s="581"/>
      <c r="N236" s="585" t="s">
        <v>1739</v>
      </c>
      <c r="O236" s="586" t="s">
        <v>4681</v>
      </c>
      <c r="P236" s="233">
        <f t="shared" si="30"/>
        <v>0</v>
      </c>
      <c r="Q236" s="233">
        <f t="shared" si="31"/>
        <v>78</v>
      </c>
      <c r="R236" s="2">
        <f t="shared" si="32"/>
        <v>3.5</v>
      </c>
      <c r="S236" s="2">
        <f>(1/9)*cnst_fish!$C$7*(1/cnst_fish!$C$8)^(R236-1)</f>
        <v>44.596223412631026</v>
      </c>
      <c r="T236" s="682">
        <f t="shared" si="33"/>
        <v>298.32528423443893</v>
      </c>
      <c r="W236" s="818"/>
      <c r="X236" s="818"/>
      <c r="Y236" s="819"/>
      <c r="Z236" s="820"/>
      <c r="AA236" s="820"/>
      <c r="AB236" s="821"/>
      <c r="AC236" s="821"/>
      <c r="AD236" s="253"/>
      <c r="AE236" s="253"/>
    </row>
    <row r="237" spans="1:31" ht="14.5">
      <c r="A237" t="s">
        <v>6393</v>
      </c>
      <c r="B237" t="s">
        <v>6392</v>
      </c>
      <c r="C237">
        <v>10924</v>
      </c>
      <c r="D237" s="581"/>
      <c r="E237" s="581"/>
      <c r="F237" s="2">
        <f>(1/S237)*cnst_fish!$C$6</f>
        <v>9.5299549485983424E-3</v>
      </c>
      <c r="G237" s="2">
        <f t="shared" si="35"/>
        <v>1</v>
      </c>
      <c r="H237" s="2">
        <f t="shared" si="35"/>
        <v>0.36449057933102513</v>
      </c>
      <c r="I237" s="2">
        <f t="shared" si="28"/>
        <v>0</v>
      </c>
      <c r="J237" s="389">
        <f t="shared" si="29"/>
        <v>0</v>
      </c>
      <c r="L237" s="721"/>
      <c r="M237" s="581">
        <v>58</v>
      </c>
      <c r="N237" s="585" t="s">
        <v>1738</v>
      </c>
      <c r="O237" s="586" t="s">
        <v>4681</v>
      </c>
      <c r="P237" s="233">
        <f t="shared" si="30"/>
        <v>0</v>
      </c>
      <c r="Q237" s="233">
        <f t="shared" si="31"/>
        <v>58</v>
      </c>
      <c r="R237" s="2">
        <f t="shared" si="32"/>
        <v>4.5</v>
      </c>
      <c r="S237" s="2">
        <f>(1/9)*cnst_fish!$C$7*(1/cnst_fish!$C$8)^(R237-1)</f>
        <v>445.96223412630997</v>
      </c>
      <c r="T237" s="682">
        <f t="shared" si="33"/>
        <v>2218.3162161022365</v>
      </c>
      <c r="W237" s="818"/>
      <c r="X237" s="818"/>
      <c r="Y237" s="819"/>
      <c r="Z237" s="820"/>
      <c r="AA237" s="820"/>
      <c r="AB237" s="821"/>
      <c r="AC237" s="821"/>
      <c r="AD237" s="253"/>
      <c r="AE237" s="253"/>
    </row>
    <row r="238" spans="1:31" ht="14.5">
      <c r="A238" t="s">
        <v>5335</v>
      </c>
      <c r="B238" t="s">
        <v>2233</v>
      </c>
      <c r="C238">
        <v>3147</v>
      </c>
      <c r="D238" s="581"/>
      <c r="E238" s="581"/>
      <c r="F238" s="2">
        <f>(1/S238)*cnst_fish!$C$6</f>
        <v>0.28124890974018413</v>
      </c>
      <c r="G238" s="2">
        <f t="shared" si="35"/>
        <v>1</v>
      </c>
      <c r="H238" s="2">
        <f t="shared" si="35"/>
        <v>0.36449057933102513</v>
      </c>
      <c r="I238" s="2">
        <f t="shared" si="28"/>
        <v>0</v>
      </c>
      <c r="J238" s="389">
        <f t="shared" si="29"/>
        <v>0</v>
      </c>
      <c r="L238" s="721">
        <v>47967</v>
      </c>
      <c r="M238" s="581"/>
      <c r="N238" s="585" t="s">
        <v>1738</v>
      </c>
      <c r="O238" s="586" t="s">
        <v>4681</v>
      </c>
      <c r="P238" s="233">
        <f t="shared" si="30"/>
        <v>0</v>
      </c>
      <c r="Q238" s="233">
        <f t="shared" si="31"/>
        <v>47967</v>
      </c>
      <c r="R238" s="2">
        <f t="shared" si="32"/>
        <v>3.03</v>
      </c>
      <c r="S238" s="2">
        <f>(1/9)*cnst_fish!$C$7*(1/cnst_fish!$C$8)^(R238-1)</f>
        <v>15.111169689248294</v>
      </c>
      <c r="T238" s="682">
        <f t="shared" si="33"/>
        <v>62163.866288130477</v>
      </c>
      <c r="W238" s="818"/>
      <c r="X238" s="818"/>
      <c r="Y238" s="819"/>
      <c r="Z238" s="820"/>
      <c r="AA238" s="820"/>
      <c r="AB238" s="821"/>
      <c r="AC238" s="821"/>
      <c r="AD238" s="253"/>
      <c r="AE238" s="253"/>
    </row>
    <row r="239" spans="1:31" ht="14.5">
      <c r="A239" t="s">
        <v>8254</v>
      </c>
      <c r="B239" t="s">
        <v>8255</v>
      </c>
      <c r="C239">
        <v>10940</v>
      </c>
      <c r="D239" s="581"/>
      <c r="E239" s="581"/>
      <c r="F239" s="2">
        <f>(1/S239)*cnst_fish!$C$6</f>
        <v>9.5299549485983424E-3</v>
      </c>
      <c r="G239" s="2">
        <f t="shared" si="35"/>
        <v>1</v>
      </c>
      <c r="H239" s="2">
        <f t="shared" si="35"/>
        <v>0.36449057933102513</v>
      </c>
      <c r="I239" s="2">
        <f t="shared" si="28"/>
        <v>0</v>
      </c>
      <c r="J239" s="389">
        <f t="shared" si="29"/>
        <v>0</v>
      </c>
      <c r="L239" s="721"/>
      <c r="M239" s="581">
        <v>2980</v>
      </c>
      <c r="N239" s="585" t="s">
        <v>1738</v>
      </c>
      <c r="O239" s="586" t="s">
        <v>4685</v>
      </c>
      <c r="P239" s="233">
        <f t="shared" si="30"/>
        <v>0</v>
      </c>
      <c r="Q239" s="233">
        <f t="shared" si="31"/>
        <v>2980</v>
      </c>
      <c r="R239" s="2">
        <f t="shared" si="32"/>
        <v>4.5</v>
      </c>
      <c r="S239" s="2">
        <f>(1/9)*cnst_fish!$C$7*(1/cnst_fish!$C$8)^(R239-1)</f>
        <v>445.96223412630997</v>
      </c>
      <c r="T239" s="682">
        <f t="shared" si="33"/>
        <v>113975.55731008043</v>
      </c>
      <c r="W239" s="818"/>
      <c r="X239" s="818"/>
      <c r="Y239" s="819"/>
      <c r="Z239" s="820"/>
      <c r="AA239" s="820"/>
      <c r="AB239" s="821"/>
      <c r="AC239" s="821"/>
      <c r="AD239" s="253"/>
      <c r="AE239" s="253"/>
    </row>
    <row r="240" spans="1:31" ht="14.5">
      <c r="A240" t="s">
        <v>1881</v>
      </c>
      <c r="B240" t="s">
        <v>1882</v>
      </c>
      <c r="C240">
        <v>10941</v>
      </c>
      <c r="D240" s="581"/>
      <c r="E240" s="581"/>
      <c r="F240" s="2">
        <f>(1/S240)*cnst_fish!$C$6</f>
        <v>9.5299549485983424E-3</v>
      </c>
      <c r="G240" s="2">
        <f t="shared" si="35"/>
        <v>1</v>
      </c>
      <c r="H240" s="2">
        <f t="shared" si="35"/>
        <v>0.36449057933102513</v>
      </c>
      <c r="I240" s="2">
        <f t="shared" si="28"/>
        <v>0</v>
      </c>
      <c r="J240" s="389">
        <f t="shared" si="29"/>
        <v>0</v>
      </c>
      <c r="L240" s="721"/>
      <c r="M240" s="581"/>
      <c r="N240" s="585" t="s">
        <v>1738</v>
      </c>
      <c r="O240" s="586" t="s">
        <v>4685</v>
      </c>
      <c r="P240" s="233">
        <f t="shared" si="30"/>
        <v>0</v>
      </c>
      <c r="Q240" s="233">
        <f t="shared" si="31"/>
        <v>0</v>
      </c>
      <c r="R240" s="2">
        <f t="shared" si="32"/>
        <v>4.5</v>
      </c>
      <c r="S240" s="2">
        <f>(1/9)*cnst_fish!$C$7*(1/cnst_fish!$C$8)^(R240-1)</f>
        <v>445.96223412630997</v>
      </c>
      <c r="T240" s="682">
        <f t="shared" si="33"/>
        <v>0</v>
      </c>
      <c r="W240" s="818"/>
      <c r="X240" s="818"/>
      <c r="Y240" s="819"/>
      <c r="Z240" s="820"/>
      <c r="AA240" s="820"/>
      <c r="AB240" s="821"/>
      <c r="AC240" s="821"/>
      <c r="AD240" s="253"/>
      <c r="AE240" s="253"/>
    </row>
    <row r="241" spans="1:31" ht="14.5">
      <c r="A241" t="s">
        <v>1881</v>
      </c>
      <c r="B241" t="s">
        <v>1882</v>
      </c>
      <c r="C241">
        <v>16068</v>
      </c>
      <c r="D241" s="581"/>
      <c r="E241" s="581"/>
      <c r="F241" s="2">
        <f>(1/S241)*cnst_fish!$C$6</f>
        <v>9.5299549485983424E-3</v>
      </c>
      <c r="G241" s="2">
        <f t="shared" si="35"/>
        <v>1</v>
      </c>
      <c r="H241" s="2">
        <f t="shared" si="35"/>
        <v>0.36449057933102513</v>
      </c>
      <c r="I241" s="2">
        <f t="shared" si="28"/>
        <v>0</v>
      </c>
      <c r="J241" s="389">
        <f t="shared" si="29"/>
        <v>0</v>
      </c>
      <c r="L241" s="721"/>
      <c r="M241" s="581">
        <v>1110.0700000000002</v>
      </c>
      <c r="N241" s="585" t="s">
        <v>1738</v>
      </c>
      <c r="O241" s="586" t="s">
        <v>4685</v>
      </c>
      <c r="P241" s="233">
        <f t="shared" si="30"/>
        <v>0</v>
      </c>
      <c r="Q241" s="233">
        <f t="shared" si="31"/>
        <v>1110.0700000000002</v>
      </c>
      <c r="R241" s="2">
        <f t="shared" si="32"/>
        <v>4.5</v>
      </c>
      <c r="S241" s="2">
        <f>(1/9)*cnst_fish!$C$7*(1/cnst_fish!$C$8)^(R241-1)</f>
        <v>445.96223412630997</v>
      </c>
      <c r="T241" s="682">
        <f t="shared" si="33"/>
        <v>42456.660034631204</v>
      </c>
      <c r="W241" s="818"/>
      <c r="X241" s="818"/>
      <c r="Y241" s="819"/>
      <c r="Z241" s="820"/>
      <c r="AA241" s="820"/>
      <c r="AB241" s="821"/>
      <c r="AC241" s="821"/>
      <c r="AD241" s="253"/>
      <c r="AE241" s="253"/>
    </row>
    <row r="242" spans="1:31" ht="14.5">
      <c r="A242" t="s">
        <v>8256</v>
      </c>
      <c r="B242" t="s">
        <v>8257</v>
      </c>
      <c r="C242">
        <v>20448</v>
      </c>
      <c r="D242" s="581"/>
      <c r="E242" s="581"/>
      <c r="F242" s="2">
        <f>(1/S242)*cnst_fish!$C$6</f>
        <v>7.5699122913220583E-3</v>
      </c>
      <c r="G242" s="2">
        <f t="shared" si="35"/>
        <v>1</v>
      </c>
      <c r="H242" s="2">
        <f t="shared" si="35"/>
        <v>0.36449057933102513</v>
      </c>
      <c r="I242" s="2">
        <f t="shared" si="28"/>
        <v>0</v>
      </c>
      <c r="J242" s="389">
        <f t="shared" si="29"/>
        <v>0</v>
      </c>
      <c r="L242" s="721"/>
      <c r="M242" s="581">
        <v>13425</v>
      </c>
      <c r="N242" s="585" t="s">
        <v>1738</v>
      </c>
      <c r="O242" s="586" t="s">
        <v>4685</v>
      </c>
      <c r="P242" s="233">
        <f t="shared" si="30"/>
        <v>0</v>
      </c>
      <c r="Q242" s="233">
        <f t="shared" si="31"/>
        <v>13425</v>
      </c>
      <c r="R242" s="2">
        <f t="shared" si="32"/>
        <v>4.5999999999999996</v>
      </c>
      <c r="S242" s="2">
        <f>(1/9)*cnst_fish!$C$7*(1/cnst_fish!$C$8)^(R242-1)</f>
        <v>561.4331892421111</v>
      </c>
      <c r="T242" s="682">
        <f t="shared" si="33"/>
        <v>646412.51301267289</v>
      </c>
      <c r="W242" s="818"/>
      <c r="X242" s="818"/>
      <c r="Y242" s="819"/>
      <c r="Z242" s="820"/>
      <c r="AA242" s="820"/>
      <c r="AB242" s="821"/>
      <c r="AC242" s="821"/>
      <c r="AD242" s="253"/>
      <c r="AE242" s="253"/>
    </row>
    <row r="243" spans="1:31" ht="14.5">
      <c r="A243" t="s">
        <v>1884</v>
      </c>
      <c r="B243" t="s">
        <v>1885</v>
      </c>
      <c r="C243">
        <v>10943</v>
      </c>
      <c r="D243" s="581"/>
      <c r="E243" s="581"/>
      <c r="F243" s="2">
        <f>(1/S243)*cnst_fish!$C$6</f>
        <v>9.5299549485983424E-3</v>
      </c>
      <c r="G243" s="2">
        <f t="shared" si="35"/>
        <v>1</v>
      </c>
      <c r="H243" s="2">
        <f t="shared" si="35"/>
        <v>0.36449057933102513</v>
      </c>
      <c r="I243" s="2">
        <f t="shared" si="28"/>
        <v>0</v>
      </c>
      <c r="J243" s="389">
        <f t="shared" si="29"/>
        <v>0</v>
      </c>
      <c r="L243" s="721"/>
      <c r="M243" s="581">
        <v>22795</v>
      </c>
      <c r="N243" s="585" t="s">
        <v>1738</v>
      </c>
      <c r="O243" s="586" t="s">
        <v>4685</v>
      </c>
      <c r="P243" s="233">
        <f t="shared" si="30"/>
        <v>0</v>
      </c>
      <c r="Q243" s="233">
        <f t="shared" si="31"/>
        <v>22795</v>
      </c>
      <c r="R243" s="2">
        <f t="shared" si="32"/>
        <v>4.5</v>
      </c>
      <c r="S243" s="2">
        <f>(1/9)*cnst_fish!$C$7*(1/cnst_fish!$C$8)^(R243-1)</f>
        <v>445.96223412630997</v>
      </c>
      <c r="T243" s="682">
        <f t="shared" si="33"/>
        <v>871836.51975949097</v>
      </c>
      <c r="W243" s="818"/>
      <c r="X243" s="818"/>
      <c r="Y243" s="819"/>
      <c r="Z243" s="820"/>
      <c r="AA243" s="820"/>
      <c r="AB243" s="821"/>
      <c r="AC243" s="821"/>
      <c r="AD243" s="253"/>
      <c r="AE243" s="253"/>
    </row>
    <row r="244" spans="1:31" ht="14.5">
      <c r="A244" t="s">
        <v>3665</v>
      </c>
      <c r="B244" t="s">
        <v>5147</v>
      </c>
      <c r="C244">
        <v>2650</v>
      </c>
      <c r="D244" s="581">
        <v>5013</v>
      </c>
      <c r="E244" s="581"/>
      <c r="F244" s="2">
        <f>(1/S244)*cnst_fish!$C$6</f>
        <v>3.1556646698079359E-2</v>
      </c>
      <c r="G244" s="2">
        <f t="shared" si="35"/>
        <v>1</v>
      </c>
      <c r="H244" s="2">
        <f t="shared" si="35"/>
        <v>0.36449057933102513</v>
      </c>
      <c r="I244" s="2">
        <f t="shared" si="28"/>
        <v>57901.946669689649</v>
      </c>
      <c r="J244" s="389">
        <f t="shared" si="29"/>
        <v>0</v>
      </c>
      <c r="L244" s="721">
        <v>315161.67</v>
      </c>
      <c r="M244" s="581"/>
      <c r="N244" s="585" t="s">
        <v>2311</v>
      </c>
      <c r="O244" s="586" t="s">
        <v>4680</v>
      </c>
      <c r="P244" s="233">
        <f t="shared" si="30"/>
        <v>5013</v>
      </c>
      <c r="Q244" s="233">
        <f t="shared" si="31"/>
        <v>315161.67</v>
      </c>
      <c r="R244" s="2">
        <f t="shared" si="32"/>
        <v>3.98</v>
      </c>
      <c r="S244" s="2">
        <f>(1/9)*cnst_fish!$C$7*(1/cnst_fish!$C$8)^(R244-1)</f>
        <v>134.67844161840773</v>
      </c>
      <c r="T244" s="682">
        <f t="shared" si="33"/>
        <v>3640230.2431020001</v>
      </c>
      <c r="W244" s="818"/>
      <c r="X244" s="818"/>
      <c r="Y244" s="819"/>
      <c r="Z244" s="820"/>
      <c r="AA244" s="820"/>
      <c r="AB244" s="821"/>
      <c r="AC244" s="821"/>
      <c r="AD244" s="253"/>
      <c r="AE244" s="253"/>
    </row>
    <row r="245" spans="1:31" ht="14.5">
      <c r="A245" t="s">
        <v>6662</v>
      </c>
      <c r="B245" t="s">
        <v>6661</v>
      </c>
      <c r="C245">
        <v>16087</v>
      </c>
      <c r="D245" s="581"/>
      <c r="E245" s="581"/>
      <c r="F245" s="2">
        <f>(1/S245)*cnst_fish!$C$6</f>
        <v>3.0136363636363641</v>
      </c>
      <c r="G245" s="2">
        <f t="shared" si="35"/>
        <v>1</v>
      </c>
      <c r="H245" s="2">
        <f t="shared" si="35"/>
        <v>0.36449057933102513</v>
      </c>
      <c r="I245" s="2">
        <f t="shared" si="28"/>
        <v>0</v>
      </c>
      <c r="J245" s="389">
        <f t="shared" si="29"/>
        <v>0</v>
      </c>
      <c r="L245" s="721">
        <v>28430</v>
      </c>
      <c r="M245" s="581"/>
      <c r="N245" s="585" t="s">
        <v>1738</v>
      </c>
      <c r="O245" s="586" t="s">
        <v>4699</v>
      </c>
      <c r="P245" s="233">
        <f t="shared" si="30"/>
        <v>0</v>
      </c>
      <c r="Q245" s="233">
        <f t="shared" si="31"/>
        <v>28430</v>
      </c>
      <c r="R245" s="2">
        <f t="shared" si="32"/>
        <v>2</v>
      </c>
      <c r="S245" s="2">
        <f>(1/9)*cnst_fish!$C$7*(1/cnst_fish!$C$8)^(R245-1)</f>
        <v>1.4102564102564099</v>
      </c>
      <c r="T245" s="682">
        <f t="shared" si="33"/>
        <v>3438.5260595532873</v>
      </c>
      <c r="W245" s="818"/>
      <c r="X245" s="818"/>
      <c r="Y245" s="819"/>
      <c r="Z245" s="820"/>
      <c r="AA245" s="820"/>
      <c r="AB245" s="821"/>
      <c r="AC245" s="821"/>
      <c r="AD245" s="253"/>
      <c r="AE245" s="253"/>
    </row>
    <row r="246" spans="1:31" ht="14.5">
      <c r="A246" t="s">
        <v>5453</v>
      </c>
      <c r="B246" t="s">
        <v>644</v>
      </c>
      <c r="C246">
        <v>3129</v>
      </c>
      <c r="D246" s="581"/>
      <c r="E246" s="581"/>
      <c r="F246" s="2">
        <f>(1/S246)*cnst_fish!$C$6</f>
        <v>2.5066335465503211E-2</v>
      </c>
      <c r="G246" s="2">
        <f t="shared" si="35"/>
        <v>1</v>
      </c>
      <c r="H246" s="2">
        <f t="shared" si="35"/>
        <v>0.36449057933102513</v>
      </c>
      <c r="I246" s="2">
        <f t="shared" si="28"/>
        <v>0</v>
      </c>
      <c r="J246" s="389">
        <f t="shared" si="29"/>
        <v>0</v>
      </c>
      <c r="L246" s="721">
        <v>8169</v>
      </c>
      <c r="M246" s="581"/>
      <c r="N246" s="585" t="s">
        <v>1738</v>
      </c>
      <c r="O246" s="586" t="s">
        <v>4699</v>
      </c>
      <c r="P246" s="233">
        <f t="shared" si="30"/>
        <v>0</v>
      </c>
      <c r="Q246" s="233">
        <f t="shared" si="31"/>
        <v>8169</v>
      </c>
      <c r="R246" s="2">
        <f t="shared" si="32"/>
        <v>4.08</v>
      </c>
      <c r="S246" s="2">
        <f>(1/9)*cnst_fish!$C$7*(1/cnst_fish!$C$8)^(R246-1)</f>
        <v>169.55011257425062</v>
      </c>
      <c r="T246" s="682">
        <f t="shared" si="33"/>
        <v>118785.75337240146</v>
      </c>
      <c r="W246" s="818"/>
      <c r="X246" s="818"/>
      <c r="Y246" s="819"/>
      <c r="Z246" s="820"/>
      <c r="AA246" s="820"/>
      <c r="AB246" s="821"/>
      <c r="AC246" s="821"/>
      <c r="AD246" s="253"/>
      <c r="AE246" s="253"/>
    </row>
    <row r="247" spans="1:31" ht="14.5">
      <c r="A247" t="s">
        <v>170</v>
      </c>
      <c r="B247" t="s">
        <v>645</v>
      </c>
      <c r="C247">
        <v>3128</v>
      </c>
      <c r="D247" s="581"/>
      <c r="E247" s="581"/>
      <c r="F247" s="2">
        <f>(1/S247)*cnst_fish!$C$6</f>
        <v>1.4760152601876367E-2</v>
      </c>
      <c r="G247" s="2">
        <f t="shared" si="35"/>
        <v>1</v>
      </c>
      <c r="H247" s="2">
        <f t="shared" si="35"/>
        <v>0.36449057933102513</v>
      </c>
      <c r="I247" s="2">
        <f t="shared" si="28"/>
        <v>0</v>
      </c>
      <c r="J247" s="389">
        <f t="shared" si="29"/>
        <v>0</v>
      </c>
      <c r="L247" s="721">
        <v>422</v>
      </c>
      <c r="M247" s="581">
        <v>2489.11</v>
      </c>
      <c r="N247" s="585" t="s">
        <v>1738</v>
      </c>
      <c r="O247" s="586" t="s">
        <v>4699</v>
      </c>
      <c r="P247" s="233">
        <f t="shared" si="30"/>
        <v>0</v>
      </c>
      <c r="Q247" s="233">
        <f t="shared" si="31"/>
        <v>2911.11</v>
      </c>
      <c r="R247" s="2">
        <f t="shared" si="32"/>
        <v>4.3099999999999996</v>
      </c>
      <c r="S247" s="2">
        <f>(1/9)*cnst_fish!$C$7*(1/cnst_fish!$C$8)^(R247-1)</f>
        <v>287.93740245339495</v>
      </c>
      <c r="T247" s="682">
        <f t="shared" si="33"/>
        <v>71887.61519047257</v>
      </c>
      <c r="W247" s="818"/>
      <c r="X247" s="818"/>
      <c r="Y247" s="819"/>
      <c r="Z247" s="820"/>
      <c r="AA247" s="820"/>
      <c r="AB247" s="821"/>
      <c r="AC247" s="821"/>
      <c r="AD247" s="253"/>
      <c r="AE247" s="253"/>
    </row>
    <row r="248" spans="1:31" ht="14.5">
      <c r="A248" t="s">
        <v>275</v>
      </c>
      <c r="B248" t="s">
        <v>250</v>
      </c>
      <c r="C248">
        <v>3100</v>
      </c>
      <c r="D248" s="581"/>
      <c r="E248" s="581"/>
      <c r="F248" s="2">
        <f>(1/S248)*cnst_fish!$C$6</f>
        <v>7.3976000504507963E-2</v>
      </c>
      <c r="G248" s="2">
        <f t="shared" ref="G248:H267" si="36">G$7</f>
        <v>1</v>
      </c>
      <c r="H248" s="2">
        <f t="shared" si="36"/>
        <v>0.36449057933102513</v>
      </c>
      <c r="I248" s="2">
        <f t="shared" si="28"/>
        <v>0</v>
      </c>
      <c r="J248" s="389">
        <f t="shared" si="29"/>
        <v>0</v>
      </c>
      <c r="L248" s="721">
        <v>49188</v>
      </c>
      <c r="M248" s="581"/>
      <c r="N248" s="585" t="s">
        <v>1738</v>
      </c>
      <c r="O248" s="586" t="s">
        <v>4681</v>
      </c>
      <c r="P248" s="233">
        <f t="shared" si="30"/>
        <v>0</v>
      </c>
      <c r="Q248" s="233">
        <f t="shared" si="31"/>
        <v>49188</v>
      </c>
      <c r="R248" s="2">
        <f t="shared" si="32"/>
        <v>3.61</v>
      </c>
      <c r="S248" s="2">
        <f>(1/9)*cnst_fish!$C$7*(1/cnst_fish!$C$8)^(R248-1)</f>
        <v>57.451064818528707</v>
      </c>
      <c r="T248" s="682">
        <f t="shared" si="33"/>
        <v>242356.47363825692</v>
      </c>
      <c r="W248" s="818"/>
      <c r="X248" s="818"/>
      <c r="Y248" s="819"/>
      <c r="Z248" s="820"/>
      <c r="AA248" s="820"/>
      <c r="AB248" s="821"/>
      <c r="AC248" s="821"/>
      <c r="AD248" s="253"/>
      <c r="AE248" s="253"/>
    </row>
    <row r="249" spans="1:31" ht="14.5">
      <c r="A249" t="s">
        <v>4949</v>
      </c>
      <c r="B249" t="s">
        <v>1645</v>
      </c>
      <c r="C249">
        <v>3009</v>
      </c>
      <c r="D249" s="581"/>
      <c r="E249" s="581"/>
      <c r="F249" s="2">
        <f>(1/S249)*cnst_fish!$C$6</f>
        <v>0.15103960722494611</v>
      </c>
      <c r="G249" s="2">
        <f t="shared" si="36"/>
        <v>1</v>
      </c>
      <c r="H249" s="2">
        <f t="shared" si="36"/>
        <v>0.36449057933102513</v>
      </c>
      <c r="I249" s="2">
        <f t="shared" si="28"/>
        <v>0</v>
      </c>
      <c r="J249" s="389">
        <f t="shared" si="29"/>
        <v>0</v>
      </c>
      <c r="L249" s="721">
        <v>84</v>
      </c>
      <c r="M249" s="581"/>
      <c r="N249" s="585" t="s">
        <v>1738</v>
      </c>
      <c r="O249" s="586" t="s">
        <v>4681</v>
      </c>
      <c r="P249" s="233">
        <f t="shared" si="30"/>
        <v>0</v>
      </c>
      <c r="Q249" s="233">
        <f t="shared" si="31"/>
        <v>84</v>
      </c>
      <c r="R249" s="2">
        <f t="shared" si="32"/>
        <v>3.3</v>
      </c>
      <c r="S249" s="2">
        <f>(1/9)*cnst_fish!$C$7*(1/cnst_fish!$C$8)^(R249-1)</f>
        <v>28.138314698279075</v>
      </c>
      <c r="T249" s="682">
        <f t="shared" si="33"/>
        <v>202.70980060354188</v>
      </c>
      <c r="W249" s="818"/>
      <c r="X249" s="818"/>
      <c r="Y249" s="819"/>
      <c r="Z249" s="820"/>
      <c r="AA249" s="820"/>
      <c r="AB249" s="821"/>
      <c r="AC249" s="821"/>
      <c r="AD249" s="253"/>
      <c r="AE249" s="253"/>
    </row>
    <row r="250" spans="1:31" ht="14.5">
      <c r="A250" t="s">
        <v>5256</v>
      </c>
      <c r="B250" t="s">
        <v>3783</v>
      </c>
      <c r="C250">
        <v>2093</v>
      </c>
      <c r="D250" s="581"/>
      <c r="E250" s="581"/>
      <c r="F250" s="2">
        <f>(1/S250)*cnst_fish!$C$6</f>
        <v>0.53590874947991185</v>
      </c>
      <c r="G250" s="2">
        <f t="shared" si="36"/>
        <v>1</v>
      </c>
      <c r="H250" s="2">
        <f t="shared" si="36"/>
        <v>0.36449057933102513</v>
      </c>
      <c r="I250" s="2">
        <f t="shared" si="28"/>
        <v>0</v>
      </c>
      <c r="J250" s="389">
        <f t="shared" si="29"/>
        <v>0</v>
      </c>
      <c r="L250" s="721">
        <v>839</v>
      </c>
      <c r="M250" s="581"/>
      <c r="N250" s="585" t="s">
        <v>1738</v>
      </c>
      <c r="O250" s="586" t="s">
        <v>4699</v>
      </c>
      <c r="P250" s="233">
        <f t="shared" si="30"/>
        <v>0</v>
      </c>
      <c r="Q250" s="233">
        <f t="shared" si="31"/>
        <v>839</v>
      </c>
      <c r="R250" s="2">
        <f t="shared" si="32"/>
        <v>2.75</v>
      </c>
      <c r="S250" s="2">
        <f>(1/9)*cnst_fish!$C$7*(1/cnst_fish!$C$8)^(R250-1)</f>
        <v>7.9304545860177429</v>
      </c>
      <c r="T250" s="682">
        <f t="shared" si="33"/>
        <v>570.63370649482761</v>
      </c>
      <c r="W250" s="818"/>
      <c r="X250" s="818"/>
      <c r="Y250" s="819"/>
      <c r="Z250" s="820"/>
      <c r="AA250" s="820"/>
      <c r="AB250" s="821"/>
      <c r="AC250" s="821"/>
      <c r="AD250" s="253"/>
      <c r="AE250" s="253"/>
    </row>
    <row r="251" spans="1:31" ht="14.5">
      <c r="A251" t="s">
        <v>920</v>
      </c>
      <c r="B251" t="s">
        <v>1600</v>
      </c>
      <c r="C251">
        <v>2899</v>
      </c>
      <c r="D251" s="581"/>
      <c r="E251" s="581"/>
      <c r="F251" s="2">
        <f>(1/S251)*cnst_fish!$C$6</f>
        <v>1.945767062954439</v>
      </c>
      <c r="G251" s="2">
        <f t="shared" si="36"/>
        <v>1</v>
      </c>
      <c r="H251" s="2">
        <f t="shared" si="36"/>
        <v>0.36449057933102513</v>
      </c>
      <c r="I251" s="2">
        <f t="shared" si="28"/>
        <v>0</v>
      </c>
      <c r="J251" s="389">
        <f t="shared" si="29"/>
        <v>0</v>
      </c>
      <c r="L251" s="721">
        <v>529231</v>
      </c>
      <c r="M251" s="581"/>
      <c r="N251" s="585" t="s">
        <v>1738</v>
      </c>
      <c r="O251" s="586" t="s">
        <v>4699</v>
      </c>
      <c r="P251" s="233">
        <f t="shared" si="30"/>
        <v>0</v>
      </c>
      <c r="Q251" s="233">
        <f t="shared" si="31"/>
        <v>529231</v>
      </c>
      <c r="R251" s="2">
        <f t="shared" si="32"/>
        <v>2.19</v>
      </c>
      <c r="S251" s="2">
        <f>(1/9)*cnst_fish!$C$7*(1/cnst_fish!$C$8)^(R251-1)</f>
        <v>2.1842285651329867</v>
      </c>
      <c r="T251" s="682">
        <f t="shared" si="33"/>
        <v>99138.132956696369</v>
      </c>
      <c r="W251" s="818"/>
      <c r="X251" s="818"/>
      <c r="Y251" s="819"/>
      <c r="Z251" s="820"/>
      <c r="AA251" s="820"/>
      <c r="AB251" s="821"/>
      <c r="AC251" s="821"/>
      <c r="AD251" s="253"/>
      <c r="AE251" s="253"/>
    </row>
    <row r="252" spans="1:31" ht="14.5">
      <c r="A252" t="s">
        <v>3913</v>
      </c>
      <c r="B252" t="s">
        <v>1601</v>
      </c>
      <c r="C252">
        <v>2898</v>
      </c>
      <c r="D252" s="581"/>
      <c r="E252" s="581"/>
      <c r="F252" s="2">
        <f>(1/S252)*cnst_fish!$C$6</f>
        <v>0.11997502458044032</v>
      </c>
      <c r="G252" s="2">
        <f t="shared" si="36"/>
        <v>1</v>
      </c>
      <c r="H252" s="2">
        <f t="shared" si="36"/>
        <v>0.36449057933102513</v>
      </c>
      <c r="I252" s="2">
        <f t="shared" si="28"/>
        <v>0</v>
      </c>
      <c r="J252" s="389">
        <f t="shared" si="29"/>
        <v>0</v>
      </c>
      <c r="L252" s="721">
        <v>3260</v>
      </c>
      <c r="M252" s="581"/>
      <c r="N252" s="585" t="s">
        <v>1738</v>
      </c>
      <c r="O252" s="586" t="s">
        <v>4699</v>
      </c>
      <c r="P252" s="233">
        <f t="shared" si="30"/>
        <v>0</v>
      </c>
      <c r="Q252" s="233">
        <f t="shared" si="31"/>
        <v>3260</v>
      </c>
      <c r="R252" s="2">
        <f t="shared" si="32"/>
        <v>3.4</v>
      </c>
      <c r="S252" s="2">
        <f>(1/9)*cnst_fish!$C$7*(1/cnst_fish!$C$8)^(R252-1)</f>
        <v>35.424039418724846</v>
      </c>
      <c r="T252" s="682">
        <f t="shared" si="33"/>
        <v>9904.055387981658</v>
      </c>
      <c r="W252" s="822"/>
      <c r="X252" s="822"/>
      <c r="Y252" s="819"/>
      <c r="Z252" s="820"/>
      <c r="AA252" s="820"/>
      <c r="AB252" s="821"/>
      <c r="AC252" s="821"/>
      <c r="AD252" s="253"/>
      <c r="AE252" s="253"/>
    </row>
    <row r="253" spans="1:31" ht="14.5">
      <c r="A253" t="s">
        <v>5452</v>
      </c>
      <c r="B253" t="s">
        <v>1602</v>
      </c>
      <c r="C253">
        <v>2094</v>
      </c>
      <c r="D253" s="581"/>
      <c r="E253" s="581"/>
      <c r="F253" s="2">
        <f>(1/S253)*cnst_fish!$C$6</f>
        <v>1.6946922663690973</v>
      </c>
      <c r="G253" s="2">
        <f t="shared" si="36"/>
        <v>1</v>
      </c>
      <c r="H253" s="2">
        <f t="shared" si="36"/>
        <v>0.36449057933102513</v>
      </c>
      <c r="I253" s="2">
        <f t="shared" si="28"/>
        <v>0</v>
      </c>
      <c r="J253" s="389">
        <f t="shared" si="29"/>
        <v>0</v>
      </c>
      <c r="L253" s="721">
        <v>188168</v>
      </c>
      <c r="M253" s="581"/>
      <c r="N253" s="585" t="s">
        <v>1738</v>
      </c>
      <c r="O253" s="586" t="s">
        <v>4699</v>
      </c>
      <c r="P253" s="233">
        <f t="shared" si="30"/>
        <v>0</v>
      </c>
      <c r="Q253" s="233">
        <f t="shared" si="31"/>
        <v>188168</v>
      </c>
      <c r="R253" s="2">
        <f t="shared" si="32"/>
        <v>2.25</v>
      </c>
      <c r="S253" s="2">
        <f>(1/9)*cnst_fish!$C$7*(1/cnst_fish!$C$8)^(R253-1)</f>
        <v>2.5078299372343786</v>
      </c>
      <c r="T253" s="682">
        <f t="shared" si="33"/>
        <v>40470.747812230053</v>
      </c>
      <c r="W253" s="818"/>
      <c r="X253" s="818"/>
      <c r="Y253" s="819"/>
      <c r="Z253" s="820"/>
      <c r="AA253" s="820"/>
      <c r="AB253" s="821"/>
      <c r="AC253" s="821"/>
      <c r="AD253" s="253"/>
      <c r="AE253" s="253"/>
    </row>
    <row r="254" spans="1:31" ht="14.5">
      <c r="A254" t="s">
        <v>1086</v>
      </c>
      <c r="B254" t="s">
        <v>1646</v>
      </c>
      <c r="C254">
        <v>2217</v>
      </c>
      <c r="D254" s="581">
        <v>135</v>
      </c>
      <c r="E254" s="581"/>
      <c r="F254" s="2">
        <f>(1/S254)*cnst_fish!$C$6</f>
        <v>3.0136363636363642E-2</v>
      </c>
      <c r="G254" s="2">
        <f t="shared" si="36"/>
        <v>1</v>
      </c>
      <c r="H254" s="2">
        <f t="shared" si="36"/>
        <v>0.36449057933102513</v>
      </c>
      <c r="I254" s="2">
        <f t="shared" si="28"/>
        <v>1632.7858531118318</v>
      </c>
      <c r="J254" s="389">
        <f t="shared" si="29"/>
        <v>0</v>
      </c>
      <c r="L254" s="721">
        <v>18099</v>
      </c>
      <c r="M254" s="581"/>
      <c r="N254" s="585" t="s">
        <v>1738</v>
      </c>
      <c r="O254" s="586" t="s">
        <v>4681</v>
      </c>
      <c r="P254" s="233">
        <f t="shared" si="30"/>
        <v>135</v>
      </c>
      <c r="Q254" s="233">
        <f t="shared" si="31"/>
        <v>18099</v>
      </c>
      <c r="R254" s="2">
        <f t="shared" si="32"/>
        <v>4</v>
      </c>
      <c r="S254" s="2">
        <f>(1/9)*cnst_fish!$C$7*(1/cnst_fish!$C$8)^(R254-1)</f>
        <v>141.02564102564099</v>
      </c>
      <c r="T254" s="682">
        <f t="shared" si="33"/>
        <v>218902.15670719292</v>
      </c>
      <c r="W254" s="818"/>
      <c r="X254" s="818"/>
      <c r="Y254" s="819"/>
      <c r="Z254" s="820"/>
      <c r="AA254" s="820"/>
      <c r="AB254" s="821"/>
      <c r="AC254" s="821"/>
      <c r="AD254" s="253"/>
      <c r="AE254" s="253"/>
    </row>
    <row r="255" spans="1:31" ht="14.5">
      <c r="A255" t="s">
        <v>185</v>
      </c>
      <c r="B255" t="s">
        <v>251</v>
      </c>
      <c r="C255">
        <v>2461</v>
      </c>
      <c r="D255" s="581"/>
      <c r="E255" s="581"/>
      <c r="F255" s="2">
        <f>(1/S255)*cnst_fish!$C$6</f>
        <v>5.001391452868649E-2</v>
      </c>
      <c r="G255" s="2">
        <f t="shared" si="36"/>
        <v>1</v>
      </c>
      <c r="H255" s="2">
        <f t="shared" si="36"/>
        <v>0.36449057933102513</v>
      </c>
      <c r="I255" s="2">
        <f t="shared" si="28"/>
        <v>0</v>
      </c>
      <c r="J255" s="389">
        <f t="shared" si="29"/>
        <v>0</v>
      </c>
      <c r="L255" s="721">
        <v>4380</v>
      </c>
      <c r="M255" s="581"/>
      <c r="N255" s="585" t="s">
        <v>1738</v>
      </c>
      <c r="O255" s="586" t="s">
        <v>4681</v>
      </c>
      <c r="P255" s="233">
        <f t="shared" si="30"/>
        <v>0</v>
      </c>
      <c r="Q255" s="233">
        <f t="shared" si="31"/>
        <v>4380</v>
      </c>
      <c r="R255" s="2">
        <f t="shared" si="32"/>
        <v>3.78</v>
      </c>
      <c r="S255" s="2">
        <f>(1/9)*cnst_fish!$C$7*(1/cnst_fish!$C$8)^(R255-1)</f>
        <v>84.976351882281207</v>
      </c>
      <c r="T255" s="682">
        <f t="shared" si="33"/>
        <v>31920.491577482968</v>
      </c>
      <c r="W255" s="818"/>
      <c r="X255" s="818"/>
      <c r="Y255" s="819"/>
      <c r="Z255" s="820"/>
      <c r="AA255" s="820"/>
      <c r="AB255" s="821"/>
      <c r="AC255" s="821"/>
      <c r="AD255" s="253"/>
      <c r="AE255" s="253"/>
    </row>
    <row r="256" spans="1:31" ht="14.5">
      <c r="A256" t="s">
        <v>8258</v>
      </c>
      <c r="B256" t="s">
        <v>8259</v>
      </c>
      <c r="C256">
        <v>10966</v>
      </c>
      <c r="D256" s="581"/>
      <c r="E256" s="581"/>
      <c r="F256" s="2">
        <f>(1/S256)*cnst_fish!$C$6</f>
        <v>0.19014759972289441</v>
      </c>
      <c r="G256" s="2">
        <f t="shared" si="36"/>
        <v>1</v>
      </c>
      <c r="H256" s="2">
        <f t="shared" si="36"/>
        <v>0.36449057933102513</v>
      </c>
      <c r="I256" s="2">
        <f t="shared" si="28"/>
        <v>0</v>
      </c>
      <c r="J256" s="389">
        <f t="shared" si="29"/>
        <v>0</v>
      </c>
      <c r="L256" s="721"/>
      <c r="M256" s="581">
        <v>193</v>
      </c>
      <c r="N256" s="585" t="s">
        <v>1738</v>
      </c>
      <c r="O256" s="586" t="s">
        <v>4685</v>
      </c>
      <c r="P256" s="233">
        <f t="shared" si="30"/>
        <v>0</v>
      </c>
      <c r="Q256" s="233">
        <f t="shared" si="31"/>
        <v>193</v>
      </c>
      <c r="R256" s="2">
        <f t="shared" si="32"/>
        <v>3.2</v>
      </c>
      <c r="S256" s="2">
        <f>(1/9)*cnst_fish!$C$7*(1/cnst_fish!$C$8)^(R256-1)</f>
        <v>22.351057842400341</v>
      </c>
      <c r="T256" s="682">
        <f t="shared" si="33"/>
        <v>369.95829510025561</v>
      </c>
      <c r="W256" s="818"/>
      <c r="X256" s="818"/>
      <c r="Y256" s="819"/>
      <c r="Z256" s="820"/>
      <c r="AA256" s="820"/>
      <c r="AB256" s="821"/>
      <c r="AC256" s="821"/>
      <c r="AD256" s="253"/>
      <c r="AE256" s="253"/>
    </row>
    <row r="257" spans="1:31" ht="14.5">
      <c r="A257" t="s">
        <v>6534</v>
      </c>
      <c r="B257" t="s">
        <v>6533</v>
      </c>
      <c r="C257">
        <v>19842</v>
      </c>
      <c r="D257" s="581"/>
      <c r="E257" s="581"/>
      <c r="F257" s="2">
        <f>(1/S257)*cnst_fish!$C$6</f>
        <v>1.1997502458044034</v>
      </c>
      <c r="G257" s="2">
        <f t="shared" si="36"/>
        <v>1</v>
      </c>
      <c r="H257" s="2">
        <f t="shared" si="36"/>
        <v>0.36449057933102513</v>
      </c>
      <c r="I257" s="2">
        <f t="shared" si="28"/>
        <v>0</v>
      </c>
      <c r="J257" s="389">
        <f t="shared" si="29"/>
        <v>0</v>
      </c>
      <c r="L257" s="721"/>
      <c r="M257" s="581">
        <v>59497</v>
      </c>
      <c r="N257" s="585" t="s">
        <v>1738</v>
      </c>
      <c r="O257" s="586" t="s">
        <v>4685</v>
      </c>
      <c r="P257" s="233">
        <f t="shared" si="30"/>
        <v>0</v>
      </c>
      <c r="Q257" s="233">
        <f t="shared" si="31"/>
        <v>59497</v>
      </c>
      <c r="R257" s="2">
        <f t="shared" si="32"/>
        <v>2.4</v>
      </c>
      <c r="S257" s="2">
        <f>(1/9)*cnst_fish!$C$7*(1/cnst_fish!$C$8)^(R257-1)</f>
        <v>3.5424039418724838</v>
      </c>
      <c r="T257" s="682">
        <f t="shared" si="33"/>
        <v>18075.508693826523</v>
      </c>
      <c r="W257" s="818"/>
      <c r="X257" s="818"/>
      <c r="Y257" s="819"/>
      <c r="Z257" s="820"/>
      <c r="AA257" s="820"/>
      <c r="AB257" s="821"/>
      <c r="AC257" s="821"/>
      <c r="AD257" s="253"/>
      <c r="AE257" s="253"/>
    </row>
    <row r="258" spans="1:31" ht="14.5">
      <c r="A258" t="s">
        <v>6752</v>
      </c>
      <c r="B258" t="s">
        <v>8555</v>
      </c>
      <c r="C258">
        <v>6810</v>
      </c>
      <c r="D258" s="581"/>
      <c r="E258" s="581"/>
      <c r="F258" s="2">
        <f>(1/S258)*cnst_fish!$C$6</f>
        <v>0.60129950673834842</v>
      </c>
      <c r="G258" s="2">
        <f t="shared" si="36"/>
        <v>1</v>
      </c>
      <c r="H258" s="2">
        <f t="shared" si="36"/>
        <v>0.36449057933102513</v>
      </c>
      <c r="I258" s="2">
        <f t="shared" si="28"/>
        <v>0</v>
      </c>
      <c r="J258" s="389">
        <f t="shared" si="29"/>
        <v>0</v>
      </c>
      <c r="L258" s="721"/>
      <c r="M258" s="581">
        <v>177</v>
      </c>
      <c r="N258" s="585" t="s">
        <v>1738</v>
      </c>
      <c r="O258" s="586" t="s">
        <v>4685</v>
      </c>
      <c r="P258" s="233">
        <f t="shared" si="30"/>
        <v>0</v>
      </c>
      <c r="Q258" s="233">
        <f t="shared" si="31"/>
        <v>177</v>
      </c>
      <c r="R258" s="2">
        <f t="shared" si="32"/>
        <v>2.7</v>
      </c>
      <c r="S258" s="2">
        <f>(1/9)*cnst_fish!$C$7*(1/cnst_fish!$C$8)^(R258-1)</f>
        <v>7.0680250896153813</v>
      </c>
      <c r="T258" s="682">
        <f t="shared" si="33"/>
        <v>107.29234236618899</v>
      </c>
      <c r="W258" s="818"/>
      <c r="X258" s="818"/>
      <c r="Y258" s="819"/>
      <c r="Z258" s="820"/>
      <c r="AA258" s="820"/>
      <c r="AB258" s="821"/>
      <c r="AC258" s="821"/>
      <c r="AD258" s="253"/>
      <c r="AE258" s="253"/>
    </row>
    <row r="259" spans="1:31" ht="14.5">
      <c r="A259" t="s">
        <v>6749</v>
      </c>
      <c r="B259" t="s">
        <v>8556</v>
      </c>
      <c r="C259">
        <v>6819</v>
      </c>
      <c r="D259" s="581"/>
      <c r="E259" s="581"/>
      <c r="F259" s="2">
        <f>(1/S259)*cnst_fish!$C$6</f>
        <v>0.30136363636363639</v>
      </c>
      <c r="G259" s="2">
        <f t="shared" si="36"/>
        <v>1</v>
      </c>
      <c r="H259" s="2">
        <f t="shared" si="36"/>
        <v>0.36449057933102513</v>
      </c>
      <c r="I259" s="2">
        <f t="shared" si="28"/>
        <v>0</v>
      </c>
      <c r="J259" s="389">
        <f t="shared" si="29"/>
        <v>0</v>
      </c>
      <c r="L259" s="721"/>
      <c r="M259" s="581"/>
      <c r="N259" s="585" t="s">
        <v>1738</v>
      </c>
      <c r="O259" s="586" t="s">
        <v>4685</v>
      </c>
      <c r="P259" s="233">
        <f t="shared" si="30"/>
        <v>0</v>
      </c>
      <c r="Q259" s="233">
        <f t="shared" si="31"/>
        <v>0</v>
      </c>
      <c r="R259" s="2">
        <f t="shared" si="32"/>
        <v>3</v>
      </c>
      <c r="S259" s="2">
        <f>(1/9)*cnst_fish!$C$7*(1/cnst_fish!$C$8)^(R259-1)</f>
        <v>14.1025641025641</v>
      </c>
      <c r="T259" s="682">
        <f t="shared" si="33"/>
        <v>0</v>
      </c>
      <c r="W259" s="818"/>
      <c r="X259" s="818"/>
      <c r="Y259" s="819"/>
      <c r="Z259" s="820"/>
      <c r="AA259" s="820"/>
      <c r="AB259" s="821"/>
      <c r="AC259" s="821"/>
      <c r="AD259" s="253"/>
      <c r="AE259" s="253"/>
    </row>
    <row r="260" spans="1:31" ht="14.5">
      <c r="A260" t="s">
        <v>6750</v>
      </c>
      <c r="B260" t="s">
        <v>4977</v>
      </c>
      <c r="C260">
        <v>10970</v>
      </c>
      <c r="D260" s="581"/>
      <c r="E260" s="581"/>
      <c r="F260" s="2">
        <f>(1/S260)*cnst_fish!$C$6</f>
        <v>3.0136363636363641</v>
      </c>
      <c r="G260" s="2">
        <f t="shared" si="36"/>
        <v>1</v>
      </c>
      <c r="H260" s="2">
        <f t="shared" si="36"/>
        <v>0.36449057933102513</v>
      </c>
      <c r="I260" s="2">
        <f t="shared" si="28"/>
        <v>0</v>
      </c>
      <c r="J260" s="389">
        <f t="shared" si="29"/>
        <v>0</v>
      </c>
      <c r="L260" s="721"/>
      <c r="M260" s="581"/>
      <c r="N260" s="585" t="s">
        <v>1738</v>
      </c>
      <c r="O260" s="586" t="s">
        <v>4685</v>
      </c>
      <c r="P260" s="233">
        <f t="shared" si="30"/>
        <v>0</v>
      </c>
      <c r="Q260" s="233">
        <f t="shared" si="31"/>
        <v>0</v>
      </c>
      <c r="R260" s="2">
        <f t="shared" si="32"/>
        <v>2</v>
      </c>
      <c r="S260" s="2">
        <f>(1/9)*cnst_fish!$C$7*(1/cnst_fish!$C$8)^(R260-1)</f>
        <v>1.4102564102564099</v>
      </c>
      <c r="T260" s="682">
        <f t="shared" si="33"/>
        <v>0</v>
      </c>
      <c r="W260" s="818"/>
      <c r="X260" s="818"/>
      <c r="Y260" s="819"/>
      <c r="Z260" s="820"/>
      <c r="AA260" s="820"/>
      <c r="AB260" s="821"/>
      <c r="AC260" s="821"/>
      <c r="AD260" s="253"/>
      <c r="AE260" s="253"/>
    </row>
    <row r="261" spans="1:31" ht="14.5">
      <c r="A261" t="s">
        <v>6290</v>
      </c>
      <c r="B261" t="s">
        <v>6289</v>
      </c>
      <c r="C261">
        <v>19225</v>
      </c>
      <c r="D261" s="581"/>
      <c r="E261" s="581"/>
      <c r="F261" s="2">
        <f>(1/S261)*cnst_fish!$C$6</f>
        <v>3.0136363636363641</v>
      </c>
      <c r="G261" s="2">
        <f t="shared" si="36"/>
        <v>1</v>
      </c>
      <c r="H261" s="2">
        <f t="shared" si="36"/>
        <v>0.36449057933102513</v>
      </c>
      <c r="I261" s="2">
        <f t="shared" si="28"/>
        <v>0</v>
      </c>
      <c r="J261" s="389">
        <f t="shared" si="29"/>
        <v>0</v>
      </c>
      <c r="L261" s="721"/>
      <c r="M261" s="581">
        <v>6</v>
      </c>
      <c r="N261" s="585" t="s">
        <v>1738</v>
      </c>
      <c r="O261" s="586" t="s">
        <v>4685</v>
      </c>
      <c r="P261" s="233">
        <f t="shared" si="30"/>
        <v>0</v>
      </c>
      <c r="Q261" s="233">
        <f t="shared" si="31"/>
        <v>6</v>
      </c>
      <c r="R261" s="2">
        <f t="shared" si="32"/>
        <v>2</v>
      </c>
      <c r="S261" s="2">
        <f>(1/9)*cnst_fish!$C$7*(1/cnst_fish!$C$8)^(R261-1)</f>
        <v>1.4102564102564099</v>
      </c>
      <c r="T261" s="682">
        <f t="shared" si="33"/>
        <v>0.72568260138303631</v>
      </c>
      <c r="W261" s="818"/>
      <c r="X261" s="818"/>
      <c r="Y261" s="819"/>
      <c r="Z261" s="820"/>
      <c r="AA261" s="820"/>
      <c r="AB261" s="821"/>
      <c r="AC261" s="821"/>
      <c r="AD261" s="253"/>
      <c r="AE261" s="253"/>
    </row>
    <row r="262" spans="1:31" ht="14.5">
      <c r="A262" t="s">
        <v>2469</v>
      </c>
      <c r="B262" t="s">
        <v>2470</v>
      </c>
      <c r="C262">
        <v>19056</v>
      </c>
      <c r="D262" s="581"/>
      <c r="E262" s="581"/>
      <c r="F262" s="2">
        <f>(1/S262)*cnst_fish!$C$6</f>
        <v>1.4424170509541332</v>
      </c>
      <c r="G262" s="2">
        <f t="shared" si="36"/>
        <v>1</v>
      </c>
      <c r="H262" s="2">
        <f t="shared" si="36"/>
        <v>0.36449057933102513</v>
      </c>
      <c r="I262" s="2">
        <f t="shared" si="28"/>
        <v>0</v>
      </c>
      <c r="J262" s="389">
        <f t="shared" si="29"/>
        <v>0</v>
      </c>
      <c r="L262" s="721"/>
      <c r="M262" s="581">
        <v>57</v>
      </c>
      <c r="N262" s="585" t="s">
        <v>1738</v>
      </c>
      <c r="O262" s="586" t="s">
        <v>4685</v>
      </c>
      <c r="P262" s="233">
        <f t="shared" si="30"/>
        <v>0</v>
      </c>
      <c r="Q262" s="233">
        <f t="shared" si="31"/>
        <v>57</v>
      </c>
      <c r="R262" s="2">
        <f t="shared" si="32"/>
        <v>2.3199999999999998</v>
      </c>
      <c r="S262" s="2">
        <f>(1/9)*cnst_fish!$C$7*(1/cnst_fish!$C$8)^(R262-1)</f>
        <v>2.946443261460824</v>
      </c>
      <c r="T262" s="682">
        <f t="shared" si="33"/>
        <v>14.403575587327884</v>
      </c>
      <c r="W262" s="818"/>
      <c r="X262" s="818"/>
      <c r="Y262" s="819"/>
      <c r="Z262" s="820"/>
      <c r="AA262" s="820"/>
      <c r="AB262" s="821"/>
      <c r="AC262" s="821"/>
      <c r="AD262" s="253"/>
      <c r="AE262" s="253"/>
    </row>
    <row r="263" spans="1:31" ht="14.5">
      <c r="A263" t="s">
        <v>6751</v>
      </c>
      <c r="B263" t="s">
        <v>8557</v>
      </c>
      <c r="C263">
        <v>6818</v>
      </c>
      <c r="D263" s="581"/>
      <c r="E263" s="581"/>
      <c r="F263" s="2">
        <f>(1/S263)*cnst_fish!$C$6</f>
        <v>3.0136363636363641</v>
      </c>
      <c r="G263" s="2">
        <f t="shared" si="36"/>
        <v>1</v>
      </c>
      <c r="H263" s="2">
        <f t="shared" si="36"/>
        <v>0.36449057933102513</v>
      </c>
      <c r="I263" s="2">
        <f t="shared" ref="I263:I326" si="37">IF($F263=0,0,D263/$F263*$H263*$G263)</f>
        <v>0</v>
      </c>
      <c r="J263" s="389">
        <f t="shared" ref="J263:J326" si="38">IF($F263=0,0,E263/$F263*$H263*$G263)</f>
        <v>0</v>
      </c>
      <c r="L263" s="721"/>
      <c r="M263" s="581"/>
      <c r="N263" s="585" t="s">
        <v>1738</v>
      </c>
      <c r="O263" s="586" t="s">
        <v>4685</v>
      </c>
      <c r="P263" s="233">
        <f t="shared" ref="P263:P326" si="39">D263+E263</f>
        <v>0</v>
      </c>
      <c r="Q263" s="233">
        <f t="shared" ref="Q263:Q326" si="40">L263+M263</f>
        <v>0</v>
      </c>
      <c r="R263" s="2">
        <f t="shared" ref="R263:R326" si="41">VLOOKUP(B263,constant_fish_trophic,3,FALSE)</f>
        <v>2</v>
      </c>
      <c r="S263" s="2">
        <f>(1/9)*cnst_fish!$C$7*(1/cnst_fish!$C$8)^(R263-1)</f>
        <v>1.4102564102564099</v>
      </c>
      <c r="T263" s="682">
        <f t="shared" ref="T263:T326" si="42">IF(F263=0,0,Q263/F263*H263*G263)</f>
        <v>0</v>
      </c>
      <c r="W263" s="818"/>
      <c r="X263" s="818"/>
      <c r="Y263" s="819"/>
      <c r="Z263" s="820"/>
      <c r="AA263" s="820"/>
      <c r="AB263" s="821"/>
      <c r="AC263" s="821"/>
      <c r="AD263" s="253"/>
      <c r="AE263" s="253"/>
    </row>
    <row r="264" spans="1:31" ht="14.5">
      <c r="A264" t="s">
        <v>437</v>
      </c>
      <c r="B264" t="s">
        <v>8558</v>
      </c>
      <c r="C264">
        <v>2148</v>
      </c>
      <c r="D264" s="581"/>
      <c r="E264" s="581"/>
      <c r="F264" s="2">
        <f>(1/S264)*cnst_fish!$C$6</f>
        <v>0.75699122913220485</v>
      </c>
      <c r="G264" s="2">
        <f t="shared" si="36"/>
        <v>1</v>
      </c>
      <c r="H264" s="2">
        <f t="shared" si="36"/>
        <v>0.36449057933102513</v>
      </c>
      <c r="I264" s="2">
        <f t="shared" si="37"/>
        <v>0</v>
      </c>
      <c r="J264" s="389">
        <f t="shared" si="38"/>
        <v>0</v>
      </c>
      <c r="L264" s="721"/>
      <c r="M264" s="581"/>
      <c r="N264" s="585" t="s">
        <v>3789</v>
      </c>
      <c r="O264" s="586" t="s">
        <v>4699</v>
      </c>
      <c r="P264" s="233">
        <f t="shared" si="39"/>
        <v>0</v>
      </c>
      <c r="Q264" s="233">
        <f t="shared" si="40"/>
        <v>0</v>
      </c>
      <c r="R264" s="2">
        <f t="shared" si="41"/>
        <v>2.6</v>
      </c>
      <c r="S264" s="2">
        <f>(1/9)*cnst_fish!$C$7*(1/cnst_fish!$C$8)^(R264-1)</f>
        <v>5.6143318924211183</v>
      </c>
      <c r="T264" s="682">
        <f t="shared" si="42"/>
        <v>0</v>
      </c>
      <c r="W264" s="818"/>
      <c r="X264" s="818"/>
      <c r="Y264" s="819"/>
      <c r="Z264" s="820"/>
      <c r="AA264" s="820"/>
      <c r="AB264" s="821"/>
      <c r="AC264" s="821"/>
      <c r="AD264" s="253"/>
      <c r="AE264" s="253"/>
    </row>
    <row r="265" spans="1:31" ht="14.5">
      <c r="A265" t="s">
        <v>6292</v>
      </c>
      <c r="B265" t="s">
        <v>6291</v>
      </c>
      <c r="C265">
        <v>10977</v>
      </c>
      <c r="D265" s="581"/>
      <c r="E265" s="581"/>
      <c r="F265" s="2">
        <f>(1/S265)*cnst_fish!$C$6</f>
        <v>3.0136363636363641</v>
      </c>
      <c r="G265" s="2">
        <f t="shared" si="36"/>
        <v>1</v>
      </c>
      <c r="H265" s="2">
        <f t="shared" si="36"/>
        <v>0.36449057933102513</v>
      </c>
      <c r="I265" s="2">
        <f t="shared" si="37"/>
        <v>0</v>
      </c>
      <c r="J265" s="389">
        <f t="shared" si="38"/>
        <v>0</v>
      </c>
      <c r="L265" s="721"/>
      <c r="M265" s="581">
        <v>13.64</v>
      </c>
      <c r="N265" s="585" t="s">
        <v>1738</v>
      </c>
      <c r="O265" s="586" t="s">
        <v>4685</v>
      </c>
      <c r="P265" s="233">
        <f t="shared" si="39"/>
        <v>0</v>
      </c>
      <c r="Q265" s="233">
        <f t="shared" si="40"/>
        <v>13.64</v>
      </c>
      <c r="R265" s="2">
        <f t="shared" si="41"/>
        <v>2</v>
      </c>
      <c r="S265" s="2">
        <f>(1/9)*cnst_fish!$C$7*(1/cnst_fish!$C$8)^(R265-1)</f>
        <v>1.4102564102564099</v>
      </c>
      <c r="T265" s="682">
        <f t="shared" si="42"/>
        <v>1.6497184471441029</v>
      </c>
      <c r="W265" s="818"/>
      <c r="X265" s="818"/>
      <c r="Y265" s="819"/>
      <c r="Z265" s="820"/>
      <c r="AA265" s="820"/>
      <c r="AB265" s="821"/>
      <c r="AC265" s="821"/>
      <c r="AD265" s="253"/>
      <c r="AE265" s="253"/>
    </row>
    <row r="266" spans="1:31" ht="14.5">
      <c r="A266" t="s">
        <v>3458</v>
      </c>
      <c r="B266" t="s">
        <v>2988</v>
      </c>
      <c r="C266">
        <v>2659</v>
      </c>
      <c r="D266" s="581"/>
      <c r="E266" s="581"/>
      <c r="F266" s="2">
        <f>(1/S266)*cnst_fish!$C$6</f>
        <v>2.3938164528281742</v>
      </c>
      <c r="G266" s="2">
        <f t="shared" si="36"/>
        <v>1</v>
      </c>
      <c r="H266" s="2">
        <f t="shared" si="36"/>
        <v>0.36449057933102513</v>
      </c>
      <c r="I266" s="2">
        <f t="shared" si="37"/>
        <v>0</v>
      </c>
      <c r="J266" s="389">
        <f t="shared" si="38"/>
        <v>0</v>
      </c>
      <c r="L266" s="721">
        <v>39828</v>
      </c>
      <c r="M266" s="581"/>
      <c r="N266" s="585" t="s">
        <v>1736</v>
      </c>
      <c r="O266" s="586" t="s">
        <v>4691</v>
      </c>
      <c r="P266" s="233">
        <f t="shared" si="39"/>
        <v>0</v>
      </c>
      <c r="Q266" s="233">
        <f t="shared" si="40"/>
        <v>39828</v>
      </c>
      <c r="R266" s="2">
        <f t="shared" si="41"/>
        <v>2.1</v>
      </c>
      <c r="S266" s="2">
        <f>(1/9)*cnst_fish!$C$7*(1/cnst_fish!$C$8)^(R266-1)</f>
        <v>1.7754076320174161</v>
      </c>
      <c r="T266" s="682">
        <f t="shared" si="42"/>
        <v>6064.3458175103788</v>
      </c>
      <c r="W266" s="818"/>
      <c r="X266" s="818"/>
      <c r="Y266" s="819"/>
      <c r="Z266" s="820"/>
      <c r="AA266" s="820"/>
      <c r="AB266" s="821"/>
      <c r="AC266" s="821"/>
      <c r="AD266" s="253"/>
      <c r="AE266" s="253"/>
    </row>
    <row r="267" spans="1:31" ht="14.5">
      <c r="A267" t="s">
        <v>8260</v>
      </c>
      <c r="B267" t="s">
        <v>8261</v>
      </c>
      <c r="C267">
        <v>20387</v>
      </c>
      <c r="D267" s="581"/>
      <c r="E267" s="581"/>
      <c r="F267" s="2">
        <f>(1/S267)*cnst_fish!$C$6</f>
        <v>2.3938164528281742</v>
      </c>
      <c r="G267" s="2">
        <f t="shared" si="36"/>
        <v>1</v>
      </c>
      <c r="H267" s="2">
        <f t="shared" si="36"/>
        <v>0.36449057933102513</v>
      </c>
      <c r="I267" s="2">
        <f t="shared" si="37"/>
        <v>0</v>
      </c>
      <c r="J267" s="389">
        <f t="shared" si="38"/>
        <v>0</v>
      </c>
      <c r="L267" s="721">
        <v>1097</v>
      </c>
      <c r="M267" s="581"/>
      <c r="N267" s="585" t="s">
        <v>1736</v>
      </c>
      <c r="O267" s="586" t="s">
        <v>4691</v>
      </c>
      <c r="P267" s="233">
        <f t="shared" si="39"/>
        <v>0</v>
      </c>
      <c r="Q267" s="233">
        <f t="shared" si="40"/>
        <v>1097</v>
      </c>
      <c r="R267" s="2">
        <f t="shared" si="41"/>
        <v>2.1</v>
      </c>
      <c r="S267" s="2">
        <f>(1/9)*cnst_fish!$C$7*(1/cnst_fish!$C$8)^(R267-1)</f>
        <v>1.7754076320174161</v>
      </c>
      <c r="T267" s="682">
        <f t="shared" si="42"/>
        <v>167.03292562541139</v>
      </c>
      <c r="W267" s="818"/>
      <c r="X267" s="818"/>
      <c r="Y267" s="819"/>
      <c r="Z267" s="820"/>
      <c r="AA267" s="820"/>
      <c r="AB267" s="821"/>
      <c r="AC267" s="821"/>
      <c r="AD267" s="253"/>
      <c r="AE267" s="253"/>
    </row>
    <row r="268" spans="1:31" ht="14.5">
      <c r="A268" t="s">
        <v>8262</v>
      </c>
      <c r="B268" t="s">
        <v>8263</v>
      </c>
      <c r="C268">
        <v>20389</v>
      </c>
      <c r="D268" s="581"/>
      <c r="E268" s="581"/>
      <c r="F268" s="2">
        <f>(1/S268)*cnst_fish!$C$6</f>
        <v>2.3938164528281742</v>
      </c>
      <c r="G268" s="2">
        <f t="shared" ref="G268:H287" si="43">G$7</f>
        <v>1</v>
      </c>
      <c r="H268" s="2">
        <f t="shared" si="43"/>
        <v>0.36449057933102513</v>
      </c>
      <c r="I268" s="2">
        <f t="shared" si="37"/>
        <v>0</v>
      </c>
      <c r="J268" s="389">
        <f t="shared" si="38"/>
        <v>0</v>
      </c>
      <c r="L268" s="721">
        <v>10</v>
      </c>
      <c r="M268" s="581"/>
      <c r="N268" s="585" t="s">
        <v>1736</v>
      </c>
      <c r="O268" s="586" t="s">
        <v>4691</v>
      </c>
      <c r="P268" s="233">
        <f t="shared" si="39"/>
        <v>0</v>
      </c>
      <c r="Q268" s="233">
        <f t="shared" si="40"/>
        <v>10</v>
      </c>
      <c r="R268" s="2">
        <f t="shared" si="41"/>
        <v>2.1</v>
      </c>
      <c r="S268" s="2">
        <f>(1/9)*cnst_fish!$C$7*(1/cnst_fish!$C$8)^(R268-1)</f>
        <v>1.7754076320174161</v>
      </c>
      <c r="T268" s="682">
        <f t="shared" si="42"/>
        <v>1.5226337796300036</v>
      </c>
      <c r="W268" s="818"/>
      <c r="X268" s="818"/>
      <c r="Y268" s="819"/>
      <c r="Z268" s="820"/>
      <c r="AA268" s="820"/>
      <c r="AB268" s="821"/>
      <c r="AC268" s="821"/>
      <c r="AD268" s="253"/>
      <c r="AE268" s="253"/>
    </row>
    <row r="269" spans="1:31" ht="14.5">
      <c r="A269" t="s">
        <v>1087</v>
      </c>
      <c r="B269" t="s">
        <v>4332</v>
      </c>
      <c r="C269">
        <v>3498</v>
      </c>
      <c r="D269" s="581">
        <v>2409</v>
      </c>
      <c r="E269" s="581"/>
      <c r="F269" s="2">
        <f>(1/S269)*cnst_fish!$C$6</f>
        <v>2.3938164528281742</v>
      </c>
      <c r="G269" s="2">
        <f t="shared" si="43"/>
        <v>1</v>
      </c>
      <c r="H269" s="2">
        <f t="shared" si="43"/>
        <v>0.36449057933102513</v>
      </c>
      <c r="I269" s="2">
        <f t="shared" si="37"/>
        <v>366.80247751286788</v>
      </c>
      <c r="J269" s="389">
        <f t="shared" si="38"/>
        <v>0</v>
      </c>
      <c r="L269" s="721">
        <v>3579</v>
      </c>
      <c r="M269" s="581"/>
      <c r="N269" s="585" t="s">
        <v>1736</v>
      </c>
      <c r="O269" s="586" t="s">
        <v>4691</v>
      </c>
      <c r="P269" s="233">
        <f t="shared" si="39"/>
        <v>2409</v>
      </c>
      <c r="Q269" s="233">
        <f t="shared" si="40"/>
        <v>3579</v>
      </c>
      <c r="R269" s="2">
        <f t="shared" si="41"/>
        <v>2.1</v>
      </c>
      <c r="S269" s="2">
        <f>(1/9)*cnst_fish!$C$7*(1/cnst_fish!$C$8)^(R269-1)</f>
        <v>1.7754076320174161</v>
      </c>
      <c r="T269" s="682">
        <f t="shared" si="42"/>
        <v>544.95062972957828</v>
      </c>
      <c r="W269" s="818"/>
      <c r="X269" s="818"/>
      <c r="Y269" s="819"/>
      <c r="Z269" s="820"/>
      <c r="AA269" s="820"/>
      <c r="AB269" s="821"/>
      <c r="AC269" s="821"/>
      <c r="AD269" s="253"/>
      <c r="AE269" s="253"/>
    </row>
    <row r="270" spans="1:31" ht="14.5">
      <c r="A270" t="s">
        <v>8264</v>
      </c>
      <c r="B270" t="s">
        <v>8265</v>
      </c>
      <c r="C270">
        <v>20390</v>
      </c>
      <c r="D270" s="581"/>
      <c r="E270" s="581"/>
      <c r="F270" s="2">
        <f>(1/S270)*cnst_fish!$C$6</f>
        <v>2.3938164528281742</v>
      </c>
      <c r="G270" s="2">
        <f t="shared" si="43"/>
        <v>1</v>
      </c>
      <c r="H270" s="2">
        <f t="shared" si="43"/>
        <v>0.36449057933102513</v>
      </c>
      <c r="I270" s="2">
        <f t="shared" si="37"/>
        <v>0</v>
      </c>
      <c r="J270" s="389">
        <f t="shared" si="38"/>
        <v>0</v>
      </c>
      <c r="L270" s="721">
        <v>993</v>
      </c>
      <c r="M270" s="581"/>
      <c r="N270" s="585" t="s">
        <v>1736</v>
      </c>
      <c r="O270" s="586" t="s">
        <v>4691</v>
      </c>
      <c r="P270" s="233">
        <f t="shared" si="39"/>
        <v>0</v>
      </c>
      <c r="Q270" s="233">
        <f t="shared" si="40"/>
        <v>993</v>
      </c>
      <c r="R270" s="2">
        <f t="shared" si="41"/>
        <v>2.1</v>
      </c>
      <c r="S270" s="2">
        <f>(1/9)*cnst_fish!$C$7*(1/cnst_fish!$C$8)^(R270-1)</f>
        <v>1.7754076320174161</v>
      </c>
      <c r="T270" s="682">
        <f t="shared" si="42"/>
        <v>151.19753431725937</v>
      </c>
      <c r="W270" s="818"/>
      <c r="X270" s="818"/>
      <c r="Y270" s="819"/>
      <c r="Z270" s="820"/>
      <c r="AA270" s="820"/>
      <c r="AB270" s="821"/>
      <c r="AC270" s="821"/>
      <c r="AD270" s="253"/>
      <c r="AE270" s="253"/>
    </row>
    <row r="271" spans="1:31" ht="14.5">
      <c r="A271" t="s">
        <v>3112</v>
      </c>
      <c r="B271" t="s">
        <v>2234</v>
      </c>
      <c r="C271">
        <v>18982</v>
      </c>
      <c r="D271" s="581"/>
      <c r="E271" s="581"/>
      <c r="F271" s="2">
        <f>(1/S271)*cnst_fish!$C$6</f>
        <v>0.11997502458044032</v>
      </c>
      <c r="G271" s="2">
        <f t="shared" si="43"/>
        <v>1</v>
      </c>
      <c r="H271" s="2">
        <f t="shared" si="43"/>
        <v>0.36449057933102513</v>
      </c>
      <c r="I271" s="2">
        <f t="shared" si="37"/>
        <v>0</v>
      </c>
      <c r="J271" s="389">
        <f t="shared" si="38"/>
        <v>0</v>
      </c>
      <c r="L271" s="721">
        <v>120545.87</v>
      </c>
      <c r="M271" s="581"/>
      <c r="N271" s="585" t="s">
        <v>1738</v>
      </c>
      <c r="O271" s="586" t="s">
        <v>4681</v>
      </c>
      <c r="P271" s="233">
        <f t="shared" si="39"/>
        <v>0</v>
      </c>
      <c r="Q271" s="233">
        <f t="shared" si="40"/>
        <v>120545.87</v>
      </c>
      <c r="R271" s="2">
        <f t="shared" si="41"/>
        <v>3.4</v>
      </c>
      <c r="S271" s="2">
        <f>(1/9)*cnst_fish!$C$7*(1/cnst_fish!$C$8)^(R271-1)</f>
        <v>35.424039418724846</v>
      </c>
      <c r="T271" s="682">
        <f t="shared" si="42"/>
        <v>366224.8384271278</v>
      </c>
      <c r="W271" s="818"/>
      <c r="X271" s="818"/>
      <c r="Y271" s="819"/>
      <c r="Z271" s="820"/>
      <c r="AA271" s="820"/>
      <c r="AB271" s="821"/>
      <c r="AC271" s="821"/>
      <c r="AD271" s="253"/>
      <c r="AE271" s="253"/>
    </row>
    <row r="272" spans="1:31" ht="14.5">
      <c r="A272" s="403" t="s">
        <v>8946</v>
      </c>
      <c r="B272" s="403" t="s">
        <v>8947</v>
      </c>
      <c r="C272" s="403">
        <v>11048</v>
      </c>
      <c r="D272" s="581"/>
      <c r="E272" s="581"/>
      <c r="F272" s="869">
        <f>(1/S272)*cnst_fish!$C$6</f>
        <v>9.5299549485983348E-2</v>
      </c>
      <c r="G272" s="869">
        <f t="shared" si="43"/>
        <v>1</v>
      </c>
      <c r="H272" s="869">
        <f t="shared" si="43"/>
        <v>0.36449057933102513</v>
      </c>
      <c r="I272" s="869">
        <f t="shared" si="37"/>
        <v>0</v>
      </c>
      <c r="J272" s="389">
        <f t="shared" si="38"/>
        <v>0</v>
      </c>
      <c r="L272" s="721">
        <v>0</v>
      </c>
      <c r="M272" s="581"/>
      <c r="N272" s="877" t="s">
        <v>1738</v>
      </c>
      <c r="O272" s="881" t="s">
        <v>4681</v>
      </c>
      <c r="P272" s="871">
        <f t="shared" si="39"/>
        <v>0</v>
      </c>
      <c r="Q272" s="871">
        <f t="shared" si="40"/>
        <v>0</v>
      </c>
      <c r="R272" s="869">
        <f t="shared" si="41"/>
        <v>3.5</v>
      </c>
      <c r="S272" s="869">
        <f>(1/9)*cnst_fish!$C$7*(1/cnst_fish!$C$8)^(R272-1)</f>
        <v>44.596223412631026</v>
      </c>
      <c r="T272" s="682">
        <f t="shared" si="42"/>
        <v>0</v>
      </c>
      <c r="W272" s="818"/>
      <c r="X272" s="818"/>
      <c r="Y272" s="819"/>
      <c r="Z272" s="820"/>
      <c r="AA272" s="820"/>
      <c r="AB272" s="821"/>
      <c r="AC272" s="821"/>
      <c r="AD272" s="253"/>
      <c r="AE272" s="253"/>
    </row>
    <row r="273" spans="1:31" ht="14.5">
      <c r="A273" t="s">
        <v>8266</v>
      </c>
      <c r="B273" t="s">
        <v>8267</v>
      </c>
      <c r="C273">
        <v>11049</v>
      </c>
      <c r="D273" s="581"/>
      <c r="E273" s="581"/>
      <c r="F273" s="2">
        <f>(1/S273)*cnst_fish!$C$6</f>
        <v>9.5299549485983348E-2</v>
      </c>
      <c r="G273" s="2">
        <f t="shared" si="43"/>
        <v>1</v>
      </c>
      <c r="H273" s="2">
        <f t="shared" si="43"/>
        <v>0.36449057933102513</v>
      </c>
      <c r="I273" s="2">
        <f t="shared" si="37"/>
        <v>0</v>
      </c>
      <c r="J273" s="389">
        <f t="shared" si="38"/>
        <v>0</v>
      </c>
      <c r="L273" s="721">
        <v>9</v>
      </c>
      <c r="M273" s="581"/>
      <c r="N273" s="585" t="s">
        <v>1738</v>
      </c>
      <c r="O273" s="586" t="s">
        <v>4681</v>
      </c>
      <c r="P273" s="233">
        <f t="shared" si="39"/>
        <v>0</v>
      </c>
      <c r="Q273" s="233">
        <f t="shared" si="40"/>
        <v>9</v>
      </c>
      <c r="R273" s="2">
        <f t="shared" si="41"/>
        <v>3.5</v>
      </c>
      <c r="S273" s="2">
        <f>(1/9)*cnst_fish!$C$7*(1/cnst_fish!$C$8)^(R273-1)</f>
        <v>44.596223412631026</v>
      </c>
      <c r="T273" s="682">
        <f t="shared" si="42"/>
        <v>34.422148180896798</v>
      </c>
      <c r="W273" s="818"/>
      <c r="X273" s="818"/>
      <c r="Y273" s="819"/>
      <c r="Z273" s="820"/>
      <c r="AA273" s="820"/>
      <c r="AB273" s="821"/>
      <c r="AC273" s="821"/>
      <c r="AD273" s="253"/>
      <c r="AE273" s="253"/>
    </row>
    <row r="274" spans="1:31" ht="14.5">
      <c r="A274" t="s">
        <v>8268</v>
      </c>
      <c r="B274" t="s">
        <v>8269</v>
      </c>
      <c r="C274">
        <v>11050</v>
      </c>
      <c r="D274" s="581"/>
      <c r="E274" s="581"/>
      <c r="F274" s="2">
        <f>(1/S274)*cnst_fish!$C$6</f>
        <v>4.7762917572805388E-2</v>
      </c>
      <c r="G274" s="2">
        <f t="shared" si="43"/>
        <v>1</v>
      </c>
      <c r="H274" s="2">
        <f t="shared" si="43"/>
        <v>0.36449057933102513</v>
      </c>
      <c r="I274" s="2">
        <f t="shared" si="37"/>
        <v>0</v>
      </c>
      <c r="J274" s="389">
        <f t="shared" si="38"/>
        <v>0</v>
      </c>
      <c r="L274" s="721">
        <v>559</v>
      </c>
      <c r="M274" s="581"/>
      <c r="N274" s="585" t="s">
        <v>1738</v>
      </c>
      <c r="O274" s="586" t="s">
        <v>4681</v>
      </c>
      <c r="P274" s="233">
        <f t="shared" si="39"/>
        <v>0</v>
      </c>
      <c r="Q274" s="233">
        <f t="shared" si="40"/>
        <v>559</v>
      </c>
      <c r="R274" s="2">
        <f t="shared" si="41"/>
        <v>3.8</v>
      </c>
      <c r="S274" s="2">
        <f>(1/9)*cnst_fish!$C$7*(1/cnst_fish!$C$8)^(R274-1)</f>
        <v>88.981163965155432</v>
      </c>
      <c r="T274" s="682">
        <f t="shared" si="42"/>
        <v>4265.8665801867101</v>
      </c>
      <c r="W274" s="818"/>
      <c r="X274" s="818"/>
      <c r="Y274" s="819"/>
      <c r="Z274" s="820"/>
      <c r="AA274" s="820"/>
      <c r="AB274" s="821"/>
      <c r="AC274" s="821"/>
      <c r="AD274" s="253"/>
      <c r="AE274" s="253"/>
    </row>
    <row r="275" spans="1:31" ht="14.5">
      <c r="A275" t="s">
        <v>4128</v>
      </c>
      <c r="B275" t="s">
        <v>2301</v>
      </c>
      <c r="C275">
        <v>2372</v>
      </c>
      <c r="D275" s="581"/>
      <c r="E275" s="581"/>
      <c r="F275" s="2">
        <f>(1/S275)*cnst_fish!$C$6</f>
        <v>0.12276960190187568</v>
      </c>
      <c r="G275" s="2">
        <f t="shared" si="43"/>
        <v>1</v>
      </c>
      <c r="H275" s="2">
        <f t="shared" si="43"/>
        <v>0.36449057933102513</v>
      </c>
      <c r="I275" s="2">
        <f t="shared" si="37"/>
        <v>0</v>
      </c>
      <c r="J275" s="389">
        <f t="shared" si="38"/>
        <v>0</v>
      </c>
      <c r="L275" s="721">
        <v>200</v>
      </c>
      <c r="M275" s="581"/>
      <c r="N275" s="585" t="s">
        <v>1738</v>
      </c>
      <c r="O275" s="586" t="s">
        <v>4681</v>
      </c>
      <c r="P275" s="233">
        <f t="shared" si="39"/>
        <v>0</v>
      </c>
      <c r="Q275" s="233">
        <f t="shared" si="40"/>
        <v>200</v>
      </c>
      <c r="R275" s="2">
        <f t="shared" si="41"/>
        <v>3.39</v>
      </c>
      <c r="S275" s="2">
        <f>(1/9)*cnst_fish!$C$7*(1/cnst_fish!$C$8)^(R275-1)</f>
        <v>34.617689836583793</v>
      </c>
      <c r="T275" s="682">
        <f t="shared" si="42"/>
        <v>593.77985052414908</v>
      </c>
      <c r="W275" s="818"/>
      <c r="X275" s="818"/>
      <c r="Y275" s="819"/>
      <c r="Z275" s="820"/>
      <c r="AA275" s="820"/>
      <c r="AB275" s="821"/>
      <c r="AC275" s="821"/>
      <c r="AD275" s="253"/>
      <c r="AE275" s="253"/>
    </row>
    <row r="276" spans="1:31" ht="14.5">
      <c r="A276" t="s">
        <v>6302</v>
      </c>
      <c r="B276" t="s">
        <v>6301</v>
      </c>
      <c r="C276">
        <v>19841</v>
      </c>
      <c r="D276" s="581"/>
      <c r="E276" s="581"/>
      <c r="F276" s="2">
        <f>(1/S276)*cnst_fish!$C$6</f>
        <v>3.0136363636363641</v>
      </c>
      <c r="G276" s="2">
        <f t="shared" si="43"/>
        <v>1</v>
      </c>
      <c r="H276" s="2">
        <f t="shared" si="43"/>
        <v>0.36449057933102513</v>
      </c>
      <c r="I276" s="2">
        <f t="shared" si="37"/>
        <v>0</v>
      </c>
      <c r="J276" s="389">
        <f t="shared" si="38"/>
        <v>0</v>
      </c>
      <c r="L276" s="721">
        <v>1362</v>
      </c>
      <c r="M276" s="581"/>
      <c r="N276" s="585" t="s">
        <v>1738</v>
      </c>
      <c r="O276" s="586" t="s">
        <v>4681</v>
      </c>
      <c r="P276" s="233">
        <f t="shared" si="39"/>
        <v>0</v>
      </c>
      <c r="Q276" s="233">
        <f t="shared" si="40"/>
        <v>1362</v>
      </c>
      <c r="R276" s="2">
        <f t="shared" si="41"/>
        <v>2</v>
      </c>
      <c r="S276" s="2">
        <f>(1/9)*cnst_fish!$C$7*(1/cnst_fish!$C$8)^(R276-1)</f>
        <v>1.4102564102564099</v>
      </c>
      <c r="T276" s="682">
        <f t="shared" si="42"/>
        <v>164.72995051394923</v>
      </c>
      <c r="W276" s="818"/>
      <c r="X276" s="818"/>
      <c r="Y276" s="819"/>
      <c r="Z276" s="820"/>
      <c r="AA276" s="820"/>
      <c r="AB276" s="821"/>
      <c r="AC276" s="821"/>
      <c r="AD276" s="253"/>
      <c r="AE276" s="253"/>
    </row>
    <row r="277" spans="1:31" ht="14.5">
      <c r="A277" t="s">
        <v>6305</v>
      </c>
      <c r="B277" t="s">
        <v>177</v>
      </c>
      <c r="C277">
        <v>18576</v>
      </c>
      <c r="D277" s="581"/>
      <c r="E277" s="581"/>
      <c r="F277" s="2">
        <f>(1/S277)*cnst_fish!$C$6</f>
        <v>0.75699122913220485</v>
      </c>
      <c r="G277" s="2">
        <f t="shared" si="43"/>
        <v>1</v>
      </c>
      <c r="H277" s="2">
        <f t="shared" si="43"/>
        <v>0.36449057933102513</v>
      </c>
      <c r="I277" s="2">
        <f t="shared" si="37"/>
        <v>0</v>
      </c>
      <c r="J277" s="389">
        <f t="shared" si="38"/>
        <v>0</v>
      </c>
      <c r="L277" s="721"/>
      <c r="M277" s="581"/>
      <c r="N277" s="585" t="s">
        <v>2322</v>
      </c>
      <c r="O277" s="586" t="s">
        <v>4680</v>
      </c>
      <c r="P277" s="233">
        <f t="shared" si="39"/>
        <v>0</v>
      </c>
      <c r="Q277" s="233">
        <f t="shared" si="40"/>
        <v>0</v>
      </c>
      <c r="R277" s="2">
        <f t="shared" si="41"/>
        <v>2.6</v>
      </c>
      <c r="S277" s="2">
        <f>(1/9)*cnst_fish!$C$7*(1/cnst_fish!$C$8)^(R277-1)</f>
        <v>5.6143318924211183</v>
      </c>
      <c r="T277" s="682">
        <f t="shared" si="42"/>
        <v>0</v>
      </c>
      <c r="W277" s="818"/>
      <c r="X277" s="818"/>
      <c r="Y277" s="819"/>
      <c r="Z277" s="820"/>
      <c r="AA277" s="820"/>
      <c r="AB277" s="821"/>
      <c r="AC277" s="821"/>
      <c r="AD277" s="253"/>
      <c r="AE277" s="253"/>
    </row>
    <row r="278" spans="1:31" ht="14.5">
      <c r="A278" t="s">
        <v>6753</v>
      </c>
      <c r="B278" t="s">
        <v>5148</v>
      </c>
      <c r="C278">
        <v>2631</v>
      </c>
      <c r="D278" s="581"/>
      <c r="E278" s="581"/>
      <c r="F278" s="2">
        <f>(1/S278)*cnst_fish!$C$6</f>
        <v>0.95299549485983426</v>
      </c>
      <c r="G278" s="2">
        <f t="shared" si="43"/>
        <v>1</v>
      </c>
      <c r="H278" s="2">
        <f t="shared" si="43"/>
        <v>0.36449057933102513</v>
      </c>
      <c r="I278" s="2">
        <f t="shared" si="37"/>
        <v>0</v>
      </c>
      <c r="J278" s="389">
        <f t="shared" si="38"/>
        <v>0</v>
      </c>
      <c r="L278" s="721"/>
      <c r="M278" s="581"/>
      <c r="N278" s="585" t="s">
        <v>2311</v>
      </c>
      <c r="O278" s="586" t="s">
        <v>4680</v>
      </c>
      <c r="P278" s="233">
        <f t="shared" si="39"/>
        <v>0</v>
      </c>
      <c r="Q278" s="233">
        <f t="shared" si="40"/>
        <v>0</v>
      </c>
      <c r="R278" s="2">
        <f t="shared" si="41"/>
        <v>2.5</v>
      </c>
      <c r="S278" s="2">
        <f>(1/9)*cnst_fish!$C$7*(1/cnst_fish!$C$8)^(R278-1)</f>
        <v>4.4596223412630991</v>
      </c>
      <c r="T278" s="682">
        <f t="shared" si="42"/>
        <v>0</v>
      </c>
      <c r="W278" s="818"/>
      <c r="X278" s="818"/>
      <c r="Y278" s="819"/>
      <c r="Z278" s="820"/>
      <c r="AA278" s="820"/>
      <c r="AB278" s="821"/>
      <c r="AC278" s="821"/>
      <c r="AD278" s="253"/>
      <c r="AE278" s="253"/>
    </row>
    <row r="279" spans="1:31" ht="14.5">
      <c r="A279" t="s">
        <v>3814</v>
      </c>
      <c r="B279" t="s">
        <v>5148</v>
      </c>
      <c r="C279">
        <v>2633</v>
      </c>
      <c r="D279" s="581"/>
      <c r="E279" s="581"/>
      <c r="F279" s="2">
        <f>(1/S279)*cnst_fish!$C$6</f>
        <v>0.95299549485983426</v>
      </c>
      <c r="G279" s="2">
        <f t="shared" si="43"/>
        <v>1</v>
      </c>
      <c r="H279" s="2">
        <f t="shared" si="43"/>
        <v>0.36449057933102513</v>
      </c>
      <c r="I279" s="2">
        <f t="shared" si="37"/>
        <v>0</v>
      </c>
      <c r="J279" s="389">
        <f t="shared" si="38"/>
        <v>0</v>
      </c>
      <c r="L279" s="721">
        <v>2000</v>
      </c>
      <c r="M279" s="581"/>
      <c r="N279" s="585" t="s">
        <v>2311</v>
      </c>
      <c r="O279" s="586" t="s">
        <v>4680</v>
      </c>
      <c r="P279" s="233">
        <f t="shared" si="39"/>
        <v>0</v>
      </c>
      <c r="Q279" s="233">
        <f t="shared" si="40"/>
        <v>2000</v>
      </c>
      <c r="R279" s="2">
        <f t="shared" si="41"/>
        <v>2.5</v>
      </c>
      <c r="S279" s="2">
        <f>(1/9)*cnst_fish!$C$7*(1/cnst_fish!$C$8)^(R279-1)</f>
        <v>4.4596223412630991</v>
      </c>
      <c r="T279" s="682">
        <f t="shared" si="42"/>
        <v>764.9366262421504</v>
      </c>
      <c r="W279" s="818"/>
      <c r="X279" s="818"/>
      <c r="Y279" s="819"/>
      <c r="Z279" s="820"/>
      <c r="AA279" s="820"/>
      <c r="AB279" s="821"/>
      <c r="AC279" s="821"/>
      <c r="AD279" s="253"/>
      <c r="AE279" s="253"/>
    </row>
    <row r="280" spans="1:31" ht="14.5">
      <c r="A280" t="s">
        <v>4643</v>
      </c>
      <c r="B280" t="s">
        <v>5149</v>
      </c>
      <c r="C280">
        <v>2632</v>
      </c>
      <c r="D280" s="581"/>
      <c r="E280" s="581"/>
      <c r="F280" s="2">
        <f>(1/S280)*cnst_fish!$C$6</f>
        <v>3.0136363636363642E-2</v>
      </c>
      <c r="G280" s="2">
        <f t="shared" si="43"/>
        <v>1</v>
      </c>
      <c r="H280" s="2">
        <f t="shared" si="43"/>
        <v>0.36449057933102513</v>
      </c>
      <c r="I280" s="2">
        <f t="shared" si="37"/>
        <v>0</v>
      </c>
      <c r="J280" s="389">
        <f t="shared" si="38"/>
        <v>0</v>
      </c>
      <c r="L280" s="721">
        <v>90771</v>
      </c>
      <c r="M280" s="581"/>
      <c r="N280" s="585" t="s">
        <v>2311</v>
      </c>
      <c r="O280" s="586" t="s">
        <v>4680</v>
      </c>
      <c r="P280" s="233">
        <f t="shared" si="39"/>
        <v>0</v>
      </c>
      <c r="Q280" s="233">
        <f t="shared" si="40"/>
        <v>90771</v>
      </c>
      <c r="R280" s="2">
        <f t="shared" si="41"/>
        <v>4</v>
      </c>
      <c r="S280" s="2">
        <f>(1/9)*cnst_fish!$C$7*(1/cnst_fish!$C$8)^(R280-1)</f>
        <v>141.02564102564099</v>
      </c>
      <c r="T280" s="682">
        <f t="shared" si="42"/>
        <v>1097848.9235023265</v>
      </c>
      <c r="W280" s="818"/>
      <c r="X280" s="818"/>
      <c r="Y280" s="819"/>
      <c r="Z280" s="820"/>
      <c r="AA280" s="820"/>
      <c r="AB280" s="821"/>
      <c r="AC280" s="821"/>
      <c r="AD280" s="253"/>
      <c r="AE280" s="253"/>
    </row>
    <row r="281" spans="1:31" ht="14.5">
      <c r="A281" t="s">
        <v>3889</v>
      </c>
      <c r="B281" t="s">
        <v>3890</v>
      </c>
      <c r="C281">
        <v>17241</v>
      </c>
      <c r="D281" s="581"/>
      <c r="E281" s="581"/>
      <c r="F281" s="2">
        <f>(1/S281)*cnst_fish!$C$6</f>
        <v>0.14481532779905856</v>
      </c>
      <c r="G281" s="2">
        <f t="shared" si="43"/>
        <v>1</v>
      </c>
      <c r="H281" s="2">
        <f t="shared" si="43"/>
        <v>0.36449057933102513</v>
      </c>
      <c r="I281" s="2">
        <f t="shared" si="37"/>
        <v>0</v>
      </c>
      <c r="J281" s="389">
        <f t="shared" si="38"/>
        <v>0</v>
      </c>
      <c r="L281" s="721">
        <v>1886</v>
      </c>
      <c r="M281" s="581"/>
      <c r="N281" s="585" t="s">
        <v>1736</v>
      </c>
      <c r="O281" s="586" t="s">
        <v>4691</v>
      </c>
      <c r="P281" s="233">
        <f t="shared" si="39"/>
        <v>0</v>
      </c>
      <c r="Q281" s="233">
        <f t="shared" si="40"/>
        <v>1886</v>
      </c>
      <c r="R281" s="2">
        <f t="shared" si="41"/>
        <v>3.3182763159269002</v>
      </c>
      <c r="S281" s="2">
        <f>(1/9)*cnst_fish!$C$7*(1/cnst_fish!$C$8)^(R281-1)</f>
        <v>29.347722127157517</v>
      </c>
      <c r="T281" s="682">
        <f t="shared" si="42"/>
        <v>4746.9369649335031</v>
      </c>
      <c r="W281" s="818"/>
      <c r="X281" s="818"/>
      <c r="Y281" s="819"/>
      <c r="Z281" s="820"/>
      <c r="AA281" s="820"/>
      <c r="AB281" s="821"/>
      <c r="AC281" s="821"/>
      <c r="AD281" s="253"/>
      <c r="AE281" s="253"/>
    </row>
    <row r="282" spans="1:31" ht="14.5">
      <c r="A282" t="s">
        <v>2293</v>
      </c>
      <c r="B282" t="s">
        <v>1913</v>
      </c>
      <c r="C282">
        <v>3641</v>
      </c>
      <c r="D282" s="581"/>
      <c r="E282" s="581"/>
      <c r="F282" s="2">
        <f>(1/S282)*cnst_fish!$C$6</f>
        <v>30.136363636363644</v>
      </c>
      <c r="G282" s="2">
        <f t="shared" si="43"/>
        <v>1</v>
      </c>
      <c r="H282" s="2">
        <f t="shared" si="43"/>
        <v>0.36449057933102513</v>
      </c>
      <c r="I282" s="2">
        <f t="shared" si="37"/>
        <v>0</v>
      </c>
      <c r="J282" s="389">
        <f t="shared" si="38"/>
        <v>0</v>
      </c>
      <c r="L282" s="721">
        <v>0</v>
      </c>
      <c r="M282" s="581"/>
      <c r="N282" s="585" t="s">
        <v>1740</v>
      </c>
      <c r="O282" s="586" t="s">
        <v>4671</v>
      </c>
      <c r="P282" s="233">
        <f t="shared" si="39"/>
        <v>0</v>
      </c>
      <c r="Q282" s="233">
        <f t="shared" si="40"/>
        <v>0</v>
      </c>
      <c r="R282" s="2">
        <f t="shared" si="41"/>
        <v>1</v>
      </c>
      <c r="S282" s="2">
        <f>(1/9)*cnst_fish!$C$7*(1/cnst_fish!$C$8)^(R282-1)</f>
        <v>0.141025641025641</v>
      </c>
      <c r="T282" s="682">
        <f t="shared" si="42"/>
        <v>0</v>
      </c>
      <c r="W282" s="818"/>
      <c r="X282" s="818"/>
      <c r="Y282" s="819"/>
      <c r="Z282" s="820"/>
      <c r="AA282" s="820"/>
      <c r="AB282" s="821"/>
      <c r="AC282" s="821"/>
      <c r="AD282" s="253"/>
      <c r="AE282" s="253"/>
    </row>
    <row r="283" spans="1:31" ht="14.5">
      <c r="A283" t="s">
        <v>2284</v>
      </c>
      <c r="B283" t="s">
        <v>950</v>
      </c>
      <c r="C283">
        <v>2873</v>
      </c>
      <c r="D283" s="581"/>
      <c r="E283" s="581"/>
      <c r="F283" s="2">
        <f>(1/S283)*cnst_fish!$C$6</f>
        <v>0.11196720767792057</v>
      </c>
      <c r="G283" s="2">
        <f t="shared" si="43"/>
        <v>1</v>
      </c>
      <c r="H283" s="2">
        <f t="shared" si="43"/>
        <v>0.36449057933102513</v>
      </c>
      <c r="I283" s="2">
        <f t="shared" si="37"/>
        <v>0</v>
      </c>
      <c r="J283" s="389">
        <f t="shared" si="38"/>
        <v>0</v>
      </c>
      <c r="L283" s="721">
        <v>0</v>
      </c>
      <c r="M283" s="581"/>
      <c r="N283" s="585" t="s">
        <v>1738</v>
      </c>
      <c r="O283" s="586" t="s">
        <v>4681</v>
      </c>
      <c r="P283" s="233">
        <f t="shared" si="39"/>
        <v>0</v>
      </c>
      <c r="Q283" s="233">
        <f t="shared" si="40"/>
        <v>0</v>
      </c>
      <c r="R283" s="2">
        <f t="shared" si="41"/>
        <v>3.43</v>
      </c>
      <c r="S283" s="2">
        <f>(1/9)*cnst_fish!$C$7*(1/cnst_fish!$C$8)^(R283-1)</f>
        <v>37.957542106661656</v>
      </c>
      <c r="T283" s="682">
        <f t="shared" si="42"/>
        <v>0</v>
      </c>
      <c r="W283" s="818"/>
      <c r="X283" s="818"/>
      <c r="Y283" s="819"/>
      <c r="Z283" s="820"/>
      <c r="AA283" s="820"/>
      <c r="AB283" s="821"/>
      <c r="AC283" s="821"/>
      <c r="AD283" s="253"/>
      <c r="AE283" s="253"/>
    </row>
    <row r="284" spans="1:31" ht="14.5">
      <c r="A284" t="s">
        <v>3428</v>
      </c>
      <c r="B284" t="s">
        <v>3429</v>
      </c>
      <c r="C284">
        <v>11063</v>
      </c>
      <c r="D284" s="581"/>
      <c r="E284" s="581"/>
      <c r="F284" s="2">
        <f>(1/S284)*cnst_fish!$C$6</f>
        <v>0.17745606522761614</v>
      </c>
      <c r="G284" s="2">
        <f t="shared" si="43"/>
        <v>1</v>
      </c>
      <c r="H284" s="2">
        <f t="shared" si="43"/>
        <v>0.36449057933102513</v>
      </c>
      <c r="I284" s="2">
        <f t="shared" si="37"/>
        <v>0</v>
      </c>
      <c r="J284" s="389">
        <f t="shared" si="38"/>
        <v>0</v>
      </c>
      <c r="L284" s="721">
        <v>1909</v>
      </c>
      <c r="M284" s="581"/>
      <c r="N284" s="585" t="s">
        <v>1738</v>
      </c>
      <c r="O284" s="586" t="s">
        <v>4681</v>
      </c>
      <c r="P284" s="233">
        <f t="shared" si="39"/>
        <v>0</v>
      </c>
      <c r="Q284" s="233">
        <f t="shared" si="40"/>
        <v>1909</v>
      </c>
      <c r="R284" s="2">
        <f t="shared" si="41"/>
        <v>3.23</v>
      </c>
      <c r="S284" s="2">
        <f>(1/9)*cnst_fish!$C$7*(1/cnst_fish!$C$8)^(R284-1)</f>
        <v>23.94958997061434</v>
      </c>
      <c r="T284" s="682">
        <f t="shared" si="42"/>
        <v>3921.0410478246245</v>
      </c>
      <c r="W284" s="818"/>
      <c r="X284" s="818"/>
      <c r="Y284" s="819"/>
      <c r="Z284" s="820"/>
      <c r="AA284" s="820"/>
      <c r="AB284" s="821"/>
      <c r="AC284" s="821"/>
      <c r="AD284" s="253"/>
      <c r="AE284" s="253"/>
    </row>
    <row r="285" spans="1:31" ht="14.5">
      <c r="A285" t="s">
        <v>2103</v>
      </c>
      <c r="B285" t="s">
        <v>4760</v>
      </c>
      <c r="C285">
        <v>2874</v>
      </c>
      <c r="D285" s="581"/>
      <c r="E285" s="581"/>
      <c r="F285" s="2">
        <f>(1/S285)*cnst_fish!$C$6</f>
        <v>0.10692785320993656</v>
      </c>
      <c r="G285" s="2">
        <f t="shared" si="43"/>
        <v>1</v>
      </c>
      <c r="H285" s="2">
        <f t="shared" si="43"/>
        <v>0.36449057933102513</v>
      </c>
      <c r="I285" s="2">
        <f t="shared" si="37"/>
        <v>0</v>
      </c>
      <c r="J285" s="389">
        <f t="shared" si="38"/>
        <v>0</v>
      </c>
      <c r="L285" s="721">
        <v>524</v>
      </c>
      <c r="M285" s="581"/>
      <c r="N285" s="585" t="s">
        <v>1738</v>
      </c>
      <c r="O285" s="586" t="s">
        <v>4681</v>
      </c>
      <c r="P285" s="233">
        <f t="shared" si="39"/>
        <v>0</v>
      </c>
      <c r="Q285" s="233">
        <f t="shared" si="40"/>
        <v>524</v>
      </c>
      <c r="R285" s="2">
        <f t="shared" si="41"/>
        <v>3.45</v>
      </c>
      <c r="S285" s="2">
        <f>(1/9)*cnst_fish!$C$7*(1/cnst_fish!$C$8)^(R285-1)</f>
        <v>39.746425953729492</v>
      </c>
      <c r="T285" s="682">
        <f t="shared" si="42"/>
        <v>1786.1862726680893</v>
      </c>
      <c r="W285" s="818"/>
      <c r="X285" s="818"/>
      <c r="Y285" s="819"/>
      <c r="Z285" s="820"/>
      <c r="AA285" s="820"/>
      <c r="AB285" s="821"/>
      <c r="AC285" s="821"/>
      <c r="AD285" s="253"/>
      <c r="AE285" s="253"/>
    </row>
    <row r="286" spans="1:31" ht="14.5">
      <c r="A286" t="s">
        <v>5365</v>
      </c>
      <c r="B286" t="s">
        <v>4761</v>
      </c>
      <c r="C286">
        <v>11064</v>
      </c>
      <c r="D286" s="581"/>
      <c r="E286" s="581"/>
      <c r="F286" s="2">
        <f>(1/S286)*cnst_fish!$C$6</f>
        <v>7.5699122913220479E-2</v>
      </c>
      <c r="G286" s="2">
        <f t="shared" si="43"/>
        <v>1</v>
      </c>
      <c r="H286" s="2">
        <f t="shared" si="43"/>
        <v>0.36449057933102513</v>
      </c>
      <c r="I286" s="2">
        <f t="shared" si="37"/>
        <v>0</v>
      </c>
      <c r="J286" s="389">
        <f t="shared" si="38"/>
        <v>0</v>
      </c>
      <c r="L286" s="721">
        <v>1341</v>
      </c>
      <c r="M286" s="581"/>
      <c r="N286" s="585" t="s">
        <v>3785</v>
      </c>
      <c r="O286" s="586" t="s">
        <v>4681</v>
      </c>
      <c r="P286" s="233">
        <f t="shared" si="39"/>
        <v>0</v>
      </c>
      <c r="Q286" s="233">
        <f t="shared" si="40"/>
        <v>1341</v>
      </c>
      <c r="R286" s="2">
        <f t="shared" si="41"/>
        <v>3.6</v>
      </c>
      <c r="S286" s="2">
        <f>(1/9)*cnst_fish!$C$7*(1/cnst_fish!$C$8)^(R286-1)</f>
        <v>56.143318924211187</v>
      </c>
      <c r="T286" s="682">
        <f t="shared" si="42"/>
        <v>6456.9026439478248</v>
      </c>
      <c r="W286" s="818"/>
      <c r="X286" s="818"/>
      <c r="Y286" s="819"/>
      <c r="Z286" s="820"/>
      <c r="AA286" s="820"/>
      <c r="AB286" s="821"/>
      <c r="AC286" s="821"/>
      <c r="AD286" s="253"/>
      <c r="AE286" s="253"/>
    </row>
    <row r="287" spans="1:31" ht="14.5">
      <c r="A287" t="s">
        <v>8848</v>
      </c>
      <c r="B287" t="s">
        <v>8849</v>
      </c>
      <c r="C287">
        <v>11065</v>
      </c>
      <c r="D287" s="581"/>
      <c r="E287" s="581"/>
      <c r="F287" s="2">
        <f>(1/S287)*cnst_fish!$C$6</f>
        <v>0.19014759972289441</v>
      </c>
      <c r="G287" s="2">
        <f t="shared" si="43"/>
        <v>1</v>
      </c>
      <c r="H287" s="2">
        <f t="shared" si="43"/>
        <v>0.36449057933102513</v>
      </c>
      <c r="I287" s="2">
        <f t="shared" si="37"/>
        <v>0</v>
      </c>
      <c r="J287" s="389">
        <f t="shared" si="38"/>
        <v>0</v>
      </c>
      <c r="L287" s="721"/>
      <c r="M287" s="581">
        <v>165</v>
      </c>
      <c r="N287" s="585" t="s">
        <v>4282</v>
      </c>
      <c r="O287" s="586" t="s">
        <v>4685</v>
      </c>
      <c r="P287" s="233">
        <f t="shared" si="39"/>
        <v>0</v>
      </c>
      <c r="Q287" s="233">
        <f t="shared" si="40"/>
        <v>165</v>
      </c>
      <c r="R287" s="2">
        <f t="shared" si="41"/>
        <v>3.2</v>
      </c>
      <c r="S287" s="2">
        <f>(1/9)*cnst_fish!$C$7*(1/cnst_fish!$C$8)^(R287-1)</f>
        <v>22.351057842400341</v>
      </c>
      <c r="T287" s="682">
        <f t="shared" si="42"/>
        <v>316.28558907534807</v>
      </c>
      <c r="W287" s="818"/>
      <c r="X287" s="818"/>
      <c r="Y287" s="819"/>
      <c r="Z287" s="820"/>
      <c r="AA287" s="820"/>
      <c r="AB287" s="821"/>
      <c r="AC287" s="821"/>
      <c r="AD287" s="253"/>
      <c r="AE287" s="253"/>
    </row>
    <row r="288" spans="1:31" ht="14.5">
      <c r="A288" t="s">
        <v>552</v>
      </c>
      <c r="B288" t="s">
        <v>553</v>
      </c>
      <c r="C288">
        <v>2327</v>
      </c>
      <c r="D288" s="581"/>
      <c r="E288" s="581"/>
      <c r="F288" s="2">
        <f>(1/S288)*cnst_fish!$C$6</f>
        <v>9.5299549485983424E-3</v>
      </c>
      <c r="G288" s="2">
        <f t="shared" ref="G288:H307" si="44">G$7</f>
        <v>1</v>
      </c>
      <c r="H288" s="2">
        <f t="shared" si="44"/>
        <v>0.36449057933102513</v>
      </c>
      <c r="I288" s="2">
        <f t="shared" si="37"/>
        <v>0</v>
      </c>
      <c r="J288" s="389">
        <f t="shared" si="38"/>
        <v>0</v>
      </c>
      <c r="L288" s="721">
        <v>1132</v>
      </c>
      <c r="M288" s="581"/>
      <c r="N288" s="585" t="s">
        <v>1738</v>
      </c>
      <c r="O288" s="586" t="s">
        <v>4699</v>
      </c>
      <c r="P288" s="233">
        <f t="shared" si="39"/>
        <v>0</v>
      </c>
      <c r="Q288" s="233">
        <f t="shared" si="40"/>
        <v>1132</v>
      </c>
      <c r="R288" s="2">
        <f t="shared" si="41"/>
        <v>4.5</v>
      </c>
      <c r="S288" s="2">
        <f>(1/9)*cnst_fish!$C$7*(1/cnst_fish!$C$8)^(R288-1)</f>
        <v>445.96223412630997</v>
      </c>
      <c r="T288" s="682">
        <f t="shared" si="42"/>
        <v>43295.413045305722</v>
      </c>
      <c r="W288" s="818"/>
      <c r="X288" s="818"/>
      <c r="Y288" s="819"/>
      <c r="Z288" s="820"/>
      <c r="AA288" s="820"/>
      <c r="AB288" s="821"/>
      <c r="AC288" s="821"/>
      <c r="AD288" s="253"/>
      <c r="AE288" s="253"/>
    </row>
    <row r="289" spans="1:31" ht="14.5">
      <c r="A289" t="s">
        <v>922</v>
      </c>
      <c r="B289" t="s">
        <v>3815</v>
      </c>
      <c r="C289">
        <v>3462</v>
      </c>
      <c r="D289" s="581"/>
      <c r="E289" s="581"/>
      <c r="F289" s="2">
        <f>(1/S289)*cnst_fish!$C$6</f>
        <v>0.75699122913220485</v>
      </c>
      <c r="G289" s="2">
        <f t="shared" si="44"/>
        <v>1</v>
      </c>
      <c r="H289" s="2">
        <f t="shared" si="44"/>
        <v>0.36449057933102513</v>
      </c>
      <c r="I289" s="2">
        <f t="shared" si="37"/>
        <v>0</v>
      </c>
      <c r="J289" s="389">
        <f t="shared" si="38"/>
        <v>0</v>
      </c>
      <c r="L289" s="721">
        <v>9160</v>
      </c>
      <c r="M289" s="581"/>
      <c r="N289" s="585" t="s">
        <v>2311</v>
      </c>
      <c r="O289" s="586" t="s">
        <v>4680</v>
      </c>
      <c r="P289" s="233">
        <f t="shared" si="39"/>
        <v>0</v>
      </c>
      <c r="Q289" s="233">
        <f t="shared" si="40"/>
        <v>9160</v>
      </c>
      <c r="R289" s="2">
        <f t="shared" si="41"/>
        <v>2.6</v>
      </c>
      <c r="S289" s="2">
        <f>(1/9)*cnst_fish!$C$7*(1/cnst_fish!$C$8)^(R289-1)</f>
        <v>5.6143318924211183</v>
      </c>
      <c r="T289" s="682">
        <f t="shared" si="42"/>
        <v>4410.5315599226005</v>
      </c>
      <c r="W289" s="818"/>
      <c r="X289" s="818"/>
      <c r="Y289" s="819"/>
      <c r="Z289" s="820"/>
      <c r="AA289" s="820"/>
      <c r="AB289" s="821"/>
      <c r="AC289" s="821"/>
      <c r="AD289" s="253"/>
      <c r="AE289" s="253"/>
    </row>
    <row r="290" spans="1:31" ht="14.5">
      <c r="A290" t="s">
        <v>1941</v>
      </c>
      <c r="B290" t="s">
        <v>6306</v>
      </c>
      <c r="C290">
        <v>19120</v>
      </c>
      <c r="D290" s="581"/>
      <c r="E290" s="581"/>
      <c r="F290" s="2">
        <f>(1/S290)*cnst_fish!$C$6</f>
        <v>0.14481532779905856</v>
      </c>
      <c r="G290" s="2">
        <f t="shared" si="44"/>
        <v>1</v>
      </c>
      <c r="H290" s="2">
        <f t="shared" si="44"/>
        <v>0.36449057933102513</v>
      </c>
      <c r="I290" s="2">
        <f t="shared" si="37"/>
        <v>0</v>
      </c>
      <c r="J290" s="389">
        <f t="shared" si="38"/>
        <v>0</v>
      </c>
      <c r="L290" s="721">
        <v>5651</v>
      </c>
      <c r="M290" s="581"/>
      <c r="N290" s="585" t="s">
        <v>2311</v>
      </c>
      <c r="O290" s="586" t="s">
        <v>4680</v>
      </c>
      <c r="P290" s="233">
        <f t="shared" si="39"/>
        <v>0</v>
      </c>
      <c r="Q290" s="233">
        <f t="shared" si="40"/>
        <v>5651</v>
      </c>
      <c r="R290" s="2">
        <f t="shared" si="41"/>
        <v>3.3182763159269002</v>
      </c>
      <c r="S290" s="2">
        <f>(1/9)*cnst_fish!$C$7*(1/cnst_fish!$C$8)^(R290-1)</f>
        <v>29.347722127157517</v>
      </c>
      <c r="T290" s="682">
        <f t="shared" si="42"/>
        <v>14223.192358875516</v>
      </c>
      <c r="W290" s="818"/>
      <c r="X290" s="818"/>
      <c r="Y290" s="819"/>
      <c r="Z290" s="820"/>
      <c r="AA290" s="820"/>
      <c r="AB290" s="821"/>
      <c r="AC290" s="821"/>
      <c r="AD290" s="253"/>
      <c r="AE290" s="253"/>
    </row>
    <row r="291" spans="1:31" ht="14.5">
      <c r="A291" t="s">
        <v>4492</v>
      </c>
      <c r="B291" t="s">
        <v>3816</v>
      </c>
      <c r="C291">
        <v>3460</v>
      </c>
      <c r="D291" s="581"/>
      <c r="E291" s="581"/>
      <c r="F291" s="2">
        <f>(1/S291)*cnst_fish!$C$6</f>
        <v>0.75699122913220485</v>
      </c>
      <c r="G291" s="2">
        <f t="shared" si="44"/>
        <v>1</v>
      </c>
      <c r="H291" s="2">
        <f t="shared" si="44"/>
        <v>0.36449057933102513</v>
      </c>
      <c r="I291" s="2">
        <f t="shared" si="37"/>
        <v>0</v>
      </c>
      <c r="J291" s="389">
        <f t="shared" si="38"/>
        <v>0</v>
      </c>
      <c r="L291" s="721">
        <v>1159</v>
      </c>
      <c r="M291" s="581"/>
      <c r="N291" s="585" t="s">
        <v>2311</v>
      </c>
      <c r="O291" s="586" t="s">
        <v>4680</v>
      </c>
      <c r="P291" s="233">
        <f t="shared" si="39"/>
        <v>0</v>
      </c>
      <c r="Q291" s="233">
        <f t="shared" si="40"/>
        <v>1159</v>
      </c>
      <c r="R291" s="2">
        <f t="shared" si="41"/>
        <v>2.6</v>
      </c>
      <c r="S291" s="2">
        <f>(1/9)*cnst_fish!$C$7*(1/cnst_fish!$C$8)^(R291-1)</f>
        <v>5.6143318924211183</v>
      </c>
      <c r="T291" s="682">
        <f t="shared" si="42"/>
        <v>558.05743209064337</v>
      </c>
      <c r="W291" s="818"/>
      <c r="X291" s="818"/>
      <c r="Y291" s="819"/>
      <c r="Z291" s="820"/>
      <c r="AA291" s="820"/>
      <c r="AB291" s="821"/>
      <c r="AC291" s="821"/>
      <c r="AD291" s="253"/>
      <c r="AE291" s="253"/>
    </row>
    <row r="292" spans="1:31" ht="14.5">
      <c r="A292" t="s">
        <v>3633</v>
      </c>
      <c r="B292" t="s">
        <v>3817</v>
      </c>
      <c r="C292">
        <v>3461</v>
      </c>
      <c r="D292" s="581">
        <v>4567</v>
      </c>
      <c r="E292" s="581"/>
      <c r="F292" s="2">
        <f>(1/S292)*cnst_fish!$C$6</f>
        <v>3.0136363636363642E-2</v>
      </c>
      <c r="G292" s="2">
        <f t="shared" si="44"/>
        <v>1</v>
      </c>
      <c r="H292" s="2">
        <f t="shared" si="44"/>
        <v>0.36449057933102513</v>
      </c>
      <c r="I292" s="2">
        <f t="shared" si="37"/>
        <v>55236.54067527211</v>
      </c>
      <c r="J292" s="389">
        <f t="shared" si="38"/>
        <v>0</v>
      </c>
      <c r="L292" s="721">
        <v>35555</v>
      </c>
      <c r="M292" s="581"/>
      <c r="N292" s="585" t="s">
        <v>2311</v>
      </c>
      <c r="O292" s="586" t="s">
        <v>4680</v>
      </c>
      <c r="P292" s="233">
        <f t="shared" si="39"/>
        <v>4567</v>
      </c>
      <c r="Q292" s="233">
        <f t="shared" si="40"/>
        <v>35555</v>
      </c>
      <c r="R292" s="2">
        <f t="shared" si="41"/>
        <v>4</v>
      </c>
      <c r="S292" s="2">
        <f>(1/9)*cnst_fish!$C$7*(1/cnst_fish!$C$8)^(R292-1)</f>
        <v>141.02564102564099</v>
      </c>
      <c r="T292" s="682">
        <f t="shared" si="42"/>
        <v>430027.41486956429</v>
      </c>
      <c r="W292" s="818"/>
      <c r="X292" s="818"/>
      <c r="Y292" s="819"/>
      <c r="Z292" s="820"/>
      <c r="AA292" s="820"/>
      <c r="AB292" s="821"/>
      <c r="AC292" s="821"/>
      <c r="AD292" s="253"/>
      <c r="AE292" s="253"/>
    </row>
    <row r="293" spans="1:31" ht="14.5">
      <c r="A293" t="s">
        <v>4628</v>
      </c>
      <c r="B293" t="s">
        <v>2159</v>
      </c>
      <c r="C293">
        <v>2627</v>
      </c>
      <c r="D293" s="581"/>
      <c r="E293" s="581"/>
      <c r="F293" s="2">
        <f>(1/S293)*cnst_fish!$C$6</f>
        <v>0.75699122913220485</v>
      </c>
      <c r="G293" s="2">
        <f t="shared" si="44"/>
        <v>1</v>
      </c>
      <c r="H293" s="2">
        <f t="shared" si="44"/>
        <v>0.36449057933102513</v>
      </c>
      <c r="I293" s="2">
        <f t="shared" si="37"/>
        <v>0</v>
      </c>
      <c r="J293" s="389">
        <f t="shared" si="38"/>
        <v>0</v>
      </c>
      <c r="L293" s="721">
        <v>53068</v>
      </c>
      <c r="M293" s="581"/>
      <c r="N293" s="585" t="s">
        <v>2311</v>
      </c>
      <c r="O293" s="586" t="s">
        <v>4680</v>
      </c>
      <c r="P293" s="233">
        <f t="shared" si="39"/>
        <v>0</v>
      </c>
      <c r="Q293" s="233">
        <f t="shared" si="40"/>
        <v>53068</v>
      </c>
      <c r="R293" s="2">
        <f t="shared" si="41"/>
        <v>2.6</v>
      </c>
      <c r="S293" s="2">
        <f>(1/9)*cnst_fish!$C$7*(1/cnst_fish!$C$8)^(R293-1)</f>
        <v>5.6143318924211183</v>
      </c>
      <c r="T293" s="682">
        <f t="shared" si="42"/>
        <v>25552.193102835434</v>
      </c>
      <c r="W293" s="818"/>
      <c r="X293" s="818"/>
      <c r="Y293" s="819"/>
      <c r="Z293" s="820"/>
      <c r="AA293" s="820"/>
      <c r="AB293" s="821"/>
      <c r="AC293" s="821"/>
      <c r="AD293" s="253"/>
      <c r="AE293" s="253"/>
    </row>
    <row r="294" spans="1:31" ht="14.5">
      <c r="A294" t="s">
        <v>4097</v>
      </c>
      <c r="B294" t="s">
        <v>2326</v>
      </c>
      <c r="C294">
        <v>3463</v>
      </c>
      <c r="D294" s="581"/>
      <c r="E294" s="581"/>
      <c r="F294" s="2">
        <f>(1/S294)*cnst_fish!$C$6</f>
        <v>0.15103960722494611</v>
      </c>
      <c r="G294" s="2">
        <f t="shared" si="44"/>
        <v>1</v>
      </c>
      <c r="H294" s="2">
        <f t="shared" si="44"/>
        <v>0.36449057933102513</v>
      </c>
      <c r="I294" s="2">
        <f t="shared" si="37"/>
        <v>0</v>
      </c>
      <c r="J294" s="389">
        <f t="shared" si="38"/>
        <v>0</v>
      </c>
      <c r="L294" s="721">
        <v>658</v>
      </c>
      <c r="M294" s="581"/>
      <c r="N294" s="585" t="s">
        <v>2311</v>
      </c>
      <c r="O294" s="586" t="s">
        <v>4680</v>
      </c>
      <c r="P294" s="233">
        <f t="shared" si="39"/>
        <v>0</v>
      </c>
      <c r="Q294" s="233">
        <f t="shared" si="40"/>
        <v>658</v>
      </c>
      <c r="R294" s="2">
        <f t="shared" si="41"/>
        <v>3.3</v>
      </c>
      <c r="S294" s="2">
        <f>(1/9)*cnst_fish!$C$7*(1/cnst_fish!$C$8)^(R294-1)</f>
        <v>28.138314698279075</v>
      </c>
      <c r="T294" s="682">
        <f t="shared" si="42"/>
        <v>1587.8934380610783</v>
      </c>
      <c r="W294" s="822"/>
      <c r="X294" s="822"/>
      <c r="Y294" s="819"/>
      <c r="Z294" s="820"/>
      <c r="AA294" s="820"/>
      <c r="AB294" s="821"/>
      <c r="AC294" s="821"/>
      <c r="AD294" s="253"/>
      <c r="AE294" s="253"/>
    </row>
    <row r="295" spans="1:31" ht="14.5">
      <c r="A295" t="s">
        <v>1048</v>
      </c>
      <c r="B295" t="s">
        <v>6309</v>
      </c>
      <c r="C295">
        <v>2566</v>
      </c>
      <c r="D295" s="581"/>
      <c r="E295" s="581"/>
      <c r="F295" s="2">
        <f>(1/S295)*cnst_fish!$C$6</f>
        <v>0.65931179849025123</v>
      </c>
      <c r="G295" s="2">
        <f t="shared" si="44"/>
        <v>1</v>
      </c>
      <c r="H295" s="2">
        <f t="shared" si="44"/>
        <v>0.36449057933102513</v>
      </c>
      <c r="I295" s="2">
        <f t="shared" si="37"/>
        <v>0</v>
      </c>
      <c r="J295" s="389">
        <f t="shared" si="38"/>
        <v>0</v>
      </c>
      <c r="L295" s="721">
        <v>139210</v>
      </c>
      <c r="M295" s="581"/>
      <c r="N295" s="585" t="s">
        <v>1738</v>
      </c>
      <c r="O295" s="586" t="s">
        <v>4681</v>
      </c>
      <c r="P295" s="233">
        <f t="shared" si="39"/>
        <v>0</v>
      </c>
      <c r="Q295" s="233">
        <f t="shared" si="40"/>
        <v>139210</v>
      </c>
      <c r="R295" s="2">
        <f t="shared" si="41"/>
        <v>2.66</v>
      </c>
      <c r="S295" s="2">
        <f>(1/9)*cnst_fish!$C$7*(1/cnst_fish!$C$8)^(R295-1)</f>
        <v>6.4461154945687529</v>
      </c>
      <c r="T295" s="682">
        <f t="shared" si="42"/>
        <v>76960.147937383343</v>
      </c>
      <c r="W295" s="818"/>
      <c r="X295" s="818"/>
      <c r="Y295" s="819"/>
      <c r="Z295" s="820"/>
      <c r="AA295" s="820"/>
      <c r="AB295" s="821"/>
      <c r="AC295" s="821"/>
      <c r="AD295" s="253"/>
      <c r="AE295" s="253"/>
    </row>
    <row r="296" spans="1:31" ht="14.5">
      <c r="A296" t="s">
        <v>8850</v>
      </c>
      <c r="B296" t="s">
        <v>8851</v>
      </c>
      <c r="C296">
        <v>11075</v>
      </c>
      <c r="D296" s="581"/>
      <c r="E296" s="581"/>
      <c r="F296" s="2">
        <f>(1/S296)*cnst_fish!$C$6</f>
        <v>9.5299549485983348E-2</v>
      </c>
      <c r="G296" s="2">
        <f t="shared" si="44"/>
        <v>1</v>
      </c>
      <c r="H296" s="2">
        <f t="shared" si="44"/>
        <v>0.36449057933102513</v>
      </c>
      <c r="I296" s="2">
        <f t="shared" si="37"/>
        <v>0</v>
      </c>
      <c r="J296" s="389">
        <f t="shared" si="38"/>
        <v>0</v>
      </c>
      <c r="L296" s="721">
        <v>0</v>
      </c>
      <c r="M296" s="581"/>
      <c r="N296" s="585" t="s">
        <v>4282</v>
      </c>
      <c r="O296" s="586" t="s">
        <v>4681</v>
      </c>
      <c r="P296" s="233">
        <f t="shared" si="39"/>
        <v>0</v>
      </c>
      <c r="Q296" s="233">
        <f t="shared" si="40"/>
        <v>0</v>
      </c>
      <c r="R296" s="2">
        <f t="shared" si="41"/>
        <v>3.5</v>
      </c>
      <c r="S296" s="2">
        <f>(1/9)*cnst_fish!$C$7*(1/cnst_fish!$C$8)^(R296-1)</f>
        <v>44.596223412631026</v>
      </c>
      <c r="T296" s="682">
        <f t="shared" si="42"/>
        <v>0</v>
      </c>
      <c r="W296" s="818"/>
      <c r="X296" s="818"/>
      <c r="Y296" s="819"/>
      <c r="Z296" s="820"/>
      <c r="AA296" s="820"/>
      <c r="AB296" s="821"/>
      <c r="AC296" s="821"/>
      <c r="AD296" s="253"/>
      <c r="AE296" s="253"/>
    </row>
    <row r="297" spans="1:31" ht="14.5">
      <c r="A297" t="s">
        <v>8559</v>
      </c>
      <c r="B297" t="s">
        <v>6312</v>
      </c>
      <c r="C297">
        <v>11078</v>
      </c>
      <c r="D297" s="581"/>
      <c r="E297" s="581"/>
      <c r="F297" s="2">
        <f>(1/S297)*cnst_fish!$C$6</f>
        <v>3.0136363636363641</v>
      </c>
      <c r="G297" s="2">
        <f t="shared" si="44"/>
        <v>1</v>
      </c>
      <c r="H297" s="2">
        <f t="shared" si="44"/>
        <v>0.36449057933102513</v>
      </c>
      <c r="I297" s="2">
        <f t="shared" si="37"/>
        <v>0</v>
      </c>
      <c r="J297" s="389">
        <f t="shared" si="38"/>
        <v>0</v>
      </c>
      <c r="L297" s="721"/>
      <c r="M297" s="581">
        <v>625</v>
      </c>
      <c r="N297" s="585" t="s">
        <v>1738</v>
      </c>
      <c r="O297" s="586" t="s">
        <v>4685</v>
      </c>
      <c r="P297" s="233">
        <f t="shared" si="39"/>
        <v>0</v>
      </c>
      <c r="Q297" s="233">
        <f t="shared" si="40"/>
        <v>625</v>
      </c>
      <c r="R297" s="2">
        <f t="shared" si="41"/>
        <v>2</v>
      </c>
      <c r="S297" s="2">
        <f>(1/9)*cnst_fish!$C$7*(1/cnst_fish!$C$8)^(R297-1)</f>
        <v>1.4102564102564099</v>
      </c>
      <c r="T297" s="682">
        <f t="shared" si="42"/>
        <v>75.591937644066277</v>
      </c>
      <c r="W297" s="818"/>
      <c r="X297" s="818"/>
      <c r="Y297" s="819"/>
      <c r="Z297" s="820"/>
      <c r="AA297" s="820"/>
      <c r="AB297" s="821"/>
      <c r="AC297" s="821"/>
      <c r="AD297" s="253"/>
      <c r="AE297" s="253"/>
    </row>
    <row r="298" spans="1:31" ht="14.5">
      <c r="A298" t="s">
        <v>2482</v>
      </c>
      <c r="B298" t="s">
        <v>2483</v>
      </c>
      <c r="C298">
        <v>11083</v>
      </c>
      <c r="D298" s="581"/>
      <c r="E298" s="581"/>
      <c r="F298" s="2">
        <f>(1/S298)*cnst_fish!$C$6</f>
        <v>3.6231878188697476E-2</v>
      </c>
      <c r="G298" s="2">
        <f t="shared" si="44"/>
        <v>1</v>
      </c>
      <c r="H298" s="2">
        <f t="shared" si="44"/>
        <v>0.36449057933102513</v>
      </c>
      <c r="I298" s="2">
        <f t="shared" si="37"/>
        <v>0</v>
      </c>
      <c r="J298" s="389">
        <f t="shared" si="38"/>
        <v>0</v>
      </c>
      <c r="L298" s="721">
        <v>19</v>
      </c>
      <c r="M298" s="581"/>
      <c r="N298" s="585" t="s">
        <v>1738</v>
      </c>
      <c r="O298" s="586" t="s">
        <v>4681</v>
      </c>
      <c r="P298" s="233">
        <f t="shared" si="39"/>
        <v>0</v>
      </c>
      <c r="Q298" s="233">
        <f t="shared" si="40"/>
        <v>19</v>
      </c>
      <c r="R298" s="2">
        <f t="shared" si="41"/>
        <v>3.92</v>
      </c>
      <c r="S298" s="2">
        <f>(1/9)*cnst_fish!$C$7*(1/cnst_fish!$C$8)^(R298-1)</f>
        <v>117.30001900165877</v>
      </c>
      <c r="T298" s="682">
        <f t="shared" si="42"/>
        <v>191.13889076415114</v>
      </c>
      <c r="W298" s="818"/>
      <c r="X298" s="818"/>
      <c r="Y298" s="819"/>
      <c r="Z298" s="820"/>
      <c r="AA298" s="820"/>
      <c r="AB298" s="821"/>
      <c r="AC298" s="821"/>
      <c r="AD298" s="253"/>
      <c r="AE298" s="253"/>
    </row>
    <row r="299" spans="1:31" ht="14.5">
      <c r="A299" t="s">
        <v>867</v>
      </c>
      <c r="B299" t="s">
        <v>252</v>
      </c>
      <c r="C299">
        <v>2251</v>
      </c>
      <c r="D299" s="581"/>
      <c r="E299" s="581"/>
      <c r="F299" s="2">
        <f>(1/S299)*cnst_fish!$C$6</f>
        <v>9.5299549485983348E-2</v>
      </c>
      <c r="G299" s="2">
        <f t="shared" si="44"/>
        <v>1</v>
      </c>
      <c r="H299" s="2">
        <f t="shared" si="44"/>
        <v>0.36449057933102513</v>
      </c>
      <c r="I299" s="2">
        <f t="shared" si="37"/>
        <v>0</v>
      </c>
      <c r="J299" s="389">
        <f t="shared" si="38"/>
        <v>0</v>
      </c>
      <c r="L299" s="721">
        <v>2</v>
      </c>
      <c r="M299" s="581"/>
      <c r="N299" s="585" t="s">
        <v>1738</v>
      </c>
      <c r="O299" s="586" t="s">
        <v>4681</v>
      </c>
      <c r="P299" s="233">
        <f t="shared" si="39"/>
        <v>0</v>
      </c>
      <c r="Q299" s="233">
        <f t="shared" si="40"/>
        <v>2</v>
      </c>
      <c r="R299" s="2">
        <f t="shared" si="41"/>
        <v>3.5</v>
      </c>
      <c r="S299" s="2">
        <f>(1/9)*cnst_fish!$C$7*(1/cnst_fish!$C$8)^(R299-1)</f>
        <v>44.596223412631026</v>
      </c>
      <c r="T299" s="682">
        <f t="shared" si="42"/>
        <v>7.6493662624215109</v>
      </c>
      <c r="W299" s="818"/>
      <c r="X299" s="818"/>
      <c r="Y299" s="819"/>
      <c r="Z299" s="820"/>
      <c r="AA299" s="820"/>
      <c r="AB299" s="821"/>
      <c r="AC299" s="821"/>
      <c r="AD299" s="253"/>
      <c r="AE299" s="253"/>
    </row>
    <row r="300" spans="1:31" ht="14.5">
      <c r="A300" t="s">
        <v>4836</v>
      </c>
      <c r="B300" t="s">
        <v>2044</v>
      </c>
      <c r="C300">
        <v>11084</v>
      </c>
      <c r="D300" s="581"/>
      <c r="E300" s="581"/>
      <c r="F300" s="2">
        <f>(1/S300)*cnst_fish!$C$6</f>
        <v>7.7462381998898044E-2</v>
      </c>
      <c r="G300" s="2">
        <f t="shared" si="44"/>
        <v>1</v>
      </c>
      <c r="H300" s="2">
        <f t="shared" si="44"/>
        <v>0.36449057933102513</v>
      </c>
      <c r="I300" s="2">
        <f t="shared" si="37"/>
        <v>0</v>
      </c>
      <c r="J300" s="389">
        <f t="shared" si="38"/>
        <v>0</v>
      </c>
      <c r="L300" s="721">
        <v>0</v>
      </c>
      <c r="M300" s="581"/>
      <c r="N300" s="585" t="s">
        <v>1738</v>
      </c>
      <c r="O300" s="586" t="s">
        <v>4681</v>
      </c>
      <c r="P300" s="233">
        <f t="shared" si="39"/>
        <v>0</v>
      </c>
      <c r="Q300" s="233">
        <f t="shared" si="40"/>
        <v>0</v>
      </c>
      <c r="R300" s="2">
        <f t="shared" si="41"/>
        <v>3.59</v>
      </c>
      <c r="S300" s="2">
        <f>(1/9)*cnst_fish!$C$7*(1/cnst_fish!$C$8)^(R300-1)</f>
        <v>54.865340960731871</v>
      </c>
      <c r="T300" s="682">
        <f t="shared" si="42"/>
        <v>0</v>
      </c>
      <c r="W300" s="818"/>
      <c r="X300" s="818"/>
      <c r="Y300" s="819"/>
      <c r="Z300" s="820"/>
      <c r="AA300" s="820"/>
      <c r="AB300" s="821"/>
      <c r="AC300" s="821"/>
      <c r="AD300" s="253"/>
      <c r="AE300" s="253"/>
    </row>
    <row r="301" spans="1:31" ht="14.5">
      <c r="A301" t="s">
        <v>3569</v>
      </c>
      <c r="B301" t="s">
        <v>1177</v>
      </c>
      <c r="C301">
        <v>3045</v>
      </c>
      <c r="D301" s="581"/>
      <c r="E301" s="581"/>
      <c r="F301" s="2">
        <f>(1/S301)*cnst_fish!$C$6</f>
        <v>0.21831865524078092</v>
      </c>
      <c r="G301" s="2">
        <f t="shared" si="44"/>
        <v>1</v>
      </c>
      <c r="H301" s="2">
        <f t="shared" si="44"/>
        <v>0.36449057933102513</v>
      </c>
      <c r="I301" s="2">
        <f t="shared" si="37"/>
        <v>0</v>
      </c>
      <c r="J301" s="389">
        <f t="shared" si="38"/>
        <v>0</v>
      </c>
      <c r="L301" s="721">
        <v>9790</v>
      </c>
      <c r="M301" s="581"/>
      <c r="N301" s="585" t="s">
        <v>1738</v>
      </c>
      <c r="O301" s="586" t="s">
        <v>4681</v>
      </c>
      <c r="P301" s="233">
        <f t="shared" si="39"/>
        <v>0</v>
      </c>
      <c r="Q301" s="233">
        <f t="shared" si="40"/>
        <v>9790</v>
      </c>
      <c r="R301" s="2">
        <f t="shared" si="41"/>
        <v>3.14</v>
      </c>
      <c r="S301" s="2">
        <f>(1/9)*cnst_fish!$C$7*(1/cnst_fish!$C$8)^(R301-1)</f>
        <v>19.466957577733005</v>
      </c>
      <c r="T301" s="682">
        <f t="shared" si="42"/>
        <v>16344.745105338036</v>
      </c>
      <c r="W301" s="818"/>
      <c r="X301" s="818"/>
      <c r="Y301" s="819"/>
      <c r="Z301" s="820"/>
      <c r="AA301" s="820"/>
      <c r="AB301" s="821"/>
      <c r="AC301" s="821"/>
      <c r="AD301" s="253"/>
      <c r="AE301" s="253"/>
    </row>
    <row r="302" spans="1:31" ht="14.5">
      <c r="A302" t="s">
        <v>8270</v>
      </c>
      <c r="B302" t="s">
        <v>8271</v>
      </c>
      <c r="C302">
        <v>11086</v>
      </c>
      <c r="D302" s="581"/>
      <c r="E302" s="581"/>
      <c r="F302" s="2">
        <f>(1/S302)*cnst_fish!$C$6</f>
        <v>0.11997502458044032</v>
      </c>
      <c r="G302" s="2">
        <f t="shared" si="44"/>
        <v>1</v>
      </c>
      <c r="H302" s="2">
        <f t="shared" si="44"/>
        <v>0.36449057933102513</v>
      </c>
      <c r="I302" s="2">
        <f t="shared" si="37"/>
        <v>0</v>
      </c>
      <c r="J302" s="389">
        <f t="shared" si="38"/>
        <v>0</v>
      </c>
      <c r="L302" s="721"/>
      <c r="M302" s="581">
        <v>64</v>
      </c>
      <c r="N302" s="585" t="s">
        <v>1738</v>
      </c>
      <c r="O302" s="586" t="s">
        <v>4685</v>
      </c>
      <c r="P302" s="233">
        <f t="shared" si="39"/>
        <v>0</v>
      </c>
      <c r="Q302" s="233">
        <f t="shared" si="40"/>
        <v>64</v>
      </c>
      <c r="R302" s="2">
        <f t="shared" si="41"/>
        <v>3.4</v>
      </c>
      <c r="S302" s="2">
        <f>(1/9)*cnst_fish!$C$7*(1/cnst_fish!$C$8)^(R302-1)</f>
        <v>35.424039418724846</v>
      </c>
      <c r="T302" s="682">
        <f t="shared" si="42"/>
        <v>194.43544319963993</v>
      </c>
      <c r="W302" s="818"/>
      <c r="X302" s="818"/>
      <c r="Y302" s="819"/>
      <c r="Z302" s="820"/>
      <c r="AA302" s="820"/>
      <c r="AB302" s="821"/>
      <c r="AC302" s="821"/>
      <c r="AD302" s="253"/>
      <c r="AE302" s="253"/>
    </row>
    <row r="303" spans="1:31" ht="14.5">
      <c r="A303" t="s">
        <v>3199</v>
      </c>
      <c r="B303" t="s">
        <v>646</v>
      </c>
      <c r="C303">
        <v>3104</v>
      </c>
      <c r="D303" s="581"/>
      <c r="E303" s="581"/>
      <c r="F303" s="2">
        <f>(1/S303)*cnst_fish!$C$6</f>
        <v>3.7939434000887833E-2</v>
      </c>
      <c r="G303" s="2">
        <f t="shared" si="44"/>
        <v>1</v>
      </c>
      <c r="H303" s="2">
        <f t="shared" si="44"/>
        <v>0.36449057933102513</v>
      </c>
      <c r="I303" s="2">
        <f t="shared" si="37"/>
        <v>0</v>
      </c>
      <c r="J303" s="389">
        <f t="shared" si="38"/>
        <v>0</v>
      </c>
      <c r="L303" s="721">
        <v>244873.4</v>
      </c>
      <c r="M303" s="581">
        <v>100</v>
      </c>
      <c r="N303" s="585" t="s">
        <v>1738</v>
      </c>
      <c r="O303" s="586" t="s">
        <v>4699</v>
      </c>
      <c r="P303" s="233">
        <f t="shared" si="39"/>
        <v>0</v>
      </c>
      <c r="Q303" s="233">
        <f t="shared" si="40"/>
        <v>244973.4</v>
      </c>
      <c r="R303" s="2">
        <f t="shared" si="41"/>
        <v>3.9</v>
      </c>
      <c r="S303" s="2">
        <f>(1/9)*cnst_fish!$C$7*(1/cnst_fish!$C$8)^(R303-1)</f>
        <v>112.02064848675771</v>
      </c>
      <c r="T303" s="682">
        <f t="shared" si="42"/>
        <v>2353501.0165043958</v>
      </c>
      <c r="W303" s="818"/>
      <c r="X303" s="818"/>
      <c r="Y303" s="819"/>
      <c r="Z303" s="820"/>
      <c r="AA303" s="820"/>
      <c r="AB303" s="821"/>
      <c r="AC303" s="821"/>
      <c r="AD303" s="253"/>
      <c r="AE303" s="253"/>
    </row>
    <row r="304" spans="1:31" ht="14.5">
      <c r="A304" t="s">
        <v>2538</v>
      </c>
      <c r="B304" t="s">
        <v>647</v>
      </c>
      <c r="C304">
        <v>11091</v>
      </c>
      <c r="D304" s="581"/>
      <c r="E304" s="581"/>
      <c r="F304" s="2">
        <f>(1/S304)*cnst_fish!$C$6</f>
        <v>9.5299549485983424E-3</v>
      </c>
      <c r="G304" s="2">
        <f t="shared" si="44"/>
        <v>1</v>
      </c>
      <c r="H304" s="2">
        <f t="shared" si="44"/>
        <v>0.36449057933102513</v>
      </c>
      <c r="I304" s="2">
        <f t="shared" si="37"/>
        <v>0</v>
      </c>
      <c r="J304" s="389">
        <f t="shared" si="38"/>
        <v>0</v>
      </c>
      <c r="L304" s="721">
        <v>3747</v>
      </c>
      <c r="M304" s="581"/>
      <c r="N304" s="585" t="s">
        <v>1738</v>
      </c>
      <c r="O304" s="586" t="s">
        <v>4699</v>
      </c>
      <c r="P304" s="233">
        <f t="shared" si="39"/>
        <v>0</v>
      </c>
      <c r="Q304" s="233">
        <f t="shared" si="40"/>
        <v>3747</v>
      </c>
      <c r="R304" s="2">
        <f t="shared" si="41"/>
        <v>4.5</v>
      </c>
      <c r="S304" s="2">
        <f>(1/9)*cnst_fish!$C$7*(1/cnst_fish!$C$8)^(R304-1)</f>
        <v>445.96223412630997</v>
      </c>
      <c r="T304" s="682">
        <f t="shared" si="42"/>
        <v>143310.87692646688</v>
      </c>
      <c r="W304" s="822"/>
      <c r="X304" s="822"/>
      <c r="Y304" s="819"/>
      <c r="Z304" s="820"/>
      <c r="AA304" s="820"/>
      <c r="AB304" s="821"/>
      <c r="AC304" s="821"/>
      <c r="AD304" s="253"/>
      <c r="AE304" s="253"/>
    </row>
    <row r="305" spans="1:31" ht="14.5">
      <c r="A305" t="s">
        <v>4529</v>
      </c>
      <c r="B305" t="s">
        <v>648</v>
      </c>
      <c r="C305">
        <v>11097</v>
      </c>
      <c r="D305" s="581"/>
      <c r="E305" s="581"/>
      <c r="F305" s="2">
        <f>(1/S305)*cnst_fish!$C$6</f>
        <v>1.2276960190187586E-2</v>
      </c>
      <c r="G305" s="2">
        <f t="shared" si="44"/>
        <v>1</v>
      </c>
      <c r="H305" s="2">
        <f t="shared" si="44"/>
        <v>0.36449057933102513</v>
      </c>
      <c r="I305" s="2">
        <f t="shared" si="37"/>
        <v>0</v>
      </c>
      <c r="J305" s="389">
        <f t="shared" si="38"/>
        <v>0</v>
      </c>
      <c r="L305" s="721">
        <v>196</v>
      </c>
      <c r="M305" s="581"/>
      <c r="N305" s="585" t="s">
        <v>1738</v>
      </c>
      <c r="O305" s="586" t="s">
        <v>4699</v>
      </c>
      <c r="P305" s="233">
        <f t="shared" si="39"/>
        <v>0</v>
      </c>
      <c r="Q305" s="233">
        <f t="shared" si="40"/>
        <v>196</v>
      </c>
      <c r="R305" s="2">
        <f t="shared" si="41"/>
        <v>4.3899999999999997</v>
      </c>
      <c r="S305" s="2">
        <f>(1/9)*cnst_fish!$C$7*(1/cnst_fish!$C$8)^(R305-1)</f>
        <v>346.17689836583742</v>
      </c>
      <c r="T305" s="682">
        <f t="shared" si="42"/>
        <v>5819.0425351366521</v>
      </c>
      <c r="W305" s="818"/>
      <c r="X305" s="818"/>
      <c r="Y305" s="819"/>
      <c r="Z305" s="820"/>
      <c r="AA305" s="820"/>
      <c r="AB305" s="821"/>
      <c r="AC305" s="821"/>
      <c r="AD305" s="253"/>
      <c r="AE305" s="253"/>
    </row>
    <row r="306" spans="1:31" ht="14.5">
      <c r="A306" t="s">
        <v>5436</v>
      </c>
      <c r="B306" t="s">
        <v>856</v>
      </c>
      <c r="C306">
        <v>11101</v>
      </c>
      <c r="D306" s="581"/>
      <c r="E306" s="581"/>
      <c r="F306" s="2">
        <f>(1/S306)*cnst_fish!$C$6</f>
        <v>1.315499985341953E-2</v>
      </c>
      <c r="G306" s="2">
        <f t="shared" si="44"/>
        <v>1</v>
      </c>
      <c r="H306" s="2">
        <f t="shared" si="44"/>
        <v>0.36449057933102513</v>
      </c>
      <c r="I306" s="2">
        <f t="shared" si="37"/>
        <v>0</v>
      </c>
      <c r="J306" s="389">
        <f t="shared" si="38"/>
        <v>0</v>
      </c>
      <c r="L306" s="721">
        <v>219</v>
      </c>
      <c r="M306" s="581"/>
      <c r="N306" s="585" t="s">
        <v>1738</v>
      </c>
      <c r="O306" s="586" t="s">
        <v>4699</v>
      </c>
      <c r="P306" s="233">
        <f t="shared" si="39"/>
        <v>0</v>
      </c>
      <c r="Q306" s="233">
        <f t="shared" si="40"/>
        <v>219</v>
      </c>
      <c r="R306" s="2">
        <f t="shared" si="41"/>
        <v>4.3600000000000003</v>
      </c>
      <c r="S306" s="2">
        <f>(1/9)*cnst_fish!$C$7*(1/cnst_fish!$C$8)^(R306-1)</f>
        <v>323.07107923648124</v>
      </c>
      <c r="T306" s="682">
        <f t="shared" si="42"/>
        <v>6067.9162115494119</v>
      </c>
      <c r="W306" s="822"/>
      <c r="X306" s="822"/>
      <c r="Y306" s="819"/>
      <c r="Z306" s="820"/>
      <c r="AA306" s="820"/>
      <c r="AB306" s="821"/>
      <c r="AC306" s="821"/>
      <c r="AD306" s="253"/>
      <c r="AE306" s="253"/>
    </row>
    <row r="307" spans="1:31" ht="14.5">
      <c r="A307" t="s">
        <v>8272</v>
      </c>
      <c r="B307" t="s">
        <v>8273</v>
      </c>
      <c r="C307">
        <v>18789</v>
      </c>
      <c r="D307" s="581"/>
      <c r="E307" s="581"/>
      <c r="F307" s="2">
        <f>(1/S307)*cnst_fish!$C$6</f>
        <v>9.5299549485983424E-3</v>
      </c>
      <c r="G307" s="2">
        <f t="shared" si="44"/>
        <v>1</v>
      </c>
      <c r="H307" s="2">
        <f t="shared" si="44"/>
        <v>0.36449057933102513</v>
      </c>
      <c r="I307" s="2">
        <f t="shared" si="37"/>
        <v>0</v>
      </c>
      <c r="J307" s="389">
        <f t="shared" si="38"/>
        <v>0</v>
      </c>
      <c r="L307" s="721">
        <v>1893</v>
      </c>
      <c r="M307" s="581"/>
      <c r="N307" s="585" t="s">
        <v>1738</v>
      </c>
      <c r="O307" s="586" t="s">
        <v>4699</v>
      </c>
      <c r="P307" s="233">
        <f t="shared" si="39"/>
        <v>0</v>
      </c>
      <c r="Q307" s="233">
        <f t="shared" si="40"/>
        <v>1893</v>
      </c>
      <c r="R307" s="2">
        <f t="shared" si="41"/>
        <v>4.5</v>
      </c>
      <c r="S307" s="2">
        <f>(1/9)*cnst_fish!$C$7*(1/cnst_fish!$C$8)^(R307-1)</f>
        <v>445.96223412630997</v>
      </c>
      <c r="T307" s="682">
        <f t="shared" si="42"/>
        <v>72401.251673819541</v>
      </c>
      <c r="W307" s="818"/>
      <c r="X307" s="818"/>
      <c r="Y307" s="819"/>
      <c r="Z307" s="820"/>
      <c r="AA307" s="820"/>
      <c r="AB307" s="821"/>
      <c r="AC307" s="821"/>
      <c r="AD307" s="253"/>
      <c r="AE307" s="253"/>
    </row>
    <row r="308" spans="1:31" ht="14.5">
      <c r="A308" t="s">
        <v>8274</v>
      </c>
      <c r="B308" t="s">
        <v>8275</v>
      </c>
      <c r="C308">
        <v>11109</v>
      </c>
      <c r="D308" s="581"/>
      <c r="E308" s="581"/>
      <c r="F308" s="2">
        <f>(1/S308)*cnst_fish!$C$6</f>
        <v>2.3938164528281767E-2</v>
      </c>
      <c r="G308" s="2">
        <f t="shared" ref="G308:H327" si="45">G$7</f>
        <v>1</v>
      </c>
      <c r="H308" s="2">
        <f t="shared" si="45"/>
        <v>0.36449057933102513</v>
      </c>
      <c r="I308" s="2">
        <f t="shared" si="37"/>
        <v>0</v>
      </c>
      <c r="J308" s="389">
        <f t="shared" si="38"/>
        <v>0</v>
      </c>
      <c r="L308" s="721">
        <v>125</v>
      </c>
      <c r="M308" s="581"/>
      <c r="N308" s="585" t="s">
        <v>1738</v>
      </c>
      <c r="O308" s="586" t="s">
        <v>4699</v>
      </c>
      <c r="P308" s="233">
        <f t="shared" si="39"/>
        <v>0</v>
      </c>
      <c r="Q308" s="233">
        <f t="shared" si="40"/>
        <v>125</v>
      </c>
      <c r="R308" s="2">
        <f t="shared" si="41"/>
        <v>4.0999999999999996</v>
      </c>
      <c r="S308" s="2">
        <f>(1/9)*cnst_fish!$C$7*(1/cnst_fish!$C$8)^(R308-1)</f>
        <v>177.54076320174144</v>
      </c>
      <c r="T308" s="682">
        <f t="shared" si="42"/>
        <v>1903.2922245375028</v>
      </c>
      <c r="W308" s="818"/>
      <c r="X308" s="818"/>
      <c r="Y308" s="819"/>
      <c r="Z308" s="820"/>
      <c r="AA308" s="820"/>
      <c r="AB308" s="821"/>
      <c r="AC308" s="821"/>
      <c r="AD308" s="253"/>
      <c r="AE308" s="253"/>
    </row>
    <row r="309" spans="1:31" ht="14.5">
      <c r="A309" t="s">
        <v>3809</v>
      </c>
      <c r="B309" t="s">
        <v>857</v>
      </c>
      <c r="C309">
        <v>3111</v>
      </c>
      <c r="D309" s="581"/>
      <c r="E309" s="581"/>
      <c r="F309" s="2">
        <f>(1/S309)*cnst_fish!$C$6</f>
        <v>1.1997502458044018E-2</v>
      </c>
      <c r="G309" s="2">
        <f t="shared" si="45"/>
        <v>1</v>
      </c>
      <c r="H309" s="2">
        <f t="shared" si="45"/>
        <v>0.36449057933102513</v>
      </c>
      <c r="I309" s="2">
        <f t="shared" si="37"/>
        <v>0</v>
      </c>
      <c r="J309" s="389">
        <f t="shared" si="38"/>
        <v>0</v>
      </c>
      <c r="L309" s="721">
        <v>13425</v>
      </c>
      <c r="M309" s="581"/>
      <c r="N309" s="585" t="s">
        <v>1738</v>
      </c>
      <c r="O309" s="586" t="s">
        <v>4699</v>
      </c>
      <c r="P309" s="233">
        <f t="shared" si="39"/>
        <v>0</v>
      </c>
      <c r="Q309" s="233">
        <f t="shared" si="40"/>
        <v>13425</v>
      </c>
      <c r="R309" s="2">
        <f t="shared" si="41"/>
        <v>4.4000000000000004</v>
      </c>
      <c r="S309" s="2">
        <f>(1/9)*cnst_fish!$C$7*(1/cnst_fish!$C$8)^(R309-1)</f>
        <v>354.24039418724885</v>
      </c>
      <c r="T309" s="682">
        <f t="shared" si="42"/>
        <v>407858.72264924523</v>
      </c>
      <c r="W309" s="818"/>
      <c r="X309" s="818"/>
      <c r="Y309" s="819"/>
      <c r="Z309" s="820"/>
      <c r="AA309" s="820"/>
      <c r="AB309" s="821"/>
      <c r="AC309" s="821"/>
      <c r="AD309" s="253"/>
      <c r="AE309" s="253"/>
    </row>
    <row r="310" spans="1:31" ht="14.5">
      <c r="A310" t="s">
        <v>616</v>
      </c>
      <c r="B310" t="s">
        <v>858</v>
      </c>
      <c r="C310">
        <v>3112</v>
      </c>
      <c r="D310" s="581"/>
      <c r="E310" s="581"/>
      <c r="F310" s="2">
        <f>(1/S310)*cnst_fish!$C$6</f>
        <v>9.5299549485983348E-2</v>
      </c>
      <c r="G310" s="2">
        <f t="shared" si="45"/>
        <v>1</v>
      </c>
      <c r="H310" s="2">
        <f t="shared" si="45"/>
        <v>0.36449057933102513</v>
      </c>
      <c r="I310" s="2">
        <f t="shared" si="37"/>
        <v>0</v>
      </c>
      <c r="J310" s="389">
        <f t="shared" si="38"/>
        <v>0</v>
      </c>
      <c r="L310" s="721">
        <v>8343</v>
      </c>
      <c r="M310" s="581"/>
      <c r="N310" s="585" t="s">
        <v>1738</v>
      </c>
      <c r="O310" s="586" t="s">
        <v>4699</v>
      </c>
      <c r="P310" s="233">
        <f t="shared" si="39"/>
        <v>0</v>
      </c>
      <c r="Q310" s="233">
        <f t="shared" si="40"/>
        <v>8343</v>
      </c>
      <c r="R310" s="2">
        <f t="shared" si="41"/>
        <v>3.5</v>
      </c>
      <c r="S310" s="2">
        <f>(1/9)*cnst_fish!$C$7*(1/cnst_fish!$C$8)^(R310-1)</f>
        <v>44.596223412631026</v>
      </c>
      <c r="T310" s="682">
        <f t="shared" si="42"/>
        <v>31909.33136369133</v>
      </c>
      <c r="W310" s="818"/>
      <c r="X310" s="818"/>
      <c r="Y310" s="819"/>
      <c r="Z310" s="820"/>
      <c r="AA310" s="820"/>
      <c r="AB310" s="821"/>
      <c r="AC310" s="821"/>
      <c r="AD310" s="253"/>
      <c r="AE310" s="253"/>
    </row>
    <row r="311" spans="1:31" ht="14.5">
      <c r="A311" t="s">
        <v>890</v>
      </c>
      <c r="B311" t="s">
        <v>859</v>
      </c>
      <c r="C311">
        <v>11112</v>
      </c>
      <c r="D311" s="581"/>
      <c r="E311" s="581"/>
      <c r="F311" s="2">
        <f>(1/S311)*cnst_fish!$C$6</f>
        <v>1.8158954798513597E-2</v>
      </c>
      <c r="G311" s="2">
        <f t="shared" si="45"/>
        <v>1</v>
      </c>
      <c r="H311" s="2">
        <f t="shared" si="45"/>
        <v>0.36449057933102513</v>
      </c>
      <c r="I311" s="2">
        <f t="shared" si="37"/>
        <v>0</v>
      </c>
      <c r="J311" s="389">
        <f t="shared" si="38"/>
        <v>0</v>
      </c>
      <c r="L311" s="721">
        <v>19964</v>
      </c>
      <c r="M311" s="581"/>
      <c r="N311" s="585" t="s">
        <v>1738</v>
      </c>
      <c r="O311" s="586" t="s">
        <v>4699</v>
      </c>
      <c r="P311" s="233">
        <f t="shared" si="39"/>
        <v>0</v>
      </c>
      <c r="Q311" s="233">
        <f t="shared" si="40"/>
        <v>19964</v>
      </c>
      <c r="R311" s="2">
        <f t="shared" si="41"/>
        <v>4.22</v>
      </c>
      <c r="S311" s="2">
        <f>(1/9)*cnst_fish!$C$7*(1/cnst_fish!$C$8)^(R311-1)</f>
        <v>234.0443074591432</v>
      </c>
      <c r="T311" s="682">
        <f t="shared" si="42"/>
        <v>400721.84806364623</v>
      </c>
      <c r="W311" s="818"/>
      <c r="X311" s="818"/>
      <c r="Y311" s="819"/>
      <c r="Z311" s="820"/>
      <c r="AA311" s="820"/>
      <c r="AB311" s="821"/>
      <c r="AC311" s="821"/>
      <c r="AD311" s="253"/>
      <c r="AE311" s="253"/>
    </row>
    <row r="312" spans="1:31" ht="14.5">
      <c r="A312" t="s">
        <v>3758</v>
      </c>
      <c r="B312" t="s">
        <v>860</v>
      </c>
      <c r="C312">
        <v>11115</v>
      </c>
      <c r="D312" s="581"/>
      <c r="E312" s="581"/>
      <c r="F312" s="2">
        <f>(1/S312)*cnst_fish!$C$6</f>
        <v>9.7519361156519751E-3</v>
      </c>
      <c r="G312" s="2">
        <f t="shared" si="45"/>
        <v>1</v>
      </c>
      <c r="H312" s="2">
        <f t="shared" si="45"/>
        <v>0.36449057933102513</v>
      </c>
      <c r="I312" s="2">
        <f t="shared" si="37"/>
        <v>0</v>
      </c>
      <c r="J312" s="389">
        <f t="shared" si="38"/>
        <v>0</v>
      </c>
      <c r="L312" s="721">
        <v>32</v>
      </c>
      <c r="M312" s="581"/>
      <c r="N312" s="585" t="s">
        <v>1738</v>
      </c>
      <c r="O312" s="586" t="s">
        <v>4699</v>
      </c>
      <c r="P312" s="233">
        <f t="shared" si="39"/>
        <v>0</v>
      </c>
      <c r="Q312" s="233">
        <f t="shared" si="40"/>
        <v>32</v>
      </c>
      <c r="R312" s="2">
        <f t="shared" si="41"/>
        <v>4.49</v>
      </c>
      <c r="S312" s="2">
        <f>(1/9)*cnst_fish!$C$7*(1/cnst_fish!$C$8)^(R312-1)</f>
        <v>435.81089432883982</v>
      </c>
      <c r="T312" s="682">
        <f t="shared" si="42"/>
        <v>1196.0392685379088</v>
      </c>
      <c r="W312" s="818"/>
      <c r="X312" s="818"/>
      <c r="Y312" s="819"/>
      <c r="Z312" s="820"/>
      <c r="AA312" s="820"/>
      <c r="AB312" s="821"/>
      <c r="AC312" s="821"/>
      <c r="AD312" s="253"/>
      <c r="AE312" s="253"/>
    </row>
    <row r="313" spans="1:31" ht="14.5">
      <c r="A313" t="s">
        <v>2115</v>
      </c>
      <c r="B313" t="s">
        <v>861</v>
      </c>
      <c r="C313">
        <v>2317</v>
      </c>
      <c r="D313" s="581"/>
      <c r="E313" s="581"/>
      <c r="F313" s="2">
        <f>(1/S313)*cnst_fish!$C$6</f>
        <v>7.5699122913220479E-2</v>
      </c>
      <c r="G313" s="2">
        <f t="shared" si="45"/>
        <v>1</v>
      </c>
      <c r="H313" s="2">
        <f t="shared" si="45"/>
        <v>0.36449057933102513</v>
      </c>
      <c r="I313" s="2">
        <f t="shared" si="37"/>
        <v>0</v>
      </c>
      <c r="J313" s="389">
        <f t="shared" si="38"/>
        <v>0</v>
      </c>
      <c r="L313" s="721">
        <v>13704</v>
      </c>
      <c r="M313" s="581"/>
      <c r="N313" s="585" t="s">
        <v>1738</v>
      </c>
      <c r="O313" s="586" t="s">
        <v>4699</v>
      </c>
      <c r="P313" s="233">
        <f t="shared" si="39"/>
        <v>0</v>
      </c>
      <c r="Q313" s="233">
        <f t="shared" si="40"/>
        <v>13704</v>
      </c>
      <c r="R313" s="2">
        <f t="shared" si="41"/>
        <v>3.6</v>
      </c>
      <c r="S313" s="2">
        <f>(1/9)*cnst_fish!$C$7*(1/cnst_fish!$C$8)^(R313-1)</f>
        <v>56.143318924211187</v>
      </c>
      <c r="T313" s="682">
        <f t="shared" si="42"/>
        <v>65984.633730545116</v>
      </c>
      <c r="W313" s="818"/>
      <c r="X313" s="818"/>
      <c r="Y313" s="819"/>
      <c r="Z313" s="820"/>
      <c r="AA313" s="820"/>
      <c r="AB313" s="821"/>
      <c r="AC313" s="821"/>
      <c r="AD313" s="253"/>
      <c r="AE313" s="253"/>
    </row>
    <row r="314" spans="1:31" ht="14.5">
      <c r="A314" t="s">
        <v>1609</v>
      </c>
      <c r="B314" t="s">
        <v>862</v>
      </c>
      <c r="C314">
        <v>3113</v>
      </c>
      <c r="D314" s="581"/>
      <c r="E314" s="581"/>
      <c r="F314" s="2">
        <f>(1/S314)*cnst_fish!$C$6</f>
        <v>1.2276960190187586E-2</v>
      </c>
      <c r="G314" s="2">
        <f t="shared" si="45"/>
        <v>1</v>
      </c>
      <c r="H314" s="2">
        <f t="shared" si="45"/>
        <v>0.36449057933102513</v>
      </c>
      <c r="I314" s="2">
        <f t="shared" si="37"/>
        <v>0</v>
      </c>
      <c r="J314" s="389">
        <f t="shared" si="38"/>
        <v>0</v>
      </c>
      <c r="L314" s="721">
        <v>1697</v>
      </c>
      <c r="M314" s="581"/>
      <c r="N314" s="585" t="s">
        <v>1738</v>
      </c>
      <c r="O314" s="586" t="s">
        <v>4699</v>
      </c>
      <c r="P314" s="233">
        <f t="shared" si="39"/>
        <v>0</v>
      </c>
      <c r="Q314" s="233">
        <f t="shared" si="40"/>
        <v>1697</v>
      </c>
      <c r="R314" s="2">
        <f t="shared" si="41"/>
        <v>4.3899999999999997</v>
      </c>
      <c r="S314" s="2">
        <f>(1/9)*cnst_fish!$C$7*(1/cnst_fish!$C$8)^(R314-1)</f>
        <v>346.17689836583742</v>
      </c>
      <c r="T314" s="682">
        <f t="shared" si="42"/>
        <v>50382.220316973981</v>
      </c>
      <c r="W314" s="818"/>
      <c r="X314" s="818"/>
      <c r="Y314" s="819"/>
      <c r="Z314" s="820"/>
      <c r="AA314" s="820"/>
      <c r="AB314" s="821"/>
      <c r="AC314" s="821"/>
      <c r="AD314" s="253"/>
      <c r="AE314" s="253"/>
    </row>
    <row r="315" spans="1:31" ht="14.5">
      <c r="A315" t="s">
        <v>8276</v>
      </c>
      <c r="B315" t="s">
        <v>8277</v>
      </c>
      <c r="C315">
        <v>11117</v>
      </c>
      <c r="D315" s="581"/>
      <c r="E315" s="581"/>
      <c r="F315" s="2">
        <f>(1/S315)*cnst_fish!$C$6</f>
        <v>3.7939434000887833E-2</v>
      </c>
      <c r="G315" s="2">
        <f t="shared" si="45"/>
        <v>1</v>
      </c>
      <c r="H315" s="2">
        <f t="shared" si="45"/>
        <v>0.36449057933102513</v>
      </c>
      <c r="I315" s="2">
        <f t="shared" si="37"/>
        <v>0</v>
      </c>
      <c r="J315" s="389">
        <f t="shared" si="38"/>
        <v>0</v>
      </c>
      <c r="L315" s="721">
        <v>282</v>
      </c>
      <c r="M315" s="581"/>
      <c r="N315" s="585" t="s">
        <v>1738</v>
      </c>
      <c r="O315" s="586" t="s">
        <v>4699</v>
      </c>
      <c r="P315" s="233">
        <f t="shared" si="39"/>
        <v>0</v>
      </c>
      <c r="Q315" s="233">
        <f t="shared" si="40"/>
        <v>282</v>
      </c>
      <c r="R315" s="2">
        <f t="shared" si="41"/>
        <v>3.9</v>
      </c>
      <c r="S315" s="2">
        <f>(1/9)*cnst_fish!$C$7*(1/cnst_fish!$C$8)^(R315-1)</f>
        <v>112.02064848675771</v>
      </c>
      <c r="T315" s="682">
        <f t="shared" si="42"/>
        <v>2709.2218447155469</v>
      </c>
      <c r="W315" s="818"/>
      <c r="X315" s="818"/>
      <c r="Y315" s="819"/>
      <c r="Z315" s="820"/>
      <c r="AA315" s="820"/>
      <c r="AB315" s="821"/>
      <c r="AC315" s="821"/>
      <c r="AD315" s="253"/>
      <c r="AE315" s="253"/>
    </row>
    <row r="316" spans="1:31" ht="14.5">
      <c r="A316" t="s">
        <v>2837</v>
      </c>
      <c r="B316" t="s">
        <v>863</v>
      </c>
      <c r="C316">
        <v>11118</v>
      </c>
      <c r="D316" s="581"/>
      <c r="E316" s="581"/>
      <c r="F316" s="2">
        <f>(1/S316)*cnst_fish!$C$6</f>
        <v>9.5299549485983424E-3</v>
      </c>
      <c r="G316" s="2">
        <f t="shared" si="45"/>
        <v>1</v>
      </c>
      <c r="H316" s="2">
        <f t="shared" si="45"/>
        <v>0.36449057933102513</v>
      </c>
      <c r="I316" s="2">
        <f t="shared" si="37"/>
        <v>0</v>
      </c>
      <c r="J316" s="389">
        <f t="shared" si="38"/>
        <v>0</v>
      </c>
      <c r="L316" s="721">
        <v>132</v>
      </c>
      <c r="M316" s="581"/>
      <c r="N316" s="585" t="s">
        <v>1738</v>
      </c>
      <c r="O316" s="586" t="s">
        <v>4699</v>
      </c>
      <c r="P316" s="233">
        <f t="shared" si="39"/>
        <v>0</v>
      </c>
      <c r="Q316" s="233">
        <f t="shared" si="40"/>
        <v>132</v>
      </c>
      <c r="R316" s="2">
        <f t="shared" si="41"/>
        <v>4.5</v>
      </c>
      <c r="S316" s="2">
        <f>(1/9)*cnst_fish!$C$7*(1/cnst_fish!$C$8)^(R316-1)</f>
        <v>445.96223412630997</v>
      </c>
      <c r="T316" s="682">
        <f t="shared" si="42"/>
        <v>5048.5817331981934</v>
      </c>
      <c r="W316" s="818"/>
      <c r="X316" s="818"/>
      <c r="Y316" s="819"/>
      <c r="Z316" s="820"/>
      <c r="AA316" s="820"/>
      <c r="AB316" s="821"/>
      <c r="AC316" s="821"/>
      <c r="AD316" s="253"/>
      <c r="AE316" s="253"/>
    </row>
    <row r="317" spans="1:31" ht="14.5">
      <c r="A317" t="s">
        <v>3703</v>
      </c>
      <c r="B317" t="s">
        <v>2752</v>
      </c>
      <c r="C317">
        <v>3110</v>
      </c>
      <c r="D317" s="581"/>
      <c r="E317" s="581"/>
      <c r="F317" s="2">
        <f>(1/S317)*cnst_fish!$C$6</f>
        <v>2.6859062362848789E-2</v>
      </c>
      <c r="G317" s="2">
        <f t="shared" si="45"/>
        <v>1</v>
      </c>
      <c r="H317" s="2">
        <f t="shared" si="45"/>
        <v>0.36449057933102513</v>
      </c>
      <c r="I317" s="2">
        <f t="shared" si="37"/>
        <v>0</v>
      </c>
      <c r="J317" s="389">
        <f t="shared" si="38"/>
        <v>0</v>
      </c>
      <c r="L317" s="721">
        <v>354284</v>
      </c>
      <c r="M317" s="581"/>
      <c r="N317" s="585" t="s">
        <v>1738</v>
      </c>
      <c r="O317" s="586" t="s">
        <v>4699</v>
      </c>
      <c r="P317" s="233">
        <f t="shared" si="39"/>
        <v>0</v>
      </c>
      <c r="Q317" s="233">
        <f t="shared" si="40"/>
        <v>354284</v>
      </c>
      <c r="R317" s="2">
        <f t="shared" si="41"/>
        <v>4.05</v>
      </c>
      <c r="S317" s="2">
        <f>(1/9)*cnst_fish!$C$7*(1/cnst_fish!$C$8)^(R317-1)</f>
        <v>158.23337176053329</v>
      </c>
      <c r="T317" s="682">
        <f t="shared" si="42"/>
        <v>4807806.7157820351</v>
      </c>
      <c r="W317" s="818"/>
      <c r="X317" s="818"/>
      <c r="Y317" s="819"/>
      <c r="Z317" s="820"/>
      <c r="AA317" s="820"/>
      <c r="AB317" s="821"/>
      <c r="AC317" s="821"/>
      <c r="AD317" s="253"/>
      <c r="AE317" s="253"/>
    </row>
    <row r="318" spans="1:31" ht="14.5">
      <c r="A318" t="s">
        <v>1043</v>
      </c>
      <c r="B318" t="s">
        <v>5279</v>
      </c>
      <c r="C318">
        <v>2959</v>
      </c>
      <c r="D318" s="581"/>
      <c r="E318" s="581"/>
      <c r="F318" s="2">
        <f>(1/S318)*cnst_fish!$C$6</f>
        <v>3.0136363636363641</v>
      </c>
      <c r="G318" s="2">
        <f t="shared" si="45"/>
        <v>1</v>
      </c>
      <c r="H318" s="2">
        <f t="shared" si="45"/>
        <v>0.36449057933102513</v>
      </c>
      <c r="I318" s="2">
        <f t="shared" si="37"/>
        <v>0</v>
      </c>
      <c r="J318" s="389">
        <f t="shared" si="38"/>
        <v>0</v>
      </c>
      <c r="L318" s="721">
        <v>78</v>
      </c>
      <c r="M318" s="581">
        <v>17363</v>
      </c>
      <c r="N318" s="585" t="s">
        <v>1738</v>
      </c>
      <c r="O318" s="586" t="s">
        <v>4685</v>
      </c>
      <c r="P318" s="233">
        <f t="shared" si="39"/>
        <v>0</v>
      </c>
      <c r="Q318" s="233">
        <f t="shared" si="40"/>
        <v>17441</v>
      </c>
      <c r="R318" s="2">
        <f t="shared" si="41"/>
        <v>2</v>
      </c>
      <c r="S318" s="2">
        <f>(1/9)*cnst_fish!$C$7*(1/cnst_fish!$C$8)^(R318-1)</f>
        <v>1.4102564102564099</v>
      </c>
      <c r="T318" s="682">
        <f t="shared" si="42"/>
        <v>2109.4383751202563</v>
      </c>
      <c r="W318" s="818"/>
      <c r="X318" s="818"/>
      <c r="Y318" s="819"/>
      <c r="Z318" s="820"/>
      <c r="AA318" s="820"/>
      <c r="AB318" s="821"/>
      <c r="AC318" s="821"/>
      <c r="AD318" s="253"/>
      <c r="AE318" s="253"/>
    </row>
    <row r="319" spans="1:31" ht="14.5">
      <c r="A319" t="s">
        <v>2769</v>
      </c>
      <c r="B319" t="s">
        <v>5280</v>
      </c>
      <c r="C319">
        <v>2156</v>
      </c>
      <c r="D319" s="581"/>
      <c r="E319" s="581"/>
      <c r="F319" s="2">
        <f>(1/S319)*cnst_fish!$C$6</f>
        <v>0.23393265378401026</v>
      </c>
      <c r="G319" s="2">
        <f t="shared" si="45"/>
        <v>1</v>
      </c>
      <c r="H319" s="2">
        <f t="shared" si="45"/>
        <v>0.36449057933102513</v>
      </c>
      <c r="I319" s="2">
        <f t="shared" si="37"/>
        <v>0</v>
      </c>
      <c r="J319" s="389">
        <f t="shared" si="38"/>
        <v>0</v>
      </c>
      <c r="L319" s="721">
        <v>1292</v>
      </c>
      <c r="M319" s="581">
        <v>36937.21</v>
      </c>
      <c r="N319" s="585" t="s">
        <v>5194</v>
      </c>
      <c r="O319" s="586" t="s">
        <v>4685</v>
      </c>
      <c r="P319" s="233">
        <f t="shared" si="39"/>
        <v>0</v>
      </c>
      <c r="Q319" s="233">
        <f t="shared" si="40"/>
        <v>38229.21</v>
      </c>
      <c r="R319" s="2">
        <f t="shared" si="41"/>
        <v>3.11</v>
      </c>
      <c r="S319" s="2">
        <f>(1/9)*cnst_fish!$C$7*(1/cnst_fish!$C$8)^(R319-1)</f>
        <v>18.16762188285189</v>
      </c>
      <c r="T319" s="682">
        <f t="shared" si="42"/>
        <v>59564.950317422707</v>
      </c>
      <c r="W319" s="818"/>
      <c r="X319" s="818"/>
      <c r="Y319" s="819"/>
      <c r="Z319" s="820"/>
      <c r="AA319" s="820"/>
      <c r="AB319" s="821"/>
      <c r="AC319" s="821"/>
      <c r="AD319" s="253"/>
      <c r="AE319" s="253"/>
    </row>
    <row r="320" spans="1:31" ht="14.5">
      <c r="A320" t="s">
        <v>8560</v>
      </c>
      <c r="B320" t="s">
        <v>5280</v>
      </c>
      <c r="C320">
        <v>20385</v>
      </c>
      <c r="D320" s="581"/>
      <c r="E320" s="581"/>
      <c r="F320" s="2">
        <f>(1/S320)*cnst_fish!$C$6</f>
        <v>0.23393265378401026</v>
      </c>
      <c r="G320" s="2">
        <f t="shared" si="45"/>
        <v>1</v>
      </c>
      <c r="H320" s="2">
        <f t="shared" si="45"/>
        <v>0.36449057933102513</v>
      </c>
      <c r="I320" s="2">
        <f t="shared" si="37"/>
        <v>0</v>
      </c>
      <c r="J320" s="389">
        <f t="shared" si="38"/>
        <v>0</v>
      </c>
      <c r="L320" s="721"/>
      <c r="M320" s="581"/>
      <c r="N320" s="585" t="s">
        <v>5194</v>
      </c>
      <c r="O320" s="586" t="s">
        <v>4685</v>
      </c>
      <c r="P320" s="233">
        <f t="shared" si="39"/>
        <v>0</v>
      </c>
      <c r="Q320" s="233">
        <f t="shared" si="40"/>
        <v>0</v>
      </c>
      <c r="R320" s="2">
        <f t="shared" si="41"/>
        <v>3.11</v>
      </c>
      <c r="S320" s="2">
        <f>(1/9)*cnst_fish!$C$7*(1/cnst_fish!$C$8)^(R320-1)</f>
        <v>18.16762188285189</v>
      </c>
      <c r="T320" s="682">
        <f t="shared" si="42"/>
        <v>0</v>
      </c>
      <c r="W320" s="822"/>
      <c r="X320" s="822"/>
      <c r="Y320" s="819"/>
      <c r="Z320" s="820"/>
      <c r="AA320" s="820"/>
      <c r="AB320" s="821"/>
      <c r="AC320" s="821"/>
      <c r="AD320" s="253"/>
      <c r="AE320" s="253"/>
    </row>
    <row r="321" spans="1:31" ht="14.5">
      <c r="A321" t="s">
        <v>1248</v>
      </c>
      <c r="B321" t="s">
        <v>2309</v>
      </c>
      <c r="C321">
        <v>2806</v>
      </c>
      <c r="D321" s="581"/>
      <c r="E321" s="581"/>
      <c r="F321" s="2">
        <f>(1/S321)*cnst_fish!$C$6</f>
        <v>1.8158954798513597E-2</v>
      </c>
      <c r="G321" s="2">
        <f t="shared" si="45"/>
        <v>1</v>
      </c>
      <c r="H321" s="2">
        <f t="shared" si="45"/>
        <v>0.36449057933102513</v>
      </c>
      <c r="I321" s="2">
        <f t="shared" si="37"/>
        <v>0</v>
      </c>
      <c r="J321" s="389">
        <f t="shared" si="38"/>
        <v>0</v>
      </c>
      <c r="L321" s="721">
        <v>18594.28</v>
      </c>
      <c r="M321" s="581"/>
      <c r="N321" s="585" t="s">
        <v>3785</v>
      </c>
      <c r="O321" s="586" t="s">
        <v>4681</v>
      </c>
      <c r="P321" s="233">
        <f t="shared" si="39"/>
        <v>0</v>
      </c>
      <c r="Q321" s="233">
        <f t="shared" si="40"/>
        <v>18594.28</v>
      </c>
      <c r="R321" s="2">
        <f t="shared" si="41"/>
        <v>4.22</v>
      </c>
      <c r="S321" s="2">
        <f>(1/9)*cnst_fish!$C$7*(1/cnst_fish!$C$8)^(R321-1)</f>
        <v>234.0443074591432</v>
      </c>
      <c r="T321" s="682">
        <f t="shared" si="42"/>
        <v>373228.52359311242</v>
      </c>
      <c r="W321" s="818"/>
      <c r="X321" s="818"/>
      <c r="Y321" s="819"/>
      <c r="Z321" s="820"/>
      <c r="AA321" s="820"/>
      <c r="AB321" s="821"/>
      <c r="AC321" s="821"/>
      <c r="AD321" s="253"/>
      <c r="AE321" s="253"/>
    </row>
    <row r="322" spans="1:31" ht="14.5">
      <c r="A322" t="s">
        <v>6267</v>
      </c>
      <c r="B322" t="s">
        <v>6266</v>
      </c>
      <c r="C322">
        <v>2809</v>
      </c>
      <c r="D322" s="581"/>
      <c r="E322" s="581"/>
      <c r="F322" s="2">
        <f>(1/S322)*cnst_fish!$C$6</f>
        <v>1.9014759972289439E-2</v>
      </c>
      <c r="G322" s="2">
        <f t="shared" si="45"/>
        <v>1</v>
      </c>
      <c r="H322" s="2">
        <f t="shared" si="45"/>
        <v>0.36449057933102513</v>
      </c>
      <c r="I322" s="2">
        <f t="shared" si="37"/>
        <v>0</v>
      </c>
      <c r="J322" s="389">
        <f t="shared" si="38"/>
        <v>0</v>
      </c>
      <c r="L322" s="721">
        <v>412</v>
      </c>
      <c r="M322" s="581"/>
      <c r="N322" s="585" t="s">
        <v>3785</v>
      </c>
      <c r="O322" s="586" t="s">
        <v>4681</v>
      </c>
      <c r="P322" s="233">
        <f t="shared" si="39"/>
        <v>0</v>
      </c>
      <c r="Q322" s="233">
        <f t="shared" si="40"/>
        <v>412</v>
      </c>
      <c r="R322" s="2">
        <f t="shared" si="41"/>
        <v>4.2</v>
      </c>
      <c r="S322" s="2">
        <f>(1/9)*cnst_fish!$C$7*(1/cnst_fish!$C$8)^(R322-1)</f>
        <v>223.51057842400343</v>
      </c>
      <c r="T322" s="682">
        <f t="shared" si="42"/>
        <v>7897.5553150935402</v>
      </c>
      <c r="W322" s="818"/>
      <c r="X322" s="818"/>
      <c r="Y322" s="819"/>
      <c r="Z322" s="820"/>
      <c r="AA322" s="820"/>
      <c r="AB322" s="821"/>
      <c r="AC322" s="821"/>
      <c r="AD322" s="253"/>
      <c r="AE322" s="253"/>
    </row>
    <row r="323" spans="1:31" ht="14.5">
      <c r="A323" t="s">
        <v>4666</v>
      </c>
      <c r="B323" t="s">
        <v>4787</v>
      </c>
      <c r="C323">
        <v>2022</v>
      </c>
      <c r="D323" s="581"/>
      <c r="E323" s="581"/>
      <c r="F323" s="2">
        <f>(1/S323)*cnst_fish!$C$6</f>
        <v>9.5299549485983424E-3</v>
      </c>
      <c r="G323" s="2">
        <f t="shared" si="45"/>
        <v>1</v>
      </c>
      <c r="H323" s="2">
        <f t="shared" si="45"/>
        <v>0.36449057933102513</v>
      </c>
      <c r="I323" s="2">
        <f t="shared" si="37"/>
        <v>0</v>
      </c>
      <c r="J323" s="389">
        <f t="shared" si="38"/>
        <v>0</v>
      </c>
      <c r="L323" s="721">
        <v>11</v>
      </c>
      <c r="M323" s="581"/>
      <c r="N323" s="585" t="s">
        <v>3785</v>
      </c>
      <c r="O323" s="586" t="s">
        <v>4681</v>
      </c>
      <c r="P323" s="233">
        <f t="shared" si="39"/>
        <v>0</v>
      </c>
      <c r="Q323" s="233">
        <f t="shared" si="40"/>
        <v>11</v>
      </c>
      <c r="R323" s="2">
        <f t="shared" si="41"/>
        <v>4.5</v>
      </c>
      <c r="S323" s="2">
        <f>(1/9)*cnst_fish!$C$7*(1/cnst_fish!$C$8)^(R323-1)</f>
        <v>445.96223412630997</v>
      </c>
      <c r="T323" s="682">
        <f t="shared" si="42"/>
        <v>420.71514443318273</v>
      </c>
      <c r="W323" s="818"/>
      <c r="X323" s="818"/>
      <c r="Y323" s="819"/>
      <c r="Z323" s="820"/>
      <c r="AA323" s="820"/>
      <c r="AB323" s="821"/>
      <c r="AC323" s="821"/>
      <c r="AD323" s="253"/>
      <c r="AE323" s="253"/>
    </row>
    <row r="324" spans="1:31" ht="14.5">
      <c r="A324" t="s">
        <v>6673</v>
      </c>
      <c r="B324" t="s">
        <v>6672</v>
      </c>
      <c r="C324">
        <v>2023</v>
      </c>
      <c r="D324" s="581"/>
      <c r="E324" s="581"/>
      <c r="F324" s="2">
        <f>(1/S324)*cnst_fish!$C$6</f>
        <v>1.9014759972289439E-2</v>
      </c>
      <c r="G324" s="2">
        <f t="shared" si="45"/>
        <v>1</v>
      </c>
      <c r="H324" s="2">
        <f t="shared" si="45"/>
        <v>0.36449057933102513</v>
      </c>
      <c r="I324" s="2">
        <f t="shared" si="37"/>
        <v>0</v>
      </c>
      <c r="J324" s="389">
        <f t="shared" si="38"/>
        <v>0</v>
      </c>
      <c r="L324" s="721">
        <v>32</v>
      </c>
      <c r="M324" s="581"/>
      <c r="N324" s="585" t="s">
        <v>3785</v>
      </c>
      <c r="O324" s="586" t="s">
        <v>4681</v>
      </c>
      <c r="P324" s="233">
        <f t="shared" si="39"/>
        <v>0</v>
      </c>
      <c r="Q324" s="233">
        <f t="shared" si="40"/>
        <v>32</v>
      </c>
      <c r="R324" s="2">
        <f t="shared" si="41"/>
        <v>4.2</v>
      </c>
      <c r="S324" s="2">
        <f>(1/9)*cnst_fish!$C$7*(1/cnst_fish!$C$8)^(R324-1)</f>
        <v>223.51057842400343</v>
      </c>
      <c r="T324" s="682">
        <f t="shared" si="42"/>
        <v>613.40235457037204</v>
      </c>
      <c r="W324" s="818"/>
      <c r="X324" s="818"/>
      <c r="Y324" s="819"/>
      <c r="Z324" s="820"/>
      <c r="AA324" s="820"/>
      <c r="AB324" s="821"/>
      <c r="AC324" s="821"/>
      <c r="AD324" s="253"/>
      <c r="AE324" s="253"/>
    </row>
    <row r="325" spans="1:31" ht="14.5">
      <c r="A325" t="s">
        <v>8278</v>
      </c>
      <c r="B325" t="s">
        <v>8279</v>
      </c>
      <c r="C325">
        <v>11128</v>
      </c>
      <c r="D325" s="581"/>
      <c r="E325" s="581"/>
      <c r="F325" s="2">
        <f>(1/S325)*cnst_fish!$C$6</f>
        <v>3.7939434000887833E-2</v>
      </c>
      <c r="G325" s="2">
        <f t="shared" si="45"/>
        <v>1</v>
      </c>
      <c r="H325" s="2">
        <f t="shared" si="45"/>
        <v>0.36449057933102513</v>
      </c>
      <c r="I325" s="2">
        <f t="shared" si="37"/>
        <v>0</v>
      </c>
      <c r="J325" s="389">
        <f t="shared" si="38"/>
        <v>0</v>
      </c>
      <c r="L325" s="721">
        <v>239</v>
      </c>
      <c r="M325" s="581"/>
      <c r="N325" s="585" t="s">
        <v>3785</v>
      </c>
      <c r="O325" s="586" t="s">
        <v>4681</v>
      </c>
      <c r="P325" s="233">
        <f t="shared" si="39"/>
        <v>0</v>
      </c>
      <c r="Q325" s="233">
        <f t="shared" si="40"/>
        <v>239</v>
      </c>
      <c r="R325" s="2">
        <f t="shared" si="41"/>
        <v>3.9</v>
      </c>
      <c r="S325" s="2">
        <f>(1/9)*cnst_fish!$C$7*(1/cnst_fish!$C$8)^(R325-1)</f>
        <v>112.02064848675771</v>
      </c>
      <c r="T325" s="682">
        <f t="shared" si="42"/>
        <v>2296.113549244737</v>
      </c>
      <c r="W325" s="818"/>
      <c r="X325" s="818"/>
      <c r="Y325" s="819"/>
      <c r="Z325" s="820"/>
      <c r="AA325" s="820"/>
      <c r="AB325" s="821"/>
      <c r="AC325" s="821"/>
      <c r="AD325" s="253"/>
      <c r="AE325" s="253"/>
    </row>
    <row r="326" spans="1:31" ht="14.5">
      <c r="A326" t="s">
        <v>3583</v>
      </c>
      <c r="B326" t="s">
        <v>4788</v>
      </c>
      <c r="C326">
        <v>2021</v>
      </c>
      <c r="D326" s="581"/>
      <c r="E326" s="581"/>
      <c r="F326" s="2">
        <f>(1/S326)*cnst_fish!$C$6</f>
        <v>9.5299549485983424E-3</v>
      </c>
      <c r="G326" s="2">
        <f t="shared" si="45"/>
        <v>1</v>
      </c>
      <c r="H326" s="2">
        <f t="shared" si="45"/>
        <v>0.36449057933102513</v>
      </c>
      <c r="I326" s="2">
        <f t="shared" si="37"/>
        <v>0</v>
      </c>
      <c r="J326" s="389">
        <f t="shared" si="38"/>
        <v>0</v>
      </c>
      <c r="L326" s="721">
        <v>7093.53</v>
      </c>
      <c r="M326" s="581"/>
      <c r="N326" s="585" t="s">
        <v>3785</v>
      </c>
      <c r="O326" s="586" t="s">
        <v>4681</v>
      </c>
      <c r="P326" s="233">
        <f t="shared" si="39"/>
        <v>0</v>
      </c>
      <c r="Q326" s="233">
        <f t="shared" si="40"/>
        <v>7093.53</v>
      </c>
      <c r="R326" s="2">
        <f t="shared" si="41"/>
        <v>4.5</v>
      </c>
      <c r="S326" s="2">
        <f>(1/9)*cnst_fish!$C$7*(1/cnst_fish!$C$8)^(R326-1)</f>
        <v>445.96223412630997</v>
      </c>
      <c r="T326" s="682">
        <f t="shared" si="42"/>
        <v>271305.04531737411</v>
      </c>
      <c r="W326" s="822"/>
      <c r="X326" s="822"/>
      <c r="Y326" s="819"/>
      <c r="Z326" s="820"/>
      <c r="AA326" s="820"/>
      <c r="AB326" s="821"/>
      <c r="AC326" s="821"/>
      <c r="AD326" s="253"/>
      <c r="AE326" s="253"/>
    </row>
    <row r="327" spans="1:31" ht="14.5">
      <c r="A327" t="s">
        <v>6379</v>
      </c>
      <c r="B327" t="s">
        <v>6378</v>
      </c>
      <c r="C327">
        <v>2816</v>
      </c>
      <c r="D327" s="581"/>
      <c r="E327" s="581"/>
      <c r="F327" s="2">
        <f>(1/S327)*cnst_fish!$C$6</f>
        <v>1.9014759972289439E-2</v>
      </c>
      <c r="G327" s="2">
        <f t="shared" si="45"/>
        <v>1</v>
      </c>
      <c r="H327" s="2">
        <f t="shared" si="45"/>
        <v>0.36449057933102513</v>
      </c>
      <c r="I327" s="2">
        <f t="shared" ref="I327:I390" si="46">IF($F327=0,0,D327/$F327*$H327*$G327)</f>
        <v>0</v>
      </c>
      <c r="J327" s="389">
        <f t="shared" ref="J327:J390" si="47">IF($F327=0,0,E327/$F327*$H327*$G327)</f>
        <v>0</v>
      </c>
      <c r="L327" s="721">
        <v>44</v>
      </c>
      <c r="M327" s="581"/>
      <c r="N327" s="585" t="s">
        <v>3785</v>
      </c>
      <c r="O327" s="586" t="s">
        <v>4681</v>
      </c>
      <c r="P327" s="233">
        <f t="shared" ref="P327:P390" si="48">D327+E327</f>
        <v>0</v>
      </c>
      <c r="Q327" s="233">
        <f t="shared" ref="Q327:Q390" si="49">L327+M327</f>
        <v>44</v>
      </c>
      <c r="R327" s="2">
        <f t="shared" ref="R327:R390" si="50">VLOOKUP(B327,constant_fish_trophic,3,FALSE)</f>
        <v>4.2</v>
      </c>
      <c r="S327" s="2">
        <f>(1/9)*cnst_fish!$C$7*(1/cnst_fish!$C$8)^(R327-1)</f>
        <v>223.51057842400343</v>
      </c>
      <c r="T327" s="682">
        <f t="shared" ref="T327:T390" si="51">IF(F327=0,0,Q327/F327*H327*G327)</f>
        <v>843.42823753426148</v>
      </c>
      <c r="W327" s="822"/>
      <c r="X327" s="822"/>
      <c r="Y327" s="819"/>
      <c r="Z327" s="820"/>
      <c r="AA327" s="820"/>
      <c r="AB327" s="821"/>
      <c r="AC327" s="821"/>
      <c r="AD327" s="253"/>
      <c r="AE327" s="253"/>
    </row>
    <row r="328" spans="1:31" ht="14.5">
      <c r="A328" t="s">
        <v>1180</v>
      </c>
      <c r="B328" t="s">
        <v>1181</v>
      </c>
      <c r="C328">
        <v>2812</v>
      </c>
      <c r="D328" s="581"/>
      <c r="E328" s="581"/>
      <c r="F328" s="2">
        <f>(1/S328)*cnst_fish!$C$6</f>
        <v>1.4760152601876367E-2</v>
      </c>
      <c r="G328" s="2">
        <f t="shared" ref="G328:H347" si="52">G$7</f>
        <v>1</v>
      </c>
      <c r="H328" s="2">
        <f t="shared" si="52"/>
        <v>0.36449057933102513</v>
      </c>
      <c r="I328" s="2">
        <f t="shared" si="46"/>
        <v>0</v>
      </c>
      <c r="J328" s="389">
        <f t="shared" si="47"/>
        <v>0</v>
      </c>
      <c r="L328" s="721">
        <v>59</v>
      </c>
      <c r="M328" s="581"/>
      <c r="N328" s="585" t="s">
        <v>3785</v>
      </c>
      <c r="O328" s="586" t="s">
        <v>4681</v>
      </c>
      <c r="P328" s="233">
        <f t="shared" si="48"/>
        <v>0</v>
      </c>
      <c r="Q328" s="233">
        <f t="shared" si="49"/>
        <v>59</v>
      </c>
      <c r="R328" s="2">
        <f t="shared" si="50"/>
        <v>4.3099999999999996</v>
      </c>
      <c r="S328" s="2">
        <f>(1/9)*cnst_fish!$C$7*(1/cnst_fish!$C$8)^(R328-1)</f>
        <v>287.93740245339495</v>
      </c>
      <c r="T328" s="682">
        <f t="shared" si="51"/>
        <v>1456.9594746463997</v>
      </c>
      <c r="W328" s="818"/>
      <c r="X328" s="818"/>
      <c r="Y328" s="819"/>
      <c r="Z328" s="820"/>
      <c r="AA328" s="820"/>
      <c r="AB328" s="821"/>
      <c r="AC328" s="821"/>
      <c r="AD328" s="253"/>
      <c r="AE328" s="253"/>
    </row>
    <row r="329" spans="1:31" ht="14.5">
      <c r="A329" t="s">
        <v>4834</v>
      </c>
      <c r="B329" t="s">
        <v>757</v>
      </c>
      <c r="C329">
        <v>2808</v>
      </c>
      <c r="D329" s="581"/>
      <c r="E329" s="581"/>
      <c r="F329" s="2">
        <f>(1/S329)*cnst_fish!$C$6</f>
        <v>1.7341667202478851E-2</v>
      </c>
      <c r="G329" s="2">
        <f t="shared" si="52"/>
        <v>1</v>
      </c>
      <c r="H329" s="2">
        <f t="shared" si="52"/>
        <v>0.36449057933102513</v>
      </c>
      <c r="I329" s="2">
        <f t="shared" si="46"/>
        <v>0</v>
      </c>
      <c r="J329" s="389">
        <f t="shared" si="47"/>
        <v>0</v>
      </c>
      <c r="L329" s="721">
        <v>158</v>
      </c>
      <c r="M329" s="581"/>
      <c r="N329" s="585" t="s">
        <v>3785</v>
      </c>
      <c r="O329" s="586" t="s">
        <v>4681</v>
      </c>
      <c r="P329" s="233">
        <f t="shared" si="48"/>
        <v>0</v>
      </c>
      <c r="Q329" s="233">
        <f t="shared" si="49"/>
        <v>158</v>
      </c>
      <c r="R329" s="2">
        <f t="shared" si="50"/>
        <v>4.24</v>
      </c>
      <c r="S329" s="2">
        <f>(1/9)*cnst_fish!$C$7*(1/cnst_fish!$C$8)^(R329-1)</f>
        <v>245.0744758492711</v>
      </c>
      <c r="T329" s="682">
        <f t="shared" si="51"/>
        <v>3320.8751420434373</v>
      </c>
      <c r="W329" s="822"/>
      <c r="X329" s="822"/>
      <c r="Y329" s="819"/>
      <c r="Z329" s="820"/>
      <c r="AA329" s="820"/>
      <c r="AB329" s="821"/>
      <c r="AC329" s="821"/>
      <c r="AD329" s="253"/>
      <c r="AE329" s="253"/>
    </row>
    <row r="330" spans="1:31" ht="14.5">
      <c r="A330" t="s">
        <v>5185</v>
      </c>
      <c r="B330" t="s">
        <v>758</v>
      </c>
      <c r="C330">
        <v>2810</v>
      </c>
      <c r="D330" s="581"/>
      <c r="E330" s="581"/>
      <c r="F330" s="2">
        <f>(1/S330)*cnst_fish!$C$6</f>
        <v>2.0849269714511572E-2</v>
      </c>
      <c r="G330" s="2">
        <f t="shared" si="52"/>
        <v>1</v>
      </c>
      <c r="H330" s="2">
        <f t="shared" si="52"/>
        <v>0.36449057933102513</v>
      </c>
      <c r="I330" s="2">
        <f t="shared" si="46"/>
        <v>0</v>
      </c>
      <c r="J330" s="389">
        <f t="shared" si="47"/>
        <v>0</v>
      </c>
      <c r="L330" s="721">
        <v>385.72</v>
      </c>
      <c r="M330" s="581"/>
      <c r="N330" s="585" t="s">
        <v>3785</v>
      </c>
      <c r="O330" s="586" t="s">
        <v>4681</v>
      </c>
      <c r="P330" s="233">
        <f t="shared" si="48"/>
        <v>0</v>
      </c>
      <c r="Q330" s="233">
        <f t="shared" si="49"/>
        <v>385.72</v>
      </c>
      <c r="R330" s="2">
        <f t="shared" si="50"/>
        <v>4.16</v>
      </c>
      <c r="S330" s="2">
        <f>(1/9)*cnst_fish!$C$7*(1/cnst_fish!$C$8)^(R330-1)</f>
        <v>203.84407023340017</v>
      </c>
      <c r="T330" s="682">
        <f t="shared" si="51"/>
        <v>6743.2244958540796</v>
      </c>
      <c r="W330" s="818"/>
      <c r="X330" s="818"/>
      <c r="Y330" s="819"/>
      <c r="Z330" s="820"/>
      <c r="AA330" s="820"/>
      <c r="AB330" s="821"/>
      <c r="AC330" s="821"/>
      <c r="AD330" s="253"/>
      <c r="AE330" s="253"/>
    </row>
    <row r="331" spans="1:31" ht="14.5">
      <c r="A331" t="s">
        <v>329</v>
      </c>
      <c r="B331" t="s">
        <v>759</v>
      </c>
      <c r="C331">
        <v>2811</v>
      </c>
      <c r="D331" s="581"/>
      <c r="E331" s="581"/>
      <c r="F331" s="2">
        <f>(1/S331)*cnst_fish!$C$6</f>
        <v>9.7519361156519751E-3</v>
      </c>
      <c r="G331" s="2">
        <f t="shared" si="52"/>
        <v>1</v>
      </c>
      <c r="H331" s="2">
        <f t="shared" si="52"/>
        <v>0.36449057933102513</v>
      </c>
      <c r="I331" s="2">
        <f t="shared" si="46"/>
        <v>0</v>
      </c>
      <c r="J331" s="389">
        <f t="shared" si="47"/>
        <v>0</v>
      </c>
      <c r="L331" s="721"/>
      <c r="M331" s="581"/>
      <c r="N331" s="585" t="s">
        <v>3785</v>
      </c>
      <c r="O331" s="586" t="s">
        <v>4681</v>
      </c>
      <c r="P331" s="233">
        <f t="shared" si="48"/>
        <v>0</v>
      </c>
      <c r="Q331" s="233">
        <f t="shared" si="49"/>
        <v>0</v>
      </c>
      <c r="R331" s="2">
        <f t="shared" si="50"/>
        <v>4.49</v>
      </c>
      <c r="S331" s="2">
        <f>(1/9)*cnst_fish!$C$7*(1/cnst_fish!$C$8)^(R331-1)</f>
        <v>435.81089432883982</v>
      </c>
      <c r="T331" s="682">
        <f t="shared" si="51"/>
        <v>0</v>
      </c>
      <c r="W331" s="822"/>
      <c r="X331" s="822"/>
      <c r="Y331" s="819"/>
      <c r="Z331" s="820"/>
      <c r="AA331" s="820"/>
      <c r="AB331" s="821"/>
      <c r="AC331" s="821"/>
      <c r="AD331" s="253"/>
      <c r="AE331" s="253"/>
    </row>
    <row r="332" spans="1:31" ht="14.5">
      <c r="A332" t="s">
        <v>1191</v>
      </c>
      <c r="B332" t="s">
        <v>760</v>
      </c>
      <c r="C332">
        <v>2807</v>
      </c>
      <c r="D332" s="581"/>
      <c r="E332" s="581"/>
      <c r="F332" s="2">
        <f>(1/S332)*cnst_fish!$C$6</f>
        <v>9.7519361156519751E-3</v>
      </c>
      <c r="G332" s="2">
        <f t="shared" si="52"/>
        <v>1</v>
      </c>
      <c r="H332" s="2">
        <f t="shared" si="52"/>
        <v>0.36449057933102513</v>
      </c>
      <c r="I332" s="2">
        <f t="shared" si="46"/>
        <v>0</v>
      </c>
      <c r="J332" s="389">
        <f t="shared" si="47"/>
        <v>0</v>
      </c>
      <c r="L332" s="721"/>
      <c r="M332" s="581"/>
      <c r="N332" s="585" t="s">
        <v>3785</v>
      </c>
      <c r="O332" s="586" t="s">
        <v>4681</v>
      </c>
      <c r="P332" s="233">
        <f t="shared" si="48"/>
        <v>0</v>
      </c>
      <c r="Q332" s="233">
        <f t="shared" si="49"/>
        <v>0</v>
      </c>
      <c r="R332" s="2">
        <f t="shared" si="50"/>
        <v>4.49</v>
      </c>
      <c r="S332" s="2">
        <f>(1/9)*cnst_fish!$C$7*(1/cnst_fish!$C$8)^(R332-1)</f>
        <v>435.81089432883982</v>
      </c>
      <c r="T332" s="682">
        <f t="shared" si="51"/>
        <v>0</v>
      </c>
      <c r="W332" s="822"/>
      <c r="X332" s="822"/>
      <c r="Y332" s="819"/>
      <c r="Z332" s="820"/>
      <c r="AA332" s="820"/>
      <c r="AB332" s="821"/>
      <c r="AC332" s="821"/>
      <c r="AD332" s="253"/>
      <c r="AE332" s="253"/>
    </row>
    <row r="333" spans="1:31" ht="14.5">
      <c r="A333" t="s">
        <v>3887</v>
      </c>
      <c r="B333" t="s">
        <v>3888</v>
      </c>
      <c r="C333">
        <v>2020</v>
      </c>
      <c r="D333" s="581"/>
      <c r="E333" s="581"/>
      <c r="F333" s="2">
        <f>(1/S333)*cnst_fish!$C$6</f>
        <v>2.1831865524078106E-2</v>
      </c>
      <c r="G333" s="2">
        <f t="shared" si="52"/>
        <v>1</v>
      </c>
      <c r="H333" s="2">
        <f t="shared" si="52"/>
        <v>0.36449057933102513</v>
      </c>
      <c r="I333" s="2">
        <f t="shared" si="46"/>
        <v>0</v>
      </c>
      <c r="J333" s="389">
        <f t="shared" si="47"/>
        <v>0</v>
      </c>
      <c r="L333" s="721">
        <v>103</v>
      </c>
      <c r="M333" s="581"/>
      <c r="N333" s="585" t="s">
        <v>3785</v>
      </c>
      <c r="O333" s="586" t="s">
        <v>4681</v>
      </c>
      <c r="P333" s="233">
        <f t="shared" si="48"/>
        <v>0</v>
      </c>
      <c r="Q333" s="233">
        <f t="shared" si="49"/>
        <v>103</v>
      </c>
      <c r="R333" s="2">
        <f t="shared" si="50"/>
        <v>4.1399999999999997</v>
      </c>
      <c r="S333" s="2">
        <f>(1/9)*cnst_fish!$C$7*(1/cnst_fish!$C$8)^(R333-1)</f>
        <v>194.66957577732992</v>
      </c>
      <c r="T333" s="682">
        <f t="shared" si="51"/>
        <v>1719.6207822776471</v>
      </c>
      <c r="W333" s="818"/>
      <c r="X333" s="818"/>
      <c r="Y333" s="819"/>
      <c r="Z333" s="820"/>
      <c r="AA333" s="820"/>
      <c r="AB333" s="821"/>
      <c r="AC333" s="821"/>
      <c r="AD333" s="253"/>
      <c r="AE333" s="253"/>
    </row>
    <row r="334" spans="1:31" ht="14.5">
      <c r="A334" t="s">
        <v>8280</v>
      </c>
      <c r="B334" t="s">
        <v>8281</v>
      </c>
      <c r="C334">
        <v>2815</v>
      </c>
      <c r="D334" s="581"/>
      <c r="E334" s="581"/>
      <c r="F334" s="2">
        <f>(1/S334)*cnst_fish!$C$6</f>
        <v>7.5699122913220583E-3</v>
      </c>
      <c r="G334" s="2">
        <f t="shared" si="52"/>
        <v>1</v>
      </c>
      <c r="H334" s="2">
        <f t="shared" si="52"/>
        <v>0.36449057933102513</v>
      </c>
      <c r="I334" s="2">
        <f t="shared" si="46"/>
        <v>0</v>
      </c>
      <c r="J334" s="389">
        <f t="shared" si="47"/>
        <v>0</v>
      </c>
      <c r="L334" s="721">
        <v>1040.1099999999999</v>
      </c>
      <c r="M334" s="581"/>
      <c r="N334" s="585" t="s">
        <v>3785</v>
      </c>
      <c r="O334" s="586" t="s">
        <v>4681</v>
      </c>
      <c r="P334" s="233">
        <f t="shared" si="48"/>
        <v>0</v>
      </c>
      <c r="Q334" s="233">
        <f t="shared" si="49"/>
        <v>1040.1099999999999</v>
      </c>
      <c r="R334" s="2">
        <f t="shared" si="50"/>
        <v>4.5999999999999996</v>
      </c>
      <c r="S334" s="2">
        <f>(1/9)*cnst_fish!$C$7*(1/cnst_fish!$C$8)^(R334-1)</f>
        <v>561.4331892421111</v>
      </c>
      <c r="T334" s="682">
        <f t="shared" si="51"/>
        <v>50081.200663658179</v>
      </c>
      <c r="W334" s="818"/>
      <c r="X334" s="818"/>
      <c r="Y334" s="819"/>
      <c r="Z334" s="820"/>
      <c r="AA334" s="820"/>
      <c r="AB334" s="821"/>
      <c r="AC334" s="821"/>
      <c r="AD334" s="253"/>
      <c r="AE334" s="253"/>
    </row>
    <row r="335" spans="1:31" ht="14.5">
      <c r="A335" t="s">
        <v>8561</v>
      </c>
      <c r="B335" t="s">
        <v>724</v>
      </c>
      <c r="C335">
        <v>11134</v>
      </c>
      <c r="D335" s="581"/>
      <c r="E335" s="581"/>
      <c r="F335" s="2">
        <f>(1/S335)*cnst_fish!$C$6</f>
        <v>2.1334911593031029E-2</v>
      </c>
      <c r="G335" s="2">
        <f t="shared" si="52"/>
        <v>1</v>
      </c>
      <c r="H335" s="2">
        <f t="shared" si="52"/>
        <v>0.36449057933102513</v>
      </c>
      <c r="I335" s="2">
        <f t="shared" si="46"/>
        <v>0</v>
      </c>
      <c r="J335" s="389">
        <f t="shared" si="47"/>
        <v>0</v>
      </c>
      <c r="L335" s="721">
        <v>478</v>
      </c>
      <c r="M335" s="581"/>
      <c r="N335" s="585" t="s">
        <v>3785</v>
      </c>
      <c r="O335" s="586" t="s">
        <v>4681</v>
      </c>
      <c r="P335" s="233">
        <f t="shared" si="48"/>
        <v>0</v>
      </c>
      <c r="Q335" s="233">
        <f t="shared" si="49"/>
        <v>478</v>
      </c>
      <c r="R335" s="2">
        <f t="shared" si="50"/>
        <v>4.1500000000000004</v>
      </c>
      <c r="S335" s="2">
        <f>(1/9)*cnst_fish!$C$7*(1/cnst_fish!$C$8)^(R335-1)</f>
        <v>199.20401270320929</v>
      </c>
      <c r="T335" s="682">
        <f t="shared" si="51"/>
        <v>8166.2628954666234</v>
      </c>
      <c r="W335" s="818"/>
      <c r="X335" s="818"/>
      <c r="Y335" s="819"/>
      <c r="Z335" s="820"/>
      <c r="AA335" s="820"/>
      <c r="AB335" s="821"/>
      <c r="AC335" s="821"/>
      <c r="AD335" s="253"/>
      <c r="AE335" s="253"/>
    </row>
    <row r="336" spans="1:31" ht="14.5">
      <c r="A336" t="s">
        <v>1190</v>
      </c>
      <c r="B336" t="s">
        <v>725</v>
      </c>
      <c r="C336">
        <v>2006</v>
      </c>
      <c r="D336" s="581"/>
      <c r="E336" s="581"/>
      <c r="F336" s="2">
        <f>(1/S336)*cnst_fish!$C$6</f>
        <v>9.5299549485983424E-3</v>
      </c>
      <c r="G336" s="2">
        <f t="shared" si="52"/>
        <v>1</v>
      </c>
      <c r="H336" s="2">
        <f t="shared" si="52"/>
        <v>0.36449057933102513</v>
      </c>
      <c r="I336" s="2">
        <f t="shared" si="46"/>
        <v>0</v>
      </c>
      <c r="J336" s="389">
        <f t="shared" si="47"/>
        <v>0</v>
      </c>
      <c r="L336" s="721">
        <v>0</v>
      </c>
      <c r="M336" s="581"/>
      <c r="N336" s="585" t="s">
        <v>3785</v>
      </c>
      <c r="O336" s="586" t="s">
        <v>4681</v>
      </c>
      <c r="P336" s="233">
        <f t="shared" si="48"/>
        <v>0</v>
      </c>
      <c r="Q336" s="233">
        <f t="shared" si="49"/>
        <v>0</v>
      </c>
      <c r="R336" s="2">
        <f t="shared" si="50"/>
        <v>4.5</v>
      </c>
      <c r="S336" s="2">
        <f>(1/9)*cnst_fish!$C$7*(1/cnst_fish!$C$8)^(R336-1)</f>
        <v>445.96223412630997</v>
      </c>
      <c r="T336" s="682">
        <f t="shared" si="51"/>
        <v>0</v>
      </c>
      <c r="W336" s="818"/>
      <c r="X336" s="818"/>
      <c r="Y336" s="819"/>
      <c r="Z336" s="820"/>
      <c r="AA336" s="820"/>
      <c r="AB336" s="821"/>
      <c r="AC336" s="821"/>
      <c r="AD336" s="253"/>
      <c r="AE336" s="253"/>
    </row>
    <row r="337" spans="1:31" ht="14.5">
      <c r="A337" t="s">
        <v>3807</v>
      </c>
      <c r="B337" t="s">
        <v>726</v>
      </c>
      <c r="C337">
        <v>2799</v>
      </c>
      <c r="D337" s="581"/>
      <c r="E337" s="581"/>
      <c r="F337" s="2">
        <f>(1/S337)*cnst_fish!$C$6</f>
        <v>8.8938714421809562E-3</v>
      </c>
      <c r="G337" s="2">
        <f t="shared" si="52"/>
        <v>1</v>
      </c>
      <c r="H337" s="2">
        <f t="shared" si="52"/>
        <v>0.36449057933102513</v>
      </c>
      <c r="I337" s="2">
        <f t="shared" si="46"/>
        <v>0</v>
      </c>
      <c r="J337" s="389">
        <f t="shared" si="47"/>
        <v>0</v>
      </c>
      <c r="L337" s="721">
        <v>0</v>
      </c>
      <c r="M337" s="581"/>
      <c r="N337" s="585" t="s">
        <v>3785</v>
      </c>
      <c r="O337" s="586" t="s">
        <v>4681</v>
      </c>
      <c r="P337" s="233">
        <f t="shared" si="48"/>
        <v>0</v>
      </c>
      <c r="Q337" s="233">
        <f t="shared" si="49"/>
        <v>0</v>
      </c>
      <c r="R337" s="2">
        <f t="shared" si="50"/>
        <v>4.53</v>
      </c>
      <c r="S337" s="2">
        <f>(1/9)*cnst_fish!$C$7*(1/cnst_fish!$C$8)^(R337-1)</f>
        <v>477.85714327323512</v>
      </c>
      <c r="T337" s="682">
        <f t="shared" si="51"/>
        <v>0</v>
      </c>
      <c r="W337" s="818"/>
      <c r="X337" s="818"/>
      <c r="Y337" s="819"/>
      <c r="Z337" s="820"/>
      <c r="AA337" s="820"/>
      <c r="AB337" s="821"/>
      <c r="AC337" s="821"/>
      <c r="AD337" s="253"/>
      <c r="AE337" s="253"/>
    </row>
    <row r="338" spans="1:31" ht="14.5">
      <c r="A338" t="s">
        <v>2015</v>
      </c>
      <c r="B338" t="s">
        <v>2327</v>
      </c>
      <c r="C338">
        <v>2636</v>
      </c>
      <c r="D338" s="581"/>
      <c r="E338" s="581"/>
      <c r="F338" s="2">
        <f>(1/S338)*cnst_fish!$C$6</f>
        <v>0.11196720767792057</v>
      </c>
      <c r="G338" s="2">
        <f t="shared" si="52"/>
        <v>1</v>
      </c>
      <c r="H338" s="2">
        <f t="shared" si="52"/>
        <v>0.36449057933102513</v>
      </c>
      <c r="I338" s="2">
        <f t="shared" si="46"/>
        <v>0</v>
      </c>
      <c r="J338" s="389">
        <f t="shared" si="47"/>
        <v>0</v>
      </c>
      <c r="L338" s="721">
        <v>2212</v>
      </c>
      <c r="M338" s="581"/>
      <c r="N338" s="585" t="s">
        <v>2311</v>
      </c>
      <c r="O338" s="586" t="s">
        <v>4680</v>
      </c>
      <c r="P338" s="233">
        <f t="shared" si="48"/>
        <v>0</v>
      </c>
      <c r="Q338" s="233">
        <f t="shared" si="49"/>
        <v>2212</v>
      </c>
      <c r="R338" s="2">
        <f t="shared" si="50"/>
        <v>3.43</v>
      </c>
      <c r="S338" s="2">
        <f>(1/9)*cnst_fish!$C$7*(1/cnst_fish!$C$8)^(R338-1)</f>
        <v>37.957542106661656</v>
      </c>
      <c r="T338" s="682">
        <f t="shared" si="51"/>
        <v>7200.7972530623101</v>
      </c>
      <c r="W338" s="818"/>
      <c r="X338" s="818"/>
      <c r="Y338" s="819"/>
      <c r="Z338" s="820"/>
      <c r="AA338" s="820"/>
      <c r="AB338" s="821"/>
      <c r="AC338" s="821"/>
      <c r="AD338" s="253"/>
      <c r="AE338" s="253"/>
    </row>
    <row r="339" spans="1:31" ht="14.5">
      <c r="A339" t="s">
        <v>1159</v>
      </c>
      <c r="B339" t="s">
        <v>2328</v>
      </c>
      <c r="C339">
        <v>2635</v>
      </c>
      <c r="D339" s="581"/>
      <c r="E339" s="581"/>
      <c r="F339" s="2">
        <f>(1/S339)*cnst_fish!$C$6</f>
        <v>9.5299549485983348E-2</v>
      </c>
      <c r="G339" s="2">
        <f t="shared" si="52"/>
        <v>1</v>
      </c>
      <c r="H339" s="2">
        <f t="shared" si="52"/>
        <v>0.36449057933102513</v>
      </c>
      <c r="I339" s="2">
        <f t="shared" si="46"/>
        <v>0</v>
      </c>
      <c r="J339" s="389">
        <f t="shared" si="47"/>
        <v>0</v>
      </c>
      <c r="L339" s="721">
        <v>1170</v>
      </c>
      <c r="M339" s="581"/>
      <c r="N339" s="585" t="s">
        <v>2311</v>
      </c>
      <c r="O339" s="586" t="s">
        <v>4680</v>
      </c>
      <c r="P339" s="233">
        <f t="shared" si="48"/>
        <v>0</v>
      </c>
      <c r="Q339" s="233">
        <f t="shared" si="49"/>
        <v>1170</v>
      </c>
      <c r="R339" s="2">
        <f t="shared" si="50"/>
        <v>3.5</v>
      </c>
      <c r="S339" s="2">
        <f>(1/9)*cnst_fish!$C$7*(1/cnst_fish!$C$8)^(R339-1)</f>
        <v>44.596223412631026</v>
      </c>
      <c r="T339" s="682">
        <f t="shared" si="51"/>
        <v>4474.8792635165837</v>
      </c>
      <c r="W339" s="818"/>
      <c r="X339" s="818"/>
      <c r="Y339" s="819"/>
      <c r="Z339" s="820"/>
      <c r="AA339" s="820"/>
      <c r="AB339" s="821"/>
      <c r="AC339" s="821"/>
      <c r="AD339" s="253"/>
      <c r="AE339" s="253"/>
    </row>
    <row r="340" spans="1:31" ht="14.5">
      <c r="A340" t="s">
        <v>4772</v>
      </c>
      <c r="B340" t="s">
        <v>4545</v>
      </c>
      <c r="C340">
        <v>2693</v>
      </c>
      <c r="D340" s="581">
        <v>2854</v>
      </c>
      <c r="E340" s="581"/>
      <c r="F340" s="2">
        <f>(1/S340)*cnst_fish!$C$6</f>
        <v>2.3938164528281742</v>
      </c>
      <c r="G340" s="2">
        <f t="shared" si="52"/>
        <v>1</v>
      </c>
      <c r="H340" s="2">
        <f t="shared" si="52"/>
        <v>0.36449057933102513</v>
      </c>
      <c r="I340" s="2">
        <f t="shared" si="46"/>
        <v>434.55968070640307</v>
      </c>
      <c r="J340" s="389">
        <f t="shared" si="47"/>
        <v>0</v>
      </c>
      <c r="L340" s="721">
        <v>3023</v>
      </c>
      <c r="M340" s="581"/>
      <c r="N340" s="585" t="s">
        <v>1736</v>
      </c>
      <c r="O340" s="586" t="s">
        <v>4691</v>
      </c>
      <c r="P340" s="233">
        <f t="shared" si="48"/>
        <v>2854</v>
      </c>
      <c r="Q340" s="233">
        <f t="shared" si="49"/>
        <v>3023</v>
      </c>
      <c r="R340" s="2">
        <f t="shared" si="50"/>
        <v>2.1</v>
      </c>
      <c r="S340" s="2">
        <f>(1/9)*cnst_fish!$C$7*(1/cnst_fish!$C$8)^(R340-1)</f>
        <v>1.7754076320174161</v>
      </c>
      <c r="T340" s="682">
        <f t="shared" si="51"/>
        <v>460.29219158215011</v>
      </c>
      <c r="W340" s="818"/>
      <c r="X340" s="818"/>
      <c r="Y340" s="819"/>
      <c r="Z340" s="820"/>
      <c r="AA340" s="820"/>
      <c r="AB340" s="821"/>
      <c r="AC340" s="821"/>
      <c r="AD340" s="253"/>
      <c r="AE340" s="253"/>
    </row>
    <row r="341" spans="1:31" ht="14.5">
      <c r="A341" t="s">
        <v>777</v>
      </c>
      <c r="B341" t="s">
        <v>3454</v>
      </c>
      <c r="C341">
        <v>2748</v>
      </c>
      <c r="D341" s="581"/>
      <c r="E341" s="581"/>
      <c r="F341" s="2">
        <f>(1/S341)*cnst_fish!$C$6</f>
        <v>8.6914222116951781E-2</v>
      </c>
      <c r="G341" s="2">
        <f t="shared" si="52"/>
        <v>1</v>
      </c>
      <c r="H341" s="2">
        <f t="shared" si="52"/>
        <v>0.36449057933102513</v>
      </c>
      <c r="I341" s="2">
        <f t="shared" si="46"/>
        <v>0</v>
      </c>
      <c r="J341" s="389">
        <f t="shared" si="47"/>
        <v>0</v>
      </c>
      <c r="L341" s="721">
        <v>0</v>
      </c>
      <c r="M341" s="581"/>
      <c r="N341" s="585" t="s">
        <v>2310</v>
      </c>
      <c r="O341" s="586"/>
      <c r="P341" s="233">
        <f t="shared" si="48"/>
        <v>0</v>
      </c>
      <c r="Q341" s="233">
        <f t="shared" si="49"/>
        <v>0</v>
      </c>
      <c r="R341" s="2">
        <f t="shared" si="50"/>
        <v>3.54</v>
      </c>
      <c r="S341" s="2">
        <f>(1/9)*cnst_fish!$C$7*(1/cnst_fish!$C$8)^(R341-1)</f>
        <v>48.898786602280119</v>
      </c>
      <c r="T341" s="682">
        <f t="shared" si="51"/>
        <v>0</v>
      </c>
      <c r="W341" s="818"/>
      <c r="X341" s="818"/>
      <c r="Y341" s="819"/>
      <c r="Z341" s="820"/>
      <c r="AA341" s="820"/>
      <c r="AB341" s="821"/>
      <c r="AC341" s="821"/>
      <c r="AD341" s="253"/>
      <c r="AE341" s="253"/>
    </row>
    <row r="342" spans="1:31" ht="14.5">
      <c r="A342" t="s">
        <v>4251</v>
      </c>
      <c r="B342" t="s">
        <v>8562</v>
      </c>
      <c r="C342">
        <v>2606</v>
      </c>
      <c r="D342" s="581"/>
      <c r="E342" s="581"/>
      <c r="F342" s="2">
        <f>(1/S342)*cnst_fish!$C$6</f>
        <v>0.83002437741509261</v>
      </c>
      <c r="G342" s="2">
        <f t="shared" si="52"/>
        <v>1</v>
      </c>
      <c r="H342" s="2">
        <f t="shared" si="52"/>
        <v>0.36449057933102513</v>
      </c>
      <c r="I342" s="2">
        <f t="shared" si="46"/>
        <v>0</v>
      </c>
      <c r="J342" s="389">
        <f t="shared" si="47"/>
        <v>0</v>
      </c>
      <c r="L342" s="721"/>
      <c r="M342" s="581"/>
      <c r="N342" s="585" t="s">
        <v>2322</v>
      </c>
      <c r="O342" s="586" t="s">
        <v>4680</v>
      </c>
      <c r="P342" s="233">
        <f t="shared" si="48"/>
        <v>0</v>
      </c>
      <c r="Q342" s="233">
        <f t="shared" si="49"/>
        <v>0</v>
      </c>
      <c r="R342" s="2">
        <f t="shared" si="50"/>
        <v>2.56</v>
      </c>
      <c r="S342" s="2">
        <f>(1/9)*cnst_fish!$C$7*(1/cnst_fish!$C$8)^(R342-1)</f>
        <v>5.1203315416296364</v>
      </c>
      <c r="T342" s="682">
        <f t="shared" si="51"/>
        <v>0</v>
      </c>
      <c r="W342" s="818"/>
      <c r="X342" s="818"/>
      <c r="Y342" s="819"/>
      <c r="Z342" s="820"/>
      <c r="AA342" s="820"/>
      <c r="AB342" s="821"/>
      <c r="AC342" s="821"/>
      <c r="AD342" s="253"/>
      <c r="AE342" s="253"/>
    </row>
    <row r="343" spans="1:31" ht="14.5">
      <c r="A343" t="s">
        <v>6247</v>
      </c>
      <c r="B343" t="s">
        <v>6246</v>
      </c>
      <c r="C343">
        <v>16169</v>
      </c>
      <c r="D343" s="581"/>
      <c r="E343" s="581"/>
      <c r="F343" s="2">
        <f>(1/S343)*cnst_fish!$C$6</f>
        <v>3.0136363636363641</v>
      </c>
      <c r="G343" s="2">
        <f t="shared" si="52"/>
        <v>1</v>
      </c>
      <c r="H343" s="2">
        <f t="shared" si="52"/>
        <v>0.36449057933102513</v>
      </c>
      <c r="I343" s="2">
        <f t="shared" si="46"/>
        <v>0</v>
      </c>
      <c r="J343" s="389">
        <f t="shared" si="47"/>
        <v>0</v>
      </c>
      <c r="L343" s="721">
        <v>1</v>
      </c>
      <c r="M343" s="581"/>
      <c r="N343" s="585" t="s">
        <v>2311</v>
      </c>
      <c r="O343" s="586" t="s">
        <v>4680</v>
      </c>
      <c r="P343" s="233">
        <f t="shared" si="48"/>
        <v>0</v>
      </c>
      <c r="Q343" s="233">
        <f t="shared" si="49"/>
        <v>1</v>
      </c>
      <c r="R343" s="2">
        <f t="shared" si="50"/>
        <v>2</v>
      </c>
      <c r="S343" s="2">
        <f>(1/9)*cnst_fish!$C$7*(1/cnst_fish!$C$8)^(R343-1)</f>
        <v>1.4102564102564099</v>
      </c>
      <c r="T343" s="682">
        <f t="shared" si="51"/>
        <v>0.12094710023050605</v>
      </c>
      <c r="W343" s="818"/>
      <c r="X343" s="818"/>
      <c r="Y343" s="819"/>
      <c r="Z343" s="820"/>
      <c r="AA343" s="820"/>
      <c r="AB343" s="821"/>
      <c r="AC343" s="821"/>
      <c r="AD343" s="253"/>
      <c r="AE343" s="253"/>
    </row>
    <row r="344" spans="1:31" ht="14.5">
      <c r="A344" t="s">
        <v>8282</v>
      </c>
      <c r="B344" t="s">
        <v>8283</v>
      </c>
      <c r="C344">
        <v>11148</v>
      </c>
      <c r="D344" s="581"/>
      <c r="E344" s="581"/>
      <c r="F344" s="2">
        <f>(1/S344)*cnst_fish!$C$6</f>
        <v>3.0136363636363641</v>
      </c>
      <c r="G344" s="2">
        <f t="shared" si="52"/>
        <v>1</v>
      </c>
      <c r="H344" s="2">
        <f t="shared" si="52"/>
        <v>0.36449057933102513</v>
      </c>
      <c r="I344" s="2">
        <f t="shared" si="46"/>
        <v>0</v>
      </c>
      <c r="J344" s="389">
        <f t="shared" si="47"/>
        <v>0</v>
      </c>
      <c r="L344" s="721"/>
      <c r="M344" s="581"/>
      <c r="N344" s="585" t="s">
        <v>5194</v>
      </c>
      <c r="O344" s="586" t="s">
        <v>4685</v>
      </c>
      <c r="P344" s="233">
        <f t="shared" si="48"/>
        <v>0</v>
      </c>
      <c r="Q344" s="233">
        <f t="shared" si="49"/>
        <v>0</v>
      </c>
      <c r="R344" s="2">
        <f t="shared" si="50"/>
        <v>2</v>
      </c>
      <c r="S344" s="2">
        <f>(1/9)*cnst_fish!$C$7*(1/cnst_fish!$C$8)^(R344-1)</f>
        <v>1.4102564102564099</v>
      </c>
      <c r="T344" s="682">
        <f t="shared" si="51"/>
        <v>0</v>
      </c>
      <c r="W344" s="818"/>
      <c r="X344" s="818"/>
      <c r="Y344" s="819"/>
      <c r="Z344" s="820"/>
      <c r="AA344" s="820"/>
      <c r="AB344" s="821"/>
      <c r="AC344" s="821"/>
      <c r="AD344" s="253"/>
      <c r="AE344" s="253"/>
    </row>
    <row r="345" spans="1:31" ht="14.5">
      <c r="A345" t="s">
        <v>221</v>
      </c>
      <c r="B345" t="s">
        <v>5207</v>
      </c>
      <c r="C345">
        <v>2896</v>
      </c>
      <c r="D345" s="581"/>
      <c r="E345" s="581"/>
      <c r="F345" s="2">
        <f>(1/S345)*cnst_fish!$C$6</f>
        <v>0.16946922663690964</v>
      </c>
      <c r="G345" s="2">
        <f t="shared" si="52"/>
        <v>1</v>
      </c>
      <c r="H345" s="2">
        <f t="shared" si="52"/>
        <v>0.36449057933102513</v>
      </c>
      <c r="I345" s="2">
        <f t="shared" si="46"/>
        <v>0</v>
      </c>
      <c r="J345" s="389">
        <f t="shared" si="47"/>
        <v>0</v>
      </c>
      <c r="L345" s="721"/>
      <c r="M345" s="581">
        <v>994</v>
      </c>
      <c r="N345" s="585" t="s">
        <v>1738</v>
      </c>
      <c r="O345" s="586" t="s">
        <v>4685</v>
      </c>
      <c r="P345" s="233">
        <f t="shared" si="48"/>
        <v>0</v>
      </c>
      <c r="Q345" s="233">
        <f t="shared" si="49"/>
        <v>994</v>
      </c>
      <c r="R345" s="2">
        <f t="shared" si="50"/>
        <v>3.25</v>
      </c>
      <c r="S345" s="2">
        <f>(1/9)*cnst_fish!$C$7*(1/cnst_fish!$C$8)^(R345-1)</f>
        <v>25.078299372343796</v>
      </c>
      <c r="T345" s="682">
        <f t="shared" si="51"/>
        <v>2137.8727161556003</v>
      </c>
      <c r="W345" s="818"/>
      <c r="X345" s="818"/>
      <c r="Y345" s="819"/>
      <c r="Z345" s="820"/>
      <c r="AA345" s="820"/>
      <c r="AB345" s="821"/>
      <c r="AC345" s="821"/>
      <c r="AD345" s="253"/>
      <c r="AE345" s="253"/>
    </row>
    <row r="346" spans="1:31" ht="14.5">
      <c r="A346" t="s">
        <v>8852</v>
      </c>
      <c r="B346" t="s">
        <v>8853</v>
      </c>
      <c r="C346">
        <v>19011</v>
      </c>
      <c r="D346" s="581"/>
      <c r="E346" s="581"/>
      <c r="F346" s="2">
        <f>(1/S346)*cnst_fish!$C$6</f>
        <v>9.5299549485983348E-2</v>
      </c>
      <c r="G346" s="2">
        <f t="shared" si="52"/>
        <v>1</v>
      </c>
      <c r="H346" s="2">
        <f t="shared" si="52"/>
        <v>0.36449057933102513</v>
      </c>
      <c r="I346" s="2">
        <f t="shared" si="46"/>
        <v>0</v>
      </c>
      <c r="J346" s="389">
        <f t="shared" si="47"/>
        <v>0</v>
      </c>
      <c r="L346" s="721">
        <v>1910</v>
      </c>
      <c r="M346" s="581"/>
      <c r="N346" s="585" t="s">
        <v>4282</v>
      </c>
      <c r="O346" s="586" t="s">
        <v>4681</v>
      </c>
      <c r="P346" s="233">
        <f t="shared" si="48"/>
        <v>0</v>
      </c>
      <c r="Q346" s="233">
        <f t="shared" si="49"/>
        <v>1910</v>
      </c>
      <c r="R346" s="2">
        <f t="shared" si="50"/>
        <v>3.5</v>
      </c>
      <c r="S346" s="2">
        <f>(1/9)*cnst_fish!$C$7*(1/cnst_fish!$C$8)^(R346-1)</f>
        <v>44.596223412631026</v>
      </c>
      <c r="T346" s="682">
        <f t="shared" si="51"/>
        <v>7305.1447806125425</v>
      </c>
      <c r="W346" s="818"/>
      <c r="X346" s="818"/>
      <c r="Y346" s="819"/>
      <c r="Z346" s="820"/>
      <c r="AA346" s="820"/>
      <c r="AB346" s="821"/>
      <c r="AC346" s="821"/>
      <c r="AD346" s="253"/>
      <c r="AE346" s="253"/>
    </row>
    <row r="347" spans="1:31" ht="14.5">
      <c r="A347" t="s">
        <v>2248</v>
      </c>
      <c r="B347" t="s">
        <v>4820</v>
      </c>
      <c r="C347">
        <v>2953</v>
      </c>
      <c r="D347" s="581"/>
      <c r="E347" s="581">
        <v>1843.94</v>
      </c>
      <c r="F347" s="2">
        <f>(1/S347)*cnst_fish!$C$6</f>
        <v>0.30838329721915442</v>
      </c>
      <c r="G347" s="2">
        <f t="shared" si="52"/>
        <v>1</v>
      </c>
      <c r="H347" s="2">
        <f t="shared" si="52"/>
        <v>0.36449057933102513</v>
      </c>
      <c r="I347" s="2">
        <f t="shared" si="46"/>
        <v>0</v>
      </c>
      <c r="J347" s="389">
        <f t="shared" si="47"/>
        <v>2179.426593179006</v>
      </c>
      <c r="L347" s="721"/>
      <c r="M347" s="581">
        <v>1867.94</v>
      </c>
      <c r="N347" s="585" t="s">
        <v>1738</v>
      </c>
      <c r="O347" s="586" t="s">
        <v>4685</v>
      </c>
      <c r="P347" s="233">
        <f t="shared" si="48"/>
        <v>1843.94</v>
      </c>
      <c r="Q347" s="233">
        <f t="shared" si="49"/>
        <v>1867.94</v>
      </c>
      <c r="R347" s="2">
        <f t="shared" si="50"/>
        <v>2.99</v>
      </c>
      <c r="S347" s="2">
        <f>(1/9)*cnst_fish!$C$7*(1/cnst_fish!$C$8)^(R347-1)</f>
        <v>13.781550551940924</v>
      </c>
      <c r="T347" s="682">
        <f t="shared" si="51"/>
        <v>2207.7931551258675</v>
      </c>
      <c r="W347" s="818"/>
      <c r="X347" s="818"/>
      <c r="Y347" s="819"/>
      <c r="Z347" s="820"/>
      <c r="AA347" s="820"/>
      <c r="AB347" s="821"/>
      <c r="AC347" s="821"/>
      <c r="AD347" s="253"/>
      <c r="AE347" s="253"/>
    </row>
    <row r="348" spans="1:31" ht="14.5">
      <c r="A348" t="s">
        <v>8854</v>
      </c>
      <c r="B348" t="s">
        <v>8855</v>
      </c>
      <c r="C348">
        <v>20575</v>
      </c>
      <c r="D348" s="581"/>
      <c r="E348" s="581"/>
      <c r="F348" s="2">
        <f>(1/S348)*cnst_fish!$C$6</f>
        <v>2.133491159303107</v>
      </c>
      <c r="G348" s="2">
        <f t="shared" ref="G348:H367" si="53">G$7</f>
        <v>1</v>
      </c>
      <c r="H348" s="2">
        <f t="shared" si="53"/>
        <v>0.36449057933102513</v>
      </c>
      <c r="I348" s="2">
        <f t="shared" si="46"/>
        <v>0</v>
      </c>
      <c r="J348" s="389">
        <f t="shared" si="47"/>
        <v>0</v>
      </c>
      <c r="L348" s="721">
        <v>1863</v>
      </c>
      <c r="M348" s="581"/>
      <c r="N348" s="585" t="s">
        <v>4282</v>
      </c>
      <c r="O348" s="586" t="s">
        <v>4680</v>
      </c>
      <c r="P348" s="233">
        <f t="shared" si="48"/>
        <v>0</v>
      </c>
      <c r="Q348" s="233">
        <f t="shared" si="49"/>
        <v>1863</v>
      </c>
      <c r="R348" s="2">
        <f t="shared" si="50"/>
        <v>2.15</v>
      </c>
      <c r="S348" s="2">
        <f>(1/9)*cnst_fish!$C$7*(1/cnst_fish!$C$8)^(R348-1)</f>
        <v>1.9920401270320891</v>
      </c>
      <c r="T348" s="682">
        <f t="shared" si="51"/>
        <v>318.27924213921114</v>
      </c>
      <c r="W348" s="818"/>
      <c r="X348" s="818"/>
      <c r="Y348" s="819"/>
      <c r="Z348" s="820"/>
      <c r="AA348" s="820"/>
      <c r="AB348" s="821"/>
      <c r="AC348" s="821"/>
      <c r="AD348" s="253"/>
      <c r="AE348" s="253"/>
    </row>
    <row r="349" spans="1:31" ht="14.5">
      <c r="A349" t="s">
        <v>8563</v>
      </c>
      <c r="B349" t="s">
        <v>8564</v>
      </c>
      <c r="C349">
        <v>18480</v>
      </c>
      <c r="D349" s="581"/>
      <c r="E349" s="581"/>
      <c r="F349" s="2">
        <f>(1/S349)*cnst_fish!$C$6</f>
        <v>30.136363636363644</v>
      </c>
      <c r="G349" s="2">
        <f t="shared" si="53"/>
        <v>1</v>
      </c>
      <c r="H349" s="2">
        <f t="shared" si="53"/>
        <v>0.36449057933102513</v>
      </c>
      <c r="I349" s="2">
        <f t="shared" si="46"/>
        <v>0</v>
      </c>
      <c r="J349" s="389">
        <f t="shared" si="47"/>
        <v>0</v>
      </c>
      <c r="L349" s="721"/>
      <c r="M349" s="581"/>
      <c r="N349" s="585" t="s">
        <v>1740</v>
      </c>
      <c r="O349" s="586" t="s">
        <v>4671</v>
      </c>
      <c r="P349" s="233">
        <f t="shared" si="48"/>
        <v>0</v>
      </c>
      <c r="Q349" s="233">
        <f t="shared" si="49"/>
        <v>0</v>
      </c>
      <c r="R349" s="2">
        <f t="shared" si="50"/>
        <v>1</v>
      </c>
      <c r="S349" s="2">
        <f>(1/9)*cnst_fish!$C$7*(1/cnst_fish!$C$8)^(R349-1)</f>
        <v>0.141025641025641</v>
      </c>
      <c r="T349" s="682">
        <f t="shared" si="51"/>
        <v>0</v>
      </c>
      <c r="W349" s="818"/>
      <c r="X349" s="818"/>
      <c r="Y349" s="819"/>
      <c r="Z349" s="820"/>
      <c r="AA349" s="820"/>
      <c r="AB349" s="821"/>
      <c r="AC349" s="821"/>
      <c r="AD349" s="253"/>
      <c r="AE349" s="253"/>
    </row>
    <row r="350" spans="1:31" ht="14.5">
      <c r="A350" t="s">
        <v>5985</v>
      </c>
      <c r="B350" t="s">
        <v>8565</v>
      </c>
      <c r="C350">
        <v>2774</v>
      </c>
      <c r="D350" s="581"/>
      <c r="E350" s="581"/>
      <c r="F350" s="2">
        <f>(1/S350)*cnst_fish!$C$6</f>
        <v>30.136363636363644</v>
      </c>
      <c r="G350" s="2">
        <f t="shared" si="53"/>
        <v>1</v>
      </c>
      <c r="H350" s="2">
        <f t="shared" si="53"/>
        <v>0.36449057933102513</v>
      </c>
      <c r="I350" s="2">
        <f t="shared" si="46"/>
        <v>0</v>
      </c>
      <c r="J350" s="389">
        <f t="shared" si="47"/>
        <v>0</v>
      </c>
      <c r="L350" s="721"/>
      <c r="M350" s="581"/>
      <c r="N350" s="585" t="s">
        <v>1740</v>
      </c>
      <c r="O350" s="586" t="s">
        <v>4671</v>
      </c>
      <c r="P350" s="233">
        <f t="shared" si="48"/>
        <v>0</v>
      </c>
      <c r="Q350" s="233">
        <f t="shared" si="49"/>
        <v>0</v>
      </c>
      <c r="R350" s="2">
        <f t="shared" si="50"/>
        <v>1</v>
      </c>
      <c r="S350" s="2">
        <f>(1/9)*cnst_fish!$C$7*(1/cnst_fish!$C$8)^(R350-1)</f>
        <v>0.141025641025641</v>
      </c>
      <c r="T350" s="682">
        <f t="shared" si="51"/>
        <v>0</v>
      </c>
      <c r="W350" s="818"/>
      <c r="X350" s="818"/>
      <c r="Y350" s="819"/>
      <c r="Z350" s="820"/>
      <c r="AA350" s="820"/>
      <c r="AB350" s="821"/>
      <c r="AC350" s="821"/>
      <c r="AD350" s="253"/>
      <c r="AE350" s="253"/>
    </row>
    <row r="351" spans="1:31" ht="14.5">
      <c r="A351" t="s">
        <v>9000</v>
      </c>
      <c r="B351" t="s">
        <v>9001</v>
      </c>
      <c r="C351">
        <v>11160</v>
      </c>
      <c r="D351" s="581"/>
      <c r="E351" s="581"/>
      <c r="F351" s="869">
        <f>(1/S351)*cnst_fish!$C$6</f>
        <v>6.0129950673834844E-2</v>
      </c>
      <c r="G351" s="869">
        <f t="shared" si="53"/>
        <v>1</v>
      </c>
      <c r="H351" s="869">
        <f t="shared" si="53"/>
        <v>0.36449057933102513</v>
      </c>
      <c r="I351" s="869">
        <f t="shared" si="46"/>
        <v>0</v>
      </c>
      <c r="J351" s="389">
        <f t="shared" si="47"/>
        <v>0</v>
      </c>
      <c r="L351" s="721">
        <v>139</v>
      </c>
      <c r="M351" s="581"/>
      <c r="N351" s="877" t="s">
        <v>1738</v>
      </c>
      <c r="O351" s="881" t="s">
        <v>4681</v>
      </c>
      <c r="P351" s="871">
        <f t="shared" si="48"/>
        <v>0</v>
      </c>
      <c r="Q351" s="871">
        <f t="shared" si="49"/>
        <v>139</v>
      </c>
      <c r="R351" s="869">
        <f t="shared" si="50"/>
        <v>3.7</v>
      </c>
      <c r="S351" s="869">
        <f>(1/9)*cnst_fish!$C$7*(1/cnst_fish!$C$8)^(R351-1)</f>
        <v>70.680250896153822</v>
      </c>
      <c r="T351" s="682">
        <f t="shared" si="51"/>
        <v>842.57828185877236</v>
      </c>
      <c r="W351" s="818"/>
      <c r="X351" s="818"/>
      <c r="Y351" s="819"/>
      <c r="Z351" s="820"/>
      <c r="AA351" s="820"/>
      <c r="AB351" s="821"/>
      <c r="AC351" s="821"/>
      <c r="AD351" s="253"/>
      <c r="AE351" s="253"/>
    </row>
    <row r="352" spans="1:31" ht="14.5">
      <c r="A352" t="s">
        <v>1607</v>
      </c>
      <c r="B352" t="s">
        <v>2459</v>
      </c>
      <c r="C352">
        <v>18760</v>
      </c>
      <c r="D352" s="581"/>
      <c r="E352" s="581"/>
      <c r="F352" s="2">
        <f>(1/S352)*cnst_fish!$C$6</f>
        <v>7.2292101150450983E-2</v>
      </c>
      <c r="G352" s="2">
        <f t="shared" si="53"/>
        <v>1</v>
      </c>
      <c r="H352" s="2">
        <f t="shared" si="53"/>
        <v>0.36449057933102513</v>
      </c>
      <c r="I352" s="2">
        <f t="shared" si="46"/>
        <v>0</v>
      </c>
      <c r="J352" s="389">
        <f t="shared" si="47"/>
        <v>0</v>
      </c>
      <c r="L352" s="721">
        <v>1</v>
      </c>
      <c r="M352" s="581"/>
      <c r="N352" s="585" t="s">
        <v>1738</v>
      </c>
      <c r="O352" s="586" t="s">
        <v>4681</v>
      </c>
      <c r="P352" s="233">
        <f t="shared" si="48"/>
        <v>0</v>
      </c>
      <c r="Q352" s="233">
        <f t="shared" si="49"/>
        <v>1</v>
      </c>
      <c r="R352" s="2">
        <f t="shared" si="50"/>
        <v>3.62</v>
      </c>
      <c r="S352" s="2">
        <f>(1/9)*cnst_fish!$C$7*(1/cnst_fish!$C$8)^(R352-1)</f>
        <v>58.789272027867845</v>
      </c>
      <c r="T352" s="682">
        <f t="shared" si="51"/>
        <v>5.0419143105615944</v>
      </c>
      <c r="W352" s="818"/>
      <c r="X352" s="818"/>
      <c r="Y352" s="819"/>
      <c r="Z352" s="820"/>
      <c r="AA352" s="820"/>
      <c r="AB352" s="821"/>
      <c r="AC352" s="821"/>
      <c r="AD352" s="253"/>
      <c r="AE352" s="253"/>
    </row>
    <row r="353" spans="1:31" ht="14.5">
      <c r="A353" t="s">
        <v>2250</v>
      </c>
      <c r="B353" t="s">
        <v>2251</v>
      </c>
      <c r="C353">
        <v>11161</v>
      </c>
      <c r="D353" s="581"/>
      <c r="E353" s="581"/>
      <c r="F353" s="2">
        <f>(1/S353)*cnst_fish!$C$6</f>
        <v>4.6675700833589753E-2</v>
      </c>
      <c r="G353" s="2">
        <f t="shared" si="53"/>
        <v>1</v>
      </c>
      <c r="H353" s="2">
        <f t="shared" si="53"/>
        <v>0.36449057933102513</v>
      </c>
      <c r="I353" s="2">
        <f t="shared" si="46"/>
        <v>0</v>
      </c>
      <c r="J353" s="389">
        <f t="shared" si="47"/>
        <v>0</v>
      </c>
      <c r="L353" s="721">
        <v>37</v>
      </c>
      <c r="M353" s="581"/>
      <c r="N353" s="585" t="s">
        <v>1738</v>
      </c>
      <c r="O353" s="586" t="s">
        <v>4681</v>
      </c>
      <c r="P353" s="233">
        <f t="shared" si="48"/>
        <v>0</v>
      </c>
      <c r="Q353" s="233">
        <f t="shared" si="49"/>
        <v>37</v>
      </c>
      <c r="R353" s="2">
        <f t="shared" si="50"/>
        <v>3.81</v>
      </c>
      <c r="S353" s="2">
        <f>(1/9)*cnst_fish!$C$7*(1/cnst_fish!$C$8)^(R353-1)</f>
        <v>91.053801530528389</v>
      </c>
      <c r="T353" s="682">
        <f t="shared" si="51"/>
        <v>288.93302498722721</v>
      </c>
      <c r="W353" s="818"/>
      <c r="X353" s="818"/>
      <c r="Y353" s="819"/>
      <c r="Z353" s="820"/>
      <c r="AA353" s="820"/>
      <c r="AB353" s="821"/>
      <c r="AC353" s="821"/>
      <c r="AD353" s="253"/>
      <c r="AE353" s="253"/>
    </row>
    <row r="354" spans="1:31" ht="14.5">
      <c r="A354" t="s">
        <v>2098</v>
      </c>
      <c r="B354" t="s">
        <v>2460</v>
      </c>
      <c r="C354">
        <v>11162</v>
      </c>
      <c r="D354" s="581"/>
      <c r="E354" s="581"/>
      <c r="F354" s="2">
        <f>(1/S354)*cnst_fish!$C$6</f>
        <v>3.7939434000887833E-2</v>
      </c>
      <c r="G354" s="2">
        <f t="shared" si="53"/>
        <v>1</v>
      </c>
      <c r="H354" s="2">
        <f t="shared" si="53"/>
        <v>0.36449057933102513</v>
      </c>
      <c r="I354" s="2">
        <f t="shared" si="46"/>
        <v>0</v>
      </c>
      <c r="J354" s="389">
        <f t="shared" si="47"/>
        <v>0</v>
      </c>
      <c r="L354" s="721">
        <v>3045</v>
      </c>
      <c r="M354" s="581"/>
      <c r="N354" s="585" t="s">
        <v>1738</v>
      </c>
      <c r="O354" s="586" t="s">
        <v>4681</v>
      </c>
      <c r="P354" s="233">
        <f t="shared" si="48"/>
        <v>0</v>
      </c>
      <c r="Q354" s="233">
        <f t="shared" si="49"/>
        <v>3045</v>
      </c>
      <c r="R354" s="2">
        <f t="shared" si="50"/>
        <v>3.9</v>
      </c>
      <c r="S354" s="2">
        <f>(1/9)*cnst_fish!$C$7*(1/cnst_fish!$C$8)^(R354-1)</f>
        <v>112.02064848675771</v>
      </c>
      <c r="T354" s="682">
        <f t="shared" si="51"/>
        <v>29253.831621130645</v>
      </c>
      <c r="W354" s="818"/>
      <c r="X354" s="818"/>
      <c r="Y354" s="819"/>
      <c r="Z354" s="820"/>
      <c r="AA354" s="820"/>
      <c r="AB354" s="821"/>
      <c r="AC354" s="821"/>
      <c r="AD354" s="253"/>
      <c r="AE354" s="253"/>
    </row>
    <row r="355" spans="1:31" ht="14.5">
      <c r="A355" t="s">
        <v>8284</v>
      </c>
      <c r="B355" t="s">
        <v>8285</v>
      </c>
      <c r="C355">
        <v>11165</v>
      </c>
      <c r="D355" s="581"/>
      <c r="E355" s="581"/>
      <c r="F355" s="2">
        <f>(1/S355)*cnst_fish!$C$6</f>
        <v>0.11997502458044032</v>
      </c>
      <c r="G355" s="2">
        <f t="shared" si="53"/>
        <v>1</v>
      </c>
      <c r="H355" s="2">
        <f t="shared" si="53"/>
        <v>0.36449057933102513</v>
      </c>
      <c r="I355" s="2">
        <f t="shared" si="46"/>
        <v>0</v>
      </c>
      <c r="J355" s="389">
        <f t="shared" si="47"/>
        <v>0</v>
      </c>
      <c r="L355" s="721">
        <v>3</v>
      </c>
      <c r="M355" s="581"/>
      <c r="N355" s="585" t="s">
        <v>1738</v>
      </c>
      <c r="O355" s="586" t="s">
        <v>4681</v>
      </c>
      <c r="P355" s="233">
        <f t="shared" si="48"/>
        <v>0</v>
      </c>
      <c r="Q355" s="233">
        <f t="shared" si="49"/>
        <v>3</v>
      </c>
      <c r="R355" s="2">
        <f t="shared" si="50"/>
        <v>3.4</v>
      </c>
      <c r="S355" s="2">
        <f>(1/9)*cnst_fish!$C$7*(1/cnst_fish!$C$8)^(R355-1)</f>
        <v>35.424039418724846</v>
      </c>
      <c r="T355" s="682">
        <f t="shared" si="51"/>
        <v>9.1141613999831215</v>
      </c>
      <c r="W355" s="818"/>
      <c r="X355" s="818"/>
      <c r="Y355" s="819"/>
      <c r="Z355" s="820"/>
      <c r="AA355" s="820"/>
      <c r="AB355" s="821"/>
      <c r="AC355" s="821"/>
      <c r="AD355" s="253"/>
      <c r="AE355" s="253"/>
    </row>
    <row r="356" spans="1:31" ht="14.5">
      <c r="A356" t="s">
        <v>1718</v>
      </c>
      <c r="B356" t="s">
        <v>2461</v>
      </c>
      <c r="C356">
        <v>11168</v>
      </c>
      <c r="D356" s="581"/>
      <c r="E356" s="581"/>
      <c r="F356" s="2">
        <f>(1/S356)*cnst_fish!$C$6</f>
        <v>8.1113071591070229E-2</v>
      </c>
      <c r="G356" s="2">
        <f t="shared" si="53"/>
        <v>1</v>
      </c>
      <c r="H356" s="2">
        <f t="shared" si="53"/>
        <v>0.36449057933102513</v>
      </c>
      <c r="I356" s="2">
        <f t="shared" si="46"/>
        <v>0</v>
      </c>
      <c r="J356" s="389">
        <f t="shared" si="47"/>
        <v>0</v>
      </c>
      <c r="L356" s="721">
        <v>53</v>
      </c>
      <c r="M356" s="581"/>
      <c r="N356" s="585" t="s">
        <v>1738</v>
      </c>
      <c r="O356" s="586" t="s">
        <v>4681</v>
      </c>
      <c r="P356" s="233">
        <f t="shared" si="48"/>
        <v>0</v>
      </c>
      <c r="Q356" s="233">
        <f t="shared" si="49"/>
        <v>53</v>
      </c>
      <c r="R356" s="2">
        <f t="shared" si="50"/>
        <v>3.57</v>
      </c>
      <c r="S356" s="2">
        <f>(1/9)*cnst_fish!$C$7*(1/cnst_fish!$C$8)^(R356-1)</f>
        <v>52.395993847037154</v>
      </c>
      <c r="T356" s="682">
        <f t="shared" si="51"/>
        <v>238.16137554173278</v>
      </c>
      <c r="W356" s="818"/>
      <c r="X356" s="818"/>
      <c r="Y356" s="819"/>
      <c r="Z356" s="820"/>
      <c r="AA356" s="820"/>
      <c r="AB356" s="821"/>
      <c r="AC356" s="821"/>
      <c r="AD356" s="253"/>
      <c r="AE356" s="253"/>
    </row>
    <row r="357" spans="1:31" ht="14.5">
      <c r="A357" t="s">
        <v>3637</v>
      </c>
      <c r="B357" t="s">
        <v>2462</v>
      </c>
      <c r="C357">
        <v>3644</v>
      </c>
      <c r="D357" s="581"/>
      <c r="E357" s="581"/>
      <c r="F357" s="2">
        <f>(1/S357)*cnst_fish!$C$6</f>
        <v>4.6675700833589753E-2</v>
      </c>
      <c r="G357" s="2">
        <f t="shared" si="53"/>
        <v>1</v>
      </c>
      <c r="H357" s="2">
        <f t="shared" si="53"/>
        <v>0.36449057933102513</v>
      </c>
      <c r="I357" s="2">
        <f t="shared" si="46"/>
        <v>0</v>
      </c>
      <c r="J357" s="389">
        <f t="shared" si="47"/>
        <v>0</v>
      </c>
      <c r="L357" s="721">
        <v>404</v>
      </c>
      <c r="M357" s="581"/>
      <c r="N357" s="585" t="s">
        <v>1738</v>
      </c>
      <c r="O357" s="586" t="s">
        <v>4681</v>
      </c>
      <c r="P357" s="233">
        <f t="shared" si="48"/>
        <v>0</v>
      </c>
      <c r="Q357" s="233">
        <f t="shared" si="49"/>
        <v>404</v>
      </c>
      <c r="R357" s="2">
        <f t="shared" si="50"/>
        <v>3.81</v>
      </c>
      <c r="S357" s="2">
        <f>(1/9)*cnst_fish!$C$7*(1/cnst_fish!$C$8)^(R357-1)</f>
        <v>91.053801530528389</v>
      </c>
      <c r="T357" s="682">
        <f t="shared" si="51"/>
        <v>3154.8362728335082</v>
      </c>
      <c r="W357" s="822"/>
      <c r="X357" s="822"/>
      <c r="Y357" s="819"/>
      <c r="Z357" s="820"/>
      <c r="AA357" s="820"/>
      <c r="AB357" s="821"/>
      <c r="AC357" s="821"/>
      <c r="AD357" s="253"/>
      <c r="AE357" s="253"/>
    </row>
    <row r="358" spans="1:31" ht="14.5">
      <c r="A358" t="s">
        <v>6605</v>
      </c>
      <c r="B358" t="s">
        <v>6604</v>
      </c>
      <c r="C358">
        <v>11175</v>
      </c>
      <c r="D358" s="581"/>
      <c r="E358" s="581"/>
      <c r="F358" s="2">
        <f>(1/S358)*cnst_fish!$C$6</f>
        <v>9.5299549485983348E-2</v>
      </c>
      <c r="G358" s="2">
        <f t="shared" si="53"/>
        <v>1</v>
      </c>
      <c r="H358" s="2">
        <f t="shared" si="53"/>
        <v>0.36449057933102513</v>
      </c>
      <c r="I358" s="2">
        <f t="shared" si="46"/>
        <v>0</v>
      </c>
      <c r="J358" s="389">
        <f t="shared" si="47"/>
        <v>0</v>
      </c>
      <c r="L358" s="721">
        <v>42</v>
      </c>
      <c r="M358" s="581"/>
      <c r="N358" s="585" t="s">
        <v>1738</v>
      </c>
      <c r="O358" s="586" t="s">
        <v>4681</v>
      </c>
      <c r="P358" s="233">
        <f t="shared" si="48"/>
        <v>0</v>
      </c>
      <c r="Q358" s="233">
        <f t="shared" si="49"/>
        <v>42</v>
      </c>
      <c r="R358" s="2">
        <f t="shared" si="50"/>
        <v>3.5</v>
      </c>
      <c r="S358" s="2">
        <f>(1/9)*cnst_fish!$C$7*(1/cnst_fish!$C$8)^(R358-1)</f>
        <v>44.596223412631026</v>
      </c>
      <c r="T358" s="682">
        <f t="shared" si="51"/>
        <v>160.63669151085173</v>
      </c>
      <c r="W358" s="818"/>
      <c r="X358" s="818"/>
      <c r="Y358" s="819"/>
      <c r="Z358" s="820"/>
      <c r="AA358" s="820"/>
      <c r="AB358" s="821"/>
      <c r="AC358" s="821"/>
      <c r="AD358" s="253"/>
      <c r="AE358" s="253"/>
    </row>
    <row r="359" spans="1:31" ht="14.5">
      <c r="A359" t="s">
        <v>483</v>
      </c>
      <c r="B359" t="s">
        <v>2463</v>
      </c>
      <c r="C359">
        <v>3316</v>
      </c>
      <c r="D359" s="581"/>
      <c r="E359" s="581"/>
      <c r="F359" s="2">
        <f>(1/S359)*cnst_fish!$C$6</f>
        <v>5.7423657091346926E-2</v>
      </c>
      <c r="G359" s="2">
        <f t="shared" si="53"/>
        <v>1</v>
      </c>
      <c r="H359" s="2">
        <f t="shared" si="53"/>
        <v>0.36449057933102513</v>
      </c>
      <c r="I359" s="2">
        <f t="shared" si="46"/>
        <v>0</v>
      </c>
      <c r="J359" s="389">
        <f t="shared" si="47"/>
        <v>0</v>
      </c>
      <c r="L359" s="721">
        <v>406</v>
      </c>
      <c r="M359" s="581"/>
      <c r="N359" s="585" t="s">
        <v>1738</v>
      </c>
      <c r="O359" s="586" t="s">
        <v>4681</v>
      </c>
      <c r="P359" s="233">
        <f t="shared" si="48"/>
        <v>0</v>
      </c>
      <c r="Q359" s="233">
        <f t="shared" si="49"/>
        <v>406</v>
      </c>
      <c r="R359" s="2">
        <f t="shared" si="50"/>
        <v>3.72</v>
      </c>
      <c r="S359" s="2">
        <f>(1/9)*cnst_fish!$C$7*(1/cnst_fish!$C$8)^(R359-1)</f>
        <v>74.011308496762837</v>
      </c>
      <c r="T359" s="682">
        <f t="shared" si="51"/>
        <v>2577.0419841597923</v>
      </c>
      <c r="W359" s="818"/>
      <c r="X359" s="818"/>
      <c r="Y359" s="819"/>
      <c r="Z359" s="820"/>
      <c r="AA359" s="820"/>
      <c r="AB359" s="821"/>
      <c r="AC359" s="821"/>
      <c r="AD359" s="253"/>
      <c r="AE359" s="253"/>
    </row>
    <row r="360" spans="1:31" ht="14.5">
      <c r="A360" t="s">
        <v>698</v>
      </c>
      <c r="B360" t="s">
        <v>2464</v>
      </c>
      <c r="C360">
        <v>11176</v>
      </c>
      <c r="D360" s="581"/>
      <c r="E360" s="581"/>
      <c r="F360" s="2">
        <f>(1/S360)*cnst_fish!$C$6</f>
        <v>3.6231878188697476E-2</v>
      </c>
      <c r="G360" s="2">
        <f t="shared" si="53"/>
        <v>1</v>
      </c>
      <c r="H360" s="2">
        <f t="shared" si="53"/>
        <v>0.36449057933102513</v>
      </c>
      <c r="I360" s="2">
        <f t="shared" si="46"/>
        <v>0</v>
      </c>
      <c r="J360" s="389">
        <f t="shared" si="47"/>
        <v>0</v>
      </c>
      <c r="L360" s="721">
        <v>53</v>
      </c>
      <c r="M360" s="581"/>
      <c r="N360" s="585" t="s">
        <v>1738</v>
      </c>
      <c r="O360" s="586" t="s">
        <v>4681</v>
      </c>
      <c r="P360" s="233">
        <f t="shared" si="48"/>
        <v>0</v>
      </c>
      <c r="Q360" s="233">
        <f t="shared" si="49"/>
        <v>53</v>
      </c>
      <c r="R360" s="2">
        <f t="shared" si="50"/>
        <v>3.92</v>
      </c>
      <c r="S360" s="2">
        <f>(1/9)*cnst_fish!$C$7*(1/cnst_fish!$C$8)^(R360-1)</f>
        <v>117.30001900165877</v>
      </c>
      <c r="T360" s="682">
        <f t="shared" si="51"/>
        <v>533.17690581579006</v>
      </c>
      <c r="W360" s="818"/>
      <c r="X360" s="818"/>
      <c r="Y360" s="819"/>
      <c r="Z360" s="820"/>
      <c r="AA360" s="820"/>
      <c r="AB360" s="821"/>
      <c r="AC360" s="821"/>
      <c r="AD360" s="253"/>
      <c r="AE360" s="253"/>
    </row>
    <row r="361" spans="1:31" ht="14.5">
      <c r="A361" t="s">
        <v>1529</v>
      </c>
      <c r="B361" t="s">
        <v>727</v>
      </c>
      <c r="C361">
        <v>2835</v>
      </c>
      <c r="D361" s="581"/>
      <c r="E361" s="581"/>
      <c r="F361" s="2">
        <f>(1/S361)*cnst_fish!$C$6</f>
        <v>2.234039499920492E-2</v>
      </c>
      <c r="G361" s="2">
        <f t="shared" si="53"/>
        <v>1</v>
      </c>
      <c r="H361" s="2">
        <f t="shared" si="53"/>
        <v>0.36449057933102513</v>
      </c>
      <c r="I361" s="2">
        <f t="shared" si="46"/>
        <v>0</v>
      </c>
      <c r="J361" s="389">
        <f t="shared" si="47"/>
        <v>0</v>
      </c>
      <c r="L361" s="721">
        <v>16</v>
      </c>
      <c r="M361" s="581"/>
      <c r="N361" s="585" t="s">
        <v>3785</v>
      </c>
      <c r="O361" s="586" t="s">
        <v>4681</v>
      </c>
      <c r="P361" s="233">
        <f t="shared" si="48"/>
        <v>0</v>
      </c>
      <c r="Q361" s="233">
        <f t="shared" si="49"/>
        <v>16</v>
      </c>
      <c r="R361" s="2">
        <f t="shared" si="50"/>
        <v>4.13</v>
      </c>
      <c r="S361" s="2">
        <f>(1/9)*cnst_fish!$C$7*(1/cnst_fish!$C$8)^(R361-1)</f>
        <v>190.23835523728451</v>
      </c>
      <c r="T361" s="682">
        <f t="shared" si="51"/>
        <v>261.04503834887225</v>
      </c>
      <c r="W361" s="818"/>
      <c r="X361" s="818"/>
      <c r="Y361" s="819"/>
      <c r="Z361" s="820"/>
      <c r="AA361" s="820"/>
      <c r="AB361" s="821"/>
      <c r="AC361" s="821"/>
      <c r="AD361" s="253"/>
      <c r="AE361" s="253"/>
    </row>
    <row r="362" spans="1:31" ht="14.5">
      <c r="A362" t="s">
        <v>3924</v>
      </c>
      <c r="B362" t="s">
        <v>1035</v>
      </c>
      <c r="C362">
        <v>2837</v>
      </c>
      <c r="D362" s="581"/>
      <c r="E362" s="581"/>
      <c r="F362" s="2">
        <f>(1/S362)*cnst_fish!$C$6</f>
        <v>1.1196720767792065E-2</v>
      </c>
      <c r="G362" s="2">
        <f t="shared" si="53"/>
        <v>1</v>
      </c>
      <c r="H362" s="2">
        <f t="shared" si="53"/>
        <v>0.36449057933102513</v>
      </c>
      <c r="I362" s="2">
        <f t="shared" si="46"/>
        <v>0</v>
      </c>
      <c r="J362" s="389">
        <f t="shared" si="47"/>
        <v>0</v>
      </c>
      <c r="L362" s="721">
        <v>0</v>
      </c>
      <c r="M362" s="581"/>
      <c r="N362" s="585" t="s">
        <v>3785</v>
      </c>
      <c r="O362" s="586" t="s">
        <v>4681</v>
      </c>
      <c r="P362" s="233">
        <f t="shared" si="48"/>
        <v>0</v>
      </c>
      <c r="Q362" s="233">
        <f t="shared" si="49"/>
        <v>0</v>
      </c>
      <c r="R362" s="2">
        <f t="shared" si="50"/>
        <v>4.43</v>
      </c>
      <c r="S362" s="2">
        <f>(1/9)*cnst_fish!$C$7*(1/cnst_fish!$C$8)^(R362-1)</f>
        <v>379.57542106661629</v>
      </c>
      <c r="T362" s="682">
        <f t="shared" si="51"/>
        <v>0</v>
      </c>
      <c r="W362" s="822"/>
      <c r="X362" s="822"/>
      <c r="Y362" s="819"/>
      <c r="Z362" s="820"/>
      <c r="AA362" s="820"/>
      <c r="AB362" s="821"/>
      <c r="AC362" s="821"/>
      <c r="AD362" s="253"/>
      <c r="AE362" s="253"/>
    </row>
    <row r="363" spans="1:31" ht="14.5">
      <c r="A363" t="s">
        <v>3006</v>
      </c>
      <c r="B363" t="s">
        <v>728</v>
      </c>
      <c r="C363">
        <v>2036</v>
      </c>
      <c r="D363" s="581"/>
      <c r="E363" s="581"/>
      <c r="F363" s="2">
        <f>(1/S363)*cnst_fish!$C$6</f>
        <v>1.8158954798513597E-2</v>
      </c>
      <c r="G363" s="2">
        <f t="shared" si="53"/>
        <v>1</v>
      </c>
      <c r="H363" s="2">
        <f t="shared" si="53"/>
        <v>0.36449057933102513</v>
      </c>
      <c r="I363" s="2">
        <f t="shared" si="46"/>
        <v>0</v>
      </c>
      <c r="J363" s="389">
        <f t="shared" si="47"/>
        <v>0</v>
      </c>
      <c r="L363" s="721">
        <v>156</v>
      </c>
      <c r="M363" s="581"/>
      <c r="N363" s="585" t="s">
        <v>3785</v>
      </c>
      <c r="O363" s="586" t="s">
        <v>4681</v>
      </c>
      <c r="P363" s="233">
        <f t="shared" si="48"/>
        <v>0</v>
      </c>
      <c r="Q363" s="233">
        <f t="shared" si="49"/>
        <v>156</v>
      </c>
      <c r="R363" s="2">
        <f t="shared" si="50"/>
        <v>4.22</v>
      </c>
      <c r="S363" s="2">
        <f>(1/9)*cnst_fish!$C$7*(1/cnst_fish!$C$8)^(R363-1)</f>
        <v>234.0443074591432</v>
      </c>
      <c r="T363" s="682">
        <f t="shared" si="51"/>
        <v>3131.266694947346</v>
      </c>
      <c r="W363" s="822"/>
      <c r="X363" s="822"/>
      <c r="Y363" s="819"/>
      <c r="Z363" s="820"/>
      <c r="AA363" s="820"/>
      <c r="AB363" s="821"/>
      <c r="AC363" s="821"/>
      <c r="AD363" s="253"/>
      <c r="AE363" s="253"/>
    </row>
    <row r="364" spans="1:31" ht="14.5">
      <c r="A364" t="s">
        <v>8856</v>
      </c>
      <c r="B364" t="s">
        <v>8857</v>
      </c>
      <c r="C364">
        <v>11186</v>
      </c>
      <c r="D364" s="581"/>
      <c r="E364" s="581"/>
      <c r="F364" s="2">
        <f>(1/S364)*cnst_fish!$C$6</f>
        <v>1.9014759972289439E-2</v>
      </c>
      <c r="G364" s="2">
        <f t="shared" si="53"/>
        <v>1</v>
      </c>
      <c r="H364" s="2">
        <f t="shared" si="53"/>
        <v>0.36449057933102513</v>
      </c>
      <c r="I364" s="2">
        <f t="shared" si="46"/>
        <v>0</v>
      </c>
      <c r="J364" s="389">
        <f t="shared" si="47"/>
        <v>0</v>
      </c>
      <c r="L364" s="721">
        <v>100</v>
      </c>
      <c r="M364" s="581"/>
      <c r="N364" s="585" t="s">
        <v>4282</v>
      </c>
      <c r="O364" s="586" t="s">
        <v>4681</v>
      </c>
      <c r="P364" s="233">
        <f t="shared" si="48"/>
        <v>0</v>
      </c>
      <c r="Q364" s="233">
        <f t="shared" si="49"/>
        <v>100</v>
      </c>
      <c r="R364" s="2">
        <f t="shared" si="50"/>
        <v>4.2</v>
      </c>
      <c r="S364" s="2">
        <f>(1/9)*cnst_fish!$C$7*(1/cnst_fish!$C$8)^(R364-1)</f>
        <v>223.51057842400343</v>
      </c>
      <c r="T364" s="682">
        <f t="shared" si="51"/>
        <v>1916.8823580324126</v>
      </c>
      <c r="W364" s="818"/>
      <c r="X364" s="818"/>
      <c r="Y364" s="819"/>
      <c r="Z364" s="820"/>
      <c r="AA364" s="820"/>
      <c r="AB364" s="821"/>
      <c r="AC364" s="821"/>
      <c r="AD364" s="253"/>
      <c r="AE364" s="253"/>
    </row>
    <row r="365" spans="1:31" ht="14.5">
      <c r="A365" t="s">
        <v>9002</v>
      </c>
      <c r="B365" t="s">
        <v>9003</v>
      </c>
      <c r="C365">
        <v>11188</v>
      </c>
      <c r="D365" s="581"/>
      <c r="E365" s="581"/>
      <c r="F365" s="869">
        <f>(1/S365)*cnst_fish!$C$6</f>
        <v>1.9014759972289439E-2</v>
      </c>
      <c r="G365" s="869">
        <f t="shared" si="53"/>
        <v>1</v>
      </c>
      <c r="H365" s="869">
        <f t="shared" si="53"/>
        <v>0.36449057933102513</v>
      </c>
      <c r="I365" s="869">
        <f t="shared" si="46"/>
        <v>0</v>
      </c>
      <c r="J365" s="389">
        <f t="shared" si="47"/>
        <v>0</v>
      </c>
      <c r="L365" s="721">
        <v>40</v>
      </c>
      <c r="M365" s="581"/>
      <c r="N365" s="877" t="s">
        <v>1738</v>
      </c>
      <c r="O365" s="881" t="s">
        <v>4681</v>
      </c>
      <c r="P365" s="871">
        <f t="shared" si="48"/>
        <v>0</v>
      </c>
      <c r="Q365" s="871">
        <f t="shared" si="49"/>
        <v>40</v>
      </c>
      <c r="R365" s="869">
        <f t="shared" si="50"/>
        <v>4.2</v>
      </c>
      <c r="S365" s="869">
        <f>(1/9)*cnst_fish!$C$7*(1/cnst_fish!$C$8)^(R365-1)</f>
        <v>223.51057842400343</v>
      </c>
      <c r="T365" s="682">
        <f t="shared" si="51"/>
        <v>766.75294321296508</v>
      </c>
      <c r="W365" s="818"/>
      <c r="X365" s="818"/>
      <c r="Y365" s="819"/>
      <c r="Z365" s="820"/>
      <c r="AA365" s="820"/>
      <c r="AB365" s="821"/>
      <c r="AC365" s="821"/>
      <c r="AD365" s="253"/>
      <c r="AE365" s="253"/>
    </row>
    <row r="366" spans="1:31" ht="14.5">
      <c r="A366" t="s">
        <v>1575</v>
      </c>
      <c r="B366" t="s">
        <v>2302</v>
      </c>
      <c r="C366">
        <v>3066</v>
      </c>
      <c r="D366" s="581"/>
      <c r="E366" s="581"/>
      <c r="F366" s="2">
        <f>(1/S366)*cnst_fish!$C$6</f>
        <v>2.5650205424007942E-2</v>
      </c>
      <c r="G366" s="2">
        <f t="shared" si="53"/>
        <v>1</v>
      </c>
      <c r="H366" s="2">
        <f t="shared" si="53"/>
        <v>0.36449057933102513</v>
      </c>
      <c r="I366" s="2">
        <f t="shared" si="46"/>
        <v>0</v>
      </c>
      <c r="J366" s="389">
        <f t="shared" si="47"/>
        <v>0</v>
      </c>
      <c r="L366" s="721">
        <v>15791</v>
      </c>
      <c r="M366" s="581">
        <v>189</v>
      </c>
      <c r="N366" s="585" t="s">
        <v>1738</v>
      </c>
      <c r="O366" s="586" t="s">
        <v>4681</v>
      </c>
      <c r="P366" s="233">
        <f t="shared" si="48"/>
        <v>0</v>
      </c>
      <c r="Q366" s="233">
        <f t="shared" si="49"/>
        <v>15980</v>
      </c>
      <c r="R366" s="2">
        <f t="shared" si="50"/>
        <v>4.07</v>
      </c>
      <c r="S366" s="2">
        <f>(1/9)*cnst_fish!$C$7*(1/cnst_fish!$C$8)^(R366-1)</f>
        <v>165.6906808248057</v>
      </c>
      <c r="T366" s="682">
        <f t="shared" si="51"/>
        <v>227076.52283588113</v>
      </c>
      <c r="W366" s="818"/>
      <c r="X366" s="818"/>
      <c r="Y366" s="819"/>
      <c r="Z366" s="820"/>
      <c r="AA366" s="820"/>
      <c r="AB366" s="821"/>
      <c r="AC366" s="821"/>
      <c r="AD366" s="253"/>
      <c r="AE366" s="253"/>
    </row>
    <row r="367" spans="1:31" ht="14.5">
      <c r="A367" t="s">
        <v>3156</v>
      </c>
      <c r="B367" t="s">
        <v>2303</v>
      </c>
      <c r="C367">
        <v>2274</v>
      </c>
      <c r="D367" s="581"/>
      <c r="E367" s="581"/>
      <c r="F367" s="2">
        <f>(1/S367)*cnst_fish!$C$6</f>
        <v>1.1724405960509445E-2</v>
      </c>
      <c r="G367" s="2">
        <f t="shared" si="53"/>
        <v>1</v>
      </c>
      <c r="H367" s="2">
        <f t="shared" si="53"/>
        <v>0.36449057933102513</v>
      </c>
      <c r="I367" s="2">
        <f t="shared" si="46"/>
        <v>0</v>
      </c>
      <c r="J367" s="389">
        <f t="shared" si="47"/>
        <v>0</v>
      </c>
      <c r="L367" s="721">
        <v>3155</v>
      </c>
      <c r="M367" s="581"/>
      <c r="N367" s="585" t="s">
        <v>1738</v>
      </c>
      <c r="O367" s="586" t="s">
        <v>4681</v>
      </c>
      <c r="P367" s="233">
        <f t="shared" si="48"/>
        <v>0</v>
      </c>
      <c r="Q367" s="233">
        <f t="shared" si="49"/>
        <v>3155</v>
      </c>
      <c r="R367" s="2">
        <f t="shared" si="50"/>
        <v>4.41</v>
      </c>
      <c r="S367" s="2">
        <f>(1/9)*cnst_fish!$C$7*(1/cnst_fish!$C$8)^(R367-1)</f>
        <v>362.4917129545837</v>
      </c>
      <c r="T367" s="682">
        <f t="shared" si="51"/>
        <v>98083.244614929412</v>
      </c>
      <c r="W367" s="818"/>
      <c r="X367" s="818"/>
      <c r="Y367" s="819"/>
      <c r="Z367" s="820"/>
      <c r="AA367" s="820"/>
      <c r="AB367" s="821"/>
      <c r="AC367" s="821"/>
      <c r="AD367" s="253"/>
      <c r="AE367" s="253"/>
    </row>
    <row r="368" spans="1:31" ht="14.5">
      <c r="A368" t="s">
        <v>8286</v>
      </c>
      <c r="B368" t="s">
        <v>8287</v>
      </c>
      <c r="C368">
        <v>20417</v>
      </c>
      <c r="D368" s="581"/>
      <c r="E368" s="581"/>
      <c r="F368" s="2">
        <f>(1/S368)*cnst_fish!$C$6</f>
        <v>4.7762917572805388E-2</v>
      </c>
      <c r="G368" s="2">
        <f t="shared" ref="G368:H387" si="54">G$7</f>
        <v>1</v>
      </c>
      <c r="H368" s="2">
        <f t="shared" si="54"/>
        <v>0.36449057933102513</v>
      </c>
      <c r="I368" s="2">
        <f t="shared" si="46"/>
        <v>0</v>
      </c>
      <c r="J368" s="389">
        <f t="shared" si="47"/>
        <v>0</v>
      </c>
      <c r="L368" s="721"/>
      <c r="M368" s="581"/>
      <c r="N368" s="585" t="s">
        <v>2319</v>
      </c>
      <c r="O368" s="586" t="s">
        <v>4681</v>
      </c>
      <c r="P368" s="233">
        <f t="shared" si="48"/>
        <v>0</v>
      </c>
      <c r="Q368" s="233">
        <f t="shared" si="49"/>
        <v>0</v>
      </c>
      <c r="R368" s="2">
        <f t="shared" si="50"/>
        <v>3.8</v>
      </c>
      <c r="S368" s="2">
        <f>(1/9)*cnst_fish!$C$7*(1/cnst_fish!$C$8)^(R368-1)</f>
        <v>88.981163965155432</v>
      </c>
      <c r="T368" s="682">
        <f t="shared" si="51"/>
        <v>0</v>
      </c>
      <c r="W368" s="818"/>
      <c r="X368" s="818"/>
      <c r="Y368" s="819"/>
      <c r="Z368" s="820"/>
      <c r="AA368" s="820"/>
      <c r="AB368" s="821"/>
      <c r="AC368" s="821"/>
      <c r="AD368" s="253"/>
      <c r="AE368" s="253"/>
    </row>
    <row r="369" spans="1:31" ht="14.5">
      <c r="A369" t="s">
        <v>4771</v>
      </c>
      <c r="B369" t="s">
        <v>2304</v>
      </c>
      <c r="C369">
        <v>3079</v>
      </c>
      <c r="D369" s="581"/>
      <c r="E369" s="581"/>
      <c r="F369" s="2">
        <f>(1/S369)*cnst_fish!$C$6</f>
        <v>3.1556646698079359E-2</v>
      </c>
      <c r="G369" s="2">
        <f t="shared" si="54"/>
        <v>1</v>
      </c>
      <c r="H369" s="2">
        <f t="shared" si="54"/>
        <v>0.36449057933102513</v>
      </c>
      <c r="I369" s="2">
        <f t="shared" si="46"/>
        <v>0</v>
      </c>
      <c r="J369" s="389">
        <f t="shared" si="47"/>
        <v>0</v>
      </c>
      <c r="L369" s="721">
        <v>1622</v>
      </c>
      <c r="M369" s="581"/>
      <c r="N369" s="585" t="s">
        <v>2319</v>
      </c>
      <c r="O369" s="586" t="s">
        <v>4681</v>
      </c>
      <c r="P369" s="233">
        <f t="shared" si="48"/>
        <v>0</v>
      </c>
      <c r="Q369" s="233">
        <f t="shared" si="49"/>
        <v>1622</v>
      </c>
      <c r="R369" s="2">
        <f t="shared" si="50"/>
        <v>3.98</v>
      </c>
      <c r="S369" s="2">
        <f>(1/9)*cnst_fish!$C$7*(1/cnst_fish!$C$8)^(R369-1)</f>
        <v>134.67844161840773</v>
      </c>
      <c r="T369" s="682">
        <f t="shared" si="51"/>
        <v>18734.681328194016</v>
      </c>
      <c r="W369" s="818"/>
      <c r="X369" s="818"/>
      <c r="Y369" s="819"/>
      <c r="Z369" s="820"/>
      <c r="AA369" s="820"/>
      <c r="AB369" s="821"/>
      <c r="AC369" s="821"/>
      <c r="AD369" s="253"/>
      <c r="AE369" s="253"/>
    </row>
    <row r="370" spans="1:31" ht="14.5">
      <c r="A370" t="s">
        <v>2063</v>
      </c>
      <c r="B370" t="s">
        <v>704</v>
      </c>
      <c r="C370">
        <v>2045</v>
      </c>
      <c r="D370" s="581"/>
      <c r="E370" s="581"/>
      <c r="F370" s="2">
        <f>(1/S370)*cnst_fish!$C$6</f>
        <v>3.7939434000887833E-2</v>
      </c>
      <c r="G370" s="2">
        <f t="shared" si="54"/>
        <v>1</v>
      </c>
      <c r="H370" s="2">
        <f t="shared" si="54"/>
        <v>0.36449057933102513</v>
      </c>
      <c r="I370" s="2">
        <f t="shared" si="46"/>
        <v>0</v>
      </c>
      <c r="J370" s="389">
        <f t="shared" si="47"/>
        <v>0</v>
      </c>
      <c r="L370" s="721">
        <v>0</v>
      </c>
      <c r="M370" s="581"/>
      <c r="N370" s="585" t="s">
        <v>3785</v>
      </c>
      <c r="O370" s="586" t="s">
        <v>4681</v>
      </c>
      <c r="P370" s="233">
        <f t="shared" si="48"/>
        <v>0</v>
      </c>
      <c r="Q370" s="233">
        <f t="shared" si="49"/>
        <v>0</v>
      </c>
      <c r="R370" s="2">
        <f t="shared" si="50"/>
        <v>3.9</v>
      </c>
      <c r="S370" s="2">
        <f>(1/9)*cnst_fish!$C$7*(1/cnst_fish!$C$8)^(R370-1)</f>
        <v>112.02064848675771</v>
      </c>
      <c r="T370" s="682">
        <f t="shared" si="51"/>
        <v>0</v>
      </c>
      <c r="W370" s="822"/>
      <c r="X370" s="822"/>
      <c r="Y370" s="819"/>
      <c r="Z370" s="820"/>
      <c r="AA370" s="820"/>
      <c r="AB370" s="821"/>
      <c r="AC370" s="821"/>
      <c r="AD370" s="253"/>
      <c r="AE370" s="253"/>
    </row>
    <row r="371" spans="1:31" ht="14.5">
      <c r="A371" t="s">
        <v>3991</v>
      </c>
      <c r="B371" t="s">
        <v>705</v>
      </c>
      <c r="C371">
        <v>2039</v>
      </c>
      <c r="D371" s="581"/>
      <c r="E371" s="581"/>
      <c r="F371" s="2">
        <f>(1/S371)*cnst_fish!$C$6</f>
        <v>1.3461419163458574E-2</v>
      </c>
      <c r="G371" s="2">
        <f t="shared" si="54"/>
        <v>1</v>
      </c>
      <c r="H371" s="2">
        <f t="shared" si="54"/>
        <v>0.36449057933102513</v>
      </c>
      <c r="I371" s="2">
        <f t="shared" si="46"/>
        <v>0</v>
      </c>
      <c r="J371" s="389">
        <f t="shared" si="47"/>
        <v>0</v>
      </c>
      <c r="L371" s="721">
        <v>3</v>
      </c>
      <c r="M371" s="581"/>
      <c r="N371" s="585" t="s">
        <v>3785</v>
      </c>
      <c r="O371" s="586" t="s">
        <v>4681</v>
      </c>
      <c r="P371" s="233">
        <f t="shared" si="48"/>
        <v>0</v>
      </c>
      <c r="Q371" s="233">
        <f t="shared" si="49"/>
        <v>3</v>
      </c>
      <c r="R371" s="2">
        <f t="shared" si="50"/>
        <v>4.3499999999999996</v>
      </c>
      <c r="S371" s="2">
        <f>(1/9)*cnst_fish!$C$7*(1/cnst_fish!$C$8)^(R371-1)</f>
        <v>315.71708364425297</v>
      </c>
      <c r="T371" s="682">
        <f t="shared" si="51"/>
        <v>81.230048980373283</v>
      </c>
      <c r="W371" s="818"/>
      <c r="X371" s="818"/>
      <c r="Y371" s="819"/>
      <c r="Z371" s="820"/>
      <c r="AA371" s="820"/>
      <c r="AB371" s="821"/>
      <c r="AC371" s="821"/>
      <c r="AD371" s="253"/>
      <c r="AE371" s="253"/>
    </row>
    <row r="372" spans="1:31" ht="14.5">
      <c r="A372" t="s">
        <v>2849</v>
      </c>
      <c r="B372" t="s">
        <v>706</v>
      </c>
      <c r="C372">
        <v>2040</v>
      </c>
      <c r="D372" s="581"/>
      <c r="E372" s="581"/>
      <c r="F372" s="2">
        <f>(1/S372)*cnst_fish!$C$6</f>
        <v>2.0849269714511572E-2</v>
      </c>
      <c r="G372" s="2">
        <f t="shared" si="54"/>
        <v>1</v>
      </c>
      <c r="H372" s="2">
        <f t="shared" si="54"/>
        <v>0.36449057933102513</v>
      </c>
      <c r="I372" s="2">
        <f t="shared" si="46"/>
        <v>0</v>
      </c>
      <c r="J372" s="389">
        <f t="shared" si="47"/>
        <v>0</v>
      </c>
      <c r="L372" s="721">
        <v>10</v>
      </c>
      <c r="M372" s="581"/>
      <c r="N372" s="585" t="s">
        <v>3785</v>
      </c>
      <c r="O372" s="586" t="s">
        <v>4681</v>
      </c>
      <c r="P372" s="233">
        <f t="shared" si="48"/>
        <v>0</v>
      </c>
      <c r="Q372" s="233">
        <f t="shared" si="49"/>
        <v>10</v>
      </c>
      <c r="R372" s="2">
        <f t="shared" si="50"/>
        <v>4.16</v>
      </c>
      <c r="S372" s="2">
        <f>(1/9)*cnst_fish!$C$7*(1/cnst_fish!$C$8)^(R372-1)</f>
        <v>203.84407023340017</v>
      </c>
      <c r="T372" s="682">
        <f t="shared" si="51"/>
        <v>174.82174882956755</v>
      </c>
      <c r="W372" s="818"/>
      <c r="X372" s="818"/>
      <c r="Y372" s="819"/>
      <c r="Z372" s="820"/>
      <c r="AA372" s="820"/>
      <c r="AB372" s="821"/>
      <c r="AC372" s="821"/>
      <c r="AD372" s="253"/>
      <c r="AE372" s="253"/>
    </row>
    <row r="373" spans="1:31" ht="14.5">
      <c r="A373" t="s">
        <v>8288</v>
      </c>
      <c r="B373" t="s">
        <v>8289</v>
      </c>
      <c r="C373">
        <v>11200</v>
      </c>
      <c r="D373" s="581"/>
      <c r="E373" s="581"/>
      <c r="F373" s="2">
        <f>(1/S373)*cnst_fish!$C$6</f>
        <v>9.5299549485983424E-3</v>
      </c>
      <c r="G373" s="2">
        <f t="shared" si="54"/>
        <v>1</v>
      </c>
      <c r="H373" s="2">
        <f t="shared" si="54"/>
        <v>0.36449057933102513</v>
      </c>
      <c r="I373" s="2">
        <f t="shared" si="46"/>
        <v>0</v>
      </c>
      <c r="J373" s="389">
        <f t="shared" si="47"/>
        <v>0</v>
      </c>
      <c r="L373" s="721">
        <v>0</v>
      </c>
      <c r="M373" s="581"/>
      <c r="N373" s="585" t="s">
        <v>3785</v>
      </c>
      <c r="O373" s="586" t="s">
        <v>4681</v>
      </c>
      <c r="P373" s="233">
        <f t="shared" si="48"/>
        <v>0</v>
      </c>
      <c r="Q373" s="233">
        <f t="shared" si="49"/>
        <v>0</v>
      </c>
      <c r="R373" s="2">
        <f t="shared" si="50"/>
        <v>4.5</v>
      </c>
      <c r="S373" s="2">
        <f>(1/9)*cnst_fish!$C$7*(1/cnst_fish!$C$8)^(R373-1)</f>
        <v>445.96223412630997</v>
      </c>
      <c r="T373" s="682">
        <f t="shared" si="51"/>
        <v>0</v>
      </c>
      <c r="W373" s="818"/>
      <c r="X373" s="818"/>
      <c r="Y373" s="819"/>
      <c r="Z373" s="820"/>
      <c r="AA373" s="820"/>
      <c r="AB373" s="821"/>
      <c r="AC373" s="821"/>
      <c r="AD373" s="253"/>
      <c r="AE373" s="253"/>
    </row>
    <row r="374" spans="1:31" ht="14.5">
      <c r="A374" t="s">
        <v>8290</v>
      </c>
      <c r="B374" t="s">
        <v>8291</v>
      </c>
      <c r="C374">
        <v>11201</v>
      </c>
      <c r="D374" s="581"/>
      <c r="E374" s="581"/>
      <c r="F374" s="2">
        <f>(1/S374)*cnst_fish!$C$6</f>
        <v>9.5299549485983424E-3</v>
      </c>
      <c r="G374" s="2">
        <f t="shared" si="54"/>
        <v>1</v>
      </c>
      <c r="H374" s="2">
        <f t="shared" si="54"/>
        <v>0.36449057933102513</v>
      </c>
      <c r="I374" s="2">
        <f t="shared" si="46"/>
        <v>0</v>
      </c>
      <c r="J374" s="389">
        <f t="shared" si="47"/>
        <v>0</v>
      </c>
      <c r="L374" s="721">
        <v>0</v>
      </c>
      <c r="M374" s="581"/>
      <c r="N374" s="585" t="s">
        <v>3785</v>
      </c>
      <c r="O374" s="586" t="s">
        <v>4681</v>
      </c>
      <c r="P374" s="233">
        <f t="shared" si="48"/>
        <v>0</v>
      </c>
      <c r="Q374" s="233">
        <f t="shared" si="49"/>
        <v>0</v>
      </c>
      <c r="R374" s="2">
        <f t="shared" si="50"/>
        <v>4.5</v>
      </c>
      <c r="S374" s="2">
        <f>(1/9)*cnst_fish!$C$7*(1/cnst_fish!$C$8)^(R374-1)</f>
        <v>445.96223412630997</v>
      </c>
      <c r="T374" s="682">
        <f t="shared" si="51"/>
        <v>0</v>
      </c>
      <c r="W374" s="818"/>
      <c r="X374" s="818"/>
      <c r="Y374" s="819"/>
      <c r="Z374" s="820"/>
      <c r="AA374" s="820"/>
      <c r="AB374" s="821"/>
      <c r="AC374" s="821"/>
      <c r="AD374" s="253"/>
      <c r="AE374" s="253"/>
    </row>
    <row r="375" spans="1:31" ht="14.5">
      <c r="A375" t="s">
        <v>2540</v>
      </c>
      <c r="B375" t="s">
        <v>4881</v>
      </c>
      <c r="C375">
        <v>11204</v>
      </c>
      <c r="D375" s="581"/>
      <c r="E375" s="581"/>
      <c r="F375" s="2">
        <f>(1/S375)*cnst_fish!$C$6</f>
        <v>9.979087888316248E-3</v>
      </c>
      <c r="G375" s="2">
        <f t="shared" si="54"/>
        <v>1</v>
      </c>
      <c r="H375" s="2">
        <f t="shared" si="54"/>
        <v>0.36449057933102513</v>
      </c>
      <c r="I375" s="2">
        <f t="shared" si="46"/>
        <v>0</v>
      </c>
      <c r="J375" s="389">
        <f t="shared" si="47"/>
        <v>0</v>
      </c>
      <c r="L375" s="721">
        <v>57</v>
      </c>
      <c r="M375" s="581"/>
      <c r="N375" s="585" t="s">
        <v>1738</v>
      </c>
      <c r="O375" s="586" t="s">
        <v>4681</v>
      </c>
      <c r="P375" s="233">
        <f t="shared" si="48"/>
        <v>0</v>
      </c>
      <c r="Q375" s="233">
        <f t="shared" si="49"/>
        <v>57</v>
      </c>
      <c r="R375" s="2">
        <f t="shared" si="50"/>
        <v>4.4800000000000004</v>
      </c>
      <c r="S375" s="2">
        <f>(1/9)*cnst_fish!$C$7*(1/cnst_fish!$C$8)^(R375-1)</f>
        <v>425.89062723618264</v>
      </c>
      <c r="T375" s="682">
        <f t="shared" si="51"/>
        <v>2081.9500994868904</v>
      </c>
      <c r="W375" s="818"/>
      <c r="X375" s="818"/>
      <c r="Y375" s="819"/>
      <c r="Z375" s="820"/>
      <c r="AA375" s="820"/>
      <c r="AB375" s="821"/>
      <c r="AC375" s="821"/>
      <c r="AD375" s="253"/>
      <c r="AE375" s="253"/>
    </row>
    <row r="376" spans="1:31" ht="14.5">
      <c r="A376" t="s">
        <v>4955</v>
      </c>
      <c r="B376" t="s">
        <v>4956</v>
      </c>
      <c r="C376">
        <v>19041</v>
      </c>
      <c r="D376" s="581"/>
      <c r="E376" s="581"/>
      <c r="F376" s="2">
        <f>(1/S376)*cnst_fish!$C$6</f>
        <v>1.9014759972289439E-2</v>
      </c>
      <c r="G376" s="2">
        <f t="shared" si="54"/>
        <v>1</v>
      </c>
      <c r="H376" s="2">
        <f t="shared" si="54"/>
        <v>0.36449057933102513</v>
      </c>
      <c r="I376" s="2">
        <f t="shared" si="46"/>
        <v>0</v>
      </c>
      <c r="J376" s="389">
        <f t="shared" si="47"/>
        <v>0</v>
      </c>
      <c r="L376" s="721">
        <v>69710</v>
      </c>
      <c r="M376" s="581"/>
      <c r="N376" s="585" t="s">
        <v>1738</v>
      </c>
      <c r="O376" s="586" t="s">
        <v>4681</v>
      </c>
      <c r="P376" s="233">
        <f t="shared" si="48"/>
        <v>0</v>
      </c>
      <c r="Q376" s="233">
        <f t="shared" si="49"/>
        <v>69710</v>
      </c>
      <c r="R376" s="2">
        <f t="shared" si="50"/>
        <v>4.2</v>
      </c>
      <c r="S376" s="2">
        <f>(1/9)*cnst_fish!$C$7*(1/cnst_fish!$C$8)^(R376-1)</f>
        <v>223.51057842400343</v>
      </c>
      <c r="T376" s="682">
        <f t="shared" si="51"/>
        <v>1336258.6917843947</v>
      </c>
      <c r="W376" s="818"/>
      <c r="X376" s="818"/>
      <c r="Y376" s="819"/>
      <c r="Z376" s="820"/>
      <c r="AA376" s="820"/>
      <c r="AB376" s="821"/>
      <c r="AC376" s="821"/>
      <c r="AD376" s="253"/>
      <c r="AE376" s="253"/>
    </row>
    <row r="377" spans="1:31" ht="14.5">
      <c r="A377" s="403" t="s">
        <v>8948</v>
      </c>
      <c r="B377" s="403" t="s">
        <v>8949</v>
      </c>
      <c r="C377" s="403">
        <v>11205</v>
      </c>
      <c r="D377" s="581"/>
      <c r="E377" s="581"/>
      <c r="F377" s="869">
        <f>(1/S377)*cnst_fish!$C$6</f>
        <v>1.5103960722494611E-2</v>
      </c>
      <c r="G377" s="869">
        <f t="shared" si="54"/>
        <v>1</v>
      </c>
      <c r="H377" s="869">
        <f t="shared" si="54"/>
        <v>0.36449057933102513</v>
      </c>
      <c r="I377" s="869">
        <f t="shared" si="46"/>
        <v>0</v>
      </c>
      <c r="J377" s="389">
        <f t="shared" si="47"/>
        <v>0</v>
      </c>
      <c r="L377" s="721">
        <v>0</v>
      </c>
      <c r="M377" s="581"/>
      <c r="N377" s="877" t="s">
        <v>1738</v>
      </c>
      <c r="O377" s="881" t="s">
        <v>4681</v>
      </c>
      <c r="P377" s="871">
        <f t="shared" si="48"/>
        <v>0</v>
      </c>
      <c r="Q377" s="871">
        <f t="shared" si="49"/>
        <v>0</v>
      </c>
      <c r="R377" s="869">
        <f t="shared" si="50"/>
        <v>4.3</v>
      </c>
      <c r="S377" s="869">
        <f>(1/9)*cnst_fish!$C$7*(1/cnst_fish!$C$8)^(R377-1)</f>
        <v>281.38314698279078</v>
      </c>
      <c r="T377" s="682">
        <f t="shared" si="51"/>
        <v>0</v>
      </c>
      <c r="W377" s="818"/>
      <c r="X377" s="818"/>
      <c r="Y377" s="819"/>
      <c r="Z377" s="820"/>
      <c r="AA377" s="820"/>
      <c r="AB377" s="821"/>
      <c r="AC377" s="821"/>
      <c r="AD377" s="253"/>
      <c r="AE377" s="253"/>
    </row>
    <row r="378" spans="1:31" ht="14.5">
      <c r="A378" t="s">
        <v>5263</v>
      </c>
      <c r="B378" t="s">
        <v>4882</v>
      </c>
      <c r="C378">
        <v>11207</v>
      </c>
      <c r="D378" s="581"/>
      <c r="E378" s="581"/>
      <c r="F378" s="2">
        <f>(1/S378)*cnst_fish!$C$6</f>
        <v>2.6859062362848789E-2</v>
      </c>
      <c r="G378" s="2">
        <f t="shared" si="54"/>
        <v>1</v>
      </c>
      <c r="H378" s="2">
        <f t="shared" si="54"/>
        <v>0.36449057933102513</v>
      </c>
      <c r="I378" s="2">
        <f t="shared" si="46"/>
        <v>0</v>
      </c>
      <c r="J378" s="389">
        <f t="shared" si="47"/>
        <v>0</v>
      </c>
      <c r="L378" s="721">
        <v>144</v>
      </c>
      <c r="M378" s="581"/>
      <c r="N378" s="585" t="s">
        <v>1738</v>
      </c>
      <c r="O378" s="586" t="s">
        <v>4681</v>
      </c>
      <c r="P378" s="233">
        <f t="shared" si="48"/>
        <v>0</v>
      </c>
      <c r="Q378" s="233">
        <f t="shared" si="49"/>
        <v>144</v>
      </c>
      <c r="R378" s="2">
        <f t="shared" si="50"/>
        <v>4.05</v>
      </c>
      <c r="S378" s="2">
        <f>(1/9)*cnst_fish!$C$7*(1/cnst_fish!$C$8)^(R378-1)</f>
        <v>158.23337176053329</v>
      </c>
      <c r="T378" s="682">
        <f t="shared" si="51"/>
        <v>1954.1502497222937</v>
      </c>
      <c r="W378" s="818"/>
      <c r="X378" s="818"/>
      <c r="Y378" s="819"/>
      <c r="Z378" s="820"/>
      <c r="AA378" s="820"/>
      <c r="AB378" s="821"/>
      <c r="AC378" s="821"/>
      <c r="AD378" s="253"/>
      <c r="AE378" s="253"/>
    </row>
    <row r="379" spans="1:31" ht="14.5">
      <c r="A379" t="s">
        <v>2448</v>
      </c>
      <c r="B379" t="s">
        <v>4156</v>
      </c>
      <c r="C379">
        <v>11208</v>
      </c>
      <c r="D379" s="581"/>
      <c r="E379" s="581"/>
      <c r="F379" s="2">
        <f>(1/S379)*cnst_fish!$C$6</f>
        <v>2.1831865524078106E-2</v>
      </c>
      <c r="G379" s="2">
        <f t="shared" si="54"/>
        <v>1</v>
      </c>
      <c r="H379" s="2">
        <f t="shared" si="54"/>
        <v>0.36449057933102513</v>
      </c>
      <c r="I379" s="2">
        <f t="shared" si="46"/>
        <v>0</v>
      </c>
      <c r="J379" s="389">
        <f t="shared" si="47"/>
        <v>0</v>
      </c>
      <c r="L379" s="721">
        <v>268</v>
      </c>
      <c r="M379" s="581"/>
      <c r="N379" s="585" t="s">
        <v>1738</v>
      </c>
      <c r="O379" s="586" t="s">
        <v>4681</v>
      </c>
      <c r="P379" s="233">
        <f t="shared" si="48"/>
        <v>0</v>
      </c>
      <c r="Q379" s="233">
        <f t="shared" si="49"/>
        <v>268</v>
      </c>
      <c r="R379" s="2">
        <f t="shared" si="50"/>
        <v>4.1399999999999997</v>
      </c>
      <c r="S379" s="2">
        <f>(1/9)*cnst_fish!$C$7*(1/cnst_fish!$C$8)^(R379-1)</f>
        <v>194.66957577732992</v>
      </c>
      <c r="T379" s="682">
        <f t="shared" si="51"/>
        <v>4474.3531034020334</v>
      </c>
      <c r="W379" s="822"/>
      <c r="X379" s="822"/>
      <c r="Y379" s="819"/>
      <c r="Z379" s="820"/>
      <c r="AA379" s="820"/>
      <c r="AB379" s="821"/>
      <c r="AC379" s="821"/>
      <c r="AD379" s="253"/>
      <c r="AE379" s="253"/>
    </row>
    <row r="380" spans="1:31" ht="14.5">
      <c r="A380" t="s">
        <v>231</v>
      </c>
      <c r="B380" t="s">
        <v>4157</v>
      </c>
      <c r="C380">
        <v>11210</v>
      </c>
      <c r="D380" s="581"/>
      <c r="E380" s="581"/>
      <c r="F380" s="2">
        <f>(1/S380)*cnst_fish!$C$6</f>
        <v>1.315499985341953E-2</v>
      </c>
      <c r="G380" s="2">
        <f t="shared" si="54"/>
        <v>1</v>
      </c>
      <c r="H380" s="2">
        <f t="shared" si="54"/>
        <v>0.36449057933102513</v>
      </c>
      <c r="I380" s="2">
        <f t="shared" si="46"/>
        <v>0</v>
      </c>
      <c r="J380" s="389">
        <f t="shared" si="47"/>
        <v>0</v>
      </c>
      <c r="L380" s="721">
        <v>338</v>
      </c>
      <c r="M380" s="581"/>
      <c r="N380" s="585" t="s">
        <v>1738</v>
      </c>
      <c r="O380" s="586"/>
      <c r="P380" s="233">
        <f t="shared" si="48"/>
        <v>0</v>
      </c>
      <c r="Q380" s="233">
        <f t="shared" si="49"/>
        <v>338</v>
      </c>
      <c r="R380" s="2">
        <f t="shared" si="50"/>
        <v>4.3600000000000003</v>
      </c>
      <c r="S380" s="2">
        <f>(1/9)*cnst_fish!$C$7*(1/cnst_fish!$C$8)^(R380-1)</f>
        <v>323.07107923648124</v>
      </c>
      <c r="T380" s="682">
        <f t="shared" si="51"/>
        <v>9365.0944269575393</v>
      </c>
      <c r="W380" s="818"/>
      <c r="X380" s="818"/>
      <c r="Y380" s="819"/>
      <c r="Z380" s="820"/>
      <c r="AA380" s="820"/>
      <c r="AB380" s="821"/>
      <c r="AC380" s="821"/>
      <c r="AD380" s="253"/>
      <c r="AE380" s="253"/>
    </row>
    <row r="381" spans="1:31" ht="14.5">
      <c r="A381" t="s">
        <v>3119</v>
      </c>
      <c r="B381" t="s">
        <v>1419</v>
      </c>
      <c r="C381">
        <v>3560</v>
      </c>
      <c r="D381" s="581"/>
      <c r="E381" s="581"/>
      <c r="F381" s="2">
        <f>(1/S381)*cnst_fish!$C$6</f>
        <v>0.19014759972289441</v>
      </c>
      <c r="G381" s="2">
        <f t="shared" si="54"/>
        <v>1</v>
      </c>
      <c r="H381" s="2">
        <f t="shared" si="54"/>
        <v>0.36449057933102513</v>
      </c>
      <c r="I381" s="2">
        <f t="shared" si="46"/>
        <v>0</v>
      </c>
      <c r="J381" s="389">
        <f t="shared" si="47"/>
        <v>0</v>
      </c>
      <c r="L381" s="721">
        <v>322062.67</v>
      </c>
      <c r="M381" s="581"/>
      <c r="N381" s="585" t="s">
        <v>2310</v>
      </c>
      <c r="O381" s="586" t="s">
        <v>4675</v>
      </c>
      <c r="P381" s="233">
        <f t="shared" si="48"/>
        <v>0</v>
      </c>
      <c r="Q381" s="233">
        <f t="shared" si="49"/>
        <v>322062.67</v>
      </c>
      <c r="R381" s="2">
        <f t="shared" si="50"/>
        <v>3.2</v>
      </c>
      <c r="S381" s="2">
        <f>(1/9)*cnst_fish!$C$7*(1/cnst_fish!$C$8)^(R381-1)</f>
        <v>22.351057842400341</v>
      </c>
      <c r="T381" s="682">
        <f t="shared" si="51"/>
        <v>617356.25030381465</v>
      </c>
      <c r="W381" s="818"/>
      <c r="X381" s="818"/>
      <c r="Y381" s="819"/>
      <c r="Z381" s="820"/>
      <c r="AA381" s="820"/>
      <c r="AB381" s="821"/>
      <c r="AC381" s="821"/>
      <c r="AD381" s="253"/>
      <c r="AE381" s="253"/>
    </row>
    <row r="382" spans="1:31" ht="14.5">
      <c r="A382" t="s">
        <v>6360</v>
      </c>
      <c r="B382" t="s">
        <v>6359</v>
      </c>
      <c r="C382">
        <v>11216</v>
      </c>
      <c r="D382" s="581"/>
      <c r="E382" s="581"/>
      <c r="F382" s="2">
        <f>(1/S382)*cnst_fish!$C$6</f>
        <v>7.5699122913220479E-2</v>
      </c>
      <c r="G382" s="2">
        <f t="shared" si="54"/>
        <v>1</v>
      </c>
      <c r="H382" s="2">
        <f t="shared" si="54"/>
        <v>0.36449057933102513</v>
      </c>
      <c r="I382" s="2">
        <f t="shared" si="46"/>
        <v>0</v>
      </c>
      <c r="J382" s="389">
        <f t="shared" si="47"/>
        <v>0</v>
      </c>
      <c r="L382" s="721">
        <v>23</v>
      </c>
      <c r="M382" s="581"/>
      <c r="N382" s="585" t="s">
        <v>3785</v>
      </c>
      <c r="O382" s="586" t="s">
        <v>4681</v>
      </c>
      <c r="P382" s="233">
        <f t="shared" si="48"/>
        <v>0</v>
      </c>
      <c r="Q382" s="233">
        <f t="shared" si="49"/>
        <v>23</v>
      </c>
      <c r="R382" s="2">
        <f t="shared" si="50"/>
        <v>3.6</v>
      </c>
      <c r="S382" s="2">
        <f>(1/9)*cnst_fish!$C$7*(1/cnst_fish!$C$8)^(R382-1)</f>
        <v>56.143318924211187</v>
      </c>
      <c r="T382" s="682">
        <f t="shared" si="51"/>
        <v>110.74478807665919</v>
      </c>
      <c r="W382" s="818"/>
      <c r="X382" s="818"/>
      <c r="Y382" s="819"/>
      <c r="Z382" s="820"/>
      <c r="AA382" s="820"/>
      <c r="AB382" s="821"/>
      <c r="AC382" s="821"/>
      <c r="AD382" s="253"/>
      <c r="AE382" s="253"/>
    </row>
    <row r="383" spans="1:31" ht="14.5">
      <c r="A383" t="s">
        <v>2826</v>
      </c>
      <c r="B383" t="s">
        <v>1032</v>
      </c>
      <c r="C383">
        <v>11224</v>
      </c>
      <c r="D383" s="581"/>
      <c r="E383" s="581"/>
      <c r="F383" s="2">
        <f>(1/S383)*cnst_fish!$C$6</f>
        <v>0.22340394999204924</v>
      </c>
      <c r="G383" s="2">
        <f t="shared" si="54"/>
        <v>1</v>
      </c>
      <c r="H383" s="2">
        <f t="shared" si="54"/>
        <v>0.36449057933102513</v>
      </c>
      <c r="I383" s="2">
        <f t="shared" si="46"/>
        <v>0</v>
      </c>
      <c r="J383" s="389">
        <f t="shared" si="47"/>
        <v>0</v>
      </c>
      <c r="L383" s="721">
        <v>233</v>
      </c>
      <c r="M383" s="581"/>
      <c r="N383" s="585" t="s">
        <v>1738</v>
      </c>
      <c r="O383" s="586" t="s">
        <v>4681</v>
      </c>
      <c r="P383" s="233">
        <f t="shared" si="48"/>
        <v>0</v>
      </c>
      <c r="Q383" s="233">
        <f t="shared" si="49"/>
        <v>233</v>
      </c>
      <c r="R383" s="2">
        <f t="shared" si="50"/>
        <v>3.13</v>
      </c>
      <c r="S383" s="2">
        <f>(1/9)*cnst_fish!$C$7*(1/cnst_fish!$C$8)^(R383-1)</f>
        <v>19.023835523728447</v>
      </c>
      <c r="T383" s="682">
        <f t="shared" si="51"/>
        <v>380.14683709554515</v>
      </c>
      <c r="W383" s="818"/>
      <c r="X383" s="818"/>
      <c r="Y383" s="819"/>
      <c r="Z383" s="820"/>
      <c r="AA383" s="820"/>
      <c r="AB383" s="821"/>
      <c r="AC383" s="821"/>
      <c r="AD383" s="253"/>
      <c r="AE383" s="253"/>
    </row>
    <row r="384" spans="1:31" ht="14.5">
      <c r="A384" t="s">
        <v>3158</v>
      </c>
      <c r="B384" t="s">
        <v>3976</v>
      </c>
      <c r="C384">
        <v>3535</v>
      </c>
      <c r="D384" s="581"/>
      <c r="E384" s="581"/>
      <c r="F384" s="2">
        <f>(1/S384)*cnst_fish!$C$6</f>
        <v>2.3938164528281742</v>
      </c>
      <c r="G384" s="2">
        <f t="shared" si="54"/>
        <v>1</v>
      </c>
      <c r="H384" s="2">
        <f t="shared" si="54"/>
        <v>0.36449057933102513</v>
      </c>
      <c r="I384" s="2">
        <f t="shared" si="46"/>
        <v>0</v>
      </c>
      <c r="J384" s="389">
        <f t="shared" si="47"/>
        <v>0</v>
      </c>
      <c r="L384" s="721">
        <v>17517</v>
      </c>
      <c r="M384" s="581"/>
      <c r="N384" s="585" t="s">
        <v>1736</v>
      </c>
      <c r="O384" s="586" t="s">
        <v>4691</v>
      </c>
      <c r="P384" s="233">
        <f t="shared" si="48"/>
        <v>0</v>
      </c>
      <c r="Q384" s="233">
        <f t="shared" si="49"/>
        <v>17517</v>
      </c>
      <c r="R384" s="2">
        <f t="shared" si="50"/>
        <v>2.1</v>
      </c>
      <c r="S384" s="2">
        <f>(1/9)*cnst_fish!$C$7*(1/cnst_fish!$C$8)^(R384-1)</f>
        <v>1.7754076320174161</v>
      </c>
      <c r="T384" s="682">
        <f t="shared" si="51"/>
        <v>2667.1975917778773</v>
      </c>
      <c r="W384" s="818"/>
      <c r="X384" s="818"/>
      <c r="Y384" s="819"/>
      <c r="Z384" s="820"/>
      <c r="AA384" s="820"/>
      <c r="AB384" s="821"/>
      <c r="AC384" s="821"/>
      <c r="AD384" s="253"/>
      <c r="AE384" s="253"/>
    </row>
    <row r="385" spans="1:31" ht="14.5">
      <c r="A385" t="s">
        <v>4321</v>
      </c>
      <c r="B385" t="s">
        <v>5130</v>
      </c>
      <c r="C385">
        <v>17421</v>
      </c>
      <c r="D385" s="581"/>
      <c r="E385" s="581"/>
      <c r="F385" s="2">
        <f>(1/S385)*cnst_fish!$C$6</f>
        <v>2.4296179854146147</v>
      </c>
      <c r="G385" s="2">
        <f t="shared" si="54"/>
        <v>1</v>
      </c>
      <c r="H385" s="2">
        <f t="shared" si="54"/>
        <v>0.36449057933102513</v>
      </c>
      <c r="I385" s="2">
        <f t="shared" si="46"/>
        <v>0</v>
      </c>
      <c r="J385" s="389">
        <f t="shared" si="47"/>
        <v>0</v>
      </c>
      <c r="L385" s="721">
        <v>3606</v>
      </c>
      <c r="M385" s="581"/>
      <c r="N385" s="585" t="s">
        <v>3790</v>
      </c>
      <c r="O385" s="586" t="s">
        <v>4680</v>
      </c>
      <c r="P385" s="233">
        <f t="shared" si="48"/>
        <v>0</v>
      </c>
      <c r="Q385" s="233">
        <f t="shared" si="49"/>
        <v>3606</v>
      </c>
      <c r="R385" s="2">
        <f t="shared" si="50"/>
        <v>2.0935528537656198</v>
      </c>
      <c r="S385" s="2">
        <f>(1/9)*cnst_fish!$C$7*(1/cnst_fish!$C$8)^(R385-1)</f>
        <v>1.7492461882952093</v>
      </c>
      <c r="T385" s="682">
        <f t="shared" si="51"/>
        <v>540.97106498138714</v>
      </c>
      <c r="W385" s="818"/>
      <c r="X385" s="818"/>
      <c r="Y385" s="819"/>
      <c r="Z385" s="820"/>
      <c r="AA385" s="820"/>
      <c r="AB385" s="821"/>
      <c r="AC385" s="821"/>
      <c r="AD385" s="253"/>
      <c r="AE385" s="253"/>
    </row>
    <row r="386" spans="1:31" ht="14.5">
      <c r="A386" t="s">
        <v>4559</v>
      </c>
      <c r="B386" t="s">
        <v>1603</v>
      </c>
      <c r="C386">
        <v>2108</v>
      </c>
      <c r="D386" s="581"/>
      <c r="E386" s="581"/>
      <c r="F386" s="2">
        <f>(1/S386)*cnst_fish!$C$6</f>
        <v>2.3393265378401029</v>
      </c>
      <c r="G386" s="2">
        <f t="shared" si="54"/>
        <v>1</v>
      </c>
      <c r="H386" s="2">
        <f t="shared" si="54"/>
        <v>0.36449057933102513</v>
      </c>
      <c r="I386" s="2">
        <f t="shared" si="46"/>
        <v>0</v>
      </c>
      <c r="J386" s="389">
        <f t="shared" si="47"/>
        <v>0</v>
      </c>
      <c r="L386" s="721">
        <v>5</v>
      </c>
      <c r="M386" s="581"/>
      <c r="N386" s="585" t="s">
        <v>103</v>
      </c>
      <c r="O386" s="586" t="s">
        <v>4699</v>
      </c>
      <c r="P386" s="233">
        <f t="shared" si="48"/>
        <v>0</v>
      </c>
      <c r="Q386" s="233">
        <f t="shared" si="49"/>
        <v>5</v>
      </c>
      <c r="R386" s="2">
        <f t="shared" si="50"/>
        <v>2.11</v>
      </c>
      <c r="S386" s="2">
        <f>(1/9)*cnst_fish!$C$7*(1/cnst_fish!$C$8)^(R386-1)</f>
        <v>1.8167621882851888</v>
      </c>
      <c r="T386" s="682">
        <f t="shared" si="51"/>
        <v>0.77905023825266995</v>
      </c>
      <c r="W386" s="818"/>
      <c r="X386" s="818"/>
      <c r="Y386" s="819"/>
      <c r="Z386" s="820"/>
      <c r="AA386" s="820"/>
      <c r="AB386" s="821"/>
      <c r="AC386" s="821"/>
      <c r="AD386" s="253"/>
      <c r="AE386" s="253"/>
    </row>
    <row r="387" spans="1:31" ht="14.5">
      <c r="A387" t="s">
        <v>2068</v>
      </c>
      <c r="B387" t="s">
        <v>1604</v>
      </c>
      <c r="C387">
        <v>2920</v>
      </c>
      <c r="D387" s="581"/>
      <c r="E387" s="581"/>
      <c r="F387" s="2">
        <f>(1/S387)*cnst_fish!$C$6</f>
        <v>1.0211530705467782</v>
      </c>
      <c r="G387" s="2">
        <f t="shared" si="54"/>
        <v>1</v>
      </c>
      <c r="H387" s="2">
        <f t="shared" si="54"/>
        <v>0.36449057933102513</v>
      </c>
      <c r="I387" s="2">
        <f t="shared" si="46"/>
        <v>0</v>
      </c>
      <c r="J387" s="389">
        <f t="shared" si="47"/>
        <v>0</v>
      </c>
      <c r="L387" s="721">
        <v>91872</v>
      </c>
      <c r="M387" s="581"/>
      <c r="N387" s="585" t="s">
        <v>103</v>
      </c>
      <c r="O387" s="586" t="s">
        <v>4699</v>
      </c>
      <c r="P387" s="233">
        <f t="shared" si="48"/>
        <v>0</v>
      </c>
      <c r="Q387" s="233">
        <f t="shared" si="49"/>
        <v>91872</v>
      </c>
      <c r="R387" s="2">
        <f t="shared" si="50"/>
        <v>2.4700000000000002</v>
      </c>
      <c r="S387" s="2">
        <f>(1/9)*cnst_fish!$C$7*(1/cnst_fish!$C$8)^(R387-1)</f>
        <v>4.1619617299141352</v>
      </c>
      <c r="T387" s="682">
        <f t="shared" si="51"/>
        <v>32792.809883409107</v>
      </c>
      <c r="W387" s="818"/>
      <c r="X387" s="818"/>
      <c r="Y387" s="819"/>
      <c r="Z387" s="820"/>
      <c r="AA387" s="820"/>
      <c r="AB387" s="821"/>
      <c r="AC387" s="821"/>
      <c r="AD387" s="253"/>
      <c r="AE387" s="253"/>
    </row>
    <row r="388" spans="1:31" ht="14.5">
      <c r="A388" t="s">
        <v>2062</v>
      </c>
      <c r="B388" t="s">
        <v>707</v>
      </c>
      <c r="C388">
        <v>2005</v>
      </c>
      <c r="D388" s="581"/>
      <c r="E388" s="581"/>
      <c r="F388" s="2">
        <f>(1/S388)*cnst_fish!$C$6</f>
        <v>0.19014759972289441</v>
      </c>
      <c r="G388" s="2">
        <f t="shared" ref="G388:H407" si="55">G$7</f>
        <v>1</v>
      </c>
      <c r="H388" s="2">
        <f t="shared" si="55"/>
        <v>0.36449057933102513</v>
      </c>
      <c r="I388" s="2">
        <f t="shared" si="46"/>
        <v>0</v>
      </c>
      <c r="J388" s="389">
        <f t="shared" si="47"/>
        <v>0</v>
      </c>
      <c r="L388" s="721">
        <v>0</v>
      </c>
      <c r="M388" s="581"/>
      <c r="N388" s="585" t="s">
        <v>3785</v>
      </c>
      <c r="O388" s="586" t="s">
        <v>4681</v>
      </c>
      <c r="P388" s="233">
        <f t="shared" si="48"/>
        <v>0</v>
      </c>
      <c r="Q388" s="233">
        <f t="shared" si="49"/>
        <v>0</v>
      </c>
      <c r="R388" s="2">
        <f t="shared" si="50"/>
        <v>3.2</v>
      </c>
      <c r="S388" s="2">
        <f>(1/9)*cnst_fish!$C$7*(1/cnst_fish!$C$8)^(R388-1)</f>
        <v>22.351057842400341</v>
      </c>
      <c r="T388" s="682">
        <f t="shared" si="51"/>
        <v>0</v>
      </c>
      <c r="W388" s="822"/>
      <c r="X388" s="822"/>
      <c r="Y388" s="819"/>
      <c r="Z388" s="820"/>
      <c r="AA388" s="820"/>
      <c r="AB388" s="821"/>
      <c r="AC388" s="821"/>
      <c r="AD388" s="253"/>
      <c r="AE388" s="253"/>
    </row>
    <row r="389" spans="1:31" ht="14.5">
      <c r="A389" t="s">
        <v>205</v>
      </c>
      <c r="B389" t="s">
        <v>206</v>
      </c>
      <c r="C389">
        <v>16221</v>
      </c>
      <c r="D389" s="581"/>
      <c r="E389" s="581"/>
      <c r="F389" s="2">
        <f>(1/S389)*cnst_fish!$C$6</f>
        <v>0.14481532779905856</v>
      </c>
      <c r="G389" s="2">
        <f t="shared" si="55"/>
        <v>1</v>
      </c>
      <c r="H389" s="2">
        <f t="shared" si="55"/>
        <v>0.36449057933102513</v>
      </c>
      <c r="I389" s="2">
        <f t="shared" si="46"/>
        <v>0</v>
      </c>
      <c r="J389" s="389">
        <f t="shared" si="47"/>
        <v>0</v>
      </c>
      <c r="L389" s="721">
        <v>137</v>
      </c>
      <c r="M389" s="581"/>
      <c r="N389" s="585" t="s">
        <v>2311</v>
      </c>
      <c r="O389" s="586" t="s">
        <v>4680</v>
      </c>
      <c r="P389" s="233">
        <f t="shared" si="48"/>
        <v>0</v>
      </c>
      <c r="Q389" s="233">
        <f t="shared" si="49"/>
        <v>137</v>
      </c>
      <c r="R389" s="2">
        <f t="shared" si="50"/>
        <v>3.3182763159269002</v>
      </c>
      <c r="S389" s="2">
        <f>(1/9)*cnst_fish!$C$7*(1/cnst_fish!$C$8)^(R389-1)</f>
        <v>29.347722127157517</v>
      </c>
      <c r="T389" s="682">
        <f t="shared" si="51"/>
        <v>344.81991738912507</v>
      </c>
      <c r="W389" s="818"/>
      <c r="X389" s="818"/>
      <c r="Y389" s="819"/>
      <c r="Z389" s="820"/>
      <c r="AA389" s="820"/>
      <c r="AB389" s="821"/>
      <c r="AC389" s="821"/>
      <c r="AD389" s="253"/>
      <c r="AE389" s="253"/>
    </row>
    <row r="390" spans="1:31" ht="14.5">
      <c r="A390" t="s">
        <v>6401</v>
      </c>
      <c r="B390" t="s">
        <v>6400</v>
      </c>
      <c r="C390">
        <v>6612</v>
      </c>
      <c r="D390" s="581"/>
      <c r="E390" s="581"/>
      <c r="F390" s="2">
        <f>(1/S390)*cnst_fish!$C$6</f>
        <v>3.0136363636363641</v>
      </c>
      <c r="G390" s="2">
        <f t="shared" si="55"/>
        <v>1</v>
      </c>
      <c r="H390" s="2">
        <f t="shared" si="55"/>
        <v>0.36449057933102513</v>
      </c>
      <c r="I390" s="2">
        <f t="shared" si="46"/>
        <v>0</v>
      </c>
      <c r="J390" s="389">
        <f t="shared" si="47"/>
        <v>0</v>
      </c>
      <c r="L390" s="721"/>
      <c r="M390" s="581"/>
      <c r="N390" s="585" t="s">
        <v>2311</v>
      </c>
      <c r="O390" s="586" t="s">
        <v>4680</v>
      </c>
      <c r="P390" s="233">
        <f t="shared" si="48"/>
        <v>0</v>
      </c>
      <c r="Q390" s="233">
        <f t="shared" si="49"/>
        <v>0</v>
      </c>
      <c r="R390" s="2">
        <f t="shared" si="50"/>
        <v>2</v>
      </c>
      <c r="S390" s="2">
        <f>(1/9)*cnst_fish!$C$7*(1/cnst_fish!$C$8)^(R390-1)</f>
        <v>1.4102564102564099</v>
      </c>
      <c r="T390" s="682">
        <f t="shared" si="51"/>
        <v>0</v>
      </c>
      <c r="W390" s="818"/>
      <c r="X390" s="818"/>
      <c r="Y390" s="819"/>
      <c r="Z390" s="820"/>
      <c r="AA390" s="820"/>
      <c r="AB390" s="821"/>
      <c r="AC390" s="821"/>
      <c r="AD390" s="253"/>
      <c r="AE390" s="253"/>
    </row>
    <row r="391" spans="1:31" ht="14.5">
      <c r="A391" t="s">
        <v>6724</v>
      </c>
      <c r="B391" t="s">
        <v>6723</v>
      </c>
      <c r="C391">
        <v>3485</v>
      </c>
      <c r="D391" s="581"/>
      <c r="E391" s="581"/>
      <c r="F391" s="2">
        <f>(1/S391)*cnst_fish!$C$6</f>
        <v>3.0136363636363641</v>
      </c>
      <c r="G391" s="2">
        <f t="shared" si="55"/>
        <v>1</v>
      </c>
      <c r="H391" s="2">
        <f t="shared" si="55"/>
        <v>0.36449057933102513</v>
      </c>
      <c r="I391" s="2">
        <f t="shared" ref="I391:I454" si="56">IF($F391=0,0,D391/$F391*$H391*$G391)</f>
        <v>0</v>
      </c>
      <c r="J391" s="389">
        <f t="shared" ref="J391:J454" si="57">IF($F391=0,0,E391/$F391*$H391*$G391)</f>
        <v>0</v>
      </c>
      <c r="L391" s="721">
        <v>2719</v>
      </c>
      <c r="M391" s="581"/>
      <c r="N391" s="585" t="s">
        <v>2311</v>
      </c>
      <c r="O391" s="586" t="s">
        <v>4680</v>
      </c>
      <c r="P391" s="233">
        <f t="shared" ref="P391:P454" si="58">D391+E391</f>
        <v>0</v>
      </c>
      <c r="Q391" s="233">
        <f t="shared" ref="Q391:Q454" si="59">L391+M391</f>
        <v>2719</v>
      </c>
      <c r="R391" s="2">
        <f t="shared" ref="R391:R454" si="60">VLOOKUP(B391,constant_fish_trophic,3,FALSE)</f>
        <v>2</v>
      </c>
      <c r="S391" s="2">
        <f>(1/9)*cnst_fish!$C$7*(1/cnst_fish!$C$8)^(R391-1)</f>
        <v>1.4102564102564099</v>
      </c>
      <c r="T391" s="682">
        <f t="shared" ref="T391:T454" si="61">IF(F391=0,0,Q391/F391*H391*G391)</f>
        <v>328.85516552674596</v>
      </c>
      <c r="W391" s="818"/>
      <c r="X391" s="818"/>
      <c r="Y391" s="819"/>
      <c r="Z391" s="820"/>
      <c r="AA391" s="820"/>
      <c r="AB391" s="821"/>
      <c r="AC391" s="821"/>
      <c r="AD391" s="253"/>
      <c r="AE391" s="253"/>
    </row>
    <row r="392" spans="1:31" ht="14.5">
      <c r="A392" t="s">
        <v>6665</v>
      </c>
      <c r="B392" t="s">
        <v>6664</v>
      </c>
      <c r="C392">
        <v>19218</v>
      </c>
      <c r="D392" s="581"/>
      <c r="E392" s="581"/>
      <c r="F392" s="2">
        <f>(1/S392)*cnst_fish!$C$6</f>
        <v>3.0136363636363641</v>
      </c>
      <c r="G392" s="2">
        <f t="shared" si="55"/>
        <v>1</v>
      </c>
      <c r="H392" s="2">
        <f t="shared" si="55"/>
        <v>0.36449057933102513</v>
      </c>
      <c r="I392" s="2">
        <f t="shared" si="56"/>
        <v>0</v>
      </c>
      <c r="J392" s="389">
        <f t="shared" si="57"/>
        <v>0</v>
      </c>
      <c r="L392" s="721">
        <v>1046</v>
      </c>
      <c r="M392" s="581"/>
      <c r="N392" s="585" t="s">
        <v>2311</v>
      </c>
      <c r="O392" s="586" t="s">
        <v>4680</v>
      </c>
      <c r="P392" s="233">
        <f t="shared" si="58"/>
        <v>0</v>
      </c>
      <c r="Q392" s="233">
        <f t="shared" si="59"/>
        <v>1046</v>
      </c>
      <c r="R392" s="2">
        <f t="shared" si="60"/>
        <v>2</v>
      </c>
      <c r="S392" s="2">
        <f>(1/9)*cnst_fish!$C$7*(1/cnst_fish!$C$8)^(R392-1)</f>
        <v>1.4102564102564099</v>
      </c>
      <c r="T392" s="682">
        <f t="shared" si="61"/>
        <v>126.51066684110933</v>
      </c>
      <c r="W392" s="818"/>
      <c r="X392" s="818"/>
      <c r="Y392" s="819"/>
      <c r="Z392" s="820"/>
      <c r="AA392" s="820"/>
      <c r="AB392" s="821"/>
      <c r="AC392" s="821"/>
      <c r="AD392" s="253"/>
      <c r="AE392" s="253"/>
    </row>
    <row r="393" spans="1:31" ht="14.5">
      <c r="A393" t="s">
        <v>5187</v>
      </c>
      <c r="B393" t="s">
        <v>6592</v>
      </c>
      <c r="C393">
        <v>2649</v>
      </c>
      <c r="D393" s="581"/>
      <c r="E393" s="581"/>
      <c r="F393" s="2">
        <f>(1/S393)*cnst_fish!$C$6</f>
        <v>3.0136363636363641</v>
      </c>
      <c r="G393" s="2">
        <f t="shared" si="55"/>
        <v>1</v>
      </c>
      <c r="H393" s="2">
        <f t="shared" si="55"/>
        <v>0.36449057933102513</v>
      </c>
      <c r="I393" s="2">
        <f t="shared" si="56"/>
        <v>0</v>
      </c>
      <c r="J393" s="389">
        <f t="shared" si="57"/>
        <v>0</v>
      </c>
      <c r="L393" s="721"/>
      <c r="M393" s="581"/>
      <c r="N393" s="585" t="s">
        <v>2311</v>
      </c>
      <c r="O393" s="586" t="s">
        <v>4680</v>
      </c>
      <c r="P393" s="233">
        <f t="shared" si="58"/>
        <v>0</v>
      </c>
      <c r="Q393" s="233">
        <f t="shared" si="59"/>
        <v>0</v>
      </c>
      <c r="R393" s="2">
        <f t="shared" si="60"/>
        <v>2</v>
      </c>
      <c r="S393" s="2">
        <f>(1/9)*cnst_fish!$C$7*(1/cnst_fish!$C$8)^(R393-1)</f>
        <v>1.4102564102564099</v>
      </c>
      <c r="T393" s="682">
        <f t="shared" si="61"/>
        <v>0</v>
      </c>
      <c r="W393" s="818"/>
      <c r="X393" s="818"/>
      <c r="Y393" s="819"/>
      <c r="Z393" s="820"/>
      <c r="AA393" s="820"/>
      <c r="AB393" s="821"/>
      <c r="AC393" s="821"/>
      <c r="AD393" s="253"/>
      <c r="AE393" s="253"/>
    </row>
    <row r="394" spans="1:31" ht="14.5">
      <c r="A394" t="s">
        <v>6315</v>
      </c>
      <c r="B394" t="s">
        <v>6314</v>
      </c>
      <c r="C394">
        <v>3484</v>
      </c>
      <c r="D394" s="581"/>
      <c r="E394" s="581"/>
      <c r="F394" s="2">
        <f>(1/S394)*cnst_fish!$C$6</f>
        <v>3.0136363636363641</v>
      </c>
      <c r="G394" s="2">
        <f t="shared" si="55"/>
        <v>1</v>
      </c>
      <c r="H394" s="2">
        <f t="shared" si="55"/>
        <v>0.36449057933102513</v>
      </c>
      <c r="I394" s="2">
        <f t="shared" si="56"/>
        <v>0</v>
      </c>
      <c r="J394" s="389">
        <f t="shared" si="57"/>
        <v>0</v>
      </c>
      <c r="L394" s="721">
        <v>300</v>
      </c>
      <c r="M394" s="581"/>
      <c r="N394" s="585" t="s">
        <v>2311</v>
      </c>
      <c r="O394" s="586" t="s">
        <v>4680</v>
      </c>
      <c r="P394" s="233">
        <f t="shared" si="58"/>
        <v>0</v>
      </c>
      <c r="Q394" s="233">
        <f t="shared" si="59"/>
        <v>300</v>
      </c>
      <c r="R394" s="2">
        <f t="shared" si="60"/>
        <v>2</v>
      </c>
      <c r="S394" s="2">
        <f>(1/9)*cnst_fish!$C$7*(1/cnst_fish!$C$8)^(R394-1)</f>
        <v>1.4102564102564099</v>
      </c>
      <c r="T394" s="682">
        <f t="shared" si="61"/>
        <v>36.284130069151821</v>
      </c>
      <c r="W394" s="818"/>
      <c r="X394" s="818"/>
      <c r="Y394" s="819"/>
      <c r="Z394" s="820"/>
      <c r="AA394" s="820"/>
      <c r="AB394" s="821"/>
      <c r="AC394" s="821"/>
      <c r="AD394" s="253"/>
      <c r="AE394" s="253"/>
    </row>
    <row r="395" spans="1:31" ht="14.5">
      <c r="A395" t="s">
        <v>5455</v>
      </c>
      <c r="B395" t="s">
        <v>3731</v>
      </c>
      <c r="C395">
        <v>3245</v>
      </c>
      <c r="D395" s="581"/>
      <c r="E395" s="581"/>
      <c r="F395" s="2">
        <f>(1/S395)*cnst_fish!$C$6</f>
        <v>0.10211530705467774</v>
      </c>
      <c r="G395" s="2">
        <f t="shared" si="55"/>
        <v>1</v>
      </c>
      <c r="H395" s="2">
        <f t="shared" si="55"/>
        <v>0.36449057933102513</v>
      </c>
      <c r="I395" s="2">
        <f t="shared" si="56"/>
        <v>0</v>
      </c>
      <c r="J395" s="389">
        <f t="shared" si="57"/>
        <v>0</v>
      </c>
      <c r="L395" s="721">
        <v>0.25</v>
      </c>
      <c r="M395" s="581"/>
      <c r="N395" s="585" t="s">
        <v>1738</v>
      </c>
      <c r="O395" s="586" t="s">
        <v>4681</v>
      </c>
      <c r="P395" s="233">
        <f t="shared" si="58"/>
        <v>0</v>
      </c>
      <c r="Q395" s="233">
        <f t="shared" si="59"/>
        <v>0.25</v>
      </c>
      <c r="R395" s="2">
        <f t="shared" si="60"/>
        <v>3.47</v>
      </c>
      <c r="S395" s="2">
        <f>(1/9)*cnst_fish!$C$7*(1/cnst_fish!$C$8)^(R395-1)</f>
        <v>41.619617299141382</v>
      </c>
      <c r="T395" s="682">
        <f t="shared" si="61"/>
        <v>0.89235049534703537</v>
      </c>
      <c r="W395" s="818"/>
      <c r="X395" s="818"/>
      <c r="Y395" s="819"/>
      <c r="Z395" s="820"/>
      <c r="AA395" s="820"/>
      <c r="AB395" s="821"/>
      <c r="AC395" s="821"/>
      <c r="AD395" s="253"/>
      <c r="AE395" s="253"/>
    </row>
    <row r="396" spans="1:31" ht="14.5">
      <c r="A396" t="s">
        <v>2927</v>
      </c>
      <c r="B396" t="s">
        <v>3732</v>
      </c>
      <c r="C396">
        <v>2453</v>
      </c>
      <c r="D396" s="581"/>
      <c r="E396" s="581"/>
      <c r="F396" s="2">
        <f>(1/S396)*cnst_fish!$C$6</f>
        <v>0.14424170509541331</v>
      </c>
      <c r="G396" s="2">
        <f t="shared" si="55"/>
        <v>1</v>
      </c>
      <c r="H396" s="2">
        <f t="shared" si="55"/>
        <v>0.36449057933102513</v>
      </c>
      <c r="I396" s="2">
        <f t="shared" si="56"/>
        <v>0</v>
      </c>
      <c r="J396" s="389">
        <f t="shared" si="57"/>
        <v>0</v>
      </c>
      <c r="L396" s="721">
        <v>0</v>
      </c>
      <c r="M396" s="581"/>
      <c r="N396" s="585" t="s">
        <v>1738</v>
      </c>
      <c r="O396" s="586" t="s">
        <v>4681</v>
      </c>
      <c r="P396" s="233">
        <f t="shared" si="58"/>
        <v>0</v>
      </c>
      <c r="Q396" s="233">
        <f t="shared" si="59"/>
        <v>0</v>
      </c>
      <c r="R396" s="2">
        <f t="shared" si="60"/>
        <v>3.32</v>
      </c>
      <c r="S396" s="2">
        <f>(1/9)*cnst_fish!$C$7*(1/cnst_fish!$C$8)^(R396-1)</f>
        <v>29.464432614608246</v>
      </c>
      <c r="T396" s="682">
        <f t="shared" si="61"/>
        <v>0</v>
      </c>
      <c r="W396" s="818"/>
      <c r="X396" s="818"/>
      <c r="Y396" s="819"/>
      <c r="Z396" s="820"/>
      <c r="AA396" s="820"/>
      <c r="AB396" s="821"/>
      <c r="AC396" s="821"/>
      <c r="AD396" s="253"/>
      <c r="AE396" s="253"/>
    </row>
    <row r="397" spans="1:31" ht="14.5">
      <c r="A397" t="s">
        <v>6742</v>
      </c>
      <c r="B397" t="s">
        <v>8566</v>
      </c>
      <c r="C397">
        <v>11251</v>
      </c>
      <c r="D397" s="581"/>
      <c r="E397" s="581"/>
      <c r="F397" s="2">
        <f>(1/S397)*cnst_fish!$C$6</f>
        <v>9.5299549485983424E-3</v>
      </c>
      <c r="G397" s="2">
        <f t="shared" si="55"/>
        <v>1</v>
      </c>
      <c r="H397" s="2">
        <f t="shared" si="55"/>
        <v>0.36449057933102513</v>
      </c>
      <c r="I397" s="2">
        <f t="shared" si="56"/>
        <v>0</v>
      </c>
      <c r="J397" s="389">
        <f t="shared" si="57"/>
        <v>0</v>
      </c>
      <c r="L397" s="721"/>
      <c r="M397" s="581"/>
      <c r="N397" s="585" t="s">
        <v>1738</v>
      </c>
      <c r="O397" s="586" t="s">
        <v>4681</v>
      </c>
      <c r="P397" s="233">
        <f t="shared" si="58"/>
        <v>0</v>
      </c>
      <c r="Q397" s="233">
        <f t="shared" si="59"/>
        <v>0</v>
      </c>
      <c r="R397" s="2">
        <f t="shared" si="60"/>
        <v>4.5</v>
      </c>
      <c r="S397" s="2">
        <f>(1/9)*cnst_fish!$C$7*(1/cnst_fish!$C$8)^(R397-1)</f>
        <v>445.96223412630997</v>
      </c>
      <c r="T397" s="682">
        <f t="shared" si="61"/>
        <v>0</v>
      </c>
      <c r="W397" s="822"/>
      <c r="X397" s="822"/>
      <c r="Y397" s="819"/>
      <c r="Z397" s="820"/>
      <c r="AA397" s="820"/>
      <c r="AB397" s="821"/>
      <c r="AC397" s="821"/>
      <c r="AD397" s="253"/>
      <c r="AE397" s="253"/>
    </row>
    <row r="398" spans="1:31" ht="14.5">
      <c r="A398" t="s">
        <v>6551</v>
      </c>
      <c r="B398" t="s">
        <v>6550</v>
      </c>
      <c r="C398">
        <v>11253</v>
      </c>
      <c r="D398" s="581"/>
      <c r="E398" s="581"/>
      <c r="F398" s="2">
        <f>(1/S398)*cnst_fish!$C$6</f>
        <v>6.0129950673834844E-2</v>
      </c>
      <c r="G398" s="2">
        <f t="shared" si="55"/>
        <v>1</v>
      </c>
      <c r="H398" s="2">
        <f t="shared" si="55"/>
        <v>0.36449057933102513</v>
      </c>
      <c r="I398" s="2">
        <f t="shared" si="56"/>
        <v>0</v>
      </c>
      <c r="J398" s="389">
        <f t="shared" si="57"/>
        <v>0</v>
      </c>
      <c r="L398" s="721">
        <v>14</v>
      </c>
      <c r="M398" s="581"/>
      <c r="N398" s="585" t="s">
        <v>1738</v>
      </c>
      <c r="O398" s="586" t="s">
        <v>4681</v>
      </c>
      <c r="P398" s="233">
        <f t="shared" si="58"/>
        <v>0</v>
      </c>
      <c r="Q398" s="233">
        <f t="shared" si="59"/>
        <v>14</v>
      </c>
      <c r="R398" s="2">
        <f t="shared" si="60"/>
        <v>3.7</v>
      </c>
      <c r="S398" s="2">
        <f>(1/9)*cnst_fish!$C$7*(1/cnst_fish!$C$8)^(R398-1)</f>
        <v>70.680250896153822</v>
      </c>
      <c r="T398" s="682">
        <f t="shared" si="61"/>
        <v>84.863999611674913</v>
      </c>
      <c r="W398" s="818"/>
      <c r="X398" s="818"/>
      <c r="Y398" s="819"/>
      <c r="Z398" s="820"/>
      <c r="AA398" s="820"/>
      <c r="AB398" s="821"/>
      <c r="AC398" s="821"/>
      <c r="AD398" s="253"/>
      <c r="AE398" s="253"/>
    </row>
    <row r="399" spans="1:31" ht="14.5">
      <c r="A399" t="s">
        <v>3320</v>
      </c>
      <c r="B399" t="s">
        <v>4821</v>
      </c>
      <c r="C399">
        <v>11264</v>
      </c>
      <c r="D399" s="581"/>
      <c r="E399" s="581"/>
      <c r="F399" s="2">
        <f>(1/S399)*cnst_fish!$C$6</f>
        <v>0.12855555498429813</v>
      </c>
      <c r="G399" s="2">
        <f t="shared" si="55"/>
        <v>1</v>
      </c>
      <c r="H399" s="2">
        <f t="shared" si="55"/>
        <v>0.36449057933102513</v>
      </c>
      <c r="I399" s="2">
        <f t="shared" si="56"/>
        <v>0</v>
      </c>
      <c r="J399" s="389">
        <f t="shared" si="57"/>
        <v>0</v>
      </c>
      <c r="L399" s="721"/>
      <c r="M399" s="581">
        <v>0</v>
      </c>
      <c r="N399" s="585" t="s">
        <v>1738</v>
      </c>
      <c r="O399" s="586" t="s">
        <v>4685</v>
      </c>
      <c r="P399" s="233">
        <f t="shared" si="58"/>
        <v>0</v>
      </c>
      <c r="Q399" s="233">
        <f t="shared" si="59"/>
        <v>0</v>
      </c>
      <c r="R399" s="2">
        <f t="shared" si="60"/>
        <v>3.37</v>
      </c>
      <c r="S399" s="2">
        <f>(1/9)*cnst_fish!$C$7*(1/cnst_fish!$C$8)^(R399-1)</f>
        <v>33.059637139127112</v>
      </c>
      <c r="T399" s="682">
        <f t="shared" si="61"/>
        <v>0</v>
      </c>
      <c r="W399" s="818"/>
      <c r="X399" s="818"/>
      <c r="Y399" s="819"/>
      <c r="Z399" s="820"/>
      <c r="AA399" s="820"/>
      <c r="AB399" s="821"/>
      <c r="AC399" s="821"/>
      <c r="AD399" s="253"/>
      <c r="AE399" s="253"/>
    </row>
    <row r="400" spans="1:31" ht="14.5">
      <c r="A400" t="s">
        <v>3383</v>
      </c>
      <c r="B400" t="s">
        <v>3384</v>
      </c>
      <c r="C400">
        <v>19142</v>
      </c>
      <c r="D400" s="581"/>
      <c r="E400" s="581"/>
      <c r="F400" s="2">
        <f>(1/S400)*cnst_fish!$C$6</f>
        <v>0.29450376249713744</v>
      </c>
      <c r="G400" s="2">
        <f t="shared" si="55"/>
        <v>1</v>
      </c>
      <c r="H400" s="2">
        <f t="shared" si="55"/>
        <v>0.36449057933102513</v>
      </c>
      <c r="I400" s="2">
        <f t="shared" si="56"/>
        <v>0</v>
      </c>
      <c r="J400" s="389">
        <f t="shared" si="57"/>
        <v>0</v>
      </c>
      <c r="L400" s="721"/>
      <c r="M400" s="581">
        <v>9945</v>
      </c>
      <c r="N400" s="585" t="s">
        <v>1738</v>
      </c>
      <c r="O400" s="586" t="s">
        <v>4685</v>
      </c>
      <c r="P400" s="233">
        <f t="shared" si="58"/>
        <v>0</v>
      </c>
      <c r="Q400" s="233">
        <f t="shared" si="59"/>
        <v>9945</v>
      </c>
      <c r="R400" s="2">
        <f t="shared" si="60"/>
        <v>3.01</v>
      </c>
      <c r="S400" s="2">
        <f>(1/9)*cnst_fish!$C$7*(1/cnst_fish!$C$8)^(R400-1)</f>
        <v>14.431055019343969</v>
      </c>
      <c r="T400" s="682">
        <f t="shared" si="61"/>
        <v>12308.361634199082</v>
      </c>
      <c r="W400" s="818"/>
      <c r="X400" s="818"/>
      <c r="Y400" s="819"/>
      <c r="Z400" s="820"/>
      <c r="AA400" s="820"/>
      <c r="AB400" s="821"/>
      <c r="AC400" s="821"/>
      <c r="AD400" s="253"/>
      <c r="AE400" s="253"/>
    </row>
    <row r="401" spans="1:31" ht="14.5">
      <c r="A401" t="s">
        <v>3366</v>
      </c>
      <c r="B401" t="s">
        <v>4024</v>
      </c>
      <c r="C401">
        <v>2697</v>
      </c>
      <c r="D401" s="581"/>
      <c r="E401" s="581"/>
      <c r="F401" s="2">
        <f>(1/S401)*cnst_fish!$C$6</f>
        <v>2.3938164528281742</v>
      </c>
      <c r="G401" s="2">
        <f t="shared" si="55"/>
        <v>1</v>
      </c>
      <c r="H401" s="2">
        <f t="shared" si="55"/>
        <v>0.36449057933102513</v>
      </c>
      <c r="I401" s="2">
        <f t="shared" si="56"/>
        <v>0</v>
      </c>
      <c r="J401" s="389">
        <f t="shared" si="57"/>
        <v>0</v>
      </c>
      <c r="L401" s="721">
        <v>60063</v>
      </c>
      <c r="M401" s="581"/>
      <c r="N401" s="585" t="s">
        <v>1736</v>
      </c>
      <c r="O401" s="586" t="s">
        <v>4691</v>
      </c>
      <c r="P401" s="233">
        <f t="shared" si="58"/>
        <v>0</v>
      </c>
      <c r="Q401" s="233">
        <f t="shared" si="59"/>
        <v>60063</v>
      </c>
      <c r="R401" s="2">
        <f t="shared" si="60"/>
        <v>2.1</v>
      </c>
      <c r="S401" s="2">
        <f>(1/9)*cnst_fish!$C$7*(1/cnst_fish!$C$8)^(R401-1)</f>
        <v>1.7754076320174161</v>
      </c>
      <c r="T401" s="682">
        <f t="shared" si="61"/>
        <v>9145.3952705916909</v>
      </c>
      <c r="W401" s="818"/>
      <c r="X401" s="818"/>
      <c r="Y401" s="819"/>
      <c r="Z401" s="820"/>
      <c r="AA401" s="820"/>
      <c r="AB401" s="821"/>
      <c r="AC401" s="821"/>
      <c r="AD401" s="253"/>
      <c r="AE401" s="253"/>
    </row>
    <row r="402" spans="1:31" ht="14.5">
      <c r="A402" t="s">
        <v>5173</v>
      </c>
      <c r="B402" t="s">
        <v>3848</v>
      </c>
      <c r="C402">
        <v>11268</v>
      </c>
      <c r="D402" s="581"/>
      <c r="E402" s="581"/>
      <c r="F402" s="2">
        <f>(1/S402)*cnst_fish!$C$6</f>
        <v>3.460117504783787E-2</v>
      </c>
      <c r="G402" s="2">
        <f t="shared" si="55"/>
        <v>1</v>
      </c>
      <c r="H402" s="2">
        <f t="shared" si="55"/>
        <v>0.36449057933102513</v>
      </c>
      <c r="I402" s="2">
        <f t="shared" si="56"/>
        <v>0</v>
      </c>
      <c r="J402" s="389">
        <f t="shared" si="57"/>
        <v>0</v>
      </c>
      <c r="L402" s="721">
        <v>1</v>
      </c>
      <c r="M402" s="581"/>
      <c r="N402" s="585" t="s">
        <v>1738</v>
      </c>
      <c r="O402" s="586" t="s">
        <v>4681</v>
      </c>
      <c r="P402" s="233">
        <f t="shared" si="58"/>
        <v>0</v>
      </c>
      <c r="Q402" s="233">
        <f t="shared" si="59"/>
        <v>1</v>
      </c>
      <c r="R402" s="2">
        <f t="shared" si="60"/>
        <v>3.94</v>
      </c>
      <c r="S402" s="2">
        <f>(1/9)*cnst_fish!$C$7*(1/cnst_fish!$C$8)^(R402-1)</f>
        <v>122.82819858354985</v>
      </c>
      <c r="T402" s="682">
        <f t="shared" si="61"/>
        <v>10.53405206115395</v>
      </c>
      <c r="W402" s="818"/>
      <c r="X402" s="818"/>
      <c r="Y402" s="819"/>
      <c r="Z402" s="820"/>
      <c r="AA402" s="820"/>
      <c r="AB402" s="821"/>
      <c r="AC402" s="821"/>
      <c r="AD402" s="253"/>
      <c r="AE402" s="253"/>
    </row>
    <row r="403" spans="1:31" ht="14.5">
      <c r="A403" t="s">
        <v>3418</v>
      </c>
      <c r="B403" t="s">
        <v>1028</v>
      </c>
      <c r="C403">
        <v>2450</v>
      </c>
      <c r="D403" s="581"/>
      <c r="E403" s="581"/>
      <c r="F403" s="2">
        <f>(1/S403)*cnst_fish!$C$6</f>
        <v>0.17745606522761614</v>
      </c>
      <c r="G403" s="2">
        <f t="shared" si="55"/>
        <v>1</v>
      </c>
      <c r="H403" s="2">
        <f t="shared" si="55"/>
        <v>0.36449057933102513</v>
      </c>
      <c r="I403" s="2">
        <f t="shared" si="56"/>
        <v>0</v>
      </c>
      <c r="J403" s="389">
        <f t="shared" si="57"/>
        <v>0</v>
      </c>
      <c r="L403" s="721">
        <v>629.35</v>
      </c>
      <c r="M403" s="581"/>
      <c r="N403" s="585" t="s">
        <v>1738</v>
      </c>
      <c r="O403" s="586" t="s">
        <v>4681</v>
      </c>
      <c r="P403" s="233">
        <f t="shared" si="58"/>
        <v>0</v>
      </c>
      <c r="Q403" s="233">
        <f t="shared" si="59"/>
        <v>629.35</v>
      </c>
      <c r="R403" s="2">
        <f t="shared" si="60"/>
        <v>3.23</v>
      </c>
      <c r="S403" s="2">
        <f>(1/9)*cnst_fish!$C$7*(1/cnst_fish!$C$8)^(R403-1)</f>
        <v>23.94958997061434</v>
      </c>
      <c r="T403" s="682">
        <f t="shared" si="61"/>
        <v>1292.6700803815754</v>
      </c>
      <c r="W403" s="822"/>
      <c r="X403" s="822"/>
      <c r="Y403" s="819"/>
      <c r="Z403" s="820"/>
      <c r="AA403" s="820"/>
      <c r="AB403" s="821"/>
      <c r="AC403" s="821"/>
      <c r="AD403" s="253"/>
      <c r="AE403" s="253"/>
    </row>
    <row r="404" spans="1:31" ht="14.5">
      <c r="A404" t="s">
        <v>3710</v>
      </c>
      <c r="B404" t="s">
        <v>1274</v>
      </c>
      <c r="C404">
        <v>2270</v>
      </c>
      <c r="D404" s="581"/>
      <c r="E404" s="581"/>
      <c r="F404" s="2">
        <f>(1/S404)*cnst_fish!$C$6</f>
        <v>1.9014759972289439E-2</v>
      </c>
      <c r="G404" s="2">
        <f t="shared" si="55"/>
        <v>1</v>
      </c>
      <c r="H404" s="2">
        <f t="shared" si="55"/>
        <v>0.36449057933102513</v>
      </c>
      <c r="I404" s="2">
        <f t="shared" si="56"/>
        <v>0</v>
      </c>
      <c r="J404" s="389">
        <f t="shared" si="57"/>
        <v>0</v>
      </c>
      <c r="L404" s="721"/>
      <c r="M404" s="581">
        <v>27</v>
      </c>
      <c r="N404" s="585" t="s">
        <v>1738</v>
      </c>
      <c r="O404" s="586" t="s">
        <v>4685</v>
      </c>
      <c r="P404" s="233">
        <f t="shared" si="58"/>
        <v>0</v>
      </c>
      <c r="Q404" s="233">
        <f t="shared" si="59"/>
        <v>27</v>
      </c>
      <c r="R404" s="2">
        <f t="shared" si="60"/>
        <v>4.2</v>
      </c>
      <c r="S404" s="2">
        <f>(1/9)*cnst_fish!$C$7*(1/cnst_fish!$C$8)^(R404-1)</f>
        <v>223.51057842400343</v>
      </c>
      <c r="T404" s="682">
        <f t="shared" si="61"/>
        <v>517.55823666875142</v>
      </c>
      <c r="W404" s="818"/>
      <c r="X404" s="818"/>
      <c r="Y404" s="819"/>
      <c r="Z404" s="820"/>
      <c r="AA404" s="820"/>
      <c r="AB404" s="821"/>
      <c r="AC404" s="821"/>
      <c r="AD404" s="253"/>
      <c r="AE404" s="253"/>
    </row>
    <row r="405" spans="1:31" ht="14.5">
      <c r="A405" t="s">
        <v>6754</v>
      </c>
      <c r="B405" t="s">
        <v>8567</v>
      </c>
      <c r="C405">
        <v>11275</v>
      </c>
      <c r="D405" s="581"/>
      <c r="E405" s="581"/>
      <c r="F405" s="2">
        <f>(1/S405)*cnst_fish!$C$6</f>
        <v>9.5299549485983424E-3</v>
      </c>
      <c r="G405" s="2">
        <f t="shared" si="55"/>
        <v>1</v>
      </c>
      <c r="H405" s="2">
        <f t="shared" si="55"/>
        <v>0.36449057933102513</v>
      </c>
      <c r="I405" s="2">
        <f t="shared" si="56"/>
        <v>0</v>
      </c>
      <c r="J405" s="389">
        <f t="shared" si="57"/>
        <v>0</v>
      </c>
      <c r="L405" s="721"/>
      <c r="M405" s="581"/>
      <c r="N405" s="585" t="s">
        <v>1738</v>
      </c>
      <c r="O405" s="586" t="s">
        <v>4685</v>
      </c>
      <c r="P405" s="233">
        <f t="shared" si="58"/>
        <v>0</v>
      </c>
      <c r="Q405" s="233">
        <f t="shared" si="59"/>
        <v>0</v>
      </c>
      <c r="R405" s="2">
        <f t="shared" si="60"/>
        <v>4.5</v>
      </c>
      <c r="S405" s="2">
        <f>(1/9)*cnst_fish!$C$7*(1/cnst_fish!$C$8)^(R405-1)</f>
        <v>445.96223412630997</v>
      </c>
      <c r="T405" s="682">
        <f t="shared" si="61"/>
        <v>0</v>
      </c>
      <c r="W405" s="818"/>
      <c r="X405" s="818"/>
      <c r="Y405" s="819"/>
      <c r="Z405" s="820"/>
      <c r="AA405" s="820"/>
      <c r="AB405" s="821"/>
      <c r="AC405" s="821"/>
      <c r="AD405" s="253"/>
      <c r="AE405" s="253"/>
    </row>
    <row r="406" spans="1:31" ht="14.5">
      <c r="A406" t="s">
        <v>3658</v>
      </c>
      <c r="B406" t="s">
        <v>2226</v>
      </c>
      <c r="C406">
        <v>2271</v>
      </c>
      <c r="D406" s="581"/>
      <c r="E406" s="581"/>
      <c r="F406" s="2">
        <f>(1/S406)*cnst_fish!$C$6</f>
        <v>4.2568745094767511E-2</v>
      </c>
      <c r="G406" s="2">
        <f t="shared" si="55"/>
        <v>1</v>
      </c>
      <c r="H406" s="2">
        <f t="shared" si="55"/>
        <v>0.36449057933102513</v>
      </c>
      <c r="I406" s="2">
        <f t="shared" si="56"/>
        <v>0</v>
      </c>
      <c r="J406" s="389">
        <f t="shared" si="57"/>
        <v>0</v>
      </c>
      <c r="L406" s="721"/>
      <c r="M406" s="581">
        <v>14945</v>
      </c>
      <c r="N406" s="585" t="s">
        <v>1738</v>
      </c>
      <c r="O406" s="586" t="s">
        <v>4685</v>
      </c>
      <c r="P406" s="233">
        <f t="shared" si="58"/>
        <v>0</v>
      </c>
      <c r="Q406" s="233">
        <f t="shared" si="59"/>
        <v>14945</v>
      </c>
      <c r="R406" s="2">
        <f t="shared" si="60"/>
        <v>3.85</v>
      </c>
      <c r="S406" s="2">
        <f>(1/9)*cnst_fish!$C$7*(1/cnst_fish!$C$8)^(R406-1)</f>
        <v>99.838508054173388</v>
      </c>
      <c r="T406" s="682">
        <f t="shared" si="61"/>
        <v>127965.05266892977</v>
      </c>
      <c r="W406" s="818"/>
      <c r="X406" s="818"/>
      <c r="Y406" s="819"/>
      <c r="Z406" s="820"/>
      <c r="AA406" s="820"/>
      <c r="AB406" s="821"/>
      <c r="AC406" s="821"/>
      <c r="AD406" s="253"/>
      <c r="AE406" s="253"/>
    </row>
    <row r="407" spans="1:31" ht="14.5">
      <c r="A407" t="s">
        <v>6791</v>
      </c>
      <c r="B407" t="s">
        <v>8568</v>
      </c>
      <c r="C407">
        <v>3061</v>
      </c>
      <c r="D407" s="581"/>
      <c r="E407" s="581"/>
      <c r="F407" s="2">
        <f>(1/S407)*cnst_fish!$C$6</f>
        <v>4.7762917572805388E-2</v>
      </c>
      <c r="G407" s="2">
        <f t="shared" si="55"/>
        <v>1</v>
      </c>
      <c r="H407" s="2">
        <f t="shared" si="55"/>
        <v>0.36449057933102513</v>
      </c>
      <c r="I407" s="2">
        <f t="shared" si="56"/>
        <v>0</v>
      </c>
      <c r="J407" s="389">
        <f t="shared" si="57"/>
        <v>0</v>
      </c>
      <c r="L407" s="721"/>
      <c r="M407" s="581"/>
      <c r="N407" s="585" t="s">
        <v>1738</v>
      </c>
      <c r="O407" s="586" t="s">
        <v>4685</v>
      </c>
      <c r="P407" s="233">
        <f t="shared" si="58"/>
        <v>0</v>
      </c>
      <c r="Q407" s="233">
        <f t="shared" si="59"/>
        <v>0</v>
      </c>
      <c r="R407" s="2">
        <f t="shared" si="60"/>
        <v>3.8</v>
      </c>
      <c r="S407" s="2">
        <f>(1/9)*cnst_fish!$C$7*(1/cnst_fish!$C$8)^(R407-1)</f>
        <v>88.981163965155432</v>
      </c>
      <c r="T407" s="682">
        <f t="shared" si="61"/>
        <v>0</v>
      </c>
      <c r="W407" s="818"/>
      <c r="X407" s="818"/>
      <c r="Y407" s="819"/>
      <c r="Z407" s="820"/>
      <c r="AA407" s="820"/>
      <c r="AB407" s="821"/>
      <c r="AC407" s="821"/>
      <c r="AD407" s="253"/>
      <c r="AE407" s="253"/>
    </row>
    <row r="408" spans="1:31" ht="14.5">
      <c r="A408" t="s">
        <v>5429</v>
      </c>
      <c r="B408" t="s">
        <v>2227</v>
      </c>
      <c r="C408">
        <v>3060</v>
      </c>
      <c r="D408" s="581"/>
      <c r="E408" s="581"/>
      <c r="F408" s="2">
        <f>(1/S408)*cnst_fish!$C$6</f>
        <v>3.2291695426024204E-2</v>
      </c>
      <c r="G408" s="2">
        <f t="shared" ref="G408:H427" si="62">G$7</f>
        <v>1</v>
      </c>
      <c r="H408" s="2">
        <f t="shared" si="62"/>
        <v>0.36449057933102513</v>
      </c>
      <c r="I408" s="2">
        <f t="shared" si="56"/>
        <v>0</v>
      </c>
      <c r="J408" s="389">
        <f t="shared" si="57"/>
        <v>0</v>
      </c>
      <c r="L408" s="721"/>
      <c r="M408" s="581">
        <v>188287.28</v>
      </c>
      <c r="N408" s="585" t="s">
        <v>1738</v>
      </c>
      <c r="O408" s="586" t="s">
        <v>4685</v>
      </c>
      <c r="P408" s="233">
        <f t="shared" si="58"/>
        <v>0</v>
      </c>
      <c r="Q408" s="233">
        <f t="shared" si="59"/>
        <v>188287.28</v>
      </c>
      <c r="R408" s="2">
        <f t="shared" si="60"/>
        <v>3.97</v>
      </c>
      <c r="S408" s="2">
        <f>(1/9)*cnst_fish!$C$7*(1/cnst_fish!$C$8)^(R408-1)</f>
        <v>131.61278600983218</v>
      </c>
      <c r="T408" s="682">
        <f t="shared" si="61"/>
        <v>2125281.4032351547</v>
      </c>
      <c r="W408" s="818"/>
      <c r="X408" s="818"/>
      <c r="Y408" s="819"/>
      <c r="Z408" s="820"/>
      <c r="AA408" s="820"/>
      <c r="AB408" s="821"/>
      <c r="AC408" s="821"/>
      <c r="AD408" s="253"/>
      <c r="AE408" s="253"/>
    </row>
    <row r="409" spans="1:31" ht="14.5">
      <c r="A409" t="s">
        <v>3181</v>
      </c>
      <c r="B409" t="s">
        <v>609</v>
      </c>
      <c r="C409">
        <v>3062</v>
      </c>
      <c r="D409" s="581"/>
      <c r="E409" s="581"/>
      <c r="F409" s="2">
        <f>(1/S409)*cnst_fish!$C$6</f>
        <v>6.7466914312309487E-2</v>
      </c>
      <c r="G409" s="2">
        <f t="shared" si="62"/>
        <v>1</v>
      </c>
      <c r="H409" s="2">
        <f t="shared" si="62"/>
        <v>0.36449057933102513</v>
      </c>
      <c r="I409" s="2">
        <f t="shared" si="56"/>
        <v>0</v>
      </c>
      <c r="J409" s="389">
        <f t="shared" si="57"/>
        <v>0</v>
      </c>
      <c r="L409" s="721"/>
      <c r="M409" s="581">
        <v>66767.98000000001</v>
      </c>
      <c r="N409" s="585" t="s">
        <v>1738</v>
      </c>
      <c r="O409" s="586" t="s">
        <v>4685</v>
      </c>
      <c r="P409" s="233">
        <f t="shared" si="58"/>
        <v>0</v>
      </c>
      <c r="Q409" s="233">
        <f t="shared" si="59"/>
        <v>66767.98000000001</v>
      </c>
      <c r="R409" s="2">
        <f t="shared" si="60"/>
        <v>3.65</v>
      </c>
      <c r="S409" s="2">
        <f>(1/9)*cnst_fish!$C$7*(1/cnst_fish!$C$8)^(R409-1)</f>
        <v>62.993839918725584</v>
      </c>
      <c r="T409" s="682">
        <f t="shared" si="61"/>
        <v>360714.58075446752</v>
      </c>
      <c r="W409" s="818"/>
      <c r="X409" s="818"/>
      <c r="Y409" s="819"/>
      <c r="Z409" s="820"/>
      <c r="AA409" s="820"/>
      <c r="AB409" s="821"/>
      <c r="AC409" s="821"/>
      <c r="AD409" s="253"/>
      <c r="AE409" s="253"/>
    </row>
    <row r="410" spans="1:31" ht="14.5">
      <c r="A410" t="s">
        <v>6316</v>
      </c>
      <c r="B410" t="s">
        <v>1029</v>
      </c>
      <c r="C410">
        <v>2449</v>
      </c>
      <c r="D410" s="581"/>
      <c r="E410" s="581"/>
      <c r="F410" s="2">
        <f>(1/S410)*cnst_fish!$C$6</f>
        <v>7.7462381998898044E-2</v>
      </c>
      <c r="G410" s="2">
        <f t="shared" si="62"/>
        <v>1</v>
      </c>
      <c r="H410" s="2">
        <f t="shared" si="62"/>
        <v>0.36449057933102513</v>
      </c>
      <c r="I410" s="2">
        <f t="shared" si="56"/>
        <v>0</v>
      </c>
      <c r="J410" s="389">
        <f t="shared" si="57"/>
        <v>0</v>
      </c>
      <c r="L410" s="721">
        <v>12.45</v>
      </c>
      <c r="M410" s="581"/>
      <c r="N410" s="585" t="s">
        <v>1738</v>
      </c>
      <c r="O410" s="586" t="s">
        <v>4681</v>
      </c>
      <c r="P410" s="233">
        <f t="shared" si="58"/>
        <v>0</v>
      </c>
      <c r="Q410" s="233">
        <f t="shared" si="59"/>
        <v>12.45</v>
      </c>
      <c r="R410" s="2">
        <f t="shared" si="60"/>
        <v>3.59</v>
      </c>
      <c r="S410" s="2">
        <f>(1/9)*cnst_fish!$C$7*(1/cnst_fish!$C$8)^(R410-1)</f>
        <v>54.865340960731871</v>
      </c>
      <c r="T410" s="682">
        <f t="shared" si="61"/>
        <v>58.582083271539695</v>
      </c>
      <c r="W410" s="818"/>
      <c r="X410" s="818"/>
      <c r="Y410" s="819"/>
      <c r="Z410" s="820"/>
      <c r="AA410" s="820"/>
      <c r="AB410" s="821"/>
      <c r="AC410" s="821"/>
      <c r="AD410" s="253"/>
      <c r="AE410" s="253"/>
    </row>
    <row r="411" spans="1:31" ht="14.5">
      <c r="A411" t="s">
        <v>4718</v>
      </c>
      <c r="B411" t="s">
        <v>1030</v>
      </c>
      <c r="C411">
        <v>3248</v>
      </c>
      <c r="D411" s="581"/>
      <c r="E411" s="581"/>
      <c r="F411" s="2">
        <f>(1/S411)*cnst_fish!$C$6</f>
        <v>0.16946922663690964</v>
      </c>
      <c r="G411" s="2">
        <f t="shared" si="62"/>
        <v>1</v>
      </c>
      <c r="H411" s="2">
        <f t="shared" si="62"/>
        <v>0.36449057933102513</v>
      </c>
      <c r="I411" s="2">
        <f t="shared" si="56"/>
        <v>0</v>
      </c>
      <c r="J411" s="389">
        <f t="shared" si="57"/>
        <v>0</v>
      </c>
      <c r="L411" s="721">
        <v>51.34</v>
      </c>
      <c r="M411" s="581"/>
      <c r="N411" s="585" t="s">
        <v>1738</v>
      </c>
      <c r="O411" s="586" t="s">
        <v>4681</v>
      </c>
      <c r="P411" s="233">
        <f t="shared" si="58"/>
        <v>0</v>
      </c>
      <c r="Q411" s="233">
        <f t="shared" si="59"/>
        <v>51.34</v>
      </c>
      <c r="R411" s="2">
        <f t="shared" si="60"/>
        <v>3.25</v>
      </c>
      <c r="S411" s="2">
        <f>(1/9)*cnst_fish!$C$7*(1/cnst_fish!$C$8)^(R411-1)</f>
        <v>25.078299372343796</v>
      </c>
      <c r="T411" s="682">
        <f t="shared" si="61"/>
        <v>110.4209107116987</v>
      </c>
      <c r="W411" s="818"/>
      <c r="X411" s="818"/>
      <c r="Y411" s="819"/>
      <c r="Z411" s="820"/>
      <c r="AA411" s="820"/>
      <c r="AB411" s="821"/>
      <c r="AC411" s="821"/>
      <c r="AD411" s="253"/>
      <c r="AE411" s="253"/>
    </row>
    <row r="412" spans="1:31" ht="14.5">
      <c r="A412" t="s">
        <v>4166</v>
      </c>
      <c r="B412" t="s">
        <v>1508</v>
      </c>
      <c r="C412">
        <v>2114</v>
      </c>
      <c r="D412" s="581"/>
      <c r="E412" s="581"/>
      <c r="F412" s="2">
        <f>(1/S412)*cnst_fish!$C$6</f>
        <v>2.8124890974018419</v>
      </c>
      <c r="G412" s="2">
        <f t="shared" si="62"/>
        <v>1</v>
      </c>
      <c r="H412" s="2">
        <f t="shared" si="62"/>
        <v>0.36449057933102513</v>
      </c>
      <c r="I412" s="2">
        <f t="shared" si="56"/>
        <v>0</v>
      </c>
      <c r="J412" s="389">
        <f t="shared" si="57"/>
        <v>0</v>
      </c>
      <c r="L412" s="721">
        <v>7492.89</v>
      </c>
      <c r="M412" s="581">
        <v>4988</v>
      </c>
      <c r="N412" s="585" t="s">
        <v>1738</v>
      </c>
      <c r="O412" s="586" t="s">
        <v>4685</v>
      </c>
      <c r="P412" s="233">
        <f t="shared" si="58"/>
        <v>0</v>
      </c>
      <c r="Q412" s="233">
        <f t="shared" si="59"/>
        <v>12480.89</v>
      </c>
      <c r="R412" s="2">
        <f t="shared" si="60"/>
        <v>2.0299999999999998</v>
      </c>
      <c r="S412" s="2">
        <f>(1/9)*cnst_fish!$C$7*(1/cnst_fish!$C$8)^(R412-1)</f>
        <v>1.5111169689248292</v>
      </c>
      <c r="T412" s="682">
        <f t="shared" si="61"/>
        <v>1617.4878085284977</v>
      </c>
      <c r="W412" s="818"/>
      <c r="X412" s="818"/>
      <c r="Y412" s="819"/>
      <c r="Z412" s="820"/>
      <c r="AA412" s="820"/>
      <c r="AB412" s="821"/>
      <c r="AC412" s="821"/>
      <c r="AD412" s="253"/>
      <c r="AE412" s="253"/>
    </row>
    <row r="413" spans="1:31" ht="14.5">
      <c r="A413" t="s">
        <v>1742</v>
      </c>
      <c r="B413" t="s">
        <v>610</v>
      </c>
      <c r="C413">
        <v>2950</v>
      </c>
      <c r="D413" s="581"/>
      <c r="E413" s="581"/>
      <c r="F413" s="2">
        <f>(1/S413)*cnst_fish!$C$6</f>
        <v>0.30136363636363639</v>
      </c>
      <c r="G413" s="2">
        <f t="shared" si="62"/>
        <v>1</v>
      </c>
      <c r="H413" s="2">
        <f t="shared" si="62"/>
        <v>0.36449057933102513</v>
      </c>
      <c r="I413" s="2">
        <f t="shared" si="56"/>
        <v>0</v>
      </c>
      <c r="J413" s="389">
        <f t="shared" si="57"/>
        <v>0</v>
      </c>
      <c r="L413" s="721"/>
      <c r="M413" s="581">
        <v>57308</v>
      </c>
      <c r="N413" s="585" t="s">
        <v>1738</v>
      </c>
      <c r="O413" s="586" t="s">
        <v>4685</v>
      </c>
      <c r="P413" s="233">
        <f t="shared" si="58"/>
        <v>0</v>
      </c>
      <c r="Q413" s="233">
        <f t="shared" si="59"/>
        <v>57308</v>
      </c>
      <c r="R413" s="2">
        <f t="shared" si="60"/>
        <v>3</v>
      </c>
      <c r="S413" s="2">
        <f>(1/9)*cnst_fish!$C$7*(1/cnst_fish!$C$8)^(R413-1)</f>
        <v>14.1025641025641</v>
      </c>
      <c r="T413" s="682">
        <f t="shared" si="61"/>
        <v>69312.364200098425</v>
      </c>
      <c r="W413" s="818"/>
      <c r="X413" s="818"/>
      <c r="Y413" s="819"/>
      <c r="Z413" s="820"/>
      <c r="AA413" s="820"/>
      <c r="AB413" s="821"/>
      <c r="AC413" s="821"/>
      <c r="AD413" s="253"/>
      <c r="AE413" s="253"/>
    </row>
    <row r="414" spans="1:31" ht="14.5">
      <c r="A414" t="s">
        <v>1644</v>
      </c>
      <c r="B414" t="s">
        <v>2329</v>
      </c>
      <c r="C414">
        <v>18867</v>
      </c>
      <c r="D414" s="581"/>
      <c r="E414" s="581"/>
      <c r="F414" s="2">
        <f>(1/S414)*cnst_fish!$C$6</f>
        <v>0.95032600050805482</v>
      </c>
      <c r="G414" s="2">
        <f t="shared" si="62"/>
        <v>1</v>
      </c>
      <c r="H414" s="2">
        <f t="shared" si="62"/>
        <v>0.36449057933102513</v>
      </c>
      <c r="I414" s="2">
        <f t="shared" si="56"/>
        <v>0</v>
      </c>
      <c r="J414" s="389">
        <f t="shared" si="57"/>
        <v>0</v>
      </c>
      <c r="L414" s="721">
        <v>28462</v>
      </c>
      <c r="M414" s="581"/>
      <c r="N414" s="585" t="s">
        <v>2311</v>
      </c>
      <c r="O414" s="586" t="s">
        <v>4680</v>
      </c>
      <c r="P414" s="233">
        <f t="shared" si="58"/>
        <v>0</v>
      </c>
      <c r="Q414" s="233">
        <f t="shared" si="59"/>
        <v>28462</v>
      </c>
      <c r="R414" s="2">
        <f t="shared" si="60"/>
        <v>2.501218236046268</v>
      </c>
      <c r="S414" s="2">
        <f>(1/9)*cnst_fish!$C$7*(1/cnst_fish!$C$8)^(R414-1)</f>
        <v>4.4721495547084924</v>
      </c>
      <c r="T414" s="682">
        <f t="shared" si="61"/>
        <v>10916.391704923903</v>
      </c>
      <c r="W414" s="822"/>
      <c r="X414" s="822"/>
      <c r="Y414" s="819"/>
      <c r="Z414" s="820"/>
      <c r="AA414" s="820"/>
      <c r="AB414" s="821"/>
      <c r="AC414" s="821"/>
      <c r="AD414" s="253"/>
      <c r="AE414" s="253"/>
    </row>
    <row r="415" spans="1:31" ht="14.5">
      <c r="A415" t="s">
        <v>300</v>
      </c>
      <c r="B415" t="s">
        <v>301</v>
      </c>
      <c r="C415">
        <v>18825</v>
      </c>
      <c r="D415" s="581"/>
      <c r="E415" s="581"/>
      <c r="F415" s="2">
        <f>(1/S415)*cnst_fish!$C$6</f>
        <v>3.0838329721915438E-2</v>
      </c>
      <c r="G415" s="2">
        <f t="shared" si="62"/>
        <v>1</v>
      </c>
      <c r="H415" s="2">
        <f t="shared" si="62"/>
        <v>0.36449057933102513</v>
      </c>
      <c r="I415" s="2">
        <f t="shared" si="56"/>
        <v>0</v>
      </c>
      <c r="J415" s="389">
        <f t="shared" si="57"/>
        <v>0</v>
      </c>
      <c r="L415" s="721">
        <v>457</v>
      </c>
      <c r="M415" s="581"/>
      <c r="N415" s="585" t="s">
        <v>1738</v>
      </c>
      <c r="O415" s="586" t="s">
        <v>4681</v>
      </c>
      <c r="P415" s="233">
        <f t="shared" si="58"/>
        <v>0</v>
      </c>
      <c r="Q415" s="233">
        <f t="shared" si="59"/>
        <v>457</v>
      </c>
      <c r="R415" s="2">
        <f t="shared" si="60"/>
        <v>3.99</v>
      </c>
      <c r="S415" s="2">
        <f>(1/9)*cnst_fish!$C$7*(1/cnst_fish!$C$8)^(R415-1)</f>
        <v>137.81550551940927</v>
      </c>
      <c r="T415" s="682">
        <f t="shared" si="61"/>
        <v>5401.4661707149135</v>
      </c>
      <c r="W415" s="818"/>
      <c r="X415" s="818"/>
      <c r="Y415" s="819"/>
      <c r="Z415" s="820"/>
      <c r="AA415" s="820"/>
      <c r="AB415" s="821"/>
      <c r="AC415" s="821"/>
      <c r="AD415" s="253"/>
      <c r="AE415" s="253"/>
    </row>
    <row r="416" spans="1:31" ht="14.5">
      <c r="A416" t="s">
        <v>3408</v>
      </c>
      <c r="B416" t="s">
        <v>1031</v>
      </c>
      <c r="C416">
        <v>3228</v>
      </c>
      <c r="D416" s="581"/>
      <c r="E416" s="581"/>
      <c r="F416" s="2">
        <f>(1/S416)*cnst_fish!$C$6</f>
        <v>0.19910898001319816</v>
      </c>
      <c r="G416" s="2">
        <f t="shared" si="62"/>
        <v>1</v>
      </c>
      <c r="H416" s="2">
        <f t="shared" si="62"/>
        <v>0.36449057933102513</v>
      </c>
      <c r="I416" s="2">
        <f t="shared" si="56"/>
        <v>0</v>
      </c>
      <c r="J416" s="389">
        <f t="shared" si="57"/>
        <v>0</v>
      </c>
      <c r="L416" s="721">
        <v>525</v>
      </c>
      <c r="M416" s="581"/>
      <c r="N416" s="585" t="s">
        <v>1738</v>
      </c>
      <c r="O416" s="586" t="s">
        <v>4681</v>
      </c>
      <c r="P416" s="233">
        <f t="shared" si="58"/>
        <v>0</v>
      </c>
      <c r="Q416" s="233">
        <f t="shared" si="59"/>
        <v>525</v>
      </c>
      <c r="R416" s="2">
        <f t="shared" si="60"/>
        <v>3.18</v>
      </c>
      <c r="S416" s="2">
        <f>(1/9)*cnst_fish!$C$7*(1/cnst_fish!$C$8)^(R416-1)</f>
        <v>21.345094529228586</v>
      </c>
      <c r="T416" s="682">
        <f t="shared" si="61"/>
        <v>961.06943110302632</v>
      </c>
      <c r="W416" s="818"/>
      <c r="X416" s="818"/>
      <c r="Y416" s="819"/>
      <c r="Z416" s="820"/>
      <c r="AA416" s="820"/>
      <c r="AB416" s="821"/>
      <c r="AC416" s="821"/>
      <c r="AD416" s="253"/>
      <c r="AE416" s="253"/>
    </row>
    <row r="417" spans="1:31" ht="14.5">
      <c r="A417" t="s">
        <v>2735</v>
      </c>
      <c r="B417" t="s">
        <v>3003</v>
      </c>
      <c r="C417">
        <v>2427</v>
      </c>
      <c r="D417" s="581"/>
      <c r="E417" s="581"/>
      <c r="F417" s="2">
        <f>(1/S417)*cnst_fish!$C$6</f>
        <v>0.1409583630333692</v>
      </c>
      <c r="G417" s="2">
        <f t="shared" si="62"/>
        <v>1</v>
      </c>
      <c r="H417" s="2">
        <f t="shared" si="62"/>
        <v>0.36449057933102513</v>
      </c>
      <c r="I417" s="2">
        <f t="shared" si="56"/>
        <v>0</v>
      </c>
      <c r="J417" s="389">
        <f t="shared" si="57"/>
        <v>0</v>
      </c>
      <c r="L417" s="721">
        <v>211</v>
      </c>
      <c r="M417" s="581"/>
      <c r="N417" s="585" t="s">
        <v>1738</v>
      </c>
      <c r="O417" s="586" t="s">
        <v>4681</v>
      </c>
      <c r="P417" s="233">
        <f t="shared" si="58"/>
        <v>0</v>
      </c>
      <c r="Q417" s="233">
        <f t="shared" si="59"/>
        <v>211</v>
      </c>
      <c r="R417" s="2">
        <f t="shared" si="60"/>
        <v>3.33</v>
      </c>
      <c r="S417" s="2">
        <f>(1/9)*cnst_fish!$C$7*(1/cnst_fish!$C$8)^(R417-1)</f>
        <v>30.15074741605714</v>
      </c>
      <c r="T417" s="682">
        <f t="shared" si="61"/>
        <v>545.60446492018298</v>
      </c>
      <c r="W417" s="818"/>
      <c r="X417" s="818"/>
      <c r="Y417" s="819"/>
      <c r="Z417" s="820"/>
      <c r="AA417" s="820"/>
      <c r="AB417" s="821"/>
      <c r="AC417" s="821"/>
      <c r="AD417" s="253"/>
      <c r="AE417" s="253"/>
    </row>
    <row r="418" spans="1:31" ht="14.5">
      <c r="A418" t="s">
        <v>1249</v>
      </c>
      <c r="B418" t="s">
        <v>1898</v>
      </c>
      <c r="C418">
        <v>2379</v>
      </c>
      <c r="D418" s="581"/>
      <c r="E418" s="581"/>
      <c r="F418" s="2">
        <f>(1/S418)*cnst_fish!$C$6</f>
        <v>8.6914222116951781E-2</v>
      </c>
      <c r="G418" s="2">
        <f t="shared" si="62"/>
        <v>1</v>
      </c>
      <c r="H418" s="2">
        <f t="shared" si="62"/>
        <v>0.36449057933102513</v>
      </c>
      <c r="I418" s="2">
        <f t="shared" si="56"/>
        <v>0</v>
      </c>
      <c r="J418" s="389">
        <f t="shared" si="57"/>
        <v>0</v>
      </c>
      <c r="L418" s="721">
        <v>164</v>
      </c>
      <c r="M418" s="581"/>
      <c r="N418" s="585" t="s">
        <v>1738</v>
      </c>
      <c r="O418" s="586" t="s">
        <v>4681</v>
      </c>
      <c r="P418" s="233">
        <f t="shared" si="58"/>
        <v>0</v>
      </c>
      <c r="Q418" s="233">
        <f t="shared" si="59"/>
        <v>164</v>
      </c>
      <c r="R418" s="2">
        <f t="shared" si="60"/>
        <v>3.54</v>
      </c>
      <c r="S418" s="2">
        <f>(1/9)*cnst_fish!$C$7*(1/cnst_fish!$C$8)^(R418-1)</f>
        <v>48.898786602280119</v>
      </c>
      <c r="T418" s="682">
        <f t="shared" si="61"/>
        <v>687.7637923267946</v>
      </c>
      <c r="W418" s="818"/>
      <c r="X418" s="818"/>
      <c r="Y418" s="819"/>
      <c r="Z418" s="820"/>
      <c r="AA418" s="820"/>
      <c r="AB418" s="821"/>
      <c r="AC418" s="821"/>
      <c r="AD418" s="253"/>
      <c r="AE418" s="253"/>
    </row>
    <row r="419" spans="1:31" ht="14.5">
      <c r="A419" t="s">
        <v>4515</v>
      </c>
      <c r="B419" t="s">
        <v>3004</v>
      </c>
      <c r="C419">
        <v>3337</v>
      </c>
      <c r="D419" s="581"/>
      <c r="E419" s="581"/>
      <c r="F419" s="2">
        <f>(1/S419)*cnst_fish!$C$6</f>
        <v>1.8581931192461935E-2</v>
      </c>
      <c r="G419" s="2">
        <f t="shared" si="62"/>
        <v>1</v>
      </c>
      <c r="H419" s="2">
        <f t="shared" si="62"/>
        <v>0.36449057933102513</v>
      </c>
      <c r="I419" s="2">
        <f t="shared" si="56"/>
        <v>0</v>
      </c>
      <c r="J419" s="389">
        <f t="shared" si="57"/>
        <v>0</v>
      </c>
      <c r="L419" s="721">
        <v>582</v>
      </c>
      <c r="M419" s="581"/>
      <c r="N419" s="585" t="s">
        <v>1738</v>
      </c>
      <c r="O419" s="586" t="s">
        <v>4681</v>
      </c>
      <c r="P419" s="233">
        <f t="shared" si="58"/>
        <v>0</v>
      </c>
      <c r="Q419" s="233">
        <f t="shared" si="59"/>
        <v>582</v>
      </c>
      <c r="R419" s="2">
        <f t="shared" si="60"/>
        <v>4.21</v>
      </c>
      <c r="S419" s="2">
        <f>(1/9)*cnst_fish!$C$7*(1/cnst_fish!$C$8)^(R419-1)</f>
        <v>228.71680860190045</v>
      </c>
      <c r="T419" s="682">
        <f t="shared" si="61"/>
        <v>11416.11789288683</v>
      </c>
      <c r="W419" s="822"/>
      <c r="X419" s="822"/>
      <c r="Y419" s="819"/>
      <c r="Z419" s="820"/>
      <c r="AA419" s="820"/>
      <c r="AB419" s="821"/>
      <c r="AC419" s="821"/>
      <c r="AD419" s="253"/>
      <c r="AE419" s="253"/>
    </row>
    <row r="420" spans="1:31" ht="14.5">
      <c r="A420" t="s">
        <v>3211</v>
      </c>
      <c r="B420" t="s">
        <v>241</v>
      </c>
      <c r="C420">
        <v>3336</v>
      </c>
      <c r="D420" s="581"/>
      <c r="E420" s="581"/>
      <c r="F420" s="2">
        <f>(1/S420)*cnst_fish!$C$6</f>
        <v>6.2963787943464855E-2</v>
      </c>
      <c r="G420" s="2">
        <f t="shared" si="62"/>
        <v>1</v>
      </c>
      <c r="H420" s="2">
        <f t="shared" si="62"/>
        <v>0.36449057933102513</v>
      </c>
      <c r="I420" s="2">
        <f t="shared" si="56"/>
        <v>0</v>
      </c>
      <c r="J420" s="389">
        <f t="shared" si="57"/>
        <v>0</v>
      </c>
      <c r="L420" s="721">
        <v>5441</v>
      </c>
      <c r="M420" s="581"/>
      <c r="N420" s="585" t="s">
        <v>1738</v>
      </c>
      <c r="O420" s="586" t="s">
        <v>4681</v>
      </c>
      <c r="P420" s="233">
        <f t="shared" si="58"/>
        <v>0</v>
      </c>
      <c r="Q420" s="233">
        <f t="shared" si="59"/>
        <v>5441</v>
      </c>
      <c r="R420" s="2">
        <f t="shared" si="60"/>
        <v>3.68</v>
      </c>
      <c r="S420" s="2">
        <f>(1/9)*cnst_fish!$C$7*(1/cnst_fish!$C$8)^(R420-1)</f>
        <v>67.499115583961881</v>
      </c>
      <c r="T420" s="682">
        <f t="shared" si="61"/>
        <v>31497.362323893471</v>
      </c>
      <c r="W420" s="822"/>
      <c r="X420" s="822"/>
      <c r="Y420" s="819"/>
      <c r="Z420" s="820"/>
      <c r="AA420" s="820"/>
      <c r="AB420" s="821"/>
      <c r="AC420" s="821"/>
      <c r="AD420" s="253"/>
      <c r="AE420" s="253"/>
    </row>
    <row r="421" spans="1:31" ht="14.5">
      <c r="A421" t="s">
        <v>1126</v>
      </c>
      <c r="B421" t="s">
        <v>389</v>
      </c>
      <c r="C421">
        <v>11317</v>
      </c>
      <c r="D421" s="581"/>
      <c r="E421" s="581"/>
      <c r="F421" s="2">
        <f>(1/S421)*cnst_fish!$C$6</f>
        <v>0.11457525898206007</v>
      </c>
      <c r="G421" s="2">
        <f t="shared" si="62"/>
        <v>1</v>
      </c>
      <c r="H421" s="2">
        <f t="shared" si="62"/>
        <v>0.36449057933102513</v>
      </c>
      <c r="I421" s="2">
        <f t="shared" si="56"/>
        <v>0</v>
      </c>
      <c r="J421" s="389">
        <f t="shared" si="57"/>
        <v>0</v>
      </c>
      <c r="L421" s="721">
        <v>66</v>
      </c>
      <c r="M421" s="581"/>
      <c r="N421" s="585" t="s">
        <v>1738</v>
      </c>
      <c r="O421" s="586" t="s">
        <v>4681</v>
      </c>
      <c r="P421" s="233">
        <f t="shared" si="58"/>
        <v>0</v>
      </c>
      <c r="Q421" s="233">
        <f t="shared" si="59"/>
        <v>66</v>
      </c>
      <c r="R421" s="2">
        <f t="shared" si="60"/>
        <v>3.42</v>
      </c>
      <c r="S421" s="2">
        <f>(1/9)*cnst_fish!$C$7*(1/cnst_fish!$C$8)^(R421-1)</f>
        <v>37.093522962627169</v>
      </c>
      <c r="T421" s="682">
        <f t="shared" si="61"/>
        <v>209.96136905624934</v>
      </c>
      <c r="W421" s="818"/>
      <c r="X421" s="818"/>
      <c r="Y421" s="819"/>
      <c r="Z421" s="820"/>
      <c r="AA421" s="820"/>
      <c r="AB421" s="821"/>
      <c r="AC421" s="821"/>
      <c r="AD421" s="253"/>
      <c r="AE421" s="253"/>
    </row>
    <row r="422" spans="1:31" ht="14.5">
      <c r="A422" t="s">
        <v>3456</v>
      </c>
      <c r="B422" t="s">
        <v>390</v>
      </c>
      <c r="C422">
        <v>2530</v>
      </c>
      <c r="D422" s="581"/>
      <c r="E422" s="581"/>
      <c r="F422" s="2">
        <f>(1/S422)*cnst_fish!$C$6</f>
        <v>6.7466914312309487E-2</v>
      </c>
      <c r="G422" s="2">
        <f t="shared" si="62"/>
        <v>1</v>
      </c>
      <c r="H422" s="2">
        <f t="shared" si="62"/>
        <v>0.36449057933102513</v>
      </c>
      <c r="I422" s="2">
        <f t="shared" si="56"/>
        <v>0</v>
      </c>
      <c r="J422" s="389">
        <f t="shared" si="57"/>
        <v>0</v>
      </c>
      <c r="L422" s="721">
        <v>5848</v>
      </c>
      <c r="M422" s="581"/>
      <c r="N422" s="585" t="s">
        <v>1738</v>
      </c>
      <c r="O422" s="586" t="s">
        <v>4681</v>
      </c>
      <c r="P422" s="233">
        <f t="shared" si="58"/>
        <v>0</v>
      </c>
      <c r="Q422" s="233">
        <f t="shared" si="59"/>
        <v>5848</v>
      </c>
      <c r="R422" s="2">
        <f t="shared" si="60"/>
        <v>3.65</v>
      </c>
      <c r="S422" s="2">
        <f>(1/9)*cnst_fish!$C$7*(1/cnst_fish!$C$8)^(R422-1)</f>
        <v>62.993839918725584</v>
      </c>
      <c r="T422" s="682">
        <f t="shared" si="61"/>
        <v>31593.869819816711</v>
      </c>
      <c r="W422" s="818"/>
      <c r="X422" s="818"/>
      <c r="Y422" s="819"/>
      <c r="Z422" s="820"/>
      <c r="AA422" s="820"/>
      <c r="AB422" s="821"/>
      <c r="AC422" s="821"/>
      <c r="AD422" s="253"/>
      <c r="AE422" s="253"/>
    </row>
    <row r="423" spans="1:31" ht="14.5">
      <c r="A423" t="s">
        <v>3025</v>
      </c>
      <c r="B423" t="s">
        <v>1899</v>
      </c>
      <c r="C423">
        <v>2260</v>
      </c>
      <c r="D423" s="581"/>
      <c r="E423" s="581"/>
      <c r="F423" s="2">
        <f>(1/S423)*cnst_fish!$C$6</f>
        <v>0.95299549485983426</v>
      </c>
      <c r="G423" s="2">
        <f t="shared" si="62"/>
        <v>1</v>
      </c>
      <c r="H423" s="2">
        <f t="shared" si="62"/>
        <v>0.36449057933102513</v>
      </c>
      <c r="I423" s="2">
        <f t="shared" si="56"/>
        <v>0</v>
      </c>
      <c r="J423" s="389">
        <f t="shared" si="57"/>
        <v>0</v>
      </c>
      <c r="L423" s="721">
        <v>118315</v>
      </c>
      <c r="M423" s="581"/>
      <c r="N423" s="585" t="s">
        <v>1738</v>
      </c>
      <c r="O423" s="586" t="s">
        <v>4681</v>
      </c>
      <c r="P423" s="233">
        <f t="shared" si="58"/>
        <v>0</v>
      </c>
      <c r="Q423" s="233">
        <f t="shared" si="59"/>
        <v>118315</v>
      </c>
      <c r="R423" s="2">
        <f t="shared" si="60"/>
        <v>2.5</v>
      </c>
      <c r="S423" s="2">
        <f>(1/9)*cnst_fish!$C$7*(1/cnst_fish!$C$8)^(R423-1)</f>
        <v>4.4596223412630991</v>
      </c>
      <c r="T423" s="682">
        <f t="shared" si="61"/>
        <v>45251.738466920018</v>
      </c>
      <c r="W423" s="818"/>
      <c r="X423" s="818"/>
      <c r="Y423" s="819"/>
      <c r="Z423" s="820"/>
      <c r="AA423" s="820"/>
      <c r="AB423" s="821"/>
      <c r="AC423" s="821"/>
      <c r="AD423" s="253"/>
      <c r="AE423" s="253"/>
    </row>
    <row r="424" spans="1:31" ht="14.5">
      <c r="A424" t="s">
        <v>6699</v>
      </c>
      <c r="B424" t="s">
        <v>6698</v>
      </c>
      <c r="C424">
        <v>11324</v>
      </c>
      <c r="D424" s="581"/>
      <c r="E424" s="581"/>
      <c r="F424" s="2">
        <f>(1/S424)*cnst_fish!$C$6</f>
        <v>3.0136363636363641</v>
      </c>
      <c r="G424" s="2">
        <f t="shared" si="62"/>
        <v>1</v>
      </c>
      <c r="H424" s="2">
        <f t="shared" si="62"/>
        <v>0.36449057933102513</v>
      </c>
      <c r="I424" s="2">
        <f t="shared" si="56"/>
        <v>0</v>
      </c>
      <c r="J424" s="389">
        <f t="shared" si="57"/>
        <v>0</v>
      </c>
      <c r="L424" s="721">
        <v>589</v>
      </c>
      <c r="M424" s="581"/>
      <c r="N424" s="585" t="s">
        <v>1738</v>
      </c>
      <c r="O424" s="586" t="s">
        <v>4681</v>
      </c>
      <c r="P424" s="233">
        <f t="shared" si="58"/>
        <v>0</v>
      </c>
      <c r="Q424" s="233">
        <f t="shared" si="59"/>
        <v>589</v>
      </c>
      <c r="R424" s="2">
        <f t="shared" si="60"/>
        <v>2</v>
      </c>
      <c r="S424" s="2">
        <f>(1/9)*cnst_fish!$C$7*(1/cnst_fish!$C$8)^(R424-1)</f>
        <v>1.4102564102564099</v>
      </c>
      <c r="T424" s="682">
        <f t="shared" si="61"/>
        <v>71.237842035768068</v>
      </c>
      <c r="W424" s="818"/>
      <c r="X424" s="818"/>
      <c r="Y424" s="819"/>
      <c r="Z424" s="820"/>
      <c r="AA424" s="820"/>
      <c r="AB424" s="821"/>
      <c r="AC424" s="821"/>
      <c r="AD424" s="253"/>
      <c r="AE424" s="253"/>
    </row>
    <row r="425" spans="1:31" ht="14.5">
      <c r="A425" t="s">
        <v>736</v>
      </c>
      <c r="B425" t="s">
        <v>3455</v>
      </c>
      <c r="C425">
        <v>3605</v>
      </c>
      <c r="D425" s="581"/>
      <c r="E425" s="581"/>
      <c r="F425" s="2">
        <f>(1/S425)*cnst_fish!$C$6</f>
        <v>3.0136363636363641</v>
      </c>
      <c r="G425" s="2">
        <f t="shared" si="62"/>
        <v>1</v>
      </c>
      <c r="H425" s="2">
        <f t="shared" si="62"/>
        <v>0.36449057933102513</v>
      </c>
      <c r="I425" s="2">
        <f t="shared" si="56"/>
        <v>0</v>
      </c>
      <c r="J425" s="389">
        <f t="shared" si="57"/>
        <v>0</v>
      </c>
      <c r="L425" s="721">
        <v>2</v>
      </c>
      <c r="M425" s="581"/>
      <c r="N425" s="585" t="s">
        <v>2310</v>
      </c>
      <c r="O425" s="586"/>
      <c r="P425" s="233">
        <f t="shared" si="58"/>
        <v>0</v>
      </c>
      <c r="Q425" s="233">
        <f t="shared" si="59"/>
        <v>2</v>
      </c>
      <c r="R425" s="2">
        <f t="shared" si="60"/>
        <v>2</v>
      </c>
      <c r="S425" s="2">
        <f>(1/9)*cnst_fish!$C$7*(1/cnst_fish!$C$8)^(R425-1)</f>
        <v>1.4102564102564099</v>
      </c>
      <c r="T425" s="682">
        <f t="shared" si="61"/>
        <v>0.24189420046101209</v>
      </c>
      <c r="W425" s="818"/>
      <c r="X425" s="818"/>
      <c r="Y425" s="819"/>
      <c r="Z425" s="820"/>
      <c r="AA425" s="820"/>
      <c r="AB425" s="821"/>
      <c r="AC425" s="821"/>
      <c r="AD425" s="253"/>
      <c r="AE425" s="253"/>
    </row>
    <row r="426" spans="1:31" ht="14.5">
      <c r="A426" t="s">
        <v>4240</v>
      </c>
      <c r="B426" t="s">
        <v>6591</v>
      </c>
      <c r="C426">
        <v>2625</v>
      </c>
      <c r="D426" s="581"/>
      <c r="E426" s="581"/>
      <c r="F426" s="2">
        <f>(1/S426)*cnst_fish!$C$6</f>
        <v>3.0136363636363641</v>
      </c>
      <c r="G426" s="2">
        <f t="shared" si="62"/>
        <v>1</v>
      </c>
      <c r="H426" s="2">
        <f t="shared" si="62"/>
        <v>0.36449057933102513</v>
      </c>
      <c r="I426" s="2">
        <f t="shared" si="56"/>
        <v>0</v>
      </c>
      <c r="J426" s="389">
        <f t="shared" si="57"/>
        <v>0</v>
      </c>
      <c r="L426" s="721"/>
      <c r="M426" s="581">
        <v>9</v>
      </c>
      <c r="N426" s="585" t="s">
        <v>1737</v>
      </c>
      <c r="O426" s="586" t="s">
        <v>4680</v>
      </c>
      <c r="P426" s="233">
        <f t="shared" si="58"/>
        <v>0</v>
      </c>
      <c r="Q426" s="233">
        <f t="shared" si="59"/>
        <v>9</v>
      </c>
      <c r="R426" s="2">
        <f t="shared" si="60"/>
        <v>2</v>
      </c>
      <c r="S426" s="2">
        <f>(1/9)*cnst_fish!$C$7*(1/cnst_fish!$C$8)^(R426-1)</f>
        <v>1.4102564102564099</v>
      </c>
      <c r="T426" s="682">
        <f t="shared" si="61"/>
        <v>1.0885239020745545</v>
      </c>
      <c r="W426" s="818"/>
      <c r="X426" s="818"/>
      <c r="Y426" s="819"/>
      <c r="Z426" s="820"/>
      <c r="AA426" s="820"/>
      <c r="AB426" s="821"/>
      <c r="AC426" s="821"/>
      <c r="AD426" s="253"/>
      <c r="AE426" s="253"/>
    </row>
    <row r="427" spans="1:31" ht="14.5">
      <c r="A427" t="s">
        <v>2525</v>
      </c>
      <c r="B427" t="s">
        <v>708</v>
      </c>
      <c r="C427">
        <v>2869</v>
      </c>
      <c r="D427" s="581"/>
      <c r="E427" s="581"/>
      <c r="F427" s="2">
        <f>(1/S427)*cnst_fish!$C$6</f>
        <v>9.5299549485983348E-2</v>
      </c>
      <c r="G427" s="2">
        <f t="shared" si="62"/>
        <v>1</v>
      </c>
      <c r="H427" s="2">
        <f t="shared" si="62"/>
        <v>0.36449057933102513</v>
      </c>
      <c r="I427" s="2">
        <f t="shared" si="56"/>
        <v>0</v>
      </c>
      <c r="J427" s="389">
        <f t="shared" si="57"/>
        <v>0</v>
      </c>
      <c r="L427" s="721">
        <v>366</v>
      </c>
      <c r="M427" s="581"/>
      <c r="N427" s="585" t="s">
        <v>1738</v>
      </c>
      <c r="O427" s="586" t="s">
        <v>4681</v>
      </c>
      <c r="P427" s="233">
        <f t="shared" si="58"/>
        <v>0</v>
      </c>
      <c r="Q427" s="233">
        <f t="shared" si="59"/>
        <v>366</v>
      </c>
      <c r="R427" s="2">
        <f t="shared" si="60"/>
        <v>3.5</v>
      </c>
      <c r="S427" s="2">
        <f>(1/9)*cnst_fish!$C$7*(1/cnst_fish!$C$8)^(R427-1)</f>
        <v>44.596223412631026</v>
      </c>
      <c r="T427" s="682">
        <f t="shared" si="61"/>
        <v>1399.8340260231364</v>
      </c>
      <c r="W427" s="818"/>
      <c r="X427" s="818"/>
      <c r="Y427" s="819"/>
      <c r="Z427" s="820"/>
      <c r="AA427" s="820"/>
      <c r="AB427" s="821"/>
      <c r="AC427" s="821"/>
      <c r="AD427" s="253"/>
      <c r="AE427" s="253"/>
    </row>
    <row r="428" spans="1:31" ht="14.5">
      <c r="A428" t="s">
        <v>6634</v>
      </c>
      <c r="B428" t="s">
        <v>6633</v>
      </c>
      <c r="C428">
        <v>11350</v>
      </c>
      <c r="D428" s="581"/>
      <c r="E428" s="581"/>
      <c r="F428" s="2">
        <f>(1/S428)*cnst_fish!$C$6</f>
        <v>3.0136363636363641</v>
      </c>
      <c r="G428" s="2">
        <f t="shared" ref="G428:H447" si="63">G$7</f>
        <v>1</v>
      </c>
      <c r="H428" s="2">
        <f t="shared" si="63"/>
        <v>0.36449057933102513</v>
      </c>
      <c r="I428" s="2">
        <f t="shared" si="56"/>
        <v>0</v>
      </c>
      <c r="J428" s="389">
        <f t="shared" si="57"/>
        <v>0</v>
      </c>
      <c r="L428" s="721">
        <v>0</v>
      </c>
      <c r="M428" s="581"/>
      <c r="N428" s="585" t="s">
        <v>1738</v>
      </c>
      <c r="O428" s="586" t="s">
        <v>4681</v>
      </c>
      <c r="P428" s="233">
        <f t="shared" si="58"/>
        <v>0</v>
      </c>
      <c r="Q428" s="233">
        <f t="shared" si="59"/>
        <v>0</v>
      </c>
      <c r="R428" s="2">
        <f t="shared" si="60"/>
        <v>2</v>
      </c>
      <c r="S428" s="2">
        <f>(1/9)*cnst_fish!$C$7*(1/cnst_fish!$C$8)^(R428-1)</f>
        <v>1.4102564102564099</v>
      </c>
      <c r="T428" s="682">
        <f t="shared" si="61"/>
        <v>0</v>
      </c>
      <c r="W428" s="818"/>
      <c r="X428" s="818"/>
      <c r="Y428" s="819"/>
      <c r="Z428" s="820"/>
      <c r="AA428" s="820"/>
      <c r="AB428" s="821"/>
      <c r="AC428" s="821"/>
      <c r="AD428" s="253"/>
      <c r="AE428" s="253"/>
    </row>
    <row r="429" spans="1:31" ht="14.5">
      <c r="A429" t="s">
        <v>1160</v>
      </c>
      <c r="B429" t="s">
        <v>4506</v>
      </c>
      <c r="C429">
        <v>3389</v>
      </c>
      <c r="D429" s="581"/>
      <c r="E429" s="581"/>
      <c r="F429" s="2">
        <f>(1/S429)*cnst_fish!$C$6</f>
        <v>6.5931179849025079E-2</v>
      </c>
      <c r="G429" s="2">
        <f t="shared" si="63"/>
        <v>1</v>
      </c>
      <c r="H429" s="2">
        <f t="shared" si="63"/>
        <v>0.36449057933102513</v>
      </c>
      <c r="I429" s="2">
        <f t="shared" si="56"/>
        <v>0</v>
      </c>
      <c r="J429" s="389">
        <f t="shared" si="57"/>
        <v>0</v>
      </c>
      <c r="L429" s="721">
        <v>145</v>
      </c>
      <c r="M429" s="581"/>
      <c r="N429" s="585" t="s">
        <v>1738</v>
      </c>
      <c r="O429" s="586" t="s">
        <v>4681</v>
      </c>
      <c r="P429" s="233">
        <f t="shared" si="58"/>
        <v>0</v>
      </c>
      <c r="Q429" s="233">
        <f t="shared" si="59"/>
        <v>145</v>
      </c>
      <c r="R429" s="2">
        <f t="shared" si="60"/>
        <v>3.66</v>
      </c>
      <c r="S429" s="2">
        <f>(1/9)*cnst_fish!$C$7*(1/cnst_fish!$C$8)^(R429-1)</f>
        <v>64.461154945687568</v>
      </c>
      <c r="T429" s="682">
        <f t="shared" si="61"/>
        <v>801.61062071119829</v>
      </c>
      <c r="W429" s="818"/>
      <c r="X429" s="818"/>
      <c r="Y429" s="819"/>
      <c r="Z429" s="820"/>
      <c r="AA429" s="820"/>
      <c r="AB429" s="821"/>
      <c r="AC429" s="821"/>
      <c r="AD429" s="253"/>
      <c r="AE429" s="253"/>
    </row>
    <row r="430" spans="1:31" ht="14.5">
      <c r="A430" t="s">
        <v>5534</v>
      </c>
      <c r="B430" t="s">
        <v>4539</v>
      </c>
      <c r="C430">
        <v>17545</v>
      </c>
      <c r="D430" s="581"/>
      <c r="E430" s="581"/>
      <c r="F430" s="2">
        <f>(1/S430)*cnst_fish!$C$6</f>
        <v>2.6141530827766903</v>
      </c>
      <c r="G430" s="2">
        <f t="shared" si="63"/>
        <v>1</v>
      </c>
      <c r="H430" s="2">
        <f t="shared" si="63"/>
        <v>0.36449057933102513</v>
      </c>
      <c r="I430" s="2">
        <f t="shared" si="56"/>
        <v>0</v>
      </c>
      <c r="J430" s="389">
        <f t="shared" si="57"/>
        <v>0</v>
      </c>
      <c r="L430" s="721">
        <v>1104</v>
      </c>
      <c r="M430" s="581"/>
      <c r="N430" s="585" t="s">
        <v>1736</v>
      </c>
      <c r="O430" s="586" t="s">
        <v>4691</v>
      </c>
      <c r="P430" s="233">
        <f t="shared" si="58"/>
        <v>0</v>
      </c>
      <c r="Q430" s="233">
        <f t="shared" si="59"/>
        <v>1104</v>
      </c>
      <c r="R430" s="2">
        <f t="shared" si="60"/>
        <v>2.0617598316454031</v>
      </c>
      <c r="S430" s="2">
        <f>(1/9)*cnst_fish!$C$7*(1/cnst_fish!$C$8)^(R430-1)</f>
        <v>1.6257655406644176</v>
      </c>
      <c r="T430" s="682">
        <f t="shared" si="61"/>
        <v>153.93038848131829</v>
      </c>
      <c r="W430" s="818"/>
      <c r="X430" s="818"/>
      <c r="Y430" s="819"/>
      <c r="Z430" s="820"/>
      <c r="AA430" s="820"/>
      <c r="AB430" s="821"/>
      <c r="AC430" s="821"/>
      <c r="AD430" s="253"/>
      <c r="AE430" s="253"/>
    </row>
    <row r="431" spans="1:31" ht="14.5">
      <c r="A431" t="s">
        <v>9078</v>
      </c>
      <c r="B431" t="s">
        <v>9079</v>
      </c>
      <c r="C431">
        <v>17592</v>
      </c>
      <c r="D431" s="581"/>
      <c r="E431" s="581"/>
      <c r="F431" s="869">
        <f>(1/S431)*cnst_fish!$C$6</f>
        <v>0.61530557150722631</v>
      </c>
      <c r="G431" s="869">
        <f t="shared" si="63"/>
        <v>1</v>
      </c>
      <c r="H431" s="869">
        <f t="shared" si="63"/>
        <v>0.36449057933102513</v>
      </c>
      <c r="I431" s="869">
        <f t="shared" si="56"/>
        <v>0</v>
      </c>
      <c r="J431" s="389">
        <f t="shared" si="57"/>
        <v>0</v>
      </c>
      <c r="L431" s="721">
        <v>6</v>
      </c>
      <c r="M431" s="581"/>
      <c r="N431" s="877" t="s">
        <v>2314</v>
      </c>
      <c r="O431" s="882" t="s">
        <v>4691</v>
      </c>
      <c r="P431" s="871">
        <f t="shared" si="58"/>
        <v>0</v>
      </c>
      <c r="Q431" s="871">
        <f t="shared" si="59"/>
        <v>6</v>
      </c>
      <c r="R431" s="869">
        <f t="shared" si="60"/>
        <v>2.69</v>
      </c>
      <c r="S431" s="869">
        <f>(1/9)*cnst_fish!$C$7*(1/cnst_fish!$C$8)^(R431-1)</f>
        <v>6.9071371962216777</v>
      </c>
      <c r="T431" s="682">
        <f t="shared" si="61"/>
        <v>3.5542396774160636</v>
      </c>
      <c r="W431" s="818"/>
      <c r="X431" s="818"/>
      <c r="Y431" s="819"/>
      <c r="Z431" s="820"/>
      <c r="AA431" s="820"/>
      <c r="AB431" s="821"/>
      <c r="AC431" s="821"/>
      <c r="AD431" s="253"/>
      <c r="AE431" s="253"/>
    </row>
    <row r="432" spans="1:31" ht="14.5">
      <c r="A432" t="s">
        <v>6321</v>
      </c>
      <c r="B432" t="s">
        <v>2501</v>
      </c>
      <c r="C432">
        <v>11351</v>
      </c>
      <c r="D432" s="581"/>
      <c r="E432" s="581"/>
      <c r="F432" s="2">
        <f>(1/S432)*cnst_fish!$C$6</f>
        <v>5.2370997702765265E-2</v>
      </c>
      <c r="G432" s="2">
        <f t="shared" si="63"/>
        <v>1</v>
      </c>
      <c r="H432" s="2">
        <f t="shared" si="63"/>
        <v>0.36449057933102513</v>
      </c>
      <c r="I432" s="2">
        <f t="shared" si="56"/>
        <v>0</v>
      </c>
      <c r="J432" s="389">
        <f t="shared" si="57"/>
        <v>0</v>
      </c>
      <c r="L432" s="721">
        <v>0.82000000000000006</v>
      </c>
      <c r="M432" s="581"/>
      <c r="N432" s="585" t="s">
        <v>1738</v>
      </c>
      <c r="O432" s="586" t="s">
        <v>4681</v>
      </c>
      <c r="P432" s="233">
        <f t="shared" si="58"/>
        <v>0</v>
      </c>
      <c r="Q432" s="233">
        <f t="shared" si="59"/>
        <v>0.82000000000000006</v>
      </c>
      <c r="R432" s="2">
        <f t="shared" si="60"/>
        <v>3.76</v>
      </c>
      <c r="S432" s="2">
        <f>(1/9)*cnst_fish!$C$7*(1/cnst_fish!$C$8)^(R432-1)</f>
        <v>81.151786034727266</v>
      </c>
      <c r="T432" s="682">
        <f t="shared" si="61"/>
        <v>5.7070189257757677</v>
      </c>
      <c r="W432" s="818"/>
      <c r="X432" s="818"/>
      <c r="Y432" s="819"/>
      <c r="Z432" s="820"/>
      <c r="AA432" s="820"/>
      <c r="AB432" s="821"/>
      <c r="AC432" s="821"/>
      <c r="AD432" s="253"/>
      <c r="AE432" s="253"/>
    </row>
    <row r="433" spans="1:31" ht="14.5">
      <c r="A433" t="s">
        <v>6322</v>
      </c>
      <c r="B433" t="s">
        <v>391</v>
      </c>
      <c r="C433">
        <v>2452</v>
      </c>
      <c r="D433" s="581"/>
      <c r="E433" s="581"/>
      <c r="F433" s="2">
        <f>(1/S433)*cnst_fish!$C$6</f>
        <v>5.6116535073067304E-2</v>
      </c>
      <c r="G433" s="2">
        <f t="shared" si="63"/>
        <v>1</v>
      </c>
      <c r="H433" s="2">
        <f t="shared" si="63"/>
        <v>0.36449057933102513</v>
      </c>
      <c r="I433" s="2">
        <f t="shared" si="56"/>
        <v>0</v>
      </c>
      <c r="J433" s="389">
        <f t="shared" si="57"/>
        <v>0</v>
      </c>
      <c r="L433" s="721">
        <v>0.42</v>
      </c>
      <c r="M433" s="581"/>
      <c r="N433" s="585" t="s">
        <v>1738</v>
      </c>
      <c r="O433" s="586" t="s">
        <v>4681</v>
      </c>
      <c r="P433" s="233">
        <f t="shared" si="58"/>
        <v>0</v>
      </c>
      <c r="Q433" s="233">
        <f t="shared" si="59"/>
        <v>0.42</v>
      </c>
      <c r="R433" s="2">
        <f t="shared" si="60"/>
        <v>3.73</v>
      </c>
      <c r="S433" s="2">
        <f>(1/9)*cnst_fish!$C$7*(1/cnst_fish!$C$8)^(R433-1)</f>
        <v>75.735253334266432</v>
      </c>
      <c r="T433" s="682">
        <f t="shared" si="61"/>
        <v>2.7280024171075916</v>
      </c>
      <c r="W433" s="818"/>
      <c r="X433" s="818"/>
      <c r="Y433" s="819"/>
      <c r="Z433" s="820"/>
      <c r="AA433" s="820"/>
      <c r="AB433" s="821"/>
      <c r="AC433" s="821"/>
      <c r="AD433" s="253"/>
      <c r="AE433" s="253"/>
    </row>
    <row r="434" spans="1:31" ht="14.5">
      <c r="A434" t="s">
        <v>5497</v>
      </c>
      <c r="B434" t="s">
        <v>5498</v>
      </c>
      <c r="C434">
        <v>3247</v>
      </c>
      <c r="D434" s="581"/>
      <c r="E434" s="581"/>
      <c r="F434" s="2">
        <f>(1/S434)*cnst_fish!$C$6</f>
        <v>4.2568745094767511E-2</v>
      </c>
      <c r="G434" s="2">
        <f t="shared" si="63"/>
        <v>1</v>
      </c>
      <c r="H434" s="2">
        <f t="shared" si="63"/>
        <v>0.36449057933102513</v>
      </c>
      <c r="I434" s="2">
        <f t="shared" si="56"/>
        <v>0</v>
      </c>
      <c r="J434" s="389">
        <f t="shared" si="57"/>
        <v>0</v>
      </c>
      <c r="L434" s="721">
        <v>0</v>
      </c>
      <c r="M434" s="581"/>
      <c r="N434" s="585" t="s">
        <v>1738</v>
      </c>
      <c r="O434" s="586" t="s">
        <v>4681</v>
      </c>
      <c r="P434" s="233">
        <f t="shared" si="58"/>
        <v>0</v>
      </c>
      <c r="Q434" s="233">
        <f t="shared" si="59"/>
        <v>0</v>
      </c>
      <c r="R434" s="2">
        <f t="shared" si="60"/>
        <v>3.85</v>
      </c>
      <c r="S434" s="2">
        <f>(1/9)*cnst_fish!$C$7*(1/cnst_fish!$C$8)^(R434-1)</f>
        <v>99.838508054173388</v>
      </c>
      <c r="T434" s="682">
        <f t="shared" si="61"/>
        <v>0</v>
      </c>
      <c r="W434" s="818"/>
      <c r="X434" s="818"/>
      <c r="Y434" s="819"/>
      <c r="Z434" s="820"/>
      <c r="AA434" s="820"/>
      <c r="AB434" s="821"/>
      <c r="AC434" s="821"/>
      <c r="AD434" s="253"/>
      <c r="AE434" s="253"/>
    </row>
    <row r="435" spans="1:31" ht="14.5">
      <c r="A435" t="s">
        <v>3777</v>
      </c>
      <c r="B435" t="s">
        <v>392</v>
      </c>
      <c r="C435">
        <v>2451</v>
      </c>
      <c r="D435" s="581"/>
      <c r="E435" s="581"/>
      <c r="F435" s="2">
        <f>(1/S435)*cnst_fish!$C$6</f>
        <v>4.2568745094767511E-2</v>
      </c>
      <c r="G435" s="2">
        <f t="shared" si="63"/>
        <v>1</v>
      </c>
      <c r="H435" s="2">
        <f t="shared" si="63"/>
        <v>0.36449057933102513</v>
      </c>
      <c r="I435" s="2">
        <f t="shared" si="56"/>
        <v>0</v>
      </c>
      <c r="J435" s="389">
        <f t="shared" si="57"/>
        <v>0</v>
      </c>
      <c r="L435" s="721">
        <v>0.36000000000000004</v>
      </c>
      <c r="M435" s="581"/>
      <c r="N435" s="585" t="s">
        <v>1738</v>
      </c>
      <c r="O435" s="586" t="s">
        <v>4681</v>
      </c>
      <c r="P435" s="233">
        <f t="shared" si="58"/>
        <v>0</v>
      </c>
      <c r="Q435" s="233">
        <f t="shared" si="59"/>
        <v>0.36000000000000004</v>
      </c>
      <c r="R435" s="2">
        <f t="shared" si="60"/>
        <v>3.85</v>
      </c>
      <c r="S435" s="2">
        <f>(1/9)*cnst_fish!$C$7*(1/cnst_fish!$C$8)^(R435-1)</f>
        <v>99.838508054173388</v>
      </c>
      <c r="T435" s="682">
        <f t="shared" si="61"/>
        <v>3.0824636307002153</v>
      </c>
      <c r="W435" s="818"/>
      <c r="X435" s="818"/>
      <c r="Y435" s="819"/>
      <c r="Z435" s="820"/>
      <c r="AA435" s="820"/>
      <c r="AB435" s="821"/>
      <c r="AC435" s="821"/>
      <c r="AD435" s="253"/>
      <c r="AE435" s="253"/>
    </row>
    <row r="436" spans="1:31" ht="14.5">
      <c r="A436" t="s">
        <v>8292</v>
      </c>
      <c r="B436" t="s">
        <v>8293</v>
      </c>
      <c r="C436">
        <v>18728</v>
      </c>
      <c r="D436" s="581"/>
      <c r="E436" s="581"/>
      <c r="F436" s="2">
        <f>(1/S436)*cnst_fish!$C$6</f>
        <v>1.5103960722494616</v>
      </c>
      <c r="G436" s="2">
        <f t="shared" si="63"/>
        <v>1</v>
      </c>
      <c r="H436" s="2">
        <f t="shared" si="63"/>
        <v>0.36449057933102513</v>
      </c>
      <c r="I436" s="2">
        <f t="shared" si="56"/>
        <v>0</v>
      </c>
      <c r="J436" s="389">
        <f t="shared" si="57"/>
        <v>0</v>
      </c>
      <c r="L436" s="721">
        <v>1825</v>
      </c>
      <c r="M436" s="581"/>
      <c r="N436" s="585" t="s">
        <v>2311</v>
      </c>
      <c r="O436" s="586" t="s">
        <v>4680</v>
      </c>
      <c r="P436" s="233">
        <f t="shared" si="58"/>
        <v>0</v>
      </c>
      <c r="Q436" s="233">
        <f t="shared" si="59"/>
        <v>1825</v>
      </c>
      <c r="R436" s="2">
        <f t="shared" si="60"/>
        <v>2.2999999999999998</v>
      </c>
      <c r="S436" s="2">
        <f>(1/9)*cnst_fish!$C$7*(1/cnst_fish!$C$8)^(R436-1)</f>
        <v>2.8138314698279068</v>
      </c>
      <c r="T436" s="682">
        <f t="shared" si="61"/>
        <v>440.41117393031402</v>
      </c>
      <c r="W436" s="818"/>
      <c r="X436" s="818"/>
      <c r="Y436" s="819"/>
      <c r="Z436" s="820"/>
      <c r="AA436" s="820"/>
      <c r="AB436" s="821"/>
      <c r="AC436" s="821"/>
      <c r="AD436" s="253"/>
      <c r="AE436" s="253"/>
    </row>
    <row r="437" spans="1:31" ht="14.5">
      <c r="A437" t="s">
        <v>6596</v>
      </c>
      <c r="B437" t="s">
        <v>6595</v>
      </c>
      <c r="C437">
        <v>6611</v>
      </c>
      <c r="D437" s="581"/>
      <c r="E437" s="581"/>
      <c r="F437" s="2">
        <f>(1/S437)*cnst_fish!$C$6</f>
        <v>3.0136363636363641</v>
      </c>
      <c r="G437" s="2">
        <f t="shared" si="63"/>
        <v>1</v>
      </c>
      <c r="H437" s="2">
        <f t="shared" si="63"/>
        <v>0.36449057933102513</v>
      </c>
      <c r="I437" s="2">
        <f t="shared" si="56"/>
        <v>0</v>
      </c>
      <c r="J437" s="389">
        <f t="shared" si="57"/>
        <v>0</v>
      </c>
      <c r="L437" s="721">
        <v>14093</v>
      </c>
      <c r="M437" s="581"/>
      <c r="N437" s="585" t="s">
        <v>2311</v>
      </c>
      <c r="O437" s="586" t="s">
        <v>4680</v>
      </c>
      <c r="P437" s="233">
        <f t="shared" si="58"/>
        <v>0</v>
      </c>
      <c r="Q437" s="233">
        <f t="shared" si="59"/>
        <v>14093</v>
      </c>
      <c r="R437" s="2">
        <f t="shared" si="60"/>
        <v>2</v>
      </c>
      <c r="S437" s="2">
        <f>(1/9)*cnst_fish!$C$7*(1/cnst_fish!$C$8)^(R437-1)</f>
        <v>1.4102564102564099</v>
      </c>
      <c r="T437" s="682">
        <f t="shared" si="61"/>
        <v>1704.507483548522</v>
      </c>
      <c r="W437" s="818"/>
      <c r="X437" s="818"/>
      <c r="Y437" s="819"/>
      <c r="Z437" s="820"/>
      <c r="AA437" s="820"/>
      <c r="AB437" s="821"/>
      <c r="AC437" s="821"/>
      <c r="AD437" s="253"/>
      <c r="AE437" s="253"/>
    </row>
    <row r="438" spans="1:31" ht="14.5">
      <c r="A438" t="s">
        <v>1624</v>
      </c>
      <c r="B438" t="s">
        <v>2330</v>
      </c>
      <c r="C438">
        <v>2644</v>
      </c>
      <c r="D438" s="581">
        <v>67284</v>
      </c>
      <c r="E438" s="581"/>
      <c r="F438" s="2">
        <f>(1/S438)*cnst_fish!$C$6</f>
        <v>1.9014759972289452</v>
      </c>
      <c r="G438" s="2">
        <f t="shared" si="63"/>
        <v>1</v>
      </c>
      <c r="H438" s="2">
        <f t="shared" si="63"/>
        <v>0.36449057933102513</v>
      </c>
      <c r="I438" s="2">
        <f t="shared" si="56"/>
        <v>12897.551257785277</v>
      </c>
      <c r="J438" s="389">
        <f t="shared" si="57"/>
        <v>0</v>
      </c>
      <c r="L438" s="721">
        <v>91101</v>
      </c>
      <c r="M438" s="581"/>
      <c r="N438" s="585" t="s">
        <v>2311</v>
      </c>
      <c r="O438" s="586" t="s">
        <v>4680</v>
      </c>
      <c r="P438" s="233">
        <f t="shared" si="58"/>
        <v>67284</v>
      </c>
      <c r="Q438" s="233">
        <f t="shared" si="59"/>
        <v>91101</v>
      </c>
      <c r="R438" s="2">
        <f t="shared" si="60"/>
        <v>2.2000000000000002</v>
      </c>
      <c r="S438" s="2">
        <f>(1/9)*cnst_fish!$C$7*(1/cnst_fish!$C$8)^(R438-1)</f>
        <v>2.2351057842400328</v>
      </c>
      <c r="T438" s="682">
        <f t="shared" si="61"/>
        <v>17462.989969911068</v>
      </c>
      <c r="W438" s="818"/>
      <c r="X438" s="818"/>
      <c r="Y438" s="819"/>
      <c r="Z438" s="820"/>
      <c r="AA438" s="820"/>
      <c r="AB438" s="821"/>
      <c r="AC438" s="821"/>
      <c r="AD438" s="253"/>
      <c r="AE438" s="253"/>
    </row>
    <row r="439" spans="1:31" ht="14.5">
      <c r="A439" t="s">
        <v>162</v>
      </c>
      <c r="B439" t="s">
        <v>2331</v>
      </c>
      <c r="C439">
        <v>3477</v>
      </c>
      <c r="D439" s="581"/>
      <c r="E439" s="581"/>
      <c r="F439" s="2">
        <f>(1/S439)*cnst_fish!$C$6</f>
        <v>1.5103960722494616</v>
      </c>
      <c r="G439" s="2">
        <f t="shared" si="63"/>
        <v>1</v>
      </c>
      <c r="H439" s="2">
        <f t="shared" si="63"/>
        <v>0.36449057933102513</v>
      </c>
      <c r="I439" s="2">
        <f t="shared" si="56"/>
        <v>0</v>
      </c>
      <c r="J439" s="389">
        <f t="shared" si="57"/>
        <v>0</v>
      </c>
      <c r="L439" s="721">
        <v>73195</v>
      </c>
      <c r="M439" s="581"/>
      <c r="N439" s="585" t="s">
        <v>2311</v>
      </c>
      <c r="O439" s="586" t="s">
        <v>4680</v>
      </c>
      <c r="P439" s="233">
        <f t="shared" si="58"/>
        <v>0</v>
      </c>
      <c r="Q439" s="233">
        <f t="shared" si="59"/>
        <v>73195</v>
      </c>
      <c r="R439" s="2">
        <f t="shared" si="60"/>
        <v>2.2999999999999998</v>
      </c>
      <c r="S439" s="2">
        <f>(1/9)*cnst_fish!$C$7*(1/cnst_fish!$C$8)^(R439-1)</f>
        <v>2.8138314698279068</v>
      </c>
      <c r="T439" s="682">
        <f t="shared" si="61"/>
        <v>17663.504589495529</v>
      </c>
      <c r="W439" s="818"/>
      <c r="X439" s="818"/>
      <c r="Y439" s="819"/>
      <c r="Z439" s="820"/>
      <c r="AA439" s="820"/>
      <c r="AB439" s="821"/>
      <c r="AC439" s="821"/>
      <c r="AD439" s="253"/>
      <c r="AE439" s="253"/>
    </row>
    <row r="440" spans="1:31" ht="14.5">
      <c r="A440" t="s">
        <v>3330</v>
      </c>
      <c r="B440" t="s">
        <v>1605</v>
      </c>
      <c r="C440">
        <v>2113</v>
      </c>
      <c r="D440" s="581"/>
      <c r="E440" s="581"/>
      <c r="F440" s="2">
        <f>(1/S440)*cnst_fish!$C$6</f>
        <v>9.5299549485983424E-3</v>
      </c>
      <c r="G440" s="2">
        <f t="shared" si="63"/>
        <v>1</v>
      </c>
      <c r="H440" s="2">
        <f t="shared" si="63"/>
        <v>0.36449057933102513</v>
      </c>
      <c r="I440" s="2">
        <f t="shared" si="56"/>
        <v>0</v>
      </c>
      <c r="J440" s="389">
        <f t="shared" si="57"/>
        <v>0</v>
      </c>
      <c r="L440" s="721">
        <v>7973</v>
      </c>
      <c r="M440" s="581"/>
      <c r="N440" s="585" t="s">
        <v>1738</v>
      </c>
      <c r="O440" s="586" t="s">
        <v>4699</v>
      </c>
      <c r="P440" s="233">
        <f t="shared" si="58"/>
        <v>0</v>
      </c>
      <c r="Q440" s="233">
        <f t="shared" si="59"/>
        <v>7973</v>
      </c>
      <c r="R440" s="2">
        <f t="shared" si="60"/>
        <v>4.5</v>
      </c>
      <c r="S440" s="2">
        <f>(1/9)*cnst_fish!$C$7*(1/cnst_fish!$C$8)^(R440-1)</f>
        <v>445.96223412630997</v>
      </c>
      <c r="T440" s="682">
        <f t="shared" si="61"/>
        <v>304941.98605143325</v>
      </c>
      <c r="W440" s="818"/>
      <c r="X440" s="818"/>
      <c r="Y440" s="819"/>
      <c r="Z440" s="820"/>
      <c r="AA440" s="820"/>
      <c r="AB440" s="821"/>
      <c r="AC440" s="821"/>
      <c r="AD440" s="253"/>
      <c r="AE440" s="253"/>
    </row>
    <row r="441" spans="1:31" ht="14.5">
      <c r="A441" t="s">
        <v>3966</v>
      </c>
      <c r="B441" t="s">
        <v>5009</v>
      </c>
      <c r="C441">
        <v>11354</v>
      </c>
      <c r="D441" s="581"/>
      <c r="E441" s="581"/>
      <c r="F441" s="2">
        <f>(1/S441)*cnst_fish!$C$6</f>
        <v>1.9368270753690166E-2</v>
      </c>
      <c r="G441" s="2">
        <f t="shared" si="63"/>
        <v>1</v>
      </c>
      <c r="H441" s="2">
        <f t="shared" si="63"/>
        <v>0.36449057933102513</v>
      </c>
      <c r="I441" s="2">
        <f t="shared" si="56"/>
        <v>0</v>
      </c>
      <c r="J441" s="389">
        <f t="shared" si="57"/>
        <v>0</v>
      </c>
      <c r="L441" s="721">
        <v>7159</v>
      </c>
      <c r="M441" s="581"/>
      <c r="N441" s="585" t="s">
        <v>1738</v>
      </c>
      <c r="O441" s="586" t="s">
        <v>4699</v>
      </c>
      <c r="P441" s="233">
        <f t="shared" si="58"/>
        <v>0</v>
      </c>
      <c r="Q441" s="233">
        <f t="shared" si="59"/>
        <v>7159</v>
      </c>
      <c r="R441" s="2">
        <f t="shared" si="60"/>
        <v>4.1920000000000002</v>
      </c>
      <c r="S441" s="2">
        <f>(1/9)*cnst_fish!$C$7*(1/cnst_fish!$C$8)^(R441-1)</f>
        <v>219.43105061097222</v>
      </c>
      <c r="T441" s="682">
        <f t="shared" si="61"/>
        <v>134724.88538676855</v>
      </c>
      <c r="W441" s="818"/>
      <c r="X441" s="818"/>
      <c r="Y441" s="819"/>
      <c r="Z441" s="820"/>
      <c r="AA441" s="820"/>
      <c r="AB441" s="821"/>
      <c r="AC441" s="821"/>
      <c r="AD441" s="253"/>
      <c r="AE441" s="253"/>
    </row>
    <row r="442" spans="1:31" ht="14.5">
      <c r="A442" t="s">
        <v>4950</v>
      </c>
      <c r="B442" t="s">
        <v>982</v>
      </c>
      <c r="C442">
        <v>2926</v>
      </c>
      <c r="D442" s="581"/>
      <c r="E442" s="581"/>
      <c r="F442" s="2">
        <f>(1/S442)*cnst_fish!$C$6</f>
        <v>1.3461419163458574E-2</v>
      </c>
      <c r="G442" s="2">
        <f t="shared" si="63"/>
        <v>1</v>
      </c>
      <c r="H442" s="2">
        <f t="shared" si="63"/>
        <v>0.36449057933102513</v>
      </c>
      <c r="I442" s="2">
        <f t="shared" si="56"/>
        <v>0</v>
      </c>
      <c r="J442" s="389">
        <f t="shared" si="57"/>
        <v>0</v>
      </c>
      <c r="L442" s="721">
        <v>34915</v>
      </c>
      <c r="M442" s="581"/>
      <c r="N442" s="585" t="s">
        <v>1738</v>
      </c>
      <c r="O442" s="586" t="s">
        <v>4699</v>
      </c>
      <c r="P442" s="233">
        <f t="shared" si="58"/>
        <v>0</v>
      </c>
      <c r="Q442" s="233">
        <f t="shared" si="59"/>
        <v>34915</v>
      </c>
      <c r="R442" s="2">
        <f t="shared" si="60"/>
        <v>4.3499999999999996</v>
      </c>
      <c r="S442" s="2">
        <f>(1/9)*cnst_fish!$C$7*(1/cnst_fish!$C$8)^(R442-1)</f>
        <v>315.71708364425297</v>
      </c>
      <c r="T442" s="682">
        <f t="shared" si="61"/>
        <v>945382.38671657757</v>
      </c>
      <c r="W442" s="818"/>
      <c r="X442" s="818"/>
      <c r="Y442" s="819"/>
      <c r="Z442" s="820"/>
      <c r="AA442" s="820"/>
      <c r="AB442" s="821"/>
      <c r="AC442" s="821"/>
      <c r="AD442" s="253"/>
      <c r="AE442" s="253"/>
    </row>
    <row r="443" spans="1:31" ht="14.5">
      <c r="A443" t="s">
        <v>6323</v>
      </c>
      <c r="B443" t="s">
        <v>420</v>
      </c>
      <c r="C443">
        <v>19096</v>
      </c>
      <c r="D443" s="581"/>
      <c r="E443" s="581"/>
      <c r="F443" s="2">
        <f>(1/S443)*cnst_fish!$C$6</f>
        <v>0.22860769647470386</v>
      </c>
      <c r="G443" s="2">
        <f t="shared" si="63"/>
        <v>1</v>
      </c>
      <c r="H443" s="2">
        <f t="shared" si="63"/>
        <v>0.36449057933102513</v>
      </c>
      <c r="I443" s="2">
        <f t="shared" si="56"/>
        <v>0</v>
      </c>
      <c r="J443" s="389">
        <f t="shared" si="57"/>
        <v>0</v>
      </c>
      <c r="L443" s="721"/>
      <c r="M443" s="581">
        <v>8062</v>
      </c>
      <c r="N443" s="585" t="s">
        <v>1738</v>
      </c>
      <c r="O443" s="586" t="s">
        <v>4685</v>
      </c>
      <c r="P443" s="233">
        <f t="shared" si="58"/>
        <v>0</v>
      </c>
      <c r="Q443" s="233">
        <f t="shared" si="59"/>
        <v>8062</v>
      </c>
      <c r="R443" s="2">
        <f t="shared" si="60"/>
        <v>3.12</v>
      </c>
      <c r="S443" s="2">
        <f>(1/9)*cnst_fish!$C$7*(1/cnst_fish!$C$8)^(R443-1)</f>
        <v>18.590800159128833</v>
      </c>
      <c r="T443" s="682">
        <f t="shared" si="61"/>
        <v>12853.99877554814</v>
      </c>
      <c r="W443" s="818"/>
      <c r="X443" s="818"/>
      <c r="Y443" s="819"/>
      <c r="Z443" s="820"/>
      <c r="AA443" s="820"/>
      <c r="AB443" s="821"/>
      <c r="AC443" s="821"/>
      <c r="AD443" s="253"/>
      <c r="AE443" s="253"/>
    </row>
    <row r="444" spans="1:31" ht="14.5">
      <c r="A444" t="s">
        <v>6756</v>
      </c>
      <c r="B444" t="s">
        <v>8569</v>
      </c>
      <c r="C444">
        <v>11364</v>
      </c>
      <c r="D444" s="581"/>
      <c r="E444" s="581"/>
      <c r="F444" s="2">
        <f>(1/S444)*cnst_fish!$C$6</f>
        <v>6.0129950673834844E-2</v>
      </c>
      <c r="G444" s="2">
        <f t="shared" si="63"/>
        <v>1</v>
      </c>
      <c r="H444" s="2">
        <f t="shared" si="63"/>
        <v>0.36449057933102513</v>
      </c>
      <c r="I444" s="2">
        <f t="shared" si="56"/>
        <v>0</v>
      </c>
      <c r="J444" s="389">
        <f t="shared" si="57"/>
        <v>0</v>
      </c>
      <c r="L444" s="721"/>
      <c r="M444" s="581"/>
      <c r="N444" s="585" t="s">
        <v>1738</v>
      </c>
      <c r="O444" s="586" t="s">
        <v>4685</v>
      </c>
      <c r="P444" s="233">
        <f t="shared" si="58"/>
        <v>0</v>
      </c>
      <c r="Q444" s="233">
        <f t="shared" si="59"/>
        <v>0</v>
      </c>
      <c r="R444" s="2">
        <f t="shared" si="60"/>
        <v>3.7</v>
      </c>
      <c r="S444" s="2">
        <f>(1/9)*cnst_fish!$C$7*(1/cnst_fish!$C$8)^(R444-1)</f>
        <v>70.680250896153822</v>
      </c>
      <c r="T444" s="682">
        <f t="shared" si="61"/>
        <v>0</v>
      </c>
      <c r="W444" s="818"/>
      <c r="X444" s="818"/>
      <c r="Y444" s="819"/>
      <c r="Z444" s="820"/>
      <c r="AA444" s="820"/>
      <c r="AB444" s="821"/>
      <c r="AC444" s="821"/>
      <c r="AD444" s="253"/>
      <c r="AE444" s="253"/>
    </row>
    <row r="445" spans="1:31" ht="14.5">
      <c r="A445" t="s">
        <v>4146</v>
      </c>
      <c r="B445" t="s">
        <v>4147</v>
      </c>
      <c r="C445">
        <v>19040</v>
      </c>
      <c r="D445" s="581"/>
      <c r="E445" s="581"/>
      <c r="F445" s="2">
        <f>(1/S445)*cnst_fish!$C$6</f>
        <v>9.5299549485983424E-3</v>
      </c>
      <c r="G445" s="2">
        <f t="shared" si="63"/>
        <v>1</v>
      </c>
      <c r="H445" s="2">
        <f t="shared" si="63"/>
        <v>0.36449057933102513</v>
      </c>
      <c r="I445" s="2">
        <f t="shared" si="56"/>
        <v>0</v>
      </c>
      <c r="J445" s="389">
        <f t="shared" si="57"/>
        <v>0</v>
      </c>
      <c r="L445" s="721"/>
      <c r="M445" s="581">
        <v>2181</v>
      </c>
      <c r="N445" s="585" t="s">
        <v>1738</v>
      </c>
      <c r="O445" s="586" t="s">
        <v>4685</v>
      </c>
      <c r="P445" s="233">
        <f t="shared" si="58"/>
        <v>0</v>
      </c>
      <c r="Q445" s="233">
        <f t="shared" si="59"/>
        <v>2181</v>
      </c>
      <c r="R445" s="2">
        <f t="shared" si="60"/>
        <v>4.5</v>
      </c>
      <c r="S445" s="2">
        <f>(1/9)*cnst_fish!$C$7*(1/cnst_fish!$C$8)^(R445-1)</f>
        <v>445.96223412630997</v>
      </c>
      <c r="T445" s="682">
        <f t="shared" si="61"/>
        <v>83416.339091706512</v>
      </c>
      <c r="W445" s="818"/>
      <c r="X445" s="818"/>
      <c r="Y445" s="819"/>
      <c r="Z445" s="820"/>
      <c r="AA445" s="820"/>
      <c r="AB445" s="821"/>
      <c r="AC445" s="821"/>
      <c r="AD445" s="253"/>
      <c r="AE445" s="253"/>
    </row>
    <row r="446" spans="1:31" ht="14.5">
      <c r="A446" s="872" t="s">
        <v>9092</v>
      </c>
      <c r="B446" s="872" t="s">
        <v>9093</v>
      </c>
      <c r="C446" s="872">
        <v>19110</v>
      </c>
      <c r="D446" s="581"/>
      <c r="E446" s="581"/>
      <c r="F446" s="869">
        <f>(1/S446)*cnst_fish!$C$6</f>
        <v>1.9014759972289452</v>
      </c>
      <c r="G446" s="869">
        <f t="shared" si="63"/>
        <v>1</v>
      </c>
      <c r="H446" s="869">
        <f t="shared" si="63"/>
        <v>0.36449057933102513</v>
      </c>
      <c r="I446" s="869">
        <f t="shared" si="56"/>
        <v>0</v>
      </c>
      <c r="J446" s="389">
        <f t="shared" si="57"/>
        <v>0</v>
      </c>
      <c r="L446" s="721">
        <v>1</v>
      </c>
      <c r="M446" s="581"/>
      <c r="N446" s="879" t="s">
        <v>1736</v>
      </c>
      <c r="O446" s="884" t="s">
        <v>4691</v>
      </c>
      <c r="P446" s="871">
        <f t="shared" si="58"/>
        <v>0</v>
      </c>
      <c r="Q446" s="871">
        <f t="shared" si="59"/>
        <v>1</v>
      </c>
      <c r="R446" s="869">
        <f t="shared" si="60"/>
        <v>2.2000000000000002</v>
      </c>
      <c r="S446" s="869">
        <f>(1/9)*cnst_fish!$C$7*(1/cnst_fish!$C$8)^(R446-1)</f>
        <v>2.2351057842400328</v>
      </c>
      <c r="T446" s="682">
        <f t="shared" si="61"/>
        <v>0.19168823580324112</v>
      </c>
      <c r="W446" s="818"/>
      <c r="X446" s="818"/>
      <c r="Y446" s="819"/>
      <c r="Z446" s="820"/>
      <c r="AA446" s="820"/>
      <c r="AB446" s="821"/>
      <c r="AC446" s="821"/>
      <c r="AD446" s="253"/>
      <c r="AE446" s="253"/>
    </row>
    <row r="447" spans="1:31" ht="14.5">
      <c r="A447" t="s">
        <v>6798</v>
      </c>
      <c r="B447" t="s">
        <v>8570</v>
      </c>
      <c r="C447">
        <v>3522</v>
      </c>
      <c r="D447" s="581"/>
      <c r="E447" s="581"/>
      <c r="F447" s="2">
        <f>(1/S447)*cnst_fish!$C$6</f>
        <v>2.3938164528281742</v>
      </c>
      <c r="G447" s="2">
        <f t="shared" si="63"/>
        <v>1</v>
      </c>
      <c r="H447" s="2">
        <f t="shared" si="63"/>
        <v>0.36449057933102513</v>
      </c>
      <c r="I447" s="2">
        <f t="shared" si="56"/>
        <v>0</v>
      </c>
      <c r="J447" s="389">
        <f t="shared" si="57"/>
        <v>0</v>
      </c>
      <c r="L447" s="721">
        <v>237</v>
      </c>
      <c r="M447" s="581"/>
      <c r="N447" s="585" t="s">
        <v>2318</v>
      </c>
      <c r="O447" s="586" t="s">
        <v>4691</v>
      </c>
      <c r="P447" s="233">
        <f t="shared" si="58"/>
        <v>0</v>
      </c>
      <c r="Q447" s="233">
        <f t="shared" si="59"/>
        <v>237</v>
      </c>
      <c r="R447" s="2">
        <f t="shared" si="60"/>
        <v>2.1</v>
      </c>
      <c r="S447" s="2">
        <f>(1/9)*cnst_fish!$C$7*(1/cnst_fish!$C$8)^(R447-1)</f>
        <v>1.7754076320174161</v>
      </c>
      <c r="T447" s="682">
        <f t="shared" si="61"/>
        <v>36.086420577231088</v>
      </c>
      <c r="W447" s="818"/>
      <c r="X447" s="818"/>
      <c r="Y447" s="819"/>
      <c r="Z447" s="820"/>
      <c r="AA447" s="820"/>
      <c r="AB447" s="821"/>
      <c r="AC447" s="821"/>
      <c r="AD447" s="253"/>
      <c r="AE447" s="253"/>
    </row>
    <row r="448" spans="1:31" ht="14.5">
      <c r="A448" t="s">
        <v>1614</v>
      </c>
      <c r="B448" t="s">
        <v>1500</v>
      </c>
      <c r="C448">
        <v>2684</v>
      </c>
      <c r="D448" s="581"/>
      <c r="E448" s="581"/>
      <c r="F448" s="2">
        <f>(1/S448)*cnst_fish!$C$6</f>
        <v>2.3938164528281742</v>
      </c>
      <c r="G448" s="2">
        <f t="shared" ref="G448:H467" si="64">G$7</f>
        <v>1</v>
      </c>
      <c r="H448" s="2">
        <f t="shared" si="64"/>
        <v>0.36449057933102513</v>
      </c>
      <c r="I448" s="2">
        <f t="shared" si="56"/>
        <v>0</v>
      </c>
      <c r="J448" s="389">
        <f t="shared" si="57"/>
        <v>0</v>
      </c>
      <c r="L448" s="721">
        <v>1374</v>
      </c>
      <c r="M448" s="581"/>
      <c r="N448" s="585" t="s">
        <v>2318</v>
      </c>
      <c r="O448" s="586" t="s">
        <v>4691</v>
      </c>
      <c r="P448" s="233">
        <f t="shared" si="58"/>
        <v>0</v>
      </c>
      <c r="Q448" s="233">
        <f t="shared" si="59"/>
        <v>1374</v>
      </c>
      <c r="R448" s="2">
        <f t="shared" si="60"/>
        <v>2.1</v>
      </c>
      <c r="S448" s="2">
        <f>(1/9)*cnst_fish!$C$7*(1/cnst_fish!$C$8)^(R448-1)</f>
        <v>1.7754076320174161</v>
      </c>
      <c r="T448" s="682">
        <f t="shared" si="61"/>
        <v>209.20988132116253</v>
      </c>
      <c r="W448" s="818"/>
      <c r="X448" s="818"/>
      <c r="Y448" s="819"/>
      <c r="Z448" s="820"/>
      <c r="AA448" s="820"/>
      <c r="AB448" s="821"/>
      <c r="AC448" s="821"/>
      <c r="AD448" s="253"/>
      <c r="AE448" s="253"/>
    </row>
    <row r="449" spans="1:31" ht="14.5">
      <c r="A449" t="s">
        <v>6798</v>
      </c>
      <c r="B449" t="s">
        <v>8858</v>
      </c>
      <c r="C449">
        <v>3522</v>
      </c>
      <c r="D449" s="581"/>
      <c r="E449" s="581"/>
      <c r="F449" s="2">
        <f>(1/S449)*cnst_fish!$C$6</f>
        <v>2.3938164528281742</v>
      </c>
      <c r="G449" s="2">
        <f t="shared" si="64"/>
        <v>1</v>
      </c>
      <c r="H449" s="2">
        <f t="shared" si="64"/>
        <v>0.36449057933102513</v>
      </c>
      <c r="I449" s="2">
        <f t="shared" si="56"/>
        <v>0</v>
      </c>
      <c r="J449" s="389">
        <f t="shared" si="57"/>
        <v>0</v>
      </c>
      <c r="L449" s="721">
        <v>237</v>
      </c>
      <c r="M449" s="581"/>
      <c r="N449" s="585" t="s">
        <v>2318</v>
      </c>
      <c r="O449" s="586" t="s">
        <v>4691</v>
      </c>
      <c r="P449" s="233">
        <f t="shared" si="58"/>
        <v>0</v>
      </c>
      <c r="Q449" s="233">
        <f t="shared" si="59"/>
        <v>237</v>
      </c>
      <c r="R449" s="2">
        <f t="shared" si="60"/>
        <v>2.1</v>
      </c>
      <c r="S449" s="2">
        <f>(1/9)*cnst_fish!$C$7*(1/cnst_fish!$C$8)^(R449-1)</f>
        <v>1.7754076320174161</v>
      </c>
      <c r="T449" s="682">
        <f t="shared" si="61"/>
        <v>36.086420577231088</v>
      </c>
      <c r="W449" s="818"/>
      <c r="X449" s="818"/>
      <c r="Y449" s="819"/>
      <c r="Z449" s="820"/>
      <c r="AA449" s="820"/>
      <c r="AB449" s="821"/>
      <c r="AC449" s="821"/>
      <c r="AD449" s="253"/>
      <c r="AE449" s="253"/>
    </row>
    <row r="450" spans="1:31" ht="14.5">
      <c r="A450" t="s">
        <v>8571</v>
      </c>
      <c r="B450" t="s">
        <v>8572</v>
      </c>
      <c r="C450">
        <v>18520</v>
      </c>
      <c r="D450" s="581"/>
      <c r="E450" s="581"/>
      <c r="F450" s="2">
        <f>(1/S450)*cnst_fish!$C$6</f>
        <v>30.136363636363644</v>
      </c>
      <c r="G450" s="2">
        <f t="shared" si="64"/>
        <v>1</v>
      </c>
      <c r="H450" s="2">
        <f t="shared" si="64"/>
        <v>0.36449057933102513</v>
      </c>
      <c r="I450" s="2">
        <f t="shared" si="56"/>
        <v>0</v>
      </c>
      <c r="J450" s="389">
        <f t="shared" si="57"/>
        <v>0</v>
      </c>
      <c r="L450" s="721"/>
      <c r="M450" s="581"/>
      <c r="N450" s="585" t="s">
        <v>1740</v>
      </c>
      <c r="O450" s="586" t="s">
        <v>4671</v>
      </c>
      <c r="P450" s="233">
        <f t="shared" si="58"/>
        <v>0</v>
      </c>
      <c r="Q450" s="233">
        <f t="shared" si="59"/>
        <v>0</v>
      </c>
      <c r="R450" s="2">
        <f t="shared" si="60"/>
        <v>1</v>
      </c>
      <c r="S450" s="2">
        <f>(1/9)*cnst_fish!$C$7*(1/cnst_fish!$C$8)^(R450-1)</f>
        <v>0.141025641025641</v>
      </c>
      <c r="T450" s="682">
        <f t="shared" si="61"/>
        <v>0</v>
      </c>
      <c r="W450" s="818"/>
      <c r="X450" s="818"/>
      <c r="Y450" s="819"/>
      <c r="Z450" s="820"/>
      <c r="AA450" s="820"/>
      <c r="AB450" s="821"/>
      <c r="AC450" s="821"/>
      <c r="AD450" s="253"/>
      <c r="AE450" s="253"/>
    </row>
    <row r="451" spans="1:31" ht="14.5">
      <c r="A451" t="s">
        <v>6324</v>
      </c>
      <c r="B451" t="s">
        <v>5548</v>
      </c>
      <c r="C451">
        <v>2145</v>
      </c>
      <c r="D451" s="581"/>
      <c r="E451" s="581"/>
      <c r="F451" s="2">
        <f>(1/S451)*cnst_fish!$C$6</f>
        <v>3.8823156944206696E-2</v>
      </c>
      <c r="G451" s="2">
        <f t="shared" si="64"/>
        <v>1</v>
      </c>
      <c r="H451" s="2">
        <f t="shared" si="64"/>
        <v>0.36449057933102513</v>
      </c>
      <c r="I451" s="2">
        <f t="shared" si="56"/>
        <v>0</v>
      </c>
      <c r="J451" s="389">
        <f t="shared" si="57"/>
        <v>0</v>
      </c>
      <c r="L451" s="721"/>
      <c r="M451" s="581"/>
      <c r="N451" s="585" t="s">
        <v>1738</v>
      </c>
      <c r="O451" s="586" t="s">
        <v>4681</v>
      </c>
      <c r="P451" s="233">
        <f t="shared" si="58"/>
        <v>0</v>
      </c>
      <c r="Q451" s="233">
        <f t="shared" si="59"/>
        <v>0</v>
      </c>
      <c r="R451" s="2">
        <f t="shared" si="60"/>
        <v>3.89</v>
      </c>
      <c r="S451" s="2">
        <f>(1/9)*cnst_fish!$C$7*(1/cnst_fish!$C$8)^(R451-1)</f>
        <v>109.47074721686684</v>
      </c>
      <c r="T451" s="682">
        <f t="shared" si="61"/>
        <v>0</v>
      </c>
      <c r="W451" s="818"/>
      <c r="X451" s="818"/>
      <c r="Y451" s="819"/>
      <c r="Z451" s="820"/>
      <c r="AA451" s="820"/>
      <c r="AB451" s="821"/>
      <c r="AC451" s="821"/>
      <c r="AD451" s="253"/>
      <c r="AE451" s="253"/>
    </row>
    <row r="452" spans="1:31" ht="14.5">
      <c r="A452" t="s">
        <v>8573</v>
      </c>
      <c r="B452" t="s">
        <v>8574</v>
      </c>
      <c r="C452">
        <v>19505</v>
      </c>
      <c r="D452" s="581"/>
      <c r="E452" s="581"/>
      <c r="F452" s="2">
        <f>(1/S452)*cnst_fish!$C$6</f>
        <v>6.0129950673834844E-2</v>
      </c>
      <c r="G452" s="2">
        <f t="shared" si="64"/>
        <v>1</v>
      </c>
      <c r="H452" s="2">
        <f t="shared" si="64"/>
        <v>0.36449057933102513</v>
      </c>
      <c r="I452" s="2">
        <f t="shared" si="56"/>
        <v>0</v>
      </c>
      <c r="J452" s="389">
        <f t="shared" si="57"/>
        <v>0</v>
      </c>
      <c r="L452" s="721">
        <v>738</v>
      </c>
      <c r="M452" s="581"/>
      <c r="N452" s="585" t="s">
        <v>1738</v>
      </c>
      <c r="O452" s="586" t="s">
        <v>4681</v>
      </c>
      <c r="P452" s="233">
        <f t="shared" si="58"/>
        <v>0</v>
      </c>
      <c r="Q452" s="233">
        <f t="shared" si="59"/>
        <v>738</v>
      </c>
      <c r="R452" s="2">
        <f t="shared" si="60"/>
        <v>3.7</v>
      </c>
      <c r="S452" s="2">
        <f>(1/9)*cnst_fish!$C$7*(1/cnst_fish!$C$8)^(R452-1)</f>
        <v>70.680250896153822</v>
      </c>
      <c r="T452" s="682">
        <f t="shared" si="61"/>
        <v>4473.5451223868631</v>
      </c>
      <c r="W452" s="818"/>
      <c r="X452" s="818"/>
      <c r="Y452" s="819"/>
      <c r="Z452" s="820"/>
      <c r="AA452" s="820"/>
      <c r="AB452" s="821"/>
      <c r="AC452" s="821"/>
      <c r="AD452" s="253"/>
      <c r="AE452" s="253"/>
    </row>
    <row r="453" spans="1:31" ht="14.5">
      <c r="A453" t="s">
        <v>1452</v>
      </c>
      <c r="B453" t="s">
        <v>1729</v>
      </c>
      <c r="C453">
        <v>3626</v>
      </c>
      <c r="D453" s="581"/>
      <c r="E453" s="581"/>
      <c r="F453" s="2">
        <f>(1/S453)*cnst_fish!$C$6</f>
        <v>30.136363636363644</v>
      </c>
      <c r="G453" s="2">
        <f t="shared" si="64"/>
        <v>1</v>
      </c>
      <c r="H453" s="2">
        <f t="shared" si="64"/>
        <v>0.36449057933102513</v>
      </c>
      <c r="I453" s="2">
        <f t="shared" si="56"/>
        <v>0</v>
      </c>
      <c r="J453" s="389">
        <f t="shared" si="57"/>
        <v>0</v>
      </c>
      <c r="L453" s="721">
        <v>14214.41</v>
      </c>
      <c r="M453" s="581"/>
      <c r="N453" s="585" t="s">
        <v>1740</v>
      </c>
      <c r="O453" s="586" t="s">
        <v>4671</v>
      </c>
      <c r="P453" s="233">
        <f t="shared" si="58"/>
        <v>0</v>
      </c>
      <c r="Q453" s="233">
        <f t="shared" si="59"/>
        <v>14214.41</v>
      </c>
      <c r="R453" s="2">
        <f t="shared" si="60"/>
        <v>1</v>
      </c>
      <c r="S453" s="2">
        <f>(1/9)*cnst_fish!$C$7*(1/cnst_fish!$C$8)^(R453-1)</f>
        <v>0.141025641025641</v>
      </c>
      <c r="T453" s="682">
        <f t="shared" si="61"/>
        <v>171.91916709875073</v>
      </c>
      <c r="W453" s="818"/>
      <c r="X453" s="818"/>
      <c r="Y453" s="819"/>
      <c r="Z453" s="820"/>
      <c r="AA453" s="820"/>
      <c r="AB453" s="821"/>
      <c r="AC453" s="821"/>
      <c r="AD453" s="253"/>
      <c r="AE453" s="253"/>
    </row>
    <row r="454" spans="1:31" ht="14.5">
      <c r="A454" t="s">
        <v>3123</v>
      </c>
      <c r="B454" t="s">
        <v>2753</v>
      </c>
      <c r="C454">
        <v>2325</v>
      </c>
      <c r="D454" s="581"/>
      <c r="E454" s="581"/>
      <c r="F454" s="2">
        <f>(1/S454)*cnst_fish!$C$6</f>
        <v>0.18581931192461937</v>
      </c>
      <c r="G454" s="2">
        <f t="shared" si="64"/>
        <v>1</v>
      </c>
      <c r="H454" s="2">
        <f t="shared" si="64"/>
        <v>0.36449057933102513</v>
      </c>
      <c r="I454" s="2">
        <f t="shared" si="56"/>
        <v>0</v>
      </c>
      <c r="J454" s="389">
        <f t="shared" si="57"/>
        <v>0</v>
      </c>
      <c r="L454" s="721">
        <v>29266</v>
      </c>
      <c r="M454" s="581"/>
      <c r="N454" s="585" t="s">
        <v>1738</v>
      </c>
      <c r="O454" s="586" t="s">
        <v>4699</v>
      </c>
      <c r="P454" s="233">
        <f t="shared" si="58"/>
        <v>0</v>
      </c>
      <c r="Q454" s="233">
        <f t="shared" si="59"/>
        <v>29266</v>
      </c>
      <c r="R454" s="2">
        <f t="shared" si="60"/>
        <v>3.21</v>
      </c>
      <c r="S454" s="2">
        <f>(1/9)*cnst_fish!$C$7*(1/cnst_fish!$C$8)^(R454-1)</f>
        <v>22.87168086019004</v>
      </c>
      <c r="T454" s="682">
        <f t="shared" si="61"/>
        <v>57406.203823578348</v>
      </c>
      <c r="W454" s="818"/>
      <c r="X454" s="818"/>
      <c r="Y454" s="819"/>
      <c r="Z454" s="820"/>
      <c r="AA454" s="820"/>
      <c r="AB454" s="821"/>
      <c r="AC454" s="821"/>
      <c r="AD454" s="253"/>
      <c r="AE454" s="253"/>
    </row>
    <row r="455" spans="1:31" ht="14.5">
      <c r="A455" t="s">
        <v>1427</v>
      </c>
      <c r="B455" t="s">
        <v>3909</v>
      </c>
      <c r="C455">
        <v>11371</v>
      </c>
      <c r="D455" s="581"/>
      <c r="E455" s="581"/>
      <c r="F455" s="2">
        <f>(1/S455)*cnst_fish!$C$6</f>
        <v>0.86914222116951789</v>
      </c>
      <c r="G455" s="2">
        <f t="shared" si="64"/>
        <v>1</v>
      </c>
      <c r="H455" s="2">
        <f t="shared" si="64"/>
        <v>0.36449057933102513</v>
      </c>
      <c r="I455" s="2">
        <f t="shared" ref="I455:I518" si="65">IF($F455=0,0,D455/$F455*$H455*$G455)</f>
        <v>0</v>
      </c>
      <c r="J455" s="389">
        <f t="shared" ref="J455:J518" si="66">IF($F455=0,0,E455/$F455*$H455*$G455)</f>
        <v>0</v>
      </c>
      <c r="L455" s="721">
        <v>1788</v>
      </c>
      <c r="M455" s="581"/>
      <c r="N455" s="585" t="s">
        <v>1738</v>
      </c>
      <c r="O455" s="586" t="s">
        <v>4699</v>
      </c>
      <c r="P455" s="233">
        <f t="shared" ref="P455:P518" si="67">D455+E455</f>
        <v>0</v>
      </c>
      <c r="Q455" s="233">
        <f t="shared" ref="Q455:Q518" si="68">L455+M455</f>
        <v>1788</v>
      </c>
      <c r="R455" s="2">
        <f t="shared" ref="R455:R518" si="69">VLOOKUP(B455,constant_fish_trophic,3,FALSE)</f>
        <v>2.54</v>
      </c>
      <c r="S455" s="2">
        <f>(1/9)*cnst_fish!$C$7*(1/cnst_fish!$C$8)^(R455-1)</f>
        <v>4.8898786602280113</v>
      </c>
      <c r="T455" s="682">
        <f t="shared" ref="T455:T518" si="70">IF(F455=0,0,Q455/F455*H455*G455)</f>
        <v>749.83028090262724</v>
      </c>
      <c r="W455" s="818"/>
      <c r="X455" s="818"/>
      <c r="Y455" s="819"/>
      <c r="Z455" s="820"/>
      <c r="AA455" s="820"/>
      <c r="AB455" s="821"/>
      <c r="AC455" s="821"/>
      <c r="AD455" s="253"/>
      <c r="AE455" s="253"/>
    </row>
    <row r="456" spans="1:31" ht="14.5">
      <c r="A456" t="s">
        <v>6326</v>
      </c>
      <c r="B456" t="s">
        <v>6325</v>
      </c>
      <c r="C456">
        <v>18446</v>
      </c>
      <c r="D456" s="581"/>
      <c r="E456" s="581"/>
      <c r="F456" s="2">
        <f>(1/S456)*cnst_fish!$C$6</f>
        <v>3.0136363636363641</v>
      </c>
      <c r="G456" s="2">
        <f t="shared" si="64"/>
        <v>1</v>
      </c>
      <c r="H456" s="2">
        <f t="shared" si="64"/>
        <v>0.36449057933102513</v>
      </c>
      <c r="I456" s="2">
        <f t="shared" si="65"/>
        <v>0</v>
      </c>
      <c r="J456" s="389">
        <f t="shared" si="66"/>
        <v>0</v>
      </c>
      <c r="L456" s="721">
        <v>1885</v>
      </c>
      <c r="M456" s="581"/>
      <c r="N456" s="585" t="s">
        <v>1740</v>
      </c>
      <c r="O456" s="586" t="s">
        <v>4671</v>
      </c>
      <c r="P456" s="233">
        <f t="shared" si="67"/>
        <v>0</v>
      </c>
      <c r="Q456" s="233">
        <f t="shared" si="68"/>
        <v>1885</v>
      </c>
      <c r="R456" s="2">
        <f t="shared" si="69"/>
        <v>2</v>
      </c>
      <c r="S456" s="2">
        <f>(1/9)*cnst_fish!$C$7*(1/cnst_fish!$C$8)^(R456-1)</f>
        <v>1.4102564102564099</v>
      </c>
      <c r="T456" s="682">
        <f t="shared" si="70"/>
        <v>227.98528393450391</v>
      </c>
      <c r="W456" s="818"/>
      <c r="X456" s="818"/>
      <c r="Y456" s="819"/>
      <c r="Z456" s="820"/>
      <c r="AA456" s="820"/>
      <c r="AB456" s="821"/>
      <c r="AC456" s="821"/>
      <c r="AD456" s="253"/>
      <c r="AE456" s="253"/>
    </row>
    <row r="457" spans="1:31" ht="14.5">
      <c r="A457" t="s">
        <v>3319</v>
      </c>
      <c r="B457" t="s">
        <v>4822</v>
      </c>
      <c r="C457">
        <v>11379</v>
      </c>
      <c r="D457" s="581"/>
      <c r="E457" s="581"/>
      <c r="F457" s="2">
        <f>(1/S457)*cnst_fish!$C$6</f>
        <v>3.0136363636363641</v>
      </c>
      <c r="G457" s="2">
        <f t="shared" si="64"/>
        <v>1</v>
      </c>
      <c r="H457" s="2">
        <f t="shared" si="64"/>
        <v>0.36449057933102513</v>
      </c>
      <c r="I457" s="2">
        <f t="shared" si="65"/>
        <v>0</v>
      </c>
      <c r="J457" s="389">
        <f t="shared" si="66"/>
        <v>0</v>
      </c>
      <c r="L457" s="721"/>
      <c r="M457" s="581">
        <v>76</v>
      </c>
      <c r="N457" s="585" t="s">
        <v>1738</v>
      </c>
      <c r="O457" s="586" t="s">
        <v>4685</v>
      </c>
      <c r="P457" s="233">
        <f t="shared" si="67"/>
        <v>0</v>
      </c>
      <c r="Q457" s="233">
        <f t="shared" si="68"/>
        <v>76</v>
      </c>
      <c r="R457" s="2">
        <f t="shared" si="69"/>
        <v>2</v>
      </c>
      <c r="S457" s="2">
        <f>(1/9)*cnst_fish!$C$7*(1/cnst_fish!$C$8)^(R457-1)</f>
        <v>1.4102564102564099</v>
      </c>
      <c r="T457" s="682">
        <f t="shared" si="70"/>
        <v>9.1919796175184612</v>
      </c>
      <c r="W457" s="818"/>
      <c r="X457" s="818"/>
      <c r="Y457" s="819"/>
      <c r="Z457" s="820"/>
      <c r="AA457" s="820"/>
      <c r="AB457" s="821"/>
      <c r="AC457" s="821"/>
      <c r="AD457" s="253"/>
      <c r="AE457" s="253"/>
    </row>
    <row r="458" spans="1:31" ht="14.5">
      <c r="A458" t="s">
        <v>57</v>
      </c>
      <c r="B458" t="s">
        <v>1914</v>
      </c>
      <c r="C458">
        <v>2788</v>
      </c>
      <c r="D458" s="581"/>
      <c r="E458" s="581"/>
      <c r="F458" s="2">
        <f>(1/S458)*cnst_fish!$C$6</f>
        <v>30.136363636363644</v>
      </c>
      <c r="G458" s="2">
        <f t="shared" si="64"/>
        <v>1</v>
      </c>
      <c r="H458" s="2">
        <f t="shared" si="64"/>
        <v>0.36449057933102513</v>
      </c>
      <c r="I458" s="2">
        <f t="shared" si="65"/>
        <v>0</v>
      </c>
      <c r="J458" s="389">
        <f t="shared" si="66"/>
        <v>0</v>
      </c>
      <c r="L458" s="721"/>
      <c r="M458" s="581"/>
      <c r="N458" s="585" t="s">
        <v>1740</v>
      </c>
      <c r="O458" s="586" t="s">
        <v>4671</v>
      </c>
      <c r="P458" s="233">
        <f t="shared" si="67"/>
        <v>0</v>
      </c>
      <c r="Q458" s="233">
        <f t="shared" si="68"/>
        <v>0</v>
      </c>
      <c r="R458" s="2">
        <f t="shared" si="69"/>
        <v>1</v>
      </c>
      <c r="S458" s="2">
        <f>(1/9)*cnst_fish!$C$7*(1/cnst_fish!$C$8)^(R458-1)</f>
        <v>0.141025641025641</v>
      </c>
      <c r="T458" s="682">
        <f t="shared" si="70"/>
        <v>0</v>
      </c>
      <c r="W458" s="818"/>
      <c r="X458" s="818"/>
      <c r="Y458" s="819"/>
      <c r="Z458" s="820"/>
      <c r="AA458" s="820"/>
      <c r="AB458" s="821"/>
      <c r="AC458" s="821"/>
      <c r="AD458" s="253"/>
      <c r="AE458" s="253"/>
    </row>
    <row r="459" spans="1:31" ht="14.5">
      <c r="A459" t="s">
        <v>4616</v>
      </c>
      <c r="B459" t="s">
        <v>852</v>
      </c>
      <c r="C459">
        <v>2690</v>
      </c>
      <c r="D459" s="581"/>
      <c r="E459" s="581"/>
      <c r="F459" s="2">
        <f>(1/S459)*cnst_fish!$C$6</f>
        <v>2.3938164528281742</v>
      </c>
      <c r="G459" s="2">
        <f t="shared" si="64"/>
        <v>1</v>
      </c>
      <c r="H459" s="2">
        <f t="shared" si="64"/>
        <v>0.36449057933102513</v>
      </c>
      <c r="I459" s="2">
        <f t="shared" si="65"/>
        <v>0</v>
      </c>
      <c r="J459" s="389">
        <f t="shared" si="66"/>
        <v>0</v>
      </c>
      <c r="L459" s="721">
        <v>2294</v>
      </c>
      <c r="M459" s="581"/>
      <c r="N459" s="585" t="s">
        <v>2314</v>
      </c>
      <c r="O459" s="586" t="s">
        <v>4691</v>
      </c>
      <c r="P459" s="233">
        <f t="shared" si="67"/>
        <v>0</v>
      </c>
      <c r="Q459" s="233">
        <f t="shared" si="68"/>
        <v>2294</v>
      </c>
      <c r="R459" s="2">
        <f t="shared" si="69"/>
        <v>2.1</v>
      </c>
      <c r="S459" s="2">
        <f>(1/9)*cnst_fish!$C$7*(1/cnst_fish!$C$8)^(R459-1)</f>
        <v>1.7754076320174161</v>
      </c>
      <c r="T459" s="682">
        <f t="shared" si="70"/>
        <v>349.29218904712286</v>
      </c>
      <c r="W459" s="818"/>
      <c r="X459" s="818"/>
      <c r="Y459" s="819"/>
      <c r="Z459" s="820"/>
      <c r="AA459" s="820"/>
      <c r="AB459" s="821"/>
      <c r="AC459" s="821"/>
      <c r="AD459" s="253"/>
      <c r="AE459" s="253"/>
    </row>
    <row r="460" spans="1:31" ht="14.5">
      <c r="A460" t="s">
        <v>9004</v>
      </c>
      <c r="B460" t="s">
        <v>9005</v>
      </c>
      <c r="C460">
        <v>11393</v>
      </c>
      <c r="D460" s="581"/>
      <c r="E460" s="581"/>
      <c r="F460" s="869">
        <f>(1/S460)*cnst_fish!$C$6</f>
        <v>0.30136363636363639</v>
      </c>
      <c r="G460" s="869">
        <f t="shared" si="64"/>
        <v>1</v>
      </c>
      <c r="H460" s="869">
        <f t="shared" si="64"/>
        <v>0.36449057933102513</v>
      </c>
      <c r="I460" s="869">
        <f t="shared" si="65"/>
        <v>0</v>
      </c>
      <c r="J460" s="389">
        <f t="shared" si="66"/>
        <v>0</v>
      </c>
      <c r="L460" s="721">
        <v>5</v>
      </c>
      <c r="M460" s="581"/>
      <c r="N460" s="877" t="s">
        <v>1738</v>
      </c>
      <c r="O460" s="881" t="s">
        <v>4681</v>
      </c>
      <c r="P460" s="871">
        <f t="shared" si="67"/>
        <v>0</v>
      </c>
      <c r="Q460" s="871">
        <f t="shared" si="68"/>
        <v>5</v>
      </c>
      <c r="R460" s="869">
        <f t="shared" si="69"/>
        <v>3</v>
      </c>
      <c r="S460" s="869">
        <f>(1/9)*cnst_fish!$C$7*(1/cnst_fish!$C$8)^(R460-1)</f>
        <v>14.1025641025641</v>
      </c>
      <c r="T460" s="682">
        <f t="shared" si="70"/>
        <v>6.047355011525303</v>
      </c>
      <c r="W460" s="818"/>
      <c r="X460" s="818"/>
      <c r="Y460" s="819"/>
      <c r="Z460" s="820"/>
      <c r="AA460" s="820"/>
      <c r="AB460" s="821"/>
      <c r="AC460" s="821"/>
      <c r="AD460" s="253"/>
      <c r="AE460" s="253"/>
    </row>
    <row r="461" spans="1:31" ht="14.5">
      <c r="A461" t="s">
        <v>9006</v>
      </c>
      <c r="B461" t="s">
        <v>9007</v>
      </c>
      <c r="C461">
        <v>11394</v>
      </c>
      <c r="D461" s="581"/>
      <c r="E461" s="581"/>
      <c r="F461" s="869">
        <f>(1/S461)*cnst_fish!$C$6</f>
        <v>0.30136363636363639</v>
      </c>
      <c r="G461" s="869">
        <f t="shared" si="64"/>
        <v>1</v>
      </c>
      <c r="H461" s="869">
        <f t="shared" si="64"/>
        <v>0.36449057933102513</v>
      </c>
      <c r="I461" s="869">
        <f t="shared" si="65"/>
        <v>0</v>
      </c>
      <c r="J461" s="389">
        <f t="shared" si="66"/>
        <v>0</v>
      </c>
      <c r="L461" s="721">
        <v>96</v>
      </c>
      <c r="M461" s="581"/>
      <c r="N461" s="877" t="s">
        <v>1738</v>
      </c>
      <c r="O461" s="881" t="s">
        <v>4681</v>
      </c>
      <c r="P461" s="871">
        <f t="shared" si="67"/>
        <v>0</v>
      </c>
      <c r="Q461" s="871">
        <f t="shared" si="68"/>
        <v>96</v>
      </c>
      <c r="R461" s="869">
        <f t="shared" si="69"/>
        <v>3</v>
      </c>
      <c r="S461" s="869">
        <f>(1/9)*cnst_fish!$C$7*(1/cnst_fish!$C$8)^(R461-1)</f>
        <v>14.1025641025641</v>
      </c>
      <c r="T461" s="682">
        <f t="shared" si="70"/>
        <v>116.10921622128582</v>
      </c>
      <c r="W461" s="818"/>
      <c r="X461" s="818"/>
      <c r="Y461" s="819"/>
      <c r="Z461" s="820"/>
      <c r="AA461" s="820"/>
      <c r="AB461" s="821"/>
      <c r="AC461" s="821"/>
      <c r="AD461" s="253"/>
      <c r="AE461" s="253"/>
    </row>
    <row r="462" spans="1:31" ht="14.5">
      <c r="A462" t="s">
        <v>4142</v>
      </c>
      <c r="B462" t="s">
        <v>4143</v>
      </c>
      <c r="C462">
        <v>19038</v>
      </c>
      <c r="D462" s="581"/>
      <c r="E462" s="581"/>
      <c r="F462" s="2">
        <f>(1/S462)*cnst_fish!$C$6</f>
        <v>0.42568745094767507</v>
      </c>
      <c r="G462" s="2">
        <f t="shared" si="64"/>
        <v>1</v>
      </c>
      <c r="H462" s="2">
        <f t="shared" si="64"/>
        <v>0.36449057933102513</v>
      </c>
      <c r="I462" s="2">
        <f t="shared" si="65"/>
        <v>0</v>
      </c>
      <c r="J462" s="389">
        <f t="shared" si="66"/>
        <v>0</v>
      </c>
      <c r="L462" s="721"/>
      <c r="M462" s="581">
        <v>7</v>
      </c>
      <c r="N462" s="585" t="s">
        <v>1738</v>
      </c>
      <c r="O462" s="586" t="s">
        <v>4685</v>
      </c>
      <c r="P462" s="233">
        <f t="shared" si="67"/>
        <v>0</v>
      </c>
      <c r="Q462" s="233">
        <f t="shared" si="68"/>
        <v>7</v>
      </c>
      <c r="R462" s="2">
        <f t="shared" si="69"/>
        <v>2.85</v>
      </c>
      <c r="S462" s="2">
        <f>(1/9)*cnst_fish!$C$7*(1/cnst_fish!$C$8)^(R462-1)</f>
        <v>9.9838508054173385</v>
      </c>
      <c r="T462" s="682">
        <f t="shared" si="70"/>
        <v>5.9936792819170854</v>
      </c>
      <c r="W462" s="818"/>
      <c r="X462" s="818"/>
      <c r="Y462" s="819"/>
      <c r="Z462" s="820"/>
      <c r="AA462" s="820"/>
      <c r="AB462" s="821"/>
      <c r="AC462" s="821"/>
      <c r="AD462" s="253"/>
      <c r="AE462" s="253"/>
    </row>
    <row r="463" spans="1:31" ht="14.5">
      <c r="A463" t="s">
        <v>8859</v>
      </c>
      <c r="B463" t="s">
        <v>8860</v>
      </c>
      <c r="C463">
        <v>20574</v>
      </c>
      <c r="D463" s="581"/>
      <c r="E463" s="581"/>
      <c r="F463" s="2">
        <f>(1/S463)*cnst_fish!$C$6</f>
        <v>2.133491159303107</v>
      </c>
      <c r="G463" s="2">
        <f t="shared" si="64"/>
        <v>1</v>
      </c>
      <c r="H463" s="2">
        <f t="shared" si="64"/>
        <v>0.36449057933102513</v>
      </c>
      <c r="I463" s="2">
        <f t="shared" si="65"/>
        <v>0</v>
      </c>
      <c r="J463" s="389">
        <f t="shared" si="66"/>
        <v>0</v>
      </c>
      <c r="L463" s="721">
        <v>0</v>
      </c>
      <c r="M463" s="581"/>
      <c r="N463" s="585" t="s">
        <v>4282</v>
      </c>
      <c r="O463" s="586" t="s">
        <v>4680</v>
      </c>
      <c r="P463" s="233">
        <f t="shared" si="67"/>
        <v>0</v>
      </c>
      <c r="Q463" s="233">
        <f t="shared" si="68"/>
        <v>0</v>
      </c>
      <c r="R463" s="2">
        <f t="shared" si="69"/>
        <v>2.15</v>
      </c>
      <c r="S463" s="2">
        <f>(1/9)*cnst_fish!$C$7*(1/cnst_fish!$C$8)^(R463-1)</f>
        <v>1.9920401270320891</v>
      </c>
      <c r="T463" s="682">
        <f t="shared" si="70"/>
        <v>0</v>
      </c>
      <c r="W463" s="818"/>
      <c r="X463" s="818"/>
      <c r="Y463" s="819"/>
      <c r="Z463" s="820"/>
      <c r="AA463" s="820"/>
      <c r="AB463" s="821"/>
      <c r="AC463" s="821"/>
      <c r="AD463" s="253"/>
      <c r="AE463" s="253"/>
    </row>
    <row r="464" spans="1:31" ht="14.5">
      <c r="A464" t="s">
        <v>6443</v>
      </c>
      <c r="B464" t="s">
        <v>6442</v>
      </c>
      <c r="C464">
        <v>11398</v>
      </c>
      <c r="D464" s="581"/>
      <c r="E464" s="581"/>
      <c r="F464" s="2">
        <f>(1/S464)*cnst_fish!$C$6</f>
        <v>3.7939434000887833E-2</v>
      </c>
      <c r="G464" s="2">
        <f t="shared" si="64"/>
        <v>1</v>
      </c>
      <c r="H464" s="2">
        <f t="shared" si="64"/>
        <v>0.36449057933102513</v>
      </c>
      <c r="I464" s="2">
        <f t="shared" si="65"/>
        <v>0</v>
      </c>
      <c r="J464" s="389">
        <f t="shared" si="66"/>
        <v>0</v>
      </c>
      <c r="L464" s="721"/>
      <c r="M464" s="581">
        <v>13</v>
      </c>
      <c r="N464" s="585" t="s">
        <v>1738</v>
      </c>
      <c r="O464" s="586" t="s">
        <v>4685</v>
      </c>
      <c r="P464" s="233">
        <f t="shared" si="67"/>
        <v>0</v>
      </c>
      <c r="Q464" s="233">
        <f t="shared" si="68"/>
        <v>13</v>
      </c>
      <c r="R464" s="2">
        <f t="shared" si="69"/>
        <v>3.9</v>
      </c>
      <c r="S464" s="2">
        <f>(1/9)*cnst_fish!$C$7*(1/cnst_fish!$C$8)^(R464-1)</f>
        <v>112.02064848675771</v>
      </c>
      <c r="T464" s="682">
        <f t="shared" si="70"/>
        <v>124.89320560745431</v>
      </c>
      <c r="W464" s="818"/>
      <c r="X464" s="818"/>
      <c r="Y464" s="819"/>
      <c r="Z464" s="820"/>
      <c r="AA464" s="820"/>
      <c r="AB464" s="821"/>
      <c r="AC464" s="821"/>
      <c r="AD464" s="253"/>
      <c r="AE464" s="253"/>
    </row>
    <row r="465" spans="1:31" ht="14.5">
      <c r="A465" t="s">
        <v>2520</v>
      </c>
      <c r="B465" t="s">
        <v>2191</v>
      </c>
      <c r="C465">
        <v>2187</v>
      </c>
      <c r="D465" s="581"/>
      <c r="E465" s="581"/>
      <c r="F465" s="2">
        <f>(1/S465)*cnst_fish!$C$6</f>
        <v>0.79266712664847161</v>
      </c>
      <c r="G465" s="2">
        <f t="shared" si="64"/>
        <v>1</v>
      </c>
      <c r="H465" s="2">
        <f t="shared" si="64"/>
        <v>0.36449057933102513</v>
      </c>
      <c r="I465" s="2">
        <f t="shared" si="65"/>
        <v>0</v>
      </c>
      <c r="J465" s="389">
        <f t="shared" si="66"/>
        <v>0</v>
      </c>
      <c r="L465" s="721"/>
      <c r="M465" s="581">
        <v>31233</v>
      </c>
      <c r="N465" s="585" t="s">
        <v>1738</v>
      </c>
      <c r="O465" s="586" t="s">
        <v>4685</v>
      </c>
      <c r="P465" s="233">
        <f t="shared" si="67"/>
        <v>0</v>
      </c>
      <c r="Q465" s="233">
        <f t="shared" si="68"/>
        <v>31233</v>
      </c>
      <c r="R465" s="2">
        <f t="shared" si="69"/>
        <v>2.58</v>
      </c>
      <c r="S465" s="2">
        <f>(1/9)*cnst_fish!$C$7*(1/cnst_fish!$C$8)^(R465-1)</f>
        <v>5.3616453327258649</v>
      </c>
      <c r="T465" s="682">
        <f t="shared" si="70"/>
        <v>14361.809492945571</v>
      </c>
      <c r="W465" s="818"/>
      <c r="X465" s="818"/>
      <c r="Y465" s="819"/>
      <c r="Z465" s="820"/>
      <c r="AA465" s="820"/>
      <c r="AB465" s="821"/>
      <c r="AC465" s="821"/>
      <c r="AD465" s="253"/>
      <c r="AE465" s="253"/>
    </row>
    <row r="466" spans="1:31" ht="14.5">
      <c r="A466" t="s">
        <v>6328</v>
      </c>
      <c r="B466" t="s">
        <v>6327</v>
      </c>
      <c r="C466">
        <v>19544</v>
      </c>
      <c r="D466" s="581"/>
      <c r="E466" s="581"/>
      <c r="F466" s="2">
        <f>(1/S466)*cnst_fish!$C$6</f>
        <v>3.0136363636363641</v>
      </c>
      <c r="G466" s="2">
        <f t="shared" si="64"/>
        <v>1</v>
      </c>
      <c r="H466" s="2">
        <f t="shared" si="64"/>
        <v>0.36449057933102513</v>
      </c>
      <c r="I466" s="2">
        <f t="shared" si="65"/>
        <v>0</v>
      </c>
      <c r="J466" s="389">
        <f t="shared" si="66"/>
        <v>0</v>
      </c>
      <c r="L466" s="721"/>
      <c r="M466" s="581">
        <v>6</v>
      </c>
      <c r="N466" s="585" t="s">
        <v>1738</v>
      </c>
      <c r="O466" s="586" t="s">
        <v>4685</v>
      </c>
      <c r="P466" s="233">
        <f t="shared" si="67"/>
        <v>0</v>
      </c>
      <c r="Q466" s="233">
        <f t="shared" si="68"/>
        <v>6</v>
      </c>
      <c r="R466" s="2">
        <f t="shared" si="69"/>
        <v>2</v>
      </c>
      <c r="S466" s="2">
        <f>(1/9)*cnst_fish!$C$7*(1/cnst_fish!$C$8)^(R466-1)</f>
        <v>1.4102564102564099</v>
      </c>
      <c r="T466" s="682">
        <f t="shared" si="70"/>
        <v>0.72568260138303631</v>
      </c>
      <c r="W466" s="818"/>
      <c r="X466" s="818"/>
      <c r="Y466" s="819"/>
      <c r="Z466" s="820"/>
      <c r="AA466" s="820"/>
      <c r="AB466" s="821"/>
      <c r="AC466" s="821"/>
      <c r="AD466" s="253"/>
      <c r="AE466" s="253"/>
    </row>
    <row r="467" spans="1:31" ht="14.5">
      <c r="A467" t="s">
        <v>6330</v>
      </c>
      <c r="B467" t="s">
        <v>6329</v>
      </c>
      <c r="C467">
        <v>19545</v>
      </c>
      <c r="D467" s="581"/>
      <c r="E467" s="581"/>
      <c r="F467" s="2">
        <f>(1/S467)*cnst_fish!$C$6</f>
        <v>6.0129950673834844E-2</v>
      </c>
      <c r="G467" s="2">
        <f t="shared" si="64"/>
        <v>1</v>
      </c>
      <c r="H467" s="2">
        <f t="shared" si="64"/>
        <v>0.36449057933102513</v>
      </c>
      <c r="I467" s="2">
        <f t="shared" si="65"/>
        <v>0</v>
      </c>
      <c r="J467" s="389">
        <f t="shared" si="66"/>
        <v>0</v>
      </c>
      <c r="L467" s="721"/>
      <c r="M467" s="581">
        <v>42</v>
      </c>
      <c r="N467" s="585" t="s">
        <v>1738</v>
      </c>
      <c r="O467" s="586" t="s">
        <v>4685</v>
      </c>
      <c r="P467" s="233">
        <f t="shared" si="67"/>
        <v>0</v>
      </c>
      <c r="Q467" s="233">
        <f t="shared" si="68"/>
        <v>42</v>
      </c>
      <c r="R467" s="2">
        <f t="shared" si="69"/>
        <v>3.7</v>
      </c>
      <c r="S467" s="2">
        <f>(1/9)*cnst_fish!$C$7*(1/cnst_fish!$C$8)^(R467-1)</f>
        <v>70.680250896153822</v>
      </c>
      <c r="T467" s="682">
        <f t="shared" si="70"/>
        <v>254.59199883502475</v>
      </c>
      <c r="W467" s="818"/>
      <c r="X467" s="818"/>
      <c r="Y467" s="819"/>
      <c r="Z467" s="820"/>
      <c r="AA467" s="820"/>
      <c r="AB467" s="821"/>
      <c r="AC467" s="821"/>
      <c r="AD467" s="253"/>
      <c r="AE467" s="253"/>
    </row>
    <row r="468" spans="1:31" ht="14.5">
      <c r="A468" t="s">
        <v>1716</v>
      </c>
      <c r="B468" t="s">
        <v>3275</v>
      </c>
      <c r="C468">
        <v>2186</v>
      </c>
      <c r="D468" s="581"/>
      <c r="E468" s="581"/>
      <c r="F468" s="2">
        <f>(1/S468)*cnst_fish!$C$6</f>
        <v>0.2878000384237327</v>
      </c>
      <c r="G468" s="2">
        <f t="shared" ref="G468:H487" si="71">G$7</f>
        <v>1</v>
      </c>
      <c r="H468" s="2">
        <f t="shared" si="71"/>
        <v>0.36449057933102513</v>
      </c>
      <c r="I468" s="2">
        <f t="shared" si="65"/>
        <v>0</v>
      </c>
      <c r="J468" s="389">
        <f t="shared" si="66"/>
        <v>0</v>
      </c>
      <c r="L468" s="721"/>
      <c r="M468" s="581">
        <v>10283</v>
      </c>
      <c r="N468" s="585" t="s">
        <v>1738</v>
      </c>
      <c r="O468" s="586" t="s">
        <v>4685</v>
      </c>
      <c r="P468" s="233">
        <f t="shared" si="67"/>
        <v>0</v>
      </c>
      <c r="Q468" s="233">
        <f t="shared" si="68"/>
        <v>10283</v>
      </c>
      <c r="R468" s="2">
        <f t="shared" si="69"/>
        <v>3.02</v>
      </c>
      <c r="S468" s="2">
        <f>(1/9)*cnst_fish!$C$7*(1/cnst_fish!$C$8)^(R468-1)</f>
        <v>14.767197472512686</v>
      </c>
      <c r="T468" s="682">
        <f t="shared" si="70"/>
        <v>13023.12761245225</v>
      </c>
      <c r="W468" s="818"/>
      <c r="X468" s="818"/>
      <c r="Y468" s="819"/>
      <c r="Z468" s="820"/>
      <c r="AA468" s="820"/>
      <c r="AB468" s="821"/>
      <c r="AC468" s="821"/>
      <c r="AD468" s="253"/>
      <c r="AE468" s="253"/>
    </row>
    <row r="469" spans="1:31" ht="14.5">
      <c r="A469" t="s">
        <v>6332</v>
      </c>
      <c r="B469" t="s">
        <v>6331</v>
      </c>
      <c r="C469">
        <v>19546</v>
      </c>
      <c r="D469" s="581"/>
      <c r="E469" s="581"/>
      <c r="F469" s="2">
        <f>(1/S469)*cnst_fish!$C$6</f>
        <v>0.15103960722494611</v>
      </c>
      <c r="G469" s="2">
        <f t="shared" si="71"/>
        <v>1</v>
      </c>
      <c r="H469" s="2">
        <f t="shared" si="71"/>
        <v>0.36449057933102513</v>
      </c>
      <c r="I469" s="2">
        <f t="shared" si="65"/>
        <v>0</v>
      </c>
      <c r="J469" s="389">
        <f t="shared" si="66"/>
        <v>0</v>
      </c>
      <c r="L469" s="721"/>
      <c r="M469" s="581">
        <v>12</v>
      </c>
      <c r="N469" s="585" t="s">
        <v>1738</v>
      </c>
      <c r="O469" s="586" t="s">
        <v>4685</v>
      </c>
      <c r="P469" s="233">
        <f t="shared" si="67"/>
        <v>0</v>
      </c>
      <c r="Q469" s="233">
        <f t="shared" si="68"/>
        <v>12</v>
      </c>
      <c r="R469" s="2">
        <f t="shared" si="69"/>
        <v>3.3</v>
      </c>
      <c r="S469" s="2">
        <f>(1/9)*cnst_fish!$C$7*(1/cnst_fish!$C$8)^(R469-1)</f>
        <v>28.138314698279075</v>
      </c>
      <c r="T469" s="682">
        <f t="shared" si="70"/>
        <v>28.958542943363131</v>
      </c>
      <c r="W469" s="818"/>
      <c r="X469" s="818"/>
      <c r="Y469" s="819"/>
      <c r="Z469" s="820"/>
      <c r="AA469" s="820"/>
      <c r="AB469" s="821"/>
      <c r="AC469" s="821"/>
      <c r="AD469" s="253"/>
      <c r="AE469" s="253"/>
    </row>
    <row r="470" spans="1:31" ht="14.5">
      <c r="A470" t="s">
        <v>328</v>
      </c>
      <c r="B470" t="s">
        <v>1900</v>
      </c>
      <c r="C470">
        <v>3195</v>
      </c>
      <c r="D470" s="581"/>
      <c r="E470" s="581"/>
      <c r="F470" s="2">
        <f>(1/S470)*cnst_fish!$C$6</f>
        <v>7.3976000504507963E-2</v>
      </c>
      <c r="G470" s="2">
        <f t="shared" si="71"/>
        <v>1</v>
      </c>
      <c r="H470" s="2">
        <f t="shared" si="71"/>
        <v>0.36449057933102513</v>
      </c>
      <c r="I470" s="2">
        <f t="shared" si="65"/>
        <v>0</v>
      </c>
      <c r="J470" s="389">
        <f t="shared" si="66"/>
        <v>0</v>
      </c>
      <c r="L470" s="721">
        <v>260</v>
      </c>
      <c r="M470" s="581"/>
      <c r="N470" s="585" t="s">
        <v>1738</v>
      </c>
      <c r="O470" s="586" t="s">
        <v>4681</v>
      </c>
      <c r="P470" s="233">
        <f t="shared" si="67"/>
        <v>0</v>
      </c>
      <c r="Q470" s="233">
        <f t="shared" si="68"/>
        <v>260</v>
      </c>
      <c r="R470" s="2">
        <f t="shared" si="69"/>
        <v>3.61</v>
      </c>
      <c r="S470" s="2">
        <f>(1/9)*cnst_fish!$C$7*(1/cnst_fish!$C$8)^(R470-1)</f>
        <v>57.451064818528707</v>
      </c>
      <c r="T470" s="682">
        <f t="shared" si="70"/>
        <v>1281.0580455791412</v>
      </c>
      <c r="W470" s="818"/>
      <c r="X470" s="818"/>
      <c r="Y470" s="819"/>
      <c r="Z470" s="820"/>
      <c r="AA470" s="820"/>
      <c r="AB470" s="821"/>
      <c r="AC470" s="821"/>
      <c r="AD470" s="253"/>
      <c r="AE470" s="253"/>
    </row>
    <row r="471" spans="1:31" ht="14.5">
      <c r="A471" t="s">
        <v>6755</v>
      </c>
      <c r="B471" t="s">
        <v>8575</v>
      </c>
      <c r="C471">
        <v>6809</v>
      </c>
      <c r="D471" s="581"/>
      <c r="E471" s="581"/>
      <c r="F471" s="2">
        <f>(1/S471)*cnst_fish!$C$6</f>
        <v>1.5103960722494611E-2</v>
      </c>
      <c r="G471" s="2">
        <f t="shared" si="71"/>
        <v>1</v>
      </c>
      <c r="H471" s="2">
        <f t="shared" si="71"/>
        <v>0.36449057933102513</v>
      </c>
      <c r="I471" s="2">
        <f t="shared" si="65"/>
        <v>0</v>
      </c>
      <c r="J471" s="389">
        <f t="shared" si="66"/>
        <v>0</v>
      </c>
      <c r="L471" s="721"/>
      <c r="M471" s="581"/>
      <c r="N471" s="585" t="s">
        <v>1738</v>
      </c>
      <c r="O471" s="586" t="s">
        <v>4685</v>
      </c>
      <c r="P471" s="233">
        <f t="shared" si="67"/>
        <v>0</v>
      </c>
      <c r="Q471" s="233">
        <f t="shared" si="68"/>
        <v>0</v>
      </c>
      <c r="R471" s="2">
        <f t="shared" si="69"/>
        <v>4.3</v>
      </c>
      <c r="S471" s="2">
        <f>(1/9)*cnst_fish!$C$7*(1/cnst_fish!$C$8)^(R471-1)</f>
        <v>281.38314698279078</v>
      </c>
      <c r="T471" s="682">
        <f t="shared" si="70"/>
        <v>0</v>
      </c>
      <c r="W471" s="818"/>
      <c r="X471" s="818"/>
      <c r="Y471" s="819"/>
      <c r="Z471" s="820"/>
      <c r="AA471" s="820"/>
      <c r="AB471" s="821"/>
      <c r="AC471" s="821"/>
      <c r="AD471" s="253"/>
      <c r="AE471" s="253"/>
    </row>
    <row r="472" spans="1:31" ht="14.5">
      <c r="A472" t="s">
        <v>3045</v>
      </c>
      <c r="B472" t="s">
        <v>3779</v>
      </c>
      <c r="C472">
        <v>3220</v>
      </c>
      <c r="D472" s="581"/>
      <c r="E472" s="581"/>
      <c r="F472" s="2">
        <f>(1/S472)*cnst_fish!$C$6</f>
        <v>9.5299549485983424E-3</v>
      </c>
      <c r="G472" s="2">
        <f t="shared" si="71"/>
        <v>1</v>
      </c>
      <c r="H472" s="2">
        <f t="shared" si="71"/>
        <v>0.36449057933102513</v>
      </c>
      <c r="I472" s="2">
        <f t="shared" si="65"/>
        <v>0</v>
      </c>
      <c r="J472" s="389">
        <f t="shared" si="66"/>
        <v>0</v>
      </c>
      <c r="L472" s="721"/>
      <c r="M472" s="581">
        <v>11</v>
      </c>
      <c r="N472" s="585" t="s">
        <v>1738</v>
      </c>
      <c r="O472" s="586" t="s">
        <v>4685</v>
      </c>
      <c r="P472" s="233">
        <f t="shared" si="67"/>
        <v>0</v>
      </c>
      <c r="Q472" s="233">
        <f t="shared" si="68"/>
        <v>11</v>
      </c>
      <c r="R472" s="2">
        <f t="shared" si="69"/>
        <v>4.5</v>
      </c>
      <c r="S472" s="2">
        <f>(1/9)*cnst_fish!$C$7*(1/cnst_fish!$C$8)^(R472-1)</f>
        <v>445.96223412630997</v>
      </c>
      <c r="T472" s="682">
        <f t="shared" si="70"/>
        <v>420.71514443318273</v>
      </c>
      <c r="W472" s="818"/>
      <c r="X472" s="818"/>
      <c r="Y472" s="819"/>
      <c r="Z472" s="820"/>
      <c r="AA472" s="820"/>
      <c r="AB472" s="821"/>
      <c r="AC472" s="821"/>
      <c r="AD472" s="253"/>
      <c r="AE472" s="253"/>
    </row>
    <row r="473" spans="1:31" ht="14.5">
      <c r="A473" t="s">
        <v>429</v>
      </c>
      <c r="B473" t="s">
        <v>8576</v>
      </c>
      <c r="C473">
        <v>2415</v>
      </c>
      <c r="D473" s="581"/>
      <c r="E473" s="581"/>
      <c r="F473" s="2">
        <f>(1/S473)*cnst_fish!$C$6</f>
        <v>0.15103960722494611</v>
      </c>
      <c r="G473" s="2">
        <f t="shared" si="71"/>
        <v>1</v>
      </c>
      <c r="H473" s="2">
        <f t="shared" si="71"/>
        <v>0.36449057933102513</v>
      </c>
      <c r="I473" s="2">
        <f t="shared" si="65"/>
        <v>0</v>
      </c>
      <c r="J473" s="389">
        <f t="shared" si="66"/>
        <v>0</v>
      </c>
      <c r="L473" s="721"/>
      <c r="M473" s="581"/>
      <c r="N473" s="585" t="s">
        <v>1738</v>
      </c>
      <c r="O473" s="586" t="s">
        <v>4685</v>
      </c>
      <c r="P473" s="233">
        <f t="shared" si="67"/>
        <v>0</v>
      </c>
      <c r="Q473" s="233">
        <f t="shared" si="68"/>
        <v>0</v>
      </c>
      <c r="R473" s="2">
        <f t="shared" si="69"/>
        <v>3.3</v>
      </c>
      <c r="S473" s="2">
        <f>(1/9)*cnst_fish!$C$7*(1/cnst_fish!$C$8)^(R473-1)</f>
        <v>28.138314698279075</v>
      </c>
      <c r="T473" s="682">
        <f t="shared" si="70"/>
        <v>0</v>
      </c>
      <c r="W473" s="818"/>
      <c r="X473" s="818"/>
      <c r="Y473" s="819"/>
      <c r="Z473" s="820"/>
      <c r="AA473" s="820"/>
      <c r="AB473" s="821"/>
      <c r="AC473" s="821"/>
      <c r="AD473" s="253"/>
      <c r="AE473" s="253"/>
    </row>
    <row r="474" spans="1:31" ht="14.5">
      <c r="A474" t="s">
        <v>4160</v>
      </c>
      <c r="B474" t="s">
        <v>5190</v>
      </c>
      <c r="C474">
        <v>3219</v>
      </c>
      <c r="D474" s="581"/>
      <c r="E474" s="581"/>
      <c r="F474" s="2">
        <f>(1/S474)*cnst_fish!$C$6</f>
        <v>3.304386563831508E-2</v>
      </c>
      <c r="G474" s="2">
        <f t="shared" si="71"/>
        <v>1</v>
      </c>
      <c r="H474" s="2">
        <f t="shared" si="71"/>
        <v>0.36449057933102513</v>
      </c>
      <c r="I474" s="2">
        <f t="shared" si="65"/>
        <v>0</v>
      </c>
      <c r="J474" s="389">
        <f t="shared" si="66"/>
        <v>0</v>
      </c>
      <c r="L474" s="721"/>
      <c r="M474" s="581">
        <v>129</v>
      </c>
      <c r="N474" s="585" t="s">
        <v>1738</v>
      </c>
      <c r="O474" s="586" t="s">
        <v>4685</v>
      </c>
      <c r="P474" s="233">
        <f t="shared" si="67"/>
        <v>0</v>
      </c>
      <c r="Q474" s="233">
        <f t="shared" si="68"/>
        <v>129</v>
      </c>
      <c r="R474" s="2">
        <f t="shared" si="69"/>
        <v>3.96</v>
      </c>
      <c r="S474" s="2">
        <f>(1/9)*cnst_fish!$C$7*(1/cnst_fish!$C$8)^(R474-1)</f>
        <v>128.61691324250009</v>
      </c>
      <c r="T474" s="682">
        <f t="shared" si="70"/>
        <v>1422.9353565456447</v>
      </c>
      <c r="W474" s="818"/>
      <c r="X474" s="818"/>
      <c r="Y474" s="819"/>
      <c r="Z474" s="820"/>
      <c r="AA474" s="820"/>
      <c r="AB474" s="821"/>
      <c r="AC474" s="821"/>
      <c r="AD474" s="253"/>
      <c r="AE474" s="253"/>
    </row>
    <row r="475" spans="1:31" ht="14.5">
      <c r="A475" t="s">
        <v>2605</v>
      </c>
      <c r="B475" t="s">
        <v>5191</v>
      </c>
      <c r="C475">
        <v>3215</v>
      </c>
      <c r="D475" s="581"/>
      <c r="E475" s="581"/>
      <c r="F475" s="2">
        <f>(1/S475)*cnst_fish!$C$6</f>
        <v>0.30838329721915442</v>
      </c>
      <c r="G475" s="2">
        <f t="shared" si="71"/>
        <v>1</v>
      </c>
      <c r="H475" s="2">
        <f t="shared" si="71"/>
        <v>0.36449057933102513</v>
      </c>
      <c r="I475" s="2">
        <f t="shared" si="65"/>
        <v>0</v>
      </c>
      <c r="J475" s="389">
        <f t="shared" si="66"/>
        <v>0</v>
      </c>
      <c r="L475" s="721"/>
      <c r="M475" s="581">
        <v>44471</v>
      </c>
      <c r="N475" s="585" t="s">
        <v>1738</v>
      </c>
      <c r="O475" s="586" t="s">
        <v>4685</v>
      </c>
      <c r="P475" s="233">
        <f t="shared" si="67"/>
        <v>0</v>
      </c>
      <c r="Q475" s="233">
        <f t="shared" si="68"/>
        <v>44471</v>
      </c>
      <c r="R475" s="2">
        <f t="shared" si="69"/>
        <v>2.99</v>
      </c>
      <c r="S475" s="2">
        <f>(1/9)*cnst_fish!$C$7*(1/cnst_fish!$C$8)^(R475-1)</f>
        <v>13.781550551940924</v>
      </c>
      <c r="T475" s="682">
        <f t="shared" si="70"/>
        <v>52562.057347453585</v>
      </c>
      <c r="W475" s="818"/>
      <c r="X475" s="818"/>
      <c r="Y475" s="819"/>
      <c r="Z475" s="820"/>
      <c r="AA475" s="820"/>
      <c r="AB475" s="821"/>
      <c r="AC475" s="821"/>
      <c r="AD475" s="253"/>
      <c r="AE475" s="253"/>
    </row>
    <row r="476" spans="1:31" ht="14.5">
      <c r="A476" t="s">
        <v>2074</v>
      </c>
      <c r="B476" t="s">
        <v>2450</v>
      </c>
      <c r="C476">
        <v>15139</v>
      </c>
      <c r="D476" s="581"/>
      <c r="E476" s="581"/>
      <c r="F476" s="2">
        <f>(1/S476)*cnst_fish!$C$6</f>
        <v>6.5931179849025079E-2</v>
      </c>
      <c r="G476" s="2">
        <f t="shared" si="71"/>
        <v>1</v>
      </c>
      <c r="H476" s="2">
        <f t="shared" si="71"/>
        <v>0.36449057933102513</v>
      </c>
      <c r="I476" s="2">
        <f t="shared" si="65"/>
        <v>0</v>
      </c>
      <c r="J476" s="389">
        <f t="shared" si="66"/>
        <v>0</v>
      </c>
      <c r="L476" s="721">
        <v>1137</v>
      </c>
      <c r="M476" s="581"/>
      <c r="N476" s="585" t="s">
        <v>1738</v>
      </c>
      <c r="O476" s="586" t="s">
        <v>4681</v>
      </c>
      <c r="P476" s="233">
        <f t="shared" si="67"/>
        <v>0</v>
      </c>
      <c r="Q476" s="233">
        <f t="shared" si="68"/>
        <v>1137</v>
      </c>
      <c r="R476" s="2">
        <f t="shared" si="69"/>
        <v>3.66</v>
      </c>
      <c r="S476" s="2">
        <f>(1/9)*cnst_fish!$C$7*(1/cnst_fish!$C$8)^(R476-1)</f>
        <v>64.461154945687568</v>
      </c>
      <c r="T476" s="682">
        <f t="shared" si="70"/>
        <v>6285.7329361974653</v>
      </c>
      <c r="W476" s="818"/>
      <c r="X476" s="818"/>
      <c r="Y476" s="819"/>
      <c r="Z476" s="820"/>
      <c r="AA476" s="820"/>
      <c r="AB476" s="821"/>
      <c r="AC476" s="821"/>
      <c r="AD476" s="253"/>
      <c r="AE476" s="253"/>
    </row>
    <row r="477" spans="1:31" ht="14.5">
      <c r="A477" t="s">
        <v>428</v>
      </c>
      <c r="B477" t="s">
        <v>8577</v>
      </c>
      <c r="C477">
        <v>18997</v>
      </c>
      <c r="D477" s="581"/>
      <c r="E477" s="581"/>
      <c r="F477" s="2">
        <f>(1/S477)*cnst_fish!$C$6</f>
        <v>2.3938164528281742</v>
      </c>
      <c r="G477" s="2">
        <f t="shared" si="71"/>
        <v>1</v>
      </c>
      <c r="H477" s="2">
        <f t="shared" si="71"/>
        <v>0.36449057933102513</v>
      </c>
      <c r="I477" s="2">
        <f t="shared" si="65"/>
        <v>0</v>
      </c>
      <c r="J477" s="389">
        <f t="shared" si="66"/>
        <v>0</v>
      </c>
      <c r="L477" s="721"/>
      <c r="M477" s="581"/>
      <c r="N477" s="585" t="s">
        <v>1736</v>
      </c>
      <c r="O477" s="586" t="s">
        <v>4691</v>
      </c>
      <c r="P477" s="233">
        <f t="shared" si="67"/>
        <v>0</v>
      </c>
      <c r="Q477" s="233">
        <f t="shared" si="68"/>
        <v>0</v>
      </c>
      <c r="R477" s="2">
        <f t="shared" si="69"/>
        <v>2.1</v>
      </c>
      <c r="S477" s="2">
        <f>(1/9)*cnst_fish!$C$7*(1/cnst_fish!$C$8)^(R477-1)</f>
        <v>1.7754076320174161</v>
      </c>
      <c r="T477" s="682">
        <f t="shared" si="70"/>
        <v>0</v>
      </c>
      <c r="W477" s="822"/>
      <c r="X477" s="822"/>
      <c r="Y477" s="819"/>
      <c r="Z477" s="820"/>
      <c r="AA477" s="820"/>
      <c r="AB477" s="821"/>
      <c r="AC477" s="821"/>
      <c r="AD477" s="253"/>
      <c r="AE477" s="253"/>
    </row>
    <row r="478" spans="1:31" ht="14.5">
      <c r="A478" t="s">
        <v>4222</v>
      </c>
      <c r="B478" t="s">
        <v>8578</v>
      </c>
      <c r="C478">
        <v>2163</v>
      </c>
      <c r="D478" s="581"/>
      <c r="E478" s="581"/>
      <c r="F478" s="2">
        <f>(1/S478)*cnst_fish!$C$6</f>
        <v>1.1997502458044034</v>
      </c>
      <c r="G478" s="2">
        <f t="shared" si="71"/>
        <v>1</v>
      </c>
      <c r="H478" s="2">
        <f t="shared" si="71"/>
        <v>0.36449057933102513</v>
      </c>
      <c r="I478" s="2">
        <f t="shared" si="65"/>
        <v>0</v>
      </c>
      <c r="J478" s="389">
        <f t="shared" si="66"/>
        <v>0</v>
      </c>
      <c r="L478" s="721"/>
      <c r="M478" s="581"/>
      <c r="N478" s="585" t="s">
        <v>5194</v>
      </c>
      <c r="O478" s="586" t="s">
        <v>4685</v>
      </c>
      <c r="P478" s="233">
        <f t="shared" si="67"/>
        <v>0</v>
      </c>
      <c r="Q478" s="233">
        <f t="shared" si="68"/>
        <v>0</v>
      </c>
      <c r="R478" s="2">
        <f t="shared" si="69"/>
        <v>2.4</v>
      </c>
      <c r="S478" s="2">
        <f>(1/9)*cnst_fish!$C$7*(1/cnst_fish!$C$8)^(R478-1)</f>
        <v>3.5424039418724838</v>
      </c>
      <c r="T478" s="682">
        <f t="shared" si="70"/>
        <v>0</v>
      </c>
      <c r="W478" s="818"/>
      <c r="X478" s="818"/>
      <c r="Y478" s="819"/>
      <c r="Z478" s="820"/>
      <c r="AA478" s="820"/>
      <c r="AB478" s="821"/>
      <c r="AC478" s="821"/>
      <c r="AD478" s="253"/>
      <c r="AE478" s="253"/>
    </row>
    <row r="479" spans="1:31" ht="14.5">
      <c r="A479" t="s">
        <v>4258</v>
      </c>
      <c r="B479" t="s">
        <v>8579</v>
      </c>
      <c r="C479">
        <v>11426</v>
      </c>
      <c r="D479" s="581"/>
      <c r="E479" s="581"/>
      <c r="F479" s="2">
        <f>(1/S479)*cnst_fish!$C$6</f>
        <v>1.1997502458044034</v>
      </c>
      <c r="G479" s="2">
        <f t="shared" si="71"/>
        <v>1</v>
      </c>
      <c r="H479" s="2">
        <f t="shared" si="71"/>
        <v>0.36449057933102513</v>
      </c>
      <c r="I479" s="2">
        <f t="shared" si="65"/>
        <v>0</v>
      </c>
      <c r="J479" s="389">
        <f t="shared" si="66"/>
        <v>0</v>
      </c>
      <c r="L479" s="721"/>
      <c r="M479" s="581"/>
      <c r="N479" s="585" t="s">
        <v>1738</v>
      </c>
      <c r="O479" s="586" t="s">
        <v>4685</v>
      </c>
      <c r="P479" s="233">
        <f t="shared" si="67"/>
        <v>0</v>
      </c>
      <c r="Q479" s="233">
        <f t="shared" si="68"/>
        <v>0</v>
      </c>
      <c r="R479" s="2">
        <f t="shared" si="69"/>
        <v>2.4</v>
      </c>
      <c r="S479" s="2">
        <f>(1/9)*cnst_fish!$C$7*(1/cnst_fish!$C$8)^(R479-1)</f>
        <v>3.5424039418724838</v>
      </c>
      <c r="T479" s="682">
        <f t="shared" si="70"/>
        <v>0</v>
      </c>
      <c r="W479" s="818"/>
      <c r="X479" s="818"/>
      <c r="Y479" s="819"/>
      <c r="Z479" s="820"/>
      <c r="AA479" s="820"/>
      <c r="AB479" s="821"/>
      <c r="AC479" s="821"/>
      <c r="AD479" s="253"/>
      <c r="AE479" s="253"/>
    </row>
    <row r="480" spans="1:31" ht="14.5">
      <c r="A480" t="s">
        <v>1471</v>
      </c>
      <c r="B480" t="s">
        <v>4823</v>
      </c>
      <c r="C480">
        <v>2162</v>
      </c>
      <c r="D480" s="581"/>
      <c r="E480" s="581"/>
      <c r="F480" s="2">
        <f>(1/S480)*cnst_fish!$C$6</f>
        <v>3.0136363636363641</v>
      </c>
      <c r="G480" s="2">
        <f t="shared" si="71"/>
        <v>1</v>
      </c>
      <c r="H480" s="2">
        <f t="shared" si="71"/>
        <v>0.36449057933102513</v>
      </c>
      <c r="I480" s="2">
        <f t="shared" si="65"/>
        <v>0</v>
      </c>
      <c r="J480" s="389">
        <f t="shared" si="66"/>
        <v>0</v>
      </c>
      <c r="L480" s="721"/>
      <c r="M480" s="581">
        <v>0</v>
      </c>
      <c r="N480" s="585" t="s">
        <v>5194</v>
      </c>
      <c r="O480" s="586" t="s">
        <v>4685</v>
      </c>
      <c r="P480" s="233">
        <f t="shared" si="67"/>
        <v>0</v>
      </c>
      <c r="Q480" s="233">
        <f t="shared" si="68"/>
        <v>0</v>
      </c>
      <c r="R480" s="2">
        <f t="shared" si="69"/>
        <v>2</v>
      </c>
      <c r="S480" s="2">
        <f>(1/9)*cnst_fish!$C$7*(1/cnst_fish!$C$8)^(R480-1)</f>
        <v>1.4102564102564099</v>
      </c>
      <c r="T480" s="682">
        <f t="shared" si="70"/>
        <v>0</v>
      </c>
      <c r="W480" s="818"/>
      <c r="X480" s="818"/>
      <c r="Y480" s="819"/>
      <c r="Z480" s="820"/>
      <c r="AA480" s="820"/>
      <c r="AB480" s="821"/>
      <c r="AC480" s="821"/>
      <c r="AD480" s="253"/>
      <c r="AE480" s="253"/>
    </row>
    <row r="481" spans="1:31" ht="14.5">
      <c r="A481" t="s">
        <v>1821</v>
      </c>
      <c r="B481" t="s">
        <v>1432</v>
      </c>
      <c r="C481">
        <v>11442</v>
      </c>
      <c r="D481" s="581"/>
      <c r="E481" s="581"/>
      <c r="F481" s="2">
        <f>(1/S481)*cnst_fish!$C$6</f>
        <v>0.10692785320993656</v>
      </c>
      <c r="G481" s="2">
        <f t="shared" si="71"/>
        <v>1</v>
      </c>
      <c r="H481" s="2">
        <f t="shared" si="71"/>
        <v>0.36449057933102513</v>
      </c>
      <c r="I481" s="2">
        <f t="shared" si="65"/>
        <v>0</v>
      </c>
      <c r="J481" s="389">
        <f t="shared" si="66"/>
        <v>0</v>
      </c>
      <c r="L481" s="721">
        <v>67</v>
      </c>
      <c r="M481" s="581"/>
      <c r="N481" s="585" t="s">
        <v>1738</v>
      </c>
      <c r="O481" s="586" t="s">
        <v>4681</v>
      </c>
      <c r="P481" s="233">
        <f t="shared" si="67"/>
        <v>0</v>
      </c>
      <c r="Q481" s="233">
        <f t="shared" si="68"/>
        <v>67</v>
      </c>
      <c r="R481" s="2">
        <f t="shared" si="69"/>
        <v>3.45</v>
      </c>
      <c r="S481" s="2">
        <f>(1/9)*cnst_fish!$C$7*(1/cnst_fish!$C$8)^(R481-1)</f>
        <v>39.746425953729492</v>
      </c>
      <c r="T481" s="682">
        <f t="shared" si="70"/>
        <v>228.38641272664503</v>
      </c>
      <c r="W481" s="818"/>
      <c r="X481" s="818"/>
      <c r="Y481" s="819"/>
      <c r="Z481" s="820"/>
      <c r="AA481" s="820"/>
      <c r="AB481" s="821"/>
      <c r="AC481" s="821"/>
      <c r="AD481" s="253"/>
      <c r="AE481" s="253"/>
    </row>
    <row r="482" spans="1:31" ht="14.5">
      <c r="A482" t="s">
        <v>1185</v>
      </c>
      <c r="B482" t="s">
        <v>1186</v>
      </c>
      <c r="C482">
        <v>2564</v>
      </c>
      <c r="D482" s="581"/>
      <c r="E482" s="581"/>
      <c r="F482" s="2">
        <f>(1/S482)*cnst_fish!$C$6</f>
        <v>7.0646532025323075E-2</v>
      </c>
      <c r="G482" s="2">
        <f t="shared" si="71"/>
        <v>1</v>
      </c>
      <c r="H482" s="2">
        <f t="shared" si="71"/>
        <v>0.36449057933102513</v>
      </c>
      <c r="I482" s="2">
        <f t="shared" si="65"/>
        <v>0</v>
      </c>
      <c r="J482" s="389">
        <f t="shared" si="66"/>
        <v>0</v>
      </c>
      <c r="L482" s="721">
        <v>262</v>
      </c>
      <c r="M482" s="581"/>
      <c r="N482" s="585" t="s">
        <v>1738</v>
      </c>
      <c r="O482" s="586" t="s">
        <v>4681</v>
      </c>
      <c r="P482" s="233">
        <f t="shared" si="67"/>
        <v>0</v>
      </c>
      <c r="Q482" s="233">
        <f t="shared" si="68"/>
        <v>262</v>
      </c>
      <c r="R482" s="2">
        <f t="shared" si="69"/>
        <v>3.63</v>
      </c>
      <c r="S482" s="2">
        <f>(1/9)*cnst_fish!$C$7*(1/cnst_fish!$C$8)^(R482-1)</f>
        <v>60.158650087404119</v>
      </c>
      <c r="T482" s="682">
        <f t="shared" si="70"/>
        <v>1351.7511623995654</v>
      </c>
      <c r="W482" s="818"/>
      <c r="X482" s="818"/>
      <c r="Y482" s="819"/>
      <c r="Z482" s="820"/>
      <c r="AA482" s="820"/>
      <c r="AB482" s="821"/>
      <c r="AC482" s="821"/>
      <c r="AD482" s="253"/>
      <c r="AE482" s="253"/>
    </row>
    <row r="483" spans="1:31" ht="14.5">
      <c r="A483" t="s">
        <v>2818</v>
      </c>
      <c r="B483" t="s">
        <v>3276</v>
      </c>
      <c r="C483">
        <v>18710</v>
      </c>
      <c r="D483" s="581"/>
      <c r="E483" s="581"/>
      <c r="F483" s="2">
        <f>(1/S483)*cnst_fish!$C$6</f>
        <v>2.28607696474704</v>
      </c>
      <c r="G483" s="2">
        <f t="shared" si="71"/>
        <v>1</v>
      </c>
      <c r="H483" s="2">
        <f t="shared" si="71"/>
        <v>0.36449057933102513</v>
      </c>
      <c r="I483" s="2">
        <f t="shared" si="65"/>
        <v>0</v>
      </c>
      <c r="J483" s="389">
        <f t="shared" si="66"/>
        <v>0</v>
      </c>
      <c r="L483" s="721"/>
      <c r="M483" s="581">
        <v>12478</v>
      </c>
      <c r="N483" s="585" t="s">
        <v>1738</v>
      </c>
      <c r="O483" s="586" t="s">
        <v>4685</v>
      </c>
      <c r="P483" s="233">
        <f t="shared" si="67"/>
        <v>0</v>
      </c>
      <c r="Q483" s="233">
        <f t="shared" si="68"/>
        <v>12478</v>
      </c>
      <c r="R483" s="2">
        <f t="shared" si="69"/>
        <v>2.12</v>
      </c>
      <c r="S483" s="2">
        <f>(1/9)*cnst_fish!$C$7*(1/cnst_fish!$C$8)^(R483-1)</f>
        <v>1.859080015912882</v>
      </c>
      <c r="T483" s="682">
        <f t="shared" si="70"/>
        <v>1989.4839583389928</v>
      </c>
      <c r="W483" s="818"/>
      <c r="X483" s="818"/>
      <c r="Y483" s="819"/>
      <c r="Z483" s="820"/>
      <c r="AA483" s="820"/>
      <c r="AB483" s="821"/>
      <c r="AC483" s="821"/>
      <c r="AD483" s="253"/>
      <c r="AE483" s="253"/>
    </row>
    <row r="484" spans="1:31" ht="14.5">
      <c r="A484" t="s">
        <v>8580</v>
      </c>
      <c r="B484" t="s">
        <v>8581</v>
      </c>
      <c r="C484">
        <v>3371</v>
      </c>
      <c r="D484" s="581"/>
      <c r="E484" s="581"/>
      <c r="F484" s="2">
        <f>(1/S484)*cnst_fish!$C$6</f>
        <v>3.0136363636363642E-2</v>
      </c>
      <c r="G484" s="2">
        <f t="shared" si="71"/>
        <v>1</v>
      </c>
      <c r="H484" s="2">
        <f t="shared" si="71"/>
        <v>0.36449057933102513</v>
      </c>
      <c r="I484" s="2">
        <f t="shared" si="65"/>
        <v>0</v>
      </c>
      <c r="J484" s="389">
        <f t="shared" si="66"/>
        <v>0</v>
      </c>
      <c r="L484" s="721">
        <v>167</v>
      </c>
      <c r="M484" s="581"/>
      <c r="N484" s="585" t="s">
        <v>1739</v>
      </c>
      <c r="O484" s="586" t="s">
        <v>4681</v>
      </c>
      <c r="P484" s="233">
        <f t="shared" si="67"/>
        <v>0</v>
      </c>
      <c r="Q484" s="233">
        <f t="shared" si="68"/>
        <v>167</v>
      </c>
      <c r="R484" s="2">
        <f t="shared" si="69"/>
        <v>4</v>
      </c>
      <c r="S484" s="2">
        <f>(1/9)*cnst_fish!$C$7*(1/cnst_fish!$C$8)^(R484-1)</f>
        <v>141.02564102564099</v>
      </c>
      <c r="T484" s="682">
        <f t="shared" si="70"/>
        <v>2019.8165738494513</v>
      </c>
      <c r="W484" s="818"/>
      <c r="X484" s="818"/>
      <c r="Y484" s="819"/>
      <c r="Z484" s="820"/>
      <c r="AA484" s="820"/>
      <c r="AB484" s="821"/>
      <c r="AC484" s="821"/>
      <c r="AD484" s="253"/>
      <c r="AE484" s="253"/>
    </row>
    <row r="485" spans="1:31" ht="14.5">
      <c r="A485" t="s">
        <v>4281</v>
      </c>
      <c r="B485" t="s">
        <v>8582</v>
      </c>
      <c r="C485">
        <v>16672</v>
      </c>
      <c r="D485" s="581"/>
      <c r="E485" s="581"/>
      <c r="F485" s="2">
        <f>(1/S485)*cnst_fish!$C$6</f>
        <v>30.136363636363644</v>
      </c>
      <c r="G485" s="2">
        <f t="shared" si="71"/>
        <v>1</v>
      </c>
      <c r="H485" s="2">
        <f t="shared" si="71"/>
        <v>0.36449057933102513</v>
      </c>
      <c r="I485" s="2">
        <f t="shared" si="65"/>
        <v>0</v>
      </c>
      <c r="J485" s="389">
        <f t="shared" si="66"/>
        <v>0</v>
      </c>
      <c r="L485" s="721"/>
      <c r="M485" s="581">
        <v>0</v>
      </c>
      <c r="N485" s="585" t="s">
        <v>1737</v>
      </c>
      <c r="O485" s="586" t="s">
        <v>4680</v>
      </c>
      <c r="P485" s="233">
        <f t="shared" si="67"/>
        <v>0</v>
      </c>
      <c r="Q485" s="233">
        <f t="shared" si="68"/>
        <v>0</v>
      </c>
      <c r="R485" s="2">
        <f t="shared" si="69"/>
        <v>1</v>
      </c>
      <c r="S485" s="2">
        <f>(1/9)*cnst_fish!$C$7*(1/cnst_fish!$C$8)^(R485-1)</f>
        <v>0.141025641025641</v>
      </c>
      <c r="T485" s="682">
        <f t="shared" si="70"/>
        <v>0</v>
      </c>
      <c r="W485" s="818"/>
      <c r="X485" s="818"/>
      <c r="Y485" s="819"/>
      <c r="Z485" s="820"/>
      <c r="AA485" s="820"/>
      <c r="AB485" s="821"/>
      <c r="AC485" s="821"/>
      <c r="AD485" s="253"/>
      <c r="AE485" s="253"/>
    </row>
    <row r="486" spans="1:31" ht="14.5">
      <c r="A486" t="s">
        <v>6770</v>
      </c>
      <c r="B486" t="s">
        <v>8583</v>
      </c>
      <c r="C486">
        <v>20261</v>
      </c>
      <c r="D486" s="581"/>
      <c r="E486" s="581"/>
      <c r="F486" s="2">
        <f>(1/S486)*cnst_fish!$C$6</f>
        <v>30.136363636363644</v>
      </c>
      <c r="G486" s="2">
        <f t="shared" si="71"/>
        <v>1</v>
      </c>
      <c r="H486" s="2">
        <f t="shared" si="71"/>
        <v>0.36449057933102513</v>
      </c>
      <c r="I486" s="2">
        <f t="shared" si="65"/>
        <v>0</v>
      </c>
      <c r="J486" s="389">
        <f t="shared" si="66"/>
        <v>0</v>
      </c>
      <c r="L486" s="721"/>
      <c r="M486" s="581"/>
      <c r="N486" s="585" t="s">
        <v>1740</v>
      </c>
      <c r="O486" s="586" t="s">
        <v>4671</v>
      </c>
      <c r="P486" s="233">
        <f t="shared" si="67"/>
        <v>0</v>
      </c>
      <c r="Q486" s="233">
        <f t="shared" si="68"/>
        <v>0</v>
      </c>
      <c r="R486" s="2">
        <f t="shared" si="69"/>
        <v>1</v>
      </c>
      <c r="S486" s="2">
        <f>(1/9)*cnst_fish!$C$7*(1/cnst_fish!$C$8)^(R486-1)</f>
        <v>0.141025641025641</v>
      </c>
      <c r="T486" s="682">
        <f t="shared" si="70"/>
        <v>0</v>
      </c>
      <c r="W486" s="818"/>
      <c r="X486" s="818"/>
      <c r="Y486" s="819"/>
      <c r="Z486" s="820"/>
      <c r="AA486" s="820"/>
      <c r="AB486" s="821"/>
      <c r="AC486" s="821"/>
      <c r="AD486" s="253"/>
      <c r="AE486" s="253"/>
    </row>
    <row r="487" spans="1:31" ht="14.5">
      <c r="A487" t="s">
        <v>1046</v>
      </c>
      <c r="B487" t="s">
        <v>3277</v>
      </c>
      <c r="C487">
        <v>2197</v>
      </c>
      <c r="D487" s="581"/>
      <c r="E487" s="581"/>
      <c r="F487" s="2">
        <f>(1/S487)*cnst_fish!$C$6</f>
        <v>0.13461419163458563</v>
      </c>
      <c r="G487" s="2">
        <f t="shared" si="71"/>
        <v>1</v>
      </c>
      <c r="H487" s="2">
        <f t="shared" si="71"/>
        <v>0.36449057933102513</v>
      </c>
      <c r="I487" s="2">
        <f t="shared" si="65"/>
        <v>0</v>
      </c>
      <c r="J487" s="389">
        <f t="shared" si="66"/>
        <v>0</v>
      </c>
      <c r="L487" s="721"/>
      <c r="M487" s="581">
        <v>34761</v>
      </c>
      <c r="N487" s="585" t="s">
        <v>1738</v>
      </c>
      <c r="O487" s="586" t="s">
        <v>4685</v>
      </c>
      <c r="P487" s="233">
        <f t="shared" si="67"/>
        <v>0</v>
      </c>
      <c r="Q487" s="233">
        <f t="shared" si="68"/>
        <v>34761</v>
      </c>
      <c r="R487" s="2">
        <f t="shared" si="69"/>
        <v>3.35</v>
      </c>
      <c r="S487" s="2">
        <f>(1/9)*cnst_fish!$C$7*(1/cnst_fish!$C$8)^(R487-1)</f>
        <v>31.571708364425319</v>
      </c>
      <c r="T487" s="682">
        <f t="shared" si="70"/>
        <v>94121.257753558588</v>
      </c>
      <c r="W487" s="818"/>
      <c r="X487" s="818"/>
      <c r="Y487" s="819"/>
      <c r="Z487" s="820"/>
      <c r="AA487" s="820"/>
      <c r="AB487" s="821"/>
      <c r="AC487" s="821"/>
      <c r="AD487" s="253"/>
      <c r="AE487" s="253"/>
    </row>
    <row r="488" spans="1:31" ht="14.5">
      <c r="A488" t="s">
        <v>3474</v>
      </c>
      <c r="B488" t="s">
        <v>2656</v>
      </c>
      <c r="C488">
        <v>2194</v>
      </c>
      <c r="D488" s="581"/>
      <c r="E488" s="581"/>
      <c r="F488" s="2">
        <f>(1/S488)*cnst_fish!$C$6</f>
        <v>0.11724405960509449</v>
      </c>
      <c r="G488" s="2">
        <f t="shared" ref="G488:H507" si="72">G$7</f>
        <v>1</v>
      </c>
      <c r="H488" s="2">
        <f t="shared" si="72"/>
        <v>0.36449057933102513</v>
      </c>
      <c r="I488" s="2">
        <f t="shared" si="65"/>
        <v>0</v>
      </c>
      <c r="J488" s="389">
        <f t="shared" si="66"/>
        <v>0</v>
      </c>
      <c r="L488" s="721"/>
      <c r="M488" s="581">
        <v>0</v>
      </c>
      <c r="N488" s="585" t="s">
        <v>1738</v>
      </c>
      <c r="O488" s="586" t="s">
        <v>4685</v>
      </c>
      <c r="P488" s="233">
        <f t="shared" si="67"/>
        <v>0</v>
      </c>
      <c r="Q488" s="233">
        <f t="shared" si="68"/>
        <v>0</v>
      </c>
      <c r="R488" s="2">
        <f t="shared" si="69"/>
        <v>3.41</v>
      </c>
      <c r="S488" s="2">
        <f>(1/9)*cnst_fish!$C$7*(1/cnst_fish!$C$8)^(R488-1)</f>
        <v>36.24917129545836</v>
      </c>
      <c r="T488" s="682">
        <f t="shared" si="70"/>
        <v>0</v>
      </c>
      <c r="W488" s="818"/>
      <c r="X488" s="818"/>
      <c r="Y488" s="819"/>
      <c r="Z488" s="820"/>
      <c r="AA488" s="820"/>
      <c r="AB488" s="821"/>
      <c r="AC488" s="821"/>
      <c r="AD488" s="253"/>
      <c r="AE488" s="253"/>
    </row>
    <row r="489" spans="1:31" ht="14.5">
      <c r="A489" t="s">
        <v>4201</v>
      </c>
      <c r="B489" t="s">
        <v>8584</v>
      </c>
      <c r="C489">
        <v>2195</v>
      </c>
      <c r="D489" s="581"/>
      <c r="E489" s="581"/>
      <c r="F489" s="2">
        <f>(1/S489)*cnst_fish!$C$6</f>
        <v>6.0129950673834844E-2</v>
      </c>
      <c r="G489" s="2">
        <f t="shared" si="72"/>
        <v>1</v>
      </c>
      <c r="H489" s="2">
        <f t="shared" si="72"/>
        <v>0.36449057933102513</v>
      </c>
      <c r="I489" s="2">
        <f t="shared" si="65"/>
        <v>0</v>
      </c>
      <c r="J489" s="389">
        <f t="shared" si="66"/>
        <v>0</v>
      </c>
      <c r="L489" s="721"/>
      <c r="M489" s="581"/>
      <c r="N489" s="585" t="s">
        <v>1738</v>
      </c>
      <c r="O489" s="586" t="s">
        <v>4685</v>
      </c>
      <c r="P489" s="233">
        <f t="shared" si="67"/>
        <v>0</v>
      </c>
      <c r="Q489" s="233">
        <f t="shared" si="68"/>
        <v>0</v>
      </c>
      <c r="R489" s="2">
        <f t="shared" si="69"/>
        <v>3.7</v>
      </c>
      <c r="S489" s="2">
        <f>(1/9)*cnst_fish!$C$7*(1/cnst_fish!$C$8)^(R489-1)</f>
        <v>70.680250896153822</v>
      </c>
      <c r="T489" s="682">
        <f t="shared" si="70"/>
        <v>0</v>
      </c>
      <c r="W489" s="818"/>
      <c r="X489" s="818"/>
      <c r="Y489" s="819"/>
      <c r="Z489" s="820"/>
      <c r="AA489" s="820"/>
      <c r="AB489" s="821"/>
      <c r="AC489" s="821"/>
      <c r="AD489" s="253"/>
      <c r="AE489" s="253"/>
    </row>
    <row r="490" spans="1:31" ht="14.5">
      <c r="A490" t="s">
        <v>1715</v>
      </c>
      <c r="B490" t="s">
        <v>2657</v>
      </c>
      <c r="C490">
        <v>2982</v>
      </c>
      <c r="D490" s="581"/>
      <c r="E490" s="581"/>
      <c r="F490" s="2">
        <f>(1/S490)*cnst_fish!$C$6</f>
        <v>0.2133491159303107</v>
      </c>
      <c r="G490" s="2">
        <f t="shared" si="72"/>
        <v>1</v>
      </c>
      <c r="H490" s="2">
        <f t="shared" si="72"/>
        <v>0.36449057933102513</v>
      </c>
      <c r="I490" s="2">
        <f t="shared" si="65"/>
        <v>0</v>
      </c>
      <c r="J490" s="389">
        <f t="shared" si="66"/>
        <v>0</v>
      </c>
      <c r="L490" s="721"/>
      <c r="M490" s="581">
        <v>78472</v>
      </c>
      <c r="N490" s="585" t="s">
        <v>1738</v>
      </c>
      <c r="O490" s="586" t="s">
        <v>4685</v>
      </c>
      <c r="P490" s="233">
        <f t="shared" si="67"/>
        <v>0</v>
      </c>
      <c r="Q490" s="233">
        <f t="shared" si="68"/>
        <v>78472</v>
      </c>
      <c r="R490" s="2">
        <f t="shared" si="69"/>
        <v>3.15</v>
      </c>
      <c r="S490" s="2">
        <f>(1/9)*cnst_fish!$C$7*(1/cnst_fish!$C$8)^(R490-1)</f>
        <v>19.920401270320887</v>
      </c>
      <c r="T490" s="682">
        <f t="shared" si="70"/>
        <v>134063.38534164344</v>
      </c>
      <c r="W490" s="818"/>
      <c r="X490" s="818"/>
      <c r="Y490" s="819"/>
      <c r="Z490" s="820"/>
      <c r="AA490" s="820"/>
      <c r="AB490" s="821"/>
      <c r="AC490" s="821"/>
      <c r="AD490" s="253"/>
      <c r="AE490" s="253"/>
    </row>
    <row r="491" spans="1:31" ht="14.5">
      <c r="A491" t="s">
        <v>6738</v>
      </c>
      <c r="B491" t="s">
        <v>8585</v>
      </c>
      <c r="C491">
        <v>2981</v>
      </c>
      <c r="D491" s="581"/>
      <c r="E491" s="581"/>
      <c r="F491" s="2">
        <f>(1/S491)*cnst_fish!$C$6</f>
        <v>0.2133491159303107</v>
      </c>
      <c r="G491" s="2">
        <f t="shared" si="72"/>
        <v>1</v>
      </c>
      <c r="H491" s="2">
        <f t="shared" si="72"/>
        <v>0.36449057933102513</v>
      </c>
      <c r="I491" s="2">
        <f t="shared" si="65"/>
        <v>0</v>
      </c>
      <c r="J491" s="389">
        <f t="shared" si="66"/>
        <v>0</v>
      </c>
      <c r="L491" s="721"/>
      <c r="M491" s="581"/>
      <c r="N491" s="585" t="s">
        <v>1738</v>
      </c>
      <c r="O491" s="586" t="s">
        <v>4685</v>
      </c>
      <c r="P491" s="233">
        <f t="shared" si="67"/>
        <v>0</v>
      </c>
      <c r="Q491" s="233">
        <f t="shared" si="68"/>
        <v>0</v>
      </c>
      <c r="R491" s="2">
        <f t="shared" si="69"/>
        <v>3.15</v>
      </c>
      <c r="S491" s="2">
        <f>(1/9)*cnst_fish!$C$7*(1/cnst_fish!$C$8)^(R491-1)</f>
        <v>19.920401270320887</v>
      </c>
      <c r="T491" s="682">
        <f t="shared" si="70"/>
        <v>0</v>
      </c>
      <c r="W491" s="818"/>
      <c r="X491" s="818"/>
      <c r="Y491" s="819"/>
      <c r="Z491" s="820"/>
      <c r="AA491" s="820"/>
      <c r="AB491" s="821"/>
      <c r="AC491" s="821"/>
      <c r="AD491" s="253"/>
      <c r="AE491" s="253"/>
    </row>
    <row r="492" spans="1:31" ht="14.5">
      <c r="A492" t="s">
        <v>4427</v>
      </c>
      <c r="B492" t="s">
        <v>3084</v>
      </c>
      <c r="C492">
        <v>2980</v>
      </c>
      <c r="D492" s="581"/>
      <c r="E492" s="581"/>
      <c r="F492" s="2">
        <f>(1/S492)*cnst_fish!$C$6</f>
        <v>9.1010363210297068E-2</v>
      </c>
      <c r="G492" s="2">
        <f t="shared" si="72"/>
        <v>1</v>
      </c>
      <c r="H492" s="2">
        <f t="shared" si="72"/>
        <v>0.36449057933102513</v>
      </c>
      <c r="I492" s="2">
        <f t="shared" si="65"/>
        <v>0</v>
      </c>
      <c r="J492" s="389">
        <f t="shared" si="66"/>
        <v>0</v>
      </c>
      <c r="L492" s="721"/>
      <c r="M492" s="581">
        <v>84397.33</v>
      </c>
      <c r="N492" s="585" t="s">
        <v>1738</v>
      </c>
      <c r="O492" s="586" t="s">
        <v>4685</v>
      </c>
      <c r="P492" s="233">
        <f t="shared" si="67"/>
        <v>0</v>
      </c>
      <c r="Q492" s="233">
        <f t="shared" si="68"/>
        <v>84397.33</v>
      </c>
      <c r="R492" s="2">
        <f t="shared" si="69"/>
        <v>3.52</v>
      </c>
      <c r="S492" s="2">
        <f>(1/9)*cnst_fish!$C$7*(1/cnst_fish!$C$8)^(R492-1)</f>
        <v>46.69797867062185</v>
      </c>
      <c r="T492" s="682">
        <f t="shared" si="70"/>
        <v>338005.81187232578</v>
      </c>
      <c r="W492" s="818"/>
      <c r="X492" s="818"/>
      <c r="Y492" s="819"/>
      <c r="Z492" s="820"/>
      <c r="AA492" s="820"/>
      <c r="AB492" s="821"/>
      <c r="AC492" s="821"/>
      <c r="AD492" s="253"/>
      <c r="AE492" s="253"/>
    </row>
    <row r="493" spans="1:31" ht="14.5">
      <c r="A493" t="s">
        <v>6347</v>
      </c>
      <c r="B493" t="s">
        <v>6346</v>
      </c>
      <c r="C493">
        <v>11464</v>
      </c>
      <c r="D493" s="581"/>
      <c r="E493" s="581"/>
      <c r="F493" s="2">
        <f>(1/S493)*cnst_fish!$C$6</f>
        <v>0.15103960722494611</v>
      </c>
      <c r="G493" s="2">
        <f t="shared" si="72"/>
        <v>1</v>
      </c>
      <c r="H493" s="2">
        <f t="shared" si="72"/>
        <v>0.36449057933102513</v>
      </c>
      <c r="I493" s="2">
        <f t="shared" si="65"/>
        <v>0</v>
      </c>
      <c r="J493" s="389">
        <f t="shared" si="66"/>
        <v>0</v>
      </c>
      <c r="L493" s="721">
        <v>0</v>
      </c>
      <c r="M493" s="581"/>
      <c r="N493" s="585" t="s">
        <v>1738</v>
      </c>
      <c r="O493" s="586" t="s">
        <v>4681</v>
      </c>
      <c r="P493" s="233">
        <f t="shared" si="67"/>
        <v>0</v>
      </c>
      <c r="Q493" s="233">
        <f t="shared" si="68"/>
        <v>0</v>
      </c>
      <c r="R493" s="2">
        <f t="shared" si="69"/>
        <v>3.3</v>
      </c>
      <c r="S493" s="2">
        <f>(1/9)*cnst_fish!$C$7*(1/cnst_fish!$C$8)^(R493-1)</f>
        <v>28.138314698279075</v>
      </c>
      <c r="T493" s="682">
        <f t="shared" si="70"/>
        <v>0</v>
      </c>
      <c r="W493" s="818"/>
      <c r="X493" s="818"/>
      <c r="Y493" s="819"/>
      <c r="Z493" s="820"/>
      <c r="AA493" s="820"/>
      <c r="AB493" s="821"/>
      <c r="AC493" s="821"/>
      <c r="AD493" s="253"/>
      <c r="AE493" s="253"/>
    </row>
    <row r="494" spans="1:31" ht="14.5">
      <c r="A494" t="s">
        <v>1610</v>
      </c>
      <c r="B494" t="s">
        <v>4540</v>
      </c>
      <c r="C494">
        <v>17157</v>
      </c>
      <c r="D494" s="581"/>
      <c r="E494" s="581"/>
      <c r="F494" s="2">
        <f>(1/S494)*cnst_fish!$C$6</f>
        <v>2.6141530827766903</v>
      </c>
      <c r="G494" s="2">
        <f t="shared" si="72"/>
        <v>1</v>
      </c>
      <c r="H494" s="2">
        <f t="shared" si="72"/>
        <v>0.36449057933102513</v>
      </c>
      <c r="I494" s="2">
        <f t="shared" si="65"/>
        <v>0</v>
      </c>
      <c r="J494" s="389">
        <f t="shared" si="66"/>
        <v>0</v>
      </c>
      <c r="L494" s="721">
        <v>216</v>
      </c>
      <c r="M494" s="581"/>
      <c r="N494" s="585" t="s">
        <v>5194</v>
      </c>
      <c r="O494" s="586" t="s">
        <v>4685</v>
      </c>
      <c r="P494" s="233">
        <f t="shared" si="67"/>
        <v>0</v>
      </c>
      <c r="Q494" s="233">
        <f t="shared" si="68"/>
        <v>216</v>
      </c>
      <c r="R494" s="2">
        <f t="shared" si="69"/>
        <v>2.0617598316454031</v>
      </c>
      <c r="S494" s="2">
        <f>(1/9)*cnst_fish!$C$7*(1/cnst_fish!$C$8)^(R494-1)</f>
        <v>1.6257655406644176</v>
      </c>
      <c r="T494" s="682">
        <f t="shared" si="70"/>
        <v>30.116815137649233</v>
      </c>
      <c r="W494" s="818"/>
      <c r="X494" s="818"/>
      <c r="Y494" s="819"/>
      <c r="Z494" s="820"/>
      <c r="AA494" s="820"/>
      <c r="AB494" s="821"/>
      <c r="AC494" s="821"/>
      <c r="AD494" s="253"/>
      <c r="AE494" s="253"/>
    </row>
    <row r="495" spans="1:31" ht="14.5">
      <c r="A495" t="s">
        <v>2862</v>
      </c>
      <c r="B495" t="s">
        <v>5208</v>
      </c>
      <c r="C495">
        <v>2909</v>
      </c>
      <c r="D495" s="581"/>
      <c r="E495" s="581"/>
      <c r="F495" s="2">
        <f>(1/S495)*cnst_fish!$C$6</f>
        <v>0.14760152601876345</v>
      </c>
      <c r="G495" s="2">
        <f t="shared" si="72"/>
        <v>1</v>
      </c>
      <c r="H495" s="2">
        <f t="shared" si="72"/>
        <v>0.36449057933102513</v>
      </c>
      <c r="I495" s="2">
        <f t="shared" si="65"/>
        <v>0</v>
      </c>
      <c r="J495" s="389">
        <f t="shared" si="66"/>
        <v>0</v>
      </c>
      <c r="L495" s="721">
        <v>12716</v>
      </c>
      <c r="M495" s="581"/>
      <c r="N495" s="585" t="s">
        <v>1738</v>
      </c>
      <c r="O495" s="586" t="s">
        <v>4685</v>
      </c>
      <c r="P495" s="233">
        <f t="shared" si="67"/>
        <v>0</v>
      </c>
      <c r="Q495" s="233">
        <f t="shared" si="68"/>
        <v>12716</v>
      </c>
      <c r="R495" s="2">
        <f t="shared" si="69"/>
        <v>3.31</v>
      </c>
      <c r="S495" s="2">
        <f>(1/9)*cnst_fish!$C$7*(1/cnst_fish!$C$8)^(R495-1)</f>
        <v>28.793740245339542</v>
      </c>
      <c r="T495" s="682">
        <f t="shared" si="70"/>
        <v>31401.180812887542</v>
      </c>
      <c r="W495" s="818"/>
      <c r="X495" s="818"/>
      <c r="Y495" s="819"/>
      <c r="Z495" s="820"/>
      <c r="AA495" s="820"/>
      <c r="AB495" s="821"/>
      <c r="AC495" s="821"/>
      <c r="AD495" s="253"/>
      <c r="AE495" s="253"/>
    </row>
    <row r="496" spans="1:31" ht="14.5">
      <c r="A496" t="s">
        <v>4623</v>
      </c>
      <c r="B496" t="s">
        <v>983</v>
      </c>
      <c r="C496">
        <v>2886</v>
      </c>
      <c r="D496" s="581">
        <v>99017</v>
      </c>
      <c r="E496" s="581"/>
      <c r="F496" s="2">
        <f>(1/S496)*cnst_fish!$C$6</f>
        <v>0.17745606522761614</v>
      </c>
      <c r="G496" s="2">
        <f t="shared" si="72"/>
        <v>1</v>
      </c>
      <c r="H496" s="2">
        <f t="shared" si="72"/>
        <v>0.36449057933102513</v>
      </c>
      <c r="I496" s="2">
        <f t="shared" si="65"/>
        <v>203378.58639730269</v>
      </c>
      <c r="J496" s="389">
        <f t="shared" si="66"/>
        <v>0</v>
      </c>
      <c r="L496" s="721">
        <v>1822522.3</v>
      </c>
      <c r="M496" s="581"/>
      <c r="N496" s="585" t="s">
        <v>3789</v>
      </c>
      <c r="O496" s="586" t="s">
        <v>4699</v>
      </c>
      <c r="P496" s="233">
        <f t="shared" si="67"/>
        <v>99017</v>
      </c>
      <c r="Q496" s="233">
        <f t="shared" si="68"/>
        <v>1822522.3</v>
      </c>
      <c r="R496" s="2">
        <f t="shared" si="69"/>
        <v>3.23</v>
      </c>
      <c r="S496" s="2">
        <f>(1/9)*cnst_fish!$C$7*(1/cnst_fish!$C$8)^(R496-1)</f>
        <v>23.94958997061434</v>
      </c>
      <c r="T496" s="682">
        <f t="shared" si="70"/>
        <v>3743417.8883581697</v>
      </c>
      <c r="W496" s="818"/>
      <c r="X496" s="818"/>
      <c r="Y496" s="819"/>
      <c r="Z496" s="820"/>
      <c r="AA496" s="820"/>
      <c r="AB496" s="821"/>
      <c r="AC496" s="821"/>
      <c r="AD496" s="253"/>
      <c r="AE496" s="253"/>
    </row>
    <row r="497" spans="1:31" ht="14.5">
      <c r="A497" t="s">
        <v>1621</v>
      </c>
      <c r="B497" t="s">
        <v>984</v>
      </c>
      <c r="C497">
        <v>2078</v>
      </c>
      <c r="D497" s="581">
        <v>16427</v>
      </c>
      <c r="E497" s="581"/>
      <c r="F497" s="2">
        <f>(1/S497)*cnst_fish!$C$6</f>
        <v>0.2133491159303107</v>
      </c>
      <c r="G497" s="2">
        <f t="shared" si="72"/>
        <v>1</v>
      </c>
      <c r="H497" s="2">
        <f t="shared" si="72"/>
        <v>0.36449057933102513</v>
      </c>
      <c r="I497" s="2">
        <f t="shared" si="65"/>
        <v>28064.267904566939</v>
      </c>
      <c r="J497" s="389">
        <f t="shared" si="66"/>
        <v>0</v>
      </c>
      <c r="L497" s="721">
        <v>455253</v>
      </c>
      <c r="M497" s="581">
        <v>3070</v>
      </c>
      <c r="N497" s="585" t="s">
        <v>3789</v>
      </c>
      <c r="O497" s="586" t="s">
        <v>4699</v>
      </c>
      <c r="P497" s="233">
        <f t="shared" si="67"/>
        <v>16427</v>
      </c>
      <c r="Q497" s="233">
        <f t="shared" si="68"/>
        <v>458323</v>
      </c>
      <c r="R497" s="2">
        <f t="shared" si="69"/>
        <v>3.15</v>
      </c>
      <c r="S497" s="2">
        <f>(1/9)*cnst_fish!$C$7*(1/cnst_fish!$C$8)^(R497-1)</f>
        <v>19.920401270320887</v>
      </c>
      <c r="T497" s="682">
        <f t="shared" si="70"/>
        <v>783009.64624245651</v>
      </c>
      <c r="W497" s="818"/>
      <c r="X497" s="818"/>
      <c r="Y497" s="819"/>
      <c r="Z497" s="820"/>
      <c r="AA497" s="820"/>
      <c r="AB497" s="821"/>
      <c r="AC497" s="821"/>
      <c r="AD497" s="253"/>
      <c r="AE497" s="253"/>
    </row>
    <row r="498" spans="1:31" ht="14.5">
      <c r="A498" t="s">
        <v>8861</v>
      </c>
      <c r="B498" t="s">
        <v>8862</v>
      </c>
      <c r="C498">
        <v>2885</v>
      </c>
      <c r="D498" s="581"/>
      <c r="E498" s="581"/>
      <c r="F498" s="2">
        <f>(1/S498)*cnst_fish!$C$6</f>
        <v>0.2878000384237327</v>
      </c>
      <c r="G498" s="2">
        <f t="shared" si="72"/>
        <v>1</v>
      </c>
      <c r="H498" s="2">
        <f t="shared" si="72"/>
        <v>0.36449057933102513</v>
      </c>
      <c r="I498" s="2">
        <f t="shared" si="65"/>
        <v>0</v>
      </c>
      <c r="J498" s="389">
        <f t="shared" si="66"/>
        <v>0</v>
      </c>
      <c r="L498" s="721">
        <v>0</v>
      </c>
      <c r="M498" s="581"/>
      <c r="N498" s="585" t="s">
        <v>3789</v>
      </c>
      <c r="O498" s="586" t="s">
        <v>4699</v>
      </c>
      <c r="P498" s="233">
        <f t="shared" si="67"/>
        <v>0</v>
      </c>
      <c r="Q498" s="233">
        <f t="shared" si="68"/>
        <v>0</v>
      </c>
      <c r="R498" s="2">
        <f t="shared" si="69"/>
        <v>3.02</v>
      </c>
      <c r="S498" s="2">
        <f>(1/9)*cnst_fish!$C$7*(1/cnst_fish!$C$8)^(R498-1)</f>
        <v>14.767197472512686</v>
      </c>
      <c r="T498" s="682">
        <f t="shared" si="70"/>
        <v>0</v>
      </c>
      <c r="W498" s="818"/>
      <c r="X498" s="818"/>
      <c r="Y498" s="819"/>
      <c r="Z498" s="820"/>
      <c r="AA498" s="820"/>
      <c r="AB498" s="821"/>
      <c r="AC498" s="821"/>
      <c r="AD498" s="253"/>
      <c r="AE498" s="253"/>
    </row>
    <row r="499" spans="1:31" ht="14.5">
      <c r="A499" t="s">
        <v>3120</v>
      </c>
      <c r="B499" t="s">
        <v>3130</v>
      </c>
      <c r="C499">
        <v>2073</v>
      </c>
      <c r="D499" s="581"/>
      <c r="E499" s="581"/>
      <c r="F499" s="2">
        <f>(1/S499)*cnst_fish!$C$6</f>
        <v>0.18581931192461937</v>
      </c>
      <c r="G499" s="2">
        <f t="shared" si="72"/>
        <v>1</v>
      </c>
      <c r="H499" s="2">
        <f t="shared" si="72"/>
        <v>0.36449057933102513</v>
      </c>
      <c r="I499" s="2">
        <f t="shared" si="65"/>
        <v>0</v>
      </c>
      <c r="J499" s="389">
        <f t="shared" si="66"/>
        <v>0</v>
      </c>
      <c r="L499" s="721">
        <v>548146</v>
      </c>
      <c r="M499" s="581"/>
      <c r="N499" s="585" t="s">
        <v>1738</v>
      </c>
      <c r="O499" s="586" t="s">
        <v>4685</v>
      </c>
      <c r="P499" s="233">
        <f t="shared" si="67"/>
        <v>0</v>
      </c>
      <c r="Q499" s="233">
        <f t="shared" si="68"/>
        <v>548146</v>
      </c>
      <c r="R499" s="2">
        <f t="shared" si="69"/>
        <v>3.21</v>
      </c>
      <c r="S499" s="2">
        <f>(1/9)*cnst_fish!$C$7*(1/cnst_fish!$C$8)^(R499-1)</f>
        <v>22.87168086019004</v>
      </c>
      <c r="T499" s="682">
        <f t="shared" si="70"/>
        <v>1075206.0753461071</v>
      </c>
      <c r="W499" s="818"/>
      <c r="X499" s="818"/>
      <c r="Y499" s="819"/>
      <c r="Z499" s="820"/>
      <c r="AA499" s="820"/>
      <c r="AB499" s="821"/>
      <c r="AC499" s="821"/>
      <c r="AD499" s="253"/>
      <c r="AE499" s="253"/>
    </row>
    <row r="500" spans="1:31" ht="14.5">
      <c r="A500" t="s">
        <v>5478</v>
      </c>
      <c r="B500" t="s">
        <v>3130</v>
      </c>
      <c r="C500">
        <v>2881</v>
      </c>
      <c r="D500" s="581"/>
      <c r="E500" s="581"/>
      <c r="F500" s="2">
        <f>(1/S500)*cnst_fish!$C$6</f>
        <v>0.18581931192461937</v>
      </c>
      <c r="G500" s="2">
        <f t="shared" si="72"/>
        <v>1</v>
      </c>
      <c r="H500" s="2">
        <f t="shared" si="72"/>
        <v>0.36449057933102513</v>
      </c>
      <c r="I500" s="2">
        <f t="shared" si="65"/>
        <v>0</v>
      </c>
      <c r="J500" s="389">
        <f t="shared" si="66"/>
        <v>0</v>
      </c>
      <c r="L500" s="721">
        <v>1966</v>
      </c>
      <c r="M500" s="581">
        <v>6063.27</v>
      </c>
      <c r="N500" s="585" t="s">
        <v>1738</v>
      </c>
      <c r="O500" s="586" t="s">
        <v>4685</v>
      </c>
      <c r="P500" s="233">
        <f t="shared" si="67"/>
        <v>0</v>
      </c>
      <c r="Q500" s="233">
        <f t="shared" si="68"/>
        <v>8029.27</v>
      </c>
      <c r="R500" s="2">
        <f t="shared" si="69"/>
        <v>3.21</v>
      </c>
      <c r="S500" s="2">
        <f>(1/9)*cnst_fish!$C$7*(1/cnst_fish!$C$8)^(R500-1)</f>
        <v>22.87168086019004</v>
      </c>
      <c r="T500" s="682">
        <f t="shared" si="70"/>
        <v>15749.672321962104</v>
      </c>
      <c r="W500" s="818"/>
      <c r="X500" s="818"/>
      <c r="Y500" s="819"/>
      <c r="Z500" s="820"/>
      <c r="AA500" s="820"/>
      <c r="AB500" s="821"/>
      <c r="AC500" s="821"/>
      <c r="AD500" s="253"/>
      <c r="AE500" s="253"/>
    </row>
    <row r="501" spans="1:31" ht="14.5">
      <c r="A501" t="s">
        <v>220</v>
      </c>
      <c r="B501" t="s">
        <v>3952</v>
      </c>
      <c r="C501">
        <v>2101</v>
      </c>
      <c r="D501" s="581"/>
      <c r="E501" s="581"/>
      <c r="F501" s="2">
        <f>(1/S501)*cnst_fish!$C$6</f>
        <v>0.30136363636363639</v>
      </c>
      <c r="G501" s="2">
        <f t="shared" si="72"/>
        <v>1</v>
      </c>
      <c r="H501" s="2">
        <f t="shared" si="72"/>
        <v>0.36449057933102513</v>
      </c>
      <c r="I501" s="2">
        <f t="shared" si="65"/>
        <v>0</v>
      </c>
      <c r="J501" s="389">
        <f t="shared" si="66"/>
        <v>0</v>
      </c>
      <c r="L501" s="721">
        <v>12620.04</v>
      </c>
      <c r="M501" s="581">
        <v>46035</v>
      </c>
      <c r="N501" s="585" t="s">
        <v>1738</v>
      </c>
      <c r="O501" s="586" t="s">
        <v>4685</v>
      </c>
      <c r="P501" s="233">
        <f t="shared" si="67"/>
        <v>0</v>
      </c>
      <c r="Q501" s="233">
        <f t="shared" si="68"/>
        <v>58655.040000000001</v>
      </c>
      <c r="R501" s="2">
        <f t="shared" si="69"/>
        <v>3</v>
      </c>
      <c r="S501" s="2">
        <f>(1/9)*cnst_fish!$C$7*(1/cnst_fish!$C$8)^(R501-1)</f>
        <v>14.1025641025641</v>
      </c>
      <c r="T501" s="682">
        <f t="shared" si="70"/>
        <v>70941.570019043429</v>
      </c>
      <c r="W501" s="818"/>
      <c r="X501" s="818"/>
      <c r="Y501" s="819"/>
      <c r="Z501" s="820"/>
      <c r="AA501" s="820"/>
      <c r="AB501" s="821"/>
      <c r="AC501" s="821"/>
      <c r="AD501" s="253"/>
      <c r="AE501" s="253"/>
    </row>
    <row r="502" spans="1:31" ht="14.5">
      <c r="A502" t="s">
        <v>3212</v>
      </c>
      <c r="B502" t="s">
        <v>2028</v>
      </c>
      <c r="C502">
        <v>18863</v>
      </c>
      <c r="D502" s="581"/>
      <c r="E502" s="581"/>
      <c r="F502" s="2">
        <f>(1/S502)*cnst_fish!$C$6</f>
        <v>1.5107419935611153</v>
      </c>
      <c r="G502" s="2">
        <f t="shared" si="72"/>
        <v>1</v>
      </c>
      <c r="H502" s="2">
        <f t="shared" si="72"/>
        <v>0.36449057933102513</v>
      </c>
      <c r="I502" s="2">
        <f t="shared" si="65"/>
        <v>0</v>
      </c>
      <c r="J502" s="389">
        <f t="shared" si="66"/>
        <v>0</v>
      </c>
      <c r="L502" s="721">
        <v>4.88</v>
      </c>
      <c r="M502" s="581"/>
      <c r="N502" s="585" t="s">
        <v>1738</v>
      </c>
      <c r="O502" s="586"/>
      <c r="P502" s="233">
        <f t="shared" si="67"/>
        <v>0</v>
      </c>
      <c r="Q502" s="233">
        <f t="shared" si="68"/>
        <v>4.88</v>
      </c>
      <c r="R502" s="2">
        <f t="shared" si="69"/>
        <v>2.299900546274809</v>
      </c>
      <c r="S502" s="2">
        <f>(1/9)*cnst_fish!$C$7*(1/cnst_fish!$C$8)^(R502-1)</f>
        <v>2.8131871743247938</v>
      </c>
      <c r="T502" s="682">
        <f t="shared" si="70"/>
        <v>1.1773777618656278</v>
      </c>
      <c r="W502" s="818"/>
      <c r="X502" s="818"/>
      <c r="Y502" s="819"/>
      <c r="Z502" s="820"/>
      <c r="AA502" s="820"/>
      <c r="AB502" s="821"/>
      <c r="AC502" s="821"/>
      <c r="AD502" s="253"/>
      <c r="AE502" s="253"/>
    </row>
    <row r="503" spans="1:31" ht="14.5">
      <c r="A503" t="s">
        <v>448</v>
      </c>
      <c r="B503" t="s">
        <v>6388</v>
      </c>
      <c r="C503">
        <v>18489</v>
      </c>
      <c r="D503" s="581"/>
      <c r="E503" s="581"/>
      <c r="F503" s="2">
        <f>(1/S503)*cnst_fish!$C$6</f>
        <v>3.0136363636363641</v>
      </c>
      <c r="G503" s="2">
        <f t="shared" si="72"/>
        <v>1</v>
      </c>
      <c r="H503" s="2">
        <f t="shared" si="72"/>
        <v>0.36449057933102513</v>
      </c>
      <c r="I503" s="2">
        <f t="shared" si="65"/>
        <v>0</v>
      </c>
      <c r="J503" s="389">
        <f t="shared" si="66"/>
        <v>0</v>
      </c>
      <c r="L503" s="721">
        <v>220</v>
      </c>
      <c r="M503" s="581"/>
      <c r="N503" s="585" t="s">
        <v>1740</v>
      </c>
      <c r="O503" s="586" t="s">
        <v>4671</v>
      </c>
      <c r="P503" s="233">
        <f t="shared" si="67"/>
        <v>0</v>
      </c>
      <c r="Q503" s="233">
        <f t="shared" si="68"/>
        <v>220</v>
      </c>
      <c r="R503" s="2">
        <f t="shared" si="69"/>
        <v>2</v>
      </c>
      <c r="S503" s="2">
        <f>(1/9)*cnst_fish!$C$7*(1/cnst_fish!$C$8)^(R503-1)</f>
        <v>1.4102564102564099</v>
      </c>
      <c r="T503" s="682">
        <f t="shared" si="70"/>
        <v>26.608362050711332</v>
      </c>
      <c r="W503" s="818"/>
      <c r="X503" s="818"/>
      <c r="Y503" s="819"/>
      <c r="Z503" s="820"/>
      <c r="AA503" s="820"/>
      <c r="AB503" s="821"/>
      <c r="AC503" s="821"/>
      <c r="AD503" s="253"/>
      <c r="AE503" s="253"/>
    </row>
    <row r="504" spans="1:31" ht="14.5">
      <c r="A504" t="s">
        <v>6318</v>
      </c>
      <c r="B504" t="s">
        <v>6317</v>
      </c>
      <c r="C504">
        <v>11014</v>
      </c>
      <c r="D504" s="581"/>
      <c r="E504" s="581"/>
      <c r="F504" s="2">
        <f>(1/S504)*cnst_fish!$C$6</f>
        <v>0.11997502458044032</v>
      </c>
      <c r="G504" s="2">
        <f t="shared" si="72"/>
        <v>1</v>
      </c>
      <c r="H504" s="2">
        <f t="shared" si="72"/>
        <v>0.36449057933102513</v>
      </c>
      <c r="I504" s="2">
        <f t="shared" si="65"/>
        <v>0</v>
      </c>
      <c r="J504" s="389">
        <f t="shared" si="66"/>
        <v>0</v>
      </c>
      <c r="L504" s="721">
        <v>24</v>
      </c>
      <c r="M504" s="581"/>
      <c r="N504" s="585" t="s">
        <v>1738</v>
      </c>
      <c r="O504" s="586" t="s">
        <v>4681</v>
      </c>
      <c r="P504" s="233">
        <f t="shared" si="67"/>
        <v>0</v>
      </c>
      <c r="Q504" s="233">
        <f t="shared" si="68"/>
        <v>24</v>
      </c>
      <c r="R504" s="2">
        <f t="shared" si="69"/>
        <v>3.4</v>
      </c>
      <c r="S504" s="2">
        <f>(1/9)*cnst_fish!$C$7*(1/cnst_fish!$C$8)^(R504-1)</f>
        <v>35.424039418724846</v>
      </c>
      <c r="T504" s="682">
        <f t="shared" si="70"/>
        <v>72.913291199864972</v>
      </c>
      <c r="W504" s="818"/>
      <c r="X504" s="818"/>
      <c r="Y504" s="819"/>
      <c r="Z504" s="820"/>
      <c r="AA504" s="820"/>
      <c r="AB504" s="821"/>
      <c r="AC504" s="821"/>
      <c r="AD504" s="253"/>
      <c r="AE504" s="253"/>
    </row>
    <row r="505" spans="1:31" ht="14.5">
      <c r="A505" t="s">
        <v>158</v>
      </c>
      <c r="B505" t="s">
        <v>1464</v>
      </c>
      <c r="C505">
        <v>3001</v>
      </c>
      <c r="D505" s="581"/>
      <c r="E505" s="581"/>
      <c r="F505" s="2">
        <f>(1/S505)*cnst_fish!$C$6</f>
        <v>5.8761225892708345E-2</v>
      </c>
      <c r="G505" s="2">
        <f t="shared" si="72"/>
        <v>1</v>
      </c>
      <c r="H505" s="2">
        <f t="shared" si="72"/>
        <v>0.36449057933102513</v>
      </c>
      <c r="I505" s="2">
        <f t="shared" si="65"/>
        <v>0</v>
      </c>
      <c r="J505" s="389">
        <f t="shared" si="66"/>
        <v>0</v>
      </c>
      <c r="L505" s="721">
        <v>376156</v>
      </c>
      <c r="M505" s="581"/>
      <c r="N505" s="585" t="s">
        <v>1738</v>
      </c>
      <c r="O505" s="586" t="s">
        <v>4699</v>
      </c>
      <c r="P505" s="233">
        <f t="shared" si="67"/>
        <v>0</v>
      </c>
      <c r="Q505" s="233">
        <f t="shared" si="68"/>
        <v>376156</v>
      </c>
      <c r="R505" s="2">
        <f t="shared" si="69"/>
        <v>3.71</v>
      </c>
      <c r="S505" s="2">
        <f>(1/9)*cnst_fish!$C$7*(1/cnst_fish!$C$8)^(R505-1)</f>
        <v>72.326605434679692</v>
      </c>
      <c r="T505" s="682">
        <f t="shared" si="70"/>
        <v>2333261.7091614222</v>
      </c>
      <c r="W505" s="818"/>
      <c r="X505" s="818"/>
      <c r="Y505" s="819"/>
      <c r="Z505" s="820"/>
      <c r="AA505" s="820"/>
      <c r="AB505" s="821"/>
      <c r="AC505" s="821"/>
      <c r="AD505" s="253"/>
      <c r="AE505" s="253"/>
    </row>
    <row r="506" spans="1:31" ht="14.5">
      <c r="A506" t="s">
        <v>6795</v>
      </c>
      <c r="B506" t="s">
        <v>8586</v>
      </c>
      <c r="C506">
        <v>6823</v>
      </c>
      <c r="D506" s="581"/>
      <c r="E506" s="581"/>
      <c r="F506" s="2">
        <f>(1/S506)*cnst_fish!$C$6</f>
        <v>1.6946922663690973</v>
      </c>
      <c r="G506" s="2">
        <f t="shared" si="72"/>
        <v>1</v>
      </c>
      <c r="H506" s="2">
        <f t="shared" si="72"/>
        <v>0.36449057933102513</v>
      </c>
      <c r="I506" s="2">
        <f t="shared" si="65"/>
        <v>0</v>
      </c>
      <c r="J506" s="389">
        <f t="shared" si="66"/>
        <v>0</v>
      </c>
      <c r="L506" s="721"/>
      <c r="M506" s="581"/>
      <c r="N506" s="585" t="s">
        <v>1738</v>
      </c>
      <c r="O506" s="586" t="s">
        <v>4685</v>
      </c>
      <c r="P506" s="233">
        <f t="shared" si="67"/>
        <v>0</v>
      </c>
      <c r="Q506" s="233">
        <f t="shared" si="68"/>
        <v>0</v>
      </c>
      <c r="R506" s="2">
        <f t="shared" si="69"/>
        <v>2.25</v>
      </c>
      <c r="S506" s="2">
        <f>(1/9)*cnst_fish!$C$7*(1/cnst_fish!$C$8)^(R506-1)</f>
        <v>2.5078299372343786</v>
      </c>
      <c r="T506" s="682">
        <f t="shared" si="70"/>
        <v>0</v>
      </c>
      <c r="W506" s="818"/>
      <c r="X506" s="818"/>
      <c r="Y506" s="819"/>
      <c r="Z506" s="820"/>
      <c r="AA506" s="820"/>
      <c r="AB506" s="821"/>
      <c r="AC506" s="821"/>
      <c r="AD506" s="253"/>
      <c r="AE506" s="253"/>
    </row>
    <row r="507" spans="1:31" ht="14.5">
      <c r="A507" t="s">
        <v>2262</v>
      </c>
      <c r="B507" t="s">
        <v>3085</v>
      </c>
      <c r="C507">
        <v>2149</v>
      </c>
      <c r="D507" s="581"/>
      <c r="E507" s="581"/>
      <c r="F507" s="2">
        <f>(1/S507)*cnst_fish!$C$6</f>
        <v>2.878000384237327</v>
      </c>
      <c r="G507" s="2">
        <f t="shared" si="72"/>
        <v>1</v>
      </c>
      <c r="H507" s="2">
        <f t="shared" si="72"/>
        <v>0.36449057933102513</v>
      </c>
      <c r="I507" s="2">
        <f t="shared" si="65"/>
        <v>0</v>
      </c>
      <c r="J507" s="389">
        <f t="shared" si="66"/>
        <v>0</v>
      </c>
      <c r="L507" s="721"/>
      <c r="M507" s="581">
        <v>4111</v>
      </c>
      <c r="N507" s="585" t="s">
        <v>1738</v>
      </c>
      <c r="O507" s="586" t="s">
        <v>4685</v>
      </c>
      <c r="P507" s="233">
        <f t="shared" si="67"/>
        <v>0</v>
      </c>
      <c r="Q507" s="233">
        <f t="shared" si="68"/>
        <v>4111</v>
      </c>
      <c r="R507" s="2">
        <f t="shared" si="69"/>
        <v>2.02</v>
      </c>
      <c r="S507" s="2">
        <f>(1/9)*cnst_fish!$C$7*(1/cnst_fish!$C$8)^(R507-1)</f>
        <v>1.476719747251269</v>
      </c>
      <c r="T507" s="682">
        <f t="shared" si="70"/>
        <v>520.64648074288823</v>
      </c>
      <c r="W507" s="818"/>
      <c r="X507" s="818"/>
      <c r="Y507" s="819"/>
      <c r="Z507" s="820"/>
      <c r="AA507" s="820"/>
      <c r="AB507" s="821"/>
      <c r="AC507" s="821"/>
      <c r="AD507" s="253"/>
      <c r="AE507" s="253"/>
    </row>
    <row r="508" spans="1:31" ht="14.5">
      <c r="A508" t="s">
        <v>5072</v>
      </c>
      <c r="B508" t="s">
        <v>4333</v>
      </c>
      <c r="C508">
        <v>3497</v>
      </c>
      <c r="D508" s="581"/>
      <c r="E508" s="581"/>
      <c r="F508" s="2">
        <f>(1/S508)*cnst_fish!$C$6</f>
        <v>2.3938164528281742</v>
      </c>
      <c r="G508" s="2">
        <f t="shared" ref="G508:H527" si="73">G$7</f>
        <v>1</v>
      </c>
      <c r="H508" s="2">
        <f t="shared" si="73"/>
        <v>0.36449057933102513</v>
      </c>
      <c r="I508" s="2">
        <f t="shared" si="65"/>
        <v>0</v>
      </c>
      <c r="J508" s="389">
        <f t="shared" si="66"/>
        <v>0</v>
      </c>
      <c r="L508" s="721">
        <v>2494</v>
      </c>
      <c r="M508" s="581"/>
      <c r="N508" s="585" t="s">
        <v>1736</v>
      </c>
      <c r="O508" s="586" t="s">
        <v>4691</v>
      </c>
      <c r="P508" s="233">
        <f t="shared" si="67"/>
        <v>0</v>
      </c>
      <c r="Q508" s="233">
        <f t="shared" si="68"/>
        <v>2494</v>
      </c>
      <c r="R508" s="2">
        <f t="shared" si="69"/>
        <v>2.1</v>
      </c>
      <c r="S508" s="2">
        <f>(1/9)*cnst_fish!$C$7*(1/cnst_fish!$C$8)^(R508-1)</f>
        <v>1.7754076320174161</v>
      </c>
      <c r="T508" s="682">
        <f t="shared" si="70"/>
        <v>379.74486463972295</v>
      </c>
      <c r="W508" s="818"/>
      <c r="X508" s="818"/>
      <c r="Y508" s="819"/>
      <c r="Z508" s="820"/>
      <c r="AA508" s="820"/>
      <c r="AB508" s="821"/>
      <c r="AC508" s="821"/>
      <c r="AD508" s="253"/>
      <c r="AE508" s="253"/>
    </row>
    <row r="509" spans="1:31" ht="14.5">
      <c r="A509" t="s">
        <v>4047</v>
      </c>
      <c r="B509" t="s">
        <v>393</v>
      </c>
      <c r="C509">
        <v>2994</v>
      </c>
      <c r="D509" s="581"/>
      <c r="E509" s="581"/>
      <c r="F509" s="2">
        <f>(1/S509)*cnst_fish!$C$6</f>
        <v>1.5455777163012491E-2</v>
      </c>
      <c r="G509" s="2">
        <f t="shared" si="73"/>
        <v>1</v>
      </c>
      <c r="H509" s="2">
        <f t="shared" si="73"/>
        <v>0.36449057933102513</v>
      </c>
      <c r="I509" s="2">
        <f t="shared" si="65"/>
        <v>0</v>
      </c>
      <c r="J509" s="389">
        <f t="shared" si="66"/>
        <v>0</v>
      </c>
      <c r="L509" s="721">
        <v>10109</v>
      </c>
      <c r="M509" s="581"/>
      <c r="N509" s="585" t="s">
        <v>3786</v>
      </c>
      <c r="O509" s="586" t="s">
        <v>4681</v>
      </c>
      <c r="P509" s="233">
        <f t="shared" si="67"/>
        <v>0</v>
      </c>
      <c r="Q509" s="233">
        <f t="shared" si="68"/>
        <v>10109</v>
      </c>
      <c r="R509" s="2">
        <f t="shared" si="69"/>
        <v>4.29</v>
      </c>
      <c r="S509" s="2">
        <f>(1/9)*cnst_fish!$C$7*(1/cnst_fish!$C$8)^(R509-1)</f>
        <v>274.97808458126286</v>
      </c>
      <c r="T509" s="682">
        <f t="shared" si="70"/>
        <v>238398.57598847264</v>
      </c>
      <c r="W509" s="818"/>
      <c r="X509" s="818"/>
      <c r="Y509" s="819"/>
      <c r="Z509" s="820"/>
      <c r="AA509" s="820"/>
      <c r="AB509" s="821"/>
      <c r="AC509" s="821"/>
      <c r="AD509" s="253"/>
      <c r="AE509" s="253"/>
    </row>
    <row r="510" spans="1:31" ht="14.5">
      <c r="A510" t="s">
        <v>5538</v>
      </c>
      <c r="B510" t="s">
        <v>394</v>
      </c>
      <c r="C510">
        <v>2996</v>
      </c>
      <c r="D510" s="581"/>
      <c r="E510" s="581"/>
      <c r="F510" s="2">
        <f>(1/S510)*cnst_fish!$C$6</f>
        <v>3.1556646698079359E-2</v>
      </c>
      <c r="G510" s="2">
        <f t="shared" si="73"/>
        <v>1</v>
      </c>
      <c r="H510" s="2">
        <f t="shared" si="73"/>
        <v>0.36449057933102513</v>
      </c>
      <c r="I510" s="2">
        <f t="shared" si="65"/>
        <v>0</v>
      </c>
      <c r="J510" s="389">
        <f t="shared" si="66"/>
        <v>0</v>
      </c>
      <c r="L510" s="721">
        <v>11766</v>
      </c>
      <c r="M510" s="581"/>
      <c r="N510" s="585" t="s">
        <v>3786</v>
      </c>
      <c r="O510" s="586" t="s">
        <v>4681</v>
      </c>
      <c r="P510" s="233">
        <f t="shared" si="67"/>
        <v>0</v>
      </c>
      <c r="Q510" s="233">
        <f t="shared" si="68"/>
        <v>11766</v>
      </c>
      <c r="R510" s="2">
        <f t="shared" si="69"/>
        <v>3.98</v>
      </c>
      <c r="S510" s="2">
        <f>(1/9)*cnst_fish!$C$7*(1/cnst_fish!$C$8)^(R510-1)</f>
        <v>134.67844161840773</v>
      </c>
      <c r="T510" s="682">
        <f t="shared" si="70"/>
        <v>135901.51695902023</v>
      </c>
      <c r="W510" s="818"/>
      <c r="X510" s="818"/>
      <c r="Y510" s="819"/>
      <c r="Z510" s="820"/>
      <c r="AA510" s="820"/>
      <c r="AB510" s="821"/>
      <c r="AC510" s="821"/>
      <c r="AD510" s="253"/>
      <c r="AE510" s="253"/>
    </row>
    <row r="511" spans="1:31" ht="14.5">
      <c r="A511" t="s">
        <v>2480</v>
      </c>
      <c r="B511" t="s">
        <v>395</v>
      </c>
      <c r="C511">
        <v>2207</v>
      </c>
      <c r="D511" s="581"/>
      <c r="E511" s="581"/>
      <c r="F511" s="2">
        <f>(1/S511)*cnst_fish!$C$6</f>
        <v>9.5299549485983424E-3</v>
      </c>
      <c r="G511" s="2">
        <f t="shared" si="73"/>
        <v>1</v>
      </c>
      <c r="H511" s="2">
        <f t="shared" si="73"/>
        <v>0.36449057933102513</v>
      </c>
      <c r="I511" s="2">
        <f t="shared" si="65"/>
        <v>0</v>
      </c>
      <c r="J511" s="389">
        <f t="shared" si="66"/>
        <v>0</v>
      </c>
      <c r="L511" s="721">
        <v>40</v>
      </c>
      <c r="M511" s="581"/>
      <c r="N511" s="585" t="s">
        <v>3786</v>
      </c>
      <c r="O511" s="586" t="s">
        <v>4681</v>
      </c>
      <c r="P511" s="233">
        <f t="shared" si="67"/>
        <v>0</v>
      </c>
      <c r="Q511" s="233">
        <f t="shared" si="68"/>
        <v>40</v>
      </c>
      <c r="R511" s="2">
        <f t="shared" si="69"/>
        <v>4.5</v>
      </c>
      <c r="S511" s="2">
        <f>(1/9)*cnst_fish!$C$7*(1/cnst_fish!$C$8)^(R511-1)</f>
        <v>445.96223412630997</v>
      </c>
      <c r="T511" s="682">
        <f t="shared" si="70"/>
        <v>1529.8732524843008</v>
      </c>
      <c r="W511" s="818"/>
      <c r="X511" s="818"/>
      <c r="Y511" s="819"/>
      <c r="Z511" s="820"/>
      <c r="AA511" s="820"/>
      <c r="AB511" s="821"/>
      <c r="AC511" s="821"/>
      <c r="AD511" s="253"/>
      <c r="AE511" s="253"/>
    </row>
    <row r="512" spans="1:31" ht="14.5">
      <c r="A512" t="s">
        <v>1379</v>
      </c>
      <c r="B512" t="s">
        <v>396</v>
      </c>
      <c r="C512">
        <v>2995</v>
      </c>
      <c r="D512" s="581"/>
      <c r="E512" s="581"/>
      <c r="F512" s="2">
        <f>(1/S512)*cnst_fish!$C$6</f>
        <v>5.7423657091346926E-2</v>
      </c>
      <c r="G512" s="2">
        <f t="shared" si="73"/>
        <v>1</v>
      </c>
      <c r="H512" s="2">
        <f t="shared" si="73"/>
        <v>0.36449057933102513</v>
      </c>
      <c r="I512" s="2">
        <f t="shared" si="65"/>
        <v>0</v>
      </c>
      <c r="J512" s="389">
        <f t="shared" si="66"/>
        <v>0</v>
      </c>
      <c r="L512" s="721">
        <v>146</v>
      </c>
      <c r="M512" s="581"/>
      <c r="N512" s="585" t="s">
        <v>3786</v>
      </c>
      <c r="O512" s="586" t="s">
        <v>4681</v>
      </c>
      <c r="P512" s="233">
        <f t="shared" si="67"/>
        <v>0</v>
      </c>
      <c r="Q512" s="233">
        <f t="shared" si="68"/>
        <v>146</v>
      </c>
      <c r="R512" s="2">
        <f t="shared" si="69"/>
        <v>3.72</v>
      </c>
      <c r="S512" s="2">
        <f>(1/9)*cnst_fish!$C$7*(1/cnst_fish!$C$8)^(R512-1)</f>
        <v>74.011308496762837</v>
      </c>
      <c r="T512" s="682">
        <f t="shared" si="70"/>
        <v>926.71953124958043</v>
      </c>
      <c r="W512" s="818"/>
      <c r="X512" s="818"/>
      <c r="Y512" s="819"/>
      <c r="Z512" s="820"/>
      <c r="AA512" s="820"/>
      <c r="AB512" s="821"/>
      <c r="AC512" s="821"/>
      <c r="AD512" s="253"/>
      <c r="AE512" s="253"/>
    </row>
    <row r="513" spans="1:31" ht="14.5">
      <c r="A513" t="s">
        <v>2112</v>
      </c>
      <c r="B513" t="s">
        <v>397</v>
      </c>
      <c r="C513">
        <v>2993</v>
      </c>
      <c r="D513" s="581"/>
      <c r="E513" s="581"/>
      <c r="F513" s="2">
        <f>(1/S513)*cnst_fish!$C$6</f>
        <v>4.2568745094767511E-2</v>
      </c>
      <c r="G513" s="2">
        <f t="shared" si="73"/>
        <v>1</v>
      </c>
      <c r="H513" s="2">
        <f t="shared" si="73"/>
        <v>0.36449057933102513</v>
      </c>
      <c r="I513" s="2">
        <f t="shared" si="65"/>
        <v>0</v>
      </c>
      <c r="J513" s="389">
        <f t="shared" si="66"/>
        <v>0</v>
      </c>
      <c r="L513" s="721">
        <v>7332</v>
      </c>
      <c r="M513" s="581"/>
      <c r="N513" s="585" t="s">
        <v>3786</v>
      </c>
      <c r="O513" s="586" t="s">
        <v>4681</v>
      </c>
      <c r="P513" s="233">
        <f t="shared" si="67"/>
        <v>0</v>
      </c>
      <c r="Q513" s="233">
        <f t="shared" si="68"/>
        <v>7332</v>
      </c>
      <c r="R513" s="2">
        <f t="shared" si="69"/>
        <v>3.85</v>
      </c>
      <c r="S513" s="2">
        <f>(1/9)*cnst_fish!$C$7*(1/cnst_fish!$C$8)^(R513-1)</f>
        <v>99.838508054173388</v>
      </c>
      <c r="T513" s="682">
        <f t="shared" si="70"/>
        <v>62779.509278594393</v>
      </c>
      <c r="W513" s="818"/>
      <c r="X513" s="818"/>
      <c r="Y513" s="819"/>
      <c r="Z513" s="820"/>
      <c r="AA513" s="820"/>
      <c r="AB513" s="821"/>
      <c r="AC513" s="821"/>
      <c r="AD513" s="253"/>
      <c r="AE513" s="253"/>
    </row>
    <row r="514" spans="1:31" ht="14.5">
      <c r="A514" t="s">
        <v>2573</v>
      </c>
      <c r="B514" t="s">
        <v>2451</v>
      </c>
      <c r="C514">
        <v>2342</v>
      </c>
      <c r="D514" s="581"/>
      <c r="E514" s="581"/>
      <c r="F514" s="2">
        <f>(1/S514)*cnst_fish!$C$6</f>
        <v>9.3130266898023228E-2</v>
      </c>
      <c r="G514" s="2">
        <f t="shared" si="73"/>
        <v>1</v>
      </c>
      <c r="H514" s="2">
        <f t="shared" si="73"/>
        <v>0.36449057933102513</v>
      </c>
      <c r="I514" s="2">
        <f t="shared" si="65"/>
        <v>0</v>
      </c>
      <c r="J514" s="389">
        <f t="shared" si="66"/>
        <v>0</v>
      </c>
      <c r="L514" s="721">
        <v>652</v>
      </c>
      <c r="M514" s="581"/>
      <c r="N514" s="585" t="s">
        <v>1738</v>
      </c>
      <c r="O514" s="586" t="s">
        <v>4681</v>
      </c>
      <c r="P514" s="233">
        <f t="shared" si="67"/>
        <v>0</v>
      </c>
      <c r="Q514" s="233">
        <f t="shared" si="68"/>
        <v>652</v>
      </c>
      <c r="R514" s="2">
        <f t="shared" si="69"/>
        <v>3.51</v>
      </c>
      <c r="S514" s="2">
        <f>(1/9)*cnst_fish!$C$7*(1/cnst_fish!$C$8)^(R514-1)</f>
        <v>45.635002900332182</v>
      </c>
      <c r="T514" s="682">
        <f t="shared" si="70"/>
        <v>2551.7789827022675</v>
      </c>
      <c r="W514" s="818"/>
      <c r="X514" s="818"/>
      <c r="Y514" s="819"/>
      <c r="Z514" s="820"/>
      <c r="AA514" s="820"/>
      <c r="AB514" s="821"/>
      <c r="AC514" s="821"/>
      <c r="AD514" s="253"/>
      <c r="AE514" s="253"/>
    </row>
    <row r="515" spans="1:31" ht="14.5">
      <c r="A515" t="s">
        <v>6448</v>
      </c>
      <c r="B515" t="s">
        <v>6447</v>
      </c>
      <c r="C515">
        <v>20263</v>
      </c>
      <c r="D515" s="581"/>
      <c r="E515" s="581"/>
      <c r="F515" s="2">
        <f>(1/S515)*cnst_fish!$C$6</f>
        <v>0.11997502458044032</v>
      </c>
      <c r="G515" s="2">
        <f t="shared" si="73"/>
        <v>1</v>
      </c>
      <c r="H515" s="2">
        <f t="shared" si="73"/>
        <v>0.36449057933102513</v>
      </c>
      <c r="I515" s="2">
        <f t="shared" si="65"/>
        <v>0</v>
      </c>
      <c r="J515" s="389">
        <f t="shared" si="66"/>
        <v>0</v>
      </c>
      <c r="L515" s="721"/>
      <c r="M515" s="581">
        <v>19136</v>
      </c>
      <c r="N515" s="585" t="s">
        <v>1738</v>
      </c>
      <c r="O515" s="586" t="s">
        <v>4685</v>
      </c>
      <c r="P515" s="233">
        <f t="shared" si="67"/>
        <v>0</v>
      </c>
      <c r="Q515" s="233">
        <f t="shared" si="68"/>
        <v>19136</v>
      </c>
      <c r="R515" s="2">
        <f t="shared" si="69"/>
        <v>3.4</v>
      </c>
      <c r="S515" s="2">
        <f>(1/9)*cnst_fish!$C$7*(1/cnst_fish!$C$8)^(R515-1)</f>
        <v>35.424039418724846</v>
      </c>
      <c r="T515" s="682">
        <f t="shared" si="70"/>
        <v>58136.197516692337</v>
      </c>
      <c r="W515" s="818"/>
      <c r="X515" s="818"/>
      <c r="Y515" s="819"/>
      <c r="Z515" s="820"/>
      <c r="AA515" s="820"/>
      <c r="AB515" s="821"/>
      <c r="AC515" s="821"/>
      <c r="AD515" s="253"/>
      <c r="AE515" s="253"/>
    </row>
    <row r="516" spans="1:31" ht="14.5">
      <c r="A516" t="s">
        <v>4242</v>
      </c>
      <c r="B516" t="s">
        <v>8587</v>
      </c>
      <c r="C516">
        <v>2419</v>
      </c>
      <c r="D516" s="581"/>
      <c r="E516" s="581"/>
      <c r="F516" s="2">
        <f>(1/S516)*cnst_fish!$C$6</f>
        <v>1.5103960722494616</v>
      </c>
      <c r="G516" s="2">
        <f t="shared" si="73"/>
        <v>1</v>
      </c>
      <c r="H516" s="2">
        <f t="shared" si="73"/>
        <v>0.36449057933102513</v>
      </c>
      <c r="I516" s="2">
        <f t="shared" si="65"/>
        <v>0</v>
      </c>
      <c r="J516" s="389">
        <f t="shared" si="66"/>
        <v>0</v>
      </c>
      <c r="L516" s="721"/>
      <c r="M516" s="581"/>
      <c r="N516" s="585" t="s">
        <v>1738</v>
      </c>
      <c r="O516" s="586" t="s">
        <v>4681</v>
      </c>
      <c r="P516" s="233">
        <f t="shared" si="67"/>
        <v>0</v>
      </c>
      <c r="Q516" s="233">
        <f t="shared" si="68"/>
        <v>0</v>
      </c>
      <c r="R516" s="2">
        <f t="shared" si="69"/>
        <v>2.2999999999999998</v>
      </c>
      <c r="S516" s="2">
        <f>(1/9)*cnst_fish!$C$7*(1/cnst_fish!$C$8)^(R516-1)</f>
        <v>2.8138314698279068</v>
      </c>
      <c r="T516" s="682">
        <f t="shared" si="70"/>
        <v>0</v>
      </c>
      <c r="W516" s="818"/>
      <c r="X516" s="818"/>
      <c r="Y516" s="819"/>
      <c r="Z516" s="820"/>
      <c r="AA516" s="820"/>
      <c r="AB516" s="821"/>
      <c r="AC516" s="821"/>
      <c r="AD516" s="253"/>
      <c r="AE516" s="253"/>
    </row>
    <row r="517" spans="1:31" ht="14.5">
      <c r="A517" t="s">
        <v>4241</v>
      </c>
      <c r="B517" t="s">
        <v>8588</v>
      </c>
      <c r="C517">
        <v>2418</v>
      </c>
      <c r="D517" s="581"/>
      <c r="E517" s="581"/>
      <c r="F517" s="2">
        <f>(1/S517)*cnst_fish!$C$6</f>
        <v>0.95299549485983426</v>
      </c>
      <c r="G517" s="2">
        <f t="shared" si="73"/>
        <v>1</v>
      </c>
      <c r="H517" s="2">
        <f t="shared" si="73"/>
        <v>0.36449057933102513</v>
      </c>
      <c r="I517" s="2">
        <f t="shared" si="65"/>
        <v>0</v>
      </c>
      <c r="J517" s="389">
        <f t="shared" si="66"/>
        <v>0</v>
      </c>
      <c r="L517" s="721"/>
      <c r="M517" s="581"/>
      <c r="N517" s="585" t="s">
        <v>1738</v>
      </c>
      <c r="O517" s="586" t="s">
        <v>4681</v>
      </c>
      <c r="P517" s="233">
        <f t="shared" si="67"/>
        <v>0</v>
      </c>
      <c r="Q517" s="233">
        <f t="shared" si="68"/>
        <v>0</v>
      </c>
      <c r="R517" s="2">
        <f t="shared" si="69"/>
        <v>2.5</v>
      </c>
      <c r="S517" s="2">
        <f>(1/9)*cnst_fish!$C$7*(1/cnst_fish!$C$8)^(R517-1)</f>
        <v>4.4596223412630991</v>
      </c>
      <c r="T517" s="682">
        <f t="shared" si="70"/>
        <v>0</v>
      </c>
      <c r="W517" s="818"/>
      <c r="X517" s="818"/>
      <c r="Y517" s="819"/>
      <c r="Z517" s="820"/>
      <c r="AA517" s="820"/>
      <c r="AB517" s="821"/>
      <c r="AC517" s="821"/>
      <c r="AD517" s="253"/>
      <c r="AE517" s="253"/>
    </row>
    <row r="518" spans="1:31" ht="14.5">
      <c r="A518" t="s">
        <v>4861</v>
      </c>
      <c r="B518" t="s">
        <v>2029</v>
      </c>
      <c r="C518">
        <v>3612</v>
      </c>
      <c r="D518" s="581"/>
      <c r="E518" s="581"/>
      <c r="F518" s="2">
        <f>(1/S518)*cnst_fish!$C$6</f>
        <v>1.5103960722494616</v>
      </c>
      <c r="G518" s="2">
        <f t="shared" si="73"/>
        <v>1</v>
      </c>
      <c r="H518" s="2">
        <f t="shared" si="73"/>
        <v>0.36449057933102513</v>
      </c>
      <c r="I518" s="2">
        <f t="shared" si="65"/>
        <v>0</v>
      </c>
      <c r="J518" s="389">
        <f t="shared" si="66"/>
        <v>0</v>
      </c>
      <c r="L518" s="721">
        <v>3.0700000000000003</v>
      </c>
      <c r="M518" s="581"/>
      <c r="N518" s="585" t="s">
        <v>5196</v>
      </c>
      <c r="O518" s="586"/>
      <c r="P518" s="233">
        <f t="shared" si="67"/>
        <v>0</v>
      </c>
      <c r="Q518" s="233">
        <f t="shared" si="68"/>
        <v>3.0700000000000003</v>
      </c>
      <c r="R518" s="2">
        <f t="shared" si="69"/>
        <v>2.2999999999999998</v>
      </c>
      <c r="S518" s="2">
        <f>(1/9)*cnst_fish!$C$7*(1/cnst_fish!$C$8)^(R518-1)</f>
        <v>2.8138314698279068</v>
      </c>
      <c r="T518" s="682">
        <f t="shared" si="70"/>
        <v>0.74085605696770651</v>
      </c>
      <c r="W518" s="818"/>
      <c r="X518" s="818"/>
      <c r="Y518" s="819"/>
      <c r="Z518" s="820"/>
      <c r="AA518" s="820"/>
      <c r="AB518" s="821"/>
      <c r="AC518" s="821"/>
      <c r="AD518" s="253"/>
      <c r="AE518" s="253"/>
    </row>
    <row r="519" spans="1:31" ht="14.5">
      <c r="A519" t="s">
        <v>2599</v>
      </c>
      <c r="B519" t="s">
        <v>2030</v>
      </c>
      <c r="C519">
        <v>2762</v>
      </c>
      <c r="D519" s="581"/>
      <c r="E519" s="581"/>
      <c r="F519" s="2">
        <f>(1/S519)*cnst_fish!$C$6</f>
        <v>1.5103960722494616</v>
      </c>
      <c r="G519" s="2">
        <f t="shared" si="73"/>
        <v>1</v>
      </c>
      <c r="H519" s="2">
        <f t="shared" si="73"/>
        <v>0.36449057933102513</v>
      </c>
      <c r="I519" s="2">
        <f t="shared" ref="I519:I582" si="74">IF($F519=0,0,D519/$F519*$H519*$G519)</f>
        <v>0</v>
      </c>
      <c r="J519" s="389">
        <f t="shared" ref="J519:J582" si="75">IF($F519=0,0,E519/$F519*$H519*$G519)</f>
        <v>0</v>
      </c>
      <c r="L519" s="721">
        <v>0</v>
      </c>
      <c r="M519" s="581"/>
      <c r="N519" s="585" t="s">
        <v>5196</v>
      </c>
      <c r="O519" s="586"/>
      <c r="P519" s="233">
        <f t="shared" ref="P519:P582" si="76">D519+E519</f>
        <v>0</v>
      </c>
      <c r="Q519" s="233">
        <f t="shared" ref="Q519:Q582" si="77">L519+M519</f>
        <v>0</v>
      </c>
      <c r="R519" s="2">
        <f t="shared" ref="R519:R582" si="78">VLOOKUP(B519,constant_fish_trophic,3,FALSE)</f>
        <v>2.2999999999999998</v>
      </c>
      <c r="S519" s="2">
        <f>(1/9)*cnst_fish!$C$7*(1/cnst_fish!$C$8)^(R519-1)</f>
        <v>2.8138314698279068</v>
      </c>
      <c r="T519" s="682">
        <f t="shared" ref="T519:T582" si="79">IF(F519=0,0,Q519/F519*H519*G519)</f>
        <v>0</v>
      </c>
      <c r="W519" s="818"/>
      <c r="X519" s="818"/>
      <c r="Y519" s="819"/>
      <c r="Z519" s="820"/>
      <c r="AA519" s="820"/>
      <c r="AB519" s="821"/>
      <c r="AC519" s="821"/>
      <c r="AD519" s="253"/>
      <c r="AE519" s="253"/>
    </row>
    <row r="520" spans="1:31" ht="14.5">
      <c r="A520" t="s">
        <v>161</v>
      </c>
      <c r="B520" t="s">
        <v>2031</v>
      </c>
      <c r="C520">
        <v>2763</v>
      </c>
      <c r="D520" s="581"/>
      <c r="E520" s="581"/>
      <c r="F520" s="2">
        <f>(1/S520)*cnst_fish!$C$6</f>
        <v>1.5103960722494616</v>
      </c>
      <c r="G520" s="2">
        <f t="shared" si="73"/>
        <v>1</v>
      </c>
      <c r="H520" s="2">
        <f t="shared" si="73"/>
        <v>0.36449057933102513</v>
      </c>
      <c r="I520" s="2">
        <f t="shared" si="74"/>
        <v>0</v>
      </c>
      <c r="J520" s="389">
        <f t="shared" si="75"/>
        <v>0</v>
      </c>
      <c r="L520" s="721">
        <v>0.02</v>
      </c>
      <c r="M520" s="581"/>
      <c r="N520" s="585" t="s">
        <v>5196</v>
      </c>
      <c r="O520" s="586"/>
      <c r="P520" s="233">
        <f t="shared" si="76"/>
        <v>0</v>
      </c>
      <c r="Q520" s="233">
        <f t="shared" si="77"/>
        <v>0.02</v>
      </c>
      <c r="R520" s="2">
        <f t="shared" si="78"/>
        <v>2.2999999999999998</v>
      </c>
      <c r="S520" s="2">
        <f>(1/9)*cnst_fish!$C$7*(1/cnst_fish!$C$8)^(R520-1)</f>
        <v>2.8138314698279068</v>
      </c>
      <c r="T520" s="682">
        <f t="shared" si="79"/>
        <v>4.8264238238938531E-3</v>
      </c>
      <c r="W520" s="818"/>
      <c r="X520" s="818"/>
      <c r="Y520" s="819"/>
      <c r="Z520" s="820"/>
      <c r="AA520" s="820"/>
      <c r="AB520" s="821"/>
      <c r="AC520" s="821"/>
      <c r="AD520" s="253"/>
      <c r="AE520" s="253"/>
    </row>
    <row r="521" spans="1:31" ht="14.5">
      <c r="A521" t="s">
        <v>3503</v>
      </c>
      <c r="B521" t="s">
        <v>2032</v>
      </c>
      <c r="C521">
        <v>3611</v>
      </c>
      <c r="D521" s="581"/>
      <c r="E521" s="581"/>
      <c r="F521" s="2">
        <f>(1/S521)*cnst_fish!$C$6</f>
        <v>1.5103960722494616</v>
      </c>
      <c r="G521" s="2">
        <f t="shared" si="73"/>
        <v>1</v>
      </c>
      <c r="H521" s="2">
        <f t="shared" si="73"/>
        <v>0.36449057933102513</v>
      </c>
      <c r="I521" s="2">
        <f t="shared" si="74"/>
        <v>0</v>
      </c>
      <c r="J521" s="389">
        <f t="shared" si="75"/>
        <v>0</v>
      </c>
      <c r="L521" s="721">
        <v>44.899999999999991</v>
      </c>
      <c r="M521" s="581"/>
      <c r="N521" s="585" t="s">
        <v>5196</v>
      </c>
      <c r="O521" s="586"/>
      <c r="P521" s="233">
        <f t="shared" si="76"/>
        <v>0</v>
      </c>
      <c r="Q521" s="233">
        <f t="shared" si="77"/>
        <v>44.899999999999991</v>
      </c>
      <c r="R521" s="2">
        <f t="shared" si="78"/>
        <v>2.2999999999999998</v>
      </c>
      <c r="S521" s="2">
        <f>(1/9)*cnst_fish!$C$7*(1/cnst_fish!$C$8)^(R521-1)</f>
        <v>2.8138314698279068</v>
      </c>
      <c r="T521" s="682">
        <f t="shared" si="79"/>
        <v>10.835321484641698</v>
      </c>
      <c r="W521" s="818"/>
      <c r="X521" s="818"/>
      <c r="Y521" s="819"/>
      <c r="Z521" s="820"/>
      <c r="AA521" s="820"/>
      <c r="AB521" s="821"/>
      <c r="AC521" s="821"/>
      <c r="AD521" s="253"/>
      <c r="AE521" s="253"/>
    </row>
    <row r="522" spans="1:31" ht="14.5">
      <c r="A522" t="s">
        <v>4367</v>
      </c>
      <c r="B522" t="s">
        <v>5076</v>
      </c>
      <c r="C522">
        <v>3613</v>
      </c>
      <c r="D522" s="581"/>
      <c r="E522" s="581"/>
      <c r="F522" s="2">
        <f>(1/S522)*cnst_fish!$C$6</f>
        <v>1.5103960722494616</v>
      </c>
      <c r="G522" s="2">
        <f t="shared" si="73"/>
        <v>1</v>
      </c>
      <c r="H522" s="2">
        <f t="shared" si="73"/>
        <v>0.36449057933102513</v>
      </c>
      <c r="I522" s="2">
        <f t="shared" si="74"/>
        <v>0</v>
      </c>
      <c r="J522" s="389">
        <f t="shared" si="75"/>
        <v>0</v>
      </c>
      <c r="L522" s="721">
        <v>0</v>
      </c>
      <c r="M522" s="581"/>
      <c r="N522" s="585" t="s">
        <v>5196</v>
      </c>
      <c r="O522" s="586"/>
      <c r="P522" s="233">
        <f t="shared" si="76"/>
        <v>0</v>
      </c>
      <c r="Q522" s="233">
        <f t="shared" si="77"/>
        <v>0</v>
      </c>
      <c r="R522" s="2">
        <f t="shared" si="78"/>
        <v>2.2999999999999998</v>
      </c>
      <c r="S522" s="2">
        <f>(1/9)*cnst_fish!$C$7*(1/cnst_fish!$C$8)^(R522-1)</f>
        <v>2.8138314698279068</v>
      </c>
      <c r="T522" s="682">
        <f t="shared" si="79"/>
        <v>0</v>
      </c>
      <c r="W522" s="818"/>
      <c r="X522" s="818"/>
      <c r="Y522" s="819"/>
      <c r="Z522" s="820"/>
      <c r="AA522" s="820"/>
      <c r="AB522" s="821"/>
      <c r="AC522" s="821"/>
      <c r="AD522" s="253"/>
      <c r="AE522" s="253"/>
    </row>
    <row r="523" spans="1:31" ht="14.5">
      <c r="A523" t="s">
        <v>157</v>
      </c>
      <c r="B523" t="s">
        <v>5077</v>
      </c>
      <c r="C523">
        <v>3615</v>
      </c>
      <c r="D523" s="581"/>
      <c r="E523" s="581"/>
      <c r="F523" s="2">
        <f>(1/S523)*cnst_fish!$C$6</f>
        <v>1.5103960722494616</v>
      </c>
      <c r="G523" s="2">
        <f t="shared" si="73"/>
        <v>1</v>
      </c>
      <c r="H523" s="2">
        <f t="shared" si="73"/>
        <v>0.36449057933102513</v>
      </c>
      <c r="I523" s="2">
        <f t="shared" si="74"/>
        <v>0</v>
      </c>
      <c r="J523" s="389">
        <f t="shared" si="75"/>
        <v>0</v>
      </c>
      <c r="L523" s="721">
        <v>0</v>
      </c>
      <c r="M523" s="581"/>
      <c r="N523" s="585" t="s">
        <v>5196</v>
      </c>
      <c r="O523" s="586"/>
      <c r="P523" s="233">
        <f t="shared" si="76"/>
        <v>0</v>
      </c>
      <c r="Q523" s="233">
        <f t="shared" si="77"/>
        <v>0</v>
      </c>
      <c r="R523" s="2">
        <f t="shared" si="78"/>
        <v>2.2999999999999998</v>
      </c>
      <c r="S523" s="2">
        <f>(1/9)*cnst_fish!$C$7*(1/cnst_fish!$C$8)^(R523-1)</f>
        <v>2.8138314698279068</v>
      </c>
      <c r="T523" s="682">
        <f t="shared" si="79"/>
        <v>0</v>
      </c>
      <c r="W523" s="818"/>
      <c r="X523" s="818"/>
      <c r="Y523" s="819"/>
      <c r="Z523" s="820"/>
      <c r="AA523" s="820"/>
      <c r="AB523" s="821"/>
      <c r="AC523" s="821"/>
      <c r="AD523" s="253"/>
      <c r="AE523" s="253"/>
    </row>
    <row r="524" spans="1:31" ht="14.5">
      <c r="A524" t="s">
        <v>4961</v>
      </c>
      <c r="B524" t="s">
        <v>8589</v>
      </c>
      <c r="C524">
        <v>2708</v>
      </c>
      <c r="D524" s="581"/>
      <c r="E524" s="581"/>
      <c r="F524" s="2">
        <f>(1/S524)*cnst_fish!$C$6</f>
        <v>2.3938164528281742</v>
      </c>
      <c r="G524" s="2">
        <f t="shared" si="73"/>
        <v>1</v>
      </c>
      <c r="H524" s="2">
        <f t="shared" si="73"/>
        <v>0.36449057933102513</v>
      </c>
      <c r="I524" s="2">
        <f t="shared" si="74"/>
        <v>0</v>
      </c>
      <c r="J524" s="389">
        <f t="shared" si="75"/>
        <v>0</v>
      </c>
      <c r="L524" s="721"/>
      <c r="M524" s="581"/>
      <c r="N524" s="585" t="s">
        <v>1736</v>
      </c>
      <c r="O524" s="586" t="s">
        <v>4680</v>
      </c>
      <c r="P524" s="233">
        <f t="shared" si="76"/>
        <v>0</v>
      </c>
      <c r="Q524" s="233">
        <f t="shared" si="77"/>
        <v>0</v>
      </c>
      <c r="R524" s="2">
        <f t="shared" si="78"/>
        <v>2.1</v>
      </c>
      <c r="S524" s="2">
        <f>(1/9)*cnst_fish!$C$7*(1/cnst_fish!$C$8)^(R524-1)</f>
        <v>1.7754076320174161</v>
      </c>
      <c r="T524" s="682">
        <f t="shared" si="79"/>
        <v>0</v>
      </c>
      <c r="W524" s="818"/>
      <c r="X524" s="818"/>
      <c r="Y524" s="819"/>
      <c r="Z524" s="820"/>
      <c r="AA524" s="820"/>
      <c r="AB524" s="821"/>
      <c r="AC524" s="821"/>
      <c r="AD524" s="253"/>
      <c r="AE524" s="253"/>
    </row>
    <row r="525" spans="1:31" ht="14.5">
      <c r="A525" t="s">
        <v>3684</v>
      </c>
      <c r="B525" t="s">
        <v>2728</v>
      </c>
      <c r="C525">
        <v>3555</v>
      </c>
      <c r="D525" s="581"/>
      <c r="E525" s="581"/>
      <c r="F525" s="2">
        <f>(1/S525)*cnst_fish!$C$6</f>
        <v>1.9014759972289452</v>
      </c>
      <c r="G525" s="2">
        <f t="shared" si="73"/>
        <v>1</v>
      </c>
      <c r="H525" s="2">
        <f t="shared" si="73"/>
        <v>0.36449057933102513</v>
      </c>
      <c r="I525" s="2">
        <f t="shared" si="74"/>
        <v>0</v>
      </c>
      <c r="J525" s="389">
        <f t="shared" si="75"/>
        <v>0</v>
      </c>
      <c r="L525" s="721">
        <v>567</v>
      </c>
      <c r="M525" s="581">
        <v>9646</v>
      </c>
      <c r="N525" s="585" t="s">
        <v>1736</v>
      </c>
      <c r="O525" s="586" t="s">
        <v>4691</v>
      </c>
      <c r="P525" s="233">
        <f t="shared" si="76"/>
        <v>0</v>
      </c>
      <c r="Q525" s="233">
        <f t="shared" si="77"/>
        <v>10213</v>
      </c>
      <c r="R525" s="2">
        <f t="shared" si="78"/>
        <v>2.2000000000000002</v>
      </c>
      <c r="S525" s="2">
        <f>(1/9)*cnst_fish!$C$7*(1/cnst_fish!$C$8)^(R525-1)</f>
        <v>2.2351057842400328</v>
      </c>
      <c r="T525" s="682">
        <f t="shared" si="79"/>
        <v>1957.7119522585015</v>
      </c>
      <c r="W525" s="818"/>
      <c r="X525" s="818"/>
      <c r="Y525" s="819"/>
      <c r="Z525" s="820"/>
      <c r="AA525" s="820"/>
      <c r="AB525" s="821"/>
      <c r="AC525" s="821"/>
      <c r="AD525" s="253"/>
      <c r="AE525" s="253"/>
    </row>
    <row r="526" spans="1:31" ht="14.5">
      <c r="A526" t="s">
        <v>874</v>
      </c>
      <c r="B526" t="s">
        <v>3825</v>
      </c>
      <c r="C526">
        <v>2939</v>
      </c>
      <c r="D526" s="581"/>
      <c r="E526" s="581"/>
      <c r="F526" s="2">
        <f>(1/S526)*cnst_fish!$C$6</f>
        <v>0.2878000384237327</v>
      </c>
      <c r="G526" s="2">
        <f t="shared" si="73"/>
        <v>1</v>
      </c>
      <c r="H526" s="2">
        <f t="shared" si="73"/>
        <v>0.36449057933102513</v>
      </c>
      <c r="I526" s="2">
        <f t="shared" si="74"/>
        <v>0</v>
      </c>
      <c r="J526" s="389">
        <f t="shared" si="75"/>
        <v>0</v>
      </c>
      <c r="L526" s="721">
        <v>1302.04</v>
      </c>
      <c r="M526" s="581">
        <v>4025.22</v>
      </c>
      <c r="N526" s="585" t="s">
        <v>1738</v>
      </c>
      <c r="O526" s="586" t="s">
        <v>4685</v>
      </c>
      <c r="P526" s="233">
        <f t="shared" si="76"/>
        <v>0</v>
      </c>
      <c r="Q526" s="233">
        <f t="shared" si="77"/>
        <v>5327.26</v>
      </c>
      <c r="R526" s="2">
        <f t="shared" si="78"/>
        <v>3.02</v>
      </c>
      <c r="S526" s="2">
        <f>(1/9)*cnst_fish!$C$7*(1/cnst_fish!$C$8)^(R526-1)</f>
        <v>14.767197472512686</v>
      </c>
      <c r="T526" s="682">
        <f t="shared" si="79"/>
        <v>6746.8235733455585</v>
      </c>
      <c r="W526" s="818"/>
      <c r="X526" s="818"/>
      <c r="Y526" s="819"/>
      <c r="Z526" s="820"/>
      <c r="AA526" s="820"/>
      <c r="AB526" s="821"/>
      <c r="AC526" s="821"/>
      <c r="AD526" s="253"/>
      <c r="AE526" s="253"/>
    </row>
    <row r="527" spans="1:31" ht="14.5">
      <c r="A527" t="s">
        <v>1165</v>
      </c>
      <c r="B527" t="s">
        <v>3826</v>
      </c>
      <c r="C527">
        <v>2134</v>
      </c>
      <c r="D527" s="581"/>
      <c r="E527" s="581">
        <v>999</v>
      </c>
      <c r="F527" s="2">
        <f>(1/S527)*cnst_fish!$C$6</f>
        <v>0.13461419163458563</v>
      </c>
      <c r="G527" s="2">
        <f t="shared" si="73"/>
        <v>1</v>
      </c>
      <c r="H527" s="2">
        <f t="shared" si="73"/>
        <v>0.36449057933102513</v>
      </c>
      <c r="I527" s="2">
        <f t="shared" si="74"/>
        <v>0</v>
      </c>
      <c r="J527" s="389">
        <f t="shared" si="75"/>
        <v>2704.9606310464324</v>
      </c>
      <c r="L527" s="721"/>
      <c r="M527" s="581">
        <v>1343</v>
      </c>
      <c r="N527" s="585" t="s">
        <v>1738</v>
      </c>
      <c r="O527" s="586" t="s">
        <v>4685</v>
      </c>
      <c r="P527" s="233">
        <f t="shared" si="76"/>
        <v>999</v>
      </c>
      <c r="Q527" s="233">
        <f t="shared" si="77"/>
        <v>1343</v>
      </c>
      <c r="R527" s="2">
        <f t="shared" si="78"/>
        <v>3.35</v>
      </c>
      <c r="S527" s="2">
        <f>(1/9)*cnst_fish!$C$7*(1/cnst_fish!$C$8)^(R527-1)</f>
        <v>31.571708364425319</v>
      </c>
      <c r="T527" s="682">
        <f t="shared" si="79"/>
        <v>3636.3985260213799</v>
      </c>
      <c r="W527" s="818"/>
      <c r="X527" s="818"/>
      <c r="Y527" s="819"/>
      <c r="Z527" s="820"/>
      <c r="AA527" s="820"/>
      <c r="AB527" s="821"/>
      <c r="AC527" s="821"/>
      <c r="AD527" s="253"/>
      <c r="AE527" s="253"/>
    </row>
    <row r="528" spans="1:31" ht="14.5">
      <c r="A528" t="s">
        <v>6341</v>
      </c>
      <c r="B528" t="s">
        <v>3827</v>
      </c>
      <c r="C528">
        <v>2941</v>
      </c>
      <c r="D528" s="581"/>
      <c r="E528" s="581">
        <v>6707</v>
      </c>
      <c r="F528" s="2">
        <f>(1/S528)*cnst_fish!$C$6</f>
        <v>0.21831865524078092</v>
      </c>
      <c r="G528" s="2">
        <f t="shared" ref="G528:H547" si="80">G$7</f>
        <v>1</v>
      </c>
      <c r="H528" s="2">
        <f t="shared" si="80"/>
        <v>0.36449057933102513</v>
      </c>
      <c r="I528" s="2">
        <f t="shared" si="74"/>
        <v>0</v>
      </c>
      <c r="J528" s="389">
        <f t="shared" si="75"/>
        <v>11197.569501685619</v>
      </c>
      <c r="L528" s="721"/>
      <c r="M528" s="581">
        <v>9221</v>
      </c>
      <c r="N528" s="585" t="s">
        <v>1738</v>
      </c>
      <c r="O528" s="586" t="s">
        <v>4685</v>
      </c>
      <c r="P528" s="233">
        <f t="shared" si="76"/>
        <v>6707</v>
      </c>
      <c r="Q528" s="233">
        <f t="shared" si="77"/>
        <v>9221</v>
      </c>
      <c r="R528" s="2">
        <f t="shared" si="78"/>
        <v>3.14</v>
      </c>
      <c r="S528" s="2">
        <f>(1/9)*cnst_fish!$C$7*(1/cnst_fish!$C$8)^(R528-1)</f>
        <v>19.466957577733005</v>
      </c>
      <c r="T528" s="682">
        <f t="shared" si="79"/>
        <v>15394.779838235141</v>
      </c>
      <c r="W528" s="818"/>
      <c r="X528" s="818"/>
      <c r="Y528" s="819"/>
      <c r="Z528" s="820"/>
      <c r="AA528" s="820"/>
      <c r="AB528" s="821"/>
      <c r="AC528" s="821"/>
      <c r="AD528" s="253"/>
      <c r="AE528" s="253"/>
    </row>
    <row r="529" spans="1:31" ht="14.5">
      <c r="A529" t="s">
        <v>2519</v>
      </c>
      <c r="B529" t="s">
        <v>3828</v>
      </c>
      <c r="C529">
        <v>2940</v>
      </c>
      <c r="D529" s="581"/>
      <c r="E529" s="581"/>
      <c r="F529" s="2">
        <f>(1/S529)*cnst_fish!$C$6</f>
        <v>0.25066335465503214</v>
      </c>
      <c r="G529" s="2">
        <f t="shared" si="80"/>
        <v>1</v>
      </c>
      <c r="H529" s="2">
        <f t="shared" si="80"/>
        <v>0.36449057933102513</v>
      </c>
      <c r="I529" s="2">
        <f t="shared" si="74"/>
        <v>0</v>
      </c>
      <c r="J529" s="389">
        <f t="shared" si="75"/>
        <v>0</v>
      </c>
      <c r="L529" s="721">
        <v>894.38</v>
      </c>
      <c r="M529" s="581">
        <v>1768</v>
      </c>
      <c r="N529" s="585" t="s">
        <v>1738</v>
      </c>
      <c r="O529" s="586" t="s">
        <v>4685</v>
      </c>
      <c r="P529" s="233">
        <f t="shared" si="76"/>
        <v>0</v>
      </c>
      <c r="Q529" s="233">
        <f t="shared" si="77"/>
        <v>2662.38</v>
      </c>
      <c r="R529" s="2">
        <f t="shared" si="78"/>
        <v>3.08</v>
      </c>
      <c r="S529" s="2">
        <f>(1/9)*cnst_fish!$C$7*(1/cnst_fish!$C$8)^(R529-1)</f>
        <v>16.95501125742506</v>
      </c>
      <c r="T529" s="682">
        <f t="shared" si="79"/>
        <v>3871.3773297051553</v>
      </c>
      <c r="W529" s="818"/>
      <c r="X529" s="818"/>
      <c r="Y529" s="819"/>
      <c r="Z529" s="820"/>
      <c r="AA529" s="820"/>
      <c r="AB529" s="821"/>
      <c r="AC529" s="821"/>
      <c r="AD529" s="253"/>
      <c r="AE529" s="253"/>
    </row>
    <row r="530" spans="1:31" ht="14.5">
      <c r="A530" t="s">
        <v>868</v>
      </c>
      <c r="B530" t="s">
        <v>3829</v>
      </c>
      <c r="C530">
        <v>2133</v>
      </c>
      <c r="D530" s="581"/>
      <c r="E530" s="581"/>
      <c r="F530" s="2">
        <f>(1/S530)*cnst_fish!$C$6</f>
        <v>0.16946922663690964</v>
      </c>
      <c r="G530" s="2">
        <f t="shared" si="80"/>
        <v>1</v>
      </c>
      <c r="H530" s="2">
        <f t="shared" si="80"/>
        <v>0.36449057933102513</v>
      </c>
      <c r="I530" s="2">
        <f t="shared" si="74"/>
        <v>0</v>
      </c>
      <c r="J530" s="389">
        <f t="shared" si="75"/>
        <v>0</v>
      </c>
      <c r="L530" s="721"/>
      <c r="M530" s="581">
        <v>0</v>
      </c>
      <c r="N530" s="585" t="s">
        <v>1738</v>
      </c>
      <c r="O530" s="586" t="s">
        <v>4685</v>
      </c>
      <c r="P530" s="233">
        <f t="shared" si="76"/>
        <v>0</v>
      </c>
      <c r="Q530" s="233">
        <f t="shared" si="77"/>
        <v>0</v>
      </c>
      <c r="R530" s="2">
        <f t="shared" si="78"/>
        <v>3.25</v>
      </c>
      <c r="S530" s="2">
        <f>(1/9)*cnst_fish!$C$7*(1/cnst_fish!$C$8)^(R530-1)</f>
        <v>25.078299372343796</v>
      </c>
      <c r="T530" s="682">
        <f t="shared" si="79"/>
        <v>0</v>
      </c>
      <c r="W530" s="818"/>
      <c r="X530" s="818"/>
      <c r="Y530" s="819"/>
      <c r="Z530" s="820"/>
      <c r="AA530" s="820"/>
      <c r="AB530" s="821"/>
      <c r="AC530" s="821"/>
      <c r="AD530" s="253"/>
      <c r="AE530" s="253"/>
    </row>
    <row r="531" spans="1:31" ht="14.5">
      <c r="A531" t="s">
        <v>4235</v>
      </c>
      <c r="B531" t="s">
        <v>8590</v>
      </c>
      <c r="C531">
        <v>11545</v>
      </c>
      <c r="D531" s="581"/>
      <c r="E531" s="581"/>
      <c r="F531" s="2">
        <f>(1/S531)*cnst_fish!$C$6</f>
        <v>2.3938164528281767E-2</v>
      </c>
      <c r="G531" s="2">
        <f t="shared" si="80"/>
        <v>1</v>
      </c>
      <c r="H531" s="2">
        <f t="shared" si="80"/>
        <v>0.36449057933102513</v>
      </c>
      <c r="I531" s="2">
        <f t="shared" si="74"/>
        <v>0</v>
      </c>
      <c r="J531" s="389">
        <f t="shared" si="75"/>
        <v>0</v>
      </c>
      <c r="L531" s="721"/>
      <c r="M531" s="581"/>
      <c r="N531" s="585" t="s">
        <v>1738</v>
      </c>
      <c r="O531" s="586" t="s">
        <v>4685</v>
      </c>
      <c r="P531" s="233">
        <f t="shared" si="76"/>
        <v>0</v>
      </c>
      <c r="Q531" s="233">
        <f t="shared" si="77"/>
        <v>0</v>
      </c>
      <c r="R531" s="2">
        <f t="shared" si="78"/>
        <v>4.0999999999999996</v>
      </c>
      <c r="S531" s="2">
        <f>(1/9)*cnst_fish!$C$7*(1/cnst_fish!$C$8)^(R531-1)</f>
        <v>177.54076320174144</v>
      </c>
      <c r="T531" s="682">
        <f t="shared" si="79"/>
        <v>0</v>
      </c>
      <c r="W531" s="818"/>
      <c r="X531" s="818"/>
      <c r="Y531" s="819"/>
      <c r="Z531" s="820"/>
      <c r="AA531" s="820"/>
      <c r="AB531" s="821"/>
      <c r="AC531" s="821"/>
      <c r="AD531" s="253"/>
      <c r="AE531" s="253"/>
    </row>
    <row r="532" spans="1:31" ht="14.5">
      <c r="A532" t="s">
        <v>3226</v>
      </c>
      <c r="B532" t="s">
        <v>3830</v>
      </c>
      <c r="C532">
        <v>2132</v>
      </c>
      <c r="D532" s="581"/>
      <c r="E532" s="581"/>
      <c r="F532" s="2">
        <f>(1/S532)*cnst_fish!$C$6</f>
        <v>0.15103960722494611</v>
      </c>
      <c r="G532" s="2">
        <f t="shared" si="80"/>
        <v>1</v>
      </c>
      <c r="H532" s="2">
        <f t="shared" si="80"/>
        <v>0.36449057933102513</v>
      </c>
      <c r="I532" s="2">
        <f t="shared" si="74"/>
        <v>0</v>
      </c>
      <c r="J532" s="389">
        <f t="shared" si="75"/>
        <v>0</v>
      </c>
      <c r="L532" s="721">
        <v>6</v>
      </c>
      <c r="M532" s="581">
        <v>3772</v>
      </c>
      <c r="N532" s="585" t="s">
        <v>1738</v>
      </c>
      <c r="O532" s="586" t="s">
        <v>4685</v>
      </c>
      <c r="P532" s="233">
        <f t="shared" si="76"/>
        <v>0</v>
      </c>
      <c r="Q532" s="233">
        <f t="shared" si="77"/>
        <v>3778</v>
      </c>
      <c r="R532" s="2">
        <f t="shared" si="78"/>
        <v>3.3</v>
      </c>
      <c r="S532" s="2">
        <f>(1/9)*cnst_fish!$C$7*(1/cnst_fish!$C$8)^(R532-1)</f>
        <v>28.138314698279075</v>
      </c>
      <c r="T532" s="682">
        <f t="shared" si="79"/>
        <v>9117.1146033354908</v>
      </c>
      <c r="W532" s="818"/>
      <c r="X532" s="818"/>
      <c r="Y532" s="819"/>
      <c r="Z532" s="820"/>
      <c r="AA532" s="820"/>
      <c r="AB532" s="821"/>
      <c r="AC532" s="821"/>
      <c r="AD532" s="253"/>
      <c r="AE532" s="253"/>
    </row>
    <row r="533" spans="1:31" ht="14.5">
      <c r="A533" t="s">
        <v>6587</v>
      </c>
      <c r="B533" t="s">
        <v>6586</v>
      </c>
      <c r="C533">
        <v>11558</v>
      </c>
      <c r="D533" s="581"/>
      <c r="E533" s="581"/>
      <c r="F533" s="2">
        <f>(1/S533)*cnst_fish!$C$6</f>
        <v>3.0136363636363641</v>
      </c>
      <c r="G533" s="2">
        <f t="shared" si="80"/>
        <v>1</v>
      </c>
      <c r="H533" s="2">
        <f t="shared" si="80"/>
        <v>0.36449057933102513</v>
      </c>
      <c r="I533" s="2">
        <f t="shared" si="74"/>
        <v>0</v>
      </c>
      <c r="J533" s="389">
        <f t="shared" si="75"/>
        <v>0</v>
      </c>
      <c r="L533" s="721">
        <v>2</v>
      </c>
      <c r="M533" s="581"/>
      <c r="N533" s="585" t="s">
        <v>1738</v>
      </c>
      <c r="O533" s="586" t="s">
        <v>4681</v>
      </c>
      <c r="P533" s="233">
        <f t="shared" si="76"/>
        <v>0</v>
      </c>
      <c r="Q533" s="233">
        <f t="shared" si="77"/>
        <v>2</v>
      </c>
      <c r="R533" s="2">
        <f t="shared" si="78"/>
        <v>2</v>
      </c>
      <c r="S533" s="2">
        <f>(1/9)*cnst_fish!$C$7*(1/cnst_fish!$C$8)^(R533-1)</f>
        <v>1.4102564102564099</v>
      </c>
      <c r="T533" s="682">
        <f t="shared" si="79"/>
        <v>0.24189420046101209</v>
      </c>
      <c r="W533" s="818"/>
      <c r="X533" s="818"/>
      <c r="Y533" s="819"/>
      <c r="Z533" s="820"/>
      <c r="AA533" s="820"/>
      <c r="AB533" s="821"/>
      <c r="AC533" s="821"/>
      <c r="AD533" s="253"/>
      <c r="AE533" s="253"/>
    </row>
    <row r="534" spans="1:31" ht="14.5">
      <c r="A534" t="s">
        <v>1352</v>
      </c>
      <c r="B534" t="s">
        <v>1465</v>
      </c>
      <c r="C534">
        <v>3130</v>
      </c>
      <c r="D534" s="581">
        <v>5</v>
      </c>
      <c r="E534" s="581"/>
      <c r="F534" s="2">
        <f>(1/S534)*cnst_fish!$C$6</f>
        <v>1.2855555498429807E-2</v>
      </c>
      <c r="G534" s="2">
        <f t="shared" si="80"/>
        <v>1</v>
      </c>
      <c r="H534" s="2">
        <f t="shared" si="80"/>
        <v>0.36449057933102513</v>
      </c>
      <c r="I534" s="2">
        <f t="shared" si="74"/>
        <v>141.76383874486964</v>
      </c>
      <c r="J534" s="389">
        <f t="shared" si="75"/>
        <v>0</v>
      </c>
      <c r="L534" s="721">
        <v>119712</v>
      </c>
      <c r="M534" s="581"/>
      <c r="N534" s="585" t="s">
        <v>1738</v>
      </c>
      <c r="O534" s="586" t="s">
        <v>4699</v>
      </c>
      <c r="P534" s="233">
        <f t="shared" si="76"/>
        <v>5</v>
      </c>
      <c r="Q534" s="233">
        <f t="shared" si="77"/>
        <v>119712</v>
      </c>
      <c r="R534" s="2">
        <f t="shared" si="78"/>
        <v>4.37</v>
      </c>
      <c r="S534" s="2">
        <f>(1/9)*cnst_fish!$C$7*(1/cnst_fish!$C$8)^(R534-1)</f>
        <v>330.59637139127125</v>
      </c>
      <c r="T534" s="682">
        <f t="shared" si="79"/>
        <v>3394166.5327651673</v>
      </c>
      <c r="W534" s="818"/>
      <c r="X534" s="818"/>
      <c r="Y534" s="819"/>
      <c r="Z534" s="820"/>
      <c r="AA534" s="820"/>
      <c r="AB534" s="821"/>
      <c r="AC534" s="821"/>
      <c r="AD534" s="253"/>
      <c r="AE534" s="253"/>
    </row>
    <row r="535" spans="1:31" ht="14.5">
      <c r="A535" t="s">
        <v>1625</v>
      </c>
      <c r="B535" t="s">
        <v>1647</v>
      </c>
      <c r="C535">
        <v>3035</v>
      </c>
      <c r="D535" s="581"/>
      <c r="E535" s="581"/>
      <c r="F535" s="2">
        <f>(1/S535)*cnst_fish!$C$6</f>
        <v>8.6914222116951781E-2</v>
      </c>
      <c r="G535" s="2">
        <f t="shared" si="80"/>
        <v>1</v>
      </c>
      <c r="H535" s="2">
        <f t="shared" si="80"/>
        <v>0.36449057933102513</v>
      </c>
      <c r="I535" s="2">
        <f t="shared" si="74"/>
        <v>0</v>
      </c>
      <c r="J535" s="389">
        <f t="shared" si="75"/>
        <v>0</v>
      </c>
      <c r="L535" s="721">
        <v>1633</v>
      </c>
      <c r="M535" s="581"/>
      <c r="N535" s="585" t="s">
        <v>1738</v>
      </c>
      <c r="O535" s="586" t="s">
        <v>4681</v>
      </c>
      <c r="P535" s="233">
        <f t="shared" si="76"/>
        <v>0</v>
      </c>
      <c r="Q535" s="233">
        <f t="shared" si="77"/>
        <v>1633</v>
      </c>
      <c r="R535" s="2">
        <f t="shared" si="78"/>
        <v>3.54</v>
      </c>
      <c r="S535" s="2">
        <f>(1/9)*cnst_fish!$C$7*(1/cnst_fish!$C$8)^(R535-1)</f>
        <v>48.898786602280119</v>
      </c>
      <c r="T535" s="682">
        <f t="shared" si="79"/>
        <v>6848.2821516442418</v>
      </c>
      <c r="W535" s="818"/>
      <c r="X535" s="818"/>
      <c r="Y535" s="819"/>
      <c r="Z535" s="820"/>
      <c r="AA535" s="820"/>
      <c r="AB535" s="821"/>
      <c r="AC535" s="821"/>
      <c r="AD535" s="253"/>
      <c r="AE535" s="253"/>
    </row>
    <row r="536" spans="1:31" ht="14.5">
      <c r="A536" t="s">
        <v>5486</v>
      </c>
      <c r="B536" t="s">
        <v>5487</v>
      </c>
      <c r="C536">
        <v>18579</v>
      </c>
      <c r="D536" s="581"/>
      <c r="E536" s="581"/>
      <c r="F536" s="2">
        <f>(1/S536)*cnst_fish!$C$6</f>
        <v>4.7762917572805388E-2</v>
      </c>
      <c r="G536" s="2">
        <f t="shared" si="80"/>
        <v>1</v>
      </c>
      <c r="H536" s="2">
        <f t="shared" si="80"/>
        <v>0.36449057933102513</v>
      </c>
      <c r="I536" s="2">
        <f t="shared" si="74"/>
        <v>0</v>
      </c>
      <c r="J536" s="389">
        <f t="shared" si="75"/>
        <v>0</v>
      </c>
      <c r="L536" s="721">
        <v>0</v>
      </c>
      <c r="M536" s="581"/>
      <c r="N536" s="585" t="s">
        <v>1738</v>
      </c>
      <c r="O536" s="586" t="s">
        <v>4681</v>
      </c>
      <c r="P536" s="233">
        <f t="shared" si="76"/>
        <v>0</v>
      </c>
      <c r="Q536" s="233">
        <f t="shared" si="77"/>
        <v>0</v>
      </c>
      <c r="R536" s="2">
        <f t="shared" si="78"/>
        <v>3.8</v>
      </c>
      <c r="S536" s="2">
        <f>(1/9)*cnst_fish!$C$7*(1/cnst_fish!$C$8)^(R536-1)</f>
        <v>88.981163965155432</v>
      </c>
      <c r="T536" s="682">
        <f t="shared" si="79"/>
        <v>0</v>
      </c>
      <c r="W536" s="818"/>
      <c r="X536" s="818"/>
      <c r="Y536" s="819"/>
      <c r="Z536" s="820"/>
      <c r="AA536" s="820"/>
      <c r="AB536" s="821"/>
      <c r="AC536" s="821"/>
      <c r="AD536" s="253"/>
      <c r="AE536" s="253"/>
    </row>
    <row r="537" spans="1:31" ht="14.5">
      <c r="A537" t="s">
        <v>8591</v>
      </c>
      <c r="B537" t="s">
        <v>8592</v>
      </c>
      <c r="C537">
        <v>11580</v>
      </c>
      <c r="D537" s="581"/>
      <c r="E537" s="581"/>
      <c r="F537" s="2">
        <f>(1/S537)*cnst_fish!$C$6</f>
        <v>9.5299549485983348E-2</v>
      </c>
      <c r="G537" s="2">
        <f t="shared" si="80"/>
        <v>1</v>
      </c>
      <c r="H537" s="2">
        <f t="shared" si="80"/>
        <v>0.36449057933102513</v>
      </c>
      <c r="I537" s="2">
        <f t="shared" si="74"/>
        <v>0</v>
      </c>
      <c r="J537" s="389">
        <f t="shared" si="75"/>
        <v>0</v>
      </c>
      <c r="L537" s="721"/>
      <c r="M537" s="581"/>
      <c r="N537" s="585" t="s">
        <v>1738</v>
      </c>
      <c r="O537" s="586" t="s">
        <v>4685</v>
      </c>
      <c r="P537" s="233">
        <f t="shared" si="76"/>
        <v>0</v>
      </c>
      <c r="Q537" s="233">
        <f t="shared" si="77"/>
        <v>0</v>
      </c>
      <c r="R537" s="2">
        <f t="shared" si="78"/>
        <v>3.5</v>
      </c>
      <c r="S537" s="2">
        <f>(1/9)*cnst_fish!$C$7*(1/cnst_fish!$C$8)^(R537-1)</f>
        <v>44.596223412631026</v>
      </c>
      <c r="T537" s="682">
        <f t="shared" si="79"/>
        <v>0</v>
      </c>
      <c r="W537" s="818"/>
      <c r="X537" s="818"/>
      <c r="Y537" s="819"/>
      <c r="Z537" s="820"/>
      <c r="AA537" s="820"/>
      <c r="AB537" s="821"/>
      <c r="AC537" s="821"/>
      <c r="AD537" s="253"/>
      <c r="AE537" s="253"/>
    </row>
    <row r="538" spans="1:31" ht="14.5">
      <c r="A538" t="s">
        <v>1193</v>
      </c>
      <c r="B538" t="s">
        <v>2416</v>
      </c>
      <c r="C538">
        <v>18761</v>
      </c>
      <c r="D538" s="581"/>
      <c r="E538" s="581"/>
      <c r="F538" s="2">
        <f>(1/S538)*cnst_fish!$C$6</f>
        <v>0.12276960190187568</v>
      </c>
      <c r="G538" s="2">
        <f t="shared" si="80"/>
        <v>1</v>
      </c>
      <c r="H538" s="2">
        <f t="shared" si="80"/>
        <v>0.36449057933102513</v>
      </c>
      <c r="I538" s="2">
        <f t="shared" si="74"/>
        <v>0</v>
      </c>
      <c r="J538" s="389">
        <f t="shared" si="75"/>
        <v>0</v>
      </c>
      <c r="L538" s="721">
        <v>388</v>
      </c>
      <c r="M538" s="581"/>
      <c r="N538" s="585" t="s">
        <v>1738</v>
      </c>
      <c r="O538" s="586" t="s">
        <v>4681</v>
      </c>
      <c r="P538" s="233">
        <f t="shared" si="76"/>
        <v>0</v>
      </c>
      <c r="Q538" s="233">
        <f t="shared" si="77"/>
        <v>388</v>
      </c>
      <c r="R538" s="2">
        <f t="shared" si="78"/>
        <v>3.39</v>
      </c>
      <c r="S538" s="2">
        <f>(1/9)*cnst_fish!$C$7*(1/cnst_fish!$C$8)^(R538-1)</f>
        <v>34.617689836583793</v>
      </c>
      <c r="T538" s="682">
        <f t="shared" si="79"/>
        <v>1151.9329100168491</v>
      </c>
      <c r="W538" s="818"/>
      <c r="X538" s="818"/>
      <c r="Y538" s="819"/>
      <c r="Z538" s="820"/>
      <c r="AA538" s="820"/>
      <c r="AB538" s="821"/>
      <c r="AC538" s="821"/>
      <c r="AD538" s="253"/>
      <c r="AE538" s="253"/>
    </row>
    <row r="539" spans="1:31" ht="14.5">
      <c r="A539" t="s">
        <v>1182</v>
      </c>
      <c r="B539" t="s">
        <v>1183</v>
      </c>
      <c r="C539">
        <v>19030</v>
      </c>
      <c r="D539" s="581"/>
      <c r="E539" s="581"/>
      <c r="F539" s="2">
        <f>(1/S539)*cnst_fish!$C$6</f>
        <v>1.6561163607618418E-2</v>
      </c>
      <c r="G539" s="2">
        <f t="shared" si="80"/>
        <v>1</v>
      </c>
      <c r="H539" s="2">
        <f t="shared" si="80"/>
        <v>0.36449057933102513</v>
      </c>
      <c r="I539" s="2">
        <f t="shared" si="74"/>
        <v>0</v>
      </c>
      <c r="J539" s="389">
        <f t="shared" si="75"/>
        <v>0</v>
      </c>
      <c r="L539" s="721">
        <v>2.4</v>
      </c>
      <c r="M539" s="581"/>
      <c r="N539" s="585" t="s">
        <v>1738</v>
      </c>
      <c r="O539" s="586" t="s">
        <v>4681</v>
      </c>
      <c r="P539" s="233">
        <f t="shared" si="76"/>
        <v>0</v>
      </c>
      <c r="Q539" s="233">
        <f t="shared" si="77"/>
        <v>2.4</v>
      </c>
      <c r="R539" s="2">
        <f t="shared" si="78"/>
        <v>4.26</v>
      </c>
      <c r="S539" s="2">
        <f>(1/9)*cnst_fish!$C$7*(1/cnst_fish!$C$8)^(R539-1)</f>
        <v>256.62448006038221</v>
      </c>
      <c r="T539" s="682">
        <f t="shared" si="79"/>
        <v>52.821010112601492</v>
      </c>
      <c r="W539" s="818"/>
      <c r="X539" s="818"/>
      <c r="Y539" s="819"/>
      <c r="Z539" s="820"/>
      <c r="AA539" s="820"/>
      <c r="AB539" s="821"/>
      <c r="AC539" s="821"/>
      <c r="AD539" s="253"/>
      <c r="AE539" s="253"/>
    </row>
    <row r="540" spans="1:31" ht="14.5">
      <c r="A540" t="s">
        <v>3121</v>
      </c>
      <c r="B540" t="s">
        <v>764</v>
      </c>
      <c r="C540">
        <v>3435</v>
      </c>
      <c r="D540" s="581"/>
      <c r="E540" s="581"/>
      <c r="F540" s="2">
        <f>(1/S540)*cnst_fish!$C$6</f>
        <v>0.19457670629544385</v>
      </c>
      <c r="G540" s="2">
        <f t="shared" si="80"/>
        <v>1</v>
      </c>
      <c r="H540" s="2">
        <f t="shared" si="80"/>
        <v>0.36449057933102513</v>
      </c>
      <c r="I540" s="2">
        <f t="shared" si="74"/>
        <v>0</v>
      </c>
      <c r="J540" s="389">
        <f t="shared" si="75"/>
        <v>0</v>
      </c>
      <c r="L540" s="721">
        <v>51179</v>
      </c>
      <c r="M540" s="581"/>
      <c r="N540" s="585" t="s">
        <v>2322</v>
      </c>
      <c r="O540" s="586" t="s">
        <v>4680</v>
      </c>
      <c r="P540" s="233">
        <f t="shared" si="76"/>
        <v>0</v>
      </c>
      <c r="Q540" s="233">
        <f t="shared" si="77"/>
        <v>51179</v>
      </c>
      <c r="R540" s="2">
        <f t="shared" si="78"/>
        <v>3.19</v>
      </c>
      <c r="S540" s="2">
        <f>(1/9)*cnst_fish!$C$7*(1/cnst_fish!$C$8)^(R540-1)</f>
        <v>21.84228565132987</v>
      </c>
      <c r="T540" s="682">
        <f t="shared" si="79"/>
        <v>95870.999744738394</v>
      </c>
      <c r="W540" s="818"/>
      <c r="X540" s="818"/>
      <c r="Y540" s="819"/>
      <c r="Z540" s="820"/>
      <c r="AA540" s="820"/>
      <c r="AB540" s="821"/>
      <c r="AC540" s="821"/>
      <c r="AD540" s="253"/>
      <c r="AE540" s="253"/>
    </row>
    <row r="541" spans="1:31" ht="14.5">
      <c r="A541" t="s">
        <v>59</v>
      </c>
      <c r="B541" t="s">
        <v>765</v>
      </c>
      <c r="C541">
        <v>2609</v>
      </c>
      <c r="D541" s="581"/>
      <c r="E541" s="581"/>
      <c r="F541" s="2">
        <f>(1/S541)*cnst_fish!$C$6</f>
        <v>1.9014759972289452</v>
      </c>
      <c r="G541" s="2">
        <f t="shared" si="80"/>
        <v>1</v>
      </c>
      <c r="H541" s="2">
        <f t="shared" si="80"/>
        <v>0.36449057933102513</v>
      </c>
      <c r="I541" s="2">
        <f t="shared" si="74"/>
        <v>0</v>
      </c>
      <c r="J541" s="389">
        <f t="shared" si="75"/>
        <v>0</v>
      </c>
      <c r="L541" s="721"/>
      <c r="M541" s="581"/>
      <c r="N541" s="585" t="s">
        <v>2322</v>
      </c>
      <c r="O541" s="586" t="s">
        <v>4680</v>
      </c>
      <c r="P541" s="233">
        <f t="shared" si="76"/>
        <v>0</v>
      </c>
      <c r="Q541" s="233">
        <f t="shared" si="77"/>
        <v>0</v>
      </c>
      <c r="R541" s="2">
        <f t="shared" si="78"/>
        <v>2.2000000000000002</v>
      </c>
      <c r="S541" s="2">
        <f>(1/9)*cnst_fish!$C$7*(1/cnst_fish!$C$8)^(R541-1)</f>
        <v>2.2351057842400328</v>
      </c>
      <c r="T541" s="682">
        <f t="shared" si="79"/>
        <v>0</v>
      </c>
      <c r="W541" s="818"/>
      <c r="X541" s="818"/>
      <c r="Y541" s="819"/>
      <c r="Z541" s="820"/>
      <c r="AA541" s="820"/>
      <c r="AB541" s="821"/>
      <c r="AC541" s="821"/>
      <c r="AD541" s="253"/>
      <c r="AE541" s="253"/>
    </row>
    <row r="542" spans="1:31" ht="14.5">
      <c r="A542" t="s">
        <v>449</v>
      </c>
      <c r="B542" t="s">
        <v>8593</v>
      </c>
      <c r="C542">
        <v>18782</v>
      </c>
      <c r="D542" s="581"/>
      <c r="E542" s="581"/>
      <c r="F542" s="2">
        <f>(1/S542)*cnst_fish!$C$6</f>
        <v>2.3938164528281742</v>
      </c>
      <c r="G542" s="2">
        <f t="shared" si="80"/>
        <v>1</v>
      </c>
      <c r="H542" s="2">
        <f t="shared" si="80"/>
        <v>0.36449057933102513</v>
      </c>
      <c r="I542" s="2">
        <f t="shared" si="74"/>
        <v>0</v>
      </c>
      <c r="J542" s="389">
        <f t="shared" si="75"/>
        <v>0</v>
      </c>
      <c r="L542" s="721"/>
      <c r="M542" s="581"/>
      <c r="N542" s="585" t="s">
        <v>2316</v>
      </c>
      <c r="O542" s="586" t="s">
        <v>4691</v>
      </c>
      <c r="P542" s="233">
        <f t="shared" si="76"/>
        <v>0</v>
      </c>
      <c r="Q542" s="233">
        <f t="shared" si="77"/>
        <v>0</v>
      </c>
      <c r="R542" s="2">
        <f t="shared" si="78"/>
        <v>2.1</v>
      </c>
      <c r="S542" s="2">
        <f>(1/9)*cnst_fish!$C$7*(1/cnst_fish!$C$8)^(R542-1)</f>
        <v>1.7754076320174161</v>
      </c>
      <c r="T542" s="682">
        <f t="shared" si="79"/>
        <v>0</v>
      </c>
      <c r="W542" s="818"/>
      <c r="X542" s="818"/>
      <c r="Y542" s="819"/>
      <c r="Z542" s="820"/>
      <c r="AA542" s="820"/>
      <c r="AB542" s="821"/>
      <c r="AC542" s="821"/>
      <c r="AD542" s="253"/>
      <c r="AE542" s="253"/>
    </row>
    <row r="543" spans="1:31" ht="14.5">
      <c r="A543" t="s">
        <v>4205</v>
      </c>
      <c r="B543" t="s">
        <v>8594</v>
      </c>
      <c r="C543">
        <v>2671</v>
      </c>
      <c r="D543" s="581"/>
      <c r="E543" s="581"/>
      <c r="F543" s="2">
        <f>(1/S543)*cnst_fish!$C$6</f>
        <v>2.3938164528281742</v>
      </c>
      <c r="G543" s="2">
        <f t="shared" si="80"/>
        <v>1</v>
      </c>
      <c r="H543" s="2">
        <f t="shared" si="80"/>
        <v>0.36449057933102513</v>
      </c>
      <c r="I543" s="2">
        <f t="shared" si="74"/>
        <v>0</v>
      </c>
      <c r="J543" s="389">
        <f t="shared" si="75"/>
        <v>0</v>
      </c>
      <c r="L543" s="721"/>
      <c r="M543" s="581"/>
      <c r="N543" s="585" t="s">
        <v>2316</v>
      </c>
      <c r="O543" s="586" t="s">
        <v>4680</v>
      </c>
      <c r="P543" s="233">
        <f t="shared" si="76"/>
        <v>0</v>
      </c>
      <c r="Q543" s="233">
        <f t="shared" si="77"/>
        <v>0</v>
      </c>
      <c r="R543" s="2">
        <f t="shared" si="78"/>
        <v>2.1</v>
      </c>
      <c r="S543" s="2">
        <f>(1/9)*cnst_fish!$C$7*(1/cnst_fish!$C$8)^(R543-1)</f>
        <v>1.7754076320174161</v>
      </c>
      <c r="T543" s="682">
        <f t="shared" si="79"/>
        <v>0</v>
      </c>
      <c r="W543" s="818"/>
      <c r="X543" s="818"/>
      <c r="Y543" s="819"/>
      <c r="Z543" s="820"/>
      <c r="AA543" s="820"/>
      <c r="AB543" s="821"/>
      <c r="AC543" s="821"/>
      <c r="AD543" s="253"/>
      <c r="AE543" s="253"/>
    </row>
    <row r="544" spans="1:31" ht="14.5">
      <c r="A544" t="s">
        <v>432</v>
      </c>
      <c r="B544" t="s">
        <v>8595</v>
      </c>
      <c r="C544">
        <v>2675</v>
      </c>
      <c r="D544" s="581"/>
      <c r="E544" s="581"/>
      <c r="F544" s="2">
        <f>(1/S544)*cnst_fish!$C$6</f>
        <v>3.0136363636363641</v>
      </c>
      <c r="G544" s="2">
        <f t="shared" si="80"/>
        <v>1</v>
      </c>
      <c r="H544" s="2">
        <f t="shared" si="80"/>
        <v>0.36449057933102513</v>
      </c>
      <c r="I544" s="2">
        <f t="shared" si="74"/>
        <v>0</v>
      </c>
      <c r="J544" s="389">
        <f t="shared" si="75"/>
        <v>0</v>
      </c>
      <c r="L544" s="721"/>
      <c r="M544" s="581"/>
      <c r="N544" s="585" t="s">
        <v>2316</v>
      </c>
      <c r="O544" s="586" t="s">
        <v>4680</v>
      </c>
      <c r="P544" s="233">
        <f t="shared" si="76"/>
        <v>0</v>
      </c>
      <c r="Q544" s="233">
        <f t="shared" si="77"/>
        <v>0</v>
      </c>
      <c r="R544" s="2">
        <f t="shared" si="78"/>
        <v>2</v>
      </c>
      <c r="S544" s="2">
        <f>(1/9)*cnst_fish!$C$7*(1/cnst_fish!$C$8)^(R544-1)</f>
        <v>1.4102564102564099</v>
      </c>
      <c r="T544" s="682">
        <f t="shared" si="79"/>
        <v>0</v>
      </c>
      <c r="W544" s="818"/>
      <c r="X544" s="818"/>
      <c r="Y544" s="819"/>
      <c r="Z544" s="820"/>
      <c r="AA544" s="820"/>
      <c r="AB544" s="821"/>
      <c r="AC544" s="821"/>
      <c r="AD544" s="253"/>
      <c r="AE544" s="253"/>
    </row>
    <row r="545" spans="1:31" ht="14.5">
      <c r="A545" t="s">
        <v>4274</v>
      </c>
      <c r="B545" t="s">
        <v>2613</v>
      </c>
      <c r="C545">
        <v>2672</v>
      </c>
      <c r="D545" s="581"/>
      <c r="E545" s="581"/>
      <c r="F545" s="2">
        <f>(1/S545)*cnst_fish!$C$6</f>
        <v>2.3938164528281742</v>
      </c>
      <c r="G545" s="2">
        <f t="shared" si="80"/>
        <v>1</v>
      </c>
      <c r="H545" s="2">
        <f t="shared" si="80"/>
        <v>0.36449057933102513</v>
      </c>
      <c r="I545" s="2">
        <f t="shared" si="74"/>
        <v>0</v>
      </c>
      <c r="J545" s="389">
        <f t="shared" si="75"/>
        <v>0</v>
      </c>
      <c r="L545" s="721"/>
      <c r="M545" s="581"/>
      <c r="N545" s="585" t="s">
        <v>2316</v>
      </c>
      <c r="O545" s="586" t="s">
        <v>4680</v>
      </c>
      <c r="P545" s="233">
        <f t="shared" si="76"/>
        <v>0</v>
      </c>
      <c r="Q545" s="233">
        <f t="shared" si="77"/>
        <v>0</v>
      </c>
      <c r="R545" s="2">
        <f t="shared" si="78"/>
        <v>2.1</v>
      </c>
      <c r="S545" s="2">
        <f>(1/9)*cnst_fish!$C$7*(1/cnst_fish!$C$8)^(R545-1)</f>
        <v>1.7754076320174161</v>
      </c>
      <c r="T545" s="682">
        <f t="shared" si="79"/>
        <v>0</v>
      </c>
      <c r="W545" s="818"/>
      <c r="X545" s="818"/>
      <c r="Y545" s="819"/>
      <c r="Z545" s="820"/>
      <c r="AA545" s="820"/>
      <c r="AB545" s="821"/>
      <c r="AC545" s="821"/>
      <c r="AD545" s="253"/>
      <c r="AE545" s="253"/>
    </row>
    <row r="546" spans="1:31" ht="14.5">
      <c r="A546" t="s">
        <v>2006</v>
      </c>
      <c r="B546" t="s">
        <v>2613</v>
      </c>
      <c r="C546">
        <v>3514</v>
      </c>
      <c r="D546" s="581"/>
      <c r="E546" s="581"/>
      <c r="F546" s="2">
        <f>(1/S546)*cnst_fish!$C$6</f>
        <v>2.3938164528281742</v>
      </c>
      <c r="G546" s="2">
        <f t="shared" si="80"/>
        <v>1</v>
      </c>
      <c r="H546" s="2">
        <f t="shared" si="80"/>
        <v>0.36449057933102513</v>
      </c>
      <c r="I546" s="2">
        <f t="shared" si="74"/>
        <v>0</v>
      </c>
      <c r="J546" s="389">
        <f t="shared" si="75"/>
        <v>0</v>
      </c>
      <c r="L546" s="721">
        <v>43945</v>
      </c>
      <c r="M546" s="581"/>
      <c r="N546" s="585" t="s">
        <v>2316</v>
      </c>
      <c r="O546" s="586" t="s">
        <v>4691</v>
      </c>
      <c r="P546" s="233">
        <f t="shared" si="76"/>
        <v>0</v>
      </c>
      <c r="Q546" s="233">
        <f t="shared" si="77"/>
        <v>43945</v>
      </c>
      <c r="R546" s="2">
        <f t="shared" si="78"/>
        <v>2.1</v>
      </c>
      <c r="S546" s="2">
        <f>(1/9)*cnst_fish!$C$7*(1/cnst_fish!$C$8)^(R546-1)</f>
        <v>1.7754076320174161</v>
      </c>
      <c r="T546" s="682">
        <f t="shared" si="79"/>
        <v>6691.2141445840516</v>
      </c>
      <c r="W546" s="818"/>
      <c r="X546" s="818"/>
      <c r="Y546" s="819"/>
      <c r="Z546" s="820"/>
      <c r="AA546" s="820"/>
      <c r="AB546" s="821"/>
      <c r="AC546" s="821"/>
      <c r="AD546" s="253"/>
      <c r="AE546" s="253"/>
    </row>
    <row r="547" spans="1:31" ht="14.5">
      <c r="A547" t="s">
        <v>730</v>
      </c>
      <c r="B547" t="s">
        <v>2265</v>
      </c>
      <c r="C547">
        <v>2673</v>
      </c>
      <c r="D547" s="581"/>
      <c r="E547" s="581"/>
      <c r="F547" s="2">
        <f>(1/S547)*cnst_fish!$C$6</f>
        <v>2.3938164528281742</v>
      </c>
      <c r="G547" s="2">
        <f t="shared" si="80"/>
        <v>1</v>
      </c>
      <c r="H547" s="2">
        <f t="shared" si="80"/>
        <v>0.36449057933102513</v>
      </c>
      <c r="I547" s="2">
        <f t="shared" si="74"/>
        <v>0</v>
      </c>
      <c r="J547" s="389">
        <f t="shared" si="75"/>
        <v>0</v>
      </c>
      <c r="L547" s="721">
        <v>77</v>
      </c>
      <c r="M547" s="581"/>
      <c r="N547" s="585" t="s">
        <v>2316</v>
      </c>
      <c r="O547" s="586" t="s">
        <v>4691</v>
      </c>
      <c r="P547" s="233">
        <f t="shared" si="76"/>
        <v>0</v>
      </c>
      <c r="Q547" s="233">
        <f t="shared" si="77"/>
        <v>77</v>
      </c>
      <c r="R547" s="2">
        <f t="shared" si="78"/>
        <v>2.1</v>
      </c>
      <c r="S547" s="2">
        <f>(1/9)*cnst_fish!$C$7*(1/cnst_fish!$C$8)^(R547-1)</f>
        <v>1.7754076320174161</v>
      </c>
      <c r="T547" s="682">
        <f t="shared" si="79"/>
        <v>11.724280103151028</v>
      </c>
      <c r="W547" s="818"/>
      <c r="X547" s="818"/>
      <c r="Y547" s="819"/>
      <c r="Z547" s="820"/>
      <c r="AA547" s="820"/>
      <c r="AB547" s="821"/>
      <c r="AC547" s="821"/>
      <c r="AD547" s="253"/>
      <c r="AE547" s="253"/>
    </row>
    <row r="548" spans="1:31" ht="14.5">
      <c r="A548" t="s">
        <v>2056</v>
      </c>
      <c r="B548" t="s">
        <v>2266</v>
      </c>
      <c r="C548">
        <v>3515</v>
      </c>
      <c r="D548" s="581"/>
      <c r="E548" s="581"/>
      <c r="F548" s="2">
        <f>(1/S548)*cnst_fish!$C$6</f>
        <v>2.3938164528281742</v>
      </c>
      <c r="G548" s="2">
        <f t="shared" ref="G548:H567" si="81">G$7</f>
        <v>1</v>
      </c>
      <c r="H548" s="2">
        <f t="shared" si="81"/>
        <v>0.36449057933102513</v>
      </c>
      <c r="I548" s="2">
        <f t="shared" si="74"/>
        <v>0</v>
      </c>
      <c r="J548" s="389">
        <f t="shared" si="75"/>
        <v>0</v>
      </c>
      <c r="L548" s="721">
        <v>27</v>
      </c>
      <c r="M548" s="581"/>
      <c r="N548" s="585" t="s">
        <v>2316</v>
      </c>
      <c r="O548" s="586" t="s">
        <v>4691</v>
      </c>
      <c r="P548" s="233">
        <f t="shared" si="76"/>
        <v>0</v>
      </c>
      <c r="Q548" s="233">
        <f t="shared" si="77"/>
        <v>27</v>
      </c>
      <c r="R548" s="2">
        <f t="shared" si="78"/>
        <v>2.1</v>
      </c>
      <c r="S548" s="2">
        <f>(1/9)*cnst_fish!$C$7*(1/cnst_fish!$C$8)^(R548-1)</f>
        <v>1.7754076320174161</v>
      </c>
      <c r="T548" s="682">
        <f t="shared" si="79"/>
        <v>4.1111112050010092</v>
      </c>
      <c r="W548" s="818"/>
      <c r="X548" s="818"/>
      <c r="Y548" s="819"/>
      <c r="Z548" s="820"/>
      <c r="AA548" s="820"/>
      <c r="AB548" s="821"/>
      <c r="AC548" s="821"/>
      <c r="AD548" s="253"/>
      <c r="AE548" s="253"/>
    </row>
    <row r="549" spans="1:31" ht="14.5">
      <c r="A549" t="s">
        <v>711</v>
      </c>
      <c r="B549" t="s">
        <v>3082</v>
      </c>
      <c r="C549">
        <v>3513</v>
      </c>
      <c r="D549" s="581"/>
      <c r="E549" s="581"/>
      <c r="F549" s="2">
        <f>(1/S549)*cnst_fish!$C$6</f>
        <v>2.3938164528281742</v>
      </c>
      <c r="G549" s="2">
        <f t="shared" si="81"/>
        <v>1</v>
      </c>
      <c r="H549" s="2">
        <f t="shared" si="81"/>
        <v>0.36449057933102513</v>
      </c>
      <c r="I549" s="2">
        <f t="shared" si="74"/>
        <v>0</v>
      </c>
      <c r="J549" s="389">
        <f t="shared" si="75"/>
        <v>0</v>
      </c>
      <c r="L549" s="721">
        <v>9083</v>
      </c>
      <c r="M549" s="581"/>
      <c r="N549" s="585" t="s">
        <v>2316</v>
      </c>
      <c r="O549" s="586" t="s">
        <v>4691</v>
      </c>
      <c r="P549" s="233">
        <f t="shared" si="76"/>
        <v>0</v>
      </c>
      <c r="Q549" s="233">
        <f t="shared" si="77"/>
        <v>9083</v>
      </c>
      <c r="R549" s="2">
        <f t="shared" si="78"/>
        <v>2.1</v>
      </c>
      <c r="S549" s="2">
        <f>(1/9)*cnst_fish!$C$7*(1/cnst_fish!$C$8)^(R549-1)</f>
        <v>1.7754076320174161</v>
      </c>
      <c r="T549" s="682">
        <f t="shared" si="79"/>
        <v>1383.0082620379324</v>
      </c>
      <c r="W549" s="818"/>
      <c r="X549" s="818"/>
      <c r="Y549" s="819"/>
      <c r="Z549" s="820"/>
      <c r="AA549" s="820"/>
      <c r="AB549" s="821"/>
      <c r="AC549" s="821"/>
      <c r="AD549" s="253"/>
      <c r="AE549" s="253"/>
    </row>
    <row r="550" spans="1:31" ht="14.5">
      <c r="A550" t="s">
        <v>1326</v>
      </c>
      <c r="B550" t="s">
        <v>3204</v>
      </c>
      <c r="C550">
        <v>2669</v>
      </c>
      <c r="D550" s="581">
        <v>1756</v>
      </c>
      <c r="E550" s="581"/>
      <c r="F550" s="2">
        <f>(1/S550)*cnst_fish!$C$6</f>
        <v>2.3938164528281742</v>
      </c>
      <c r="G550" s="2">
        <f t="shared" si="81"/>
        <v>1</v>
      </c>
      <c r="H550" s="2">
        <f t="shared" si="81"/>
        <v>0.36449057933102513</v>
      </c>
      <c r="I550" s="2">
        <f t="shared" si="74"/>
        <v>267.37449170302864</v>
      </c>
      <c r="J550" s="389">
        <f t="shared" si="75"/>
        <v>0</v>
      </c>
      <c r="L550" s="721">
        <v>90936</v>
      </c>
      <c r="M550" s="581"/>
      <c r="N550" s="585" t="s">
        <v>2316</v>
      </c>
      <c r="O550" s="586" t="s">
        <v>4691</v>
      </c>
      <c r="P550" s="233">
        <f t="shared" si="76"/>
        <v>1756</v>
      </c>
      <c r="Q550" s="233">
        <f t="shared" si="77"/>
        <v>90936</v>
      </c>
      <c r="R550" s="2">
        <f t="shared" si="78"/>
        <v>2.1</v>
      </c>
      <c r="S550" s="2">
        <f>(1/9)*cnst_fish!$C$7*(1/cnst_fish!$C$8)^(R550-1)</f>
        <v>1.7754076320174161</v>
      </c>
      <c r="T550" s="682">
        <f t="shared" si="79"/>
        <v>13846.2225384434</v>
      </c>
      <c r="W550" s="818"/>
      <c r="X550" s="818"/>
      <c r="Y550" s="819"/>
      <c r="Z550" s="820"/>
      <c r="AA550" s="820"/>
      <c r="AB550" s="821"/>
      <c r="AC550" s="821"/>
      <c r="AD550" s="253"/>
      <c r="AE550" s="253"/>
    </row>
    <row r="551" spans="1:31" ht="14.5">
      <c r="A551" t="s">
        <v>9008</v>
      </c>
      <c r="B551" t="s">
        <v>9009</v>
      </c>
      <c r="C551">
        <v>11601</v>
      </c>
      <c r="D551" s="581"/>
      <c r="E551" s="581"/>
      <c r="F551" s="869">
        <f>(1/S551)*cnst_fish!$C$6</f>
        <v>1.9014759972289439E-2</v>
      </c>
      <c r="G551" s="869">
        <f t="shared" si="81"/>
        <v>1</v>
      </c>
      <c r="H551" s="869">
        <f t="shared" si="81"/>
        <v>0.36449057933102513</v>
      </c>
      <c r="I551" s="869">
        <f t="shared" si="74"/>
        <v>0</v>
      </c>
      <c r="J551" s="389">
        <f t="shared" si="75"/>
        <v>0</v>
      </c>
      <c r="L551" s="721">
        <v>4</v>
      </c>
      <c r="M551" s="581"/>
      <c r="N551" s="877" t="s">
        <v>2319</v>
      </c>
      <c r="O551" s="881" t="s">
        <v>4681</v>
      </c>
      <c r="P551" s="871">
        <f t="shared" si="76"/>
        <v>0</v>
      </c>
      <c r="Q551" s="871">
        <f t="shared" si="77"/>
        <v>4</v>
      </c>
      <c r="R551" s="869">
        <f t="shared" si="78"/>
        <v>4.2</v>
      </c>
      <c r="S551" s="869">
        <f>(1/9)*cnst_fish!$C$7*(1/cnst_fish!$C$8)^(R551-1)</f>
        <v>223.51057842400343</v>
      </c>
      <c r="T551" s="682">
        <f t="shared" si="79"/>
        <v>76.675294321296505</v>
      </c>
      <c r="W551" s="818"/>
      <c r="X551" s="818"/>
      <c r="Y551" s="819"/>
      <c r="Z551" s="820"/>
      <c r="AA551" s="820"/>
      <c r="AB551" s="821"/>
      <c r="AC551" s="821"/>
      <c r="AD551" s="253"/>
      <c r="AE551" s="253"/>
    </row>
    <row r="552" spans="1:31" ht="14.5">
      <c r="A552" t="s">
        <v>2211</v>
      </c>
      <c r="B552" t="s">
        <v>2417</v>
      </c>
      <c r="C552">
        <v>11609</v>
      </c>
      <c r="D552" s="581"/>
      <c r="E552" s="581"/>
      <c r="F552" s="2">
        <f>(1/S552)*cnst_fish!$C$6</f>
        <v>0.47762917572805397</v>
      </c>
      <c r="G552" s="2">
        <f t="shared" si="81"/>
        <v>1</v>
      </c>
      <c r="H552" s="2">
        <f t="shared" si="81"/>
        <v>0.36449057933102513</v>
      </c>
      <c r="I552" s="2">
        <f t="shared" si="74"/>
        <v>0</v>
      </c>
      <c r="J552" s="389">
        <f t="shared" si="75"/>
        <v>0</v>
      </c>
      <c r="L552" s="721">
        <v>62</v>
      </c>
      <c r="M552" s="581"/>
      <c r="N552" s="585" t="s">
        <v>1738</v>
      </c>
      <c r="O552" s="586" t="s">
        <v>4681</v>
      </c>
      <c r="P552" s="233">
        <f t="shared" si="76"/>
        <v>0</v>
      </c>
      <c r="Q552" s="233">
        <f t="shared" si="77"/>
        <v>62</v>
      </c>
      <c r="R552" s="2">
        <f t="shared" si="78"/>
        <v>2.8</v>
      </c>
      <c r="S552" s="2">
        <f>(1/9)*cnst_fish!$C$7*(1/cnst_fish!$C$8)^(R552-1)</f>
        <v>8.8981163965155421</v>
      </c>
      <c r="T552" s="682">
        <f t="shared" si="79"/>
        <v>47.313725934092311</v>
      </c>
      <c r="W552" s="818"/>
      <c r="X552" s="818"/>
      <c r="Y552" s="819"/>
      <c r="Z552" s="820"/>
      <c r="AA552" s="820"/>
      <c r="AB552" s="821"/>
      <c r="AC552" s="821"/>
      <c r="AD552" s="253"/>
      <c r="AE552" s="253"/>
    </row>
    <row r="553" spans="1:31" ht="14.5">
      <c r="A553" t="s">
        <v>8596</v>
      </c>
      <c r="B553" t="s">
        <v>8597</v>
      </c>
      <c r="C553">
        <v>18163</v>
      </c>
      <c r="D553" s="581"/>
      <c r="E553" s="581"/>
      <c r="F553" s="2">
        <f>(1/S553)*cnst_fish!$C$6</f>
        <v>2.3938164528281742</v>
      </c>
      <c r="G553" s="2">
        <f t="shared" si="81"/>
        <v>1</v>
      </c>
      <c r="H553" s="2">
        <f t="shared" si="81"/>
        <v>0.36449057933102513</v>
      </c>
      <c r="I553" s="2">
        <f t="shared" si="74"/>
        <v>0</v>
      </c>
      <c r="J553" s="389">
        <f t="shared" si="75"/>
        <v>0</v>
      </c>
      <c r="L553" s="721"/>
      <c r="M553" s="581"/>
      <c r="N553" s="585" t="s">
        <v>1736</v>
      </c>
      <c r="O553" s="586" t="s">
        <v>4691</v>
      </c>
      <c r="P553" s="233">
        <f t="shared" si="76"/>
        <v>0</v>
      </c>
      <c r="Q553" s="233">
        <f t="shared" si="77"/>
        <v>0</v>
      </c>
      <c r="R553" s="2">
        <f t="shared" si="78"/>
        <v>2.1</v>
      </c>
      <c r="S553" s="2">
        <f>(1/9)*cnst_fish!$C$7*(1/cnst_fish!$C$8)^(R553-1)</f>
        <v>1.7754076320174161</v>
      </c>
      <c r="T553" s="682">
        <f t="shared" si="79"/>
        <v>0</v>
      </c>
      <c r="W553" s="818"/>
      <c r="X553" s="818"/>
      <c r="Y553" s="819"/>
      <c r="Z553" s="820"/>
      <c r="AA553" s="820"/>
      <c r="AB553" s="821"/>
      <c r="AC553" s="821"/>
      <c r="AD553" s="253"/>
      <c r="AE553" s="253"/>
    </row>
    <row r="554" spans="1:31" ht="14.5">
      <c r="A554" t="s">
        <v>846</v>
      </c>
      <c r="B554" t="s">
        <v>299</v>
      </c>
      <c r="C554">
        <v>11617</v>
      </c>
      <c r="D554" s="581"/>
      <c r="E554" s="581"/>
      <c r="F554" s="2">
        <f>(1/S554)*cnst_fish!$C$6</f>
        <v>9.5299549485983424E-3</v>
      </c>
      <c r="G554" s="2">
        <f t="shared" si="81"/>
        <v>1</v>
      </c>
      <c r="H554" s="2">
        <f t="shared" si="81"/>
        <v>0.36449057933102513</v>
      </c>
      <c r="I554" s="2">
        <f t="shared" si="74"/>
        <v>0</v>
      </c>
      <c r="J554" s="389">
        <f t="shared" si="75"/>
        <v>0</v>
      </c>
      <c r="L554" s="721">
        <v>10414.620000000001</v>
      </c>
      <c r="M554" s="581"/>
      <c r="N554" s="585" t="s">
        <v>1738</v>
      </c>
      <c r="O554" s="586" t="s">
        <v>4681</v>
      </c>
      <c r="P554" s="233">
        <f t="shared" si="76"/>
        <v>0</v>
      </c>
      <c r="Q554" s="233">
        <f t="shared" si="77"/>
        <v>10414.620000000001</v>
      </c>
      <c r="R554" s="2">
        <f t="shared" si="78"/>
        <v>4.5</v>
      </c>
      <c r="S554" s="2">
        <f>(1/9)*cnst_fish!$C$7*(1/cnst_fish!$C$8)^(R554-1)</f>
        <v>445.96223412630997</v>
      </c>
      <c r="T554" s="682">
        <f t="shared" si="79"/>
        <v>398326.21431970131</v>
      </c>
      <c r="W554" s="818"/>
      <c r="X554" s="818"/>
      <c r="Y554" s="819"/>
      <c r="Z554" s="820"/>
      <c r="AA554" s="820"/>
      <c r="AB554" s="821"/>
      <c r="AC554" s="821"/>
      <c r="AD554" s="253"/>
      <c r="AE554" s="253"/>
    </row>
    <row r="555" spans="1:31" ht="14.5">
      <c r="A555" t="s">
        <v>5481</v>
      </c>
      <c r="B555" t="s">
        <v>5291</v>
      </c>
      <c r="C555">
        <v>3486</v>
      </c>
      <c r="D555" s="581"/>
      <c r="E555" s="581"/>
      <c r="F555" s="2">
        <f>(1/S555)*cnst_fish!$C$6</f>
        <v>1.9014759972289452</v>
      </c>
      <c r="G555" s="2">
        <f t="shared" si="81"/>
        <v>1</v>
      </c>
      <c r="H555" s="2">
        <f t="shared" si="81"/>
        <v>0.36449057933102513</v>
      </c>
      <c r="I555" s="2">
        <f t="shared" si="74"/>
        <v>0</v>
      </c>
      <c r="J555" s="389">
        <f t="shared" si="75"/>
        <v>0</v>
      </c>
      <c r="L555" s="721">
        <v>0</v>
      </c>
      <c r="M555" s="581">
        <v>81564.429999999993</v>
      </c>
      <c r="N555" s="585" t="s">
        <v>1737</v>
      </c>
      <c r="O555" s="586" t="s">
        <v>4680</v>
      </c>
      <c r="P555" s="233">
        <f t="shared" si="76"/>
        <v>0</v>
      </c>
      <c r="Q555" s="233">
        <f t="shared" si="77"/>
        <v>81564.429999999993</v>
      </c>
      <c r="R555" s="2">
        <f t="shared" si="78"/>
        <v>2.2000000000000002</v>
      </c>
      <c r="S555" s="2">
        <f>(1/9)*cnst_fish!$C$7*(1/cnst_fish!$C$8)^(R555-1)</f>
        <v>2.2351057842400328</v>
      </c>
      <c r="T555" s="682">
        <f t="shared" si="79"/>
        <v>15634.941690996953</v>
      </c>
      <c r="W555" s="818"/>
      <c r="X555" s="818"/>
      <c r="Y555" s="819"/>
      <c r="Z555" s="820"/>
      <c r="AA555" s="820"/>
      <c r="AB555" s="821"/>
      <c r="AC555" s="821"/>
      <c r="AD555" s="253"/>
      <c r="AE555" s="253"/>
    </row>
    <row r="556" spans="1:31" ht="14.5">
      <c r="A556" t="s">
        <v>5493</v>
      </c>
      <c r="B556" t="s">
        <v>5291</v>
      </c>
      <c r="C556">
        <v>3487</v>
      </c>
      <c r="D556" s="581">
        <v>83</v>
      </c>
      <c r="E556" s="581"/>
      <c r="F556" s="2">
        <f>(1/S556)*cnst_fish!$C$6</f>
        <v>1.9014759972289452</v>
      </c>
      <c r="G556" s="2">
        <f t="shared" si="81"/>
        <v>1</v>
      </c>
      <c r="H556" s="2">
        <f t="shared" si="81"/>
        <v>0.36449057933102513</v>
      </c>
      <c r="I556" s="2">
        <f t="shared" si="74"/>
        <v>15.910123571669013</v>
      </c>
      <c r="J556" s="389">
        <f t="shared" si="75"/>
        <v>0</v>
      </c>
      <c r="L556" s="721">
        <v>120289</v>
      </c>
      <c r="M556" s="581"/>
      <c r="N556" s="585" t="s">
        <v>1737</v>
      </c>
      <c r="O556" s="586" t="s">
        <v>4680</v>
      </c>
      <c r="P556" s="233">
        <f t="shared" si="76"/>
        <v>83</v>
      </c>
      <c r="Q556" s="233">
        <f t="shared" si="77"/>
        <v>120289</v>
      </c>
      <c r="R556" s="2">
        <f t="shared" si="78"/>
        <v>2.2000000000000002</v>
      </c>
      <c r="S556" s="2">
        <f>(1/9)*cnst_fish!$C$7*(1/cnst_fish!$C$8)^(R556-1)</f>
        <v>2.2351057842400328</v>
      </c>
      <c r="T556" s="682">
        <f t="shared" si="79"/>
        <v>23057.986196536072</v>
      </c>
      <c r="W556" s="818"/>
      <c r="X556" s="818"/>
      <c r="Y556" s="819"/>
      <c r="Z556" s="820"/>
      <c r="AA556" s="820"/>
      <c r="AB556" s="821"/>
      <c r="AC556" s="821"/>
      <c r="AD556" s="253"/>
      <c r="AE556" s="253"/>
    </row>
    <row r="557" spans="1:31" ht="14.5">
      <c r="A557" t="s">
        <v>9064</v>
      </c>
      <c r="B557" t="s">
        <v>9065</v>
      </c>
      <c r="C557">
        <v>16420</v>
      </c>
      <c r="D557" s="581"/>
      <c r="E557" s="581"/>
      <c r="F557" s="869">
        <f>(1/S557)*cnst_fish!$C$6</f>
        <v>0.84935812883106077</v>
      </c>
      <c r="G557" s="869">
        <f t="shared" si="81"/>
        <v>1</v>
      </c>
      <c r="H557" s="869">
        <f t="shared" si="81"/>
        <v>0.36449057933102513</v>
      </c>
      <c r="I557" s="869">
        <f t="shared" si="74"/>
        <v>0</v>
      </c>
      <c r="J557" s="389">
        <f t="shared" si="75"/>
        <v>0</v>
      </c>
      <c r="L557" s="721"/>
      <c r="M557" s="581">
        <v>1141</v>
      </c>
      <c r="N557" s="877" t="s">
        <v>2322</v>
      </c>
      <c r="O557" s="881" t="s">
        <v>4680</v>
      </c>
      <c r="P557" s="871">
        <f t="shared" si="76"/>
        <v>0</v>
      </c>
      <c r="Q557" s="871">
        <f t="shared" si="77"/>
        <v>1141</v>
      </c>
      <c r="R557" s="869">
        <f t="shared" si="78"/>
        <v>2.5499999999999998</v>
      </c>
      <c r="S557" s="869">
        <f>(1/9)*cnst_fish!$C$7*(1/cnst_fish!$C$8)^(R557-1)</f>
        <v>5.0037785661145238</v>
      </c>
      <c r="T557" s="682">
        <f t="shared" si="79"/>
        <v>489.6447527841579</v>
      </c>
      <c r="W557" s="818"/>
      <c r="X557" s="818"/>
      <c r="Y557" s="819"/>
      <c r="Z557" s="820"/>
      <c r="AA557" s="820"/>
      <c r="AB557" s="821"/>
      <c r="AC557" s="821"/>
      <c r="AD557" s="253"/>
      <c r="AE557" s="253"/>
    </row>
    <row r="558" spans="1:31" ht="14.5">
      <c r="A558" t="s">
        <v>216</v>
      </c>
      <c r="B558" t="s">
        <v>1320</v>
      </c>
      <c r="C558">
        <v>11647</v>
      </c>
      <c r="D558" s="581"/>
      <c r="E558" s="581"/>
      <c r="F558" s="2">
        <f>(1/S558)*cnst_fish!$C$6</f>
        <v>0.13461419163458563</v>
      </c>
      <c r="G558" s="2">
        <f t="shared" si="81"/>
        <v>1</v>
      </c>
      <c r="H558" s="2">
        <f t="shared" si="81"/>
        <v>0.36449057933102513</v>
      </c>
      <c r="I558" s="2">
        <f t="shared" si="74"/>
        <v>0</v>
      </c>
      <c r="J558" s="389">
        <f t="shared" si="75"/>
        <v>0</v>
      </c>
      <c r="L558" s="721">
        <v>202</v>
      </c>
      <c r="M558" s="581"/>
      <c r="N558" s="585" t="s">
        <v>1738</v>
      </c>
      <c r="O558" s="586" t="s">
        <v>4681</v>
      </c>
      <c r="P558" s="233">
        <f t="shared" si="76"/>
        <v>0</v>
      </c>
      <c r="Q558" s="233">
        <f t="shared" si="77"/>
        <v>202</v>
      </c>
      <c r="R558" s="2">
        <f t="shared" si="78"/>
        <v>3.35</v>
      </c>
      <c r="S558" s="2">
        <f>(1/9)*cnst_fish!$C$7*(1/cnst_fish!$C$8)^(R558-1)</f>
        <v>31.571708364425319</v>
      </c>
      <c r="T558" s="682">
        <f t="shared" si="79"/>
        <v>546.94899646784711</v>
      </c>
      <c r="W558" s="818"/>
      <c r="X558" s="818"/>
      <c r="Y558" s="819"/>
      <c r="Z558" s="820"/>
      <c r="AA558" s="820"/>
      <c r="AB558" s="821"/>
      <c r="AC558" s="821"/>
      <c r="AD558" s="253"/>
      <c r="AE558" s="253"/>
    </row>
    <row r="559" spans="1:31" ht="14.5">
      <c r="A559" t="s">
        <v>1869</v>
      </c>
      <c r="B559" t="s">
        <v>4824</v>
      </c>
      <c r="C559">
        <v>2966</v>
      </c>
      <c r="D559" s="581"/>
      <c r="E559" s="581"/>
      <c r="F559" s="2">
        <f>(1/S559)*cnst_fish!$C$6</f>
        <v>3.0136363636363641</v>
      </c>
      <c r="G559" s="2">
        <f t="shared" si="81"/>
        <v>1</v>
      </c>
      <c r="H559" s="2">
        <f t="shared" si="81"/>
        <v>0.36449057933102513</v>
      </c>
      <c r="I559" s="2">
        <f t="shared" si="74"/>
        <v>0</v>
      </c>
      <c r="J559" s="389">
        <f t="shared" si="75"/>
        <v>0</v>
      </c>
      <c r="L559" s="721"/>
      <c r="M559" s="581">
        <v>23104.89</v>
      </c>
      <c r="N559" s="585" t="s">
        <v>5194</v>
      </c>
      <c r="O559" s="586" t="s">
        <v>4685</v>
      </c>
      <c r="P559" s="233">
        <f t="shared" si="76"/>
        <v>0</v>
      </c>
      <c r="Q559" s="233">
        <f t="shared" si="77"/>
        <v>23104.89</v>
      </c>
      <c r="R559" s="2">
        <f t="shared" si="78"/>
        <v>2</v>
      </c>
      <c r="S559" s="2">
        <f>(1/9)*cnst_fish!$C$7*(1/cnst_fish!$C$8)^(R559-1)</f>
        <v>1.4102564102564099</v>
      </c>
      <c r="T559" s="682">
        <f t="shared" si="79"/>
        <v>2794.4694466448173</v>
      </c>
      <c r="W559" s="818"/>
      <c r="X559" s="818"/>
      <c r="Y559" s="819"/>
      <c r="Z559" s="820"/>
      <c r="AA559" s="820"/>
      <c r="AB559" s="821"/>
      <c r="AC559" s="821"/>
      <c r="AD559" s="253"/>
      <c r="AE559" s="253"/>
    </row>
    <row r="560" spans="1:31" ht="14.5">
      <c r="A560" t="s">
        <v>8294</v>
      </c>
      <c r="B560" t="s">
        <v>8295</v>
      </c>
      <c r="C560">
        <v>11658</v>
      </c>
      <c r="D560" s="581"/>
      <c r="E560" s="581"/>
      <c r="F560" s="2">
        <f>(1/S560)*cnst_fish!$C$6</f>
        <v>7.5699122913220479E-2</v>
      </c>
      <c r="G560" s="2">
        <f t="shared" si="81"/>
        <v>1</v>
      </c>
      <c r="H560" s="2">
        <f t="shared" si="81"/>
        <v>0.36449057933102513</v>
      </c>
      <c r="I560" s="2">
        <f t="shared" si="74"/>
        <v>0</v>
      </c>
      <c r="J560" s="389">
        <f t="shared" si="75"/>
        <v>0</v>
      </c>
      <c r="L560" s="721">
        <v>196</v>
      </c>
      <c r="M560" s="581"/>
      <c r="N560" s="585" t="s">
        <v>1738</v>
      </c>
      <c r="O560" s="586" t="s">
        <v>4699</v>
      </c>
      <c r="P560" s="233">
        <f t="shared" si="76"/>
        <v>0</v>
      </c>
      <c r="Q560" s="233">
        <f t="shared" si="77"/>
        <v>196</v>
      </c>
      <c r="R560" s="2">
        <f t="shared" si="78"/>
        <v>3.6</v>
      </c>
      <c r="S560" s="2">
        <f>(1/9)*cnst_fish!$C$7*(1/cnst_fish!$C$8)^(R560-1)</f>
        <v>56.143318924211187</v>
      </c>
      <c r="T560" s="682">
        <f t="shared" si="79"/>
        <v>943.7381940445739</v>
      </c>
      <c r="W560" s="818"/>
      <c r="X560" s="818"/>
      <c r="Y560" s="819"/>
      <c r="Z560" s="820"/>
      <c r="AA560" s="820"/>
      <c r="AB560" s="821"/>
      <c r="AC560" s="821"/>
      <c r="AD560" s="253"/>
      <c r="AE560" s="253"/>
    </row>
    <row r="561" spans="1:31" ht="14.5">
      <c r="A561" t="s">
        <v>6311</v>
      </c>
      <c r="B561" t="s">
        <v>6310</v>
      </c>
      <c r="C561">
        <v>11659</v>
      </c>
      <c r="D561" s="581"/>
      <c r="E561" s="581"/>
      <c r="F561" s="2">
        <f>(1/S561)*cnst_fish!$C$6</f>
        <v>3.0136363636363641</v>
      </c>
      <c r="G561" s="2">
        <f t="shared" si="81"/>
        <v>1</v>
      </c>
      <c r="H561" s="2">
        <f t="shared" si="81"/>
        <v>0.36449057933102513</v>
      </c>
      <c r="I561" s="2">
        <f t="shared" si="74"/>
        <v>0</v>
      </c>
      <c r="J561" s="389">
        <f t="shared" si="75"/>
        <v>0</v>
      </c>
      <c r="L561" s="721">
        <v>11</v>
      </c>
      <c r="M561" s="581"/>
      <c r="N561" s="585" t="s">
        <v>1738</v>
      </c>
      <c r="O561" s="586" t="s">
        <v>4699</v>
      </c>
      <c r="P561" s="233">
        <f t="shared" si="76"/>
        <v>0</v>
      </c>
      <c r="Q561" s="233">
        <f t="shared" si="77"/>
        <v>11</v>
      </c>
      <c r="R561" s="2">
        <f t="shared" si="78"/>
        <v>2</v>
      </c>
      <c r="S561" s="2">
        <f>(1/9)*cnst_fish!$C$7*(1/cnst_fish!$C$8)^(R561-1)</f>
        <v>1.4102564102564099</v>
      </c>
      <c r="T561" s="682">
        <f t="shared" si="79"/>
        <v>1.3304181025355666</v>
      </c>
      <c r="W561" s="818"/>
      <c r="X561" s="818"/>
      <c r="Y561" s="819"/>
      <c r="Z561" s="820"/>
      <c r="AA561" s="820"/>
      <c r="AB561" s="821"/>
      <c r="AC561" s="821"/>
      <c r="AD561" s="253"/>
      <c r="AE561" s="253"/>
    </row>
    <row r="562" spans="1:31" ht="14.5">
      <c r="A562" s="403" t="s">
        <v>8923</v>
      </c>
      <c r="B562" s="403" t="s">
        <v>8924</v>
      </c>
      <c r="C562" s="403">
        <v>20329</v>
      </c>
      <c r="D562" s="581"/>
      <c r="E562" s="581"/>
      <c r="F562" s="869">
        <f>(1/S562)*cnst_fish!$C$6</f>
        <v>1.5103960722494616</v>
      </c>
      <c r="G562" s="869">
        <f t="shared" si="81"/>
        <v>1</v>
      </c>
      <c r="H562" s="869">
        <f t="shared" si="81"/>
        <v>0.36449057933102513</v>
      </c>
      <c r="I562" s="869">
        <f t="shared" si="74"/>
        <v>0</v>
      </c>
      <c r="J562" s="389">
        <f t="shared" si="75"/>
        <v>0</v>
      </c>
      <c r="L562" s="721">
        <v>0</v>
      </c>
      <c r="M562" s="581"/>
      <c r="N562" s="877" t="s">
        <v>1738</v>
      </c>
      <c r="O562" s="882"/>
      <c r="P562" s="871">
        <f t="shared" si="76"/>
        <v>0</v>
      </c>
      <c r="Q562" s="871">
        <f t="shared" si="77"/>
        <v>0</v>
      </c>
      <c r="R562" s="869">
        <f t="shared" si="78"/>
        <v>2.2999999999999998</v>
      </c>
      <c r="S562" s="869">
        <f>(1/9)*cnst_fish!$C$7*(1/cnst_fish!$C$8)^(R562-1)</f>
        <v>2.8138314698279068</v>
      </c>
      <c r="T562" s="682">
        <f t="shared" si="79"/>
        <v>0</v>
      </c>
      <c r="W562" s="818"/>
      <c r="X562" s="818"/>
      <c r="Y562" s="819"/>
      <c r="Z562" s="820"/>
      <c r="AA562" s="820"/>
      <c r="AB562" s="821"/>
      <c r="AC562" s="821"/>
      <c r="AD562" s="253"/>
      <c r="AE562" s="253"/>
    </row>
    <row r="563" spans="1:31" ht="14.5">
      <c r="A563" t="s">
        <v>6351</v>
      </c>
      <c r="B563" t="s">
        <v>6350</v>
      </c>
      <c r="C563">
        <v>11666</v>
      </c>
      <c r="D563" s="581"/>
      <c r="E563" s="581"/>
      <c r="F563" s="2">
        <f>(1/S563)*cnst_fish!$C$6</f>
        <v>3.0136363636363641</v>
      </c>
      <c r="G563" s="2">
        <f t="shared" si="81"/>
        <v>1</v>
      </c>
      <c r="H563" s="2">
        <f t="shared" si="81"/>
        <v>0.36449057933102513</v>
      </c>
      <c r="I563" s="2">
        <f t="shared" si="74"/>
        <v>0</v>
      </c>
      <c r="J563" s="389">
        <f t="shared" si="75"/>
        <v>0</v>
      </c>
      <c r="L563" s="721"/>
      <c r="M563" s="581">
        <v>4730</v>
      </c>
      <c r="N563" s="585" t="s">
        <v>1738</v>
      </c>
      <c r="O563" s="586" t="s">
        <v>4685</v>
      </c>
      <c r="P563" s="233">
        <f t="shared" si="76"/>
        <v>0</v>
      </c>
      <c r="Q563" s="233">
        <f t="shared" si="77"/>
        <v>4730</v>
      </c>
      <c r="R563" s="2">
        <f t="shared" si="78"/>
        <v>2</v>
      </c>
      <c r="S563" s="2">
        <f>(1/9)*cnst_fish!$C$7*(1/cnst_fish!$C$8)^(R563-1)</f>
        <v>1.4102564102564099</v>
      </c>
      <c r="T563" s="682">
        <f t="shared" si="79"/>
        <v>572.07978409029363</v>
      </c>
      <c r="W563" s="818"/>
      <c r="X563" s="818"/>
      <c r="Y563" s="819"/>
      <c r="Z563" s="820"/>
      <c r="AA563" s="820"/>
      <c r="AB563" s="821"/>
      <c r="AC563" s="821"/>
      <c r="AD563" s="253"/>
      <c r="AE563" s="253"/>
    </row>
    <row r="564" spans="1:31" ht="14.5">
      <c r="A564" t="s">
        <v>4228</v>
      </c>
      <c r="B564" t="s">
        <v>8598</v>
      </c>
      <c r="C564">
        <v>17633</v>
      </c>
      <c r="D564" s="581"/>
      <c r="E564" s="581"/>
      <c r="F564" s="2">
        <f>(1/S564)*cnst_fish!$C$6</f>
        <v>2.3938164528281742</v>
      </c>
      <c r="G564" s="2">
        <f t="shared" si="81"/>
        <v>1</v>
      </c>
      <c r="H564" s="2">
        <f t="shared" si="81"/>
        <v>0.36449057933102513</v>
      </c>
      <c r="I564" s="2">
        <f t="shared" si="74"/>
        <v>0</v>
      </c>
      <c r="J564" s="389">
        <f t="shared" si="75"/>
        <v>0</v>
      </c>
      <c r="L564" s="721"/>
      <c r="M564" s="581"/>
      <c r="N564" s="585" t="s">
        <v>1736</v>
      </c>
      <c r="O564" s="586" t="s">
        <v>4691</v>
      </c>
      <c r="P564" s="233">
        <f t="shared" si="76"/>
        <v>0</v>
      </c>
      <c r="Q564" s="233">
        <f t="shared" si="77"/>
        <v>0</v>
      </c>
      <c r="R564" s="2">
        <f t="shared" si="78"/>
        <v>2.1</v>
      </c>
      <c r="S564" s="2">
        <f>(1/9)*cnst_fish!$C$7*(1/cnst_fish!$C$8)^(R564-1)</f>
        <v>1.7754076320174161</v>
      </c>
      <c r="T564" s="682">
        <f t="shared" si="79"/>
        <v>0</v>
      </c>
      <c r="W564" s="818"/>
      <c r="X564" s="818"/>
      <c r="Y564" s="819"/>
      <c r="Z564" s="820"/>
      <c r="AA564" s="820"/>
      <c r="AB564" s="821"/>
      <c r="AC564" s="821"/>
      <c r="AD564" s="253"/>
      <c r="AE564" s="253"/>
    </row>
    <row r="565" spans="1:31" ht="14.5">
      <c r="A565" t="s">
        <v>424</v>
      </c>
      <c r="B565" t="s">
        <v>425</v>
      </c>
      <c r="C565">
        <v>11672</v>
      </c>
      <c r="D565" s="581"/>
      <c r="E565" s="581"/>
      <c r="F565" s="2">
        <f>(1/S565)*cnst_fish!$C$6</f>
        <v>0.45613232168782086</v>
      </c>
      <c r="G565" s="2">
        <f t="shared" si="81"/>
        <v>1</v>
      </c>
      <c r="H565" s="2">
        <f t="shared" si="81"/>
        <v>0.36449057933102513</v>
      </c>
      <c r="I565" s="2">
        <f t="shared" si="74"/>
        <v>0</v>
      </c>
      <c r="J565" s="389">
        <f t="shared" si="75"/>
        <v>0</v>
      </c>
      <c r="L565" s="721"/>
      <c r="M565" s="581">
        <v>181</v>
      </c>
      <c r="N565" s="585" t="s">
        <v>1738</v>
      </c>
      <c r="O565" s="586" t="s">
        <v>4685</v>
      </c>
      <c r="P565" s="233">
        <f t="shared" si="76"/>
        <v>0</v>
      </c>
      <c r="Q565" s="233">
        <f t="shared" si="77"/>
        <v>181</v>
      </c>
      <c r="R565" s="2">
        <f t="shared" si="78"/>
        <v>2.82</v>
      </c>
      <c r="S565" s="2">
        <f>(1/9)*cnst_fish!$C$7*(1/cnst_fish!$C$8)^(R565-1)</f>
        <v>9.3174717026712273</v>
      </c>
      <c r="T565" s="682">
        <f t="shared" si="79"/>
        <v>144.63521158684222</v>
      </c>
      <c r="W565" s="818"/>
      <c r="X565" s="818"/>
      <c r="Y565" s="819"/>
      <c r="Z565" s="820"/>
      <c r="AA565" s="820"/>
      <c r="AB565" s="821"/>
      <c r="AC565" s="821"/>
      <c r="AD565" s="253"/>
      <c r="AE565" s="253"/>
    </row>
    <row r="566" spans="1:31" ht="14.5">
      <c r="A566" t="s">
        <v>6353</v>
      </c>
      <c r="B566" t="s">
        <v>6352</v>
      </c>
      <c r="C566">
        <v>19166</v>
      </c>
      <c r="D566" s="581"/>
      <c r="E566" s="581"/>
      <c r="F566" s="2">
        <f>(1/S566)*cnst_fish!$C$6</f>
        <v>0.11997502458044032</v>
      </c>
      <c r="G566" s="2">
        <f t="shared" si="81"/>
        <v>1</v>
      </c>
      <c r="H566" s="2">
        <f t="shared" si="81"/>
        <v>0.36449057933102513</v>
      </c>
      <c r="I566" s="2">
        <f t="shared" si="74"/>
        <v>0</v>
      </c>
      <c r="J566" s="389">
        <f t="shared" si="75"/>
        <v>0</v>
      </c>
      <c r="L566" s="721"/>
      <c r="M566" s="581">
        <v>4.8899999999999997</v>
      </c>
      <c r="N566" s="585" t="s">
        <v>1738</v>
      </c>
      <c r="O566" s="586" t="s">
        <v>4685</v>
      </c>
      <c r="P566" s="233">
        <f t="shared" si="76"/>
        <v>0</v>
      </c>
      <c r="Q566" s="233">
        <f t="shared" si="77"/>
        <v>4.8899999999999997</v>
      </c>
      <c r="R566" s="2">
        <f t="shared" si="78"/>
        <v>3.4</v>
      </c>
      <c r="S566" s="2">
        <f>(1/9)*cnst_fish!$C$7*(1/cnst_fish!$C$8)^(R566-1)</f>
        <v>35.424039418724846</v>
      </c>
      <c r="T566" s="682">
        <f t="shared" si="79"/>
        <v>14.856083081972489</v>
      </c>
      <c r="W566" s="818"/>
      <c r="X566" s="818"/>
      <c r="Y566" s="819"/>
      <c r="Z566" s="820"/>
      <c r="AA566" s="820"/>
      <c r="AB566" s="821"/>
      <c r="AC566" s="821"/>
      <c r="AD566" s="253"/>
      <c r="AE566" s="253"/>
    </row>
    <row r="567" spans="1:31" ht="14.5">
      <c r="A567" t="s">
        <v>8296</v>
      </c>
      <c r="B567" t="s">
        <v>8297</v>
      </c>
      <c r="C567">
        <v>11676</v>
      </c>
      <c r="D567" s="581"/>
      <c r="E567" s="581"/>
      <c r="F567" s="2">
        <f>(1/S567)*cnst_fish!$C$6</f>
        <v>7.5699122913220479E-2</v>
      </c>
      <c r="G567" s="2">
        <f t="shared" si="81"/>
        <v>1</v>
      </c>
      <c r="H567" s="2">
        <f t="shared" si="81"/>
        <v>0.36449057933102513</v>
      </c>
      <c r="I567" s="2">
        <f t="shared" si="74"/>
        <v>0</v>
      </c>
      <c r="J567" s="389">
        <f t="shared" si="75"/>
        <v>0</v>
      </c>
      <c r="L567" s="721">
        <v>113</v>
      </c>
      <c r="M567" s="581"/>
      <c r="N567" s="585" t="s">
        <v>1738</v>
      </c>
      <c r="O567" s="586" t="s">
        <v>4681</v>
      </c>
      <c r="P567" s="233">
        <f t="shared" si="76"/>
        <v>0</v>
      </c>
      <c r="Q567" s="233">
        <f t="shared" si="77"/>
        <v>113</v>
      </c>
      <c r="R567" s="2">
        <f t="shared" si="78"/>
        <v>3.6</v>
      </c>
      <c r="S567" s="2">
        <f>(1/9)*cnst_fish!$C$7*(1/cnst_fish!$C$8)^(R567-1)</f>
        <v>56.143318924211187</v>
      </c>
      <c r="T567" s="682">
        <f t="shared" si="79"/>
        <v>544.09395881141256</v>
      </c>
      <c r="W567" s="818"/>
      <c r="X567" s="818"/>
      <c r="Y567" s="819"/>
      <c r="Z567" s="820"/>
      <c r="AA567" s="820"/>
      <c r="AB567" s="821"/>
      <c r="AC567" s="821"/>
      <c r="AD567" s="253"/>
      <c r="AE567" s="253"/>
    </row>
    <row r="568" spans="1:31" ht="14.5">
      <c r="A568" t="s">
        <v>1616</v>
      </c>
      <c r="B568" t="s">
        <v>3016</v>
      </c>
      <c r="C568">
        <v>2537</v>
      </c>
      <c r="D568" s="581">
        <v>21</v>
      </c>
      <c r="E568" s="581"/>
      <c r="F568" s="2">
        <f>(1/S568)*cnst_fish!$C$6</f>
        <v>3.8823156944206696E-2</v>
      </c>
      <c r="G568" s="2">
        <f t="shared" ref="G568:H587" si="82">G$7</f>
        <v>1</v>
      </c>
      <c r="H568" s="2">
        <f t="shared" si="82"/>
        <v>0.36449057933102513</v>
      </c>
      <c r="I568" s="2">
        <f t="shared" si="74"/>
        <v>197.15815941891674</v>
      </c>
      <c r="J568" s="389">
        <f t="shared" si="75"/>
        <v>0</v>
      </c>
      <c r="L568" s="721">
        <v>13224</v>
      </c>
      <c r="M568" s="581"/>
      <c r="N568" s="585" t="s">
        <v>1738</v>
      </c>
      <c r="O568" s="586" t="s">
        <v>4681</v>
      </c>
      <c r="P568" s="233">
        <f t="shared" si="76"/>
        <v>21</v>
      </c>
      <c r="Q568" s="233">
        <f t="shared" si="77"/>
        <v>13224</v>
      </c>
      <c r="R568" s="2">
        <f t="shared" si="78"/>
        <v>3.89</v>
      </c>
      <c r="S568" s="2">
        <f>(1/9)*cnst_fish!$C$7*(1/cnst_fish!$C$8)^(R568-1)</f>
        <v>109.47074721686684</v>
      </c>
      <c r="T568" s="682">
        <f t="shared" si="79"/>
        <v>124153.30953122642</v>
      </c>
      <c r="W568" s="822"/>
      <c r="X568" s="822"/>
      <c r="Y568" s="819"/>
      <c r="Z568" s="820"/>
      <c r="AA568" s="820"/>
      <c r="AB568" s="821"/>
      <c r="AC568" s="821"/>
      <c r="AD568" s="253"/>
      <c r="AE568" s="253"/>
    </row>
    <row r="569" spans="1:31" ht="14.5">
      <c r="A569" t="s">
        <v>346</v>
      </c>
      <c r="B569" t="s">
        <v>3562</v>
      </c>
      <c r="C569">
        <v>3188</v>
      </c>
      <c r="D569" s="581"/>
      <c r="E569" s="581"/>
      <c r="F569" s="2">
        <f>(1/S569)*cnst_fish!$C$6</f>
        <v>8.3002437741509269E-2</v>
      </c>
      <c r="G569" s="2">
        <f t="shared" si="82"/>
        <v>1</v>
      </c>
      <c r="H569" s="2">
        <f t="shared" si="82"/>
        <v>0.36449057933102513</v>
      </c>
      <c r="I569" s="2">
        <f t="shared" si="74"/>
        <v>0</v>
      </c>
      <c r="J569" s="389">
        <f t="shared" si="75"/>
        <v>0</v>
      </c>
      <c r="L569" s="721">
        <v>10</v>
      </c>
      <c r="M569" s="581"/>
      <c r="N569" s="585" t="s">
        <v>1738</v>
      </c>
      <c r="O569" s="586" t="s">
        <v>4681</v>
      </c>
      <c r="P569" s="233">
        <f t="shared" si="76"/>
        <v>0</v>
      </c>
      <c r="Q569" s="233">
        <f t="shared" si="77"/>
        <v>10</v>
      </c>
      <c r="R569" s="2">
        <f t="shared" si="78"/>
        <v>3.56</v>
      </c>
      <c r="S569" s="2">
        <f>(1/9)*cnst_fish!$C$7*(1/cnst_fish!$C$8)^(R569-1)</f>
        <v>51.203315416296356</v>
      </c>
      <c r="T569" s="682">
        <f t="shared" si="79"/>
        <v>43.913237881776631</v>
      </c>
      <c r="W569" s="818"/>
      <c r="X569" s="818"/>
      <c r="Y569" s="819"/>
      <c r="Z569" s="820"/>
      <c r="AA569" s="820"/>
      <c r="AB569" s="821"/>
      <c r="AC569" s="821"/>
      <c r="AD569" s="253"/>
      <c r="AE569" s="253"/>
    </row>
    <row r="570" spans="1:31" ht="14.5">
      <c r="A570" t="s">
        <v>6573</v>
      </c>
      <c r="B570" t="s">
        <v>6572</v>
      </c>
      <c r="C570">
        <v>18137</v>
      </c>
      <c r="D570" s="581"/>
      <c r="E570" s="581"/>
      <c r="F570" s="2">
        <f>(1/S570)*cnst_fish!$C$6</f>
        <v>3.0136363636363641</v>
      </c>
      <c r="G570" s="2">
        <f t="shared" si="82"/>
        <v>1</v>
      </c>
      <c r="H570" s="2">
        <f t="shared" si="82"/>
        <v>0.36449057933102513</v>
      </c>
      <c r="I570" s="2">
        <f t="shared" si="74"/>
        <v>0</v>
      </c>
      <c r="J570" s="389">
        <f t="shared" si="75"/>
        <v>0</v>
      </c>
      <c r="L570" s="721">
        <v>6947.44</v>
      </c>
      <c r="M570" s="581"/>
      <c r="N570" s="585" t="s">
        <v>1736</v>
      </c>
      <c r="O570" s="586" t="s">
        <v>4691</v>
      </c>
      <c r="P570" s="233">
        <f t="shared" si="76"/>
        <v>0</v>
      </c>
      <c r="Q570" s="233">
        <f t="shared" si="77"/>
        <v>6947.44</v>
      </c>
      <c r="R570" s="2">
        <f t="shared" si="78"/>
        <v>2</v>
      </c>
      <c r="S570" s="2">
        <f>(1/9)*cnst_fish!$C$7*(1/cnst_fish!$C$8)^(R570-1)</f>
        <v>1.4102564102564099</v>
      </c>
      <c r="T570" s="682">
        <f t="shared" si="79"/>
        <v>840.27272202542702</v>
      </c>
      <c r="W570" s="818"/>
      <c r="X570" s="818"/>
      <c r="Y570" s="819"/>
      <c r="Z570" s="820"/>
      <c r="AA570" s="820"/>
      <c r="AB570" s="821"/>
      <c r="AC570" s="821"/>
      <c r="AD570" s="253"/>
      <c r="AE570" s="253"/>
    </row>
    <row r="571" spans="1:31" ht="14.5">
      <c r="A571" t="s">
        <v>2824</v>
      </c>
      <c r="B571" t="s">
        <v>4334</v>
      </c>
      <c r="C571">
        <v>6115</v>
      </c>
      <c r="D571" s="581"/>
      <c r="E571" s="581"/>
      <c r="F571" s="2">
        <f>(1/S571)*cnst_fish!$C$6</f>
        <v>3.1663335279055209</v>
      </c>
      <c r="G571" s="2">
        <f t="shared" si="82"/>
        <v>1</v>
      </c>
      <c r="H571" s="2">
        <f t="shared" si="82"/>
        <v>0.36449057933102513</v>
      </c>
      <c r="I571" s="2">
        <f t="shared" si="74"/>
        <v>0</v>
      </c>
      <c r="J571" s="389">
        <f t="shared" si="75"/>
        <v>0</v>
      </c>
      <c r="L571" s="721">
        <v>5561</v>
      </c>
      <c r="M571" s="581"/>
      <c r="N571" s="585" t="s">
        <v>1736</v>
      </c>
      <c r="O571" s="586" t="s">
        <v>4691</v>
      </c>
      <c r="P571" s="233">
        <f t="shared" si="76"/>
        <v>0</v>
      </c>
      <c r="Q571" s="233">
        <f t="shared" si="77"/>
        <v>5561</v>
      </c>
      <c r="R571" s="2">
        <f t="shared" si="78"/>
        <v>1.9785341879407026</v>
      </c>
      <c r="S571" s="2">
        <f>(1/9)*cnst_fish!$C$7*(1/cnst_fish!$C$8)^(R571-1)</f>
        <v>1.3422464697871885</v>
      </c>
      <c r="T571" s="682">
        <f t="shared" si="79"/>
        <v>640.15116973498812</v>
      </c>
      <c r="W571" s="818"/>
      <c r="X571" s="818"/>
      <c r="Y571" s="819"/>
      <c r="Z571" s="820"/>
      <c r="AA571" s="820"/>
      <c r="AB571" s="821"/>
      <c r="AC571" s="821"/>
      <c r="AD571" s="253"/>
      <c r="AE571" s="253"/>
    </row>
    <row r="572" spans="1:31" ht="14.5">
      <c r="A572" t="s">
        <v>2218</v>
      </c>
      <c r="B572" t="s">
        <v>1433</v>
      </c>
      <c r="C572">
        <v>2557</v>
      </c>
      <c r="D572" s="581"/>
      <c r="E572" s="581"/>
      <c r="F572" s="2">
        <f>(1/S572)*cnst_fish!$C$6</f>
        <v>0.11457525898206007</v>
      </c>
      <c r="G572" s="2">
        <f t="shared" si="82"/>
        <v>1</v>
      </c>
      <c r="H572" s="2">
        <f t="shared" si="82"/>
        <v>0.36449057933102513</v>
      </c>
      <c r="I572" s="2">
        <f t="shared" si="74"/>
        <v>0</v>
      </c>
      <c r="J572" s="389">
        <f t="shared" si="75"/>
        <v>0</v>
      </c>
      <c r="L572" s="721">
        <v>35645</v>
      </c>
      <c r="M572" s="581"/>
      <c r="N572" s="585" t="s">
        <v>1738</v>
      </c>
      <c r="O572" s="586" t="s">
        <v>4681</v>
      </c>
      <c r="P572" s="233">
        <f t="shared" si="76"/>
        <v>0</v>
      </c>
      <c r="Q572" s="233">
        <f t="shared" si="77"/>
        <v>35645</v>
      </c>
      <c r="R572" s="2">
        <f t="shared" si="78"/>
        <v>3.42</v>
      </c>
      <c r="S572" s="2">
        <f>(1/9)*cnst_fish!$C$7*(1/cnst_fish!$C$8)^(R572-1)</f>
        <v>37.093522962627169</v>
      </c>
      <c r="T572" s="682">
        <f t="shared" si="79"/>
        <v>113395.04545469709</v>
      </c>
      <c r="W572" s="818"/>
      <c r="X572" s="818"/>
      <c r="Y572" s="819"/>
      <c r="Z572" s="820"/>
      <c r="AA572" s="820"/>
      <c r="AB572" s="821"/>
      <c r="AC572" s="821"/>
      <c r="AD572" s="253"/>
      <c r="AE572" s="253"/>
    </row>
    <row r="573" spans="1:31" ht="14.5">
      <c r="A573" t="s">
        <v>717</v>
      </c>
      <c r="B573" t="s">
        <v>718</v>
      </c>
      <c r="C573">
        <v>11712</v>
      </c>
      <c r="D573" s="581"/>
      <c r="E573" s="581"/>
      <c r="F573" s="2">
        <f>(1/S573)*cnst_fish!$C$6</f>
        <v>0.10941852286935322</v>
      </c>
      <c r="G573" s="2">
        <f t="shared" si="82"/>
        <v>1</v>
      </c>
      <c r="H573" s="2">
        <f t="shared" si="82"/>
        <v>0.36449057933102513</v>
      </c>
      <c r="I573" s="2">
        <f t="shared" si="74"/>
        <v>0</v>
      </c>
      <c r="J573" s="389">
        <f t="shared" si="75"/>
        <v>0</v>
      </c>
      <c r="L573" s="721">
        <v>0</v>
      </c>
      <c r="M573" s="581"/>
      <c r="N573" s="585" t="s">
        <v>1738</v>
      </c>
      <c r="O573" s="586" t="s">
        <v>4681</v>
      </c>
      <c r="P573" s="233">
        <f t="shared" si="76"/>
        <v>0</v>
      </c>
      <c r="Q573" s="233">
        <f t="shared" si="77"/>
        <v>0</v>
      </c>
      <c r="R573" s="2">
        <f t="shared" si="78"/>
        <v>3.44</v>
      </c>
      <c r="S573" s="2">
        <f>(1/9)*cnst_fish!$C$7*(1/cnst_fish!$C$8)^(R573-1)</f>
        <v>38.841686841948523</v>
      </c>
      <c r="T573" s="682">
        <f t="shared" si="79"/>
        <v>0</v>
      </c>
      <c r="W573" s="822"/>
      <c r="X573" s="822"/>
      <c r="Y573" s="819"/>
      <c r="Z573" s="820"/>
      <c r="AA573" s="820"/>
      <c r="AB573" s="821"/>
      <c r="AC573" s="821"/>
      <c r="AD573" s="253"/>
      <c r="AE573" s="253"/>
    </row>
    <row r="574" spans="1:31" ht="14.5">
      <c r="A574" t="s">
        <v>3859</v>
      </c>
      <c r="B574" t="s">
        <v>3860</v>
      </c>
      <c r="C574">
        <v>19057</v>
      </c>
      <c r="D574" s="581"/>
      <c r="E574" s="581"/>
      <c r="F574" s="2">
        <f>(1/S574)*cnst_fish!$C$6</f>
        <v>2.8124890974018386E-2</v>
      </c>
      <c r="G574" s="2">
        <f t="shared" si="82"/>
        <v>1</v>
      </c>
      <c r="H574" s="2">
        <f t="shared" si="82"/>
        <v>0.36449057933102513</v>
      </c>
      <c r="I574" s="2">
        <f t="shared" si="74"/>
        <v>0</v>
      </c>
      <c r="J574" s="389">
        <f t="shared" si="75"/>
        <v>0</v>
      </c>
      <c r="L574" s="721">
        <v>58</v>
      </c>
      <c r="M574" s="581"/>
      <c r="N574" s="585" t="s">
        <v>3786</v>
      </c>
      <c r="O574" s="586" t="s">
        <v>4681</v>
      </c>
      <c r="P574" s="233">
        <f t="shared" si="76"/>
        <v>0</v>
      </c>
      <c r="Q574" s="233">
        <f t="shared" si="77"/>
        <v>58</v>
      </c>
      <c r="R574" s="2">
        <f t="shared" si="78"/>
        <v>4.03</v>
      </c>
      <c r="S574" s="2">
        <f>(1/9)*cnst_fish!$C$7*(1/cnst_fish!$C$8)^(R574-1)</f>
        <v>151.11169689248311</v>
      </c>
      <c r="T574" s="682">
        <f t="shared" si="79"/>
        <v>751.66348629507172</v>
      </c>
      <c r="W574" s="818"/>
      <c r="X574" s="818"/>
      <c r="Y574" s="819"/>
      <c r="Z574" s="820"/>
      <c r="AA574" s="820"/>
      <c r="AB574" s="821"/>
      <c r="AC574" s="821"/>
      <c r="AD574" s="253"/>
      <c r="AE574" s="253"/>
    </row>
    <row r="575" spans="1:31" ht="14.5">
      <c r="A575" t="s">
        <v>6198</v>
      </c>
      <c r="B575" t="s">
        <v>6197</v>
      </c>
      <c r="C575">
        <v>11715</v>
      </c>
      <c r="D575" s="581"/>
      <c r="E575" s="581"/>
      <c r="F575" s="2">
        <f>(1/S575)*cnst_fish!$C$6</f>
        <v>9.5299549485983348E-2</v>
      </c>
      <c r="G575" s="2">
        <f t="shared" si="82"/>
        <v>1</v>
      </c>
      <c r="H575" s="2">
        <f t="shared" si="82"/>
        <v>0.36449057933102513</v>
      </c>
      <c r="I575" s="2">
        <f t="shared" si="74"/>
        <v>0</v>
      </c>
      <c r="J575" s="389">
        <f t="shared" si="75"/>
        <v>0</v>
      </c>
      <c r="L575" s="721">
        <v>22980</v>
      </c>
      <c r="M575" s="581"/>
      <c r="N575" s="585" t="s">
        <v>1738</v>
      </c>
      <c r="O575" s="586" t="s">
        <v>4681</v>
      </c>
      <c r="P575" s="233">
        <f t="shared" si="76"/>
        <v>0</v>
      </c>
      <c r="Q575" s="233">
        <f t="shared" si="77"/>
        <v>22980</v>
      </c>
      <c r="R575" s="2">
        <f t="shared" si="78"/>
        <v>3.5</v>
      </c>
      <c r="S575" s="2">
        <f>(1/9)*cnst_fish!$C$7*(1/cnst_fish!$C$8)^(R575-1)</f>
        <v>44.596223412631026</v>
      </c>
      <c r="T575" s="682">
        <f t="shared" si="79"/>
        <v>87891.218355223158</v>
      </c>
      <c r="W575" s="818"/>
      <c r="X575" s="818"/>
      <c r="Y575" s="819"/>
      <c r="Z575" s="820"/>
      <c r="AA575" s="820"/>
      <c r="AB575" s="821"/>
      <c r="AC575" s="821"/>
      <c r="AD575" s="253"/>
      <c r="AE575" s="253"/>
    </row>
    <row r="576" spans="1:31" ht="14.5">
      <c r="A576" t="s">
        <v>2736</v>
      </c>
      <c r="B576" t="s">
        <v>2418</v>
      </c>
      <c r="C576">
        <v>3151</v>
      </c>
      <c r="D576" s="581"/>
      <c r="E576" s="581"/>
      <c r="F576" s="2">
        <f>(1/S576)*cnst_fish!$C$6</f>
        <v>2.1334911593031029E-2</v>
      </c>
      <c r="G576" s="2">
        <f t="shared" si="82"/>
        <v>1</v>
      </c>
      <c r="H576" s="2">
        <f t="shared" si="82"/>
        <v>0.36449057933102513</v>
      </c>
      <c r="I576" s="2">
        <f t="shared" si="74"/>
        <v>0</v>
      </c>
      <c r="J576" s="389">
        <f t="shared" si="75"/>
        <v>0</v>
      </c>
      <c r="L576" s="721">
        <v>5616</v>
      </c>
      <c r="M576" s="581"/>
      <c r="N576" s="585" t="s">
        <v>1738</v>
      </c>
      <c r="O576" s="586" t="s">
        <v>4681</v>
      </c>
      <c r="P576" s="233">
        <f t="shared" si="76"/>
        <v>0</v>
      </c>
      <c r="Q576" s="233">
        <f t="shared" si="77"/>
        <v>5616</v>
      </c>
      <c r="R576" s="2">
        <f t="shared" si="78"/>
        <v>4.1500000000000004</v>
      </c>
      <c r="S576" s="2">
        <f>(1/9)*cnst_fish!$C$7*(1/cnst_fish!$C$8)^(R576-1)</f>
        <v>199.20401270320929</v>
      </c>
      <c r="T576" s="682">
        <f t="shared" si="79"/>
        <v>95945.046905733383</v>
      </c>
      <c r="W576" s="818"/>
      <c r="X576" s="818"/>
      <c r="Y576" s="819"/>
      <c r="Z576" s="820"/>
      <c r="AA576" s="820"/>
      <c r="AB576" s="821"/>
      <c r="AC576" s="821"/>
      <c r="AD576" s="253"/>
      <c r="AE576" s="253"/>
    </row>
    <row r="577" spans="1:31" ht="14.5">
      <c r="A577" t="s">
        <v>6615</v>
      </c>
      <c r="B577" t="s">
        <v>6614</v>
      </c>
      <c r="C577">
        <v>11717</v>
      </c>
      <c r="D577" s="581"/>
      <c r="E577" s="581"/>
      <c r="F577" s="2">
        <f>(1/S577)*cnst_fish!$C$6</f>
        <v>3.0136363636363641</v>
      </c>
      <c r="G577" s="2">
        <f t="shared" si="82"/>
        <v>1</v>
      </c>
      <c r="H577" s="2">
        <f t="shared" si="82"/>
        <v>0.36449057933102513</v>
      </c>
      <c r="I577" s="2">
        <f t="shared" si="74"/>
        <v>0</v>
      </c>
      <c r="J577" s="389">
        <f t="shared" si="75"/>
        <v>0</v>
      </c>
      <c r="L577" s="721">
        <v>8</v>
      </c>
      <c r="M577" s="581"/>
      <c r="N577" s="585" t="s">
        <v>1738</v>
      </c>
      <c r="O577" s="586" t="s">
        <v>4681</v>
      </c>
      <c r="P577" s="233">
        <f t="shared" si="76"/>
        <v>0</v>
      </c>
      <c r="Q577" s="233">
        <f t="shared" si="77"/>
        <v>8</v>
      </c>
      <c r="R577" s="2">
        <f t="shared" si="78"/>
        <v>2</v>
      </c>
      <c r="S577" s="2">
        <f>(1/9)*cnst_fish!$C$7*(1/cnst_fish!$C$8)^(R577-1)</f>
        <v>1.4102564102564099</v>
      </c>
      <c r="T577" s="682">
        <f t="shared" si="79"/>
        <v>0.96757680184404837</v>
      </c>
      <c r="W577" s="818"/>
      <c r="X577" s="818"/>
      <c r="Y577" s="819"/>
      <c r="Z577" s="820"/>
      <c r="AA577" s="820"/>
      <c r="AB577" s="821"/>
      <c r="AC577" s="821"/>
      <c r="AD577" s="253"/>
      <c r="AE577" s="253"/>
    </row>
    <row r="578" spans="1:31" ht="14.5">
      <c r="A578" t="s">
        <v>6689</v>
      </c>
      <c r="B578" t="s">
        <v>6688</v>
      </c>
      <c r="C578">
        <v>19288</v>
      </c>
      <c r="D578" s="581"/>
      <c r="E578" s="581"/>
      <c r="F578" s="2">
        <f>(1/S578)*cnst_fish!$C$6</f>
        <v>3.0136363636363641</v>
      </c>
      <c r="G578" s="2">
        <f t="shared" si="82"/>
        <v>1</v>
      </c>
      <c r="H578" s="2">
        <f t="shared" si="82"/>
        <v>0.36449057933102513</v>
      </c>
      <c r="I578" s="2">
        <f t="shared" si="74"/>
        <v>0</v>
      </c>
      <c r="J578" s="389">
        <f t="shared" si="75"/>
        <v>0</v>
      </c>
      <c r="L578" s="721">
        <v>15138</v>
      </c>
      <c r="M578" s="581"/>
      <c r="N578" s="585" t="s">
        <v>1738</v>
      </c>
      <c r="O578" s="586" t="s">
        <v>4681</v>
      </c>
      <c r="P578" s="233">
        <f t="shared" si="76"/>
        <v>0</v>
      </c>
      <c r="Q578" s="233">
        <f t="shared" si="77"/>
        <v>15138</v>
      </c>
      <c r="R578" s="2">
        <f t="shared" si="78"/>
        <v>2</v>
      </c>
      <c r="S578" s="2">
        <f>(1/9)*cnst_fish!$C$7*(1/cnst_fish!$C$8)^(R578-1)</f>
        <v>1.4102564102564099</v>
      </c>
      <c r="T578" s="682">
        <f t="shared" si="79"/>
        <v>1830.8972032894007</v>
      </c>
      <c r="W578" s="818"/>
      <c r="X578" s="818"/>
      <c r="Y578" s="819"/>
      <c r="Z578" s="820"/>
      <c r="AA578" s="820"/>
      <c r="AB578" s="821"/>
      <c r="AC578" s="821"/>
      <c r="AD578" s="253"/>
      <c r="AE578" s="253"/>
    </row>
    <row r="579" spans="1:31" ht="14.5">
      <c r="A579" t="s">
        <v>6435</v>
      </c>
      <c r="B579" t="s">
        <v>6434</v>
      </c>
      <c r="C579">
        <v>11718</v>
      </c>
      <c r="D579" s="581"/>
      <c r="E579" s="581"/>
      <c r="F579" s="2">
        <f>(1/S579)*cnst_fish!$C$6</f>
        <v>3.0136363636363641</v>
      </c>
      <c r="G579" s="2">
        <f t="shared" si="82"/>
        <v>1</v>
      </c>
      <c r="H579" s="2">
        <f t="shared" si="82"/>
        <v>0.36449057933102513</v>
      </c>
      <c r="I579" s="2">
        <f t="shared" si="74"/>
        <v>0</v>
      </c>
      <c r="J579" s="389">
        <f t="shared" si="75"/>
        <v>0</v>
      </c>
      <c r="L579" s="721">
        <v>3680</v>
      </c>
      <c r="M579" s="581"/>
      <c r="N579" s="585" t="s">
        <v>1738</v>
      </c>
      <c r="O579" s="586" t="s">
        <v>4681</v>
      </c>
      <c r="P579" s="233">
        <f t="shared" si="76"/>
        <v>0</v>
      </c>
      <c r="Q579" s="233">
        <f t="shared" si="77"/>
        <v>3680</v>
      </c>
      <c r="R579" s="2">
        <f t="shared" si="78"/>
        <v>2</v>
      </c>
      <c r="S579" s="2">
        <f>(1/9)*cnst_fish!$C$7*(1/cnst_fish!$C$8)^(R579-1)</f>
        <v>1.4102564102564099</v>
      </c>
      <c r="T579" s="682">
        <f t="shared" si="79"/>
        <v>445.08532884826229</v>
      </c>
      <c r="W579" s="818"/>
      <c r="X579" s="818"/>
      <c r="Y579" s="819"/>
      <c r="Z579" s="820"/>
      <c r="AA579" s="820"/>
      <c r="AB579" s="821"/>
      <c r="AC579" s="821"/>
      <c r="AD579" s="253"/>
      <c r="AE579" s="253"/>
    </row>
    <row r="580" spans="1:31" ht="14.5">
      <c r="A580" t="s">
        <v>6650</v>
      </c>
      <c r="B580" t="s">
        <v>6649</v>
      </c>
      <c r="C580">
        <v>11719</v>
      </c>
      <c r="D580" s="581"/>
      <c r="E580" s="581"/>
      <c r="F580" s="2">
        <f>(1/S580)*cnst_fish!$C$6</f>
        <v>3.0136363636363641</v>
      </c>
      <c r="G580" s="2">
        <f t="shared" si="82"/>
        <v>1</v>
      </c>
      <c r="H580" s="2">
        <f t="shared" si="82"/>
        <v>0.36449057933102513</v>
      </c>
      <c r="I580" s="2">
        <f t="shared" si="74"/>
        <v>0</v>
      </c>
      <c r="J580" s="389">
        <f t="shared" si="75"/>
        <v>0</v>
      </c>
      <c r="L580" s="721">
        <v>1335</v>
      </c>
      <c r="M580" s="581"/>
      <c r="N580" s="585" t="s">
        <v>1738</v>
      </c>
      <c r="O580" s="586" t="s">
        <v>4681</v>
      </c>
      <c r="P580" s="233">
        <f t="shared" si="76"/>
        <v>0</v>
      </c>
      <c r="Q580" s="233">
        <f t="shared" si="77"/>
        <v>1335</v>
      </c>
      <c r="R580" s="2">
        <f t="shared" si="78"/>
        <v>2</v>
      </c>
      <c r="S580" s="2">
        <f>(1/9)*cnst_fish!$C$7*(1/cnst_fish!$C$8)^(R580-1)</f>
        <v>1.4102564102564099</v>
      </c>
      <c r="T580" s="682">
        <f t="shared" si="79"/>
        <v>161.46437880772558</v>
      </c>
      <c r="W580" s="818"/>
      <c r="X580" s="818"/>
      <c r="Y580" s="819"/>
      <c r="Z580" s="820"/>
      <c r="AA580" s="820"/>
      <c r="AB580" s="821"/>
      <c r="AC580" s="821"/>
      <c r="AD580" s="253"/>
      <c r="AE580" s="253"/>
    </row>
    <row r="581" spans="1:31" ht="14.5">
      <c r="A581" t="s">
        <v>2099</v>
      </c>
      <c r="B581" t="s">
        <v>2419</v>
      </c>
      <c r="C581">
        <v>2346</v>
      </c>
      <c r="D581" s="581"/>
      <c r="E581" s="581"/>
      <c r="F581" s="2">
        <f>(1/S581)*cnst_fish!$C$6</f>
        <v>3.1556646698079359E-2</v>
      </c>
      <c r="G581" s="2">
        <f t="shared" si="82"/>
        <v>1</v>
      </c>
      <c r="H581" s="2">
        <f t="shared" si="82"/>
        <v>0.36449057933102513</v>
      </c>
      <c r="I581" s="2">
        <f t="shared" si="74"/>
        <v>0</v>
      </c>
      <c r="J581" s="389">
        <f t="shared" si="75"/>
        <v>0</v>
      </c>
      <c r="L581" s="721">
        <v>974</v>
      </c>
      <c r="M581" s="581"/>
      <c r="N581" s="585" t="s">
        <v>1738</v>
      </c>
      <c r="O581" s="586" t="s">
        <v>4681</v>
      </c>
      <c r="P581" s="233">
        <f t="shared" si="76"/>
        <v>0</v>
      </c>
      <c r="Q581" s="233">
        <f t="shared" si="77"/>
        <v>974</v>
      </c>
      <c r="R581" s="2">
        <f t="shared" si="78"/>
        <v>3.98</v>
      </c>
      <c r="S581" s="2">
        <f>(1/9)*cnst_fish!$C$7*(1/cnst_fish!$C$8)^(R581-1)</f>
        <v>134.67844161840773</v>
      </c>
      <c r="T581" s="682">
        <f t="shared" si="79"/>
        <v>11250.049083638085</v>
      </c>
      <c r="W581" s="818"/>
      <c r="X581" s="818"/>
      <c r="Y581" s="819"/>
      <c r="Z581" s="820"/>
      <c r="AA581" s="820"/>
      <c r="AB581" s="821"/>
      <c r="AC581" s="821"/>
      <c r="AD581" s="253"/>
      <c r="AE581" s="253"/>
    </row>
    <row r="582" spans="1:31" ht="14.5">
      <c r="A582" t="s">
        <v>9010</v>
      </c>
      <c r="B582" t="s">
        <v>9011</v>
      </c>
      <c r="C582">
        <v>11724</v>
      </c>
      <c r="D582" s="581"/>
      <c r="E582" s="581"/>
      <c r="F582" s="869">
        <f>(1/S582)*cnst_fish!$C$6</f>
        <v>4.7762917572805388E-2</v>
      </c>
      <c r="G582" s="869">
        <f t="shared" si="82"/>
        <v>1</v>
      </c>
      <c r="H582" s="869">
        <f t="shared" si="82"/>
        <v>0.36449057933102513</v>
      </c>
      <c r="I582" s="869">
        <f t="shared" si="74"/>
        <v>0</v>
      </c>
      <c r="J582" s="389">
        <f t="shared" si="75"/>
        <v>0</v>
      </c>
      <c r="L582" s="721">
        <v>56</v>
      </c>
      <c r="M582" s="581"/>
      <c r="N582" s="877" t="s">
        <v>1738</v>
      </c>
      <c r="O582" s="881" t="s">
        <v>4681</v>
      </c>
      <c r="P582" s="871">
        <f t="shared" si="76"/>
        <v>0</v>
      </c>
      <c r="Q582" s="871">
        <f t="shared" si="77"/>
        <v>56</v>
      </c>
      <c r="R582" s="869">
        <f t="shared" si="78"/>
        <v>3.8</v>
      </c>
      <c r="S582" s="869">
        <f>(1/9)*cnst_fish!$C$7*(1/cnst_fish!$C$8)^(R582-1)</f>
        <v>88.981163965155432</v>
      </c>
      <c r="T582" s="682">
        <f t="shared" si="79"/>
        <v>427.34978263051124</v>
      </c>
      <c r="W582" s="818"/>
      <c r="X582" s="818"/>
      <c r="Y582" s="819"/>
      <c r="Z582" s="820"/>
      <c r="AA582" s="820"/>
      <c r="AB582" s="821"/>
      <c r="AC582" s="821"/>
      <c r="AD582" s="253"/>
      <c r="AE582" s="253"/>
    </row>
    <row r="583" spans="1:31" ht="14.5">
      <c r="A583" t="s">
        <v>1981</v>
      </c>
      <c r="B583" t="s">
        <v>2420</v>
      </c>
      <c r="C583">
        <v>2347</v>
      </c>
      <c r="D583" s="581"/>
      <c r="E583" s="581"/>
      <c r="F583" s="2">
        <f>(1/S583)*cnst_fish!$C$6</f>
        <v>5.1178888253733429E-2</v>
      </c>
      <c r="G583" s="2">
        <f t="shared" si="82"/>
        <v>1</v>
      </c>
      <c r="H583" s="2">
        <f t="shared" si="82"/>
        <v>0.36449057933102513</v>
      </c>
      <c r="I583" s="2">
        <f t="shared" ref="I583:I646" si="83">IF($F583=0,0,D583/$F583*$H583*$G583)</f>
        <v>0</v>
      </c>
      <c r="J583" s="389">
        <f t="shared" ref="J583:J646" si="84">IF($F583=0,0,E583/$F583*$H583*$G583)</f>
        <v>0</v>
      </c>
      <c r="L583" s="721">
        <v>48</v>
      </c>
      <c r="M583" s="581"/>
      <c r="N583" s="585" t="s">
        <v>1738</v>
      </c>
      <c r="O583" s="586" t="s">
        <v>4681</v>
      </c>
      <c r="P583" s="233">
        <f t="shared" ref="P583:P646" si="85">D583+E583</f>
        <v>0</v>
      </c>
      <c r="Q583" s="233">
        <f t="shared" ref="Q583:Q646" si="86">L583+M583</f>
        <v>48</v>
      </c>
      <c r="R583" s="2">
        <f t="shared" ref="R583:R646" si="87">VLOOKUP(B583,constant_fish_trophic,3,FALSE)</f>
        <v>3.77</v>
      </c>
      <c r="S583" s="2">
        <f>(1/9)*cnst_fish!$C$7*(1/cnst_fish!$C$8)^(R583-1)</f>
        <v>83.042053960403649</v>
      </c>
      <c r="T583" s="682">
        <f t="shared" ref="T583:T646" si="88">IF(F583=0,0,Q583/F583*H583*G583)</f>
        <v>341.85087650107232</v>
      </c>
      <c r="W583" s="818"/>
      <c r="X583" s="818"/>
      <c r="Y583" s="819"/>
      <c r="Z583" s="820"/>
      <c r="AA583" s="820"/>
      <c r="AB583" s="821"/>
      <c r="AC583" s="821"/>
      <c r="AD583" s="253"/>
      <c r="AE583" s="253"/>
    </row>
    <row r="584" spans="1:31" ht="14.5">
      <c r="A584" t="s">
        <v>277</v>
      </c>
      <c r="B584" t="s">
        <v>2421</v>
      </c>
      <c r="C584">
        <v>3150</v>
      </c>
      <c r="D584" s="581"/>
      <c r="E584" s="581"/>
      <c r="F584" s="2">
        <f>(1/S584)*cnst_fish!$C$6</f>
        <v>2.3938164528281767E-2</v>
      </c>
      <c r="G584" s="2">
        <f t="shared" si="82"/>
        <v>1</v>
      </c>
      <c r="H584" s="2">
        <f t="shared" si="82"/>
        <v>0.36449057933102513</v>
      </c>
      <c r="I584" s="2">
        <f t="shared" si="83"/>
        <v>0</v>
      </c>
      <c r="J584" s="389">
        <f t="shared" si="84"/>
        <v>0</v>
      </c>
      <c r="L584" s="721">
        <v>28125</v>
      </c>
      <c r="M584" s="581"/>
      <c r="N584" s="585" t="s">
        <v>1738</v>
      </c>
      <c r="O584" s="586" t="s">
        <v>4681</v>
      </c>
      <c r="P584" s="233">
        <f t="shared" si="85"/>
        <v>0</v>
      </c>
      <c r="Q584" s="233">
        <f t="shared" si="86"/>
        <v>28125</v>
      </c>
      <c r="R584" s="2">
        <f t="shared" si="87"/>
        <v>4.0999999999999996</v>
      </c>
      <c r="S584" s="2">
        <f>(1/9)*cnst_fish!$C$7*(1/cnst_fish!$C$8)^(R584-1)</f>
        <v>177.54076320174144</v>
      </c>
      <c r="T584" s="682">
        <f t="shared" si="88"/>
        <v>428240.75052093813</v>
      </c>
      <c r="W584" s="818"/>
      <c r="X584" s="818"/>
      <c r="Y584" s="819"/>
      <c r="Z584" s="820"/>
      <c r="AA584" s="820"/>
      <c r="AB584" s="821"/>
      <c r="AC584" s="821"/>
      <c r="AD584" s="253"/>
      <c r="AE584" s="253"/>
    </row>
    <row r="585" spans="1:31" ht="14.5">
      <c r="A585" t="s">
        <v>9012</v>
      </c>
      <c r="B585" t="s">
        <v>9013</v>
      </c>
      <c r="C585">
        <v>11727</v>
      </c>
      <c r="D585" s="581"/>
      <c r="E585" s="581"/>
      <c r="F585" s="869">
        <f>(1/S585)*cnst_fish!$C$6</f>
        <v>2.3938164528281767E-2</v>
      </c>
      <c r="G585" s="869">
        <f t="shared" si="82"/>
        <v>1</v>
      </c>
      <c r="H585" s="869">
        <f t="shared" si="82"/>
        <v>0.36449057933102513</v>
      </c>
      <c r="I585" s="869">
        <f t="shared" si="83"/>
        <v>0</v>
      </c>
      <c r="J585" s="389">
        <f t="shared" si="84"/>
        <v>0</v>
      </c>
      <c r="L585" s="721">
        <v>5</v>
      </c>
      <c r="M585" s="581"/>
      <c r="N585" s="877" t="s">
        <v>1738</v>
      </c>
      <c r="O585" s="881" t="s">
        <v>4681</v>
      </c>
      <c r="P585" s="871">
        <f t="shared" si="85"/>
        <v>0</v>
      </c>
      <c r="Q585" s="871">
        <f t="shared" si="86"/>
        <v>5</v>
      </c>
      <c r="R585" s="869">
        <f t="shared" si="87"/>
        <v>4.0999999999999996</v>
      </c>
      <c r="S585" s="869">
        <f>(1/9)*cnst_fish!$C$7*(1/cnst_fish!$C$8)^(R585-1)</f>
        <v>177.54076320174144</v>
      </c>
      <c r="T585" s="682">
        <f t="shared" si="88"/>
        <v>76.131688981500105</v>
      </c>
      <c r="W585" s="818"/>
      <c r="X585" s="818"/>
      <c r="Y585" s="819"/>
      <c r="Z585" s="820"/>
      <c r="AA585" s="820"/>
      <c r="AB585" s="821"/>
      <c r="AC585" s="821"/>
      <c r="AD585" s="253"/>
      <c r="AE585" s="253"/>
    </row>
    <row r="586" spans="1:31" ht="14.5">
      <c r="A586" t="s">
        <v>1461</v>
      </c>
      <c r="B586" t="s">
        <v>2422</v>
      </c>
      <c r="C586">
        <v>2349</v>
      </c>
      <c r="D586" s="581"/>
      <c r="E586" s="581"/>
      <c r="F586" s="2">
        <f>(1/S586)*cnst_fish!$C$6</f>
        <v>3.7939434000887833E-2</v>
      </c>
      <c r="G586" s="2">
        <f t="shared" si="82"/>
        <v>1</v>
      </c>
      <c r="H586" s="2">
        <f t="shared" si="82"/>
        <v>0.36449057933102513</v>
      </c>
      <c r="I586" s="2">
        <f t="shared" si="83"/>
        <v>0</v>
      </c>
      <c r="J586" s="389">
        <f t="shared" si="84"/>
        <v>0</v>
      </c>
      <c r="L586" s="721">
        <v>5498</v>
      </c>
      <c r="M586" s="581"/>
      <c r="N586" s="585" t="s">
        <v>1738</v>
      </c>
      <c r="O586" s="586" t="s">
        <v>4681</v>
      </c>
      <c r="P586" s="233">
        <f t="shared" si="85"/>
        <v>0</v>
      </c>
      <c r="Q586" s="233">
        <f t="shared" si="86"/>
        <v>5498</v>
      </c>
      <c r="R586" s="2">
        <f t="shared" si="87"/>
        <v>3.9</v>
      </c>
      <c r="S586" s="2">
        <f>(1/9)*cnst_fish!$C$7*(1/cnst_fish!$C$8)^(R586-1)</f>
        <v>112.02064848675771</v>
      </c>
      <c r="T586" s="682">
        <f t="shared" si="88"/>
        <v>52820.218802291056</v>
      </c>
      <c r="W586" s="818"/>
      <c r="X586" s="818"/>
      <c r="Y586" s="819"/>
      <c r="Z586" s="820"/>
      <c r="AA586" s="820"/>
      <c r="AB586" s="821"/>
      <c r="AC586" s="821"/>
      <c r="AD586" s="253"/>
      <c r="AE586" s="253"/>
    </row>
    <row r="587" spans="1:31" ht="14.5">
      <c r="A587" t="s">
        <v>6411</v>
      </c>
      <c r="B587" t="s">
        <v>6410</v>
      </c>
      <c r="C587">
        <v>11728</v>
      </c>
      <c r="D587" s="581"/>
      <c r="E587" s="581"/>
      <c r="F587" s="2">
        <f>(1/S587)*cnst_fish!$C$6</f>
        <v>3.0136363636363641</v>
      </c>
      <c r="G587" s="2">
        <f t="shared" si="82"/>
        <v>1</v>
      </c>
      <c r="H587" s="2">
        <f t="shared" si="82"/>
        <v>0.36449057933102513</v>
      </c>
      <c r="I587" s="2">
        <f t="shared" si="83"/>
        <v>0</v>
      </c>
      <c r="J587" s="389">
        <f t="shared" si="84"/>
        <v>0</v>
      </c>
      <c r="L587" s="721">
        <v>1465</v>
      </c>
      <c r="M587" s="581"/>
      <c r="N587" s="585" t="s">
        <v>1738</v>
      </c>
      <c r="O587" s="586" t="s">
        <v>4681</v>
      </c>
      <c r="P587" s="233">
        <f t="shared" si="85"/>
        <v>0</v>
      </c>
      <c r="Q587" s="233">
        <f t="shared" si="86"/>
        <v>1465</v>
      </c>
      <c r="R587" s="2">
        <f t="shared" si="87"/>
        <v>2</v>
      </c>
      <c r="S587" s="2">
        <f>(1/9)*cnst_fish!$C$7*(1/cnst_fish!$C$8)^(R587-1)</f>
        <v>1.4102564102564099</v>
      </c>
      <c r="T587" s="682">
        <f t="shared" si="88"/>
        <v>177.18750183769137</v>
      </c>
      <c r="W587" s="818"/>
      <c r="X587" s="818"/>
      <c r="Y587" s="819"/>
      <c r="Z587" s="820"/>
      <c r="AA587" s="820"/>
      <c r="AB587" s="821"/>
      <c r="AC587" s="821"/>
      <c r="AD587" s="253"/>
      <c r="AE587" s="253"/>
    </row>
    <row r="588" spans="1:31" ht="14.5">
      <c r="A588" t="s">
        <v>2551</v>
      </c>
      <c r="B588" t="s">
        <v>4825</v>
      </c>
      <c r="C588">
        <v>2955</v>
      </c>
      <c r="D588" s="581"/>
      <c r="E588" s="581"/>
      <c r="F588" s="2">
        <f>(1/S588)*cnst_fish!$C$6</f>
        <v>0.46675700833589756</v>
      </c>
      <c r="G588" s="2">
        <f t="shared" ref="G588:H607" si="89">G$7</f>
        <v>1</v>
      </c>
      <c r="H588" s="2">
        <f t="shared" si="89"/>
        <v>0.36449057933102513</v>
      </c>
      <c r="I588" s="2">
        <f t="shared" si="83"/>
        <v>0</v>
      </c>
      <c r="J588" s="389">
        <f t="shared" si="84"/>
        <v>0</v>
      </c>
      <c r="L588" s="721">
        <v>182</v>
      </c>
      <c r="M588" s="581">
        <v>903026.82</v>
      </c>
      <c r="N588" s="585" t="s">
        <v>1738</v>
      </c>
      <c r="O588" s="586" t="s">
        <v>4685</v>
      </c>
      <c r="P588" s="233">
        <f t="shared" si="85"/>
        <v>0</v>
      </c>
      <c r="Q588" s="233">
        <f t="shared" si="86"/>
        <v>903208.82</v>
      </c>
      <c r="R588" s="2">
        <f t="shared" si="87"/>
        <v>2.81</v>
      </c>
      <c r="S588" s="2">
        <f>(1/9)*cnst_fish!$C$7*(1/cnst_fish!$C$8)^(R588-1)</f>
        <v>9.1053801530528382</v>
      </c>
      <c r="T588" s="682">
        <f t="shared" si="88"/>
        <v>705315.82853444316</v>
      </c>
      <c r="W588" s="818"/>
      <c r="X588" s="818"/>
      <c r="Y588" s="819"/>
      <c r="Z588" s="820"/>
      <c r="AA588" s="820"/>
      <c r="AB588" s="821"/>
      <c r="AC588" s="821"/>
      <c r="AD588" s="253"/>
      <c r="AE588" s="253"/>
    </row>
    <row r="589" spans="1:31" ht="14.5">
      <c r="A589" t="s">
        <v>2768</v>
      </c>
      <c r="B589" t="s">
        <v>4826</v>
      </c>
      <c r="C589">
        <v>2957</v>
      </c>
      <c r="D589" s="581"/>
      <c r="E589" s="581">
        <v>610</v>
      </c>
      <c r="F589" s="2">
        <f>(1/S589)*cnst_fish!$C$6</f>
        <v>0.33043865638315079</v>
      </c>
      <c r="G589" s="2">
        <f t="shared" si="89"/>
        <v>1</v>
      </c>
      <c r="H589" s="2">
        <f t="shared" si="89"/>
        <v>0.36449057933102513</v>
      </c>
      <c r="I589" s="2">
        <f t="shared" si="83"/>
        <v>0</v>
      </c>
      <c r="J589" s="389">
        <f t="shared" si="84"/>
        <v>672.86090503321179</v>
      </c>
      <c r="L589" s="721">
        <v>4</v>
      </c>
      <c r="M589" s="581">
        <v>127094.06999999999</v>
      </c>
      <c r="N589" s="585" t="s">
        <v>5194</v>
      </c>
      <c r="O589" s="586" t="s">
        <v>4685</v>
      </c>
      <c r="P589" s="233">
        <f t="shared" si="85"/>
        <v>610</v>
      </c>
      <c r="Q589" s="233">
        <f t="shared" si="86"/>
        <v>127098.06999999999</v>
      </c>
      <c r="R589" s="2">
        <f t="shared" si="87"/>
        <v>2.96</v>
      </c>
      <c r="S589" s="2">
        <f>(1/9)*cnst_fish!$C$7*(1/cnst_fish!$C$8)^(R589-1)</f>
        <v>12.861691324250007</v>
      </c>
      <c r="T589" s="682">
        <f t="shared" si="88"/>
        <v>140195.61050520412</v>
      </c>
      <c r="W589" s="818"/>
      <c r="X589" s="818"/>
      <c r="Y589" s="819"/>
      <c r="Z589" s="820"/>
      <c r="AA589" s="820"/>
      <c r="AB589" s="821"/>
      <c r="AC589" s="821"/>
      <c r="AD589" s="253"/>
      <c r="AE589" s="253"/>
    </row>
    <row r="590" spans="1:31" ht="14.5">
      <c r="A590" t="s">
        <v>4446</v>
      </c>
      <c r="B590" t="s">
        <v>1466</v>
      </c>
      <c r="C590">
        <v>3004</v>
      </c>
      <c r="D590" s="581"/>
      <c r="E590" s="581"/>
      <c r="F590" s="2">
        <f>(1/S590)*cnst_fish!$C$6</f>
        <v>0.11997502458044032</v>
      </c>
      <c r="G590" s="2">
        <f t="shared" si="89"/>
        <v>1</v>
      </c>
      <c r="H590" s="2">
        <f t="shared" si="89"/>
        <v>0.36449057933102513</v>
      </c>
      <c r="I590" s="2">
        <f t="shared" si="83"/>
        <v>0</v>
      </c>
      <c r="J590" s="389">
        <f t="shared" si="84"/>
        <v>0</v>
      </c>
      <c r="L590" s="721"/>
      <c r="M590" s="581"/>
      <c r="N590" s="585" t="s">
        <v>1738</v>
      </c>
      <c r="O590" s="586" t="s">
        <v>4699</v>
      </c>
      <c r="P590" s="233">
        <f t="shared" si="85"/>
        <v>0</v>
      </c>
      <c r="Q590" s="233">
        <f t="shared" si="86"/>
        <v>0</v>
      </c>
      <c r="R590" s="2">
        <f t="shared" si="87"/>
        <v>3.4</v>
      </c>
      <c r="S590" s="2">
        <f>(1/9)*cnst_fish!$C$7*(1/cnst_fish!$C$8)^(R590-1)</f>
        <v>35.424039418724846</v>
      </c>
      <c r="T590" s="682">
        <f t="shared" si="88"/>
        <v>0</v>
      </c>
      <c r="W590" s="818"/>
      <c r="X590" s="818"/>
      <c r="Y590" s="819"/>
      <c r="Z590" s="820"/>
      <c r="AA590" s="820"/>
      <c r="AB590" s="821"/>
      <c r="AC590" s="821"/>
      <c r="AD590" s="253"/>
      <c r="AE590" s="253"/>
    </row>
    <row r="591" spans="1:31" ht="14.5">
      <c r="A591" t="s">
        <v>3695</v>
      </c>
      <c r="B591" t="s">
        <v>3729</v>
      </c>
      <c r="C591">
        <v>3633</v>
      </c>
      <c r="D591" s="581"/>
      <c r="E591" s="581"/>
      <c r="F591" s="2">
        <f>(1/S591)*cnst_fish!$C$6</f>
        <v>30.136363636363644</v>
      </c>
      <c r="G591" s="2">
        <f t="shared" si="89"/>
        <v>1</v>
      </c>
      <c r="H591" s="2">
        <f t="shared" si="89"/>
        <v>0.36449057933102513</v>
      </c>
      <c r="I591" s="2">
        <f t="shared" si="83"/>
        <v>0</v>
      </c>
      <c r="J591" s="389">
        <f t="shared" si="84"/>
        <v>0</v>
      </c>
      <c r="L591" s="721">
        <v>0</v>
      </c>
      <c r="M591" s="581"/>
      <c r="N591" s="585" t="s">
        <v>1740</v>
      </c>
      <c r="O591" s="586" t="s">
        <v>4671</v>
      </c>
      <c r="P591" s="233">
        <f t="shared" si="85"/>
        <v>0</v>
      </c>
      <c r="Q591" s="233">
        <f t="shared" si="86"/>
        <v>0</v>
      </c>
      <c r="R591" s="2">
        <f t="shared" si="87"/>
        <v>1</v>
      </c>
      <c r="S591" s="2">
        <f>(1/9)*cnst_fish!$C$7*(1/cnst_fish!$C$8)^(R591-1)</f>
        <v>0.141025641025641</v>
      </c>
      <c r="T591" s="682">
        <f t="shared" si="88"/>
        <v>0</v>
      </c>
      <c r="W591" s="818"/>
      <c r="X591" s="818"/>
      <c r="Y591" s="819"/>
      <c r="Z591" s="820"/>
      <c r="AA591" s="820"/>
      <c r="AB591" s="821"/>
      <c r="AC591" s="821"/>
      <c r="AD591" s="253"/>
      <c r="AE591" s="253"/>
    </row>
    <row r="592" spans="1:31" ht="14.5">
      <c r="A592" t="s">
        <v>1975</v>
      </c>
      <c r="B592" t="s">
        <v>3017</v>
      </c>
      <c r="C592">
        <v>11757</v>
      </c>
      <c r="D592" s="581"/>
      <c r="E592" s="581"/>
      <c r="F592" s="2">
        <f>(1/S592)*cnst_fish!$C$6</f>
        <v>4.5613232168782068E-2</v>
      </c>
      <c r="G592" s="2">
        <f t="shared" si="89"/>
        <v>1</v>
      </c>
      <c r="H592" s="2">
        <f t="shared" si="89"/>
        <v>0.36449057933102513</v>
      </c>
      <c r="I592" s="2">
        <f t="shared" si="83"/>
        <v>0</v>
      </c>
      <c r="J592" s="389">
        <f t="shared" si="84"/>
        <v>0</v>
      </c>
      <c r="L592" s="721"/>
      <c r="M592" s="581"/>
      <c r="N592" s="585" t="s">
        <v>1738</v>
      </c>
      <c r="O592" s="586" t="s">
        <v>4681</v>
      </c>
      <c r="P592" s="233">
        <f t="shared" si="85"/>
        <v>0</v>
      </c>
      <c r="Q592" s="233">
        <f t="shared" si="86"/>
        <v>0</v>
      </c>
      <c r="R592" s="2">
        <f t="shared" si="87"/>
        <v>3.82</v>
      </c>
      <c r="S592" s="2">
        <f>(1/9)*cnst_fish!$C$7*(1/cnst_fish!$C$8)^(R592-1)</f>
        <v>93.174717026712301</v>
      </c>
      <c r="T592" s="682">
        <f t="shared" si="88"/>
        <v>0</v>
      </c>
      <c r="W592" s="818"/>
      <c r="X592" s="818"/>
      <c r="Y592" s="819"/>
      <c r="Z592" s="820"/>
      <c r="AA592" s="820"/>
      <c r="AB592" s="821"/>
      <c r="AC592" s="821"/>
      <c r="AD592" s="253"/>
      <c r="AE592" s="253"/>
    </row>
    <row r="593" spans="1:31" ht="14.5">
      <c r="A593" t="s">
        <v>3696</v>
      </c>
      <c r="B593" t="s">
        <v>3961</v>
      </c>
      <c r="C593">
        <v>18835</v>
      </c>
      <c r="D593" s="581"/>
      <c r="E593" s="581"/>
      <c r="F593" s="2">
        <f>(1/S593)*cnst_fish!$C$6</f>
        <v>1.6946922663690963E-2</v>
      </c>
      <c r="G593" s="2">
        <f t="shared" si="89"/>
        <v>1</v>
      </c>
      <c r="H593" s="2">
        <f t="shared" si="89"/>
        <v>0.36449057933102513</v>
      </c>
      <c r="I593" s="2">
        <f t="shared" si="83"/>
        <v>0</v>
      </c>
      <c r="J593" s="389">
        <f t="shared" si="84"/>
        <v>0</v>
      </c>
      <c r="L593" s="721">
        <v>521</v>
      </c>
      <c r="M593" s="581"/>
      <c r="N593" s="585" t="s">
        <v>1738</v>
      </c>
      <c r="O593" s="586" t="s">
        <v>4681</v>
      </c>
      <c r="P593" s="233">
        <f t="shared" si="85"/>
        <v>0</v>
      </c>
      <c r="Q593" s="233">
        <f t="shared" si="86"/>
        <v>521</v>
      </c>
      <c r="R593" s="2">
        <f t="shared" si="87"/>
        <v>4.25</v>
      </c>
      <c r="S593" s="2">
        <f>(1/9)*cnst_fish!$C$7*(1/cnst_fish!$C$8)^(R593-1)</f>
        <v>250.78299372343801</v>
      </c>
      <c r="T593" s="682">
        <f t="shared" si="88"/>
        <v>11205.550152083177</v>
      </c>
      <c r="W593" s="818"/>
      <c r="X593" s="818"/>
      <c r="Y593" s="819"/>
      <c r="Z593" s="820"/>
      <c r="AA593" s="820"/>
      <c r="AB593" s="821"/>
      <c r="AC593" s="821"/>
      <c r="AD593" s="253"/>
      <c r="AE593" s="253"/>
    </row>
    <row r="594" spans="1:31" ht="14.5">
      <c r="A594" t="s">
        <v>1492</v>
      </c>
      <c r="B594" t="s">
        <v>1493</v>
      </c>
      <c r="C594">
        <v>11761</v>
      </c>
      <c r="D594" s="581"/>
      <c r="E594" s="581"/>
      <c r="F594" s="2">
        <f>(1/S594)*cnst_fish!$C$6</f>
        <v>6.9038420626592392E-2</v>
      </c>
      <c r="G594" s="2">
        <f t="shared" si="89"/>
        <v>1</v>
      </c>
      <c r="H594" s="2">
        <f t="shared" si="89"/>
        <v>0.36449057933102513</v>
      </c>
      <c r="I594" s="2">
        <f t="shared" si="83"/>
        <v>0</v>
      </c>
      <c r="J594" s="389">
        <f t="shared" si="84"/>
        <v>0</v>
      </c>
      <c r="L594" s="721">
        <v>153</v>
      </c>
      <c r="M594" s="581"/>
      <c r="N594" s="585" t="s">
        <v>1738</v>
      </c>
      <c r="O594" s="586" t="s">
        <v>4681</v>
      </c>
      <c r="P594" s="233">
        <f t="shared" si="85"/>
        <v>0</v>
      </c>
      <c r="Q594" s="233">
        <f t="shared" si="86"/>
        <v>153</v>
      </c>
      <c r="R594" s="2">
        <f t="shared" si="87"/>
        <v>3.64</v>
      </c>
      <c r="S594" s="2">
        <f>(1/9)*cnst_fish!$C$7*(1/cnst_fish!$C$8)^(R594-1)</f>
        <v>61.559925059510611</v>
      </c>
      <c r="T594" s="682">
        <f t="shared" si="88"/>
        <v>807.76845894655867</v>
      </c>
      <c r="W594" s="818"/>
      <c r="X594" s="818"/>
      <c r="Y594" s="819"/>
      <c r="Z594" s="820"/>
      <c r="AA594" s="820"/>
      <c r="AB594" s="821"/>
      <c r="AC594" s="821"/>
      <c r="AD594" s="253"/>
      <c r="AE594" s="253"/>
    </row>
    <row r="595" spans="1:31" ht="14.5">
      <c r="A595" t="s">
        <v>2848</v>
      </c>
      <c r="B595" t="s">
        <v>4507</v>
      </c>
      <c r="C595">
        <v>2044</v>
      </c>
      <c r="D595" s="581"/>
      <c r="E595" s="581"/>
      <c r="F595" s="2">
        <f>(1/S595)*cnst_fish!$C$6</f>
        <v>2.1334911593031029E-2</v>
      </c>
      <c r="G595" s="2">
        <f t="shared" si="89"/>
        <v>1</v>
      </c>
      <c r="H595" s="2">
        <f t="shared" si="89"/>
        <v>0.36449057933102513</v>
      </c>
      <c r="I595" s="2">
        <f t="shared" si="83"/>
        <v>0</v>
      </c>
      <c r="J595" s="389">
        <f t="shared" si="84"/>
        <v>0</v>
      </c>
      <c r="L595" s="721">
        <v>433</v>
      </c>
      <c r="M595" s="581"/>
      <c r="N595" s="585" t="s">
        <v>3785</v>
      </c>
      <c r="O595" s="586" t="s">
        <v>4681</v>
      </c>
      <c r="P595" s="233">
        <f t="shared" si="85"/>
        <v>0</v>
      </c>
      <c r="Q595" s="233">
        <f t="shared" si="86"/>
        <v>433</v>
      </c>
      <c r="R595" s="2">
        <f t="shared" si="87"/>
        <v>4.1500000000000004</v>
      </c>
      <c r="S595" s="2">
        <f>(1/9)*cnst_fish!$C$7*(1/cnst_fish!$C$8)^(R595-1)</f>
        <v>199.20401270320929</v>
      </c>
      <c r="T595" s="682">
        <f t="shared" si="88"/>
        <v>7397.4724555168368</v>
      </c>
      <c r="W595" s="818"/>
      <c r="X595" s="818"/>
      <c r="Y595" s="819"/>
      <c r="Z595" s="820"/>
      <c r="AA595" s="820"/>
      <c r="AB595" s="821"/>
      <c r="AC595" s="821"/>
      <c r="AD595" s="253"/>
      <c r="AE595" s="253"/>
    </row>
    <row r="596" spans="1:31" ht="14.5">
      <c r="A596" t="s">
        <v>9116</v>
      </c>
      <c r="B596" t="s">
        <v>9117</v>
      </c>
      <c r="C596">
        <v>20627</v>
      </c>
      <c r="D596" s="581"/>
      <c r="E596" s="581"/>
      <c r="F596" s="869">
        <f>(1/S596)*cnst_fish!$C$6</f>
        <v>3.0136363636363642E-2</v>
      </c>
      <c r="G596" s="869">
        <f t="shared" si="89"/>
        <v>1</v>
      </c>
      <c r="H596" s="869">
        <f t="shared" si="89"/>
        <v>0.36449057933102513</v>
      </c>
      <c r="I596" s="869">
        <f t="shared" si="83"/>
        <v>0</v>
      </c>
      <c r="J596" s="389">
        <f t="shared" si="84"/>
        <v>0</v>
      </c>
      <c r="L596" s="721"/>
      <c r="M596" s="581">
        <v>2792</v>
      </c>
      <c r="N596" s="877" t="s">
        <v>3786</v>
      </c>
      <c r="O596" s="882" t="s">
        <v>4681</v>
      </c>
      <c r="P596" s="871">
        <f t="shared" si="85"/>
        <v>0</v>
      </c>
      <c r="Q596" s="871">
        <f t="shared" si="86"/>
        <v>2792</v>
      </c>
      <c r="R596" s="869">
        <f t="shared" si="87"/>
        <v>4</v>
      </c>
      <c r="S596" s="869">
        <f>(1/9)*cnst_fish!$C$7*(1/cnst_fish!$C$8)^(R596-1)</f>
        <v>141.02564102564099</v>
      </c>
      <c r="T596" s="682">
        <f t="shared" si="88"/>
        <v>33768.430384357292</v>
      </c>
      <c r="W596" s="818"/>
      <c r="X596" s="818"/>
      <c r="Y596" s="819"/>
      <c r="Z596" s="820"/>
      <c r="AA596" s="820"/>
      <c r="AB596" s="821"/>
      <c r="AC596" s="821"/>
      <c r="AD596" s="253"/>
      <c r="AE596" s="253"/>
    </row>
    <row r="597" spans="1:31" ht="14.5">
      <c r="A597" t="s">
        <v>4179</v>
      </c>
      <c r="B597" t="s">
        <v>4843</v>
      </c>
      <c r="C597">
        <v>2864</v>
      </c>
      <c r="D597" s="581"/>
      <c r="E597" s="581"/>
      <c r="F597" s="2">
        <f>(1/S597)*cnst_fish!$C$6</f>
        <v>7.0646532025323075E-2</v>
      </c>
      <c r="G597" s="2">
        <f t="shared" si="89"/>
        <v>1</v>
      </c>
      <c r="H597" s="2">
        <f t="shared" si="89"/>
        <v>0.36449057933102513</v>
      </c>
      <c r="I597" s="2">
        <f t="shared" si="83"/>
        <v>0</v>
      </c>
      <c r="J597" s="389">
        <f t="shared" si="84"/>
        <v>0</v>
      </c>
      <c r="L597" s="721">
        <v>33884</v>
      </c>
      <c r="M597" s="581"/>
      <c r="N597" s="585" t="s">
        <v>1738</v>
      </c>
      <c r="O597" s="586" t="s">
        <v>4681</v>
      </c>
      <c r="P597" s="233">
        <f t="shared" si="85"/>
        <v>0</v>
      </c>
      <c r="Q597" s="233">
        <f t="shared" si="86"/>
        <v>33884</v>
      </c>
      <c r="R597" s="2">
        <f t="shared" si="87"/>
        <v>3.63</v>
      </c>
      <c r="S597" s="2">
        <f>(1/9)*cnst_fish!$C$7*(1/cnst_fish!$C$8)^(R597-1)</f>
        <v>60.158650087404119</v>
      </c>
      <c r="T597" s="682">
        <f t="shared" si="88"/>
        <v>174819.60452956823</v>
      </c>
      <c r="W597" s="818"/>
      <c r="X597" s="818"/>
      <c r="Y597" s="819"/>
      <c r="Z597" s="820"/>
      <c r="AA597" s="820"/>
      <c r="AB597" s="821"/>
      <c r="AC597" s="821"/>
      <c r="AD597" s="253"/>
      <c r="AE597" s="253"/>
    </row>
    <row r="598" spans="1:31" ht="14.5">
      <c r="A598" t="s">
        <v>165</v>
      </c>
      <c r="B598" t="s">
        <v>4844</v>
      </c>
      <c r="C598">
        <v>2865</v>
      </c>
      <c r="D598" s="581"/>
      <c r="E598" s="581"/>
      <c r="F598" s="2">
        <f>(1/S598)*cnst_fish!$C$6</f>
        <v>4.3560298545661361E-2</v>
      </c>
      <c r="G598" s="2">
        <f t="shared" si="89"/>
        <v>1</v>
      </c>
      <c r="H598" s="2">
        <f t="shared" si="89"/>
        <v>0.36449057933102513</v>
      </c>
      <c r="I598" s="2">
        <f t="shared" si="83"/>
        <v>0</v>
      </c>
      <c r="J598" s="389">
        <f t="shared" si="84"/>
        <v>0</v>
      </c>
      <c r="L598" s="721"/>
      <c r="M598" s="581"/>
      <c r="N598" s="585" t="s">
        <v>1738</v>
      </c>
      <c r="O598" s="586" t="s">
        <v>4681</v>
      </c>
      <c r="P598" s="233">
        <f t="shared" si="85"/>
        <v>0</v>
      </c>
      <c r="Q598" s="233">
        <f t="shared" si="86"/>
        <v>0</v>
      </c>
      <c r="R598" s="2">
        <f t="shared" si="87"/>
        <v>3.84</v>
      </c>
      <c r="S598" s="2">
        <f>(1/9)*cnst_fish!$C$7*(1/cnst_fish!$C$8)^(R598-1)</f>
        <v>97.565906155234643</v>
      </c>
      <c r="T598" s="682">
        <f t="shared" si="88"/>
        <v>0</v>
      </c>
      <c r="W598" s="818"/>
      <c r="X598" s="818"/>
      <c r="Y598" s="819"/>
      <c r="Z598" s="820"/>
      <c r="AA598" s="820"/>
      <c r="AB598" s="821"/>
      <c r="AC598" s="821"/>
      <c r="AD598" s="253"/>
      <c r="AE598" s="253"/>
    </row>
    <row r="599" spans="1:31" ht="14.5">
      <c r="A599" t="s">
        <v>1656</v>
      </c>
      <c r="B599" t="s">
        <v>1657</v>
      </c>
      <c r="C599">
        <v>11783</v>
      </c>
      <c r="D599" s="581"/>
      <c r="E599" s="581"/>
      <c r="F599" s="2">
        <f>(1/S599)*cnst_fish!$C$6</f>
        <v>9.3130266898023228E-2</v>
      </c>
      <c r="G599" s="2">
        <f t="shared" si="89"/>
        <v>1</v>
      </c>
      <c r="H599" s="2">
        <f t="shared" si="89"/>
        <v>0.36449057933102513</v>
      </c>
      <c r="I599" s="2">
        <f t="shared" si="83"/>
        <v>0</v>
      </c>
      <c r="J599" s="389">
        <f t="shared" si="84"/>
        <v>0</v>
      </c>
      <c r="L599" s="721">
        <v>7310</v>
      </c>
      <c r="M599" s="581"/>
      <c r="N599" s="585" t="s">
        <v>1738</v>
      </c>
      <c r="O599" s="586" t="s">
        <v>4681</v>
      </c>
      <c r="P599" s="233">
        <f t="shared" si="85"/>
        <v>0</v>
      </c>
      <c r="Q599" s="233">
        <f t="shared" si="86"/>
        <v>7310</v>
      </c>
      <c r="R599" s="2">
        <f t="shared" si="87"/>
        <v>3.51</v>
      </c>
      <c r="S599" s="2">
        <f>(1/9)*cnst_fish!$C$7*(1/cnst_fish!$C$8)^(R599-1)</f>
        <v>45.635002900332182</v>
      </c>
      <c r="T599" s="682">
        <f t="shared" si="88"/>
        <v>28609.669269253951</v>
      </c>
      <c r="W599" s="818"/>
      <c r="X599" s="818"/>
      <c r="Y599" s="819"/>
      <c r="Z599" s="820"/>
      <c r="AA599" s="820"/>
      <c r="AB599" s="821"/>
      <c r="AC599" s="821"/>
      <c r="AD599" s="253"/>
      <c r="AE599" s="253"/>
    </row>
    <row r="600" spans="1:31" ht="14.5">
      <c r="A600" t="s">
        <v>9014</v>
      </c>
      <c r="B600" t="s">
        <v>9015</v>
      </c>
      <c r="C600">
        <v>11787</v>
      </c>
      <c r="D600" s="581"/>
      <c r="E600" s="581"/>
      <c r="F600" s="869">
        <f>(1/S600)*cnst_fish!$C$6</f>
        <v>4.7762917572805388E-2</v>
      </c>
      <c r="G600" s="869">
        <f t="shared" si="89"/>
        <v>1</v>
      </c>
      <c r="H600" s="869">
        <f t="shared" si="89"/>
        <v>0.36449057933102513</v>
      </c>
      <c r="I600" s="869">
        <f t="shared" si="83"/>
        <v>0</v>
      </c>
      <c r="J600" s="389">
        <f t="shared" si="84"/>
        <v>0</v>
      </c>
      <c r="L600" s="721">
        <v>9</v>
      </c>
      <c r="M600" s="581"/>
      <c r="N600" s="877" t="s">
        <v>1738</v>
      </c>
      <c r="O600" s="881" t="s">
        <v>4681</v>
      </c>
      <c r="P600" s="871">
        <f t="shared" si="85"/>
        <v>0</v>
      </c>
      <c r="Q600" s="871">
        <f t="shared" si="86"/>
        <v>9</v>
      </c>
      <c r="R600" s="869">
        <f t="shared" si="87"/>
        <v>3.8</v>
      </c>
      <c r="S600" s="869">
        <f>(1/9)*cnst_fish!$C$7*(1/cnst_fish!$C$8)^(R600-1)</f>
        <v>88.981163965155432</v>
      </c>
      <c r="T600" s="682">
        <f t="shared" si="88"/>
        <v>68.681215065617877</v>
      </c>
      <c r="W600" s="818"/>
      <c r="X600" s="818"/>
      <c r="Y600" s="819"/>
      <c r="Z600" s="820"/>
      <c r="AA600" s="820"/>
      <c r="AB600" s="821"/>
      <c r="AC600" s="821"/>
      <c r="AD600" s="253"/>
      <c r="AE600" s="253"/>
    </row>
    <row r="601" spans="1:31" ht="14.5">
      <c r="A601" t="s">
        <v>3922</v>
      </c>
      <c r="B601" t="s">
        <v>3923</v>
      </c>
      <c r="C601">
        <v>11800</v>
      </c>
      <c r="D601" s="581"/>
      <c r="E601" s="581"/>
      <c r="F601" s="2">
        <f>(1/S601)*cnst_fish!$C$6</f>
        <v>9.5299549485983348E-2</v>
      </c>
      <c r="G601" s="2">
        <f t="shared" si="89"/>
        <v>1</v>
      </c>
      <c r="H601" s="2">
        <f t="shared" si="89"/>
        <v>0.36449057933102513</v>
      </c>
      <c r="I601" s="2">
        <f t="shared" si="83"/>
        <v>0</v>
      </c>
      <c r="J601" s="389">
        <f t="shared" si="84"/>
        <v>0</v>
      </c>
      <c r="L601" s="721">
        <v>90</v>
      </c>
      <c r="M601" s="581"/>
      <c r="N601" s="585" t="s">
        <v>1738</v>
      </c>
      <c r="O601" s="586" t="s">
        <v>4681</v>
      </c>
      <c r="P601" s="233">
        <f t="shared" si="85"/>
        <v>0</v>
      </c>
      <c r="Q601" s="233">
        <f t="shared" si="86"/>
        <v>90</v>
      </c>
      <c r="R601" s="2">
        <f t="shared" si="87"/>
        <v>3.5</v>
      </c>
      <c r="S601" s="2">
        <f>(1/9)*cnst_fish!$C$7*(1/cnst_fish!$C$8)^(R601-1)</f>
        <v>44.596223412631026</v>
      </c>
      <c r="T601" s="682">
        <f t="shared" si="88"/>
        <v>344.22148180896801</v>
      </c>
      <c r="W601" s="818"/>
      <c r="X601" s="818"/>
      <c r="Y601" s="819"/>
      <c r="Z601" s="820"/>
      <c r="AA601" s="820"/>
      <c r="AB601" s="821"/>
      <c r="AC601" s="821"/>
      <c r="AD601" s="253"/>
      <c r="AE601" s="253"/>
    </row>
    <row r="602" spans="1:31" ht="14.5">
      <c r="A602" t="s">
        <v>3693</v>
      </c>
      <c r="B602" t="s">
        <v>4845</v>
      </c>
      <c r="C602">
        <v>11806</v>
      </c>
      <c r="D602" s="581"/>
      <c r="E602" s="581"/>
      <c r="F602" s="2">
        <f>(1/S602)*cnst_fish!$C$6</f>
        <v>2.6859062362848789E-2</v>
      </c>
      <c r="G602" s="2">
        <f t="shared" si="89"/>
        <v>1</v>
      </c>
      <c r="H602" s="2">
        <f t="shared" si="89"/>
        <v>0.36449057933102513</v>
      </c>
      <c r="I602" s="2">
        <f t="shared" si="83"/>
        <v>0</v>
      </c>
      <c r="J602" s="389">
        <f t="shared" si="84"/>
        <v>0</v>
      </c>
      <c r="L602" s="721">
        <v>8</v>
      </c>
      <c r="M602" s="581"/>
      <c r="N602" s="585" t="s">
        <v>1738</v>
      </c>
      <c r="O602" s="586" t="s">
        <v>4681</v>
      </c>
      <c r="P602" s="233">
        <f t="shared" si="85"/>
        <v>0</v>
      </c>
      <c r="Q602" s="233">
        <f t="shared" si="86"/>
        <v>8</v>
      </c>
      <c r="R602" s="2">
        <f t="shared" si="87"/>
        <v>4.05</v>
      </c>
      <c r="S602" s="2">
        <f>(1/9)*cnst_fish!$C$7*(1/cnst_fish!$C$8)^(R602-1)</f>
        <v>158.23337176053329</v>
      </c>
      <c r="T602" s="682">
        <f t="shared" si="88"/>
        <v>108.56390276234966</v>
      </c>
      <c r="W602" s="818"/>
      <c r="X602" s="818"/>
      <c r="Y602" s="819"/>
      <c r="Z602" s="820"/>
      <c r="AA602" s="820"/>
      <c r="AB602" s="821"/>
      <c r="AC602" s="821"/>
      <c r="AD602" s="253"/>
      <c r="AE602" s="253"/>
    </row>
    <row r="603" spans="1:31" ht="14.5">
      <c r="A603" t="s">
        <v>1125</v>
      </c>
      <c r="B603" t="s">
        <v>4846</v>
      </c>
      <c r="C603">
        <v>2061</v>
      </c>
      <c r="D603" s="581"/>
      <c r="E603" s="581"/>
      <c r="F603" s="2">
        <f>(1/S603)*cnst_fish!$C$6</f>
        <v>7.3976000504507963E-2</v>
      </c>
      <c r="G603" s="2">
        <f t="shared" si="89"/>
        <v>1</v>
      </c>
      <c r="H603" s="2">
        <f t="shared" si="89"/>
        <v>0.36449057933102513</v>
      </c>
      <c r="I603" s="2">
        <f t="shared" si="83"/>
        <v>0</v>
      </c>
      <c r="J603" s="389">
        <f t="shared" si="84"/>
        <v>0</v>
      </c>
      <c r="L603" s="721"/>
      <c r="M603" s="581"/>
      <c r="N603" s="585" t="s">
        <v>1738</v>
      </c>
      <c r="O603" s="586" t="s">
        <v>4681</v>
      </c>
      <c r="P603" s="233">
        <f t="shared" si="85"/>
        <v>0</v>
      </c>
      <c r="Q603" s="233">
        <f t="shared" si="86"/>
        <v>0</v>
      </c>
      <c r="R603" s="2">
        <f t="shared" si="87"/>
        <v>3.61</v>
      </c>
      <c r="S603" s="2">
        <f>(1/9)*cnst_fish!$C$7*(1/cnst_fish!$C$8)^(R603-1)</f>
        <v>57.451064818528707</v>
      </c>
      <c r="T603" s="682">
        <f t="shared" si="88"/>
        <v>0</v>
      </c>
      <c r="W603" s="818"/>
      <c r="X603" s="818"/>
      <c r="Y603" s="819"/>
      <c r="Z603" s="820"/>
      <c r="AA603" s="820"/>
      <c r="AB603" s="821"/>
      <c r="AC603" s="821"/>
      <c r="AD603" s="253"/>
      <c r="AE603" s="253"/>
    </row>
    <row r="604" spans="1:31" ht="14.5">
      <c r="A604" t="s">
        <v>6567</v>
      </c>
      <c r="B604" t="s">
        <v>6566</v>
      </c>
      <c r="C604">
        <v>2062</v>
      </c>
      <c r="D604" s="581"/>
      <c r="E604" s="581"/>
      <c r="F604" s="2">
        <f>(1/S604)*cnst_fish!$C$6</f>
        <v>3.0136363636363641</v>
      </c>
      <c r="G604" s="2">
        <f t="shared" si="89"/>
        <v>1</v>
      </c>
      <c r="H604" s="2">
        <f t="shared" si="89"/>
        <v>0.36449057933102513</v>
      </c>
      <c r="I604" s="2">
        <f t="shared" si="83"/>
        <v>0</v>
      </c>
      <c r="J604" s="389">
        <f t="shared" si="84"/>
        <v>0</v>
      </c>
      <c r="L604" s="721">
        <v>0</v>
      </c>
      <c r="M604" s="581"/>
      <c r="N604" s="585" t="s">
        <v>1738</v>
      </c>
      <c r="O604" s="586" t="s">
        <v>4681</v>
      </c>
      <c r="P604" s="233">
        <f t="shared" si="85"/>
        <v>0</v>
      </c>
      <c r="Q604" s="233">
        <f t="shared" si="86"/>
        <v>0</v>
      </c>
      <c r="R604" s="2">
        <f t="shared" si="87"/>
        <v>2</v>
      </c>
      <c r="S604" s="2">
        <f>(1/9)*cnst_fish!$C$7*(1/cnst_fish!$C$8)^(R604-1)</f>
        <v>1.4102564102564099</v>
      </c>
      <c r="T604" s="682">
        <f t="shared" si="88"/>
        <v>0</v>
      </c>
      <c r="W604" s="818"/>
      <c r="X604" s="818"/>
      <c r="Y604" s="819"/>
      <c r="Z604" s="820"/>
      <c r="AA604" s="820"/>
      <c r="AB604" s="821"/>
      <c r="AC604" s="821"/>
      <c r="AD604" s="253"/>
      <c r="AE604" s="253"/>
    </row>
    <row r="605" spans="1:31" ht="14.5">
      <c r="A605" t="s">
        <v>3616</v>
      </c>
      <c r="B605" t="s">
        <v>4847</v>
      </c>
      <c r="C605">
        <v>2841</v>
      </c>
      <c r="D605" s="581"/>
      <c r="E605" s="581"/>
      <c r="F605" s="2">
        <f>(1/S605)*cnst_fish!$C$6</f>
        <v>1.8158954798513597E-2</v>
      </c>
      <c r="G605" s="2">
        <f t="shared" si="89"/>
        <v>1</v>
      </c>
      <c r="H605" s="2">
        <f t="shared" si="89"/>
        <v>0.36449057933102513</v>
      </c>
      <c r="I605" s="2">
        <f t="shared" si="83"/>
        <v>0</v>
      </c>
      <c r="J605" s="389">
        <f t="shared" si="84"/>
        <v>0</v>
      </c>
      <c r="L605" s="721">
        <v>411</v>
      </c>
      <c r="M605" s="581"/>
      <c r="N605" s="585" t="s">
        <v>3785</v>
      </c>
      <c r="O605" s="586" t="s">
        <v>4681</v>
      </c>
      <c r="P605" s="233">
        <f t="shared" si="85"/>
        <v>0</v>
      </c>
      <c r="Q605" s="233">
        <f t="shared" si="86"/>
        <v>411</v>
      </c>
      <c r="R605" s="2">
        <f t="shared" si="87"/>
        <v>4.22</v>
      </c>
      <c r="S605" s="2">
        <f>(1/9)*cnst_fish!$C$7*(1/cnst_fish!$C$8)^(R605-1)</f>
        <v>234.0443074591432</v>
      </c>
      <c r="T605" s="682">
        <f t="shared" si="88"/>
        <v>8249.683407842047</v>
      </c>
      <c r="W605" s="818"/>
      <c r="X605" s="818"/>
      <c r="Y605" s="819"/>
      <c r="Z605" s="820"/>
      <c r="AA605" s="820"/>
      <c r="AB605" s="821"/>
      <c r="AC605" s="821"/>
      <c r="AD605" s="253"/>
      <c r="AE605" s="253"/>
    </row>
    <row r="606" spans="1:31" ht="14.5">
      <c r="A606" t="s">
        <v>6220</v>
      </c>
      <c r="B606" t="s">
        <v>6219</v>
      </c>
      <c r="C606">
        <v>11820</v>
      </c>
      <c r="D606" s="581"/>
      <c r="E606" s="581"/>
      <c r="F606" s="2">
        <f>(1/S606)*cnst_fish!$C$6</f>
        <v>3.0136363636363641</v>
      </c>
      <c r="G606" s="2">
        <f t="shared" si="89"/>
        <v>1</v>
      </c>
      <c r="H606" s="2">
        <f t="shared" si="89"/>
        <v>0.36449057933102513</v>
      </c>
      <c r="I606" s="2">
        <f t="shared" si="83"/>
        <v>0</v>
      </c>
      <c r="J606" s="389">
        <f t="shared" si="84"/>
        <v>0</v>
      </c>
      <c r="L606" s="721">
        <v>0</v>
      </c>
      <c r="M606" s="581"/>
      <c r="N606" s="585" t="s">
        <v>3785</v>
      </c>
      <c r="O606" s="586" t="s">
        <v>4681</v>
      </c>
      <c r="P606" s="233">
        <f t="shared" si="85"/>
        <v>0</v>
      </c>
      <c r="Q606" s="233">
        <f t="shared" si="86"/>
        <v>0</v>
      </c>
      <c r="R606" s="2">
        <f t="shared" si="87"/>
        <v>2</v>
      </c>
      <c r="S606" s="2">
        <f>(1/9)*cnst_fish!$C$7*(1/cnst_fish!$C$8)^(R606-1)</f>
        <v>1.4102564102564099</v>
      </c>
      <c r="T606" s="682">
        <f t="shared" si="88"/>
        <v>0</v>
      </c>
      <c r="W606" s="818"/>
      <c r="X606" s="818"/>
      <c r="Y606" s="819"/>
      <c r="Z606" s="820"/>
      <c r="AA606" s="820"/>
      <c r="AB606" s="821"/>
      <c r="AC606" s="821"/>
      <c r="AD606" s="253"/>
      <c r="AE606" s="253"/>
    </row>
    <row r="607" spans="1:31" ht="14.5">
      <c r="A607" t="s">
        <v>3877</v>
      </c>
      <c r="B607" t="s">
        <v>3878</v>
      </c>
      <c r="C607">
        <v>11823</v>
      </c>
      <c r="D607" s="581"/>
      <c r="E607" s="581"/>
      <c r="F607" s="2">
        <f>(1/S607)*cnst_fish!$C$6</f>
        <v>0.11997502458044032</v>
      </c>
      <c r="G607" s="2">
        <f t="shared" si="89"/>
        <v>1</v>
      </c>
      <c r="H607" s="2">
        <f t="shared" si="89"/>
        <v>0.36449057933102513</v>
      </c>
      <c r="I607" s="2">
        <f t="shared" si="83"/>
        <v>0</v>
      </c>
      <c r="J607" s="389">
        <f t="shared" si="84"/>
        <v>0</v>
      </c>
      <c r="L607" s="721">
        <v>11177</v>
      </c>
      <c r="M607" s="581"/>
      <c r="N607" s="585" t="s">
        <v>1738</v>
      </c>
      <c r="O607" s="586" t="s">
        <v>4699</v>
      </c>
      <c r="P607" s="233">
        <f t="shared" si="85"/>
        <v>0</v>
      </c>
      <c r="Q607" s="233">
        <f t="shared" si="86"/>
        <v>11177</v>
      </c>
      <c r="R607" s="2">
        <f t="shared" si="87"/>
        <v>3.4</v>
      </c>
      <c r="S607" s="2">
        <f>(1/9)*cnst_fish!$C$7*(1/cnst_fish!$C$8)^(R607-1)</f>
        <v>35.424039418724846</v>
      </c>
      <c r="T607" s="682">
        <f t="shared" si="88"/>
        <v>33956.327322537116</v>
      </c>
      <c r="W607" s="818"/>
      <c r="X607" s="818"/>
      <c r="Y607" s="819"/>
      <c r="Z607" s="820"/>
      <c r="AA607" s="820"/>
      <c r="AB607" s="821"/>
      <c r="AC607" s="821"/>
      <c r="AD607" s="253"/>
      <c r="AE607" s="253"/>
    </row>
    <row r="608" spans="1:31" ht="14.5">
      <c r="A608" t="s">
        <v>4448</v>
      </c>
      <c r="B608" t="s">
        <v>4030</v>
      </c>
      <c r="C608">
        <v>2314</v>
      </c>
      <c r="D608" s="581"/>
      <c r="E608" s="581"/>
      <c r="F608" s="2">
        <f>(1/S608)*cnst_fish!$C$6</f>
        <v>0.11997502458044032</v>
      </c>
      <c r="G608" s="2">
        <f t="shared" ref="G608:H627" si="90">G$7</f>
        <v>1</v>
      </c>
      <c r="H608" s="2">
        <f t="shared" si="90"/>
        <v>0.36449057933102513</v>
      </c>
      <c r="I608" s="2">
        <f t="shared" si="83"/>
        <v>0</v>
      </c>
      <c r="J608" s="389">
        <f t="shared" si="84"/>
        <v>0</v>
      </c>
      <c r="L608" s="721">
        <v>27482</v>
      </c>
      <c r="M608" s="581"/>
      <c r="N608" s="585" t="s">
        <v>1738</v>
      </c>
      <c r="O608" s="586" t="s">
        <v>4699</v>
      </c>
      <c r="P608" s="233">
        <f t="shared" si="85"/>
        <v>0</v>
      </c>
      <c r="Q608" s="233">
        <f t="shared" si="86"/>
        <v>27482</v>
      </c>
      <c r="R608" s="2">
        <f t="shared" si="87"/>
        <v>3.4</v>
      </c>
      <c r="S608" s="2">
        <f>(1/9)*cnst_fish!$C$7*(1/cnst_fish!$C$8)^(R608-1)</f>
        <v>35.424039418724846</v>
      </c>
      <c r="T608" s="682">
        <f t="shared" si="88"/>
        <v>83491.794531445383</v>
      </c>
      <c r="W608" s="818"/>
      <c r="X608" s="818"/>
      <c r="Y608" s="819"/>
      <c r="Z608" s="820"/>
      <c r="AA608" s="820"/>
      <c r="AB608" s="821"/>
      <c r="AC608" s="821"/>
      <c r="AD608" s="253"/>
      <c r="AE608" s="253"/>
    </row>
    <row r="609" spans="1:31" ht="14.5">
      <c r="A609" s="403" t="s">
        <v>8934</v>
      </c>
      <c r="B609" s="403" t="s">
        <v>8935</v>
      </c>
      <c r="C609" s="403">
        <v>3108</v>
      </c>
      <c r="D609" s="581"/>
      <c r="E609" s="581"/>
      <c r="F609" s="869">
        <f>(1/S609)*cnst_fish!$C$6</f>
        <v>1.1997502458044018E-2</v>
      </c>
      <c r="G609" s="869">
        <f t="shared" si="90"/>
        <v>1</v>
      </c>
      <c r="H609" s="869">
        <f t="shared" si="90"/>
        <v>0.36449057933102513</v>
      </c>
      <c r="I609" s="869">
        <f t="shared" si="83"/>
        <v>0</v>
      </c>
      <c r="J609" s="389">
        <f t="shared" si="84"/>
        <v>0</v>
      </c>
      <c r="L609" s="721"/>
      <c r="M609" s="581"/>
      <c r="N609" s="877" t="s">
        <v>1738</v>
      </c>
      <c r="O609" s="881" t="s">
        <v>4699</v>
      </c>
      <c r="P609" s="871">
        <f t="shared" si="85"/>
        <v>0</v>
      </c>
      <c r="Q609" s="871">
        <f t="shared" si="86"/>
        <v>0</v>
      </c>
      <c r="R609" s="869">
        <f t="shared" si="87"/>
        <v>4.4000000000000004</v>
      </c>
      <c r="S609" s="869">
        <f>(1/9)*cnst_fish!$C$7*(1/cnst_fish!$C$8)^(R609-1)</f>
        <v>354.24039418724885</v>
      </c>
      <c r="T609" s="682">
        <f t="shared" si="88"/>
        <v>0</v>
      </c>
      <c r="W609" s="818"/>
      <c r="X609" s="818"/>
      <c r="Y609" s="819"/>
      <c r="Z609" s="820"/>
      <c r="AA609" s="820"/>
      <c r="AB609" s="821"/>
      <c r="AC609" s="821"/>
      <c r="AD609" s="253"/>
      <c r="AE609" s="253"/>
    </row>
    <row r="610" spans="1:31" ht="14.5">
      <c r="A610" t="s">
        <v>5535</v>
      </c>
      <c r="B610" t="s">
        <v>4031</v>
      </c>
      <c r="C610">
        <v>3109</v>
      </c>
      <c r="D610" s="581"/>
      <c r="E610" s="581"/>
      <c r="F610" s="2">
        <f>(1/S610)*cnst_fish!$C$6</f>
        <v>6.1530557150722649E-2</v>
      </c>
      <c r="G610" s="2">
        <f t="shared" si="90"/>
        <v>1</v>
      </c>
      <c r="H610" s="2">
        <f t="shared" si="90"/>
        <v>0.36449057933102513</v>
      </c>
      <c r="I610" s="2">
        <f t="shared" si="83"/>
        <v>0</v>
      </c>
      <c r="J610" s="389">
        <f t="shared" si="84"/>
        <v>0</v>
      </c>
      <c r="L610" s="721">
        <v>141954</v>
      </c>
      <c r="M610" s="581"/>
      <c r="N610" s="585" t="s">
        <v>1738</v>
      </c>
      <c r="O610" s="586" t="s">
        <v>4699</v>
      </c>
      <c r="P610" s="233">
        <f t="shared" si="85"/>
        <v>0</v>
      </c>
      <c r="Q610" s="233">
        <f t="shared" si="86"/>
        <v>141954</v>
      </c>
      <c r="R610" s="2">
        <f t="shared" si="87"/>
        <v>3.69</v>
      </c>
      <c r="S610" s="2">
        <f>(1/9)*cnst_fish!$C$7*(1/cnst_fish!$C$8)^(R610-1)</f>
        <v>69.071371962216759</v>
      </c>
      <c r="T610" s="682">
        <f t="shared" si="88"/>
        <v>840897.56527986622</v>
      </c>
      <c r="W610" s="818"/>
      <c r="X610" s="818"/>
      <c r="Y610" s="819"/>
      <c r="Z610" s="820"/>
      <c r="AA610" s="820"/>
      <c r="AB610" s="821"/>
      <c r="AC610" s="821"/>
      <c r="AD610" s="253"/>
      <c r="AE610" s="253"/>
    </row>
    <row r="611" spans="1:31" ht="14.5">
      <c r="A611" t="s">
        <v>3022</v>
      </c>
      <c r="B611" t="s">
        <v>4032</v>
      </c>
      <c r="C611">
        <v>3107</v>
      </c>
      <c r="D611" s="581"/>
      <c r="E611" s="581"/>
      <c r="F611" s="2">
        <f>(1/S611)*cnst_fish!$C$6</f>
        <v>8.8938714421809756E-2</v>
      </c>
      <c r="G611" s="2">
        <f t="shared" si="90"/>
        <v>1</v>
      </c>
      <c r="H611" s="2">
        <f t="shared" si="90"/>
        <v>0.36449057933102513</v>
      </c>
      <c r="I611" s="2">
        <f t="shared" si="83"/>
        <v>0</v>
      </c>
      <c r="J611" s="389">
        <f t="shared" si="84"/>
        <v>0</v>
      </c>
      <c r="L611" s="721">
        <v>1335545.3799999999</v>
      </c>
      <c r="M611" s="581"/>
      <c r="N611" s="585" t="s">
        <v>1738</v>
      </c>
      <c r="O611" s="586" t="s">
        <v>4699</v>
      </c>
      <c r="P611" s="233">
        <f t="shared" si="85"/>
        <v>0</v>
      </c>
      <c r="Q611" s="233">
        <f t="shared" si="86"/>
        <v>1335545.3799999999</v>
      </c>
      <c r="R611" s="2">
        <f t="shared" si="87"/>
        <v>3.53</v>
      </c>
      <c r="S611" s="2">
        <f>(1/9)*cnst_fish!$C$7*(1/cnst_fish!$C$8)^(R611-1)</f>
        <v>47.785714327323419</v>
      </c>
      <c r="T611" s="682">
        <f t="shared" si="88"/>
        <v>5473361.2065759897</v>
      </c>
      <c r="W611" s="818"/>
      <c r="X611" s="818"/>
      <c r="Y611" s="819"/>
      <c r="Z611" s="820"/>
      <c r="AA611" s="820"/>
      <c r="AB611" s="821"/>
      <c r="AC611" s="821"/>
      <c r="AD611" s="253"/>
      <c r="AE611" s="253"/>
    </row>
    <row r="612" spans="1:31" ht="14.5">
      <c r="A612" t="s">
        <v>8298</v>
      </c>
      <c r="B612" t="s">
        <v>8299</v>
      </c>
      <c r="C612">
        <v>19226</v>
      </c>
      <c r="D612" s="581"/>
      <c r="E612" s="581"/>
      <c r="F612" s="2">
        <f>(1/S612)*cnst_fish!$C$6</f>
        <v>3.0136363636363641</v>
      </c>
      <c r="G612" s="2">
        <f t="shared" si="90"/>
        <v>1</v>
      </c>
      <c r="H612" s="2">
        <f t="shared" si="90"/>
        <v>0.36449057933102513</v>
      </c>
      <c r="I612" s="2">
        <f t="shared" si="83"/>
        <v>0</v>
      </c>
      <c r="J612" s="389">
        <f t="shared" si="84"/>
        <v>0</v>
      </c>
      <c r="L612" s="721">
        <v>0</v>
      </c>
      <c r="M612" s="581"/>
      <c r="N612" s="585" t="s">
        <v>1449</v>
      </c>
      <c r="O612" s="586"/>
      <c r="P612" s="233">
        <f t="shared" si="85"/>
        <v>0</v>
      </c>
      <c r="Q612" s="233">
        <f t="shared" si="86"/>
        <v>0</v>
      </c>
      <c r="R612" s="2">
        <f t="shared" si="87"/>
        <v>2</v>
      </c>
      <c r="S612" s="2">
        <f>(1/9)*cnst_fish!$C$7*(1/cnst_fish!$C$8)^(R612-1)</f>
        <v>1.4102564102564099</v>
      </c>
      <c r="T612" s="682">
        <f t="shared" si="88"/>
        <v>0</v>
      </c>
      <c r="W612" s="818"/>
      <c r="X612" s="818"/>
      <c r="Y612" s="819"/>
      <c r="Z612" s="820"/>
      <c r="AA612" s="820"/>
      <c r="AB612" s="821"/>
      <c r="AC612" s="821"/>
      <c r="AD612" s="253"/>
      <c r="AE612" s="253"/>
    </row>
    <row r="613" spans="1:31" ht="14.5">
      <c r="A613" t="s">
        <v>5079</v>
      </c>
      <c r="B613" t="s">
        <v>2423</v>
      </c>
      <c r="C613">
        <v>3183</v>
      </c>
      <c r="D613" s="581"/>
      <c r="E613" s="581"/>
      <c r="F613" s="2">
        <f>(1/S613)*cnst_fish!$C$6</f>
        <v>9.1010363210297068E-2</v>
      </c>
      <c r="G613" s="2">
        <f t="shared" si="90"/>
        <v>1</v>
      </c>
      <c r="H613" s="2">
        <f t="shared" si="90"/>
        <v>0.36449057933102513</v>
      </c>
      <c r="I613" s="2">
        <f t="shared" si="83"/>
        <v>0</v>
      </c>
      <c r="J613" s="389">
        <f t="shared" si="84"/>
        <v>0</v>
      </c>
      <c r="L613" s="721">
        <v>613</v>
      </c>
      <c r="M613" s="581"/>
      <c r="N613" s="585" t="s">
        <v>1738</v>
      </c>
      <c r="O613" s="586" t="s">
        <v>4681</v>
      </c>
      <c r="P613" s="233">
        <f t="shared" si="85"/>
        <v>0</v>
      </c>
      <c r="Q613" s="233">
        <f t="shared" si="86"/>
        <v>613</v>
      </c>
      <c r="R613" s="2">
        <f t="shared" si="87"/>
        <v>3.52</v>
      </c>
      <c r="S613" s="2">
        <f>(1/9)*cnst_fish!$C$7*(1/cnst_fish!$C$8)^(R613-1)</f>
        <v>46.69797867062185</v>
      </c>
      <c r="T613" s="682">
        <f t="shared" si="88"/>
        <v>2455.0250899849043</v>
      </c>
      <c r="W613" s="822"/>
      <c r="X613" s="822"/>
      <c r="Y613" s="819"/>
      <c r="Z613" s="820"/>
      <c r="AA613" s="820"/>
      <c r="AB613" s="821"/>
      <c r="AC613" s="821"/>
      <c r="AD613" s="253"/>
      <c r="AE613" s="253"/>
    </row>
    <row r="614" spans="1:31" ht="14.5">
      <c r="A614" t="s">
        <v>5258</v>
      </c>
      <c r="B614" t="s">
        <v>2424</v>
      </c>
      <c r="C614">
        <v>2375</v>
      </c>
      <c r="D614" s="581"/>
      <c r="E614" s="581"/>
      <c r="F614" s="2">
        <f>(1/S614)*cnst_fish!$C$6</f>
        <v>5.8761225892708345E-2</v>
      </c>
      <c r="G614" s="2">
        <f t="shared" si="90"/>
        <v>1</v>
      </c>
      <c r="H614" s="2">
        <f t="shared" si="90"/>
        <v>0.36449057933102513</v>
      </c>
      <c r="I614" s="2">
        <f t="shared" si="83"/>
        <v>0</v>
      </c>
      <c r="J614" s="389">
        <f t="shared" si="84"/>
        <v>0</v>
      </c>
      <c r="L614" s="721">
        <v>1047</v>
      </c>
      <c r="M614" s="581"/>
      <c r="N614" s="585" t="s">
        <v>1738</v>
      </c>
      <c r="O614" s="586" t="s">
        <v>4681</v>
      </c>
      <c r="P614" s="233">
        <f t="shared" si="85"/>
        <v>0</v>
      </c>
      <c r="Q614" s="233">
        <f t="shared" si="86"/>
        <v>1047</v>
      </c>
      <c r="R614" s="2">
        <f t="shared" si="87"/>
        <v>3.71</v>
      </c>
      <c r="S614" s="2">
        <f>(1/9)*cnst_fish!$C$7*(1/cnst_fish!$C$8)^(R614-1)</f>
        <v>72.326605434679692</v>
      </c>
      <c r="T614" s="682">
        <f t="shared" si="88"/>
        <v>6494.4464783015801</v>
      </c>
      <c r="W614" s="818"/>
      <c r="X614" s="818"/>
      <c r="Y614" s="819"/>
      <c r="Z614" s="820"/>
      <c r="AA614" s="820"/>
      <c r="AB614" s="821"/>
      <c r="AC614" s="821"/>
      <c r="AD614" s="253"/>
      <c r="AE614" s="253"/>
    </row>
    <row r="615" spans="1:31" ht="14.5">
      <c r="A615" t="s">
        <v>2699</v>
      </c>
      <c r="B615" t="s">
        <v>878</v>
      </c>
      <c r="C615">
        <v>3182</v>
      </c>
      <c r="D615" s="581"/>
      <c r="E615" s="581"/>
      <c r="F615" s="2">
        <f>(1/S615)*cnst_fish!$C$6</f>
        <v>9.5299549485983424E-3</v>
      </c>
      <c r="G615" s="2">
        <f t="shared" si="90"/>
        <v>1</v>
      </c>
      <c r="H615" s="2">
        <f t="shared" si="90"/>
        <v>0.36449057933102513</v>
      </c>
      <c r="I615" s="2">
        <f t="shared" si="83"/>
        <v>0</v>
      </c>
      <c r="J615" s="389">
        <f t="shared" si="84"/>
        <v>0</v>
      </c>
      <c r="L615" s="721">
        <v>1359</v>
      </c>
      <c r="M615" s="581"/>
      <c r="N615" s="585" t="s">
        <v>1738</v>
      </c>
      <c r="O615" s="586" t="s">
        <v>4681</v>
      </c>
      <c r="P615" s="233">
        <f t="shared" si="85"/>
        <v>0</v>
      </c>
      <c r="Q615" s="233">
        <f t="shared" si="86"/>
        <v>1359</v>
      </c>
      <c r="R615" s="2">
        <f t="shared" si="87"/>
        <v>4.5</v>
      </c>
      <c r="S615" s="2">
        <f>(1/9)*cnst_fish!$C$7*(1/cnst_fish!$C$8)^(R615-1)</f>
        <v>445.96223412630997</v>
      </c>
      <c r="T615" s="682">
        <f t="shared" si="88"/>
        <v>51977.443753154119</v>
      </c>
      <c r="W615" s="818"/>
      <c r="X615" s="818"/>
      <c r="Y615" s="819"/>
      <c r="Z615" s="820"/>
      <c r="AA615" s="820"/>
      <c r="AB615" s="821"/>
      <c r="AC615" s="821"/>
      <c r="AD615" s="253"/>
      <c r="AE615" s="253"/>
    </row>
    <row r="616" spans="1:31" ht="14.5">
      <c r="A616" t="s">
        <v>8300</v>
      </c>
      <c r="B616" t="s">
        <v>8301</v>
      </c>
      <c r="C616">
        <v>2373</v>
      </c>
      <c r="D616" s="581"/>
      <c r="E616" s="581"/>
      <c r="F616" s="2">
        <f>(1/S616)*cnst_fish!$C$6</f>
        <v>2.3938164528281767E-2</v>
      </c>
      <c r="G616" s="2">
        <f t="shared" si="90"/>
        <v>1</v>
      </c>
      <c r="H616" s="2">
        <f t="shared" si="90"/>
        <v>0.36449057933102513</v>
      </c>
      <c r="I616" s="2">
        <f t="shared" si="83"/>
        <v>0</v>
      </c>
      <c r="J616" s="389">
        <f t="shared" si="84"/>
        <v>0</v>
      </c>
      <c r="L616" s="721">
        <v>9</v>
      </c>
      <c r="M616" s="581"/>
      <c r="N616" s="585" t="s">
        <v>1738</v>
      </c>
      <c r="O616" s="586" t="s">
        <v>4681</v>
      </c>
      <c r="P616" s="233">
        <f t="shared" si="85"/>
        <v>0</v>
      </c>
      <c r="Q616" s="233">
        <f t="shared" si="86"/>
        <v>9</v>
      </c>
      <c r="R616" s="2">
        <f t="shared" si="87"/>
        <v>4.0999999999999996</v>
      </c>
      <c r="S616" s="2">
        <f>(1/9)*cnst_fish!$C$7*(1/cnst_fish!$C$8)^(R616-1)</f>
        <v>177.54076320174144</v>
      </c>
      <c r="T616" s="682">
        <f t="shared" si="88"/>
        <v>137.03704016670019</v>
      </c>
      <c r="W616" s="818"/>
      <c r="X616" s="818"/>
      <c r="Y616" s="819"/>
      <c r="Z616" s="820"/>
      <c r="AA616" s="820"/>
      <c r="AB616" s="821"/>
      <c r="AC616" s="821"/>
      <c r="AD616" s="253"/>
      <c r="AE616" s="253"/>
    </row>
    <row r="617" spans="1:31" ht="14.5">
      <c r="A617" t="s">
        <v>2117</v>
      </c>
      <c r="B617" t="s">
        <v>2783</v>
      </c>
      <c r="C617">
        <v>3181</v>
      </c>
      <c r="D617" s="581"/>
      <c r="E617" s="581"/>
      <c r="F617" s="2">
        <f>(1/S617)*cnst_fish!$C$6</f>
        <v>0.11196720767792057</v>
      </c>
      <c r="G617" s="2">
        <f t="shared" si="90"/>
        <v>1</v>
      </c>
      <c r="H617" s="2">
        <f t="shared" si="90"/>
        <v>0.36449057933102513</v>
      </c>
      <c r="I617" s="2">
        <f t="shared" si="83"/>
        <v>0</v>
      </c>
      <c r="J617" s="389">
        <f t="shared" si="84"/>
        <v>0</v>
      </c>
      <c r="L617" s="721">
        <v>3333</v>
      </c>
      <c r="M617" s="581"/>
      <c r="N617" s="585" t="s">
        <v>1738</v>
      </c>
      <c r="O617" s="586" t="s">
        <v>4681</v>
      </c>
      <c r="P617" s="233">
        <f t="shared" si="85"/>
        <v>0</v>
      </c>
      <c r="Q617" s="233">
        <f t="shared" si="86"/>
        <v>3333</v>
      </c>
      <c r="R617" s="2">
        <f t="shared" si="87"/>
        <v>3.43</v>
      </c>
      <c r="S617" s="2">
        <f>(1/9)*cnst_fish!$C$7*(1/cnst_fish!$C$8)^(R617-1)</f>
        <v>37.957542106661656</v>
      </c>
      <c r="T617" s="682">
        <f t="shared" si="88"/>
        <v>10850.025879049132</v>
      </c>
      <c r="W617" s="822"/>
      <c r="X617" s="822"/>
      <c r="Y617" s="819"/>
      <c r="Z617" s="820"/>
      <c r="AA617" s="820"/>
      <c r="AB617" s="821"/>
      <c r="AC617" s="821"/>
      <c r="AD617" s="253"/>
      <c r="AE617" s="253"/>
    </row>
    <row r="618" spans="1:31" ht="14.5">
      <c r="A618" t="s">
        <v>2114</v>
      </c>
      <c r="B618" t="s">
        <v>2784</v>
      </c>
      <c r="C618">
        <v>3180</v>
      </c>
      <c r="D618" s="581"/>
      <c r="E618" s="581"/>
      <c r="F618" s="2">
        <f>(1/S618)*cnst_fish!$C$6</f>
        <v>4.5613232168782068E-2</v>
      </c>
      <c r="G618" s="2">
        <f t="shared" si="90"/>
        <v>1</v>
      </c>
      <c r="H618" s="2">
        <f t="shared" si="90"/>
        <v>0.36449057933102513</v>
      </c>
      <c r="I618" s="2">
        <f t="shared" si="83"/>
        <v>0</v>
      </c>
      <c r="J618" s="389">
        <f t="shared" si="84"/>
        <v>0</v>
      </c>
      <c r="L618" s="721">
        <v>24674</v>
      </c>
      <c r="M618" s="581"/>
      <c r="N618" s="585" t="s">
        <v>1738</v>
      </c>
      <c r="O618" s="586" t="s">
        <v>4681</v>
      </c>
      <c r="P618" s="233">
        <f t="shared" si="85"/>
        <v>0</v>
      </c>
      <c r="Q618" s="233">
        <f t="shared" si="86"/>
        <v>24674</v>
      </c>
      <c r="R618" s="2">
        <f t="shared" si="87"/>
        <v>3.82</v>
      </c>
      <c r="S618" s="2">
        <f>(1/9)*cnst_fish!$C$7*(1/cnst_fish!$C$8)^(R618-1)</f>
        <v>93.174717026712301</v>
      </c>
      <c r="T618" s="682">
        <f t="shared" si="88"/>
        <v>197167.35970683681</v>
      </c>
      <c r="W618" s="818"/>
      <c r="X618" s="818"/>
      <c r="Y618" s="819"/>
      <c r="Z618" s="820"/>
      <c r="AA618" s="820"/>
      <c r="AB618" s="821"/>
      <c r="AC618" s="821"/>
      <c r="AD618" s="253"/>
      <c r="AE618" s="253"/>
    </row>
    <row r="619" spans="1:31" ht="14.5">
      <c r="A619" t="s">
        <v>4288</v>
      </c>
      <c r="B619" t="s">
        <v>8599</v>
      </c>
      <c r="C619">
        <v>18712</v>
      </c>
      <c r="D619" s="581"/>
      <c r="E619" s="581"/>
      <c r="F619" s="2">
        <f>(1/S619)*cnst_fish!$C$6</f>
        <v>4.7762917572805388E-2</v>
      </c>
      <c r="G619" s="2">
        <f t="shared" si="90"/>
        <v>1</v>
      </c>
      <c r="H619" s="2">
        <f t="shared" si="90"/>
        <v>0.36449057933102513</v>
      </c>
      <c r="I619" s="2">
        <f t="shared" si="83"/>
        <v>0</v>
      </c>
      <c r="J619" s="389">
        <f t="shared" si="84"/>
        <v>0</v>
      </c>
      <c r="L619" s="721"/>
      <c r="M619" s="581"/>
      <c r="N619" s="585" t="s">
        <v>1738</v>
      </c>
      <c r="O619" s="586" t="s">
        <v>4681</v>
      </c>
      <c r="P619" s="233">
        <f t="shared" si="85"/>
        <v>0</v>
      </c>
      <c r="Q619" s="233">
        <f t="shared" si="86"/>
        <v>0</v>
      </c>
      <c r="R619" s="2">
        <f t="shared" si="87"/>
        <v>3.8</v>
      </c>
      <c r="S619" s="2">
        <f>(1/9)*cnst_fish!$C$7*(1/cnst_fish!$C$8)^(R619-1)</f>
        <v>88.981163965155432</v>
      </c>
      <c r="T619" s="682">
        <f t="shared" si="88"/>
        <v>0</v>
      </c>
      <c r="W619" s="818"/>
      <c r="X619" s="818"/>
      <c r="Y619" s="819"/>
      <c r="Z619" s="820"/>
      <c r="AA619" s="820"/>
      <c r="AB619" s="821"/>
      <c r="AC619" s="821"/>
      <c r="AD619" s="253"/>
      <c r="AE619" s="253"/>
    </row>
    <row r="620" spans="1:31" ht="14.5">
      <c r="A620" t="s">
        <v>2539</v>
      </c>
      <c r="B620" t="s">
        <v>2785</v>
      </c>
      <c r="C620">
        <v>11849</v>
      </c>
      <c r="D620" s="581"/>
      <c r="E620" s="581"/>
      <c r="F620" s="2">
        <f>(1/S620)*cnst_fish!$C$6</f>
        <v>0.10449387811364928</v>
      </c>
      <c r="G620" s="2">
        <f t="shared" si="90"/>
        <v>1</v>
      </c>
      <c r="H620" s="2">
        <f t="shared" si="90"/>
        <v>0.36449057933102513</v>
      </c>
      <c r="I620" s="2">
        <f t="shared" si="83"/>
        <v>0</v>
      </c>
      <c r="J620" s="389">
        <f t="shared" si="84"/>
        <v>0</v>
      </c>
      <c r="L620" s="721">
        <v>31</v>
      </c>
      <c r="M620" s="581"/>
      <c r="N620" s="585" t="s">
        <v>1738</v>
      </c>
      <c r="O620" s="586" t="s">
        <v>4681</v>
      </c>
      <c r="P620" s="233">
        <f t="shared" si="85"/>
        <v>0</v>
      </c>
      <c r="Q620" s="233">
        <f t="shared" si="86"/>
        <v>31</v>
      </c>
      <c r="R620" s="2">
        <f t="shared" si="87"/>
        <v>3.46</v>
      </c>
      <c r="S620" s="2">
        <f>(1/9)*cnst_fish!$C$7*(1/cnst_fish!$C$8)^(R620-1)</f>
        <v>40.672239146657276</v>
      </c>
      <c r="T620" s="682">
        <f t="shared" si="88"/>
        <v>108.13272665574314</v>
      </c>
      <c r="W620" s="818"/>
      <c r="X620" s="818"/>
      <c r="Y620" s="819"/>
      <c r="Z620" s="820"/>
      <c r="AA620" s="820"/>
      <c r="AB620" s="821"/>
      <c r="AC620" s="821"/>
      <c r="AD620" s="253"/>
      <c r="AE620" s="253"/>
    </row>
    <row r="621" spans="1:31" ht="14.5">
      <c r="A621" t="s">
        <v>6433</v>
      </c>
      <c r="B621" t="s">
        <v>6432</v>
      </c>
      <c r="C621">
        <v>11865</v>
      </c>
      <c r="D621" s="581"/>
      <c r="E621" s="581"/>
      <c r="F621" s="2">
        <f>(1/S621)*cnst_fish!$C$6</f>
        <v>1.1997502458044034</v>
      </c>
      <c r="G621" s="2">
        <f t="shared" si="90"/>
        <v>1</v>
      </c>
      <c r="H621" s="2">
        <f t="shared" si="90"/>
        <v>0.36449057933102513</v>
      </c>
      <c r="I621" s="2">
        <f t="shared" si="83"/>
        <v>0</v>
      </c>
      <c r="J621" s="389">
        <f t="shared" si="84"/>
        <v>0</v>
      </c>
      <c r="L621" s="721">
        <v>1900</v>
      </c>
      <c r="M621" s="581"/>
      <c r="N621" s="585" t="s">
        <v>1738</v>
      </c>
      <c r="O621" s="586" t="s">
        <v>4681</v>
      </c>
      <c r="P621" s="233">
        <f t="shared" si="85"/>
        <v>0</v>
      </c>
      <c r="Q621" s="233">
        <f t="shared" si="86"/>
        <v>1900</v>
      </c>
      <c r="R621" s="2">
        <f t="shared" si="87"/>
        <v>2.4</v>
      </c>
      <c r="S621" s="2">
        <f>(1/9)*cnst_fish!$C$7*(1/cnst_fish!$C$8)^(R621-1)</f>
        <v>3.5424039418724838</v>
      </c>
      <c r="T621" s="682">
        <f t="shared" si="88"/>
        <v>577.23022199893103</v>
      </c>
      <c r="W621" s="818"/>
      <c r="X621" s="818"/>
      <c r="Y621" s="819"/>
      <c r="Z621" s="820"/>
      <c r="AA621" s="820"/>
      <c r="AB621" s="821"/>
      <c r="AC621" s="821"/>
      <c r="AD621" s="253"/>
      <c r="AE621" s="253"/>
    </row>
    <row r="622" spans="1:31" ht="14.5">
      <c r="A622" t="s">
        <v>9110</v>
      </c>
      <c r="B622" t="s">
        <v>9111</v>
      </c>
      <c r="C622">
        <v>20476</v>
      </c>
      <c r="D622" s="581"/>
      <c r="E622" s="581"/>
      <c r="F622" s="869">
        <f>(1/S622)*cnst_fish!$C$6</f>
        <v>6.0129950673834844E-2</v>
      </c>
      <c r="G622" s="869">
        <f t="shared" si="90"/>
        <v>1</v>
      </c>
      <c r="H622" s="869">
        <f t="shared" si="90"/>
        <v>0.36449057933102513</v>
      </c>
      <c r="I622" s="869">
        <f t="shared" si="83"/>
        <v>0</v>
      </c>
      <c r="J622" s="389">
        <f t="shared" si="84"/>
        <v>0</v>
      </c>
      <c r="L622" s="721">
        <v>43</v>
      </c>
      <c r="M622" s="581"/>
      <c r="N622" s="877" t="s">
        <v>1738</v>
      </c>
      <c r="O622" s="882" t="s">
        <v>4681</v>
      </c>
      <c r="P622" s="871">
        <f t="shared" si="85"/>
        <v>0</v>
      </c>
      <c r="Q622" s="871">
        <f t="shared" si="86"/>
        <v>43</v>
      </c>
      <c r="R622" s="869">
        <f t="shared" si="87"/>
        <v>3.7</v>
      </c>
      <c r="S622" s="869">
        <f>(1/9)*cnst_fish!$C$7*(1/cnst_fish!$C$8)^(R622-1)</f>
        <v>70.680250896153822</v>
      </c>
      <c r="T622" s="682">
        <f t="shared" si="88"/>
        <v>260.6537130930015</v>
      </c>
      <c r="W622" s="818"/>
      <c r="X622" s="818"/>
      <c r="Y622" s="819"/>
      <c r="Z622" s="820"/>
      <c r="AA622" s="820"/>
      <c r="AB622" s="821"/>
      <c r="AC622" s="821"/>
      <c r="AD622" s="253"/>
      <c r="AE622" s="253"/>
    </row>
    <row r="623" spans="1:31" ht="14.5">
      <c r="A623" t="s">
        <v>1719</v>
      </c>
      <c r="B623" t="s">
        <v>3962</v>
      </c>
      <c r="C623">
        <v>11866</v>
      </c>
      <c r="D623" s="581"/>
      <c r="E623" s="581"/>
      <c r="F623" s="2">
        <f>(1/S623)*cnst_fish!$C$6</f>
        <v>1.7341667202478851E-2</v>
      </c>
      <c r="G623" s="2">
        <f t="shared" si="90"/>
        <v>1</v>
      </c>
      <c r="H623" s="2">
        <f t="shared" si="90"/>
        <v>0.36449057933102513</v>
      </c>
      <c r="I623" s="2">
        <f t="shared" si="83"/>
        <v>0</v>
      </c>
      <c r="J623" s="389">
        <f t="shared" si="84"/>
        <v>0</v>
      </c>
      <c r="L623" s="721">
        <v>14</v>
      </c>
      <c r="M623" s="581"/>
      <c r="N623" s="585" t="s">
        <v>3786</v>
      </c>
      <c r="O623" s="586" t="s">
        <v>4681</v>
      </c>
      <c r="P623" s="233">
        <f t="shared" si="85"/>
        <v>0</v>
      </c>
      <c r="Q623" s="233">
        <f t="shared" si="86"/>
        <v>14</v>
      </c>
      <c r="R623" s="2">
        <f t="shared" si="87"/>
        <v>4.24</v>
      </c>
      <c r="S623" s="2">
        <f>(1/9)*cnst_fish!$C$7*(1/cnst_fish!$C$8)^(R623-1)</f>
        <v>245.0744758492711</v>
      </c>
      <c r="T623" s="682">
        <f t="shared" si="88"/>
        <v>294.25475942157038</v>
      </c>
      <c r="W623" s="818"/>
      <c r="X623" s="818"/>
      <c r="Y623" s="819"/>
      <c r="Z623" s="820"/>
      <c r="AA623" s="820"/>
      <c r="AB623" s="821"/>
      <c r="AC623" s="821"/>
      <c r="AD623" s="253"/>
      <c r="AE623" s="253"/>
    </row>
    <row r="624" spans="1:31" ht="14.5">
      <c r="A624" t="s">
        <v>3701</v>
      </c>
      <c r="B624" t="s">
        <v>1787</v>
      </c>
      <c r="C624">
        <v>2291</v>
      </c>
      <c r="D624" s="581"/>
      <c r="E624" s="581"/>
      <c r="F624" s="2">
        <f>(1/S624)*cnst_fish!$C$6</f>
        <v>4.8875458843134996E-2</v>
      </c>
      <c r="G624" s="2">
        <f t="shared" si="90"/>
        <v>1</v>
      </c>
      <c r="H624" s="2">
        <f t="shared" si="90"/>
        <v>0.36449057933102513</v>
      </c>
      <c r="I624" s="2">
        <f t="shared" si="83"/>
        <v>0</v>
      </c>
      <c r="J624" s="389">
        <f t="shared" si="84"/>
        <v>0</v>
      </c>
      <c r="L624" s="721">
        <v>5135</v>
      </c>
      <c r="M624" s="581"/>
      <c r="N624" s="585" t="s">
        <v>2319</v>
      </c>
      <c r="O624" s="586" t="s">
        <v>4681</v>
      </c>
      <c r="P624" s="233">
        <f t="shared" si="85"/>
        <v>0</v>
      </c>
      <c r="Q624" s="233">
        <f t="shared" si="86"/>
        <v>5135</v>
      </c>
      <c r="R624" s="2">
        <f t="shared" si="87"/>
        <v>3.79</v>
      </c>
      <c r="S624" s="2">
        <f>(1/9)*cnst_fish!$C$7*(1/cnst_fish!$C$8)^(R624-1)</f>
        <v>86.955705390721903</v>
      </c>
      <c r="T624" s="682">
        <f t="shared" si="88"/>
        <v>38294.456342023797</v>
      </c>
      <c r="W624" s="818"/>
      <c r="X624" s="818"/>
      <c r="Y624" s="819"/>
      <c r="Z624" s="820"/>
      <c r="AA624" s="820"/>
      <c r="AB624" s="821"/>
      <c r="AC624" s="821"/>
      <c r="AD624" s="253"/>
      <c r="AE624" s="253"/>
    </row>
    <row r="625" spans="1:31" ht="14.5">
      <c r="A625" t="s">
        <v>5172</v>
      </c>
      <c r="B625" t="s">
        <v>1788</v>
      </c>
      <c r="C625">
        <v>3087</v>
      </c>
      <c r="D625" s="581"/>
      <c r="E625" s="581"/>
      <c r="F625" s="2">
        <f>(1/S625)*cnst_fish!$C$6</f>
        <v>3.460117504783787E-2</v>
      </c>
      <c r="G625" s="2">
        <f t="shared" si="90"/>
        <v>1</v>
      </c>
      <c r="H625" s="2">
        <f t="shared" si="90"/>
        <v>0.36449057933102513</v>
      </c>
      <c r="I625" s="2">
        <f t="shared" si="83"/>
        <v>0</v>
      </c>
      <c r="J625" s="389">
        <f t="shared" si="84"/>
        <v>0</v>
      </c>
      <c r="L625" s="721">
        <v>693</v>
      </c>
      <c r="M625" s="581"/>
      <c r="N625" s="585" t="s">
        <v>2319</v>
      </c>
      <c r="O625" s="586" t="s">
        <v>4681</v>
      </c>
      <c r="P625" s="233">
        <f t="shared" si="85"/>
        <v>0</v>
      </c>
      <c r="Q625" s="233">
        <f t="shared" si="86"/>
        <v>693</v>
      </c>
      <c r="R625" s="2">
        <f t="shared" si="87"/>
        <v>3.94</v>
      </c>
      <c r="S625" s="2">
        <f>(1/9)*cnst_fish!$C$7*(1/cnst_fish!$C$8)^(R625-1)</f>
        <v>122.82819858354985</v>
      </c>
      <c r="T625" s="682">
        <f t="shared" si="88"/>
        <v>7300.0980783796876</v>
      </c>
      <c r="W625" s="818"/>
      <c r="X625" s="818"/>
      <c r="Y625" s="819"/>
      <c r="Z625" s="820"/>
      <c r="AA625" s="820"/>
      <c r="AB625" s="821"/>
      <c r="AC625" s="821"/>
      <c r="AD625" s="253"/>
      <c r="AE625" s="253"/>
    </row>
    <row r="626" spans="1:31" ht="14.5">
      <c r="A626" t="s">
        <v>4023</v>
      </c>
      <c r="B626" t="s">
        <v>1789</v>
      </c>
      <c r="C626">
        <v>2290</v>
      </c>
      <c r="D626" s="581"/>
      <c r="E626" s="581"/>
      <c r="F626" s="2">
        <f>(1/S626)*cnst_fish!$C$6</f>
        <v>4.1599762155986937E-2</v>
      </c>
      <c r="G626" s="2">
        <f t="shared" si="90"/>
        <v>1</v>
      </c>
      <c r="H626" s="2">
        <f t="shared" si="90"/>
        <v>0.36449057933102513</v>
      </c>
      <c r="I626" s="2">
        <f t="shared" si="83"/>
        <v>0</v>
      </c>
      <c r="J626" s="389">
        <f t="shared" si="84"/>
        <v>0</v>
      </c>
      <c r="L626" s="721">
        <v>1251</v>
      </c>
      <c r="M626" s="581">
        <v>2539</v>
      </c>
      <c r="N626" s="585" t="s">
        <v>2319</v>
      </c>
      <c r="O626" s="586" t="s">
        <v>4681</v>
      </c>
      <c r="P626" s="233">
        <f t="shared" si="85"/>
        <v>0</v>
      </c>
      <c r="Q626" s="233">
        <f t="shared" si="86"/>
        <v>3790</v>
      </c>
      <c r="R626" s="2">
        <f t="shared" si="87"/>
        <v>3.86</v>
      </c>
      <c r="S626" s="2">
        <f>(1/9)*cnst_fish!$C$7*(1/cnst_fish!$C$8)^(R626-1)</f>
        <v>102.16404565160117</v>
      </c>
      <c r="T626" s="682">
        <f t="shared" si="88"/>
        <v>33207.384467359865</v>
      </c>
      <c r="W626" s="818"/>
      <c r="X626" s="818"/>
      <c r="Y626" s="819"/>
      <c r="Z626" s="820"/>
      <c r="AA626" s="820"/>
      <c r="AB626" s="821"/>
      <c r="AC626" s="821"/>
      <c r="AD626" s="253"/>
      <c r="AE626" s="253"/>
    </row>
    <row r="627" spans="1:31" ht="14.5">
      <c r="A627" t="s">
        <v>2948</v>
      </c>
      <c r="B627" t="s">
        <v>1434</v>
      </c>
      <c r="C627">
        <v>3368</v>
      </c>
      <c r="D627" s="581"/>
      <c r="E627" s="581"/>
      <c r="F627" s="2">
        <f>(1/S627)*cnst_fish!$C$6</f>
        <v>0.14424170509541331</v>
      </c>
      <c r="G627" s="2">
        <f t="shared" si="90"/>
        <v>1</v>
      </c>
      <c r="H627" s="2">
        <f t="shared" si="90"/>
        <v>0.36449057933102513</v>
      </c>
      <c r="I627" s="2">
        <f t="shared" si="83"/>
        <v>0</v>
      </c>
      <c r="J627" s="389">
        <f t="shared" si="84"/>
        <v>0</v>
      </c>
      <c r="L627" s="721">
        <v>902</v>
      </c>
      <c r="M627" s="581"/>
      <c r="N627" s="585" t="s">
        <v>1741</v>
      </c>
      <c r="O627" s="586" t="s">
        <v>4681</v>
      </c>
      <c r="P627" s="233">
        <f t="shared" si="85"/>
        <v>0</v>
      </c>
      <c r="Q627" s="233">
        <f t="shared" si="86"/>
        <v>902</v>
      </c>
      <c r="R627" s="2">
        <f t="shared" si="87"/>
        <v>3.32</v>
      </c>
      <c r="S627" s="2">
        <f>(1/9)*cnst_fish!$C$7*(1/cnst_fish!$C$8)^(R627-1)</f>
        <v>29.464432614608246</v>
      </c>
      <c r="T627" s="682">
        <f t="shared" si="88"/>
        <v>2279.3026631175003</v>
      </c>
      <c r="W627" s="818"/>
      <c r="X627" s="818"/>
      <c r="Y627" s="819"/>
      <c r="Z627" s="820"/>
      <c r="AA627" s="820"/>
      <c r="AB627" s="821"/>
      <c r="AC627" s="821"/>
      <c r="AD627" s="253"/>
      <c r="AE627" s="253"/>
    </row>
    <row r="628" spans="1:31" ht="14.5">
      <c r="A628" t="s">
        <v>4562</v>
      </c>
      <c r="B628" t="s">
        <v>1915</v>
      </c>
      <c r="C628">
        <v>3639</v>
      </c>
      <c r="D628" s="581"/>
      <c r="E628" s="581"/>
      <c r="F628" s="2">
        <f>(1/S628)*cnst_fish!$C$6</f>
        <v>30.136363636363644</v>
      </c>
      <c r="G628" s="2">
        <f t="shared" ref="G628:H647" si="91">G$7</f>
        <v>1</v>
      </c>
      <c r="H628" s="2">
        <f t="shared" si="91"/>
        <v>0.36449057933102513</v>
      </c>
      <c r="I628" s="2">
        <f t="shared" si="83"/>
        <v>0</v>
      </c>
      <c r="J628" s="389">
        <f t="shared" si="84"/>
        <v>0</v>
      </c>
      <c r="L628" s="721">
        <v>0</v>
      </c>
      <c r="M628" s="581"/>
      <c r="N628" s="585" t="s">
        <v>1740</v>
      </c>
      <c r="O628" s="586" t="s">
        <v>4671</v>
      </c>
      <c r="P628" s="233">
        <f t="shared" si="85"/>
        <v>0</v>
      </c>
      <c r="Q628" s="233">
        <f t="shared" si="86"/>
        <v>0</v>
      </c>
      <c r="R628" s="2">
        <f t="shared" si="87"/>
        <v>1</v>
      </c>
      <c r="S628" s="2">
        <f>(1/9)*cnst_fish!$C$7*(1/cnst_fish!$C$8)^(R628-1)</f>
        <v>0.141025641025641</v>
      </c>
      <c r="T628" s="682">
        <f t="shared" si="88"/>
        <v>0</v>
      </c>
      <c r="W628" s="818"/>
      <c r="X628" s="818"/>
      <c r="Y628" s="819"/>
      <c r="Z628" s="820"/>
      <c r="AA628" s="820"/>
      <c r="AB628" s="821"/>
      <c r="AC628" s="821"/>
      <c r="AD628" s="253"/>
      <c r="AE628" s="253"/>
    </row>
    <row r="629" spans="1:31" ht="14.5">
      <c r="A629" t="s">
        <v>6757</v>
      </c>
      <c r="B629" t="s">
        <v>6757</v>
      </c>
      <c r="C629">
        <v>17293</v>
      </c>
      <c r="D629" s="581"/>
      <c r="E629" s="581"/>
      <c r="F629" s="2">
        <f>(1/S629)*cnst_fish!$C$6</f>
        <v>2.3938164528281742</v>
      </c>
      <c r="G629" s="2">
        <f t="shared" si="91"/>
        <v>1</v>
      </c>
      <c r="H629" s="2">
        <f t="shared" si="91"/>
        <v>0.36449057933102513</v>
      </c>
      <c r="I629" s="2">
        <f t="shared" si="83"/>
        <v>0</v>
      </c>
      <c r="J629" s="389">
        <f t="shared" si="84"/>
        <v>0</v>
      </c>
      <c r="L629" s="721"/>
      <c r="M629" s="581"/>
      <c r="N629" s="585" t="s">
        <v>1736</v>
      </c>
      <c r="O629" s="586" t="s">
        <v>4691</v>
      </c>
      <c r="P629" s="233">
        <f t="shared" si="85"/>
        <v>0</v>
      </c>
      <c r="Q629" s="233">
        <f t="shared" si="86"/>
        <v>0</v>
      </c>
      <c r="R629" s="2">
        <f t="shared" si="87"/>
        <v>2.1</v>
      </c>
      <c r="S629" s="2">
        <f>(1/9)*cnst_fish!$C$7*(1/cnst_fish!$C$8)^(R629-1)</f>
        <v>1.7754076320174161</v>
      </c>
      <c r="T629" s="682">
        <f t="shared" si="88"/>
        <v>0</v>
      </c>
      <c r="W629" s="818"/>
      <c r="X629" s="818"/>
      <c r="Y629" s="819"/>
      <c r="Z629" s="820"/>
      <c r="AA629" s="820"/>
      <c r="AB629" s="821"/>
      <c r="AC629" s="821"/>
      <c r="AD629" s="253"/>
      <c r="AE629" s="253"/>
    </row>
    <row r="630" spans="1:31" ht="14.5">
      <c r="A630" t="s">
        <v>9016</v>
      </c>
      <c r="B630" t="s">
        <v>9017</v>
      </c>
      <c r="C630">
        <v>11888</v>
      </c>
      <c r="D630" s="581"/>
      <c r="E630" s="581"/>
      <c r="F630" s="869">
        <f>(1/S630)*cnst_fish!$C$6</f>
        <v>3.0136363636363642E-2</v>
      </c>
      <c r="G630" s="869">
        <f t="shared" si="91"/>
        <v>1</v>
      </c>
      <c r="H630" s="869">
        <f t="shared" si="91"/>
        <v>0.36449057933102513</v>
      </c>
      <c r="I630" s="869">
        <f t="shared" si="83"/>
        <v>0</v>
      </c>
      <c r="J630" s="389">
        <f t="shared" si="84"/>
        <v>0</v>
      </c>
      <c r="L630" s="721">
        <v>44</v>
      </c>
      <c r="M630" s="581"/>
      <c r="N630" s="877" t="s">
        <v>1738</v>
      </c>
      <c r="O630" s="881" t="s">
        <v>4681</v>
      </c>
      <c r="P630" s="871">
        <f t="shared" si="85"/>
        <v>0</v>
      </c>
      <c r="Q630" s="871">
        <f t="shared" si="86"/>
        <v>44</v>
      </c>
      <c r="R630" s="869">
        <f t="shared" si="87"/>
        <v>4</v>
      </c>
      <c r="S630" s="869">
        <f>(1/9)*cnst_fish!$C$7*(1/cnst_fish!$C$8)^(R630-1)</f>
        <v>141.02564102564099</v>
      </c>
      <c r="T630" s="682">
        <f t="shared" si="88"/>
        <v>532.16724101422665</v>
      </c>
      <c r="W630" s="818"/>
      <c r="X630" s="818"/>
      <c r="Y630" s="819"/>
      <c r="Z630" s="820"/>
      <c r="AA630" s="820"/>
      <c r="AB630" s="821"/>
      <c r="AC630" s="821"/>
      <c r="AD630" s="253"/>
      <c r="AE630" s="253"/>
    </row>
    <row r="631" spans="1:31" ht="14.5">
      <c r="A631" t="s">
        <v>336</v>
      </c>
      <c r="B631" t="s">
        <v>337</v>
      </c>
      <c r="C631">
        <v>3176</v>
      </c>
      <c r="D631" s="581"/>
      <c r="E631" s="581"/>
      <c r="F631" s="2">
        <f>(1/S631)*cnst_fish!$C$6</f>
        <v>0.11997502458044032</v>
      </c>
      <c r="G631" s="2">
        <f t="shared" si="91"/>
        <v>1</v>
      </c>
      <c r="H631" s="2">
        <f t="shared" si="91"/>
        <v>0.36449057933102513</v>
      </c>
      <c r="I631" s="2">
        <f t="shared" si="83"/>
        <v>0</v>
      </c>
      <c r="J631" s="389">
        <f t="shared" si="84"/>
        <v>0</v>
      </c>
      <c r="L631" s="721">
        <v>1015</v>
      </c>
      <c r="M631" s="581"/>
      <c r="N631" s="585" t="s">
        <v>1738</v>
      </c>
      <c r="O631" s="586" t="s">
        <v>4681</v>
      </c>
      <c r="P631" s="233">
        <f t="shared" si="85"/>
        <v>0</v>
      </c>
      <c r="Q631" s="233">
        <f t="shared" si="86"/>
        <v>1015</v>
      </c>
      <c r="R631" s="2">
        <f t="shared" si="87"/>
        <v>3.4</v>
      </c>
      <c r="S631" s="2">
        <f>(1/9)*cnst_fish!$C$7*(1/cnst_fish!$C$8)^(R631-1)</f>
        <v>35.424039418724846</v>
      </c>
      <c r="T631" s="682">
        <f t="shared" si="88"/>
        <v>3083.6246069942899</v>
      </c>
      <c r="W631" s="818"/>
      <c r="X631" s="818"/>
      <c r="Y631" s="819"/>
      <c r="Z631" s="820"/>
      <c r="AA631" s="820"/>
      <c r="AB631" s="821"/>
      <c r="AC631" s="821"/>
      <c r="AD631" s="253"/>
      <c r="AE631" s="253"/>
    </row>
    <row r="632" spans="1:31" ht="14.5">
      <c r="A632" t="s">
        <v>5353</v>
      </c>
      <c r="B632" t="s">
        <v>1790</v>
      </c>
      <c r="C632">
        <v>11894</v>
      </c>
      <c r="D632" s="581"/>
      <c r="E632" s="581"/>
      <c r="F632" s="2">
        <f>(1/S632)*cnst_fish!$C$6</f>
        <v>0.22340394999204924</v>
      </c>
      <c r="G632" s="2">
        <f t="shared" si="91"/>
        <v>1</v>
      </c>
      <c r="H632" s="2">
        <f t="shared" si="91"/>
        <v>0.36449057933102513</v>
      </c>
      <c r="I632" s="2">
        <f t="shared" si="83"/>
        <v>0</v>
      </c>
      <c r="J632" s="389">
        <f t="shared" si="84"/>
        <v>0</v>
      </c>
      <c r="L632" s="721">
        <v>68</v>
      </c>
      <c r="M632" s="581"/>
      <c r="N632" s="585" t="s">
        <v>1738</v>
      </c>
      <c r="O632" s="586" t="s">
        <v>4681</v>
      </c>
      <c r="P632" s="233">
        <f t="shared" si="85"/>
        <v>0</v>
      </c>
      <c r="Q632" s="233">
        <f t="shared" si="86"/>
        <v>68</v>
      </c>
      <c r="R632" s="2">
        <f t="shared" si="87"/>
        <v>3.13</v>
      </c>
      <c r="S632" s="2">
        <f>(1/9)*cnst_fish!$C$7*(1/cnst_fish!$C$8)^(R632-1)</f>
        <v>19.023835523728447</v>
      </c>
      <c r="T632" s="682">
        <f t="shared" si="88"/>
        <v>110.94414129827068</v>
      </c>
      <c r="W632" s="818"/>
      <c r="X632" s="818"/>
      <c r="Y632" s="819"/>
      <c r="Z632" s="820"/>
      <c r="AA632" s="820"/>
      <c r="AB632" s="821"/>
      <c r="AC632" s="821"/>
      <c r="AD632" s="253"/>
      <c r="AE632" s="253"/>
    </row>
    <row r="633" spans="1:31" ht="14.5">
      <c r="A633" s="403" t="s">
        <v>8936</v>
      </c>
      <c r="B633" s="403" t="s">
        <v>8937</v>
      </c>
      <c r="C633" s="403">
        <v>3179</v>
      </c>
      <c r="D633" s="581"/>
      <c r="E633" s="581"/>
      <c r="F633" s="869">
        <f>(1/S633)*cnst_fish!$C$6</f>
        <v>1.5103960722494616</v>
      </c>
      <c r="G633" s="869">
        <f t="shared" si="91"/>
        <v>1</v>
      </c>
      <c r="H633" s="869">
        <f t="shared" si="91"/>
        <v>0.36449057933102513</v>
      </c>
      <c r="I633" s="869">
        <f t="shared" si="83"/>
        <v>0</v>
      </c>
      <c r="J633" s="389">
        <f t="shared" si="84"/>
        <v>0</v>
      </c>
      <c r="L633" s="721">
        <v>3</v>
      </c>
      <c r="M633" s="581"/>
      <c r="N633" s="877" t="s">
        <v>1738</v>
      </c>
      <c r="O633" s="881" t="s">
        <v>4681</v>
      </c>
      <c r="P633" s="871">
        <f t="shared" si="85"/>
        <v>0</v>
      </c>
      <c r="Q633" s="871">
        <f t="shared" si="86"/>
        <v>3</v>
      </c>
      <c r="R633" s="869">
        <f t="shared" si="87"/>
        <v>2.2999999999999998</v>
      </c>
      <c r="S633" s="869">
        <f>(1/9)*cnst_fish!$C$7*(1/cnst_fish!$C$8)^(R633-1)</f>
        <v>2.8138314698279068</v>
      </c>
      <c r="T633" s="682">
        <f t="shared" si="88"/>
        <v>0.72396357358407792</v>
      </c>
      <c r="W633" s="818"/>
      <c r="X633" s="818"/>
      <c r="Y633" s="819"/>
      <c r="Z633" s="820"/>
      <c r="AA633" s="820"/>
      <c r="AB633" s="821"/>
      <c r="AC633" s="821"/>
      <c r="AD633" s="253"/>
      <c r="AE633" s="253"/>
    </row>
    <row r="634" spans="1:31" ht="14.5">
      <c r="A634" t="s">
        <v>4254</v>
      </c>
      <c r="B634" t="s">
        <v>6625</v>
      </c>
      <c r="C634">
        <v>3178</v>
      </c>
      <c r="D634" s="581"/>
      <c r="E634" s="581"/>
      <c r="F634" s="2">
        <f>(1/S634)*cnst_fish!$C$6</f>
        <v>3.0136363636363641</v>
      </c>
      <c r="G634" s="2">
        <f t="shared" si="91"/>
        <v>1</v>
      </c>
      <c r="H634" s="2">
        <f t="shared" si="91"/>
        <v>0.36449057933102513</v>
      </c>
      <c r="I634" s="2">
        <f t="shared" si="83"/>
        <v>0</v>
      </c>
      <c r="J634" s="389">
        <f t="shared" si="84"/>
        <v>0</v>
      </c>
      <c r="L634" s="721">
        <v>49</v>
      </c>
      <c r="M634" s="581"/>
      <c r="N634" s="585" t="s">
        <v>1738</v>
      </c>
      <c r="O634" s="586" t="s">
        <v>4681</v>
      </c>
      <c r="P634" s="233">
        <f t="shared" si="85"/>
        <v>0</v>
      </c>
      <c r="Q634" s="233">
        <f t="shared" si="86"/>
        <v>49</v>
      </c>
      <c r="R634" s="2">
        <f t="shared" si="87"/>
        <v>2</v>
      </c>
      <c r="S634" s="2">
        <f>(1/9)*cnst_fish!$C$7*(1/cnst_fish!$C$8)^(R634-1)</f>
        <v>1.4102564102564099</v>
      </c>
      <c r="T634" s="682">
        <f t="shared" si="88"/>
        <v>5.9264079112947972</v>
      </c>
      <c r="W634" s="818"/>
      <c r="X634" s="818"/>
      <c r="Y634" s="819"/>
      <c r="Z634" s="820"/>
      <c r="AA634" s="820"/>
      <c r="AB634" s="821"/>
      <c r="AC634" s="821"/>
      <c r="AD634" s="253"/>
      <c r="AE634" s="253"/>
    </row>
    <row r="635" spans="1:31" ht="14.5">
      <c r="A635" t="s">
        <v>1082</v>
      </c>
      <c r="B635" t="s">
        <v>3192</v>
      </c>
      <c r="C635">
        <v>2370</v>
      </c>
      <c r="D635" s="581"/>
      <c r="E635" s="581"/>
      <c r="F635" s="2">
        <f>(1/S635)*cnst_fish!$C$6</f>
        <v>0.27484690295134895</v>
      </c>
      <c r="G635" s="2">
        <f t="shared" si="91"/>
        <v>1</v>
      </c>
      <c r="H635" s="2">
        <f t="shared" si="91"/>
        <v>0.36449057933102513</v>
      </c>
      <c r="I635" s="2">
        <f t="shared" si="83"/>
        <v>0</v>
      </c>
      <c r="J635" s="389">
        <f t="shared" si="84"/>
        <v>0</v>
      </c>
      <c r="L635" s="721">
        <v>3729</v>
      </c>
      <c r="M635" s="581"/>
      <c r="N635" s="585" t="s">
        <v>1738</v>
      </c>
      <c r="O635" s="586" t="s">
        <v>4681</v>
      </c>
      <c r="P635" s="233">
        <f t="shared" si="85"/>
        <v>0</v>
      </c>
      <c r="Q635" s="233">
        <f t="shared" si="86"/>
        <v>3729</v>
      </c>
      <c r="R635" s="2">
        <f t="shared" si="87"/>
        <v>3.04</v>
      </c>
      <c r="S635" s="2">
        <f>(1/9)*cnst_fish!$C$7*(1/cnst_fish!$C$8)^(R635-1)</f>
        <v>15.463154048173134</v>
      </c>
      <c r="T635" s="682">
        <f t="shared" si="88"/>
        <v>4945.2453556152459</v>
      </c>
      <c r="W635" s="818"/>
      <c r="X635" s="818"/>
      <c r="Y635" s="819"/>
      <c r="Z635" s="820"/>
      <c r="AA635" s="820"/>
      <c r="AB635" s="821"/>
      <c r="AC635" s="821"/>
      <c r="AD635" s="253"/>
      <c r="AE635" s="253"/>
    </row>
    <row r="636" spans="1:31" ht="14.5">
      <c r="A636" t="s">
        <v>735</v>
      </c>
      <c r="B636" t="s">
        <v>3193</v>
      </c>
      <c r="C636">
        <v>3175</v>
      </c>
      <c r="D636" s="581"/>
      <c r="E636" s="581"/>
      <c r="F636" s="2">
        <f>(1/S636)*cnst_fish!$C$6</f>
        <v>0.2878000384237327</v>
      </c>
      <c r="G636" s="2">
        <f t="shared" si="91"/>
        <v>1</v>
      </c>
      <c r="H636" s="2">
        <f t="shared" si="91"/>
        <v>0.36449057933102513</v>
      </c>
      <c r="I636" s="2">
        <f t="shared" si="83"/>
        <v>0</v>
      </c>
      <c r="J636" s="389">
        <f t="shared" si="84"/>
        <v>0</v>
      </c>
      <c r="L636" s="721">
        <v>5235.8099999999995</v>
      </c>
      <c r="M636" s="581"/>
      <c r="N636" s="585" t="s">
        <v>1738</v>
      </c>
      <c r="O636" s="586" t="s">
        <v>4681</v>
      </c>
      <c r="P636" s="233">
        <f t="shared" si="85"/>
        <v>0</v>
      </c>
      <c r="Q636" s="233">
        <f t="shared" si="86"/>
        <v>5235.8099999999995</v>
      </c>
      <c r="R636" s="2">
        <f t="shared" si="87"/>
        <v>3.02</v>
      </c>
      <c r="S636" s="2">
        <f>(1/9)*cnst_fish!$C$7*(1/cnst_fish!$C$8)^(R636-1)</f>
        <v>14.767197472512686</v>
      </c>
      <c r="T636" s="682">
        <f t="shared" si="88"/>
        <v>6631.0047441946508</v>
      </c>
      <c r="W636" s="818"/>
      <c r="X636" s="818"/>
      <c r="Y636" s="819"/>
      <c r="Z636" s="820"/>
      <c r="AA636" s="820"/>
      <c r="AB636" s="821"/>
      <c r="AC636" s="821"/>
      <c r="AD636" s="253"/>
      <c r="AE636" s="253"/>
    </row>
    <row r="637" spans="1:31" ht="14.5">
      <c r="A637" t="s">
        <v>385</v>
      </c>
      <c r="B637" t="s">
        <v>4789</v>
      </c>
      <c r="C637">
        <v>3177</v>
      </c>
      <c r="D637" s="581"/>
      <c r="E637" s="581"/>
      <c r="F637" s="2">
        <f>(1/S637)*cnst_fish!$C$6</f>
        <v>0.17341667202478855</v>
      </c>
      <c r="G637" s="2">
        <f t="shared" si="91"/>
        <v>1</v>
      </c>
      <c r="H637" s="2">
        <f t="shared" si="91"/>
        <v>0.36449057933102513</v>
      </c>
      <c r="I637" s="2">
        <f t="shared" si="83"/>
        <v>0</v>
      </c>
      <c r="J637" s="389">
        <f t="shared" si="84"/>
        <v>0</v>
      </c>
      <c r="L637" s="721">
        <v>974</v>
      </c>
      <c r="M637" s="581"/>
      <c r="N637" s="585" t="s">
        <v>1738</v>
      </c>
      <c r="O637" s="586" t="s">
        <v>4681</v>
      </c>
      <c r="P637" s="233">
        <f t="shared" si="85"/>
        <v>0</v>
      </c>
      <c r="Q637" s="233">
        <f t="shared" si="86"/>
        <v>974</v>
      </c>
      <c r="R637" s="2">
        <f t="shared" si="87"/>
        <v>3.24</v>
      </c>
      <c r="S637" s="2">
        <f>(1/9)*cnst_fish!$C$7*(1/cnst_fish!$C$8)^(R637-1)</f>
        <v>24.507447584927103</v>
      </c>
      <c r="T637" s="682">
        <f t="shared" si="88"/>
        <v>2047.1723976900676</v>
      </c>
      <c r="W637" s="818"/>
      <c r="X637" s="818"/>
      <c r="Y637" s="819"/>
      <c r="Z637" s="820"/>
      <c r="AA637" s="820"/>
      <c r="AB637" s="821"/>
      <c r="AC637" s="821"/>
      <c r="AD637" s="253"/>
      <c r="AE637" s="253"/>
    </row>
    <row r="638" spans="1:31" ht="14.5">
      <c r="A638" t="s">
        <v>6733</v>
      </c>
      <c r="B638" t="s">
        <v>6732</v>
      </c>
      <c r="C638">
        <v>19255</v>
      </c>
      <c r="D638" s="581"/>
      <c r="E638" s="581"/>
      <c r="F638" s="2">
        <f>(1/S638)*cnst_fish!$C$6</f>
        <v>3.0136363636363641</v>
      </c>
      <c r="G638" s="2">
        <f t="shared" si="91"/>
        <v>1</v>
      </c>
      <c r="H638" s="2">
        <f t="shared" si="91"/>
        <v>0.36449057933102513</v>
      </c>
      <c r="I638" s="2">
        <f t="shared" si="83"/>
        <v>0</v>
      </c>
      <c r="J638" s="389">
        <f t="shared" si="84"/>
        <v>0</v>
      </c>
      <c r="L638" s="721">
        <v>282</v>
      </c>
      <c r="M638" s="581"/>
      <c r="N638" s="585" t="s">
        <v>1738</v>
      </c>
      <c r="O638" s="586" t="s">
        <v>4681</v>
      </c>
      <c r="P638" s="233">
        <f t="shared" si="85"/>
        <v>0</v>
      </c>
      <c r="Q638" s="233">
        <f t="shared" si="86"/>
        <v>282</v>
      </c>
      <c r="R638" s="2">
        <f t="shared" si="87"/>
        <v>2</v>
      </c>
      <c r="S638" s="2">
        <f>(1/9)*cnst_fish!$C$7*(1/cnst_fish!$C$8)^(R638-1)</f>
        <v>1.4102564102564099</v>
      </c>
      <c r="T638" s="682">
        <f t="shared" si="88"/>
        <v>34.10708226500271</v>
      </c>
      <c r="W638" s="818"/>
      <c r="X638" s="818"/>
      <c r="Y638" s="819"/>
      <c r="Z638" s="820"/>
      <c r="AA638" s="820"/>
      <c r="AB638" s="821"/>
      <c r="AC638" s="821"/>
      <c r="AD638" s="253"/>
      <c r="AE638" s="253"/>
    </row>
    <row r="639" spans="1:31" ht="14.5">
      <c r="A639" t="s">
        <v>6526</v>
      </c>
      <c r="B639" t="s">
        <v>6525</v>
      </c>
      <c r="C639">
        <v>19222</v>
      </c>
      <c r="D639" s="581"/>
      <c r="E639" s="581"/>
      <c r="F639" s="2">
        <f>(1/S639)*cnst_fish!$C$6</f>
        <v>3.0136363636363641</v>
      </c>
      <c r="G639" s="2">
        <f t="shared" si="91"/>
        <v>1</v>
      </c>
      <c r="H639" s="2">
        <f t="shared" si="91"/>
        <v>0.36449057933102513</v>
      </c>
      <c r="I639" s="2">
        <f t="shared" si="83"/>
        <v>0</v>
      </c>
      <c r="J639" s="389">
        <f t="shared" si="84"/>
        <v>0</v>
      </c>
      <c r="L639" s="721">
        <v>744</v>
      </c>
      <c r="M639" s="581"/>
      <c r="N639" s="585" t="s">
        <v>1738</v>
      </c>
      <c r="O639" s="586" t="s">
        <v>4681</v>
      </c>
      <c r="P639" s="233">
        <f t="shared" si="85"/>
        <v>0</v>
      </c>
      <c r="Q639" s="233">
        <f t="shared" si="86"/>
        <v>744</v>
      </c>
      <c r="R639" s="2">
        <f t="shared" si="87"/>
        <v>2</v>
      </c>
      <c r="S639" s="2">
        <f>(1/9)*cnst_fish!$C$7*(1/cnst_fish!$C$8)^(R639-1)</f>
        <v>1.4102564102564099</v>
      </c>
      <c r="T639" s="682">
        <f t="shared" si="88"/>
        <v>89.984642571496508</v>
      </c>
      <c r="W639" s="822"/>
      <c r="X639" s="822"/>
      <c r="Y639" s="819"/>
      <c r="Z639" s="820"/>
      <c r="AA639" s="820"/>
      <c r="AB639" s="821"/>
      <c r="AC639" s="821"/>
      <c r="AD639" s="253"/>
      <c r="AE639" s="253"/>
    </row>
    <row r="640" spans="1:31" ht="14.5">
      <c r="A640" t="s">
        <v>3426</v>
      </c>
      <c r="B640" t="s">
        <v>3963</v>
      </c>
      <c r="C640">
        <v>2439</v>
      </c>
      <c r="D640" s="581"/>
      <c r="E640" s="581"/>
      <c r="F640" s="2">
        <f>(1/S640)*cnst_fish!$C$6</f>
        <v>3.304386563831508E-2</v>
      </c>
      <c r="G640" s="2">
        <f t="shared" si="91"/>
        <v>1</v>
      </c>
      <c r="H640" s="2">
        <f t="shared" si="91"/>
        <v>0.36449057933102513</v>
      </c>
      <c r="I640" s="2">
        <f t="shared" si="83"/>
        <v>0</v>
      </c>
      <c r="J640" s="389">
        <f t="shared" si="84"/>
        <v>0</v>
      </c>
      <c r="L640" s="721">
        <v>22763.440000000002</v>
      </c>
      <c r="M640" s="581"/>
      <c r="N640" s="585" t="s">
        <v>4065</v>
      </c>
      <c r="O640" s="586" t="s">
        <v>4681</v>
      </c>
      <c r="P640" s="233">
        <f t="shared" si="85"/>
        <v>0</v>
      </c>
      <c r="Q640" s="233">
        <f t="shared" si="86"/>
        <v>22763.440000000002</v>
      </c>
      <c r="R640" s="2">
        <f t="shared" si="87"/>
        <v>3.96</v>
      </c>
      <c r="S640" s="2">
        <f>(1/9)*cnst_fish!$C$7*(1/cnst_fish!$C$8)^(R640-1)</f>
        <v>128.61691324250009</v>
      </c>
      <c r="T640" s="682">
        <f t="shared" si="88"/>
        <v>251092.27606670847</v>
      </c>
      <c r="W640" s="818"/>
      <c r="X640" s="818"/>
      <c r="Y640" s="819"/>
      <c r="Z640" s="820"/>
      <c r="AA640" s="820"/>
      <c r="AB640" s="821"/>
      <c r="AC640" s="821"/>
      <c r="AD640" s="253"/>
      <c r="AE640" s="253"/>
    </row>
    <row r="641" spans="1:31" ht="14.5">
      <c r="A641" t="s">
        <v>1376</v>
      </c>
      <c r="B641" t="s">
        <v>3964</v>
      </c>
      <c r="C641">
        <v>2438</v>
      </c>
      <c r="D641" s="581"/>
      <c r="E641" s="581"/>
      <c r="F641" s="2">
        <f>(1/S641)*cnst_fish!$C$6</f>
        <v>1.0692785320993655E-2</v>
      </c>
      <c r="G641" s="2">
        <f t="shared" si="91"/>
        <v>1</v>
      </c>
      <c r="H641" s="2">
        <f t="shared" si="91"/>
        <v>0.36449057933102513</v>
      </c>
      <c r="I641" s="2">
        <f t="shared" si="83"/>
        <v>0</v>
      </c>
      <c r="J641" s="389">
        <f t="shared" si="84"/>
        <v>0</v>
      </c>
      <c r="L641" s="721">
        <v>5039.51</v>
      </c>
      <c r="M641" s="581"/>
      <c r="N641" s="585" t="s">
        <v>4065</v>
      </c>
      <c r="O641" s="586" t="s">
        <v>4681</v>
      </c>
      <c r="P641" s="233">
        <f t="shared" si="85"/>
        <v>0</v>
      </c>
      <c r="Q641" s="233">
        <f t="shared" si="86"/>
        <v>5039.51</v>
      </c>
      <c r="R641" s="2">
        <f t="shared" si="87"/>
        <v>4.45</v>
      </c>
      <c r="S641" s="2">
        <f>(1/9)*cnst_fish!$C$7*(1/cnst_fish!$C$8)^(R641-1)</f>
        <v>397.46425953729499</v>
      </c>
      <c r="T641" s="682">
        <f t="shared" si="88"/>
        <v>171784.41952239626</v>
      </c>
      <c r="W641" s="818"/>
      <c r="X641" s="818"/>
      <c r="Y641" s="819"/>
      <c r="Z641" s="820"/>
      <c r="AA641" s="820"/>
      <c r="AB641" s="821"/>
      <c r="AC641" s="821"/>
      <c r="AD641" s="253"/>
      <c r="AE641" s="253"/>
    </row>
    <row r="642" spans="1:31" ht="14.5">
      <c r="A642" t="s">
        <v>908</v>
      </c>
      <c r="B642" t="s">
        <v>3086</v>
      </c>
      <c r="C642">
        <v>18709</v>
      </c>
      <c r="D642" s="581"/>
      <c r="E642" s="581"/>
      <c r="F642" s="2">
        <f>(1/S642)*cnst_fish!$C$6</f>
        <v>1.3461419163458568</v>
      </c>
      <c r="G642" s="2">
        <f t="shared" si="91"/>
        <v>1</v>
      </c>
      <c r="H642" s="2">
        <f t="shared" si="91"/>
        <v>0.36449057933102513</v>
      </c>
      <c r="I642" s="2">
        <f t="shared" si="83"/>
        <v>0</v>
      </c>
      <c r="J642" s="389">
        <f t="shared" si="84"/>
        <v>0</v>
      </c>
      <c r="L642" s="721"/>
      <c r="M642" s="581">
        <v>8831</v>
      </c>
      <c r="N642" s="585" t="s">
        <v>1738</v>
      </c>
      <c r="O642" s="586" t="s">
        <v>4685</v>
      </c>
      <c r="P642" s="233">
        <f t="shared" si="85"/>
        <v>0</v>
      </c>
      <c r="Q642" s="233">
        <f t="shared" si="86"/>
        <v>8831</v>
      </c>
      <c r="R642" s="2">
        <f t="shared" si="87"/>
        <v>2.35</v>
      </c>
      <c r="S642" s="2">
        <f>(1/9)*cnst_fish!$C$7*(1/cnst_fish!$C$8)^(R642-1)</f>
        <v>3.1571708364425306</v>
      </c>
      <c r="T642" s="682">
        <f t="shared" si="88"/>
        <v>2391.1418751522556</v>
      </c>
      <c r="W642" s="818"/>
      <c r="X642" s="818"/>
      <c r="Y642" s="819"/>
      <c r="Z642" s="820"/>
      <c r="AA642" s="820"/>
      <c r="AB642" s="821"/>
      <c r="AC642" s="821"/>
      <c r="AD642" s="253"/>
      <c r="AE642" s="253"/>
    </row>
    <row r="643" spans="1:31" ht="14.5">
      <c r="A643" t="s">
        <v>8302</v>
      </c>
      <c r="B643" t="s">
        <v>8303</v>
      </c>
      <c r="C643">
        <v>11925</v>
      </c>
      <c r="D643" s="581"/>
      <c r="E643" s="581"/>
      <c r="F643" s="2">
        <f>(1/S643)*cnst_fish!$C$6</f>
        <v>3.7939434000887833E-2</v>
      </c>
      <c r="G643" s="2">
        <f t="shared" si="91"/>
        <v>1</v>
      </c>
      <c r="H643" s="2">
        <f t="shared" si="91"/>
        <v>0.36449057933102513</v>
      </c>
      <c r="I643" s="2">
        <f t="shared" si="83"/>
        <v>0</v>
      </c>
      <c r="J643" s="389">
        <f t="shared" si="84"/>
        <v>0</v>
      </c>
      <c r="L643" s="721">
        <v>0</v>
      </c>
      <c r="M643" s="581"/>
      <c r="N643" s="585" t="s">
        <v>1738</v>
      </c>
      <c r="O643" s="586" t="s">
        <v>4681</v>
      </c>
      <c r="P643" s="233">
        <f t="shared" si="85"/>
        <v>0</v>
      </c>
      <c r="Q643" s="233">
        <f t="shared" si="86"/>
        <v>0</v>
      </c>
      <c r="R643" s="2">
        <f t="shared" si="87"/>
        <v>3.9</v>
      </c>
      <c r="S643" s="2">
        <f>(1/9)*cnst_fish!$C$7*(1/cnst_fish!$C$8)^(R643-1)</f>
        <v>112.02064848675771</v>
      </c>
      <c r="T643" s="682">
        <f t="shared" si="88"/>
        <v>0</v>
      </c>
      <c r="W643" s="818"/>
      <c r="X643" s="818"/>
      <c r="Y643" s="819"/>
      <c r="Z643" s="820"/>
      <c r="AA643" s="820"/>
      <c r="AB643" s="821"/>
      <c r="AC643" s="821"/>
      <c r="AD643" s="253"/>
      <c r="AE643" s="253"/>
    </row>
    <row r="644" spans="1:31" ht="14.5">
      <c r="A644" t="s">
        <v>9070</v>
      </c>
      <c r="B644" t="s">
        <v>9071</v>
      </c>
      <c r="C644">
        <v>17320</v>
      </c>
      <c r="D644" s="581"/>
      <c r="E644" s="581"/>
      <c r="F644" s="869">
        <f>(1/S644)*cnst_fish!$C$6</f>
        <v>2.3938164528281742</v>
      </c>
      <c r="G644" s="869">
        <f t="shared" si="91"/>
        <v>1</v>
      </c>
      <c r="H644" s="869">
        <f t="shared" si="91"/>
        <v>0.36449057933102513</v>
      </c>
      <c r="I644" s="869">
        <f t="shared" si="83"/>
        <v>0</v>
      </c>
      <c r="J644" s="389">
        <f t="shared" si="84"/>
        <v>0</v>
      </c>
      <c r="L644" s="721">
        <v>9</v>
      </c>
      <c r="M644" s="581"/>
      <c r="N644" s="877" t="s">
        <v>2314</v>
      </c>
      <c r="O644" s="882" t="s">
        <v>4691</v>
      </c>
      <c r="P644" s="871">
        <f t="shared" si="85"/>
        <v>0</v>
      </c>
      <c r="Q644" s="871">
        <f t="shared" si="86"/>
        <v>9</v>
      </c>
      <c r="R644" s="869">
        <f t="shared" si="87"/>
        <v>2.1</v>
      </c>
      <c r="S644" s="869">
        <f>(1/9)*cnst_fish!$C$7*(1/cnst_fish!$C$8)^(R644-1)</f>
        <v>1.7754076320174161</v>
      </c>
      <c r="T644" s="682">
        <f t="shared" si="88"/>
        <v>1.3703704016670033</v>
      </c>
      <c r="W644" s="818"/>
      <c r="X644" s="818"/>
      <c r="Y644" s="819"/>
      <c r="Z644" s="820"/>
      <c r="AA644" s="820"/>
      <c r="AB644" s="821"/>
      <c r="AC644" s="821"/>
      <c r="AD644" s="253"/>
      <c r="AE644" s="253"/>
    </row>
    <row r="645" spans="1:31" ht="14.5">
      <c r="A645" t="s">
        <v>3477</v>
      </c>
      <c r="B645" t="s">
        <v>2108</v>
      </c>
      <c r="C645">
        <v>3548</v>
      </c>
      <c r="D645" s="581"/>
      <c r="E645" s="581"/>
      <c r="F645" s="2">
        <f>(1/S645)*cnst_fish!$C$6</f>
        <v>2.3938164528281742</v>
      </c>
      <c r="G645" s="2">
        <f t="shared" si="91"/>
        <v>1</v>
      </c>
      <c r="H645" s="2">
        <f t="shared" si="91"/>
        <v>0.36449057933102513</v>
      </c>
      <c r="I645" s="2">
        <f t="shared" si="83"/>
        <v>0</v>
      </c>
      <c r="J645" s="389">
        <f t="shared" si="84"/>
        <v>0</v>
      </c>
      <c r="L645" s="721">
        <v>828</v>
      </c>
      <c r="M645" s="581"/>
      <c r="N645" s="585" t="s">
        <v>1736</v>
      </c>
      <c r="O645" s="586" t="s">
        <v>4691</v>
      </c>
      <c r="P645" s="233">
        <f t="shared" si="85"/>
        <v>0</v>
      </c>
      <c r="Q645" s="233">
        <f t="shared" si="86"/>
        <v>828</v>
      </c>
      <c r="R645" s="2">
        <f t="shared" si="87"/>
        <v>2.1</v>
      </c>
      <c r="S645" s="2">
        <f>(1/9)*cnst_fish!$C$7*(1/cnst_fish!$C$8)^(R645-1)</f>
        <v>1.7754076320174161</v>
      </c>
      <c r="T645" s="682">
        <f t="shared" si="88"/>
        <v>126.0740769533643</v>
      </c>
      <c r="W645" s="818"/>
      <c r="X645" s="818"/>
      <c r="Y645" s="819"/>
      <c r="Z645" s="820"/>
      <c r="AA645" s="820"/>
      <c r="AB645" s="821"/>
      <c r="AC645" s="821"/>
      <c r="AD645" s="253"/>
      <c r="AE645" s="253"/>
    </row>
    <row r="646" spans="1:31" ht="14.5">
      <c r="A646" t="s">
        <v>8863</v>
      </c>
      <c r="B646" t="s">
        <v>8864</v>
      </c>
      <c r="C646">
        <v>11932</v>
      </c>
      <c r="D646" s="581"/>
      <c r="E646" s="581"/>
      <c r="F646" s="2">
        <f>(1/S646)*cnst_fish!$C$6</f>
        <v>0.15103960722494611</v>
      </c>
      <c r="G646" s="2">
        <f t="shared" si="91"/>
        <v>1</v>
      </c>
      <c r="H646" s="2">
        <f t="shared" si="91"/>
        <v>0.36449057933102513</v>
      </c>
      <c r="I646" s="2">
        <f t="shared" si="83"/>
        <v>0</v>
      </c>
      <c r="J646" s="389">
        <f t="shared" si="84"/>
        <v>0</v>
      </c>
      <c r="L646" s="721"/>
      <c r="M646" s="581">
        <v>1900</v>
      </c>
      <c r="N646" s="585" t="s">
        <v>4282</v>
      </c>
      <c r="O646" s="586" t="s">
        <v>4685</v>
      </c>
      <c r="P646" s="233">
        <f t="shared" si="85"/>
        <v>0</v>
      </c>
      <c r="Q646" s="233">
        <f t="shared" si="86"/>
        <v>1900</v>
      </c>
      <c r="R646" s="2">
        <f t="shared" si="87"/>
        <v>3.3</v>
      </c>
      <c r="S646" s="2">
        <f>(1/9)*cnst_fish!$C$7*(1/cnst_fish!$C$8)^(R646-1)</f>
        <v>28.138314698279075</v>
      </c>
      <c r="T646" s="682">
        <f t="shared" si="88"/>
        <v>4585.1026326991614</v>
      </c>
      <c r="W646" s="818"/>
      <c r="X646" s="818"/>
      <c r="Y646" s="819"/>
      <c r="Z646" s="820"/>
      <c r="AA646" s="820"/>
      <c r="AB646" s="821"/>
      <c r="AC646" s="821"/>
      <c r="AD646" s="253"/>
      <c r="AE646" s="253"/>
    </row>
    <row r="647" spans="1:31" ht="14.5">
      <c r="A647" t="s">
        <v>4230</v>
      </c>
      <c r="B647" t="s">
        <v>8600</v>
      </c>
      <c r="C647">
        <v>3323</v>
      </c>
      <c r="D647" s="581"/>
      <c r="E647" s="581"/>
      <c r="F647" s="2">
        <f>(1/S647)*cnst_fish!$C$6</f>
        <v>3.0136363636363641</v>
      </c>
      <c r="G647" s="2">
        <f t="shared" si="91"/>
        <v>1</v>
      </c>
      <c r="H647" s="2">
        <f t="shared" si="91"/>
        <v>0.36449057933102513</v>
      </c>
      <c r="I647" s="2">
        <f t="shared" ref="I647:I710" si="92">IF($F647=0,0,D647/$F647*$H647*$G647)</f>
        <v>0</v>
      </c>
      <c r="J647" s="389">
        <f t="shared" ref="J647:J710" si="93">IF($F647=0,0,E647/$F647*$H647*$G647)</f>
        <v>0</v>
      </c>
      <c r="L647" s="721"/>
      <c r="M647" s="581"/>
      <c r="N647" s="585" t="s">
        <v>1738</v>
      </c>
      <c r="O647" s="586" t="s">
        <v>4681</v>
      </c>
      <c r="P647" s="233">
        <f t="shared" ref="P647:P710" si="94">D647+E647</f>
        <v>0</v>
      </c>
      <c r="Q647" s="233">
        <f t="shared" ref="Q647:Q710" si="95">L647+M647</f>
        <v>0</v>
      </c>
      <c r="R647" s="2">
        <f t="shared" ref="R647:R710" si="96">VLOOKUP(B647,constant_fish_trophic,3,FALSE)</f>
        <v>2</v>
      </c>
      <c r="S647" s="2">
        <f>(1/9)*cnst_fish!$C$7*(1/cnst_fish!$C$8)^(R647-1)</f>
        <v>1.4102564102564099</v>
      </c>
      <c r="T647" s="682">
        <f t="shared" ref="T647:T710" si="97">IF(F647=0,0,Q647/F647*H647*G647)</f>
        <v>0</v>
      </c>
      <c r="W647" s="818"/>
      <c r="X647" s="818"/>
      <c r="Y647" s="819"/>
      <c r="Z647" s="820"/>
      <c r="AA647" s="820"/>
      <c r="AB647" s="821"/>
      <c r="AC647" s="821"/>
      <c r="AD647" s="253"/>
      <c r="AE647" s="253"/>
    </row>
    <row r="648" spans="1:31" ht="14.5">
      <c r="A648" t="s">
        <v>1875</v>
      </c>
      <c r="B648" t="s">
        <v>1876</v>
      </c>
      <c r="C648">
        <v>11935</v>
      </c>
      <c r="D648" s="581"/>
      <c r="E648" s="581"/>
      <c r="F648" s="2">
        <f>(1/S648)*cnst_fish!$C$6</f>
        <v>1.0692785320993652</v>
      </c>
      <c r="G648" s="2">
        <f t="shared" ref="G648:H667" si="98">G$7</f>
        <v>1</v>
      </c>
      <c r="H648" s="2">
        <f t="shared" si="98"/>
        <v>0.36449057933102513</v>
      </c>
      <c r="I648" s="2">
        <f t="shared" si="92"/>
        <v>0</v>
      </c>
      <c r="J648" s="389">
        <f t="shared" si="93"/>
        <v>0</v>
      </c>
      <c r="L648" s="721"/>
      <c r="M648" s="581">
        <v>544</v>
      </c>
      <c r="N648" s="585" t="s">
        <v>1738</v>
      </c>
      <c r="O648" s="586" t="s">
        <v>4685</v>
      </c>
      <c r="P648" s="233">
        <f t="shared" si="94"/>
        <v>0</v>
      </c>
      <c r="Q648" s="233">
        <f t="shared" si="95"/>
        <v>544</v>
      </c>
      <c r="R648" s="2">
        <f t="shared" si="96"/>
        <v>2.4500000000000002</v>
      </c>
      <c r="S648" s="2">
        <f>(1/9)*cnst_fish!$C$7*(1/cnst_fish!$C$8)^(R648-1)</f>
        <v>3.9746425953729503</v>
      </c>
      <c r="T648" s="682">
        <f t="shared" si="97"/>
        <v>185.43613212432078</v>
      </c>
      <c r="W648" s="818"/>
      <c r="X648" s="818"/>
      <c r="Y648" s="819"/>
      <c r="Z648" s="820"/>
      <c r="AA648" s="820"/>
      <c r="AB648" s="821"/>
      <c r="AC648" s="821"/>
      <c r="AD648" s="253"/>
      <c r="AE648" s="253"/>
    </row>
    <row r="649" spans="1:31" ht="14.5">
      <c r="A649" t="s">
        <v>2406</v>
      </c>
      <c r="B649" t="s">
        <v>4928</v>
      </c>
      <c r="C649">
        <v>2092</v>
      </c>
      <c r="D649" s="581"/>
      <c r="E649" s="581"/>
      <c r="F649" s="2">
        <f>(1/S649)*cnst_fish!$C$6</f>
        <v>1.1997502458044034</v>
      </c>
      <c r="G649" s="2">
        <f t="shared" si="98"/>
        <v>1</v>
      </c>
      <c r="H649" s="2">
        <f t="shared" si="98"/>
        <v>0.36449057933102513</v>
      </c>
      <c r="I649" s="2">
        <f t="shared" si="92"/>
        <v>0</v>
      </c>
      <c r="J649" s="389">
        <f t="shared" si="93"/>
        <v>0</v>
      </c>
      <c r="L649" s="721"/>
      <c r="M649" s="581">
        <v>2698</v>
      </c>
      <c r="N649" s="585" t="s">
        <v>1738</v>
      </c>
      <c r="O649" s="586" t="s">
        <v>4685</v>
      </c>
      <c r="P649" s="233">
        <f t="shared" si="94"/>
        <v>0</v>
      </c>
      <c r="Q649" s="233">
        <f t="shared" si="95"/>
        <v>2698</v>
      </c>
      <c r="R649" s="2">
        <f t="shared" si="96"/>
        <v>2.4</v>
      </c>
      <c r="S649" s="2">
        <f>(1/9)*cnst_fish!$C$7*(1/cnst_fish!$C$8)^(R649-1)</f>
        <v>3.5424039418724838</v>
      </c>
      <c r="T649" s="682">
        <f t="shared" si="97"/>
        <v>819.66691523848192</v>
      </c>
      <c r="W649" s="818"/>
      <c r="X649" s="818"/>
      <c r="Y649" s="819"/>
      <c r="Z649" s="820"/>
      <c r="AA649" s="820"/>
      <c r="AB649" s="821"/>
      <c r="AC649" s="821"/>
      <c r="AD649" s="253"/>
      <c r="AE649" s="253"/>
    </row>
    <row r="650" spans="1:31" ht="14.5">
      <c r="A650" t="s">
        <v>8601</v>
      </c>
      <c r="B650" t="s">
        <v>8602</v>
      </c>
      <c r="C650">
        <v>11936</v>
      </c>
      <c r="D650" s="581"/>
      <c r="E650" s="581"/>
      <c r="F650" s="2">
        <f>(1/S650)*cnst_fish!$C$6</f>
        <v>0.47762917572805397</v>
      </c>
      <c r="G650" s="2">
        <f t="shared" si="98"/>
        <v>1</v>
      </c>
      <c r="H650" s="2">
        <f t="shared" si="98"/>
        <v>0.36449057933102513</v>
      </c>
      <c r="I650" s="2">
        <f t="shared" si="92"/>
        <v>0</v>
      </c>
      <c r="J650" s="389">
        <f t="shared" si="93"/>
        <v>0</v>
      </c>
      <c r="L650" s="721">
        <v>0</v>
      </c>
      <c r="M650" s="581"/>
      <c r="N650" s="585" t="s">
        <v>1738</v>
      </c>
      <c r="O650" s="586" t="s">
        <v>4699</v>
      </c>
      <c r="P650" s="233">
        <f t="shared" si="94"/>
        <v>0</v>
      </c>
      <c r="Q650" s="233">
        <f t="shared" si="95"/>
        <v>0</v>
      </c>
      <c r="R650" s="2">
        <f t="shared" si="96"/>
        <v>2.8</v>
      </c>
      <c r="S650" s="2">
        <f>(1/9)*cnst_fish!$C$7*(1/cnst_fish!$C$8)^(R650-1)</f>
        <v>8.8981163965155421</v>
      </c>
      <c r="T650" s="682">
        <f t="shared" si="97"/>
        <v>0</v>
      </c>
      <c r="W650" s="818"/>
      <c r="X650" s="818"/>
      <c r="Y650" s="819"/>
      <c r="Z650" s="820"/>
      <c r="AA650" s="820"/>
      <c r="AB650" s="821"/>
      <c r="AC650" s="821"/>
      <c r="AD650" s="253"/>
      <c r="AE650" s="253"/>
    </row>
    <row r="651" spans="1:31" ht="14.5">
      <c r="A651" t="s">
        <v>8603</v>
      </c>
      <c r="B651" t="s">
        <v>421</v>
      </c>
      <c r="C651">
        <v>19116</v>
      </c>
      <c r="D651" s="581"/>
      <c r="E651" s="581"/>
      <c r="F651" s="2">
        <f>(1/S651)*cnst_fish!$C$6</f>
        <v>0.54839166784473536</v>
      </c>
      <c r="G651" s="2">
        <f t="shared" si="98"/>
        <v>1</v>
      </c>
      <c r="H651" s="2">
        <f t="shared" si="98"/>
        <v>0.36449057933102513</v>
      </c>
      <c r="I651" s="2">
        <f t="shared" si="92"/>
        <v>0</v>
      </c>
      <c r="J651" s="389">
        <f t="shared" si="93"/>
        <v>0</v>
      </c>
      <c r="L651" s="721"/>
      <c r="M651" s="581">
        <v>180</v>
      </c>
      <c r="N651" s="585" t="s">
        <v>3789</v>
      </c>
      <c r="O651" s="586" t="s">
        <v>4699</v>
      </c>
      <c r="P651" s="233">
        <f t="shared" si="94"/>
        <v>0</v>
      </c>
      <c r="Q651" s="233">
        <f t="shared" si="95"/>
        <v>180</v>
      </c>
      <c r="R651" s="2">
        <f t="shared" si="96"/>
        <v>2.74</v>
      </c>
      <c r="S651" s="2">
        <f>(1/9)*cnst_fish!$C$7*(1/cnst_fish!$C$8)^(R651-1)</f>
        <v>7.7499354005562511</v>
      </c>
      <c r="T651" s="682">
        <f t="shared" si="97"/>
        <v>119.63767527219255</v>
      </c>
      <c r="W651" s="818"/>
      <c r="X651" s="818"/>
      <c r="Y651" s="819"/>
      <c r="Z651" s="820"/>
      <c r="AA651" s="820"/>
      <c r="AB651" s="821"/>
      <c r="AC651" s="821"/>
      <c r="AD651" s="253"/>
      <c r="AE651" s="253"/>
    </row>
    <row r="652" spans="1:31" ht="14.5">
      <c r="A652" t="s">
        <v>2290</v>
      </c>
      <c r="B652" t="s">
        <v>1420</v>
      </c>
      <c r="C652">
        <v>2721</v>
      </c>
      <c r="D652" s="581"/>
      <c r="E652" s="581"/>
      <c r="F652" s="2">
        <f>(1/S652)*cnst_fish!$C$6</f>
        <v>2.1831865524078106E-2</v>
      </c>
      <c r="G652" s="2">
        <f t="shared" si="98"/>
        <v>1</v>
      </c>
      <c r="H652" s="2">
        <f t="shared" si="98"/>
        <v>0.36449057933102513</v>
      </c>
      <c r="I652" s="2">
        <f t="shared" si="92"/>
        <v>0</v>
      </c>
      <c r="J652" s="389">
        <f t="shared" si="93"/>
        <v>0</v>
      </c>
      <c r="L652" s="721">
        <v>892419</v>
      </c>
      <c r="M652" s="581"/>
      <c r="N652" s="585" t="s">
        <v>5197</v>
      </c>
      <c r="O652" s="586" t="s">
        <v>4675</v>
      </c>
      <c r="P652" s="233">
        <f t="shared" si="94"/>
        <v>0</v>
      </c>
      <c r="Q652" s="233">
        <f t="shared" si="95"/>
        <v>892419</v>
      </c>
      <c r="R652" s="2">
        <f t="shared" si="96"/>
        <v>4.1399999999999997</v>
      </c>
      <c r="S652" s="2">
        <f>(1/9)*cnst_fish!$C$7*(1/cnst_fish!$C$8)^(R652-1)</f>
        <v>194.66957577732992</v>
      </c>
      <c r="T652" s="682">
        <f t="shared" si="97"/>
        <v>14899245.232033355</v>
      </c>
      <c r="W652" s="818"/>
      <c r="X652" s="818"/>
      <c r="Y652" s="819"/>
      <c r="Z652" s="820"/>
      <c r="AA652" s="820"/>
      <c r="AB652" s="821"/>
      <c r="AC652" s="821"/>
      <c r="AD652" s="253"/>
      <c r="AE652" s="253"/>
    </row>
    <row r="653" spans="1:31" ht="14.5">
      <c r="A653" t="s">
        <v>120</v>
      </c>
      <c r="B653" t="s">
        <v>3194</v>
      </c>
      <c r="C653">
        <v>3212</v>
      </c>
      <c r="D653" s="581"/>
      <c r="E653" s="581"/>
      <c r="F653" s="2">
        <f>(1/S653)*cnst_fish!$C$6</f>
        <v>0.23938164528281752</v>
      </c>
      <c r="G653" s="2">
        <f t="shared" si="98"/>
        <v>1</v>
      </c>
      <c r="H653" s="2">
        <f t="shared" si="98"/>
        <v>0.36449057933102513</v>
      </c>
      <c r="I653" s="2">
        <f t="shared" si="92"/>
        <v>0</v>
      </c>
      <c r="J653" s="389">
        <f t="shared" si="93"/>
        <v>0</v>
      </c>
      <c r="L653" s="721">
        <v>9674</v>
      </c>
      <c r="M653" s="581"/>
      <c r="N653" s="585" t="s">
        <v>1738</v>
      </c>
      <c r="O653" s="586" t="s">
        <v>4681</v>
      </c>
      <c r="P653" s="233">
        <f t="shared" si="94"/>
        <v>0</v>
      </c>
      <c r="Q653" s="233">
        <f t="shared" si="95"/>
        <v>9674</v>
      </c>
      <c r="R653" s="2">
        <f t="shared" si="96"/>
        <v>3.1</v>
      </c>
      <c r="S653" s="2">
        <f>(1/9)*cnst_fish!$C$7*(1/cnst_fish!$C$8)^(R653-1)</f>
        <v>17.754076320174157</v>
      </c>
      <c r="T653" s="682">
        <f t="shared" si="97"/>
        <v>14729.959184140649</v>
      </c>
      <c r="W653" s="818"/>
      <c r="X653" s="818"/>
      <c r="Y653" s="819"/>
      <c r="Z653" s="820"/>
      <c r="AA653" s="820"/>
      <c r="AB653" s="821"/>
      <c r="AC653" s="821"/>
      <c r="AD653" s="253"/>
      <c r="AE653" s="253"/>
    </row>
    <row r="654" spans="1:31" ht="14.5">
      <c r="A654" t="s">
        <v>5082</v>
      </c>
      <c r="B654" t="s">
        <v>3195</v>
      </c>
      <c r="C654">
        <v>2405</v>
      </c>
      <c r="D654" s="581"/>
      <c r="E654" s="581"/>
      <c r="F654" s="2">
        <f>(1/S654)*cnst_fish!$C$6</f>
        <v>0.14424170509541331</v>
      </c>
      <c r="G654" s="2">
        <f t="shared" si="98"/>
        <v>1</v>
      </c>
      <c r="H654" s="2">
        <f t="shared" si="98"/>
        <v>0.36449057933102513</v>
      </c>
      <c r="I654" s="2">
        <f t="shared" si="92"/>
        <v>0</v>
      </c>
      <c r="J654" s="389">
        <f t="shared" si="93"/>
        <v>0</v>
      </c>
      <c r="L654" s="721">
        <v>3838</v>
      </c>
      <c r="M654" s="581"/>
      <c r="N654" s="585" t="s">
        <v>1738</v>
      </c>
      <c r="O654" s="586" t="s">
        <v>4681</v>
      </c>
      <c r="P654" s="233">
        <f t="shared" si="94"/>
        <v>0</v>
      </c>
      <c r="Q654" s="233">
        <f t="shared" si="95"/>
        <v>3838</v>
      </c>
      <c r="R654" s="2">
        <f t="shared" si="96"/>
        <v>3.32</v>
      </c>
      <c r="S654" s="2">
        <f>(1/9)*cnst_fish!$C$7*(1/cnst_fish!$C$8)^(R654-1)</f>
        <v>29.464432614608246</v>
      </c>
      <c r="T654" s="682">
        <f t="shared" si="97"/>
        <v>9698.407562134109</v>
      </c>
      <c r="W654" s="818"/>
      <c r="X654" s="818"/>
      <c r="Y654" s="819"/>
      <c r="Z654" s="820"/>
      <c r="AA654" s="820"/>
      <c r="AB654" s="821"/>
      <c r="AC654" s="821"/>
      <c r="AD654" s="253"/>
      <c r="AE654" s="253"/>
    </row>
    <row r="655" spans="1:31" ht="14.5">
      <c r="A655" t="s">
        <v>6364</v>
      </c>
      <c r="B655" t="s">
        <v>2503</v>
      </c>
      <c r="C655">
        <v>18522</v>
      </c>
      <c r="D655" s="581"/>
      <c r="E655" s="581"/>
      <c r="F655" s="2">
        <f>(1/S655)*cnst_fish!$C$6</f>
        <v>30.136363636363644</v>
      </c>
      <c r="G655" s="2">
        <f t="shared" si="98"/>
        <v>1</v>
      </c>
      <c r="H655" s="2">
        <f t="shared" si="98"/>
        <v>0.36449057933102513</v>
      </c>
      <c r="I655" s="2">
        <f t="shared" si="92"/>
        <v>0</v>
      </c>
      <c r="J655" s="389">
        <f t="shared" si="93"/>
        <v>0</v>
      </c>
      <c r="L655" s="721">
        <v>0</v>
      </c>
      <c r="M655" s="581"/>
      <c r="N655" s="585" t="s">
        <v>1740</v>
      </c>
      <c r="O655" s="586" t="s">
        <v>4671</v>
      </c>
      <c r="P655" s="233">
        <f t="shared" si="94"/>
        <v>0</v>
      </c>
      <c r="Q655" s="233">
        <f t="shared" si="95"/>
        <v>0</v>
      </c>
      <c r="R655" s="2">
        <f t="shared" si="96"/>
        <v>1</v>
      </c>
      <c r="S655" s="2">
        <f>(1/9)*cnst_fish!$C$7*(1/cnst_fish!$C$8)^(R655-1)</f>
        <v>0.141025641025641</v>
      </c>
      <c r="T655" s="682">
        <f t="shared" si="97"/>
        <v>0</v>
      </c>
      <c r="W655" s="818"/>
      <c r="X655" s="818"/>
      <c r="Y655" s="819"/>
      <c r="Z655" s="820"/>
      <c r="AA655" s="820"/>
      <c r="AB655" s="821"/>
      <c r="AC655" s="821"/>
      <c r="AD655" s="253"/>
      <c r="AE655" s="253"/>
    </row>
    <row r="656" spans="1:31" ht="14.5">
      <c r="A656" t="s">
        <v>6364</v>
      </c>
      <c r="B656" t="s">
        <v>2503</v>
      </c>
      <c r="C656">
        <v>18522</v>
      </c>
      <c r="D656" s="581"/>
      <c r="E656" s="581"/>
      <c r="F656" s="2">
        <f>(1/S656)*cnst_fish!$C$6</f>
        <v>30.136363636363644</v>
      </c>
      <c r="G656" s="2">
        <f t="shared" si="98"/>
        <v>1</v>
      </c>
      <c r="H656" s="2">
        <f t="shared" si="98"/>
        <v>0.36449057933102513</v>
      </c>
      <c r="I656" s="2">
        <f t="shared" si="92"/>
        <v>0</v>
      </c>
      <c r="J656" s="389">
        <f t="shared" si="93"/>
        <v>0</v>
      </c>
      <c r="L656" s="721">
        <v>0</v>
      </c>
      <c r="M656" s="581"/>
      <c r="N656" s="585" t="s">
        <v>1740</v>
      </c>
      <c r="O656" s="586"/>
      <c r="P656" s="233">
        <f t="shared" si="94"/>
        <v>0</v>
      </c>
      <c r="Q656" s="233">
        <f t="shared" si="95"/>
        <v>0</v>
      </c>
      <c r="R656" s="2">
        <f t="shared" si="96"/>
        <v>1</v>
      </c>
      <c r="S656" s="2">
        <f>(1/9)*cnst_fish!$C$7*(1/cnst_fish!$C$8)^(R656-1)</f>
        <v>0.141025641025641</v>
      </c>
      <c r="T656" s="682">
        <f t="shared" si="97"/>
        <v>0</v>
      </c>
      <c r="W656" s="818"/>
      <c r="X656" s="818"/>
      <c r="Y656" s="819"/>
      <c r="Z656" s="820"/>
      <c r="AA656" s="820"/>
      <c r="AB656" s="821"/>
      <c r="AC656" s="821"/>
      <c r="AD656" s="253"/>
      <c r="AE656" s="253"/>
    </row>
    <row r="657" spans="1:31" ht="14.5">
      <c r="A657" t="s">
        <v>4322</v>
      </c>
      <c r="B657" t="s">
        <v>6365</v>
      </c>
      <c r="C657">
        <v>2781</v>
      </c>
      <c r="D657" s="581"/>
      <c r="E657" s="581"/>
      <c r="F657" s="2">
        <f>(1/S657)*cnst_fish!$C$6</f>
        <v>30.136363636363644</v>
      </c>
      <c r="G657" s="2">
        <f t="shared" si="98"/>
        <v>1</v>
      </c>
      <c r="H657" s="2">
        <f t="shared" si="98"/>
        <v>0.36449057933102513</v>
      </c>
      <c r="I657" s="2">
        <f t="shared" si="92"/>
        <v>0</v>
      </c>
      <c r="J657" s="389">
        <f t="shared" si="93"/>
        <v>0</v>
      </c>
      <c r="L657" s="721">
        <v>11378</v>
      </c>
      <c r="M657" s="581"/>
      <c r="N657" s="585" t="s">
        <v>1740</v>
      </c>
      <c r="O657" s="586" t="s">
        <v>4671</v>
      </c>
      <c r="P657" s="233">
        <f t="shared" si="94"/>
        <v>0</v>
      </c>
      <c r="Q657" s="233">
        <f t="shared" si="95"/>
        <v>11378</v>
      </c>
      <c r="R657" s="2">
        <f t="shared" si="96"/>
        <v>1</v>
      </c>
      <c r="S657" s="2">
        <f>(1/9)*cnst_fish!$C$7*(1/cnst_fish!$C$8)^(R657-1)</f>
        <v>0.141025641025641</v>
      </c>
      <c r="T657" s="682">
        <f t="shared" si="97"/>
        <v>137.61361064226978</v>
      </c>
      <c r="W657" s="818"/>
      <c r="X657" s="818"/>
      <c r="Y657" s="819"/>
      <c r="Z657" s="820"/>
      <c r="AA657" s="820"/>
      <c r="AB657" s="821"/>
      <c r="AC657" s="821"/>
      <c r="AD657" s="253"/>
      <c r="AE657" s="253"/>
    </row>
    <row r="658" spans="1:31" ht="14.5">
      <c r="A658" t="s">
        <v>5222</v>
      </c>
      <c r="B658" t="s">
        <v>3968</v>
      </c>
      <c r="C658">
        <v>2900</v>
      </c>
      <c r="D658" s="581"/>
      <c r="E658" s="581"/>
      <c r="F658" s="2">
        <f>(1/S658)*cnst_fish!$C$6</f>
        <v>0.11997502458044032</v>
      </c>
      <c r="G658" s="2">
        <f t="shared" si="98"/>
        <v>1</v>
      </c>
      <c r="H658" s="2">
        <f t="shared" si="98"/>
        <v>0.36449057933102513</v>
      </c>
      <c r="I658" s="2">
        <f t="shared" si="92"/>
        <v>0</v>
      </c>
      <c r="J658" s="389">
        <f t="shared" si="93"/>
        <v>0</v>
      </c>
      <c r="L658" s="721">
        <v>17951</v>
      </c>
      <c r="M658" s="581"/>
      <c r="N658" s="585" t="s">
        <v>2321</v>
      </c>
      <c r="O658" s="586" t="s">
        <v>4699</v>
      </c>
      <c r="P658" s="233">
        <f t="shared" si="94"/>
        <v>0</v>
      </c>
      <c r="Q658" s="233">
        <f t="shared" si="95"/>
        <v>17951</v>
      </c>
      <c r="R658" s="2">
        <f t="shared" si="96"/>
        <v>3.4</v>
      </c>
      <c r="S658" s="2">
        <f>(1/9)*cnst_fish!$C$7*(1/cnst_fish!$C$8)^(R658-1)</f>
        <v>35.424039418724846</v>
      </c>
      <c r="T658" s="682">
        <f t="shared" si="97"/>
        <v>54536.103763699</v>
      </c>
      <c r="W658" s="818"/>
      <c r="X658" s="818"/>
      <c r="Y658" s="819"/>
      <c r="Z658" s="820"/>
      <c r="AA658" s="820"/>
      <c r="AB658" s="821"/>
      <c r="AC658" s="821"/>
      <c r="AD658" s="253"/>
      <c r="AE658" s="253"/>
    </row>
    <row r="659" spans="1:31" ht="14.5">
      <c r="A659" t="s">
        <v>5411</v>
      </c>
      <c r="B659" t="s">
        <v>3969</v>
      </c>
      <c r="C659">
        <v>2901</v>
      </c>
      <c r="D659" s="581"/>
      <c r="E659" s="581"/>
      <c r="F659" s="2">
        <f>(1/S659)*cnst_fish!$C$6</f>
        <v>0.11997502458044032</v>
      </c>
      <c r="G659" s="2">
        <f t="shared" si="98"/>
        <v>1</v>
      </c>
      <c r="H659" s="2">
        <f t="shared" si="98"/>
        <v>0.36449057933102513</v>
      </c>
      <c r="I659" s="2">
        <f t="shared" si="92"/>
        <v>0</v>
      </c>
      <c r="J659" s="389">
        <f t="shared" si="93"/>
        <v>0</v>
      </c>
      <c r="L659" s="721">
        <v>13</v>
      </c>
      <c r="M659" s="581"/>
      <c r="N659" s="585" t="s">
        <v>2321</v>
      </c>
      <c r="O659" s="586" t="s">
        <v>4699</v>
      </c>
      <c r="P659" s="233">
        <f t="shared" si="94"/>
        <v>0</v>
      </c>
      <c r="Q659" s="233">
        <f t="shared" si="95"/>
        <v>13</v>
      </c>
      <c r="R659" s="2">
        <f t="shared" si="96"/>
        <v>3.4</v>
      </c>
      <c r="S659" s="2">
        <f>(1/9)*cnst_fish!$C$7*(1/cnst_fish!$C$8)^(R659-1)</f>
        <v>35.424039418724846</v>
      </c>
      <c r="T659" s="682">
        <f t="shared" si="97"/>
        <v>39.494699399926866</v>
      </c>
      <c r="W659" s="818"/>
      <c r="X659" s="818"/>
      <c r="Y659" s="819"/>
      <c r="Z659" s="820"/>
      <c r="AA659" s="820"/>
      <c r="AB659" s="821"/>
      <c r="AC659" s="821"/>
      <c r="AD659" s="253"/>
      <c r="AE659" s="253"/>
    </row>
    <row r="660" spans="1:31" ht="14.5">
      <c r="A660" t="s">
        <v>8604</v>
      </c>
      <c r="B660" t="s">
        <v>8605</v>
      </c>
      <c r="C660">
        <v>11956</v>
      </c>
      <c r="D660" s="581"/>
      <c r="E660" s="581"/>
      <c r="F660" s="2">
        <f>(1/S660)*cnst_fish!$C$6</f>
        <v>1.5103960722494611E-2</v>
      </c>
      <c r="G660" s="2">
        <f t="shared" si="98"/>
        <v>1</v>
      </c>
      <c r="H660" s="2">
        <f t="shared" si="98"/>
        <v>0.36449057933102513</v>
      </c>
      <c r="I660" s="2">
        <f t="shared" si="92"/>
        <v>0</v>
      </c>
      <c r="J660" s="389">
        <f t="shared" si="93"/>
        <v>0</v>
      </c>
      <c r="L660" s="721">
        <v>1</v>
      </c>
      <c r="M660" s="581"/>
      <c r="N660" s="585" t="s">
        <v>3786</v>
      </c>
      <c r="O660" s="586" t="s">
        <v>4681</v>
      </c>
      <c r="P660" s="233">
        <f t="shared" si="94"/>
        <v>0</v>
      </c>
      <c r="Q660" s="233">
        <f t="shared" si="95"/>
        <v>1</v>
      </c>
      <c r="R660" s="2">
        <f t="shared" si="96"/>
        <v>4.3</v>
      </c>
      <c r="S660" s="2">
        <f>(1/9)*cnst_fish!$C$7*(1/cnst_fish!$C$8)^(R660-1)</f>
        <v>281.38314698279078</v>
      </c>
      <c r="T660" s="682">
        <f t="shared" si="97"/>
        <v>24.132119119469273</v>
      </c>
      <c r="W660" s="818"/>
      <c r="X660" s="818"/>
      <c r="Y660" s="819"/>
      <c r="Z660" s="820"/>
      <c r="AA660" s="820"/>
      <c r="AB660" s="821"/>
      <c r="AC660" s="821"/>
      <c r="AD660" s="253"/>
      <c r="AE660" s="253"/>
    </row>
    <row r="661" spans="1:31" ht="14.5">
      <c r="A661" t="s">
        <v>583</v>
      </c>
      <c r="B661" t="s">
        <v>4033</v>
      </c>
      <c r="C661">
        <v>16086</v>
      </c>
      <c r="D661" s="581"/>
      <c r="E661" s="581"/>
      <c r="F661" s="2">
        <f>(1/S661)*cnst_fish!$C$6</f>
        <v>0.16561163607618423</v>
      </c>
      <c r="G661" s="2">
        <f t="shared" si="98"/>
        <v>1</v>
      </c>
      <c r="H661" s="2">
        <f t="shared" si="98"/>
        <v>0.36449057933102513</v>
      </c>
      <c r="I661" s="2">
        <f t="shared" si="92"/>
        <v>0</v>
      </c>
      <c r="J661" s="389">
        <f t="shared" si="93"/>
        <v>0</v>
      </c>
      <c r="L661" s="721">
        <v>0</v>
      </c>
      <c r="M661" s="581"/>
      <c r="N661" s="585" t="s">
        <v>1738</v>
      </c>
      <c r="O661" s="586" t="s">
        <v>4699</v>
      </c>
      <c r="P661" s="233">
        <f t="shared" si="94"/>
        <v>0</v>
      </c>
      <c r="Q661" s="233">
        <f t="shared" si="95"/>
        <v>0</v>
      </c>
      <c r="R661" s="2">
        <f t="shared" si="96"/>
        <v>3.26</v>
      </c>
      <c r="S661" s="2">
        <f>(1/9)*cnst_fish!$C$7*(1/cnst_fish!$C$8)^(R661-1)</f>
        <v>25.662448006038215</v>
      </c>
      <c r="T661" s="682">
        <f t="shared" si="97"/>
        <v>0</v>
      </c>
      <c r="W661" s="818"/>
      <c r="X661" s="818"/>
      <c r="Y661" s="819"/>
      <c r="Z661" s="820"/>
      <c r="AA661" s="820"/>
      <c r="AB661" s="821"/>
      <c r="AC661" s="821"/>
      <c r="AD661" s="253"/>
      <c r="AE661" s="253"/>
    </row>
    <row r="662" spans="1:31" ht="14.5">
      <c r="A662" t="s">
        <v>4618</v>
      </c>
      <c r="B662" t="s">
        <v>4619</v>
      </c>
      <c r="C662">
        <v>11957</v>
      </c>
      <c r="D662" s="581"/>
      <c r="E662" s="581"/>
      <c r="F662" s="2">
        <f>(1/S662)*cnst_fish!$C$6</f>
        <v>0.13154999853419541</v>
      </c>
      <c r="G662" s="2">
        <f t="shared" si="98"/>
        <v>1</v>
      </c>
      <c r="H662" s="2">
        <f t="shared" si="98"/>
        <v>0.36449057933102513</v>
      </c>
      <c r="I662" s="2">
        <f t="shared" si="92"/>
        <v>0</v>
      </c>
      <c r="J662" s="389">
        <f t="shared" si="93"/>
        <v>0</v>
      </c>
      <c r="L662" s="721">
        <v>3</v>
      </c>
      <c r="M662" s="581"/>
      <c r="N662" s="585" t="s">
        <v>1738</v>
      </c>
      <c r="O662" s="586" t="s">
        <v>4699</v>
      </c>
      <c r="P662" s="233">
        <f t="shared" si="94"/>
        <v>0</v>
      </c>
      <c r="Q662" s="233">
        <f t="shared" si="95"/>
        <v>3</v>
      </c>
      <c r="R662" s="2">
        <f t="shared" si="96"/>
        <v>3.36</v>
      </c>
      <c r="S662" s="2">
        <f>(1/9)*cnst_fish!$C$7*(1/cnst_fish!$C$8)^(R662-1)</f>
        <v>32.307107923648097</v>
      </c>
      <c r="T662" s="682">
        <f t="shared" si="97"/>
        <v>8.312213988423844</v>
      </c>
      <c r="W662" s="818"/>
      <c r="X662" s="818"/>
      <c r="Y662" s="819"/>
      <c r="Z662" s="820"/>
      <c r="AA662" s="820"/>
      <c r="AB662" s="821"/>
      <c r="AC662" s="821"/>
      <c r="AD662" s="253"/>
      <c r="AE662" s="253"/>
    </row>
    <row r="663" spans="1:31" ht="14.5">
      <c r="A663" t="s">
        <v>2949</v>
      </c>
      <c r="B663" t="s">
        <v>5322</v>
      </c>
      <c r="C663">
        <v>2766</v>
      </c>
      <c r="D663" s="581"/>
      <c r="E663" s="581"/>
      <c r="F663" s="2">
        <f>(1/S663)*cnst_fish!$C$6</f>
        <v>1.5103960722494616</v>
      </c>
      <c r="G663" s="2">
        <f t="shared" si="98"/>
        <v>1</v>
      </c>
      <c r="H663" s="2">
        <f t="shared" si="98"/>
        <v>0.36449057933102513</v>
      </c>
      <c r="I663" s="2">
        <f t="shared" si="92"/>
        <v>0</v>
      </c>
      <c r="J663" s="389">
        <f t="shared" si="93"/>
        <v>0</v>
      </c>
      <c r="L663" s="721">
        <v>4300.2299999999996</v>
      </c>
      <c r="M663" s="581"/>
      <c r="N663" s="585" t="s">
        <v>1736</v>
      </c>
      <c r="O663" s="586" t="s">
        <v>4691</v>
      </c>
      <c r="P663" s="233">
        <f t="shared" si="94"/>
        <v>0</v>
      </c>
      <c r="Q663" s="233">
        <f t="shared" si="95"/>
        <v>4300.2299999999996</v>
      </c>
      <c r="R663" s="2">
        <f t="shared" si="96"/>
        <v>2.2999999999999998</v>
      </c>
      <c r="S663" s="2">
        <f>(1/9)*cnst_fish!$C$7*(1/cnst_fish!$C$8)^(R663-1)</f>
        <v>2.8138314698279068</v>
      </c>
      <c r="T663" s="682">
        <f t="shared" si="97"/>
        <v>1037.736626011153</v>
      </c>
      <c r="W663" s="818"/>
      <c r="X663" s="818"/>
      <c r="Y663" s="819"/>
      <c r="Z663" s="820"/>
      <c r="AA663" s="820"/>
      <c r="AB663" s="821"/>
      <c r="AC663" s="821"/>
      <c r="AD663" s="253"/>
      <c r="AE663" s="253"/>
    </row>
    <row r="664" spans="1:31" ht="14.5">
      <c r="A664" t="s">
        <v>5512</v>
      </c>
      <c r="B664" t="s">
        <v>5513</v>
      </c>
      <c r="C664">
        <v>2767</v>
      </c>
      <c r="D664" s="581"/>
      <c r="E664" s="581"/>
      <c r="F664" s="2">
        <f>(1/S664)*cnst_fish!$C$6</f>
        <v>3.0136363636363641</v>
      </c>
      <c r="G664" s="2">
        <f t="shared" si="98"/>
        <v>1</v>
      </c>
      <c r="H664" s="2">
        <f t="shared" si="98"/>
        <v>0.36449057933102513</v>
      </c>
      <c r="I664" s="2">
        <f t="shared" si="92"/>
        <v>0</v>
      </c>
      <c r="J664" s="389">
        <f t="shared" si="93"/>
        <v>0</v>
      </c>
      <c r="L664" s="721">
        <v>7.0000000000000007E-2</v>
      </c>
      <c r="M664" s="581"/>
      <c r="N664" s="585" t="s">
        <v>1736</v>
      </c>
      <c r="O664" s="586" t="s">
        <v>4691</v>
      </c>
      <c r="P664" s="233">
        <f t="shared" si="94"/>
        <v>0</v>
      </c>
      <c r="Q664" s="233">
        <f t="shared" si="95"/>
        <v>7.0000000000000007E-2</v>
      </c>
      <c r="R664" s="2">
        <f t="shared" si="96"/>
        <v>2</v>
      </c>
      <c r="S664" s="2">
        <f>(1/9)*cnst_fish!$C$7*(1/cnst_fish!$C$8)^(R664-1)</f>
        <v>1.4102564102564099</v>
      </c>
      <c r="T664" s="682">
        <f t="shared" si="97"/>
        <v>8.466297016135424E-3</v>
      </c>
      <c r="W664" s="818"/>
      <c r="X664" s="818"/>
      <c r="Y664" s="819"/>
      <c r="Z664" s="820"/>
      <c r="AA664" s="820"/>
      <c r="AB664" s="821"/>
      <c r="AC664" s="821"/>
      <c r="AD664" s="253"/>
      <c r="AE664" s="253"/>
    </row>
    <row r="665" spans="1:31" ht="14.5">
      <c r="A665" t="s">
        <v>3348</v>
      </c>
      <c r="B665" t="s">
        <v>4848</v>
      </c>
      <c r="C665">
        <v>2844</v>
      </c>
      <c r="D665" s="581"/>
      <c r="E665" s="581"/>
      <c r="F665" s="2">
        <f>(1/S665)*cnst_fish!$C$6</f>
        <v>1.256292732912874E-2</v>
      </c>
      <c r="G665" s="2">
        <f t="shared" si="98"/>
        <v>1</v>
      </c>
      <c r="H665" s="2">
        <f t="shared" si="98"/>
        <v>0.36449057933102513</v>
      </c>
      <c r="I665" s="2">
        <f t="shared" si="92"/>
        <v>0</v>
      </c>
      <c r="J665" s="389">
        <f t="shared" si="93"/>
        <v>0</v>
      </c>
      <c r="L665" s="721">
        <v>0</v>
      </c>
      <c r="M665" s="581"/>
      <c r="N665" s="585" t="s">
        <v>3785</v>
      </c>
      <c r="O665" s="586" t="s">
        <v>4681</v>
      </c>
      <c r="P665" s="233">
        <f t="shared" si="94"/>
        <v>0</v>
      </c>
      <c r="Q665" s="233">
        <f t="shared" si="95"/>
        <v>0</v>
      </c>
      <c r="R665" s="2">
        <f t="shared" si="96"/>
        <v>4.38</v>
      </c>
      <c r="S665" s="2">
        <f>(1/9)*cnst_fish!$C$7*(1/cnst_fish!$C$8)^(R665-1)</f>
        <v>338.2969501181334</v>
      </c>
      <c r="T665" s="682">
        <f t="shared" si="97"/>
        <v>0</v>
      </c>
      <c r="W665" s="818"/>
      <c r="X665" s="818"/>
      <c r="Y665" s="819"/>
      <c r="Z665" s="820"/>
      <c r="AA665" s="820"/>
      <c r="AB665" s="821"/>
      <c r="AC665" s="821"/>
      <c r="AD665" s="253"/>
      <c r="AE665" s="253"/>
    </row>
    <row r="666" spans="1:31" ht="14.5">
      <c r="A666" t="s">
        <v>4136</v>
      </c>
      <c r="B666" t="s">
        <v>3517</v>
      </c>
      <c r="C666">
        <v>3620</v>
      </c>
      <c r="D666" s="581"/>
      <c r="E666" s="581"/>
      <c r="F666" s="2">
        <f>(1/S666)*cnst_fish!$C$6</f>
        <v>1.5103960722494616</v>
      </c>
      <c r="G666" s="2">
        <f t="shared" si="98"/>
        <v>1</v>
      </c>
      <c r="H666" s="2">
        <f t="shared" si="98"/>
        <v>0.36449057933102513</v>
      </c>
      <c r="I666" s="2">
        <f t="shared" si="92"/>
        <v>0</v>
      </c>
      <c r="J666" s="389">
        <f t="shared" si="93"/>
        <v>0</v>
      </c>
      <c r="L666" s="721">
        <v>381</v>
      </c>
      <c r="M666" s="581"/>
      <c r="N666" s="585" t="s">
        <v>1736</v>
      </c>
      <c r="O666" s="586" t="s">
        <v>4691</v>
      </c>
      <c r="P666" s="233">
        <f t="shared" si="94"/>
        <v>0</v>
      </c>
      <c r="Q666" s="233">
        <f t="shared" si="95"/>
        <v>381</v>
      </c>
      <c r="R666" s="2">
        <f t="shared" si="96"/>
        <v>2.2999999999999998</v>
      </c>
      <c r="S666" s="2">
        <f>(1/9)*cnst_fish!$C$7*(1/cnst_fish!$C$8)^(R666-1)</f>
        <v>2.8138314698279068</v>
      </c>
      <c r="T666" s="682">
        <f t="shared" si="97"/>
        <v>91.943373845177902</v>
      </c>
      <c r="W666" s="818"/>
      <c r="X666" s="818"/>
      <c r="Y666" s="819"/>
      <c r="Z666" s="820"/>
      <c r="AA666" s="820"/>
      <c r="AB666" s="821"/>
      <c r="AC666" s="821"/>
      <c r="AD666" s="253"/>
      <c r="AE666" s="253"/>
    </row>
    <row r="667" spans="1:31" ht="14.5">
      <c r="A667" t="s">
        <v>5264</v>
      </c>
      <c r="B667" t="s">
        <v>4034</v>
      </c>
      <c r="C667">
        <v>3122</v>
      </c>
      <c r="D667" s="581"/>
      <c r="E667" s="581"/>
      <c r="F667" s="2">
        <f>(1/S667)*cnst_fish!$C$6</f>
        <v>7.7462381998898044E-2</v>
      </c>
      <c r="G667" s="2">
        <f t="shared" si="98"/>
        <v>1</v>
      </c>
      <c r="H667" s="2">
        <f t="shared" si="98"/>
        <v>0.36449057933102513</v>
      </c>
      <c r="I667" s="2">
        <f t="shared" si="92"/>
        <v>0</v>
      </c>
      <c r="J667" s="389">
        <f t="shared" si="93"/>
        <v>0</v>
      </c>
      <c r="L667" s="721">
        <v>13020.529999999999</v>
      </c>
      <c r="M667" s="581"/>
      <c r="N667" s="585" t="s">
        <v>1738</v>
      </c>
      <c r="O667" s="586" t="s">
        <v>4699</v>
      </c>
      <c r="P667" s="233">
        <f t="shared" si="94"/>
        <v>0</v>
      </c>
      <c r="Q667" s="233">
        <f t="shared" si="95"/>
        <v>13020.529999999999</v>
      </c>
      <c r="R667" s="2">
        <f t="shared" si="96"/>
        <v>3.59</v>
      </c>
      <c r="S667" s="2">
        <f>(1/9)*cnst_fish!$C$7*(1/cnst_fish!$C$8)^(R667-1)</f>
        <v>54.865340960731871</v>
      </c>
      <c r="T667" s="682">
        <f t="shared" si="97"/>
        <v>61266.648409604881</v>
      </c>
      <c r="W667" s="818"/>
      <c r="X667" s="818"/>
      <c r="Y667" s="819"/>
      <c r="Z667" s="820"/>
      <c r="AA667" s="820"/>
      <c r="AB667" s="821"/>
      <c r="AC667" s="821"/>
      <c r="AD667" s="253"/>
      <c r="AE667" s="253"/>
    </row>
    <row r="668" spans="1:31" ht="14.5">
      <c r="A668" t="s">
        <v>1354</v>
      </c>
      <c r="B668" t="s">
        <v>4849</v>
      </c>
      <c r="C668">
        <v>2575</v>
      </c>
      <c r="D668" s="581">
        <v>8</v>
      </c>
      <c r="E668" s="581"/>
      <c r="F668" s="2">
        <f>(1/S668)*cnst_fish!$C$6</f>
        <v>7.5699122913220479E-2</v>
      </c>
      <c r="G668" s="2">
        <f t="shared" ref="G668:H687" si="99">G$7</f>
        <v>1</v>
      </c>
      <c r="H668" s="2">
        <f t="shared" si="99"/>
        <v>0.36449057933102513</v>
      </c>
      <c r="I668" s="2">
        <f t="shared" si="92"/>
        <v>38.519926287533636</v>
      </c>
      <c r="J668" s="389">
        <f t="shared" si="93"/>
        <v>0</v>
      </c>
      <c r="L668" s="721">
        <v>208949.94</v>
      </c>
      <c r="M668" s="581"/>
      <c r="N668" s="585" t="s">
        <v>3785</v>
      </c>
      <c r="O668" s="586" t="s">
        <v>4681</v>
      </c>
      <c r="P668" s="233">
        <f t="shared" si="94"/>
        <v>8</v>
      </c>
      <c r="Q668" s="233">
        <f t="shared" si="95"/>
        <v>208949.94</v>
      </c>
      <c r="R668" s="2">
        <f t="shared" si="96"/>
        <v>3.6</v>
      </c>
      <c r="S668" s="2">
        <f>(1/9)*cnst_fish!$C$7*(1/cnst_fish!$C$8)^(R668-1)</f>
        <v>56.143318924211187</v>
      </c>
      <c r="T668" s="682">
        <f t="shared" si="97"/>
        <v>1006092.0358230718</v>
      </c>
      <c r="W668" s="818"/>
      <c r="X668" s="818"/>
      <c r="Y668" s="819"/>
      <c r="Z668" s="820"/>
      <c r="AA668" s="820"/>
      <c r="AB668" s="821"/>
      <c r="AC668" s="821"/>
      <c r="AD668" s="253"/>
      <c r="AE668" s="253"/>
    </row>
    <row r="669" spans="1:31" ht="14.5">
      <c r="A669" t="s">
        <v>6368</v>
      </c>
      <c r="B669" t="s">
        <v>5549</v>
      </c>
      <c r="C669">
        <v>2948</v>
      </c>
      <c r="D669" s="581"/>
      <c r="E669" s="581"/>
      <c r="F669" s="2">
        <f>(1/S669)*cnst_fish!$C$6</f>
        <v>0.17341667202478855</v>
      </c>
      <c r="G669" s="2">
        <f t="shared" si="99"/>
        <v>1</v>
      </c>
      <c r="H669" s="2">
        <f t="shared" si="99"/>
        <v>0.36449057933102513</v>
      </c>
      <c r="I669" s="2">
        <f t="shared" si="92"/>
        <v>0</v>
      </c>
      <c r="J669" s="389">
        <f t="shared" si="93"/>
        <v>0</v>
      </c>
      <c r="L669" s="721"/>
      <c r="M669" s="581"/>
      <c r="N669" s="585" t="s">
        <v>1738</v>
      </c>
      <c r="O669" s="586" t="s">
        <v>4681</v>
      </c>
      <c r="P669" s="233">
        <f t="shared" si="94"/>
        <v>0</v>
      </c>
      <c r="Q669" s="233">
        <f t="shared" si="95"/>
        <v>0</v>
      </c>
      <c r="R669" s="2">
        <f t="shared" si="96"/>
        <v>3.24</v>
      </c>
      <c r="S669" s="2">
        <f>(1/9)*cnst_fish!$C$7*(1/cnst_fish!$C$8)^(R669-1)</f>
        <v>24.507447584927103</v>
      </c>
      <c r="T669" s="682">
        <f t="shared" si="97"/>
        <v>0</v>
      </c>
      <c r="W669" s="818"/>
      <c r="X669" s="818"/>
      <c r="Y669" s="819"/>
      <c r="Z669" s="820"/>
      <c r="AA669" s="820"/>
      <c r="AB669" s="821"/>
      <c r="AC669" s="821"/>
      <c r="AD669" s="253"/>
      <c r="AE669" s="253"/>
    </row>
    <row r="670" spans="1:31" ht="14.5">
      <c r="A670" t="s">
        <v>1530</v>
      </c>
      <c r="B670" t="s">
        <v>6369</v>
      </c>
      <c r="C670">
        <v>17054</v>
      </c>
      <c r="D670" s="581"/>
      <c r="E670" s="581"/>
      <c r="F670" s="2">
        <f>(1/S670)*cnst_fish!$C$6</f>
        <v>0.19014759972289441</v>
      </c>
      <c r="G670" s="2">
        <f t="shared" si="99"/>
        <v>1</v>
      </c>
      <c r="H670" s="2">
        <f t="shared" si="99"/>
        <v>0.36449057933102513</v>
      </c>
      <c r="I670" s="2">
        <f t="shared" si="92"/>
        <v>0</v>
      </c>
      <c r="J670" s="389">
        <f t="shared" si="93"/>
        <v>0</v>
      </c>
      <c r="L670" s="721">
        <v>3437</v>
      </c>
      <c r="M670" s="581"/>
      <c r="N670" s="585" t="s">
        <v>2315</v>
      </c>
      <c r="O670" s="586" t="s">
        <v>4675</v>
      </c>
      <c r="P670" s="233">
        <f t="shared" si="94"/>
        <v>0</v>
      </c>
      <c r="Q670" s="233">
        <f t="shared" si="95"/>
        <v>3437</v>
      </c>
      <c r="R670" s="2">
        <f t="shared" si="96"/>
        <v>3.2</v>
      </c>
      <c r="S670" s="2">
        <f>(1/9)*cnst_fish!$C$7*(1/cnst_fish!$C$8)^(R670-1)</f>
        <v>22.351057842400341</v>
      </c>
      <c r="T670" s="682">
        <f t="shared" si="97"/>
        <v>6588.3246645574018</v>
      </c>
      <c r="W670" s="818"/>
      <c r="X670" s="818"/>
      <c r="Y670" s="819"/>
      <c r="Z670" s="820"/>
      <c r="AA670" s="820"/>
      <c r="AB670" s="821"/>
      <c r="AC670" s="821"/>
      <c r="AD670" s="253"/>
      <c r="AE670" s="253"/>
    </row>
    <row r="671" spans="1:31" ht="14.5">
      <c r="A671" t="s">
        <v>1946</v>
      </c>
      <c r="B671" t="s">
        <v>1947</v>
      </c>
      <c r="C671">
        <v>17055</v>
      </c>
      <c r="D671" s="581"/>
      <c r="E671" s="581"/>
      <c r="F671" s="2">
        <f>(1/S671)*cnst_fish!$C$6</f>
        <v>6.7466914312309487E-2</v>
      </c>
      <c r="G671" s="2">
        <f t="shared" si="99"/>
        <v>1</v>
      </c>
      <c r="H671" s="2">
        <f t="shared" si="99"/>
        <v>0.36449057933102513</v>
      </c>
      <c r="I671" s="2">
        <f t="shared" si="92"/>
        <v>0</v>
      </c>
      <c r="J671" s="389">
        <f t="shared" si="93"/>
        <v>0</v>
      </c>
      <c r="L671" s="721">
        <v>2386</v>
      </c>
      <c r="M671" s="581"/>
      <c r="N671" s="585" t="s">
        <v>2315</v>
      </c>
      <c r="O671" s="586" t="s">
        <v>4675</v>
      </c>
      <c r="P671" s="233">
        <f t="shared" si="94"/>
        <v>0</v>
      </c>
      <c r="Q671" s="233">
        <f t="shared" si="95"/>
        <v>2386</v>
      </c>
      <c r="R671" s="2">
        <f t="shared" si="96"/>
        <v>3.65</v>
      </c>
      <c r="S671" s="2">
        <f>(1/9)*cnst_fish!$C$7*(1/cnst_fish!$C$8)^(R671-1)</f>
        <v>62.993839918725584</v>
      </c>
      <c r="T671" s="682">
        <f t="shared" si="97"/>
        <v>12890.385326621525</v>
      </c>
      <c r="W671" s="818"/>
      <c r="X671" s="818"/>
      <c r="Y671" s="819"/>
      <c r="Z671" s="820"/>
      <c r="AA671" s="820"/>
      <c r="AB671" s="821"/>
      <c r="AC671" s="821"/>
      <c r="AD671" s="253"/>
      <c r="AE671" s="253"/>
    </row>
    <row r="672" spans="1:31" ht="14.5">
      <c r="A672" t="s">
        <v>2597</v>
      </c>
      <c r="B672" t="s">
        <v>3692</v>
      </c>
      <c r="C672">
        <v>3572</v>
      </c>
      <c r="D672" s="581"/>
      <c r="E672" s="581"/>
      <c r="F672" s="2">
        <f>(1/S672)*cnst_fish!$C$6</f>
        <v>0.19014759972289441</v>
      </c>
      <c r="G672" s="2">
        <f t="shared" si="99"/>
        <v>1</v>
      </c>
      <c r="H672" s="2">
        <f t="shared" si="99"/>
        <v>0.36449057933102513</v>
      </c>
      <c r="I672" s="2">
        <f t="shared" si="92"/>
        <v>0</v>
      </c>
      <c r="J672" s="389">
        <f t="shared" si="93"/>
        <v>0</v>
      </c>
      <c r="L672" s="721">
        <v>999</v>
      </c>
      <c r="M672" s="581"/>
      <c r="N672" s="585" t="s">
        <v>2315</v>
      </c>
      <c r="O672" s="586" t="s">
        <v>4675</v>
      </c>
      <c r="P672" s="233">
        <f t="shared" si="94"/>
        <v>0</v>
      </c>
      <c r="Q672" s="233">
        <f t="shared" si="95"/>
        <v>999</v>
      </c>
      <c r="R672" s="2">
        <f t="shared" si="96"/>
        <v>3.2</v>
      </c>
      <c r="S672" s="2">
        <f>(1/9)*cnst_fish!$C$7*(1/cnst_fish!$C$8)^(R672-1)</f>
        <v>22.351057842400341</v>
      </c>
      <c r="T672" s="682">
        <f t="shared" si="97"/>
        <v>1914.9654756743798</v>
      </c>
      <c r="W672" s="818"/>
      <c r="X672" s="818"/>
      <c r="Y672" s="819"/>
      <c r="Z672" s="820"/>
      <c r="AA672" s="820"/>
      <c r="AB672" s="821"/>
      <c r="AC672" s="821"/>
      <c r="AD672" s="253"/>
      <c r="AE672" s="253"/>
    </row>
    <row r="673" spans="1:31" ht="14.5">
      <c r="A673" t="s">
        <v>3422</v>
      </c>
      <c r="B673" t="s">
        <v>5115</v>
      </c>
      <c r="C673">
        <v>2436</v>
      </c>
      <c r="D673" s="581"/>
      <c r="E673" s="581"/>
      <c r="F673" s="2">
        <f>(1/S673)*cnst_fish!$C$6</f>
        <v>0.16184185499703521</v>
      </c>
      <c r="G673" s="2">
        <f t="shared" si="99"/>
        <v>1</v>
      </c>
      <c r="H673" s="2">
        <f t="shared" si="99"/>
        <v>0.36449057933102513</v>
      </c>
      <c r="I673" s="2">
        <f t="shared" si="92"/>
        <v>0</v>
      </c>
      <c r="J673" s="389">
        <f t="shared" si="93"/>
        <v>0</v>
      </c>
      <c r="L673" s="721">
        <v>250</v>
      </c>
      <c r="M673" s="581"/>
      <c r="N673" s="585" t="s">
        <v>1738</v>
      </c>
      <c r="O673" s="586" t="s">
        <v>4681</v>
      </c>
      <c r="P673" s="233">
        <f t="shared" si="94"/>
        <v>0</v>
      </c>
      <c r="Q673" s="233">
        <f t="shared" si="95"/>
        <v>250</v>
      </c>
      <c r="R673" s="2">
        <f t="shared" si="96"/>
        <v>3.27</v>
      </c>
      <c r="S673" s="2">
        <f>(1/9)*cnst_fish!$C$7*(1/cnst_fish!$C$8)^(R673-1)</f>
        <v>26.260203209348141</v>
      </c>
      <c r="T673" s="682">
        <f t="shared" si="97"/>
        <v>563.03509888974986</v>
      </c>
      <c r="W673" s="818"/>
      <c r="X673" s="818"/>
      <c r="Y673" s="819"/>
      <c r="Z673" s="820"/>
      <c r="AA673" s="820"/>
      <c r="AB673" s="821"/>
      <c r="AC673" s="821"/>
      <c r="AD673" s="253"/>
      <c r="AE673" s="253"/>
    </row>
    <row r="674" spans="1:31" ht="14.5">
      <c r="A674" t="s">
        <v>2595</v>
      </c>
      <c r="B674" t="s">
        <v>1648</v>
      </c>
      <c r="C674">
        <v>3014</v>
      </c>
      <c r="D674" s="581"/>
      <c r="E674" s="581"/>
      <c r="F674" s="2">
        <f>(1/S674)*cnst_fish!$C$6</f>
        <v>2.2860769647470379E-2</v>
      </c>
      <c r="G674" s="2">
        <f t="shared" si="99"/>
        <v>1</v>
      </c>
      <c r="H674" s="2">
        <f t="shared" si="99"/>
        <v>0.36449057933102513</v>
      </c>
      <c r="I674" s="2">
        <f t="shared" si="92"/>
        <v>0</v>
      </c>
      <c r="J674" s="389">
        <f t="shared" si="93"/>
        <v>0</v>
      </c>
      <c r="L674" s="721">
        <v>52388</v>
      </c>
      <c r="M674" s="581"/>
      <c r="N674" s="585" t="s">
        <v>1738</v>
      </c>
      <c r="O674" s="586" t="s">
        <v>4681</v>
      </c>
      <c r="P674" s="233">
        <f t="shared" si="94"/>
        <v>0</v>
      </c>
      <c r="Q674" s="233">
        <f t="shared" si="95"/>
        <v>52388</v>
      </c>
      <c r="R674" s="2">
        <f t="shared" si="96"/>
        <v>4.12</v>
      </c>
      <c r="S674" s="2">
        <f>(1/9)*cnst_fish!$C$7*(1/cnst_fish!$C$8)^(R674-1)</f>
        <v>185.90800159128838</v>
      </c>
      <c r="T674" s="682">
        <f t="shared" si="97"/>
        <v>835270.76141579798</v>
      </c>
      <c r="W674" s="818"/>
      <c r="X674" s="818"/>
      <c r="Y674" s="819"/>
      <c r="Z674" s="820"/>
      <c r="AA674" s="820"/>
      <c r="AB674" s="821"/>
      <c r="AC674" s="821"/>
      <c r="AD674" s="253"/>
      <c r="AE674" s="253"/>
    </row>
    <row r="675" spans="1:31" ht="14.5">
      <c r="A675" t="s">
        <v>4384</v>
      </c>
      <c r="B675" t="s">
        <v>1649</v>
      </c>
      <c r="C675">
        <v>2229</v>
      </c>
      <c r="D675" s="581"/>
      <c r="E675" s="581"/>
      <c r="F675" s="2">
        <f>(1/S675)*cnst_fish!$C$6</f>
        <v>1.7341667202478851E-2</v>
      </c>
      <c r="G675" s="2">
        <f t="shared" si="99"/>
        <v>1</v>
      </c>
      <c r="H675" s="2">
        <f t="shared" si="99"/>
        <v>0.36449057933102513</v>
      </c>
      <c r="I675" s="2">
        <f t="shared" si="92"/>
        <v>0</v>
      </c>
      <c r="J675" s="389">
        <f t="shared" si="93"/>
        <v>0</v>
      </c>
      <c r="L675" s="721">
        <v>281</v>
      </c>
      <c r="M675" s="581">
        <v>29</v>
      </c>
      <c r="N675" s="585" t="s">
        <v>1738</v>
      </c>
      <c r="O675" s="586" t="s">
        <v>4681</v>
      </c>
      <c r="P675" s="233">
        <f t="shared" si="94"/>
        <v>0</v>
      </c>
      <c r="Q675" s="233">
        <f t="shared" si="95"/>
        <v>310</v>
      </c>
      <c r="R675" s="2">
        <f t="shared" si="96"/>
        <v>4.24</v>
      </c>
      <c r="S675" s="2">
        <f>(1/9)*cnst_fish!$C$7*(1/cnst_fish!$C$8)^(R675-1)</f>
        <v>245.0744758492711</v>
      </c>
      <c r="T675" s="682">
        <f t="shared" si="97"/>
        <v>6515.6411014776304</v>
      </c>
      <c r="W675" s="818"/>
      <c r="X675" s="818"/>
      <c r="Y675" s="819"/>
      <c r="Z675" s="820"/>
      <c r="AA675" s="820"/>
      <c r="AB675" s="821"/>
      <c r="AC675" s="821"/>
      <c r="AD675" s="253"/>
      <c r="AE675" s="253"/>
    </row>
    <row r="676" spans="1:31" ht="14.5">
      <c r="A676" t="s">
        <v>3700</v>
      </c>
      <c r="B676" t="s">
        <v>3087</v>
      </c>
      <c r="C676">
        <v>2514</v>
      </c>
      <c r="D676" s="581"/>
      <c r="E676" s="581"/>
      <c r="F676" s="2">
        <f>(1/S676)*cnst_fish!$C$6</f>
        <v>0.10692785320993656</v>
      </c>
      <c r="G676" s="2">
        <f t="shared" si="99"/>
        <v>1</v>
      </c>
      <c r="H676" s="2">
        <f t="shared" si="99"/>
        <v>0.36449057933102513</v>
      </c>
      <c r="I676" s="2">
        <f t="shared" si="92"/>
        <v>0</v>
      </c>
      <c r="J676" s="389">
        <f t="shared" si="93"/>
        <v>0</v>
      </c>
      <c r="L676" s="721"/>
      <c r="M676" s="581">
        <v>4066</v>
      </c>
      <c r="N676" s="585" t="s">
        <v>1738</v>
      </c>
      <c r="O676" s="586" t="s">
        <v>4685</v>
      </c>
      <c r="P676" s="233">
        <f t="shared" si="94"/>
        <v>0</v>
      </c>
      <c r="Q676" s="233">
        <f t="shared" si="95"/>
        <v>4066</v>
      </c>
      <c r="R676" s="2">
        <f t="shared" si="96"/>
        <v>3.45</v>
      </c>
      <c r="S676" s="2">
        <f>(1/9)*cnst_fish!$C$7*(1/cnst_fish!$C$8)^(R676-1)</f>
        <v>39.746425953729492</v>
      </c>
      <c r="T676" s="682">
        <f t="shared" si="97"/>
        <v>13859.987375321472</v>
      </c>
      <c r="W676" s="818"/>
      <c r="X676" s="818"/>
      <c r="Y676" s="819"/>
      <c r="Z676" s="820"/>
      <c r="AA676" s="820"/>
      <c r="AB676" s="821"/>
      <c r="AC676" s="821"/>
      <c r="AD676" s="253"/>
      <c r="AE676" s="253"/>
    </row>
    <row r="677" spans="1:31" ht="14.5">
      <c r="A677" t="s">
        <v>4922</v>
      </c>
      <c r="B677" t="s">
        <v>5116</v>
      </c>
      <c r="C677">
        <v>2267</v>
      </c>
      <c r="D677" s="581"/>
      <c r="E677" s="581"/>
      <c r="F677" s="2">
        <f>(1/S677)*cnst_fish!$C$6</f>
        <v>1.3461419163458574E-2</v>
      </c>
      <c r="G677" s="2">
        <f t="shared" si="99"/>
        <v>1</v>
      </c>
      <c r="H677" s="2">
        <f t="shared" si="99"/>
        <v>0.36449057933102513</v>
      </c>
      <c r="I677" s="2">
        <f t="shared" si="92"/>
        <v>0</v>
      </c>
      <c r="J677" s="389">
        <f t="shared" si="93"/>
        <v>0</v>
      </c>
      <c r="L677" s="721">
        <v>12700</v>
      </c>
      <c r="M677" s="581"/>
      <c r="N677" s="585" t="s">
        <v>1738</v>
      </c>
      <c r="O677" s="586" t="s">
        <v>4681</v>
      </c>
      <c r="P677" s="233">
        <f t="shared" si="94"/>
        <v>0</v>
      </c>
      <c r="Q677" s="233">
        <f t="shared" si="95"/>
        <v>12700</v>
      </c>
      <c r="R677" s="2">
        <f t="shared" si="96"/>
        <v>4.3499999999999996</v>
      </c>
      <c r="S677" s="2">
        <f>(1/9)*cnst_fish!$C$7*(1/cnst_fish!$C$8)^(R677-1)</f>
        <v>315.71708364425297</v>
      </c>
      <c r="T677" s="682">
        <f t="shared" si="97"/>
        <v>343873.87401691353</v>
      </c>
      <c r="W677" s="818"/>
      <c r="X677" s="818"/>
      <c r="Y677" s="819"/>
      <c r="Z677" s="820"/>
      <c r="AA677" s="820"/>
      <c r="AB677" s="821"/>
      <c r="AC677" s="821"/>
      <c r="AD677" s="253"/>
      <c r="AE677" s="253"/>
    </row>
    <row r="678" spans="1:31" ht="14.5">
      <c r="A678" t="s">
        <v>4266</v>
      </c>
      <c r="B678" t="s">
        <v>8606</v>
      </c>
      <c r="C678">
        <v>18731</v>
      </c>
      <c r="D678" s="581"/>
      <c r="E678" s="581"/>
      <c r="F678" s="2">
        <f>(1/S678)*cnst_fish!$C$6</f>
        <v>1.9014759972289452</v>
      </c>
      <c r="G678" s="2">
        <f t="shared" si="99"/>
        <v>1</v>
      </c>
      <c r="H678" s="2">
        <f t="shared" si="99"/>
        <v>0.36449057933102513</v>
      </c>
      <c r="I678" s="2">
        <f t="shared" si="92"/>
        <v>0</v>
      </c>
      <c r="J678" s="389">
        <f t="shared" si="93"/>
        <v>0</v>
      </c>
      <c r="L678" s="721"/>
      <c r="M678" s="581"/>
      <c r="N678" s="585" t="s">
        <v>1738</v>
      </c>
      <c r="O678" s="586" t="s">
        <v>4681</v>
      </c>
      <c r="P678" s="233">
        <f t="shared" si="94"/>
        <v>0</v>
      </c>
      <c r="Q678" s="233">
        <f t="shared" si="95"/>
        <v>0</v>
      </c>
      <c r="R678" s="2">
        <f t="shared" si="96"/>
        <v>2.2000000000000002</v>
      </c>
      <c r="S678" s="2">
        <f>(1/9)*cnst_fish!$C$7*(1/cnst_fish!$C$8)^(R678-1)</f>
        <v>2.2351057842400328</v>
      </c>
      <c r="T678" s="682">
        <f t="shared" si="97"/>
        <v>0</v>
      </c>
      <c r="W678" s="818"/>
      <c r="X678" s="818"/>
      <c r="Y678" s="819"/>
      <c r="Z678" s="820"/>
      <c r="AA678" s="820"/>
      <c r="AB678" s="821"/>
      <c r="AC678" s="821"/>
      <c r="AD678" s="253"/>
      <c r="AE678" s="253"/>
    </row>
    <row r="679" spans="1:31" ht="14.5">
      <c r="A679" s="403" t="s">
        <v>8950</v>
      </c>
      <c r="B679" s="403" t="s">
        <v>8951</v>
      </c>
      <c r="C679" s="403">
        <v>12003</v>
      </c>
      <c r="D679" s="581"/>
      <c r="E679" s="581"/>
      <c r="F679" s="869">
        <f>(1/S679)*cnst_fish!$C$6</f>
        <v>3.0136363636363642E-2</v>
      </c>
      <c r="G679" s="869">
        <f t="shared" si="99"/>
        <v>1</v>
      </c>
      <c r="H679" s="869">
        <f t="shared" si="99"/>
        <v>0.36449057933102513</v>
      </c>
      <c r="I679" s="869">
        <f t="shared" si="92"/>
        <v>0</v>
      </c>
      <c r="J679" s="389">
        <f t="shared" si="93"/>
        <v>0</v>
      </c>
      <c r="L679" s="721">
        <v>0</v>
      </c>
      <c r="M679" s="581"/>
      <c r="N679" s="877" t="s">
        <v>1738</v>
      </c>
      <c r="O679" s="881" t="s">
        <v>4681</v>
      </c>
      <c r="P679" s="871">
        <f t="shared" si="94"/>
        <v>0</v>
      </c>
      <c r="Q679" s="871">
        <f t="shared" si="95"/>
        <v>0</v>
      </c>
      <c r="R679" s="869">
        <f t="shared" si="96"/>
        <v>4</v>
      </c>
      <c r="S679" s="869">
        <f>(1/9)*cnst_fish!$C$7*(1/cnst_fish!$C$8)^(R679-1)</f>
        <v>141.02564102564099</v>
      </c>
      <c r="T679" s="682">
        <f t="shared" si="97"/>
        <v>0</v>
      </c>
      <c r="W679" s="818"/>
      <c r="X679" s="818"/>
      <c r="Y679" s="819"/>
      <c r="Z679" s="820"/>
      <c r="AA679" s="820"/>
      <c r="AB679" s="821"/>
      <c r="AC679" s="821"/>
      <c r="AD679" s="253"/>
      <c r="AE679" s="253"/>
    </row>
    <row r="680" spans="1:31" ht="14.5">
      <c r="A680" t="s">
        <v>132</v>
      </c>
      <c r="B680" t="s">
        <v>5117</v>
      </c>
      <c r="C680">
        <v>12004</v>
      </c>
      <c r="D680" s="581"/>
      <c r="E680" s="581"/>
      <c r="F680" s="2">
        <f>(1/S680)*cnst_fish!$C$6</f>
        <v>1.7341667202478851E-2</v>
      </c>
      <c r="G680" s="2">
        <f t="shared" si="99"/>
        <v>1</v>
      </c>
      <c r="H680" s="2">
        <f t="shared" si="99"/>
        <v>0.36449057933102513</v>
      </c>
      <c r="I680" s="2">
        <f t="shared" si="92"/>
        <v>0</v>
      </c>
      <c r="J680" s="389">
        <f t="shared" si="93"/>
        <v>0</v>
      </c>
      <c r="L680" s="721">
        <v>4333</v>
      </c>
      <c r="M680" s="581">
        <v>320</v>
      </c>
      <c r="N680" s="585" t="s">
        <v>1738</v>
      </c>
      <c r="O680" s="586" t="s">
        <v>4681</v>
      </c>
      <c r="P680" s="233">
        <f t="shared" si="94"/>
        <v>0</v>
      </c>
      <c r="Q680" s="233">
        <f t="shared" si="95"/>
        <v>4653</v>
      </c>
      <c r="R680" s="2">
        <f t="shared" si="96"/>
        <v>4.24</v>
      </c>
      <c r="S680" s="2">
        <f>(1/9)*cnst_fish!$C$7*(1/cnst_fish!$C$8)^(R680-1)</f>
        <v>245.0744758492711</v>
      </c>
      <c r="T680" s="682">
        <f t="shared" si="97"/>
        <v>97797.67111346907</v>
      </c>
      <c r="W680" s="818"/>
      <c r="X680" s="818"/>
      <c r="Y680" s="819"/>
      <c r="Z680" s="820"/>
      <c r="AA680" s="820"/>
      <c r="AB680" s="821"/>
      <c r="AC680" s="821"/>
      <c r="AD680" s="253"/>
      <c r="AE680" s="253"/>
    </row>
    <row r="681" spans="1:31" ht="14.5">
      <c r="A681" t="s">
        <v>2457</v>
      </c>
      <c r="B681" t="s">
        <v>5118</v>
      </c>
      <c r="C681">
        <v>2074</v>
      </c>
      <c r="D681" s="581"/>
      <c r="E681" s="581"/>
      <c r="F681" s="2">
        <f>(1/S681)*cnst_fish!$C$6</f>
        <v>3.3813556145554591E-2</v>
      </c>
      <c r="G681" s="2">
        <f t="shared" si="99"/>
        <v>1</v>
      </c>
      <c r="H681" s="2">
        <f t="shared" si="99"/>
        <v>0.36449057933102513</v>
      </c>
      <c r="I681" s="2">
        <f t="shared" si="92"/>
        <v>0</v>
      </c>
      <c r="J681" s="389">
        <f t="shared" si="93"/>
        <v>0</v>
      </c>
      <c r="L681" s="721">
        <v>2419</v>
      </c>
      <c r="M681" s="581"/>
      <c r="N681" s="585" t="s">
        <v>1738</v>
      </c>
      <c r="O681" s="586" t="s">
        <v>4681</v>
      </c>
      <c r="P681" s="233">
        <f t="shared" si="94"/>
        <v>0</v>
      </c>
      <c r="Q681" s="233">
        <f t="shared" si="95"/>
        <v>2419</v>
      </c>
      <c r="R681" s="2">
        <f t="shared" si="96"/>
        <v>3.95</v>
      </c>
      <c r="S681" s="2">
        <f>(1/9)*cnst_fish!$C$7*(1/cnst_fish!$C$8)^(R681-1)</f>
        <v>125.68923486501552</v>
      </c>
      <c r="T681" s="682">
        <f t="shared" si="97"/>
        <v>26075.420982234242</v>
      </c>
      <c r="W681" s="818"/>
      <c r="X681" s="818"/>
      <c r="Y681" s="819"/>
      <c r="Z681" s="820"/>
      <c r="AA681" s="820"/>
      <c r="AB681" s="821"/>
      <c r="AC681" s="821"/>
      <c r="AD681" s="253"/>
      <c r="AE681" s="253"/>
    </row>
    <row r="682" spans="1:31" ht="14.5">
      <c r="A682" t="s">
        <v>4854</v>
      </c>
      <c r="B682" t="s">
        <v>3965</v>
      </c>
      <c r="C682">
        <v>3132</v>
      </c>
      <c r="D682" s="581"/>
      <c r="E682" s="581"/>
      <c r="F682" s="2">
        <f>(1/S682)*cnst_fish!$C$6</f>
        <v>0.10692785320993656</v>
      </c>
      <c r="G682" s="2">
        <f t="shared" si="99"/>
        <v>1</v>
      </c>
      <c r="H682" s="2">
        <f t="shared" si="99"/>
        <v>0.36449057933102513</v>
      </c>
      <c r="I682" s="2">
        <f t="shared" si="92"/>
        <v>0</v>
      </c>
      <c r="J682" s="389">
        <f t="shared" si="93"/>
        <v>0</v>
      </c>
      <c r="L682" s="721">
        <v>1</v>
      </c>
      <c r="M682" s="581"/>
      <c r="N682" s="585" t="s">
        <v>1738</v>
      </c>
      <c r="O682" s="586" t="s">
        <v>4681</v>
      </c>
      <c r="P682" s="233">
        <f t="shared" si="94"/>
        <v>0</v>
      </c>
      <c r="Q682" s="233">
        <f t="shared" si="95"/>
        <v>1</v>
      </c>
      <c r="R682" s="2">
        <f t="shared" si="96"/>
        <v>3.45</v>
      </c>
      <c r="S682" s="2">
        <f>(1/9)*cnst_fish!$C$7*(1/cnst_fish!$C$8)^(R682-1)</f>
        <v>39.746425953729492</v>
      </c>
      <c r="T682" s="682">
        <f t="shared" si="97"/>
        <v>3.4087524287558955</v>
      </c>
      <c r="W682" s="818"/>
      <c r="X682" s="818"/>
      <c r="Y682" s="819"/>
      <c r="Z682" s="820"/>
      <c r="AA682" s="820"/>
      <c r="AB682" s="821"/>
      <c r="AC682" s="821"/>
      <c r="AD682" s="253"/>
      <c r="AE682" s="253"/>
    </row>
    <row r="683" spans="1:31" ht="14.5">
      <c r="A683" t="s">
        <v>4664</v>
      </c>
      <c r="B683" t="s">
        <v>4509</v>
      </c>
      <c r="C683">
        <v>2331</v>
      </c>
      <c r="D683" s="581"/>
      <c r="E683" s="581"/>
      <c r="F683" s="2">
        <f>(1/S683)*cnst_fish!$C$6</f>
        <v>7.3976000504507963E-2</v>
      </c>
      <c r="G683" s="2">
        <f t="shared" si="99"/>
        <v>1</v>
      </c>
      <c r="H683" s="2">
        <f t="shared" si="99"/>
        <v>0.36449057933102513</v>
      </c>
      <c r="I683" s="2">
        <f t="shared" si="92"/>
        <v>0</v>
      </c>
      <c r="J683" s="389">
        <f t="shared" si="93"/>
        <v>0</v>
      </c>
      <c r="L683" s="721">
        <v>2083</v>
      </c>
      <c r="M683" s="581"/>
      <c r="N683" s="585" t="s">
        <v>1738</v>
      </c>
      <c r="O683" s="586" t="s">
        <v>4681</v>
      </c>
      <c r="P683" s="233">
        <f t="shared" si="94"/>
        <v>0</v>
      </c>
      <c r="Q683" s="233">
        <f t="shared" si="95"/>
        <v>2083</v>
      </c>
      <c r="R683" s="2">
        <f t="shared" si="96"/>
        <v>3.61</v>
      </c>
      <c r="S683" s="2">
        <f>(1/9)*cnst_fish!$C$7*(1/cnst_fish!$C$8)^(R683-1)</f>
        <v>57.451064818528707</v>
      </c>
      <c r="T683" s="682">
        <f t="shared" si="97"/>
        <v>10263.245803620581</v>
      </c>
      <c r="W683" s="818"/>
      <c r="X683" s="818"/>
      <c r="Y683" s="819"/>
      <c r="Z683" s="820"/>
      <c r="AA683" s="820"/>
      <c r="AB683" s="821"/>
      <c r="AC683" s="821"/>
      <c r="AD683" s="253"/>
      <c r="AE683" s="253"/>
    </row>
    <row r="684" spans="1:31" ht="14.5">
      <c r="A684" t="s">
        <v>1991</v>
      </c>
      <c r="B684" t="s">
        <v>1650</v>
      </c>
      <c r="C684">
        <v>12019</v>
      </c>
      <c r="D684" s="581"/>
      <c r="E684" s="581"/>
      <c r="F684" s="2">
        <f>(1/S684)*cnst_fish!$C$6</f>
        <v>8.8938714421809756E-2</v>
      </c>
      <c r="G684" s="2">
        <f t="shared" si="99"/>
        <v>1</v>
      </c>
      <c r="H684" s="2">
        <f t="shared" si="99"/>
        <v>0.36449057933102513</v>
      </c>
      <c r="I684" s="2">
        <f t="shared" si="92"/>
        <v>0</v>
      </c>
      <c r="J684" s="389">
        <f t="shared" si="93"/>
        <v>0</v>
      </c>
      <c r="L684" s="721"/>
      <c r="M684" s="581"/>
      <c r="N684" s="585" t="s">
        <v>1738</v>
      </c>
      <c r="O684" s="586" t="s">
        <v>4681</v>
      </c>
      <c r="P684" s="233">
        <f t="shared" si="94"/>
        <v>0</v>
      </c>
      <c r="Q684" s="233">
        <f t="shared" si="95"/>
        <v>0</v>
      </c>
      <c r="R684" s="2">
        <f t="shared" si="96"/>
        <v>3.53</v>
      </c>
      <c r="S684" s="2">
        <f>(1/9)*cnst_fish!$C$7*(1/cnst_fish!$C$8)^(R684-1)</f>
        <v>47.785714327323419</v>
      </c>
      <c r="T684" s="682">
        <f t="shared" si="97"/>
        <v>0</v>
      </c>
      <c r="W684" s="818"/>
      <c r="X684" s="818"/>
      <c r="Y684" s="819"/>
      <c r="Z684" s="820"/>
      <c r="AA684" s="820"/>
      <c r="AB684" s="821"/>
      <c r="AC684" s="821"/>
      <c r="AD684" s="253"/>
      <c r="AE684" s="253"/>
    </row>
    <row r="685" spans="1:31" ht="14.5">
      <c r="A685" t="s">
        <v>6296</v>
      </c>
      <c r="B685" t="s">
        <v>6295</v>
      </c>
      <c r="C685">
        <v>12023</v>
      </c>
      <c r="D685" s="581"/>
      <c r="E685" s="581"/>
      <c r="F685" s="2">
        <f>(1/S685)*cnst_fish!$C$6</f>
        <v>0.15103960722494611</v>
      </c>
      <c r="G685" s="2">
        <f t="shared" si="99"/>
        <v>1</v>
      </c>
      <c r="H685" s="2">
        <f t="shared" si="99"/>
        <v>0.36449057933102513</v>
      </c>
      <c r="I685" s="2">
        <f t="shared" si="92"/>
        <v>0</v>
      </c>
      <c r="J685" s="389">
        <f t="shared" si="93"/>
        <v>0</v>
      </c>
      <c r="L685" s="721">
        <v>3066</v>
      </c>
      <c r="M685" s="581"/>
      <c r="N685" s="585" t="s">
        <v>103</v>
      </c>
      <c r="O685" s="586" t="s">
        <v>4699</v>
      </c>
      <c r="P685" s="233">
        <f t="shared" si="94"/>
        <v>0</v>
      </c>
      <c r="Q685" s="233">
        <f t="shared" si="95"/>
        <v>3066</v>
      </c>
      <c r="R685" s="2">
        <f t="shared" si="96"/>
        <v>3.3</v>
      </c>
      <c r="S685" s="2">
        <f>(1/9)*cnst_fish!$C$7*(1/cnst_fish!$C$8)^(R685-1)</f>
        <v>28.138314698279075</v>
      </c>
      <c r="T685" s="682">
        <f t="shared" si="97"/>
        <v>7398.9077220292793</v>
      </c>
      <c r="W685" s="818"/>
      <c r="X685" s="818"/>
      <c r="Y685" s="819"/>
      <c r="Z685" s="820"/>
      <c r="AA685" s="820"/>
      <c r="AB685" s="821"/>
      <c r="AC685" s="821"/>
      <c r="AD685" s="253"/>
      <c r="AE685" s="253"/>
    </row>
    <row r="686" spans="1:31" ht="14.5">
      <c r="A686" t="s">
        <v>8607</v>
      </c>
      <c r="B686" t="s">
        <v>6372</v>
      </c>
      <c r="C686">
        <v>12025</v>
      </c>
      <c r="D686" s="581"/>
      <c r="E686" s="581"/>
      <c r="F686" s="2">
        <f>(1/S686)*cnst_fish!$C$6</f>
        <v>0.23938164528281752</v>
      </c>
      <c r="G686" s="2">
        <f t="shared" si="99"/>
        <v>1</v>
      </c>
      <c r="H686" s="2">
        <f t="shared" si="99"/>
        <v>0.36449057933102513</v>
      </c>
      <c r="I686" s="2">
        <f t="shared" si="92"/>
        <v>0</v>
      </c>
      <c r="J686" s="389">
        <f t="shared" si="93"/>
        <v>0</v>
      </c>
      <c r="L686" s="721"/>
      <c r="M686" s="581">
        <v>156717</v>
      </c>
      <c r="N686" s="585" t="s">
        <v>2321</v>
      </c>
      <c r="O686" s="586" t="s">
        <v>4699</v>
      </c>
      <c r="P686" s="233">
        <f t="shared" si="94"/>
        <v>0</v>
      </c>
      <c r="Q686" s="233">
        <f t="shared" si="95"/>
        <v>156717</v>
      </c>
      <c r="R686" s="2">
        <f t="shared" si="96"/>
        <v>3.1</v>
      </c>
      <c r="S686" s="2">
        <f>(1/9)*cnst_fish!$C$7*(1/cnst_fish!$C$8)^(R686-1)</f>
        <v>17.754076320174157</v>
      </c>
      <c r="T686" s="682">
        <f t="shared" si="97"/>
        <v>238622.59804227517</v>
      </c>
      <c r="W686" s="818"/>
      <c r="X686" s="818"/>
      <c r="Y686" s="819"/>
      <c r="Z686" s="820"/>
      <c r="AA686" s="820"/>
      <c r="AB686" s="821"/>
      <c r="AC686" s="821"/>
      <c r="AD686" s="253"/>
      <c r="AE686" s="253"/>
    </row>
    <row r="687" spans="1:31" ht="14.5">
      <c r="A687" t="s">
        <v>879</v>
      </c>
      <c r="B687" t="s">
        <v>3970</v>
      </c>
      <c r="C687">
        <v>2105</v>
      </c>
      <c r="D687" s="581"/>
      <c r="E687" s="581"/>
      <c r="F687" s="2">
        <f>(1/S687)*cnst_fish!$C$6</f>
        <v>0.15815788461163599</v>
      </c>
      <c r="G687" s="2">
        <f t="shared" si="99"/>
        <v>1</v>
      </c>
      <c r="H687" s="2">
        <f t="shared" si="99"/>
        <v>0.36449057933102513</v>
      </c>
      <c r="I687" s="2">
        <f t="shared" si="92"/>
        <v>0</v>
      </c>
      <c r="J687" s="389">
        <f t="shared" si="93"/>
        <v>0</v>
      </c>
      <c r="L687" s="721">
        <v>257459</v>
      </c>
      <c r="M687" s="581"/>
      <c r="N687" s="585" t="s">
        <v>103</v>
      </c>
      <c r="O687" s="586" t="s">
        <v>4699</v>
      </c>
      <c r="P687" s="233">
        <f t="shared" si="94"/>
        <v>0</v>
      </c>
      <c r="Q687" s="233">
        <f t="shared" si="95"/>
        <v>257459</v>
      </c>
      <c r="R687" s="2">
        <f t="shared" si="96"/>
        <v>3.28</v>
      </c>
      <c r="S687" s="2">
        <f>(1/9)*cnst_fish!$C$7*(1/cnst_fish!$C$8)^(R687-1)</f>
        <v>26.871881919994518</v>
      </c>
      <c r="T687" s="682">
        <f t="shared" si="97"/>
        <v>593339.87865618116</v>
      </c>
      <c r="W687" s="818"/>
      <c r="X687" s="818"/>
      <c r="Y687" s="819"/>
      <c r="Z687" s="820"/>
      <c r="AA687" s="820"/>
      <c r="AB687" s="821"/>
      <c r="AC687" s="821"/>
      <c r="AD687" s="253"/>
      <c r="AE687" s="253"/>
    </row>
    <row r="688" spans="1:31" ht="14.5">
      <c r="A688" t="s">
        <v>1377</v>
      </c>
      <c r="B688" t="s">
        <v>3971</v>
      </c>
      <c r="C688">
        <v>2916</v>
      </c>
      <c r="D688" s="581"/>
      <c r="E688" s="581"/>
      <c r="F688" s="2">
        <f>(1/S688)*cnst_fish!$C$6</f>
        <v>0.9313026689802324</v>
      </c>
      <c r="G688" s="2">
        <f t="shared" ref="G688:H707" si="100">G$7</f>
        <v>1</v>
      </c>
      <c r="H688" s="2">
        <f t="shared" si="100"/>
        <v>0.36449057933102513</v>
      </c>
      <c r="I688" s="2">
        <f t="shared" si="92"/>
        <v>0</v>
      </c>
      <c r="J688" s="389">
        <f t="shared" si="93"/>
        <v>0</v>
      </c>
      <c r="L688" s="721">
        <v>8745</v>
      </c>
      <c r="M688" s="581"/>
      <c r="N688" s="585" t="s">
        <v>103</v>
      </c>
      <c r="O688" s="586" t="s">
        <v>4699</v>
      </c>
      <c r="P688" s="233">
        <f t="shared" si="94"/>
        <v>0</v>
      </c>
      <c r="Q688" s="233">
        <f t="shared" si="95"/>
        <v>8745</v>
      </c>
      <c r="R688" s="2">
        <f t="shared" si="96"/>
        <v>2.5099999999999998</v>
      </c>
      <c r="S688" s="2">
        <f>(1/9)*cnst_fish!$C$7*(1/cnst_fish!$C$8)^(R688-1)</f>
        <v>4.5635002900332173</v>
      </c>
      <c r="T688" s="682">
        <f t="shared" si="97"/>
        <v>3422.5931294066454</v>
      </c>
      <c r="W688" s="818"/>
      <c r="X688" s="818"/>
      <c r="Y688" s="819"/>
      <c r="Z688" s="820"/>
      <c r="AA688" s="820"/>
      <c r="AB688" s="821"/>
      <c r="AC688" s="821"/>
      <c r="AD688" s="253"/>
      <c r="AE688" s="253"/>
    </row>
    <row r="689" spans="1:31" ht="14.5">
      <c r="A689" t="s">
        <v>1221</v>
      </c>
      <c r="B689" t="s">
        <v>3972</v>
      </c>
      <c r="C689">
        <v>2919</v>
      </c>
      <c r="D689" s="581"/>
      <c r="E689" s="581"/>
      <c r="F689" s="2">
        <f>(1/S689)*cnst_fish!$C$6</f>
        <v>0.43560298545661363</v>
      </c>
      <c r="G689" s="2">
        <f t="shared" si="100"/>
        <v>1</v>
      </c>
      <c r="H689" s="2">
        <f t="shared" si="100"/>
        <v>0.36449057933102513</v>
      </c>
      <c r="I689" s="2">
        <f t="shared" si="92"/>
        <v>0</v>
      </c>
      <c r="J689" s="389">
        <f t="shared" si="93"/>
        <v>0</v>
      </c>
      <c r="L689" s="721">
        <v>253233</v>
      </c>
      <c r="M689" s="581"/>
      <c r="N689" s="585" t="s">
        <v>103</v>
      </c>
      <c r="O689" s="586" t="s">
        <v>4699</v>
      </c>
      <c r="P689" s="233">
        <f t="shared" si="94"/>
        <v>0</v>
      </c>
      <c r="Q689" s="233">
        <f t="shared" si="95"/>
        <v>253233</v>
      </c>
      <c r="R689" s="2">
        <f t="shared" si="96"/>
        <v>2.84</v>
      </c>
      <c r="S689" s="2">
        <f>(1/9)*cnst_fish!$C$7*(1/cnst_fish!$C$8)^(R689-1)</f>
        <v>9.7565906155234625</v>
      </c>
      <c r="T689" s="682">
        <f t="shared" si="97"/>
        <v>211892.58558221415</v>
      </c>
      <c r="W689" s="818"/>
      <c r="X689" s="818"/>
      <c r="Y689" s="819"/>
      <c r="Z689" s="820"/>
      <c r="AA689" s="820"/>
      <c r="AB689" s="821"/>
      <c r="AC689" s="821"/>
      <c r="AD689" s="253"/>
      <c r="AE689" s="253"/>
    </row>
    <row r="690" spans="1:31" ht="14.5">
      <c r="A690" t="s">
        <v>4046</v>
      </c>
      <c r="B690" t="s">
        <v>3981</v>
      </c>
      <c r="C690">
        <v>2106</v>
      </c>
      <c r="D690" s="581"/>
      <c r="E690" s="581"/>
      <c r="F690" s="2">
        <f>(1/S690)*cnst_fish!$C$6</f>
        <v>0.23393265378401026</v>
      </c>
      <c r="G690" s="2">
        <f t="shared" si="100"/>
        <v>1</v>
      </c>
      <c r="H690" s="2">
        <f t="shared" si="100"/>
        <v>0.36449057933102513</v>
      </c>
      <c r="I690" s="2">
        <f t="shared" si="92"/>
        <v>0</v>
      </c>
      <c r="J690" s="389">
        <f t="shared" si="93"/>
        <v>0</v>
      </c>
      <c r="L690" s="721">
        <v>479241.55</v>
      </c>
      <c r="M690" s="581"/>
      <c r="N690" s="585" t="s">
        <v>103</v>
      </c>
      <c r="O690" s="586" t="s">
        <v>4699</v>
      </c>
      <c r="P690" s="233">
        <f t="shared" si="94"/>
        <v>0</v>
      </c>
      <c r="Q690" s="233">
        <f t="shared" si="95"/>
        <v>479241.55</v>
      </c>
      <c r="R690" s="2">
        <f t="shared" si="96"/>
        <v>3.11</v>
      </c>
      <c r="S690" s="2">
        <f>(1/9)*cnst_fish!$C$7*(1/cnst_fish!$C$8)^(R690-1)</f>
        <v>18.16762188285189</v>
      </c>
      <c r="T690" s="682">
        <f t="shared" si="97"/>
        <v>746706.48741615773</v>
      </c>
      <c r="W690" s="818"/>
      <c r="X690" s="818"/>
      <c r="Y690" s="819"/>
      <c r="Z690" s="820"/>
      <c r="AA690" s="820"/>
      <c r="AB690" s="821"/>
      <c r="AC690" s="821"/>
      <c r="AD690" s="253"/>
      <c r="AE690" s="253"/>
    </row>
    <row r="691" spans="1:31" ht="14.5">
      <c r="A691" t="s">
        <v>417</v>
      </c>
      <c r="B691" t="s">
        <v>3982</v>
      </c>
      <c r="C691">
        <v>2915</v>
      </c>
      <c r="D691" s="581"/>
      <c r="E691" s="581"/>
      <c r="F691" s="2">
        <f>(1/S691)*cnst_fish!$C$6</f>
        <v>0.83002437741509261</v>
      </c>
      <c r="G691" s="2">
        <f t="shared" si="100"/>
        <v>1</v>
      </c>
      <c r="H691" s="2">
        <f t="shared" si="100"/>
        <v>0.36449057933102513</v>
      </c>
      <c r="I691" s="2">
        <f t="shared" si="92"/>
        <v>0</v>
      </c>
      <c r="J691" s="389">
        <f t="shared" si="93"/>
        <v>0</v>
      </c>
      <c r="L691" s="721">
        <v>958359</v>
      </c>
      <c r="M691" s="581"/>
      <c r="N691" s="585" t="s">
        <v>103</v>
      </c>
      <c r="O691" s="586" t="s">
        <v>4699</v>
      </c>
      <c r="P691" s="233">
        <f t="shared" si="94"/>
        <v>0</v>
      </c>
      <c r="Q691" s="233">
        <f t="shared" si="95"/>
        <v>958359</v>
      </c>
      <c r="R691" s="2">
        <f t="shared" si="96"/>
        <v>2.56</v>
      </c>
      <c r="S691" s="2">
        <f>(1/9)*cnst_fish!$C$7*(1/cnst_fish!$C$8)^(R691-1)</f>
        <v>5.1203315416296364</v>
      </c>
      <c r="T691" s="682">
        <f t="shared" si="97"/>
        <v>420846.4674314158</v>
      </c>
      <c r="W691" s="818"/>
      <c r="X691" s="818"/>
      <c r="Y691" s="819"/>
      <c r="Z691" s="820"/>
      <c r="AA691" s="820"/>
      <c r="AB691" s="821"/>
      <c r="AC691" s="821"/>
      <c r="AD691" s="253"/>
      <c r="AE691" s="253"/>
    </row>
    <row r="692" spans="1:31" ht="14.5">
      <c r="A692" t="s">
        <v>2095</v>
      </c>
      <c r="B692" t="s">
        <v>3983</v>
      </c>
      <c r="C692">
        <v>2107</v>
      </c>
      <c r="D692" s="581"/>
      <c r="E692" s="581"/>
      <c r="F692" s="2">
        <f>(1/S692)*cnst_fish!$C$6</f>
        <v>0.33043865638315079</v>
      </c>
      <c r="G692" s="2">
        <f t="shared" si="100"/>
        <v>1</v>
      </c>
      <c r="H692" s="2">
        <f t="shared" si="100"/>
        <v>0.36449057933102513</v>
      </c>
      <c r="I692" s="2">
        <f t="shared" si="92"/>
        <v>0</v>
      </c>
      <c r="J692" s="389">
        <f t="shared" si="93"/>
        <v>0</v>
      </c>
      <c r="L692" s="721">
        <v>32813</v>
      </c>
      <c r="M692" s="581"/>
      <c r="N692" s="585" t="s">
        <v>103</v>
      </c>
      <c r="O692" s="586" t="s">
        <v>4699</v>
      </c>
      <c r="P692" s="233">
        <f t="shared" si="94"/>
        <v>0</v>
      </c>
      <c r="Q692" s="233">
        <f t="shared" si="95"/>
        <v>32813</v>
      </c>
      <c r="R692" s="2">
        <f t="shared" si="96"/>
        <v>2.96</v>
      </c>
      <c r="S692" s="2">
        <f>(1/9)*cnst_fish!$C$7*(1/cnst_fish!$C$8)^(R692-1)</f>
        <v>12.861691324250007</v>
      </c>
      <c r="T692" s="682">
        <f t="shared" si="97"/>
        <v>36194.401437466855</v>
      </c>
      <c r="W692" s="818"/>
      <c r="X692" s="818"/>
      <c r="Y692" s="819"/>
      <c r="Z692" s="820"/>
      <c r="AA692" s="820"/>
      <c r="AB692" s="821"/>
      <c r="AC692" s="821"/>
      <c r="AD692" s="253"/>
      <c r="AE692" s="253"/>
    </row>
    <row r="693" spans="1:31" ht="14.5">
      <c r="A693" t="s">
        <v>2631</v>
      </c>
      <c r="B693" t="s">
        <v>3984</v>
      </c>
      <c r="C693">
        <v>2917</v>
      </c>
      <c r="D693" s="581"/>
      <c r="E693" s="581"/>
      <c r="F693" s="2">
        <f>(1/S693)*cnst_fish!$C$6</f>
        <v>0.60129950673834842</v>
      </c>
      <c r="G693" s="2">
        <f t="shared" si="100"/>
        <v>1</v>
      </c>
      <c r="H693" s="2">
        <f t="shared" si="100"/>
        <v>0.36449057933102513</v>
      </c>
      <c r="I693" s="2">
        <f t="shared" si="92"/>
        <v>0</v>
      </c>
      <c r="J693" s="389">
        <f t="shared" si="93"/>
        <v>0</v>
      </c>
      <c r="L693" s="721">
        <v>7044950</v>
      </c>
      <c r="M693" s="581"/>
      <c r="N693" s="585" t="s">
        <v>103</v>
      </c>
      <c r="O693" s="586" t="s">
        <v>4699</v>
      </c>
      <c r="P693" s="233">
        <f t="shared" si="94"/>
        <v>0</v>
      </c>
      <c r="Q693" s="233">
        <f t="shared" si="95"/>
        <v>7044950</v>
      </c>
      <c r="R693" s="2">
        <f t="shared" si="96"/>
        <v>2.7</v>
      </c>
      <c r="S693" s="2">
        <f>(1/9)*cnst_fish!$C$7*(1/cnst_fish!$C$8)^(R693-1)</f>
        <v>7.0680250896153813</v>
      </c>
      <c r="T693" s="682">
        <f t="shared" si="97"/>
        <v>4270447.3861733517</v>
      </c>
      <c r="W693" s="822"/>
      <c r="X693" s="822"/>
      <c r="Y693" s="819"/>
      <c r="Z693" s="820"/>
      <c r="AA693" s="820"/>
      <c r="AB693" s="821"/>
      <c r="AC693" s="821"/>
      <c r="AD693" s="253"/>
      <c r="AE693" s="253"/>
    </row>
    <row r="694" spans="1:31" ht="14.5">
      <c r="A694" t="s">
        <v>1662</v>
      </c>
      <c r="B694" t="s">
        <v>1077</v>
      </c>
      <c r="C694">
        <v>3552</v>
      </c>
      <c r="D694" s="581"/>
      <c r="E694" s="581"/>
      <c r="F694" s="2">
        <f>(1/S694)*cnst_fish!$C$6</f>
        <v>2.3938164528281742</v>
      </c>
      <c r="G694" s="2">
        <f t="shared" si="100"/>
        <v>1</v>
      </c>
      <c r="H694" s="2">
        <f t="shared" si="100"/>
        <v>0.36449057933102513</v>
      </c>
      <c r="I694" s="2">
        <f t="shared" si="92"/>
        <v>0</v>
      </c>
      <c r="J694" s="389">
        <f t="shared" si="93"/>
        <v>0</v>
      </c>
      <c r="L694" s="721">
        <v>350</v>
      </c>
      <c r="M694" s="581"/>
      <c r="N694" s="585" t="s">
        <v>1736</v>
      </c>
      <c r="O694" s="586" t="s">
        <v>4691</v>
      </c>
      <c r="P694" s="233">
        <f t="shared" si="94"/>
        <v>0</v>
      </c>
      <c r="Q694" s="233">
        <f t="shared" si="95"/>
        <v>350</v>
      </c>
      <c r="R694" s="2">
        <f t="shared" si="96"/>
        <v>2.1</v>
      </c>
      <c r="S694" s="2">
        <f>(1/9)*cnst_fish!$C$7*(1/cnst_fish!$C$8)^(R694-1)</f>
        <v>1.7754076320174161</v>
      </c>
      <c r="T694" s="682">
        <f t="shared" si="97"/>
        <v>53.292182287050132</v>
      </c>
      <c r="W694" s="818"/>
      <c r="X694" s="818"/>
      <c r="Y694" s="819"/>
      <c r="Z694" s="820"/>
      <c r="AA694" s="820"/>
      <c r="AB694" s="821"/>
      <c r="AC694" s="821"/>
      <c r="AD694" s="253"/>
      <c r="AE694" s="253"/>
    </row>
    <row r="695" spans="1:31" ht="14.5">
      <c r="A695" t="s">
        <v>3851</v>
      </c>
      <c r="B695" t="s">
        <v>3852</v>
      </c>
      <c r="C695">
        <v>17530</v>
      </c>
      <c r="D695" s="581"/>
      <c r="E695" s="581"/>
      <c r="F695" s="2">
        <f>(1/S695)*cnst_fish!$C$6</f>
        <v>0.14481532779905856</v>
      </c>
      <c r="G695" s="2">
        <f t="shared" si="100"/>
        <v>1</v>
      </c>
      <c r="H695" s="2">
        <f t="shared" si="100"/>
        <v>0.36449057933102513</v>
      </c>
      <c r="I695" s="2">
        <f t="shared" si="92"/>
        <v>0</v>
      </c>
      <c r="J695" s="389">
        <f t="shared" si="93"/>
        <v>0</v>
      </c>
      <c r="L695" s="721">
        <v>6646</v>
      </c>
      <c r="M695" s="581"/>
      <c r="N695" s="585" t="s">
        <v>1736</v>
      </c>
      <c r="O695" s="586" t="s">
        <v>4691</v>
      </c>
      <c r="P695" s="233">
        <f t="shared" si="94"/>
        <v>0</v>
      </c>
      <c r="Q695" s="233">
        <f t="shared" si="95"/>
        <v>6646</v>
      </c>
      <c r="R695" s="2">
        <f t="shared" si="96"/>
        <v>3.3182763159269002</v>
      </c>
      <c r="S695" s="2">
        <f>(1/9)*cnst_fish!$C$7*(1/cnst_fish!$C$8)^(R695-1)</f>
        <v>29.347722127157517</v>
      </c>
      <c r="T695" s="682">
        <f t="shared" si="97"/>
        <v>16727.541393927924</v>
      </c>
      <c r="W695" s="818"/>
      <c r="X695" s="818"/>
      <c r="Y695" s="819"/>
      <c r="Z695" s="820"/>
      <c r="AA695" s="820"/>
      <c r="AB695" s="821"/>
      <c r="AC695" s="821"/>
      <c r="AD695" s="253"/>
      <c r="AE695" s="253"/>
    </row>
    <row r="696" spans="1:31" ht="14.5">
      <c r="A696" t="s">
        <v>9074</v>
      </c>
      <c r="B696" t="s">
        <v>9075</v>
      </c>
      <c r="C696">
        <v>17531</v>
      </c>
      <c r="D696" s="581"/>
      <c r="E696" s="581"/>
      <c r="F696" s="869">
        <f>(1/S696)*cnst_fish!$C$6</f>
        <v>1.0211530705467782</v>
      </c>
      <c r="G696" s="869">
        <f t="shared" si="100"/>
        <v>1</v>
      </c>
      <c r="H696" s="869">
        <f t="shared" si="100"/>
        <v>0.36449057933102513</v>
      </c>
      <c r="I696" s="869">
        <f t="shared" si="92"/>
        <v>0</v>
      </c>
      <c r="J696" s="389">
        <f t="shared" si="93"/>
        <v>0</v>
      </c>
      <c r="L696" s="721">
        <v>2</v>
      </c>
      <c r="M696" s="581"/>
      <c r="N696" s="877" t="s">
        <v>1736</v>
      </c>
      <c r="O696" s="882" t="s">
        <v>4691</v>
      </c>
      <c r="P696" s="871">
        <f t="shared" si="94"/>
        <v>0</v>
      </c>
      <c r="Q696" s="871">
        <f t="shared" si="95"/>
        <v>2</v>
      </c>
      <c r="R696" s="869">
        <f t="shared" si="96"/>
        <v>2.4700000000000002</v>
      </c>
      <c r="S696" s="869">
        <f>(1/9)*cnst_fish!$C$7*(1/cnst_fish!$C$8)^(R696-1)</f>
        <v>4.1619617299141352</v>
      </c>
      <c r="T696" s="682">
        <f t="shared" si="97"/>
        <v>0.71388039627762756</v>
      </c>
      <c r="W696" s="818"/>
      <c r="X696" s="818"/>
      <c r="Y696" s="819"/>
      <c r="Z696" s="820"/>
      <c r="AA696" s="820"/>
      <c r="AB696" s="821"/>
      <c r="AC696" s="821"/>
      <c r="AD696" s="253"/>
      <c r="AE696" s="253"/>
    </row>
    <row r="697" spans="1:31" ht="14.5">
      <c r="A697" t="s">
        <v>6693</v>
      </c>
      <c r="B697" t="s">
        <v>6692</v>
      </c>
      <c r="C697">
        <v>17532</v>
      </c>
      <c r="D697" s="581"/>
      <c r="E697" s="581"/>
      <c r="F697" s="2">
        <f>(1/S697)*cnst_fish!$C$6</f>
        <v>3.0136363636363641</v>
      </c>
      <c r="G697" s="2">
        <f t="shared" si="100"/>
        <v>1</v>
      </c>
      <c r="H697" s="2">
        <f t="shared" si="100"/>
        <v>0.36449057933102513</v>
      </c>
      <c r="I697" s="2">
        <f t="shared" si="92"/>
        <v>0</v>
      </c>
      <c r="J697" s="389">
        <f t="shared" si="93"/>
        <v>0</v>
      </c>
      <c r="L697" s="721">
        <v>544</v>
      </c>
      <c r="M697" s="581"/>
      <c r="N697" s="585" t="s">
        <v>1736</v>
      </c>
      <c r="O697" s="586" t="s">
        <v>4691</v>
      </c>
      <c r="P697" s="233">
        <f t="shared" si="94"/>
        <v>0</v>
      </c>
      <c r="Q697" s="233">
        <f t="shared" si="95"/>
        <v>544</v>
      </c>
      <c r="R697" s="2">
        <f t="shared" si="96"/>
        <v>2</v>
      </c>
      <c r="S697" s="2">
        <f>(1/9)*cnst_fish!$C$7*(1/cnst_fish!$C$8)^(R697-1)</f>
        <v>1.4102564102564099</v>
      </c>
      <c r="T697" s="682">
        <f t="shared" si="97"/>
        <v>65.795222525395303</v>
      </c>
      <c r="W697" s="818"/>
      <c r="X697" s="818"/>
      <c r="Y697" s="819"/>
      <c r="Z697" s="820"/>
      <c r="AA697" s="820"/>
      <c r="AB697" s="821"/>
      <c r="AC697" s="821"/>
      <c r="AD697" s="253"/>
      <c r="AE697" s="253"/>
    </row>
    <row r="698" spans="1:31" ht="14.5">
      <c r="A698" t="s">
        <v>1823</v>
      </c>
      <c r="B698" t="s">
        <v>1435</v>
      </c>
      <c r="C698">
        <v>2546</v>
      </c>
      <c r="D698" s="581"/>
      <c r="E698" s="581"/>
      <c r="F698" s="2">
        <f>(1/S698)*cnst_fish!$C$6</f>
        <v>2.6859062362848789E-2</v>
      </c>
      <c r="G698" s="2">
        <f t="shared" si="100"/>
        <v>1</v>
      </c>
      <c r="H698" s="2">
        <f t="shared" si="100"/>
        <v>0.36449057933102513</v>
      </c>
      <c r="I698" s="2">
        <f t="shared" si="92"/>
        <v>0</v>
      </c>
      <c r="J698" s="389">
        <f t="shared" si="93"/>
        <v>0</v>
      </c>
      <c r="L698" s="721">
        <v>2843</v>
      </c>
      <c r="M698" s="581"/>
      <c r="N698" s="585" t="s">
        <v>1741</v>
      </c>
      <c r="O698" s="586" t="s">
        <v>4681</v>
      </c>
      <c r="P698" s="233">
        <f t="shared" si="94"/>
        <v>0</v>
      </c>
      <c r="Q698" s="233">
        <f t="shared" si="95"/>
        <v>2843</v>
      </c>
      <c r="R698" s="2">
        <f t="shared" si="96"/>
        <v>4.05</v>
      </c>
      <c r="S698" s="2">
        <f>(1/9)*cnst_fish!$C$7*(1/cnst_fish!$C$8)^(R698-1)</f>
        <v>158.23337176053329</v>
      </c>
      <c r="T698" s="682">
        <f t="shared" si="97"/>
        <v>38580.89694417001</v>
      </c>
      <c r="W698" s="818"/>
      <c r="X698" s="818"/>
      <c r="Y698" s="819"/>
      <c r="Z698" s="820"/>
      <c r="AA698" s="820"/>
      <c r="AB698" s="821"/>
      <c r="AC698" s="821"/>
      <c r="AD698" s="253"/>
      <c r="AE698" s="253"/>
    </row>
    <row r="699" spans="1:31" ht="14.5">
      <c r="A699" t="s">
        <v>130</v>
      </c>
      <c r="B699" t="s">
        <v>5119</v>
      </c>
      <c r="C699">
        <v>3211</v>
      </c>
      <c r="D699" s="581"/>
      <c r="E699" s="581"/>
      <c r="F699" s="2">
        <f>(1/S699)*cnst_fish!$C$6</f>
        <v>9.3130266898023228E-2</v>
      </c>
      <c r="G699" s="2">
        <f t="shared" si="100"/>
        <v>1</v>
      </c>
      <c r="H699" s="2">
        <f t="shared" si="100"/>
        <v>0.36449057933102513</v>
      </c>
      <c r="I699" s="2">
        <f t="shared" si="92"/>
        <v>0</v>
      </c>
      <c r="J699" s="389">
        <f t="shared" si="93"/>
        <v>0</v>
      </c>
      <c r="L699" s="721">
        <v>280</v>
      </c>
      <c r="M699" s="581"/>
      <c r="N699" s="585" t="s">
        <v>1738</v>
      </c>
      <c r="O699" s="586" t="s">
        <v>4681</v>
      </c>
      <c r="P699" s="233">
        <f t="shared" si="94"/>
        <v>0</v>
      </c>
      <c r="Q699" s="233">
        <f t="shared" si="95"/>
        <v>280</v>
      </c>
      <c r="R699" s="2">
        <f t="shared" si="96"/>
        <v>3.51</v>
      </c>
      <c r="S699" s="2">
        <f>(1/9)*cnst_fish!$C$7*(1/cnst_fish!$C$8)^(R699-1)</f>
        <v>45.635002900332182</v>
      </c>
      <c r="T699" s="682">
        <f t="shared" si="97"/>
        <v>1095.8560048414645</v>
      </c>
      <c r="W699" s="818"/>
      <c r="X699" s="818"/>
      <c r="Y699" s="819"/>
      <c r="Z699" s="820"/>
      <c r="AA699" s="820"/>
      <c r="AB699" s="821"/>
      <c r="AC699" s="821"/>
      <c r="AD699" s="253"/>
      <c r="AE699" s="253"/>
    </row>
    <row r="700" spans="1:31" ht="14.5">
      <c r="A700" t="s">
        <v>2208</v>
      </c>
      <c r="B700" t="s">
        <v>4510</v>
      </c>
      <c r="C700">
        <v>3092</v>
      </c>
      <c r="D700" s="581"/>
      <c r="E700" s="581"/>
      <c r="F700" s="2">
        <f>(1/S700)*cnst_fish!$C$6</f>
        <v>0.12855555498429813</v>
      </c>
      <c r="G700" s="2">
        <f t="shared" si="100"/>
        <v>1</v>
      </c>
      <c r="H700" s="2">
        <f t="shared" si="100"/>
        <v>0.36449057933102513</v>
      </c>
      <c r="I700" s="2">
        <f t="shared" si="92"/>
        <v>0</v>
      </c>
      <c r="J700" s="389">
        <f t="shared" si="93"/>
        <v>0</v>
      </c>
      <c r="L700" s="721">
        <v>23</v>
      </c>
      <c r="M700" s="581"/>
      <c r="N700" s="585" t="s">
        <v>1738</v>
      </c>
      <c r="O700" s="586" t="s">
        <v>4681</v>
      </c>
      <c r="P700" s="233">
        <f t="shared" si="94"/>
        <v>0</v>
      </c>
      <c r="Q700" s="233">
        <f t="shared" si="95"/>
        <v>23</v>
      </c>
      <c r="R700" s="2">
        <f t="shared" si="96"/>
        <v>3.37</v>
      </c>
      <c r="S700" s="2">
        <f>(1/9)*cnst_fish!$C$7*(1/cnst_fish!$C$8)^(R700-1)</f>
        <v>33.059637139127112</v>
      </c>
      <c r="T700" s="682">
        <f t="shared" si="97"/>
        <v>65.211365822640019</v>
      </c>
      <c r="W700" s="818"/>
      <c r="X700" s="818"/>
      <c r="Y700" s="819"/>
      <c r="Z700" s="820"/>
      <c r="AA700" s="820"/>
      <c r="AB700" s="821"/>
      <c r="AC700" s="821"/>
      <c r="AD700" s="253"/>
      <c r="AE700" s="253"/>
    </row>
    <row r="701" spans="1:31" ht="14.5">
      <c r="A701" t="s">
        <v>3994</v>
      </c>
      <c r="B701" t="s">
        <v>2200</v>
      </c>
      <c r="C701">
        <v>3093</v>
      </c>
      <c r="D701" s="581"/>
      <c r="E701" s="581"/>
      <c r="F701" s="2">
        <f>(1/S701)*cnst_fish!$C$6</f>
        <v>0.14424170509541331</v>
      </c>
      <c r="G701" s="2">
        <f t="shared" si="100"/>
        <v>1</v>
      </c>
      <c r="H701" s="2">
        <f t="shared" si="100"/>
        <v>0.36449057933102513</v>
      </c>
      <c r="I701" s="2">
        <f t="shared" si="92"/>
        <v>0</v>
      </c>
      <c r="J701" s="389">
        <f t="shared" si="93"/>
        <v>0</v>
      </c>
      <c r="L701" s="721">
        <v>637</v>
      </c>
      <c r="M701" s="581"/>
      <c r="N701" s="585" t="s">
        <v>1738</v>
      </c>
      <c r="O701" s="586" t="s">
        <v>4681</v>
      </c>
      <c r="P701" s="233">
        <f t="shared" si="94"/>
        <v>0</v>
      </c>
      <c r="Q701" s="233">
        <f t="shared" si="95"/>
        <v>637</v>
      </c>
      <c r="R701" s="2">
        <f t="shared" si="96"/>
        <v>3.32</v>
      </c>
      <c r="S701" s="2">
        <f>(1/9)*cnst_fish!$C$7*(1/cnst_fish!$C$8)^(R701-1)</f>
        <v>29.464432614608246</v>
      </c>
      <c r="T701" s="682">
        <f t="shared" si="97"/>
        <v>1609.6627454610284</v>
      </c>
      <c r="W701" s="818"/>
      <c r="X701" s="818"/>
      <c r="Y701" s="819"/>
      <c r="Z701" s="820"/>
      <c r="AA701" s="820"/>
      <c r="AB701" s="821"/>
      <c r="AC701" s="821"/>
      <c r="AD701" s="253"/>
      <c r="AE701" s="253"/>
    </row>
    <row r="702" spans="1:31" ht="14.5">
      <c r="A702" t="s">
        <v>6607</v>
      </c>
      <c r="B702" t="s">
        <v>6606</v>
      </c>
      <c r="C702">
        <v>12051</v>
      </c>
      <c r="D702" s="581"/>
      <c r="E702" s="581"/>
      <c r="F702" s="2">
        <f>(1/S702)*cnst_fish!$C$6</f>
        <v>3.0136363636363641</v>
      </c>
      <c r="G702" s="2">
        <f t="shared" si="100"/>
        <v>1</v>
      </c>
      <c r="H702" s="2">
        <f t="shared" si="100"/>
        <v>0.36449057933102513</v>
      </c>
      <c r="I702" s="2">
        <f t="shared" si="92"/>
        <v>0</v>
      </c>
      <c r="J702" s="389">
        <f t="shared" si="93"/>
        <v>0</v>
      </c>
      <c r="L702" s="721">
        <v>3</v>
      </c>
      <c r="M702" s="581"/>
      <c r="N702" s="585" t="s">
        <v>1738</v>
      </c>
      <c r="O702" s="586" t="s">
        <v>4681</v>
      </c>
      <c r="P702" s="233">
        <f t="shared" si="94"/>
        <v>0</v>
      </c>
      <c r="Q702" s="233">
        <f t="shared" si="95"/>
        <v>3</v>
      </c>
      <c r="R702" s="2">
        <f t="shared" si="96"/>
        <v>2</v>
      </c>
      <c r="S702" s="2">
        <f>(1/9)*cnst_fish!$C$7*(1/cnst_fish!$C$8)^(R702-1)</f>
        <v>1.4102564102564099</v>
      </c>
      <c r="T702" s="682">
        <f t="shared" si="97"/>
        <v>0.36284130069151815</v>
      </c>
      <c r="W702" s="818"/>
      <c r="X702" s="818"/>
      <c r="Y702" s="819"/>
      <c r="Z702" s="820"/>
      <c r="AA702" s="820"/>
      <c r="AB702" s="821"/>
      <c r="AC702" s="821"/>
      <c r="AD702" s="253"/>
      <c r="AE702" s="253"/>
    </row>
    <row r="703" spans="1:31" ht="14.5">
      <c r="A703" t="s">
        <v>4132</v>
      </c>
      <c r="B703" t="s">
        <v>2489</v>
      </c>
      <c r="C703">
        <v>3072</v>
      </c>
      <c r="D703" s="581"/>
      <c r="E703" s="581"/>
      <c r="F703" s="2">
        <f>(1/S703)*cnst_fish!$C$6</f>
        <v>2.8780003842373291E-2</v>
      </c>
      <c r="G703" s="2">
        <f t="shared" si="100"/>
        <v>1</v>
      </c>
      <c r="H703" s="2">
        <f t="shared" si="100"/>
        <v>0.36449057933102513</v>
      </c>
      <c r="I703" s="2">
        <f t="shared" si="92"/>
        <v>0</v>
      </c>
      <c r="J703" s="389">
        <f t="shared" si="93"/>
        <v>0</v>
      </c>
      <c r="L703" s="721">
        <v>10717.74</v>
      </c>
      <c r="M703" s="581"/>
      <c r="N703" s="585" t="s">
        <v>1738</v>
      </c>
      <c r="O703" s="586" t="s">
        <v>4681</v>
      </c>
      <c r="P703" s="233">
        <f t="shared" si="94"/>
        <v>0</v>
      </c>
      <c r="Q703" s="233">
        <f t="shared" si="95"/>
        <v>10717.74</v>
      </c>
      <c r="R703" s="2">
        <f t="shared" si="96"/>
        <v>4.0199999999999996</v>
      </c>
      <c r="S703" s="2">
        <f>(1/9)*cnst_fish!$C$7*(1/cnst_fish!$C$8)^(R703-1)</f>
        <v>147.67197472512677</v>
      </c>
      <c r="T703" s="682">
        <f t="shared" si="97"/>
        <v>135737.13482163168</v>
      </c>
      <c r="W703" s="818"/>
      <c r="X703" s="818"/>
      <c r="Y703" s="819"/>
      <c r="Z703" s="820"/>
      <c r="AA703" s="820"/>
      <c r="AB703" s="821"/>
      <c r="AC703" s="821"/>
      <c r="AD703" s="253"/>
      <c r="AE703" s="253"/>
    </row>
    <row r="704" spans="1:31" ht="14.5">
      <c r="A704" t="s">
        <v>4202</v>
      </c>
      <c r="B704" t="s">
        <v>8608</v>
      </c>
      <c r="C704">
        <v>2279</v>
      </c>
      <c r="D704" s="581"/>
      <c r="E704" s="581"/>
      <c r="F704" s="2">
        <f>(1/S704)*cnst_fish!$C$6</f>
        <v>3.0136363636363642E-2</v>
      </c>
      <c r="G704" s="2">
        <f t="shared" si="100"/>
        <v>1</v>
      </c>
      <c r="H704" s="2">
        <f t="shared" si="100"/>
        <v>0.36449057933102513</v>
      </c>
      <c r="I704" s="2">
        <f t="shared" si="92"/>
        <v>0</v>
      </c>
      <c r="J704" s="389">
        <f t="shared" si="93"/>
        <v>0</v>
      </c>
      <c r="L704" s="721"/>
      <c r="M704" s="581"/>
      <c r="N704" s="585" t="s">
        <v>1738</v>
      </c>
      <c r="O704" s="586" t="s">
        <v>4681</v>
      </c>
      <c r="P704" s="233">
        <f t="shared" si="94"/>
        <v>0</v>
      </c>
      <c r="Q704" s="233">
        <f t="shared" si="95"/>
        <v>0</v>
      </c>
      <c r="R704" s="2">
        <f t="shared" si="96"/>
        <v>4</v>
      </c>
      <c r="S704" s="2">
        <f>(1/9)*cnst_fish!$C$7*(1/cnst_fish!$C$8)^(R704-1)</f>
        <v>141.02564102564099</v>
      </c>
      <c r="T704" s="682">
        <f t="shared" si="97"/>
        <v>0</v>
      </c>
      <c r="W704" s="818"/>
      <c r="X704" s="818"/>
      <c r="Y704" s="819"/>
      <c r="Z704" s="820"/>
      <c r="AA704" s="820"/>
      <c r="AB704" s="821"/>
      <c r="AC704" s="821"/>
      <c r="AD704" s="253"/>
      <c r="AE704" s="253"/>
    </row>
    <row r="705" spans="1:31" ht="14.5">
      <c r="A705" t="s">
        <v>2072</v>
      </c>
      <c r="B705" t="s">
        <v>2490</v>
      </c>
      <c r="C705">
        <v>3074</v>
      </c>
      <c r="D705" s="581"/>
      <c r="E705" s="581"/>
      <c r="F705" s="2">
        <f>(1/S705)*cnst_fish!$C$6</f>
        <v>4.3560298545661361E-2</v>
      </c>
      <c r="G705" s="2">
        <f t="shared" si="100"/>
        <v>1</v>
      </c>
      <c r="H705" s="2">
        <f t="shared" si="100"/>
        <v>0.36449057933102513</v>
      </c>
      <c r="I705" s="2">
        <f t="shared" si="92"/>
        <v>0</v>
      </c>
      <c r="J705" s="389">
        <f t="shared" si="93"/>
        <v>0</v>
      </c>
      <c r="L705" s="721">
        <v>1</v>
      </c>
      <c r="M705" s="581"/>
      <c r="N705" s="585" t="s">
        <v>1738</v>
      </c>
      <c r="O705" s="586" t="s">
        <v>4681</v>
      </c>
      <c r="P705" s="233">
        <f t="shared" si="94"/>
        <v>0</v>
      </c>
      <c r="Q705" s="233">
        <f t="shared" si="95"/>
        <v>1</v>
      </c>
      <c r="R705" s="2">
        <f t="shared" si="96"/>
        <v>3.84</v>
      </c>
      <c r="S705" s="2">
        <f>(1/9)*cnst_fish!$C$7*(1/cnst_fish!$C$8)^(R705-1)</f>
        <v>97.565906155234643</v>
      </c>
      <c r="T705" s="682">
        <f t="shared" si="97"/>
        <v>8.3674949782300949</v>
      </c>
      <c r="W705" s="818"/>
      <c r="X705" s="818"/>
      <c r="Y705" s="819"/>
      <c r="Z705" s="820"/>
      <c r="AA705" s="820"/>
      <c r="AB705" s="821"/>
      <c r="AC705" s="821"/>
      <c r="AD705" s="253"/>
      <c r="AE705" s="253"/>
    </row>
    <row r="706" spans="1:31" ht="14.5">
      <c r="A706" t="s">
        <v>2645</v>
      </c>
      <c r="B706" t="s">
        <v>5447</v>
      </c>
      <c r="C706">
        <v>3076</v>
      </c>
      <c r="D706" s="581"/>
      <c r="E706" s="581"/>
      <c r="F706" s="2">
        <f>(1/S706)*cnst_fish!$C$6</f>
        <v>7.9266712664847111E-2</v>
      </c>
      <c r="G706" s="2">
        <f t="shared" si="100"/>
        <v>1</v>
      </c>
      <c r="H706" s="2">
        <f t="shared" si="100"/>
        <v>0.36449057933102513</v>
      </c>
      <c r="I706" s="2">
        <f t="shared" si="92"/>
        <v>0</v>
      </c>
      <c r="J706" s="389">
        <f t="shared" si="93"/>
        <v>0</v>
      </c>
      <c r="L706" s="721">
        <v>521</v>
      </c>
      <c r="M706" s="581"/>
      <c r="N706" s="585" t="s">
        <v>1738</v>
      </c>
      <c r="O706" s="586" t="s">
        <v>4681</v>
      </c>
      <c r="P706" s="233">
        <f t="shared" si="94"/>
        <v>0</v>
      </c>
      <c r="Q706" s="233">
        <f t="shared" si="95"/>
        <v>521</v>
      </c>
      <c r="R706" s="2">
        <f t="shared" si="96"/>
        <v>3.58</v>
      </c>
      <c r="S706" s="2">
        <f>(1/9)*cnst_fish!$C$7*(1/cnst_fish!$C$8)^(R706-1)</f>
        <v>53.616453327258682</v>
      </c>
      <c r="T706" s="682">
        <f t="shared" si="97"/>
        <v>2395.7041417169812</v>
      </c>
      <c r="W706" s="818"/>
      <c r="X706" s="818"/>
      <c r="Y706" s="819"/>
      <c r="Z706" s="820"/>
      <c r="AA706" s="820"/>
      <c r="AB706" s="821"/>
      <c r="AC706" s="821"/>
      <c r="AD706" s="253"/>
      <c r="AE706" s="253"/>
    </row>
    <row r="707" spans="1:31" ht="14.5">
      <c r="A707" t="s">
        <v>8304</v>
      </c>
      <c r="B707" t="s">
        <v>8305</v>
      </c>
      <c r="C707">
        <v>12056</v>
      </c>
      <c r="D707" s="581"/>
      <c r="E707" s="581"/>
      <c r="F707" s="2">
        <f>(1/S707)*cnst_fish!$C$6</f>
        <v>3.7939434000887833E-2</v>
      </c>
      <c r="G707" s="2">
        <f t="shared" si="100"/>
        <v>1</v>
      </c>
      <c r="H707" s="2">
        <f t="shared" si="100"/>
        <v>0.36449057933102513</v>
      </c>
      <c r="I707" s="2">
        <f t="shared" si="92"/>
        <v>0</v>
      </c>
      <c r="J707" s="389">
        <f t="shared" si="93"/>
        <v>0</v>
      </c>
      <c r="L707" s="721">
        <v>4900</v>
      </c>
      <c r="M707" s="581"/>
      <c r="N707" s="585" t="s">
        <v>1738</v>
      </c>
      <c r="O707" s="586" t="s">
        <v>4681</v>
      </c>
      <c r="P707" s="233">
        <f t="shared" si="94"/>
        <v>0</v>
      </c>
      <c r="Q707" s="233">
        <f t="shared" si="95"/>
        <v>4900</v>
      </c>
      <c r="R707" s="2">
        <f t="shared" si="96"/>
        <v>3.9</v>
      </c>
      <c r="S707" s="2">
        <f>(1/9)*cnst_fish!$C$7*(1/cnst_fish!$C$8)^(R707-1)</f>
        <v>112.02064848675771</v>
      </c>
      <c r="T707" s="682">
        <f t="shared" si="97"/>
        <v>47075.131344348163</v>
      </c>
      <c r="W707" s="818"/>
      <c r="X707" s="818"/>
      <c r="Y707" s="819"/>
      <c r="Z707" s="820"/>
      <c r="AA707" s="820"/>
      <c r="AB707" s="821"/>
      <c r="AC707" s="821"/>
      <c r="AD707" s="253"/>
      <c r="AE707" s="253"/>
    </row>
    <row r="708" spans="1:31" ht="14.5">
      <c r="A708" t="s">
        <v>6728</v>
      </c>
      <c r="B708" t="s">
        <v>6727</v>
      </c>
      <c r="C708">
        <v>18917</v>
      </c>
      <c r="D708" s="581"/>
      <c r="E708" s="581"/>
      <c r="F708" s="2">
        <f>(1/S708)*cnst_fish!$C$6</f>
        <v>3.0136363636363641</v>
      </c>
      <c r="G708" s="2">
        <f t="shared" ref="G708:H727" si="101">G$7</f>
        <v>1</v>
      </c>
      <c r="H708" s="2">
        <f t="shared" si="101"/>
        <v>0.36449057933102513</v>
      </c>
      <c r="I708" s="2">
        <f t="shared" si="92"/>
        <v>0</v>
      </c>
      <c r="J708" s="389">
        <f t="shared" si="93"/>
        <v>0</v>
      </c>
      <c r="L708" s="721">
        <v>1</v>
      </c>
      <c r="M708" s="581"/>
      <c r="N708" s="585" t="s">
        <v>1738</v>
      </c>
      <c r="O708" s="586" t="s">
        <v>4681</v>
      </c>
      <c r="P708" s="233">
        <f t="shared" si="94"/>
        <v>0</v>
      </c>
      <c r="Q708" s="233">
        <f t="shared" si="95"/>
        <v>1</v>
      </c>
      <c r="R708" s="2">
        <f t="shared" si="96"/>
        <v>2</v>
      </c>
      <c r="S708" s="2">
        <f>(1/9)*cnst_fish!$C$7*(1/cnst_fish!$C$8)^(R708-1)</f>
        <v>1.4102564102564099</v>
      </c>
      <c r="T708" s="682">
        <f t="shared" si="97"/>
        <v>0.12094710023050605</v>
      </c>
      <c r="W708" s="818"/>
      <c r="X708" s="818"/>
      <c r="Y708" s="819"/>
      <c r="Z708" s="820"/>
      <c r="AA708" s="820"/>
      <c r="AB708" s="821"/>
      <c r="AC708" s="821"/>
      <c r="AD708" s="253"/>
      <c r="AE708" s="253"/>
    </row>
    <row r="709" spans="1:31" ht="14.5">
      <c r="A709" t="s">
        <v>207</v>
      </c>
      <c r="B709" t="s">
        <v>208</v>
      </c>
      <c r="C709">
        <v>12058</v>
      </c>
      <c r="D709" s="581"/>
      <c r="E709" s="581"/>
      <c r="F709" s="2">
        <f>(1/S709)*cnst_fish!$C$6</f>
        <v>5.1178888253733429E-2</v>
      </c>
      <c r="G709" s="2">
        <f t="shared" si="101"/>
        <v>1</v>
      </c>
      <c r="H709" s="2">
        <f t="shared" si="101"/>
        <v>0.36449057933102513</v>
      </c>
      <c r="I709" s="2">
        <f t="shared" si="92"/>
        <v>0</v>
      </c>
      <c r="J709" s="389">
        <f t="shared" si="93"/>
        <v>0</v>
      </c>
      <c r="L709" s="721">
        <v>9</v>
      </c>
      <c r="M709" s="581"/>
      <c r="N709" s="585" t="s">
        <v>1738</v>
      </c>
      <c r="O709" s="586" t="s">
        <v>4681</v>
      </c>
      <c r="P709" s="233">
        <f t="shared" si="94"/>
        <v>0</v>
      </c>
      <c r="Q709" s="233">
        <f t="shared" si="95"/>
        <v>9</v>
      </c>
      <c r="R709" s="2">
        <f t="shared" si="96"/>
        <v>3.77</v>
      </c>
      <c r="S709" s="2">
        <f>(1/9)*cnst_fish!$C$7*(1/cnst_fish!$C$8)^(R709-1)</f>
        <v>83.042053960403649</v>
      </c>
      <c r="T709" s="682">
        <f t="shared" si="97"/>
        <v>64.097039343951053</v>
      </c>
      <c r="W709" s="818"/>
      <c r="X709" s="818"/>
      <c r="Y709" s="819"/>
      <c r="Z709" s="820"/>
      <c r="AA709" s="820"/>
      <c r="AB709" s="821"/>
      <c r="AC709" s="821"/>
      <c r="AD709" s="253"/>
      <c r="AE709" s="253"/>
    </row>
    <row r="710" spans="1:31" ht="14.5">
      <c r="A710" t="s">
        <v>3760</v>
      </c>
      <c r="B710" t="s">
        <v>5448</v>
      </c>
      <c r="C710">
        <v>12059</v>
      </c>
      <c r="D710" s="581"/>
      <c r="E710" s="581"/>
      <c r="F710" s="2">
        <f>(1/S710)*cnst_fish!$C$6</f>
        <v>3.0838329721915438E-2</v>
      </c>
      <c r="G710" s="2">
        <f t="shared" si="101"/>
        <v>1</v>
      </c>
      <c r="H710" s="2">
        <f t="shared" si="101"/>
        <v>0.36449057933102513</v>
      </c>
      <c r="I710" s="2">
        <f t="shared" si="92"/>
        <v>0</v>
      </c>
      <c r="J710" s="389">
        <f t="shared" si="93"/>
        <v>0</v>
      </c>
      <c r="L710" s="721">
        <v>83</v>
      </c>
      <c r="M710" s="581"/>
      <c r="N710" s="585" t="s">
        <v>1738</v>
      </c>
      <c r="O710" s="586" t="s">
        <v>4681</v>
      </c>
      <c r="P710" s="233">
        <f t="shared" si="94"/>
        <v>0</v>
      </c>
      <c r="Q710" s="233">
        <f t="shared" si="95"/>
        <v>83</v>
      </c>
      <c r="R710" s="2">
        <f t="shared" si="96"/>
        <v>3.99</v>
      </c>
      <c r="S710" s="2">
        <f>(1/9)*cnst_fish!$C$7*(1/cnst_fish!$C$8)^(R710-1)</f>
        <v>137.81550551940927</v>
      </c>
      <c r="T710" s="682">
        <f t="shared" si="97"/>
        <v>981.01026732896685</v>
      </c>
      <c r="W710" s="818"/>
      <c r="X710" s="818"/>
      <c r="Y710" s="819"/>
      <c r="Z710" s="820"/>
      <c r="AA710" s="820"/>
      <c r="AB710" s="821"/>
      <c r="AC710" s="821"/>
      <c r="AD710" s="253"/>
      <c r="AE710" s="253"/>
    </row>
    <row r="711" spans="1:31" ht="14.5">
      <c r="A711" t="s">
        <v>1577</v>
      </c>
      <c r="B711" t="s">
        <v>5449</v>
      </c>
      <c r="C711">
        <v>12061</v>
      </c>
      <c r="D711" s="581"/>
      <c r="E711" s="581"/>
      <c r="F711" s="2">
        <f>(1/S711)*cnst_fish!$C$6</f>
        <v>3.7939434000887833E-2</v>
      </c>
      <c r="G711" s="2">
        <f t="shared" si="101"/>
        <v>1</v>
      </c>
      <c r="H711" s="2">
        <f t="shared" si="101"/>
        <v>0.36449057933102513</v>
      </c>
      <c r="I711" s="2">
        <f t="shared" ref="I711:I774" si="102">IF($F711=0,0,D711/$F711*$H711*$G711)</f>
        <v>0</v>
      </c>
      <c r="J711" s="389">
        <f t="shared" ref="J711:J774" si="103">IF($F711=0,0,E711/$F711*$H711*$G711)</f>
        <v>0</v>
      </c>
      <c r="L711" s="721">
        <v>14109</v>
      </c>
      <c r="M711" s="581"/>
      <c r="N711" s="585" t="s">
        <v>1738</v>
      </c>
      <c r="O711" s="586" t="s">
        <v>4681</v>
      </c>
      <c r="P711" s="233">
        <f t="shared" ref="P711:P774" si="104">D711+E711</f>
        <v>0</v>
      </c>
      <c r="Q711" s="233">
        <f t="shared" ref="Q711:Q774" si="105">L711+M711</f>
        <v>14109</v>
      </c>
      <c r="R711" s="2">
        <f t="shared" ref="R711:R774" si="106">VLOOKUP(B711,constant_fish_trophic,3,FALSE)</f>
        <v>3.9</v>
      </c>
      <c r="S711" s="2">
        <f>(1/9)*cnst_fish!$C$7*(1/cnst_fish!$C$8)^(R711-1)</f>
        <v>112.02064848675771</v>
      </c>
      <c r="T711" s="682">
        <f t="shared" ref="T711:T774" si="107">IF(F711=0,0,Q711/F711*H711*G711)</f>
        <v>135547.55676273638</v>
      </c>
      <c r="W711" s="818"/>
      <c r="X711" s="818"/>
      <c r="Y711" s="819"/>
      <c r="Z711" s="820"/>
      <c r="AA711" s="820"/>
      <c r="AB711" s="821"/>
      <c r="AC711" s="821"/>
      <c r="AD711" s="253"/>
      <c r="AE711" s="253"/>
    </row>
    <row r="712" spans="1:31" ht="14.5">
      <c r="A712" t="s">
        <v>6671</v>
      </c>
      <c r="B712" t="s">
        <v>6670</v>
      </c>
      <c r="C712">
        <v>12066</v>
      </c>
      <c r="D712" s="581"/>
      <c r="E712" s="581"/>
      <c r="F712" s="2">
        <f>(1/S712)*cnst_fish!$C$6</f>
        <v>3.0136363636363641</v>
      </c>
      <c r="G712" s="2">
        <f t="shared" si="101"/>
        <v>1</v>
      </c>
      <c r="H712" s="2">
        <f t="shared" si="101"/>
        <v>0.36449057933102513</v>
      </c>
      <c r="I712" s="2">
        <f t="shared" si="102"/>
        <v>0</v>
      </c>
      <c r="J712" s="389">
        <f t="shared" si="103"/>
        <v>0</v>
      </c>
      <c r="L712" s="721">
        <v>32</v>
      </c>
      <c r="M712" s="581"/>
      <c r="N712" s="585" t="s">
        <v>1738</v>
      </c>
      <c r="O712" s="586" t="s">
        <v>4681</v>
      </c>
      <c r="P712" s="233">
        <f t="shared" si="104"/>
        <v>0</v>
      </c>
      <c r="Q712" s="233">
        <f t="shared" si="105"/>
        <v>32</v>
      </c>
      <c r="R712" s="2">
        <f t="shared" si="106"/>
        <v>2</v>
      </c>
      <c r="S712" s="2">
        <f>(1/9)*cnst_fish!$C$7*(1/cnst_fish!$C$8)^(R712-1)</f>
        <v>1.4102564102564099</v>
      </c>
      <c r="T712" s="682">
        <f t="shared" si="107"/>
        <v>3.8703072073761935</v>
      </c>
      <c r="W712" s="818"/>
      <c r="X712" s="818"/>
      <c r="Y712" s="819"/>
      <c r="Z712" s="820"/>
      <c r="AA712" s="820"/>
      <c r="AB712" s="821"/>
      <c r="AC712" s="821"/>
      <c r="AD712" s="253"/>
      <c r="AE712" s="253"/>
    </row>
    <row r="713" spans="1:31" ht="14.5">
      <c r="A713" t="s">
        <v>261</v>
      </c>
      <c r="B713" t="s">
        <v>5450</v>
      </c>
      <c r="C713">
        <v>12068</v>
      </c>
      <c r="D713" s="581"/>
      <c r="E713" s="581"/>
      <c r="F713" s="2">
        <f>(1/S713)*cnst_fish!$C$6</f>
        <v>6.2963787943464855E-2</v>
      </c>
      <c r="G713" s="2">
        <f t="shared" si="101"/>
        <v>1</v>
      </c>
      <c r="H713" s="2">
        <f t="shared" si="101"/>
        <v>0.36449057933102513</v>
      </c>
      <c r="I713" s="2">
        <f t="shared" si="102"/>
        <v>0</v>
      </c>
      <c r="J713" s="389">
        <f t="shared" si="103"/>
        <v>0</v>
      </c>
      <c r="L713" s="721"/>
      <c r="M713" s="581"/>
      <c r="N713" s="585" t="s">
        <v>1738</v>
      </c>
      <c r="O713" s="586" t="s">
        <v>4681</v>
      </c>
      <c r="P713" s="233">
        <f t="shared" si="104"/>
        <v>0</v>
      </c>
      <c r="Q713" s="233">
        <f t="shared" si="105"/>
        <v>0</v>
      </c>
      <c r="R713" s="2">
        <f t="shared" si="106"/>
        <v>3.68</v>
      </c>
      <c r="S713" s="2">
        <f>(1/9)*cnst_fish!$C$7*(1/cnst_fish!$C$8)^(R713-1)</f>
        <v>67.499115583961881</v>
      </c>
      <c r="T713" s="682">
        <f t="shared" si="107"/>
        <v>0</v>
      </c>
      <c r="W713" s="818"/>
      <c r="X713" s="818"/>
      <c r="Y713" s="819"/>
      <c r="Z713" s="820"/>
      <c r="AA713" s="820"/>
      <c r="AB713" s="821"/>
      <c r="AC713" s="821"/>
      <c r="AD713" s="253"/>
      <c r="AE713" s="253"/>
    </row>
    <row r="714" spans="1:31" ht="14.5">
      <c r="A714" t="s">
        <v>1018</v>
      </c>
      <c r="B714" t="s">
        <v>876</v>
      </c>
      <c r="C714">
        <v>12070</v>
      </c>
      <c r="D714" s="581"/>
      <c r="E714" s="581"/>
      <c r="F714" s="2">
        <f>(1/S714)*cnst_fish!$C$6</f>
        <v>4.5613232168782068E-2</v>
      </c>
      <c r="G714" s="2">
        <f t="shared" si="101"/>
        <v>1</v>
      </c>
      <c r="H714" s="2">
        <f t="shared" si="101"/>
        <v>0.36449057933102513</v>
      </c>
      <c r="I714" s="2">
        <f t="shared" si="102"/>
        <v>0</v>
      </c>
      <c r="J714" s="389">
        <f t="shared" si="103"/>
        <v>0</v>
      </c>
      <c r="L714" s="721">
        <v>4</v>
      </c>
      <c r="M714" s="581"/>
      <c r="N714" s="585" t="s">
        <v>1738</v>
      </c>
      <c r="O714" s="586" t="s">
        <v>4681</v>
      </c>
      <c r="P714" s="233">
        <f t="shared" si="104"/>
        <v>0</v>
      </c>
      <c r="Q714" s="233">
        <f t="shared" si="105"/>
        <v>4</v>
      </c>
      <c r="R714" s="2">
        <f t="shared" si="106"/>
        <v>3.82</v>
      </c>
      <c r="S714" s="2">
        <f>(1/9)*cnst_fish!$C$7*(1/cnst_fish!$C$8)^(R714-1)</f>
        <v>93.174717026712301</v>
      </c>
      <c r="T714" s="682">
        <f t="shared" si="107"/>
        <v>31.963582671125366</v>
      </c>
      <c r="W714" s="818"/>
      <c r="X714" s="818"/>
      <c r="Y714" s="819"/>
      <c r="Z714" s="820"/>
      <c r="AA714" s="820"/>
      <c r="AB714" s="821"/>
      <c r="AC714" s="821"/>
      <c r="AD714" s="253"/>
      <c r="AE714" s="253"/>
    </row>
    <row r="715" spans="1:31" ht="14.5">
      <c r="A715" t="s">
        <v>737</v>
      </c>
      <c r="B715" t="s">
        <v>4508</v>
      </c>
      <c r="C715">
        <v>18918</v>
      </c>
      <c r="D715" s="581"/>
      <c r="E715" s="581"/>
      <c r="F715" s="2">
        <f>(1/S715)*cnst_fish!$C$6</f>
        <v>2.1831865524078106E-2</v>
      </c>
      <c r="G715" s="2">
        <f t="shared" si="101"/>
        <v>1</v>
      </c>
      <c r="H715" s="2">
        <f t="shared" si="101"/>
        <v>0.36449057933102513</v>
      </c>
      <c r="I715" s="2">
        <f t="shared" si="102"/>
        <v>0</v>
      </c>
      <c r="J715" s="389">
        <f t="shared" si="103"/>
        <v>0</v>
      </c>
      <c r="L715" s="721">
        <v>47</v>
      </c>
      <c r="M715" s="581"/>
      <c r="N715" s="585" t="s">
        <v>1738</v>
      </c>
      <c r="O715" s="586" t="s">
        <v>4681</v>
      </c>
      <c r="P715" s="233">
        <f t="shared" si="104"/>
        <v>0</v>
      </c>
      <c r="Q715" s="233">
        <f t="shared" si="105"/>
        <v>47</v>
      </c>
      <c r="R715" s="2">
        <f t="shared" si="106"/>
        <v>4.1399999999999997</v>
      </c>
      <c r="S715" s="2">
        <f>(1/9)*cnst_fish!$C$7*(1/cnst_fish!$C$8)^(R715-1)</f>
        <v>194.66957577732992</v>
      </c>
      <c r="T715" s="682">
        <f t="shared" si="107"/>
        <v>784.68132783543115</v>
      </c>
      <c r="W715" s="818"/>
      <c r="X715" s="818"/>
      <c r="Y715" s="819"/>
      <c r="Z715" s="820"/>
      <c r="AA715" s="820"/>
      <c r="AB715" s="821"/>
      <c r="AC715" s="821"/>
      <c r="AD715" s="253"/>
      <c r="AE715" s="253"/>
    </row>
    <row r="716" spans="1:31" ht="14.5">
      <c r="A716" t="s">
        <v>2825</v>
      </c>
      <c r="B716" t="s">
        <v>5423</v>
      </c>
      <c r="C716">
        <v>2281</v>
      </c>
      <c r="D716" s="581"/>
      <c r="E716" s="581"/>
      <c r="F716" s="2">
        <f>(1/S716)*cnst_fish!$C$6</f>
        <v>3.460117504783787E-2</v>
      </c>
      <c r="G716" s="2">
        <f t="shared" si="101"/>
        <v>1</v>
      </c>
      <c r="H716" s="2">
        <f t="shared" si="101"/>
        <v>0.36449057933102513</v>
      </c>
      <c r="I716" s="2">
        <f t="shared" si="102"/>
        <v>0</v>
      </c>
      <c r="J716" s="389">
        <f t="shared" si="103"/>
        <v>0</v>
      </c>
      <c r="L716" s="721">
        <v>557</v>
      </c>
      <c r="M716" s="581"/>
      <c r="N716" s="585" t="s">
        <v>1738</v>
      </c>
      <c r="O716" s="586" t="s">
        <v>4681</v>
      </c>
      <c r="P716" s="233">
        <f t="shared" si="104"/>
        <v>0</v>
      </c>
      <c r="Q716" s="233">
        <f t="shared" si="105"/>
        <v>557</v>
      </c>
      <c r="R716" s="2">
        <f t="shared" si="106"/>
        <v>3.94</v>
      </c>
      <c r="S716" s="2">
        <f>(1/9)*cnst_fish!$C$7*(1/cnst_fish!$C$8)^(R716-1)</f>
        <v>122.82819858354985</v>
      </c>
      <c r="T716" s="682">
        <f t="shared" si="107"/>
        <v>5867.4669980627496</v>
      </c>
      <c r="W716" s="818"/>
      <c r="X716" s="818"/>
      <c r="Y716" s="819"/>
      <c r="Z716" s="820"/>
      <c r="AA716" s="820"/>
      <c r="AB716" s="821"/>
      <c r="AC716" s="821"/>
      <c r="AD716" s="253"/>
      <c r="AE716" s="253"/>
    </row>
    <row r="717" spans="1:31" ht="14.5">
      <c r="A717" t="s">
        <v>5265</v>
      </c>
      <c r="B717" t="s">
        <v>5424</v>
      </c>
      <c r="C717">
        <v>12071</v>
      </c>
      <c r="D717" s="581"/>
      <c r="E717" s="581"/>
      <c r="F717" s="2">
        <f>(1/S717)*cnst_fish!$C$6</f>
        <v>3.9727464439222634E-2</v>
      </c>
      <c r="G717" s="2">
        <f t="shared" si="101"/>
        <v>1</v>
      </c>
      <c r="H717" s="2">
        <f t="shared" si="101"/>
        <v>0.36449057933102513</v>
      </c>
      <c r="I717" s="2">
        <f t="shared" si="102"/>
        <v>0</v>
      </c>
      <c r="J717" s="389">
        <f t="shared" si="103"/>
        <v>0</v>
      </c>
      <c r="L717" s="721">
        <v>163</v>
      </c>
      <c r="M717" s="581"/>
      <c r="N717" s="585" t="s">
        <v>1738</v>
      </c>
      <c r="O717" s="586" t="s">
        <v>4681</v>
      </c>
      <c r="P717" s="233">
        <f t="shared" si="104"/>
        <v>0</v>
      </c>
      <c r="Q717" s="233">
        <f t="shared" si="105"/>
        <v>163</v>
      </c>
      <c r="R717" s="2">
        <f t="shared" si="106"/>
        <v>3.88</v>
      </c>
      <c r="S717" s="2">
        <f>(1/9)*cnst_fish!$C$7*(1/cnst_fish!$C$8)^(R717-1)</f>
        <v>106.97888878616692</v>
      </c>
      <c r="T717" s="682">
        <f t="shared" si="107"/>
        <v>1495.4884553946035</v>
      </c>
      <c r="W717" s="818"/>
      <c r="X717" s="818"/>
      <c r="Y717" s="819"/>
      <c r="Z717" s="820"/>
      <c r="AA717" s="820"/>
      <c r="AB717" s="821"/>
      <c r="AC717" s="821"/>
      <c r="AD717" s="253"/>
      <c r="AE717" s="253"/>
    </row>
    <row r="718" spans="1:31" ht="14.5">
      <c r="A718" t="s">
        <v>8609</v>
      </c>
      <c r="B718" t="s">
        <v>8610</v>
      </c>
      <c r="C718">
        <v>12076</v>
      </c>
      <c r="D718" s="581"/>
      <c r="E718" s="581"/>
      <c r="F718" s="2">
        <f>(1/S718)*cnst_fish!$C$6</f>
        <v>3.0136363636363642E-2</v>
      </c>
      <c r="G718" s="2">
        <f t="shared" si="101"/>
        <v>1</v>
      </c>
      <c r="H718" s="2">
        <f t="shared" si="101"/>
        <v>0.36449057933102513</v>
      </c>
      <c r="I718" s="2">
        <f t="shared" si="102"/>
        <v>0</v>
      </c>
      <c r="J718" s="389">
        <f t="shared" si="103"/>
        <v>0</v>
      </c>
      <c r="L718" s="721"/>
      <c r="M718" s="581"/>
      <c r="N718" s="585" t="s">
        <v>1738</v>
      </c>
      <c r="O718" s="586" t="s">
        <v>4681</v>
      </c>
      <c r="P718" s="233">
        <f t="shared" si="104"/>
        <v>0</v>
      </c>
      <c r="Q718" s="233">
        <f t="shared" si="105"/>
        <v>0</v>
      </c>
      <c r="R718" s="2">
        <f t="shared" si="106"/>
        <v>4</v>
      </c>
      <c r="S718" s="2">
        <f>(1/9)*cnst_fish!$C$7*(1/cnst_fish!$C$8)^(R718-1)</f>
        <v>141.02564102564099</v>
      </c>
      <c r="T718" s="682">
        <f t="shared" si="107"/>
        <v>0</v>
      </c>
      <c r="W718" s="818"/>
      <c r="X718" s="818"/>
      <c r="Y718" s="819"/>
      <c r="Z718" s="820"/>
      <c r="AA718" s="820"/>
      <c r="AB718" s="821"/>
      <c r="AC718" s="821"/>
      <c r="AD718" s="253"/>
      <c r="AE718" s="253"/>
    </row>
    <row r="719" spans="1:31" ht="14.5">
      <c r="A719" t="s">
        <v>4214</v>
      </c>
      <c r="B719" t="s">
        <v>8611</v>
      </c>
      <c r="C719">
        <v>2282</v>
      </c>
      <c r="D719" s="581"/>
      <c r="E719" s="581"/>
      <c r="F719" s="2">
        <f>(1/S719)*cnst_fish!$C$6</f>
        <v>1.9014759972289439E-2</v>
      </c>
      <c r="G719" s="2">
        <f t="shared" si="101"/>
        <v>1</v>
      </c>
      <c r="H719" s="2">
        <f t="shared" si="101"/>
        <v>0.36449057933102513</v>
      </c>
      <c r="I719" s="2">
        <f t="shared" si="102"/>
        <v>0</v>
      </c>
      <c r="J719" s="389">
        <f t="shared" si="103"/>
        <v>0</v>
      </c>
      <c r="L719" s="721"/>
      <c r="M719" s="581"/>
      <c r="N719" s="585" t="s">
        <v>1738</v>
      </c>
      <c r="O719" s="586" t="s">
        <v>4681</v>
      </c>
      <c r="P719" s="233">
        <f t="shared" si="104"/>
        <v>0</v>
      </c>
      <c r="Q719" s="233">
        <f t="shared" si="105"/>
        <v>0</v>
      </c>
      <c r="R719" s="2">
        <f t="shared" si="106"/>
        <v>4.2</v>
      </c>
      <c r="S719" s="2">
        <f>(1/9)*cnst_fish!$C$7*(1/cnst_fish!$C$8)^(R719-1)</f>
        <v>223.51057842400343</v>
      </c>
      <c r="T719" s="682">
        <f t="shared" si="107"/>
        <v>0</v>
      </c>
      <c r="W719" s="818"/>
      <c r="X719" s="818"/>
      <c r="Y719" s="819"/>
      <c r="Z719" s="820"/>
      <c r="AA719" s="820"/>
      <c r="AB719" s="821"/>
      <c r="AC719" s="821"/>
      <c r="AD719" s="253"/>
      <c r="AE719" s="253"/>
    </row>
    <row r="720" spans="1:31" ht="14.5">
      <c r="A720" t="s">
        <v>372</v>
      </c>
      <c r="B720" t="s">
        <v>5425</v>
      </c>
      <c r="C720">
        <v>3071</v>
      </c>
      <c r="D720" s="581"/>
      <c r="E720" s="581"/>
      <c r="F720" s="2">
        <f>(1/S720)*cnst_fish!$C$6</f>
        <v>5.6116535073067304E-2</v>
      </c>
      <c r="G720" s="2">
        <f t="shared" si="101"/>
        <v>1</v>
      </c>
      <c r="H720" s="2">
        <f t="shared" si="101"/>
        <v>0.36449057933102513</v>
      </c>
      <c r="I720" s="2">
        <f t="shared" si="102"/>
        <v>0</v>
      </c>
      <c r="J720" s="389">
        <f t="shared" si="103"/>
        <v>0</v>
      </c>
      <c r="L720" s="721">
        <v>1162</v>
      </c>
      <c r="M720" s="581"/>
      <c r="N720" s="585" t="s">
        <v>1738</v>
      </c>
      <c r="O720" s="586" t="s">
        <v>4681</v>
      </c>
      <c r="P720" s="233">
        <f t="shared" si="104"/>
        <v>0</v>
      </c>
      <c r="Q720" s="233">
        <f t="shared" si="105"/>
        <v>1162</v>
      </c>
      <c r="R720" s="2">
        <f t="shared" si="106"/>
        <v>3.73</v>
      </c>
      <c r="S720" s="2">
        <f>(1/9)*cnst_fish!$C$7*(1/cnst_fish!$C$8)^(R720-1)</f>
        <v>75.735253334266432</v>
      </c>
      <c r="T720" s="682">
        <f t="shared" si="107"/>
        <v>7547.4733539976705</v>
      </c>
      <c r="W720" s="818"/>
      <c r="X720" s="818"/>
      <c r="Y720" s="819"/>
      <c r="Z720" s="820"/>
      <c r="AA720" s="820"/>
      <c r="AB720" s="821"/>
      <c r="AC720" s="821"/>
      <c r="AD720" s="253"/>
      <c r="AE720" s="253"/>
    </row>
    <row r="721" spans="1:31" ht="14.5">
      <c r="A721" t="s">
        <v>3117</v>
      </c>
      <c r="B721" t="s">
        <v>3118</v>
      </c>
      <c r="C721">
        <v>12081</v>
      </c>
      <c r="D721" s="581"/>
      <c r="E721" s="581"/>
      <c r="F721" s="2">
        <f>(1/S721)*cnst_fish!$C$6</f>
        <v>4.8875458843134996E-2</v>
      </c>
      <c r="G721" s="2">
        <f t="shared" si="101"/>
        <v>1</v>
      </c>
      <c r="H721" s="2">
        <f t="shared" si="101"/>
        <v>0.36449057933102513</v>
      </c>
      <c r="I721" s="2">
        <f t="shared" si="102"/>
        <v>0</v>
      </c>
      <c r="J721" s="389">
        <f t="shared" si="103"/>
        <v>0</v>
      </c>
      <c r="L721" s="721">
        <v>8773.24</v>
      </c>
      <c r="M721" s="581"/>
      <c r="N721" s="585" t="s">
        <v>1738</v>
      </c>
      <c r="O721" s="586" t="s">
        <v>4681</v>
      </c>
      <c r="P721" s="233">
        <f t="shared" si="104"/>
        <v>0</v>
      </c>
      <c r="Q721" s="233">
        <f t="shared" si="105"/>
        <v>8773.24</v>
      </c>
      <c r="R721" s="2">
        <f t="shared" si="106"/>
        <v>3.79</v>
      </c>
      <c r="S721" s="2">
        <f>(1/9)*cnst_fish!$C$7*(1/cnst_fish!$C$8)^(R721-1)</f>
        <v>86.955705390721903</v>
      </c>
      <c r="T721" s="682">
        <f t="shared" si="107"/>
        <v>65426.768482589454</v>
      </c>
      <c r="W721" s="818"/>
      <c r="X721" s="818"/>
      <c r="Y721" s="819"/>
      <c r="Z721" s="820"/>
      <c r="AA721" s="820"/>
      <c r="AB721" s="821"/>
      <c r="AC721" s="821"/>
      <c r="AD721" s="253"/>
      <c r="AE721" s="253"/>
    </row>
    <row r="722" spans="1:31" ht="14.5">
      <c r="A722" t="s">
        <v>1982</v>
      </c>
      <c r="B722" t="s">
        <v>5426</v>
      </c>
      <c r="C722">
        <v>3075</v>
      </c>
      <c r="D722" s="581"/>
      <c r="E722" s="581"/>
      <c r="F722" s="2">
        <f>(1/S722)*cnst_fish!$C$6</f>
        <v>9.7519361156519699E-2</v>
      </c>
      <c r="G722" s="2">
        <f t="shared" si="101"/>
        <v>1</v>
      </c>
      <c r="H722" s="2">
        <f t="shared" si="101"/>
        <v>0.36449057933102513</v>
      </c>
      <c r="I722" s="2">
        <f t="shared" si="102"/>
        <v>0</v>
      </c>
      <c r="J722" s="389">
        <f t="shared" si="103"/>
        <v>0</v>
      </c>
      <c r="L722" s="721">
        <v>1388</v>
      </c>
      <c r="M722" s="581"/>
      <c r="N722" s="585" t="s">
        <v>1738</v>
      </c>
      <c r="O722" s="586" t="s">
        <v>4681</v>
      </c>
      <c r="P722" s="233">
        <f t="shared" si="104"/>
        <v>0</v>
      </c>
      <c r="Q722" s="233">
        <f t="shared" si="105"/>
        <v>1388</v>
      </c>
      <c r="R722" s="2">
        <f t="shared" si="106"/>
        <v>3.49</v>
      </c>
      <c r="S722" s="2">
        <f>(1/9)*cnst_fish!$C$7*(1/cnst_fish!$C$8)^(R722-1)</f>
        <v>43.581089432884006</v>
      </c>
      <c r="T722" s="682">
        <f t="shared" si="107"/>
        <v>5187.8203272831825</v>
      </c>
      <c r="W722" s="818"/>
      <c r="X722" s="818"/>
      <c r="Y722" s="819"/>
      <c r="Z722" s="820"/>
      <c r="AA722" s="820"/>
      <c r="AB722" s="821"/>
      <c r="AC722" s="821"/>
      <c r="AD722" s="253"/>
      <c r="AE722" s="253"/>
    </row>
    <row r="723" spans="1:31" ht="14.5">
      <c r="A723" t="s">
        <v>228</v>
      </c>
      <c r="B723" t="s">
        <v>5427</v>
      </c>
      <c r="C723">
        <v>12082</v>
      </c>
      <c r="D723" s="581"/>
      <c r="E723" s="581"/>
      <c r="F723" s="2">
        <f>(1/S723)*cnst_fish!$C$6</f>
        <v>3.2291695426024204E-2</v>
      </c>
      <c r="G723" s="2">
        <f t="shared" si="101"/>
        <v>1</v>
      </c>
      <c r="H723" s="2">
        <f t="shared" si="101"/>
        <v>0.36449057933102513</v>
      </c>
      <c r="I723" s="2">
        <f t="shared" si="102"/>
        <v>0</v>
      </c>
      <c r="J723" s="389">
        <f t="shared" si="103"/>
        <v>0</v>
      </c>
      <c r="L723" s="721">
        <v>28</v>
      </c>
      <c r="M723" s="581"/>
      <c r="N723" s="585" t="s">
        <v>1738</v>
      </c>
      <c r="O723" s="586" t="s">
        <v>4681</v>
      </c>
      <c r="P723" s="233">
        <f t="shared" si="104"/>
        <v>0</v>
      </c>
      <c r="Q723" s="233">
        <f t="shared" si="105"/>
        <v>28</v>
      </c>
      <c r="R723" s="2">
        <f t="shared" si="106"/>
        <v>3.97</v>
      </c>
      <c r="S723" s="2">
        <f>(1/9)*cnst_fish!$C$7*(1/cnst_fish!$C$8)^(R723-1)</f>
        <v>131.61278600983218</v>
      </c>
      <c r="T723" s="682">
        <f t="shared" si="107"/>
        <v>316.04832408532496</v>
      </c>
      <c r="W723" s="818"/>
      <c r="X723" s="818"/>
      <c r="Y723" s="819"/>
      <c r="Z723" s="820"/>
      <c r="AA723" s="820"/>
      <c r="AB723" s="821"/>
      <c r="AC723" s="821"/>
      <c r="AD723" s="253"/>
      <c r="AE723" s="253"/>
    </row>
    <row r="724" spans="1:31" ht="14.5">
      <c r="A724" t="s">
        <v>2446</v>
      </c>
      <c r="B724" t="s">
        <v>1901</v>
      </c>
      <c r="C724">
        <v>18921</v>
      </c>
      <c r="D724" s="581"/>
      <c r="E724" s="581"/>
      <c r="F724" s="2">
        <f>(1/S724)*cnst_fish!$C$6</f>
        <v>4.1599762155986937E-2</v>
      </c>
      <c r="G724" s="2">
        <f t="shared" si="101"/>
        <v>1</v>
      </c>
      <c r="H724" s="2">
        <f t="shared" si="101"/>
        <v>0.36449057933102513</v>
      </c>
      <c r="I724" s="2">
        <f t="shared" si="102"/>
        <v>0</v>
      </c>
      <c r="J724" s="389">
        <f t="shared" si="103"/>
        <v>0</v>
      </c>
      <c r="L724" s="721">
        <v>606</v>
      </c>
      <c r="M724" s="581"/>
      <c r="N724" s="585" t="s">
        <v>1738</v>
      </c>
      <c r="O724" s="586" t="s">
        <v>4681</v>
      </c>
      <c r="P724" s="233">
        <f t="shared" si="104"/>
        <v>0</v>
      </c>
      <c r="Q724" s="233">
        <f t="shared" si="105"/>
        <v>606</v>
      </c>
      <c r="R724" s="2">
        <f t="shared" si="106"/>
        <v>3.86</v>
      </c>
      <c r="S724" s="2">
        <f>(1/9)*cnst_fish!$C$7*(1/cnst_fish!$C$8)^(R724-1)</f>
        <v>102.16404565160117</v>
      </c>
      <c r="T724" s="682">
        <f t="shared" si="107"/>
        <v>5309.6767776306278</v>
      </c>
      <c r="W724" s="818"/>
      <c r="X724" s="818"/>
      <c r="Y724" s="819"/>
      <c r="Z724" s="820"/>
      <c r="AA724" s="820"/>
      <c r="AB724" s="821"/>
      <c r="AC724" s="821"/>
      <c r="AD724" s="253"/>
      <c r="AE724" s="253"/>
    </row>
    <row r="725" spans="1:31" ht="14.5">
      <c r="A725" t="s">
        <v>6518</v>
      </c>
      <c r="B725" t="s">
        <v>6517</v>
      </c>
      <c r="C725">
        <v>12083</v>
      </c>
      <c r="D725" s="581"/>
      <c r="E725" s="581"/>
      <c r="F725" s="2">
        <f>(1/S725)*cnst_fish!$C$6</f>
        <v>9.5299549485983424E-3</v>
      </c>
      <c r="G725" s="2">
        <f t="shared" si="101"/>
        <v>1</v>
      </c>
      <c r="H725" s="2">
        <f t="shared" si="101"/>
        <v>0.36449057933102513</v>
      </c>
      <c r="I725" s="2">
        <f t="shared" si="102"/>
        <v>0</v>
      </c>
      <c r="J725" s="389">
        <f t="shared" si="103"/>
        <v>0</v>
      </c>
      <c r="L725" s="721">
        <v>2</v>
      </c>
      <c r="M725" s="581"/>
      <c r="N725" s="585" t="s">
        <v>1738</v>
      </c>
      <c r="O725" s="586" t="s">
        <v>4681</v>
      </c>
      <c r="P725" s="233">
        <f t="shared" si="104"/>
        <v>0</v>
      </c>
      <c r="Q725" s="233">
        <f t="shared" si="105"/>
        <v>2</v>
      </c>
      <c r="R725" s="2">
        <f t="shared" si="106"/>
        <v>4.5</v>
      </c>
      <c r="S725" s="2">
        <f>(1/9)*cnst_fish!$C$7*(1/cnst_fish!$C$8)^(R725-1)</f>
        <v>445.96223412630997</v>
      </c>
      <c r="T725" s="682">
        <f t="shared" si="107"/>
        <v>76.493662624215048</v>
      </c>
      <c r="W725" s="818"/>
      <c r="X725" s="818"/>
      <c r="Y725" s="819"/>
      <c r="Z725" s="820"/>
      <c r="AA725" s="820"/>
      <c r="AB725" s="821"/>
      <c r="AC725" s="821"/>
      <c r="AD725" s="253"/>
      <c r="AE725" s="253"/>
    </row>
    <row r="726" spans="1:31" ht="14.5">
      <c r="A726" t="s">
        <v>5221</v>
      </c>
      <c r="B726" t="s">
        <v>1902</v>
      </c>
      <c r="C726">
        <v>12084</v>
      </c>
      <c r="D726" s="581"/>
      <c r="E726" s="581"/>
      <c r="F726" s="2">
        <f>(1/S726)*cnst_fish!$C$6</f>
        <v>3.2291695426024204E-2</v>
      </c>
      <c r="G726" s="2">
        <f t="shared" si="101"/>
        <v>1</v>
      </c>
      <c r="H726" s="2">
        <f t="shared" si="101"/>
        <v>0.36449057933102513</v>
      </c>
      <c r="I726" s="2">
        <f t="shared" si="102"/>
        <v>0</v>
      </c>
      <c r="J726" s="389">
        <f t="shared" si="103"/>
        <v>0</v>
      </c>
      <c r="L726" s="721">
        <v>9</v>
      </c>
      <c r="M726" s="581"/>
      <c r="N726" s="585" t="s">
        <v>1738</v>
      </c>
      <c r="O726" s="586" t="s">
        <v>4681</v>
      </c>
      <c r="P726" s="233">
        <f t="shared" si="104"/>
        <v>0</v>
      </c>
      <c r="Q726" s="233">
        <f t="shared" si="105"/>
        <v>9</v>
      </c>
      <c r="R726" s="2">
        <f t="shared" si="106"/>
        <v>3.97</v>
      </c>
      <c r="S726" s="2">
        <f>(1/9)*cnst_fish!$C$7*(1/cnst_fish!$C$8)^(R726-1)</f>
        <v>131.61278600983218</v>
      </c>
      <c r="T726" s="682">
        <f t="shared" si="107"/>
        <v>101.58696131314018</v>
      </c>
      <c r="W726" s="818"/>
      <c r="X726" s="818"/>
      <c r="Y726" s="819"/>
      <c r="Z726" s="820"/>
      <c r="AA726" s="820"/>
      <c r="AB726" s="821"/>
      <c r="AC726" s="821"/>
      <c r="AD726" s="253"/>
      <c r="AE726" s="253"/>
    </row>
    <row r="727" spans="1:31" ht="14.5">
      <c r="A727" t="s">
        <v>1978</v>
      </c>
      <c r="B727" t="s">
        <v>4784</v>
      </c>
      <c r="C727">
        <v>12085</v>
      </c>
      <c r="D727" s="581"/>
      <c r="E727" s="581"/>
      <c r="F727" s="2">
        <f>(1/S727)*cnst_fish!$C$6</f>
        <v>2.7484690295134888E-2</v>
      </c>
      <c r="G727" s="2">
        <f t="shared" si="101"/>
        <v>1</v>
      </c>
      <c r="H727" s="2">
        <f t="shared" si="101"/>
        <v>0.36449057933102513</v>
      </c>
      <c r="I727" s="2">
        <f t="shared" si="102"/>
        <v>0</v>
      </c>
      <c r="J727" s="389">
        <f t="shared" si="103"/>
        <v>0</v>
      </c>
      <c r="L727" s="721">
        <v>118</v>
      </c>
      <c r="M727" s="581"/>
      <c r="N727" s="585" t="s">
        <v>1738</v>
      </c>
      <c r="O727" s="586" t="s">
        <v>4681</v>
      </c>
      <c r="P727" s="233">
        <f t="shared" si="104"/>
        <v>0</v>
      </c>
      <c r="Q727" s="233">
        <f t="shared" si="105"/>
        <v>118</v>
      </c>
      <c r="R727" s="2">
        <f t="shared" si="106"/>
        <v>4.04</v>
      </c>
      <c r="S727" s="2">
        <f>(1/9)*cnst_fish!$C$7*(1/cnst_fish!$C$8)^(R727-1)</f>
        <v>154.63154048173138</v>
      </c>
      <c r="T727" s="682">
        <f t="shared" si="107"/>
        <v>1564.8671278160343</v>
      </c>
      <c r="W727" s="818"/>
      <c r="X727" s="818"/>
      <c r="Y727" s="819"/>
      <c r="Z727" s="820"/>
      <c r="AA727" s="820"/>
      <c r="AB727" s="821"/>
      <c r="AC727" s="821"/>
      <c r="AD727" s="253"/>
      <c r="AE727" s="253"/>
    </row>
    <row r="728" spans="1:31" ht="14.5">
      <c r="A728" t="s">
        <v>6648</v>
      </c>
      <c r="B728" t="s">
        <v>6647</v>
      </c>
      <c r="C728">
        <v>18944</v>
      </c>
      <c r="D728" s="581"/>
      <c r="E728" s="581"/>
      <c r="F728" s="2">
        <f>(1/S728)*cnst_fish!$C$6</f>
        <v>4.7762917572805388E-2</v>
      </c>
      <c r="G728" s="2">
        <f t="shared" ref="G728:H747" si="108">G$7</f>
        <v>1</v>
      </c>
      <c r="H728" s="2">
        <f t="shared" si="108"/>
        <v>0.36449057933102513</v>
      </c>
      <c r="I728" s="2">
        <f t="shared" si="102"/>
        <v>0</v>
      </c>
      <c r="J728" s="389">
        <f t="shared" si="103"/>
        <v>0</v>
      </c>
      <c r="L728" s="721">
        <v>380</v>
      </c>
      <c r="M728" s="581"/>
      <c r="N728" s="585" t="s">
        <v>1738</v>
      </c>
      <c r="O728" s="586" t="s">
        <v>4681</v>
      </c>
      <c r="P728" s="233">
        <f t="shared" si="104"/>
        <v>0</v>
      </c>
      <c r="Q728" s="233">
        <f t="shared" si="105"/>
        <v>380</v>
      </c>
      <c r="R728" s="2">
        <f t="shared" si="106"/>
        <v>3.8</v>
      </c>
      <c r="S728" s="2">
        <f>(1/9)*cnst_fish!$C$7*(1/cnst_fish!$C$8)^(R728-1)</f>
        <v>88.981163965155432</v>
      </c>
      <c r="T728" s="682">
        <f t="shared" si="107"/>
        <v>2899.8735249927545</v>
      </c>
      <c r="W728" s="818"/>
      <c r="X728" s="818"/>
      <c r="Y728" s="819"/>
      <c r="Z728" s="820"/>
      <c r="AA728" s="820"/>
      <c r="AB728" s="821"/>
      <c r="AC728" s="821"/>
      <c r="AD728" s="253"/>
      <c r="AE728" s="253"/>
    </row>
    <row r="729" spans="1:31" ht="14.5">
      <c r="A729" t="s">
        <v>3761</v>
      </c>
      <c r="B729" t="s">
        <v>1398</v>
      </c>
      <c r="C729">
        <v>12086</v>
      </c>
      <c r="D729" s="581"/>
      <c r="E729" s="581"/>
      <c r="F729" s="2">
        <f>(1/S729)*cnst_fish!$C$6</f>
        <v>3.460117504783787E-2</v>
      </c>
      <c r="G729" s="2">
        <f t="shared" si="108"/>
        <v>1</v>
      </c>
      <c r="H729" s="2">
        <f t="shared" si="108"/>
        <v>0.36449057933102513</v>
      </c>
      <c r="I729" s="2">
        <f t="shared" si="102"/>
        <v>0</v>
      </c>
      <c r="J729" s="389">
        <f t="shared" si="103"/>
        <v>0</v>
      </c>
      <c r="L729" s="721"/>
      <c r="M729" s="581"/>
      <c r="N729" s="585" t="s">
        <v>1738</v>
      </c>
      <c r="O729" s="586" t="s">
        <v>4681</v>
      </c>
      <c r="P729" s="233">
        <f t="shared" si="104"/>
        <v>0</v>
      </c>
      <c r="Q729" s="233">
        <f t="shared" si="105"/>
        <v>0</v>
      </c>
      <c r="R729" s="2">
        <f t="shared" si="106"/>
        <v>3.94</v>
      </c>
      <c r="S729" s="2">
        <f>(1/9)*cnst_fish!$C$7*(1/cnst_fish!$C$8)^(R729-1)</f>
        <v>122.82819858354985</v>
      </c>
      <c r="T729" s="682">
        <f t="shared" si="107"/>
        <v>0</v>
      </c>
      <c r="W729" s="818"/>
      <c r="X729" s="818"/>
      <c r="Y729" s="819"/>
      <c r="Z729" s="820"/>
      <c r="AA729" s="820"/>
      <c r="AB729" s="821"/>
      <c r="AC729" s="821"/>
      <c r="AD729" s="253"/>
      <c r="AE729" s="253"/>
    </row>
    <row r="730" spans="1:31" ht="14.5">
      <c r="A730" t="s">
        <v>3656</v>
      </c>
      <c r="B730" t="s">
        <v>1399</v>
      </c>
      <c r="C730">
        <v>2278</v>
      </c>
      <c r="D730" s="581"/>
      <c r="E730" s="581"/>
      <c r="F730" s="2">
        <f>(1/S730)*cnst_fish!$C$6</f>
        <v>3.7939434000887833E-2</v>
      </c>
      <c r="G730" s="2">
        <f t="shared" si="108"/>
        <v>1</v>
      </c>
      <c r="H730" s="2">
        <f t="shared" si="108"/>
        <v>0.36449057933102513</v>
      </c>
      <c r="I730" s="2">
        <f t="shared" si="102"/>
        <v>0</v>
      </c>
      <c r="J730" s="389">
        <f t="shared" si="103"/>
        <v>0</v>
      </c>
      <c r="L730" s="721">
        <v>193947</v>
      </c>
      <c r="M730" s="581"/>
      <c r="N730" s="585" t="s">
        <v>1738</v>
      </c>
      <c r="O730" s="586" t="s">
        <v>4681</v>
      </c>
      <c r="P730" s="233">
        <f t="shared" si="104"/>
        <v>0</v>
      </c>
      <c r="Q730" s="233">
        <f t="shared" si="105"/>
        <v>193947</v>
      </c>
      <c r="R730" s="2">
        <f t="shared" si="106"/>
        <v>3.9</v>
      </c>
      <c r="S730" s="2">
        <f>(1/9)*cnst_fish!$C$7*(1/cnst_fish!$C$8)^(R730-1)</f>
        <v>112.02064848675771</v>
      </c>
      <c r="T730" s="682">
        <f t="shared" si="107"/>
        <v>1863281.7344576109</v>
      </c>
      <c r="W730" s="818"/>
      <c r="X730" s="818"/>
      <c r="Y730" s="819"/>
      <c r="Z730" s="820"/>
      <c r="AA730" s="820"/>
      <c r="AB730" s="821"/>
      <c r="AC730" s="821"/>
      <c r="AD730" s="253"/>
      <c r="AE730" s="253"/>
    </row>
    <row r="731" spans="1:31" ht="14.5">
      <c r="A731" t="s">
        <v>822</v>
      </c>
      <c r="B731" t="s">
        <v>2426</v>
      </c>
      <c r="C731">
        <v>2280</v>
      </c>
      <c r="D731" s="581"/>
      <c r="E731" s="581"/>
      <c r="F731" s="2">
        <f>(1/S731)*cnst_fish!$C$6</f>
        <v>2.6247675460949162E-2</v>
      </c>
      <c r="G731" s="2">
        <f t="shared" si="108"/>
        <v>1</v>
      </c>
      <c r="H731" s="2">
        <f t="shared" si="108"/>
        <v>0.36449057933102513</v>
      </c>
      <c r="I731" s="2">
        <f t="shared" si="102"/>
        <v>0</v>
      </c>
      <c r="J731" s="389">
        <f t="shared" si="103"/>
        <v>0</v>
      </c>
      <c r="L731" s="721">
        <v>102</v>
      </c>
      <c r="M731" s="581"/>
      <c r="N731" s="585" t="s">
        <v>1738</v>
      </c>
      <c r="O731" s="586" t="s">
        <v>4681</v>
      </c>
      <c r="P731" s="233">
        <f t="shared" si="104"/>
        <v>0</v>
      </c>
      <c r="Q731" s="233">
        <f t="shared" si="105"/>
        <v>102</v>
      </c>
      <c r="R731" s="2">
        <f t="shared" si="106"/>
        <v>4.0599999999999996</v>
      </c>
      <c r="S731" s="2">
        <f>(1/9)*cnst_fish!$C$7*(1/cnst_fish!$C$8)^(R731-1)</f>
        <v>161.91910046750908</v>
      </c>
      <c r="T731" s="682">
        <f t="shared" si="107"/>
        <v>1416.4316816198602</v>
      </c>
      <c r="W731" s="818"/>
      <c r="X731" s="818"/>
      <c r="Y731" s="819"/>
      <c r="Z731" s="820"/>
      <c r="AA731" s="820"/>
      <c r="AB731" s="821"/>
      <c r="AC731" s="821"/>
      <c r="AD731" s="253"/>
      <c r="AE731" s="253"/>
    </row>
    <row r="732" spans="1:31" ht="14.5">
      <c r="A732" t="s">
        <v>2444</v>
      </c>
      <c r="B732" t="s">
        <v>2427</v>
      </c>
      <c r="C732">
        <v>18945</v>
      </c>
      <c r="D732" s="581"/>
      <c r="E732" s="581"/>
      <c r="F732" s="2">
        <f>(1/S732)*cnst_fish!$C$6</f>
        <v>4.7762917572805388E-2</v>
      </c>
      <c r="G732" s="2">
        <f t="shared" si="108"/>
        <v>1</v>
      </c>
      <c r="H732" s="2">
        <f t="shared" si="108"/>
        <v>0.36449057933102513</v>
      </c>
      <c r="I732" s="2">
        <f t="shared" si="102"/>
        <v>0</v>
      </c>
      <c r="J732" s="389">
        <f t="shared" si="103"/>
        <v>0</v>
      </c>
      <c r="L732" s="721">
        <v>34</v>
      </c>
      <c r="M732" s="581"/>
      <c r="N732" s="585" t="s">
        <v>1738</v>
      </c>
      <c r="O732" s="586" t="s">
        <v>4681</v>
      </c>
      <c r="P732" s="233">
        <f t="shared" si="104"/>
        <v>0</v>
      </c>
      <c r="Q732" s="233">
        <f t="shared" si="105"/>
        <v>34</v>
      </c>
      <c r="R732" s="2">
        <f t="shared" si="106"/>
        <v>3.8</v>
      </c>
      <c r="S732" s="2">
        <f>(1/9)*cnst_fish!$C$7*(1/cnst_fish!$C$8)^(R732-1)</f>
        <v>88.981163965155432</v>
      </c>
      <c r="T732" s="682">
        <f t="shared" si="107"/>
        <v>259.4623680256675</v>
      </c>
      <c r="W732" s="818"/>
      <c r="X732" s="818"/>
      <c r="Y732" s="819"/>
      <c r="Z732" s="820"/>
      <c r="AA732" s="820"/>
      <c r="AB732" s="821"/>
      <c r="AC732" s="821"/>
      <c r="AD732" s="253"/>
      <c r="AE732" s="253"/>
    </row>
    <row r="733" spans="1:31" ht="14.5">
      <c r="A733" t="s">
        <v>2646</v>
      </c>
      <c r="B733" t="s">
        <v>2428</v>
      </c>
      <c r="C733">
        <v>3073</v>
      </c>
      <c r="D733" s="581"/>
      <c r="E733" s="581"/>
      <c r="F733" s="2">
        <f>(1/S733)*cnst_fish!$C$6</f>
        <v>2.234039499920492E-2</v>
      </c>
      <c r="G733" s="2">
        <f t="shared" si="108"/>
        <v>1</v>
      </c>
      <c r="H733" s="2">
        <f t="shared" si="108"/>
        <v>0.36449057933102513</v>
      </c>
      <c r="I733" s="2">
        <f t="shared" si="102"/>
        <v>0</v>
      </c>
      <c r="J733" s="389">
        <f t="shared" si="103"/>
        <v>0</v>
      </c>
      <c r="L733" s="721">
        <v>21845.88</v>
      </c>
      <c r="M733" s="581"/>
      <c r="N733" s="585" t="s">
        <v>1738</v>
      </c>
      <c r="O733" s="586" t="s">
        <v>4681</v>
      </c>
      <c r="P733" s="233">
        <f t="shared" si="104"/>
        <v>0</v>
      </c>
      <c r="Q733" s="233">
        <f t="shared" si="105"/>
        <v>21845.88</v>
      </c>
      <c r="R733" s="2">
        <f t="shared" si="106"/>
        <v>4.13</v>
      </c>
      <c r="S733" s="2">
        <f>(1/9)*cnst_fish!$C$7*(1/cnst_fish!$C$8)^(R733-1)</f>
        <v>190.23835523728451</v>
      </c>
      <c r="T733" s="682">
        <f t="shared" si="107"/>
        <v>356422.41139780381</v>
      </c>
      <c r="W733" s="818"/>
      <c r="X733" s="818"/>
      <c r="Y733" s="819"/>
      <c r="Z733" s="820"/>
      <c r="AA733" s="820"/>
      <c r="AB733" s="821"/>
      <c r="AC733" s="821"/>
      <c r="AD733" s="253"/>
      <c r="AE733" s="253"/>
    </row>
    <row r="734" spans="1:31" ht="14.5">
      <c r="A734" t="s">
        <v>6282</v>
      </c>
      <c r="B734" t="s">
        <v>6281</v>
      </c>
      <c r="C734">
        <v>19221</v>
      </c>
      <c r="D734" s="581"/>
      <c r="E734" s="581"/>
      <c r="F734" s="2">
        <f>(1/S734)*cnst_fish!$C$6</f>
        <v>3.0136363636363642E-3</v>
      </c>
      <c r="G734" s="2">
        <f t="shared" si="108"/>
        <v>1</v>
      </c>
      <c r="H734" s="2">
        <f t="shared" si="108"/>
        <v>0.36449057933102513</v>
      </c>
      <c r="I734" s="2">
        <f t="shared" si="102"/>
        <v>0</v>
      </c>
      <c r="J734" s="389">
        <f t="shared" si="103"/>
        <v>0</v>
      </c>
      <c r="L734" s="721">
        <v>201</v>
      </c>
      <c r="M734" s="581"/>
      <c r="N734" s="585" t="s">
        <v>1738</v>
      </c>
      <c r="O734" s="586" t="s">
        <v>4681</v>
      </c>
      <c r="P734" s="233">
        <f t="shared" si="104"/>
        <v>0</v>
      </c>
      <c r="Q734" s="233">
        <f t="shared" si="105"/>
        <v>201</v>
      </c>
      <c r="R734" s="2">
        <f t="shared" si="106"/>
        <v>5</v>
      </c>
      <c r="S734" s="2">
        <f>(1/9)*cnst_fish!$C$7*(1/cnst_fish!$C$8)^(R734-1)</f>
        <v>1410.2564102564099</v>
      </c>
      <c r="T734" s="682">
        <f t="shared" si="107"/>
        <v>24310.367146331715</v>
      </c>
      <c r="W734" s="818"/>
      <c r="X734" s="818"/>
      <c r="Y734" s="819"/>
      <c r="Z734" s="820"/>
      <c r="AA734" s="820"/>
      <c r="AB734" s="821"/>
      <c r="AC734" s="821"/>
      <c r="AD734" s="253"/>
      <c r="AE734" s="253"/>
    </row>
    <row r="735" spans="1:31" ht="14.5">
      <c r="A735" t="s">
        <v>5080</v>
      </c>
      <c r="B735" t="s">
        <v>3704</v>
      </c>
      <c r="C735">
        <v>3606</v>
      </c>
      <c r="D735" s="581"/>
      <c r="E735" s="581"/>
      <c r="F735" s="2">
        <f>(1/S735)*cnst_fish!$C$6</f>
        <v>0.30136363636363639</v>
      </c>
      <c r="G735" s="2">
        <f t="shared" si="108"/>
        <v>1</v>
      </c>
      <c r="H735" s="2">
        <f t="shared" si="108"/>
        <v>0.36449057933102513</v>
      </c>
      <c r="I735" s="2">
        <f t="shared" si="102"/>
        <v>0</v>
      </c>
      <c r="J735" s="389">
        <f t="shared" si="103"/>
        <v>0</v>
      </c>
      <c r="L735" s="721">
        <v>0</v>
      </c>
      <c r="M735" s="581"/>
      <c r="N735" s="585" t="s">
        <v>2310</v>
      </c>
      <c r="O735" s="586"/>
      <c r="P735" s="233">
        <f t="shared" si="104"/>
        <v>0</v>
      </c>
      <c r="Q735" s="233">
        <f t="shared" si="105"/>
        <v>0</v>
      </c>
      <c r="R735" s="2">
        <f t="shared" si="106"/>
        <v>3</v>
      </c>
      <c r="S735" s="2">
        <f>(1/9)*cnst_fish!$C$7*(1/cnst_fish!$C$8)^(R735-1)</f>
        <v>14.1025641025641</v>
      </c>
      <c r="T735" s="682">
        <f t="shared" si="107"/>
        <v>0</v>
      </c>
      <c r="W735" s="818"/>
      <c r="X735" s="818"/>
      <c r="Y735" s="819"/>
      <c r="Z735" s="820"/>
      <c r="AA735" s="820"/>
      <c r="AB735" s="821"/>
      <c r="AC735" s="821"/>
      <c r="AD735" s="253"/>
      <c r="AE735" s="253"/>
    </row>
    <row r="736" spans="1:31" ht="14.5">
      <c r="A736" t="s">
        <v>6638</v>
      </c>
      <c r="B736" t="s">
        <v>6637</v>
      </c>
      <c r="C736">
        <v>12113</v>
      </c>
      <c r="D736" s="581"/>
      <c r="E736" s="581"/>
      <c r="F736" s="2">
        <f>(1/S736)*cnst_fish!$C$6</f>
        <v>9.5299549485983424E-3</v>
      </c>
      <c r="G736" s="2">
        <f t="shared" si="108"/>
        <v>1</v>
      </c>
      <c r="H736" s="2">
        <f t="shared" si="108"/>
        <v>0.36449057933102513</v>
      </c>
      <c r="I736" s="2">
        <f t="shared" si="102"/>
        <v>0</v>
      </c>
      <c r="J736" s="389">
        <f t="shared" si="103"/>
        <v>0</v>
      </c>
      <c r="L736" s="721">
        <v>0</v>
      </c>
      <c r="M736" s="581"/>
      <c r="N736" s="585" t="s">
        <v>1738</v>
      </c>
      <c r="O736" s="586" t="s">
        <v>4681</v>
      </c>
      <c r="P736" s="233">
        <f t="shared" si="104"/>
        <v>0</v>
      </c>
      <c r="Q736" s="233">
        <f t="shared" si="105"/>
        <v>0</v>
      </c>
      <c r="R736" s="2">
        <f t="shared" si="106"/>
        <v>4.5</v>
      </c>
      <c r="S736" s="2">
        <f>(1/9)*cnst_fish!$C$7*(1/cnst_fish!$C$8)^(R736-1)</f>
        <v>445.96223412630997</v>
      </c>
      <c r="T736" s="682">
        <f t="shared" si="107"/>
        <v>0</v>
      </c>
      <c r="W736" s="818"/>
      <c r="X736" s="818"/>
      <c r="Y736" s="819"/>
      <c r="Z736" s="820"/>
      <c r="AA736" s="820"/>
      <c r="AB736" s="821"/>
      <c r="AC736" s="821"/>
      <c r="AD736" s="253"/>
      <c r="AE736" s="253"/>
    </row>
    <row r="737" spans="1:31" ht="14.5">
      <c r="A737" t="s">
        <v>2591</v>
      </c>
      <c r="B737" t="s">
        <v>2332</v>
      </c>
      <c r="C737">
        <v>18571</v>
      </c>
      <c r="D737" s="581"/>
      <c r="E737" s="581"/>
      <c r="F737" s="2">
        <f>(1/S737)*cnst_fish!$C$6</f>
        <v>0.95299549485983426</v>
      </c>
      <c r="G737" s="2">
        <f t="shared" si="108"/>
        <v>1</v>
      </c>
      <c r="H737" s="2">
        <f t="shared" si="108"/>
        <v>0.36449057933102513</v>
      </c>
      <c r="I737" s="2">
        <f t="shared" si="102"/>
        <v>0</v>
      </c>
      <c r="J737" s="389">
        <f t="shared" si="103"/>
        <v>0</v>
      </c>
      <c r="L737" s="721">
        <v>523</v>
      </c>
      <c r="M737" s="581"/>
      <c r="N737" s="585" t="s">
        <v>2311</v>
      </c>
      <c r="O737" s="586" t="s">
        <v>4680</v>
      </c>
      <c r="P737" s="233">
        <f t="shared" si="104"/>
        <v>0</v>
      </c>
      <c r="Q737" s="233">
        <f t="shared" si="105"/>
        <v>523</v>
      </c>
      <c r="R737" s="2">
        <f t="shared" si="106"/>
        <v>2.5</v>
      </c>
      <c r="S737" s="2">
        <f>(1/9)*cnst_fish!$C$7*(1/cnst_fish!$C$8)^(R737-1)</f>
        <v>4.4596223412630991</v>
      </c>
      <c r="T737" s="682">
        <f t="shared" si="107"/>
        <v>200.03092776232234</v>
      </c>
      <c r="W737" s="818"/>
      <c r="X737" s="818"/>
      <c r="Y737" s="819"/>
      <c r="Z737" s="820"/>
      <c r="AA737" s="820"/>
      <c r="AB737" s="821"/>
      <c r="AC737" s="821"/>
      <c r="AD737" s="253"/>
      <c r="AE737" s="253"/>
    </row>
    <row r="738" spans="1:31" ht="14.5">
      <c r="A738" t="s">
        <v>1184</v>
      </c>
      <c r="B738" t="s">
        <v>5292</v>
      </c>
      <c r="C738">
        <v>3466</v>
      </c>
      <c r="D738" s="581"/>
      <c r="E738" s="581"/>
      <c r="F738" s="2">
        <f>(1/S738)*cnst_fish!$C$6</f>
        <v>0.75699122913220485</v>
      </c>
      <c r="G738" s="2">
        <f t="shared" si="108"/>
        <v>1</v>
      </c>
      <c r="H738" s="2">
        <f t="shared" si="108"/>
        <v>0.36449057933102513</v>
      </c>
      <c r="I738" s="2">
        <f t="shared" si="102"/>
        <v>0</v>
      </c>
      <c r="J738" s="389">
        <f t="shared" si="103"/>
        <v>0</v>
      </c>
      <c r="L738" s="721">
        <v>38</v>
      </c>
      <c r="M738" s="581">
        <v>41840</v>
      </c>
      <c r="N738" s="585" t="s">
        <v>2311</v>
      </c>
      <c r="O738" s="586" t="s">
        <v>4680</v>
      </c>
      <c r="P738" s="233">
        <f t="shared" si="104"/>
        <v>0</v>
      </c>
      <c r="Q738" s="233">
        <f t="shared" si="105"/>
        <v>41878</v>
      </c>
      <c r="R738" s="2">
        <f t="shared" si="106"/>
        <v>2.6</v>
      </c>
      <c r="S738" s="2">
        <f>(1/9)*cnst_fish!$C$7*(1/cnst_fish!$C$8)^(R738-1)</f>
        <v>5.6143318924211183</v>
      </c>
      <c r="T738" s="682">
        <f t="shared" si="107"/>
        <v>20164.218413366667</v>
      </c>
      <c r="W738" s="818"/>
      <c r="X738" s="818"/>
      <c r="Y738" s="819"/>
      <c r="Z738" s="820"/>
      <c r="AA738" s="820"/>
      <c r="AB738" s="821"/>
      <c r="AC738" s="821"/>
      <c r="AD738" s="253"/>
      <c r="AE738" s="253"/>
    </row>
    <row r="739" spans="1:31" ht="14.5">
      <c r="A739" t="s">
        <v>6594</v>
      </c>
      <c r="B739" t="s">
        <v>6593</v>
      </c>
      <c r="C739">
        <v>16686</v>
      </c>
      <c r="D739" s="581"/>
      <c r="E739" s="581"/>
      <c r="F739" s="2">
        <f>(1/S739)*cnst_fish!$C$6</f>
        <v>3.0136363636363641</v>
      </c>
      <c r="G739" s="2">
        <f t="shared" si="108"/>
        <v>1</v>
      </c>
      <c r="H739" s="2">
        <f t="shared" si="108"/>
        <v>0.36449057933102513</v>
      </c>
      <c r="I739" s="2">
        <f t="shared" si="102"/>
        <v>0</v>
      </c>
      <c r="J739" s="389">
        <f t="shared" si="103"/>
        <v>0</v>
      </c>
      <c r="L739" s="721">
        <v>799</v>
      </c>
      <c r="M739" s="581"/>
      <c r="N739" s="585" t="s">
        <v>2322</v>
      </c>
      <c r="O739" s="586" t="s">
        <v>4680</v>
      </c>
      <c r="P739" s="233">
        <f t="shared" si="104"/>
        <v>0</v>
      </c>
      <c r="Q739" s="233">
        <f t="shared" si="105"/>
        <v>799</v>
      </c>
      <c r="R739" s="2">
        <f t="shared" si="106"/>
        <v>2</v>
      </c>
      <c r="S739" s="2">
        <f>(1/9)*cnst_fish!$C$7*(1/cnst_fish!$C$8)^(R739-1)</f>
        <v>1.4102564102564099</v>
      </c>
      <c r="T739" s="682">
        <f t="shared" si="107"/>
        <v>96.636733084174338</v>
      </c>
      <c r="W739" s="818"/>
      <c r="X739" s="818"/>
      <c r="Y739" s="819"/>
      <c r="Z739" s="820"/>
      <c r="AA739" s="820"/>
      <c r="AB739" s="821"/>
      <c r="AC739" s="821"/>
      <c r="AD739" s="253"/>
      <c r="AE739" s="253"/>
    </row>
    <row r="740" spans="1:31" ht="14.5">
      <c r="A740" t="s">
        <v>8612</v>
      </c>
      <c r="B740" t="s">
        <v>8613</v>
      </c>
      <c r="C740">
        <v>12123</v>
      </c>
      <c r="D740" s="581"/>
      <c r="E740" s="581"/>
      <c r="F740" s="2">
        <f>(1/S740)*cnst_fish!$C$6</f>
        <v>0.11997502458044032</v>
      </c>
      <c r="G740" s="2">
        <f t="shared" si="108"/>
        <v>1</v>
      </c>
      <c r="H740" s="2">
        <f t="shared" si="108"/>
        <v>0.36449057933102513</v>
      </c>
      <c r="I740" s="2">
        <f t="shared" si="102"/>
        <v>0</v>
      </c>
      <c r="J740" s="389">
        <f t="shared" si="103"/>
        <v>0</v>
      </c>
      <c r="L740" s="721">
        <v>60</v>
      </c>
      <c r="M740" s="581"/>
      <c r="N740" s="585" t="s">
        <v>1738</v>
      </c>
      <c r="O740" s="586" t="s">
        <v>4681</v>
      </c>
      <c r="P740" s="233">
        <f t="shared" si="104"/>
        <v>0</v>
      </c>
      <c r="Q740" s="233">
        <f t="shared" si="105"/>
        <v>60</v>
      </c>
      <c r="R740" s="2">
        <f t="shared" si="106"/>
        <v>3.4</v>
      </c>
      <c r="S740" s="2">
        <f>(1/9)*cnst_fish!$C$7*(1/cnst_fish!$C$8)^(R740-1)</f>
        <v>35.424039418724846</v>
      </c>
      <c r="T740" s="682">
        <f t="shared" si="107"/>
        <v>182.28322799966244</v>
      </c>
      <c r="W740" s="818"/>
      <c r="X740" s="818"/>
      <c r="Y740" s="819"/>
      <c r="Z740" s="820"/>
      <c r="AA740" s="820"/>
      <c r="AB740" s="821"/>
      <c r="AC740" s="821"/>
      <c r="AD740" s="253"/>
      <c r="AE740" s="253"/>
    </row>
    <row r="741" spans="1:31" ht="14.5">
      <c r="A741" t="s">
        <v>5237</v>
      </c>
      <c r="B741" t="s">
        <v>3088</v>
      </c>
      <c r="C741">
        <v>2942</v>
      </c>
      <c r="D741" s="581"/>
      <c r="E741" s="581">
        <v>1721</v>
      </c>
      <c r="F741" s="2">
        <f>(1/S741)*cnst_fish!$C$6</f>
        <v>1.1997502458044018E-2</v>
      </c>
      <c r="G741" s="2">
        <f t="shared" si="108"/>
        <v>1</v>
      </c>
      <c r="H741" s="2">
        <f t="shared" si="108"/>
        <v>0.36449057933102513</v>
      </c>
      <c r="I741" s="2">
        <f t="shared" si="102"/>
        <v>0</v>
      </c>
      <c r="J741" s="389">
        <f t="shared" si="103"/>
        <v>52284.905897903234</v>
      </c>
      <c r="L741" s="721">
        <v>1067.1799999999998</v>
      </c>
      <c r="M741" s="581">
        <v>34291.979999999996</v>
      </c>
      <c r="N741" s="585" t="s">
        <v>1738</v>
      </c>
      <c r="O741" s="586" t="s">
        <v>4685</v>
      </c>
      <c r="P741" s="233">
        <f t="shared" si="104"/>
        <v>1721</v>
      </c>
      <c r="Q741" s="233">
        <f t="shared" si="105"/>
        <v>35359.159999999996</v>
      </c>
      <c r="R741" s="2">
        <f t="shared" si="106"/>
        <v>4.4000000000000004</v>
      </c>
      <c r="S741" s="2">
        <f>(1/9)*cnst_fish!$C$7*(1/cnst_fish!$C$8)^(R741-1)</f>
        <v>354.24039418724885</v>
      </c>
      <c r="T741" s="682">
        <f t="shared" si="107"/>
        <v>1074230.3040260919</v>
      </c>
      <c r="W741" s="818"/>
      <c r="X741" s="818"/>
      <c r="Y741" s="819"/>
      <c r="Z741" s="820"/>
      <c r="AA741" s="820"/>
      <c r="AB741" s="821"/>
      <c r="AC741" s="821"/>
      <c r="AD741" s="253"/>
      <c r="AE741" s="253"/>
    </row>
    <row r="742" spans="1:31" ht="14.5">
      <c r="A742" t="s">
        <v>3855</v>
      </c>
      <c r="B742" t="s">
        <v>3856</v>
      </c>
      <c r="C742">
        <v>12129</v>
      </c>
      <c r="D742" s="581"/>
      <c r="E742" s="581"/>
      <c r="F742" s="2">
        <f>(1/S742)*cnst_fish!$C$6</f>
        <v>1.9910898001319833E-2</v>
      </c>
      <c r="G742" s="2">
        <f t="shared" si="108"/>
        <v>1</v>
      </c>
      <c r="H742" s="2">
        <f t="shared" si="108"/>
        <v>0.36449057933102513</v>
      </c>
      <c r="I742" s="2">
        <f t="shared" si="102"/>
        <v>0</v>
      </c>
      <c r="J742" s="389">
        <f t="shared" si="103"/>
        <v>0</v>
      </c>
      <c r="L742" s="721">
        <v>5</v>
      </c>
      <c r="M742" s="581"/>
      <c r="N742" s="585" t="s">
        <v>1738</v>
      </c>
      <c r="O742" s="586" t="s">
        <v>4681</v>
      </c>
      <c r="P742" s="233">
        <f t="shared" si="104"/>
        <v>0</v>
      </c>
      <c r="Q742" s="233">
        <f t="shared" si="105"/>
        <v>5</v>
      </c>
      <c r="R742" s="2">
        <f t="shared" si="106"/>
        <v>4.18</v>
      </c>
      <c r="S742" s="2">
        <f>(1/9)*cnst_fish!$C$7*(1/cnst_fish!$C$8)^(R742-1)</f>
        <v>213.4509452922857</v>
      </c>
      <c r="T742" s="682">
        <f t="shared" si="107"/>
        <v>91.530422009811957</v>
      </c>
      <c r="W742" s="818"/>
      <c r="X742" s="818"/>
      <c r="Y742" s="819"/>
      <c r="Z742" s="820"/>
      <c r="AA742" s="820"/>
      <c r="AB742" s="821"/>
      <c r="AC742" s="821"/>
      <c r="AD742" s="253"/>
      <c r="AE742" s="253"/>
    </row>
    <row r="743" spans="1:31" ht="14.5">
      <c r="A743" t="s">
        <v>368</v>
      </c>
      <c r="B743" t="s">
        <v>3980</v>
      </c>
      <c r="C743">
        <v>2095</v>
      </c>
      <c r="D743" s="581"/>
      <c r="E743" s="581"/>
      <c r="F743" s="2">
        <f>(1/S743)*cnst_fish!$C$6</f>
        <v>0.95299549485983426</v>
      </c>
      <c r="G743" s="2">
        <f t="shared" si="108"/>
        <v>1</v>
      </c>
      <c r="H743" s="2">
        <f t="shared" si="108"/>
        <v>0.36449057933102513</v>
      </c>
      <c r="I743" s="2">
        <f t="shared" si="102"/>
        <v>0</v>
      </c>
      <c r="J743" s="389">
        <f t="shared" si="103"/>
        <v>0</v>
      </c>
      <c r="L743" s="721">
        <v>365156.53</v>
      </c>
      <c r="M743" s="581">
        <v>4230</v>
      </c>
      <c r="N743" s="585" t="s">
        <v>1738</v>
      </c>
      <c r="O743" s="586" t="s">
        <v>4699</v>
      </c>
      <c r="P743" s="233">
        <f t="shared" si="104"/>
        <v>0</v>
      </c>
      <c r="Q743" s="233">
        <f t="shared" si="105"/>
        <v>369386.53</v>
      </c>
      <c r="R743" s="2">
        <f t="shared" si="106"/>
        <v>2.5</v>
      </c>
      <c r="S743" s="2">
        <f>(1/9)*cnst_fish!$C$7*(1/cnst_fish!$C$8)^(R743-1)</f>
        <v>4.4596223412630991</v>
      </c>
      <c r="T743" s="682">
        <f t="shared" si="107"/>
        <v>141278.64301874745</v>
      </c>
      <c r="W743" s="818"/>
      <c r="X743" s="818"/>
      <c r="Y743" s="819"/>
      <c r="Z743" s="820"/>
      <c r="AA743" s="820"/>
      <c r="AB743" s="821"/>
      <c r="AC743" s="821"/>
      <c r="AD743" s="253"/>
      <c r="AE743" s="253"/>
    </row>
    <row r="744" spans="1:31" ht="14.5">
      <c r="A744" t="s">
        <v>1387</v>
      </c>
      <c r="B744" t="s">
        <v>2745</v>
      </c>
      <c r="C744">
        <v>2103</v>
      </c>
      <c r="D744" s="581"/>
      <c r="E744" s="581"/>
      <c r="F744" s="2">
        <f>(1/S744)*cnst_fish!$C$6</f>
        <v>2.565020542400799</v>
      </c>
      <c r="G744" s="2">
        <f t="shared" si="108"/>
        <v>1</v>
      </c>
      <c r="H744" s="2">
        <f t="shared" si="108"/>
        <v>0.36449057933102513</v>
      </c>
      <c r="I744" s="2">
        <f t="shared" si="102"/>
        <v>0</v>
      </c>
      <c r="J744" s="389">
        <f t="shared" si="103"/>
        <v>0</v>
      </c>
      <c r="L744" s="721">
        <v>8770</v>
      </c>
      <c r="M744" s="581"/>
      <c r="N744" s="585" t="s">
        <v>1738</v>
      </c>
      <c r="O744" s="586" t="s">
        <v>4699</v>
      </c>
      <c r="P744" s="233">
        <f t="shared" si="104"/>
        <v>0</v>
      </c>
      <c r="Q744" s="233">
        <f t="shared" si="105"/>
        <v>8770</v>
      </c>
      <c r="R744" s="2">
        <f t="shared" si="106"/>
        <v>2.0699999999999998</v>
      </c>
      <c r="S744" s="2">
        <f>(1/9)*cnst_fish!$C$7*(1/cnst_fish!$C$8)^(R744-1)</f>
        <v>1.656906808248054</v>
      </c>
      <c r="T744" s="682">
        <f t="shared" si="107"/>
        <v>1246.2209670029249</v>
      </c>
      <c r="W744" s="818"/>
      <c r="X744" s="818"/>
      <c r="Y744" s="819"/>
      <c r="Z744" s="820"/>
      <c r="AA744" s="820"/>
      <c r="AB744" s="821"/>
      <c r="AC744" s="821"/>
      <c r="AD744" s="253"/>
      <c r="AE744" s="253"/>
    </row>
    <row r="745" spans="1:31" ht="14.5">
      <c r="A745" t="s">
        <v>6407</v>
      </c>
      <c r="B745" t="s">
        <v>6406</v>
      </c>
      <c r="C745">
        <v>2839</v>
      </c>
      <c r="D745" s="581"/>
      <c r="E745" s="581"/>
      <c r="F745" s="2">
        <f>(1/S745)*cnst_fish!$C$6</f>
        <v>1.9014759972289439E-2</v>
      </c>
      <c r="G745" s="2">
        <f t="shared" si="108"/>
        <v>1</v>
      </c>
      <c r="H745" s="2">
        <f t="shared" si="108"/>
        <v>0.36449057933102513</v>
      </c>
      <c r="I745" s="2">
        <f t="shared" si="102"/>
        <v>0</v>
      </c>
      <c r="J745" s="389">
        <f t="shared" si="103"/>
        <v>0</v>
      </c>
      <c r="L745" s="721">
        <v>0</v>
      </c>
      <c r="M745" s="581"/>
      <c r="N745" s="585" t="s">
        <v>3785</v>
      </c>
      <c r="O745" s="586" t="s">
        <v>4681</v>
      </c>
      <c r="P745" s="233">
        <f t="shared" si="104"/>
        <v>0</v>
      </c>
      <c r="Q745" s="233">
        <f t="shared" si="105"/>
        <v>0</v>
      </c>
      <c r="R745" s="2">
        <f t="shared" si="106"/>
        <v>4.2</v>
      </c>
      <c r="S745" s="2">
        <f>(1/9)*cnst_fish!$C$7*(1/cnst_fish!$C$8)^(R745-1)</f>
        <v>223.51057842400343</v>
      </c>
      <c r="T745" s="682">
        <f t="shared" si="107"/>
        <v>0</v>
      </c>
      <c r="W745" s="818"/>
      <c r="X745" s="818"/>
      <c r="Y745" s="819"/>
      <c r="Z745" s="820"/>
      <c r="AA745" s="820"/>
      <c r="AB745" s="821"/>
      <c r="AC745" s="821"/>
      <c r="AD745" s="253"/>
      <c r="AE745" s="253"/>
    </row>
    <row r="746" spans="1:31" ht="14.5">
      <c r="A746" t="s">
        <v>4366</v>
      </c>
      <c r="B746" t="s">
        <v>1630</v>
      </c>
      <c r="C746">
        <v>2037</v>
      </c>
      <c r="D746" s="581"/>
      <c r="E746" s="581"/>
      <c r="F746" s="2">
        <f>(1/S746)*cnst_fish!$C$6</f>
        <v>4.5613232168782068E-2</v>
      </c>
      <c r="G746" s="2">
        <f t="shared" si="108"/>
        <v>1</v>
      </c>
      <c r="H746" s="2">
        <f t="shared" si="108"/>
        <v>0.36449057933102513</v>
      </c>
      <c r="I746" s="2">
        <f t="shared" si="102"/>
        <v>0</v>
      </c>
      <c r="J746" s="389">
        <f t="shared" si="103"/>
        <v>0</v>
      </c>
      <c r="L746" s="721">
        <v>118</v>
      </c>
      <c r="M746" s="581"/>
      <c r="N746" s="585" t="s">
        <v>3785</v>
      </c>
      <c r="O746" s="586" t="s">
        <v>4681</v>
      </c>
      <c r="P746" s="233">
        <f t="shared" si="104"/>
        <v>0</v>
      </c>
      <c r="Q746" s="233">
        <f t="shared" si="105"/>
        <v>118</v>
      </c>
      <c r="R746" s="2">
        <f t="shared" si="106"/>
        <v>3.82</v>
      </c>
      <c r="S746" s="2">
        <f>(1/9)*cnst_fish!$C$7*(1/cnst_fish!$C$8)^(R746-1)</f>
        <v>93.174717026712301</v>
      </c>
      <c r="T746" s="682">
        <f t="shared" si="107"/>
        <v>942.92568879819828</v>
      </c>
      <c r="W746" s="818"/>
      <c r="X746" s="818"/>
      <c r="Y746" s="819"/>
      <c r="Z746" s="820"/>
      <c r="AA746" s="820"/>
      <c r="AB746" s="821"/>
      <c r="AC746" s="821"/>
      <c r="AD746" s="253"/>
      <c r="AE746" s="253"/>
    </row>
    <row r="747" spans="1:31" ht="14.5">
      <c r="A747" t="s">
        <v>3289</v>
      </c>
      <c r="B747" t="s">
        <v>1631</v>
      </c>
      <c r="C747">
        <v>2838</v>
      </c>
      <c r="D747" s="581"/>
      <c r="E747" s="581"/>
      <c r="F747" s="2">
        <f>(1/S747)*cnst_fish!$C$6</f>
        <v>2.0374682394767439E-2</v>
      </c>
      <c r="G747" s="2">
        <f t="shared" si="108"/>
        <v>1</v>
      </c>
      <c r="H747" s="2">
        <f t="shared" si="108"/>
        <v>0.36449057933102513</v>
      </c>
      <c r="I747" s="2">
        <f t="shared" si="102"/>
        <v>0</v>
      </c>
      <c r="J747" s="389">
        <f t="shared" si="103"/>
        <v>0</v>
      </c>
      <c r="L747" s="721">
        <v>266.7</v>
      </c>
      <c r="M747" s="581"/>
      <c r="N747" s="585" t="s">
        <v>3785</v>
      </c>
      <c r="O747" s="586" t="s">
        <v>4681</v>
      </c>
      <c r="P747" s="233">
        <f t="shared" si="104"/>
        <v>0</v>
      </c>
      <c r="Q747" s="233">
        <f t="shared" si="105"/>
        <v>266.7</v>
      </c>
      <c r="R747" s="2">
        <f t="shared" si="106"/>
        <v>4.17</v>
      </c>
      <c r="S747" s="2">
        <f>(1/9)*cnst_fish!$C$7*(1/cnst_fish!$C$8)^(R747-1)</f>
        <v>208.59220858782425</v>
      </c>
      <c r="T747" s="682">
        <f t="shared" si="107"/>
        <v>4771.099525583254</v>
      </c>
      <c r="W747" s="818"/>
      <c r="X747" s="818"/>
      <c r="Y747" s="819"/>
      <c r="Z747" s="820"/>
      <c r="AA747" s="820"/>
      <c r="AB747" s="821"/>
      <c r="AC747" s="821"/>
      <c r="AD747" s="253"/>
      <c r="AE747" s="253"/>
    </row>
    <row r="748" spans="1:31" ht="14.5">
      <c r="A748" t="s">
        <v>2169</v>
      </c>
      <c r="B748" t="s">
        <v>2746</v>
      </c>
      <c r="C748">
        <v>2902</v>
      </c>
      <c r="D748" s="581"/>
      <c r="E748" s="581"/>
      <c r="F748" s="2">
        <f>(1/S748)*cnst_fish!$C$6</f>
        <v>9.7519361156519699E-2</v>
      </c>
      <c r="G748" s="2">
        <f t="shared" ref="G748:H767" si="109">G$7</f>
        <v>1</v>
      </c>
      <c r="H748" s="2">
        <f t="shared" si="109"/>
        <v>0.36449057933102513</v>
      </c>
      <c r="I748" s="2">
        <f t="shared" si="102"/>
        <v>0</v>
      </c>
      <c r="J748" s="389">
        <f t="shared" si="103"/>
        <v>0</v>
      </c>
      <c r="L748" s="721">
        <v>122457</v>
      </c>
      <c r="M748" s="581"/>
      <c r="N748" s="585" t="s">
        <v>1738</v>
      </c>
      <c r="O748" s="586" t="s">
        <v>4699</v>
      </c>
      <c r="P748" s="233">
        <f t="shared" si="104"/>
        <v>0</v>
      </c>
      <c r="Q748" s="233">
        <f t="shared" si="105"/>
        <v>122457</v>
      </c>
      <c r="R748" s="2">
        <f t="shared" si="106"/>
        <v>3.49</v>
      </c>
      <c r="S748" s="2">
        <f>(1/9)*cnst_fish!$C$7*(1/cnst_fish!$C$8)^(R748-1)</f>
        <v>43.581089432884006</v>
      </c>
      <c r="T748" s="682">
        <f t="shared" si="107"/>
        <v>457698.06471045868</v>
      </c>
      <c r="W748" s="818"/>
      <c r="X748" s="818"/>
      <c r="Y748" s="819"/>
      <c r="Z748" s="820"/>
      <c r="AA748" s="820"/>
      <c r="AB748" s="821"/>
      <c r="AC748" s="821"/>
      <c r="AD748" s="253"/>
      <c r="AE748" s="253"/>
    </row>
    <row r="749" spans="1:31" ht="14.5">
      <c r="A749" t="s">
        <v>4767</v>
      </c>
      <c r="B749" t="s">
        <v>2747</v>
      </c>
      <c r="C749">
        <v>2096</v>
      </c>
      <c r="D749" s="581"/>
      <c r="E749" s="581"/>
      <c r="F749" s="2">
        <f>(1/S749)*cnst_fish!$C$6</f>
        <v>0.11997502458044032</v>
      </c>
      <c r="G749" s="2">
        <f t="shared" si="109"/>
        <v>1</v>
      </c>
      <c r="H749" s="2">
        <f t="shared" si="109"/>
        <v>0.36449057933102513</v>
      </c>
      <c r="I749" s="2">
        <f t="shared" si="102"/>
        <v>0</v>
      </c>
      <c r="J749" s="389">
        <f t="shared" si="103"/>
        <v>0</v>
      </c>
      <c r="L749" s="721">
        <v>48335</v>
      </c>
      <c r="M749" s="581"/>
      <c r="N749" s="585" t="s">
        <v>1738</v>
      </c>
      <c r="O749" s="586" t="s">
        <v>4699</v>
      </c>
      <c r="P749" s="233">
        <f t="shared" si="104"/>
        <v>0</v>
      </c>
      <c r="Q749" s="233">
        <f t="shared" si="105"/>
        <v>48335</v>
      </c>
      <c r="R749" s="2">
        <f t="shared" si="106"/>
        <v>3.4</v>
      </c>
      <c r="S749" s="2">
        <f>(1/9)*cnst_fish!$C$7*(1/cnst_fish!$C$8)^(R749-1)</f>
        <v>35.424039418724846</v>
      </c>
      <c r="T749" s="682">
        <f t="shared" si="107"/>
        <v>146844.33042272806</v>
      </c>
      <c r="W749" s="818"/>
      <c r="X749" s="818"/>
      <c r="Y749" s="819"/>
      <c r="Z749" s="820"/>
      <c r="AA749" s="820"/>
      <c r="AB749" s="821"/>
      <c r="AC749" s="821"/>
      <c r="AD749" s="253"/>
      <c r="AE749" s="253"/>
    </row>
    <row r="750" spans="1:31" ht="14.5">
      <c r="A750" t="s">
        <v>219</v>
      </c>
      <c r="B750" t="s">
        <v>5293</v>
      </c>
      <c r="C750">
        <v>3459</v>
      </c>
      <c r="D750" s="581"/>
      <c r="E750" s="581"/>
      <c r="F750" s="2">
        <f>(1/S750)*cnst_fish!$C$6</f>
        <v>1.9014759972289452</v>
      </c>
      <c r="G750" s="2">
        <f t="shared" si="109"/>
        <v>1</v>
      </c>
      <c r="H750" s="2">
        <f t="shared" si="109"/>
        <v>0.36449057933102513</v>
      </c>
      <c r="I750" s="2">
        <f t="shared" si="102"/>
        <v>0</v>
      </c>
      <c r="J750" s="389">
        <f t="shared" si="103"/>
        <v>0</v>
      </c>
      <c r="L750" s="721"/>
      <c r="M750" s="581"/>
      <c r="N750" s="585" t="s">
        <v>1737</v>
      </c>
      <c r="O750" s="586" t="s">
        <v>4680</v>
      </c>
      <c r="P750" s="233">
        <f t="shared" si="104"/>
        <v>0</v>
      </c>
      <c r="Q750" s="233">
        <f t="shared" si="105"/>
        <v>0</v>
      </c>
      <c r="R750" s="2">
        <f t="shared" si="106"/>
        <v>2.2000000000000002</v>
      </c>
      <c r="S750" s="2">
        <f>(1/9)*cnst_fish!$C$7*(1/cnst_fish!$C$8)^(R750-1)</f>
        <v>2.2351057842400328</v>
      </c>
      <c r="T750" s="682">
        <f t="shared" si="107"/>
        <v>0</v>
      </c>
      <c r="W750" s="818"/>
      <c r="X750" s="818"/>
      <c r="Y750" s="819"/>
      <c r="Z750" s="820"/>
      <c r="AA750" s="820"/>
      <c r="AB750" s="821"/>
      <c r="AC750" s="821"/>
      <c r="AD750" s="253"/>
      <c r="AE750" s="253"/>
    </row>
    <row r="751" spans="1:31" ht="14.5">
      <c r="A751" t="s">
        <v>4218</v>
      </c>
      <c r="B751" t="s">
        <v>8614</v>
      </c>
      <c r="C751">
        <v>2623</v>
      </c>
      <c r="D751" s="581"/>
      <c r="E751" s="581"/>
      <c r="F751" s="2">
        <f>(1/S751)*cnst_fish!$C$6</f>
        <v>1.9014759972289452</v>
      </c>
      <c r="G751" s="2">
        <f t="shared" si="109"/>
        <v>1</v>
      </c>
      <c r="H751" s="2">
        <f t="shared" si="109"/>
        <v>0.36449057933102513</v>
      </c>
      <c r="I751" s="2">
        <f t="shared" si="102"/>
        <v>0</v>
      </c>
      <c r="J751" s="389">
        <f t="shared" si="103"/>
        <v>0</v>
      </c>
      <c r="L751" s="721"/>
      <c r="M751" s="581"/>
      <c r="N751" s="585" t="s">
        <v>2322</v>
      </c>
      <c r="O751" s="586" t="s">
        <v>4680</v>
      </c>
      <c r="P751" s="233">
        <f t="shared" si="104"/>
        <v>0</v>
      </c>
      <c r="Q751" s="233">
        <f t="shared" si="105"/>
        <v>0</v>
      </c>
      <c r="R751" s="2">
        <f t="shared" si="106"/>
        <v>2.2000000000000002</v>
      </c>
      <c r="S751" s="2">
        <f>(1/9)*cnst_fish!$C$7*(1/cnst_fish!$C$8)^(R751-1)</f>
        <v>2.2351057842400328</v>
      </c>
      <c r="T751" s="682">
        <f t="shared" si="107"/>
        <v>0</v>
      </c>
      <c r="W751" s="818"/>
      <c r="X751" s="818"/>
      <c r="Y751" s="819"/>
      <c r="Z751" s="820"/>
      <c r="AA751" s="820"/>
      <c r="AB751" s="821"/>
      <c r="AC751" s="821"/>
      <c r="AD751" s="253"/>
      <c r="AE751" s="253"/>
    </row>
    <row r="752" spans="1:31" ht="14.5">
      <c r="A752" t="s">
        <v>4285</v>
      </c>
      <c r="B752" t="s">
        <v>8614</v>
      </c>
      <c r="C752">
        <v>2624</v>
      </c>
      <c r="D752" s="581"/>
      <c r="E752" s="581"/>
      <c r="F752" s="2">
        <f>(1/S752)*cnst_fish!$C$6</f>
        <v>1.9014759972289452</v>
      </c>
      <c r="G752" s="2">
        <f t="shared" si="109"/>
        <v>1</v>
      </c>
      <c r="H752" s="2">
        <f t="shared" si="109"/>
        <v>0.36449057933102513</v>
      </c>
      <c r="I752" s="2">
        <f t="shared" si="102"/>
        <v>0</v>
      </c>
      <c r="J752" s="389">
        <f t="shared" si="103"/>
        <v>0</v>
      </c>
      <c r="L752" s="721"/>
      <c r="M752" s="581"/>
      <c r="N752" s="585" t="s">
        <v>2322</v>
      </c>
      <c r="O752" s="586" t="s">
        <v>4680</v>
      </c>
      <c r="P752" s="233">
        <f t="shared" si="104"/>
        <v>0</v>
      </c>
      <c r="Q752" s="233">
        <f t="shared" si="105"/>
        <v>0</v>
      </c>
      <c r="R752" s="2">
        <f t="shared" si="106"/>
        <v>2.2000000000000002</v>
      </c>
      <c r="S752" s="2">
        <f>(1/9)*cnst_fish!$C$7*(1/cnst_fish!$C$8)^(R752-1)</f>
        <v>2.2351057842400328</v>
      </c>
      <c r="T752" s="682">
        <f t="shared" si="107"/>
        <v>0</v>
      </c>
      <c r="W752" s="818"/>
      <c r="X752" s="818"/>
      <c r="Y752" s="819"/>
      <c r="Z752" s="820"/>
      <c r="AA752" s="820"/>
      <c r="AB752" s="821"/>
      <c r="AC752" s="821"/>
      <c r="AD752" s="253"/>
      <c r="AE752" s="253"/>
    </row>
    <row r="753" spans="1:31" ht="14.5">
      <c r="A753" t="s">
        <v>5987</v>
      </c>
      <c r="B753" t="s">
        <v>8615</v>
      </c>
      <c r="C753">
        <v>2784</v>
      </c>
      <c r="D753" s="581"/>
      <c r="E753" s="581"/>
      <c r="F753" s="2">
        <f>(1/S753)*cnst_fish!$C$6</f>
        <v>30.136363636363644</v>
      </c>
      <c r="G753" s="2">
        <f t="shared" si="109"/>
        <v>1</v>
      </c>
      <c r="H753" s="2">
        <f t="shared" si="109"/>
        <v>0.36449057933102513</v>
      </c>
      <c r="I753" s="2">
        <f t="shared" si="102"/>
        <v>0</v>
      </c>
      <c r="J753" s="389">
        <f t="shared" si="103"/>
        <v>0</v>
      </c>
      <c r="L753" s="721"/>
      <c r="M753" s="581"/>
      <c r="N753" s="585" t="s">
        <v>1740</v>
      </c>
      <c r="O753" s="586" t="s">
        <v>4671</v>
      </c>
      <c r="P753" s="233">
        <f t="shared" si="104"/>
        <v>0</v>
      </c>
      <c r="Q753" s="233">
        <f t="shared" si="105"/>
        <v>0</v>
      </c>
      <c r="R753" s="2">
        <f t="shared" si="106"/>
        <v>1</v>
      </c>
      <c r="S753" s="2">
        <f>(1/9)*cnst_fish!$C$7*(1/cnst_fish!$C$8)^(R753-1)</f>
        <v>0.141025641025641</v>
      </c>
      <c r="T753" s="682">
        <f t="shared" si="107"/>
        <v>0</v>
      </c>
      <c r="W753" s="818"/>
      <c r="X753" s="818"/>
      <c r="Y753" s="819"/>
      <c r="Z753" s="820"/>
      <c r="AA753" s="820"/>
      <c r="AB753" s="821"/>
      <c r="AC753" s="821"/>
      <c r="AD753" s="253"/>
      <c r="AE753" s="253"/>
    </row>
    <row r="754" spans="1:31" ht="14.5">
      <c r="A754" t="s">
        <v>4264</v>
      </c>
      <c r="B754" t="s">
        <v>8616</v>
      </c>
      <c r="C754">
        <v>3635</v>
      </c>
      <c r="D754" s="581"/>
      <c r="E754" s="581"/>
      <c r="F754" s="2">
        <f>(1/S754)*cnst_fish!$C$6</f>
        <v>30.136363636363644</v>
      </c>
      <c r="G754" s="2">
        <f t="shared" si="109"/>
        <v>1</v>
      </c>
      <c r="H754" s="2">
        <f t="shared" si="109"/>
        <v>0.36449057933102513</v>
      </c>
      <c r="I754" s="2">
        <f t="shared" si="102"/>
        <v>0</v>
      </c>
      <c r="J754" s="389">
        <f t="shared" si="103"/>
        <v>0</v>
      </c>
      <c r="L754" s="721"/>
      <c r="M754" s="581"/>
      <c r="N754" s="585" t="s">
        <v>1740</v>
      </c>
      <c r="O754" s="586" t="s">
        <v>4671</v>
      </c>
      <c r="P754" s="233">
        <f t="shared" si="104"/>
        <v>0</v>
      </c>
      <c r="Q754" s="233">
        <f t="shared" si="105"/>
        <v>0</v>
      </c>
      <c r="R754" s="2">
        <f t="shared" si="106"/>
        <v>1</v>
      </c>
      <c r="S754" s="2">
        <f>(1/9)*cnst_fish!$C$7*(1/cnst_fish!$C$8)^(R754-1)</f>
        <v>0.141025641025641</v>
      </c>
      <c r="T754" s="682">
        <f t="shared" si="107"/>
        <v>0</v>
      </c>
      <c r="W754" s="818"/>
      <c r="X754" s="818"/>
      <c r="Y754" s="819"/>
      <c r="Z754" s="820"/>
      <c r="AA754" s="820"/>
      <c r="AB754" s="821"/>
      <c r="AC754" s="821"/>
      <c r="AD754" s="253"/>
      <c r="AE754" s="253"/>
    </row>
    <row r="755" spans="1:31" ht="14.5">
      <c r="A755" t="s">
        <v>6383</v>
      </c>
      <c r="B755" t="s">
        <v>6382</v>
      </c>
      <c r="C755">
        <v>2455</v>
      </c>
      <c r="D755" s="581"/>
      <c r="E755" s="581"/>
      <c r="F755" s="2">
        <f>(1/S755)*cnst_fish!$C$6</f>
        <v>3.0136363636363641</v>
      </c>
      <c r="G755" s="2">
        <f t="shared" si="109"/>
        <v>1</v>
      </c>
      <c r="H755" s="2">
        <f t="shared" si="109"/>
        <v>0.36449057933102513</v>
      </c>
      <c r="I755" s="2">
        <f t="shared" si="102"/>
        <v>0</v>
      </c>
      <c r="J755" s="389">
        <f t="shared" si="103"/>
        <v>0</v>
      </c>
      <c r="L755" s="721">
        <v>540</v>
      </c>
      <c r="M755" s="581"/>
      <c r="N755" s="585" t="s">
        <v>1738</v>
      </c>
      <c r="O755" s="586" t="s">
        <v>4681</v>
      </c>
      <c r="P755" s="233">
        <f t="shared" si="104"/>
        <v>0</v>
      </c>
      <c r="Q755" s="233">
        <f t="shared" si="105"/>
        <v>540</v>
      </c>
      <c r="R755" s="2">
        <f t="shared" si="106"/>
        <v>2</v>
      </c>
      <c r="S755" s="2">
        <f>(1/9)*cnst_fish!$C$7*(1/cnst_fish!$C$8)^(R755-1)</f>
        <v>1.4102564102564099</v>
      </c>
      <c r="T755" s="682">
        <f t="shared" si="107"/>
        <v>65.311434124473266</v>
      </c>
      <c r="W755" s="818"/>
      <c r="X755" s="818"/>
      <c r="Y755" s="819"/>
      <c r="Z755" s="820"/>
      <c r="AA755" s="820"/>
      <c r="AB755" s="821"/>
      <c r="AC755" s="821"/>
      <c r="AD755" s="253"/>
      <c r="AE755" s="253"/>
    </row>
    <row r="756" spans="1:31" ht="14.5">
      <c r="A756" t="s">
        <v>1858</v>
      </c>
      <c r="B756" t="s">
        <v>1652</v>
      </c>
      <c r="C756">
        <v>3393</v>
      </c>
      <c r="D756" s="581"/>
      <c r="E756" s="581"/>
      <c r="F756" s="2">
        <f>(1/S756)*cnst_fish!$C$6</f>
        <v>1.9014759972289452</v>
      </c>
      <c r="G756" s="2">
        <f t="shared" si="109"/>
        <v>1</v>
      </c>
      <c r="H756" s="2">
        <f t="shared" si="109"/>
        <v>0.36449057933102513</v>
      </c>
      <c r="I756" s="2">
        <f t="shared" si="102"/>
        <v>0</v>
      </c>
      <c r="J756" s="389">
        <f t="shared" si="103"/>
        <v>0</v>
      </c>
      <c r="L756" s="721">
        <v>311774.82</v>
      </c>
      <c r="M756" s="581"/>
      <c r="N756" s="585" t="s">
        <v>2322</v>
      </c>
      <c r="O756" s="586" t="s">
        <v>4680</v>
      </c>
      <c r="P756" s="233">
        <f t="shared" si="104"/>
        <v>0</v>
      </c>
      <c r="Q756" s="233">
        <f t="shared" si="105"/>
        <v>311774.82</v>
      </c>
      <c r="R756" s="2">
        <f t="shared" si="106"/>
        <v>2.2000000000000002</v>
      </c>
      <c r="S756" s="2">
        <f>(1/9)*cnst_fish!$C$7*(1/cnst_fish!$C$8)^(R756-1)</f>
        <v>2.2351057842400328</v>
      </c>
      <c r="T756" s="682">
        <f t="shared" si="107"/>
        <v>59763.565213673057</v>
      </c>
      <c r="W756" s="818"/>
      <c r="X756" s="818"/>
      <c r="Y756" s="819"/>
      <c r="Z756" s="820"/>
      <c r="AA756" s="820"/>
      <c r="AB756" s="821"/>
      <c r="AC756" s="821"/>
      <c r="AD756" s="253"/>
      <c r="AE756" s="253"/>
    </row>
    <row r="757" spans="1:31" ht="14.5">
      <c r="A757" t="s">
        <v>3124</v>
      </c>
      <c r="B757" t="s">
        <v>4116</v>
      </c>
      <c r="C757">
        <v>3294</v>
      </c>
      <c r="D757" s="581"/>
      <c r="E757" s="581"/>
      <c r="F757" s="2">
        <f>(1/S757)*cnst_fish!$C$6</f>
        <v>9.5299549485983424E-3</v>
      </c>
      <c r="G757" s="2">
        <f t="shared" si="109"/>
        <v>1</v>
      </c>
      <c r="H757" s="2">
        <f t="shared" si="109"/>
        <v>0.36449057933102513</v>
      </c>
      <c r="I757" s="2">
        <f t="shared" si="102"/>
        <v>0</v>
      </c>
      <c r="J757" s="389">
        <f t="shared" si="103"/>
        <v>0</v>
      </c>
      <c r="L757" s="721">
        <v>323201.5</v>
      </c>
      <c r="M757" s="581"/>
      <c r="N757" s="585" t="s">
        <v>1738</v>
      </c>
      <c r="O757" s="586" t="s">
        <v>4699</v>
      </c>
      <c r="P757" s="233">
        <f t="shared" si="104"/>
        <v>0</v>
      </c>
      <c r="Q757" s="233">
        <f t="shared" si="105"/>
        <v>323201.5</v>
      </c>
      <c r="R757" s="2">
        <f t="shared" si="106"/>
        <v>4.5</v>
      </c>
      <c r="S757" s="2">
        <f>(1/9)*cnst_fish!$C$7*(1/cnst_fish!$C$8)^(R757-1)</f>
        <v>445.96223412630997</v>
      </c>
      <c r="T757" s="682">
        <f t="shared" si="107"/>
        <v>12361433.25032012</v>
      </c>
      <c r="W757" s="818"/>
      <c r="X757" s="818"/>
      <c r="Y757" s="819"/>
      <c r="Z757" s="820"/>
      <c r="AA757" s="820"/>
      <c r="AB757" s="821"/>
      <c r="AC757" s="821"/>
      <c r="AD757" s="253"/>
      <c r="AE757" s="253"/>
    </row>
    <row r="758" spans="1:31" ht="14.5">
      <c r="A758" t="s">
        <v>73</v>
      </c>
      <c r="B758" t="s">
        <v>4117</v>
      </c>
      <c r="C758">
        <v>3293</v>
      </c>
      <c r="D758" s="581"/>
      <c r="E758" s="581"/>
      <c r="F758" s="2">
        <f>(1/S758)*cnst_fish!$C$6</f>
        <v>9.7519361156519751E-3</v>
      </c>
      <c r="G758" s="2">
        <f t="shared" si="109"/>
        <v>1</v>
      </c>
      <c r="H758" s="2">
        <f t="shared" si="109"/>
        <v>0.36449057933102513</v>
      </c>
      <c r="I758" s="2">
        <f t="shared" si="102"/>
        <v>0</v>
      </c>
      <c r="J758" s="389">
        <f t="shared" si="103"/>
        <v>0</v>
      </c>
      <c r="L758" s="721">
        <v>40038.6</v>
      </c>
      <c r="M758" s="581"/>
      <c r="N758" s="585" t="s">
        <v>1738</v>
      </c>
      <c r="O758" s="586" t="s">
        <v>4699</v>
      </c>
      <c r="P758" s="233">
        <f t="shared" si="104"/>
        <v>0</v>
      </c>
      <c r="Q758" s="233">
        <f t="shared" si="105"/>
        <v>40038.6</v>
      </c>
      <c r="R758" s="2">
        <f t="shared" si="106"/>
        <v>4.49</v>
      </c>
      <c r="S758" s="2">
        <f>(1/9)*cnst_fish!$C$7*(1/cnst_fish!$C$8)^(R758-1)</f>
        <v>435.81089432883982</v>
      </c>
      <c r="T758" s="682">
        <f t="shared" si="107"/>
        <v>1496491.8080400599</v>
      </c>
      <c r="W758" s="818"/>
      <c r="X758" s="818"/>
      <c r="Y758" s="819"/>
      <c r="Z758" s="820"/>
      <c r="AA758" s="820"/>
      <c r="AB758" s="821"/>
      <c r="AC758" s="821"/>
      <c r="AD758" s="253"/>
      <c r="AE758" s="253"/>
    </row>
    <row r="759" spans="1:31" ht="14.5">
      <c r="A759" t="s">
        <v>3461</v>
      </c>
      <c r="B759" t="s">
        <v>4118</v>
      </c>
      <c r="C759">
        <v>2493</v>
      </c>
      <c r="D759" s="581"/>
      <c r="E759" s="581"/>
      <c r="F759" s="2">
        <f>(1/S759)*cnst_fish!$C$6</f>
        <v>4.4574948243432784E-2</v>
      </c>
      <c r="G759" s="2">
        <f t="shared" si="109"/>
        <v>1</v>
      </c>
      <c r="H759" s="2">
        <f t="shared" si="109"/>
        <v>0.36449057933102513</v>
      </c>
      <c r="I759" s="2">
        <f t="shared" si="102"/>
        <v>0</v>
      </c>
      <c r="J759" s="389">
        <f t="shared" si="103"/>
        <v>0</v>
      </c>
      <c r="L759" s="721">
        <v>6720</v>
      </c>
      <c r="M759" s="581"/>
      <c r="N759" s="585" t="s">
        <v>2320</v>
      </c>
      <c r="O759" s="586" t="s">
        <v>4699</v>
      </c>
      <c r="P759" s="233">
        <f t="shared" si="104"/>
        <v>0</v>
      </c>
      <c r="Q759" s="233">
        <f t="shared" si="105"/>
        <v>6720</v>
      </c>
      <c r="R759" s="2">
        <f t="shared" si="106"/>
        <v>3.83</v>
      </c>
      <c r="S759" s="2">
        <f>(1/9)*cnst_fish!$C$7*(1/cnst_fish!$C$8)^(R759-1)</f>
        <v>95.345034991176945</v>
      </c>
      <c r="T759" s="682">
        <f t="shared" si="107"/>
        <v>54949.625061322527</v>
      </c>
      <c r="W759" s="818"/>
      <c r="X759" s="818"/>
      <c r="Y759" s="819"/>
      <c r="Z759" s="820"/>
      <c r="AA759" s="820"/>
      <c r="AB759" s="821"/>
      <c r="AC759" s="821"/>
      <c r="AD759" s="253"/>
      <c r="AE759" s="253"/>
    </row>
    <row r="760" spans="1:31" ht="14.5">
      <c r="A760" t="s">
        <v>4630</v>
      </c>
      <c r="B760" t="s">
        <v>2201</v>
      </c>
      <c r="C760">
        <v>2532</v>
      </c>
      <c r="D760" s="581"/>
      <c r="E760" s="581"/>
      <c r="F760" s="2">
        <f>(1/S760)*cnst_fish!$C$6</f>
        <v>8.1113071591070229E-2</v>
      </c>
      <c r="G760" s="2">
        <f t="shared" si="109"/>
        <v>1</v>
      </c>
      <c r="H760" s="2">
        <f t="shared" si="109"/>
        <v>0.36449057933102513</v>
      </c>
      <c r="I760" s="2">
        <f t="shared" si="102"/>
        <v>0</v>
      </c>
      <c r="J760" s="389">
        <f t="shared" si="103"/>
        <v>0</v>
      </c>
      <c r="L760" s="721">
        <v>2823</v>
      </c>
      <c r="M760" s="581"/>
      <c r="N760" s="585" t="s">
        <v>1738</v>
      </c>
      <c r="O760" s="586" t="s">
        <v>4681</v>
      </c>
      <c r="P760" s="233">
        <f t="shared" si="104"/>
        <v>0</v>
      </c>
      <c r="Q760" s="233">
        <f t="shared" si="105"/>
        <v>2823</v>
      </c>
      <c r="R760" s="2">
        <f t="shared" si="106"/>
        <v>3.57</v>
      </c>
      <c r="S760" s="2">
        <f>(1/9)*cnst_fish!$C$7*(1/cnst_fish!$C$8)^(R760-1)</f>
        <v>52.395993847037154</v>
      </c>
      <c r="T760" s="682">
        <f t="shared" si="107"/>
        <v>12685.463455741728</v>
      </c>
      <c r="W760" s="818"/>
      <c r="X760" s="818"/>
      <c r="Y760" s="819"/>
      <c r="Z760" s="820"/>
      <c r="AA760" s="820"/>
      <c r="AB760" s="821"/>
      <c r="AC760" s="821"/>
      <c r="AD760" s="253"/>
      <c r="AE760" s="253"/>
    </row>
    <row r="761" spans="1:31" ht="14.5">
      <c r="A761" t="s">
        <v>1083</v>
      </c>
      <c r="B761" t="s">
        <v>5199</v>
      </c>
      <c r="C761">
        <v>2726</v>
      </c>
      <c r="D761" s="581"/>
      <c r="E761" s="581"/>
      <c r="F761" s="2">
        <f>(1/S761)*cnst_fish!$C$6</f>
        <v>2.3938164528281742</v>
      </c>
      <c r="G761" s="2">
        <f t="shared" si="109"/>
        <v>1</v>
      </c>
      <c r="H761" s="2">
        <f t="shared" si="109"/>
        <v>0.36449057933102513</v>
      </c>
      <c r="I761" s="2">
        <f t="shared" si="102"/>
        <v>0</v>
      </c>
      <c r="J761" s="389">
        <f t="shared" si="103"/>
        <v>0</v>
      </c>
      <c r="L761" s="721">
        <v>8603.2200000000012</v>
      </c>
      <c r="M761" s="581"/>
      <c r="N761" s="585" t="s">
        <v>1738</v>
      </c>
      <c r="O761" s="586"/>
      <c r="P761" s="233">
        <f t="shared" si="104"/>
        <v>0</v>
      </c>
      <c r="Q761" s="233">
        <f t="shared" si="105"/>
        <v>8603.2200000000012</v>
      </c>
      <c r="R761" s="2">
        <f t="shared" si="106"/>
        <v>2.1</v>
      </c>
      <c r="S761" s="2">
        <f>(1/9)*cnst_fish!$C$7*(1/cnst_fish!$C$8)^(R761-1)</f>
        <v>1.7754076320174161</v>
      </c>
      <c r="T761" s="682">
        <f t="shared" si="107"/>
        <v>1309.9553385588442</v>
      </c>
      <c r="W761" s="818"/>
      <c r="X761" s="818"/>
      <c r="Y761" s="819"/>
      <c r="Z761" s="820"/>
      <c r="AA761" s="820"/>
      <c r="AB761" s="821"/>
      <c r="AC761" s="821"/>
      <c r="AD761" s="253"/>
      <c r="AE761" s="253"/>
    </row>
    <row r="762" spans="1:31" ht="14.5">
      <c r="A762" t="s">
        <v>4070</v>
      </c>
      <c r="B762" t="s">
        <v>5200</v>
      </c>
      <c r="C762">
        <v>3505</v>
      </c>
      <c r="D762" s="581"/>
      <c r="E762" s="581"/>
      <c r="F762" s="2">
        <f>(1/S762)*cnst_fish!$C$6</f>
        <v>2.3938164528281742</v>
      </c>
      <c r="G762" s="2">
        <f t="shared" si="109"/>
        <v>1</v>
      </c>
      <c r="H762" s="2">
        <f t="shared" si="109"/>
        <v>0.36449057933102513</v>
      </c>
      <c r="I762" s="2">
        <f t="shared" si="102"/>
        <v>0</v>
      </c>
      <c r="J762" s="389">
        <f t="shared" si="103"/>
        <v>0</v>
      </c>
      <c r="L762" s="721">
        <v>1241.8599999999999</v>
      </c>
      <c r="M762" s="581"/>
      <c r="N762" s="585" t="s">
        <v>1738</v>
      </c>
      <c r="O762" s="586"/>
      <c r="P762" s="233">
        <f t="shared" si="104"/>
        <v>0</v>
      </c>
      <c r="Q762" s="233">
        <f t="shared" si="105"/>
        <v>1241.8599999999999</v>
      </c>
      <c r="R762" s="2">
        <f t="shared" si="106"/>
        <v>2.1</v>
      </c>
      <c r="S762" s="2">
        <f>(1/9)*cnst_fish!$C$7*(1/cnst_fish!$C$8)^(R762-1)</f>
        <v>1.7754076320174161</v>
      </c>
      <c r="T762" s="682">
        <f t="shared" si="107"/>
        <v>189.08979855713164</v>
      </c>
      <c r="W762" s="818"/>
      <c r="X762" s="818"/>
      <c r="Y762" s="819"/>
      <c r="Z762" s="820"/>
      <c r="AA762" s="820"/>
      <c r="AB762" s="821"/>
      <c r="AC762" s="821"/>
      <c r="AD762" s="253"/>
      <c r="AE762" s="253"/>
    </row>
    <row r="763" spans="1:31" ht="14.5">
      <c r="A763" t="s">
        <v>6375</v>
      </c>
      <c r="B763" t="s">
        <v>3103</v>
      </c>
      <c r="C763">
        <v>2655</v>
      </c>
      <c r="D763" s="581"/>
      <c r="E763" s="581"/>
      <c r="F763" s="2">
        <f>(1/S763)*cnst_fish!$C$6</f>
        <v>2.3938164528281742</v>
      </c>
      <c r="G763" s="2">
        <f t="shared" si="109"/>
        <v>1</v>
      </c>
      <c r="H763" s="2">
        <f t="shared" si="109"/>
        <v>0.36449057933102513</v>
      </c>
      <c r="I763" s="2">
        <f t="shared" si="102"/>
        <v>0</v>
      </c>
      <c r="J763" s="389">
        <f t="shared" si="103"/>
        <v>0</v>
      </c>
      <c r="L763" s="721">
        <v>163.77000000000001</v>
      </c>
      <c r="M763" s="581"/>
      <c r="N763" s="585" t="s">
        <v>1738</v>
      </c>
      <c r="O763" s="586"/>
      <c r="P763" s="233">
        <f t="shared" si="104"/>
        <v>0</v>
      </c>
      <c r="Q763" s="233">
        <f t="shared" si="105"/>
        <v>163.77000000000001</v>
      </c>
      <c r="R763" s="2">
        <f t="shared" si="106"/>
        <v>2.1</v>
      </c>
      <c r="S763" s="2">
        <f>(1/9)*cnst_fish!$C$7*(1/cnst_fish!$C$8)^(R763-1)</f>
        <v>1.7754076320174161</v>
      </c>
      <c r="T763" s="682">
        <f t="shared" si="107"/>
        <v>24.93617340900057</v>
      </c>
      <c r="W763" s="818"/>
      <c r="X763" s="818"/>
      <c r="Y763" s="819"/>
      <c r="Z763" s="820"/>
      <c r="AA763" s="820"/>
      <c r="AB763" s="821"/>
      <c r="AC763" s="821"/>
      <c r="AD763" s="253"/>
      <c r="AE763" s="253"/>
    </row>
    <row r="764" spans="1:31" ht="14.5">
      <c r="A764" t="s">
        <v>2090</v>
      </c>
      <c r="B764" t="s">
        <v>3104</v>
      </c>
      <c r="C764">
        <v>3494</v>
      </c>
      <c r="D764" s="581"/>
      <c r="E764" s="581"/>
      <c r="F764" s="2">
        <f>(1/S764)*cnst_fish!$C$6</f>
        <v>2.3938164528281742</v>
      </c>
      <c r="G764" s="2">
        <f t="shared" si="109"/>
        <v>1</v>
      </c>
      <c r="H764" s="2">
        <f t="shared" si="109"/>
        <v>0.36449057933102513</v>
      </c>
      <c r="I764" s="2">
        <f t="shared" si="102"/>
        <v>0</v>
      </c>
      <c r="J764" s="389">
        <f t="shared" si="103"/>
        <v>0</v>
      </c>
      <c r="L764" s="721">
        <v>80</v>
      </c>
      <c r="M764" s="581"/>
      <c r="N764" s="585" t="s">
        <v>1738</v>
      </c>
      <c r="O764" s="586"/>
      <c r="P764" s="233">
        <f t="shared" si="104"/>
        <v>0</v>
      </c>
      <c r="Q764" s="233">
        <f t="shared" si="105"/>
        <v>80</v>
      </c>
      <c r="R764" s="2">
        <f t="shared" si="106"/>
        <v>2.1</v>
      </c>
      <c r="S764" s="2">
        <f>(1/9)*cnst_fish!$C$7*(1/cnst_fish!$C$8)^(R764-1)</f>
        <v>1.7754076320174161</v>
      </c>
      <c r="T764" s="682">
        <f t="shared" si="107"/>
        <v>12.181070237040029</v>
      </c>
      <c r="W764" s="818"/>
      <c r="X764" s="818"/>
      <c r="Y764" s="819"/>
      <c r="Z764" s="820"/>
      <c r="AA764" s="820"/>
      <c r="AB764" s="821"/>
      <c r="AC764" s="821"/>
      <c r="AD764" s="253"/>
      <c r="AE764" s="253"/>
    </row>
    <row r="765" spans="1:31" ht="14.5">
      <c r="A765" t="s">
        <v>2244</v>
      </c>
      <c r="B765" t="s">
        <v>3105</v>
      </c>
      <c r="C765">
        <v>3504</v>
      </c>
      <c r="D765" s="581"/>
      <c r="E765" s="581"/>
      <c r="F765" s="2">
        <f>(1/S765)*cnst_fish!$C$6</f>
        <v>2.3938164528281742</v>
      </c>
      <c r="G765" s="2">
        <f t="shared" si="109"/>
        <v>1</v>
      </c>
      <c r="H765" s="2">
        <f t="shared" si="109"/>
        <v>0.36449057933102513</v>
      </c>
      <c r="I765" s="2">
        <f t="shared" si="102"/>
        <v>0</v>
      </c>
      <c r="J765" s="389">
        <f t="shared" si="103"/>
        <v>0</v>
      </c>
      <c r="L765" s="721"/>
      <c r="M765" s="581">
        <v>0</v>
      </c>
      <c r="N765" s="585" t="s">
        <v>2314</v>
      </c>
      <c r="O765" s="586" t="s">
        <v>4691</v>
      </c>
      <c r="P765" s="233">
        <f t="shared" si="104"/>
        <v>0</v>
      </c>
      <c r="Q765" s="233">
        <f t="shared" si="105"/>
        <v>0</v>
      </c>
      <c r="R765" s="2">
        <f t="shared" si="106"/>
        <v>2.1</v>
      </c>
      <c r="S765" s="2">
        <f>(1/9)*cnst_fish!$C$7*(1/cnst_fish!$C$8)^(R765-1)</f>
        <v>1.7754076320174161</v>
      </c>
      <c r="T765" s="682">
        <f t="shared" si="107"/>
        <v>0</v>
      </c>
      <c r="W765" s="818"/>
      <c r="X765" s="818"/>
      <c r="Y765" s="819"/>
      <c r="Z765" s="820"/>
      <c r="AA765" s="820"/>
      <c r="AB765" s="821"/>
      <c r="AC765" s="821"/>
      <c r="AD765" s="253"/>
      <c r="AE765" s="253"/>
    </row>
    <row r="766" spans="1:31" ht="14.5">
      <c r="A766" t="s">
        <v>4622</v>
      </c>
      <c r="B766" t="s">
        <v>4035</v>
      </c>
      <c r="C766">
        <v>2211</v>
      </c>
      <c r="D766" s="581"/>
      <c r="E766" s="581"/>
      <c r="F766" s="2">
        <f>(1/S766)*cnst_fish!$C$6</f>
        <v>8.8938714421809756E-2</v>
      </c>
      <c r="G766" s="2">
        <f t="shared" si="109"/>
        <v>1</v>
      </c>
      <c r="H766" s="2">
        <f t="shared" si="109"/>
        <v>0.36449057933102513</v>
      </c>
      <c r="I766" s="2">
        <f t="shared" si="102"/>
        <v>0</v>
      </c>
      <c r="J766" s="389">
        <f t="shared" si="103"/>
        <v>0</v>
      </c>
      <c r="L766" s="721">
        <v>51173</v>
      </c>
      <c r="M766" s="581"/>
      <c r="N766" s="585" t="s">
        <v>1738</v>
      </c>
      <c r="O766" s="586" t="s">
        <v>4699</v>
      </c>
      <c r="P766" s="233">
        <f t="shared" si="104"/>
        <v>0</v>
      </c>
      <c r="Q766" s="233">
        <f t="shared" si="105"/>
        <v>51173</v>
      </c>
      <c r="R766" s="2">
        <f t="shared" si="106"/>
        <v>3.53</v>
      </c>
      <c r="S766" s="2">
        <f>(1/9)*cnst_fish!$C$7*(1/cnst_fish!$C$8)^(R766-1)</f>
        <v>47.785714327323419</v>
      </c>
      <c r="T766" s="682">
        <f t="shared" si="107"/>
        <v>209718.3047603468</v>
      </c>
      <c r="W766" s="818"/>
      <c r="X766" s="818"/>
      <c r="Y766" s="819"/>
      <c r="Z766" s="820"/>
      <c r="AA766" s="820"/>
      <c r="AB766" s="821"/>
      <c r="AC766" s="821"/>
      <c r="AD766" s="253"/>
      <c r="AE766" s="253"/>
    </row>
    <row r="767" spans="1:31" ht="14.5">
      <c r="A767" t="s">
        <v>1171</v>
      </c>
      <c r="B767" t="s">
        <v>5294</v>
      </c>
      <c r="C767">
        <v>16424</v>
      </c>
      <c r="D767" s="581"/>
      <c r="E767" s="581"/>
      <c r="F767" s="2">
        <f>(1/S767)*cnst_fish!$C$6</f>
        <v>1.1690719251973822</v>
      </c>
      <c r="G767" s="2">
        <f t="shared" si="109"/>
        <v>1</v>
      </c>
      <c r="H767" s="2">
        <f t="shared" si="109"/>
        <v>0.36449057933102513</v>
      </c>
      <c r="I767" s="2">
        <f t="shared" si="102"/>
        <v>0</v>
      </c>
      <c r="J767" s="389">
        <f t="shared" si="103"/>
        <v>0</v>
      </c>
      <c r="L767" s="721"/>
      <c r="M767" s="581">
        <v>108335</v>
      </c>
      <c r="N767" s="585" t="s">
        <v>2322</v>
      </c>
      <c r="O767" s="586" t="s">
        <v>4680</v>
      </c>
      <c r="P767" s="233">
        <f t="shared" si="104"/>
        <v>0</v>
      </c>
      <c r="Q767" s="233">
        <f t="shared" si="105"/>
        <v>108335</v>
      </c>
      <c r="R767" s="2">
        <f t="shared" si="106"/>
        <v>2.4112496163562103</v>
      </c>
      <c r="S767" s="2">
        <f>(1/9)*cnst_fish!$C$7*(1/cnst_fish!$C$8)^(R767-1)</f>
        <v>3.6353622975613278</v>
      </c>
      <c r="T767" s="682">
        <f t="shared" si="107"/>
        <v>33776.439294066302</v>
      </c>
      <c r="W767" s="818"/>
      <c r="X767" s="818"/>
      <c r="Y767" s="819"/>
      <c r="Z767" s="820"/>
      <c r="AA767" s="820"/>
      <c r="AB767" s="821"/>
      <c r="AC767" s="821"/>
      <c r="AD767" s="253"/>
      <c r="AE767" s="253"/>
    </row>
    <row r="768" spans="1:31" ht="14.5">
      <c r="A768" t="s">
        <v>6272</v>
      </c>
      <c r="B768" t="s">
        <v>6271</v>
      </c>
      <c r="C768">
        <v>12224</v>
      </c>
      <c r="D768" s="581"/>
      <c r="E768" s="581"/>
      <c r="F768" s="2">
        <f>(1/S768)*cnst_fish!$C$6</f>
        <v>3.0136363636363641</v>
      </c>
      <c r="G768" s="2">
        <f t="shared" ref="G768:H787" si="110">G$7</f>
        <v>1</v>
      </c>
      <c r="H768" s="2">
        <f t="shared" si="110"/>
        <v>0.36449057933102513</v>
      </c>
      <c r="I768" s="2">
        <f t="shared" si="102"/>
        <v>0</v>
      </c>
      <c r="J768" s="389">
        <f t="shared" si="103"/>
        <v>0</v>
      </c>
      <c r="L768" s="721">
        <v>4</v>
      </c>
      <c r="M768" s="581"/>
      <c r="N768" s="585" t="s">
        <v>1738</v>
      </c>
      <c r="O768" s="586" t="s">
        <v>4681</v>
      </c>
      <c r="P768" s="233">
        <f t="shared" si="104"/>
        <v>0</v>
      </c>
      <c r="Q768" s="233">
        <f t="shared" si="105"/>
        <v>4</v>
      </c>
      <c r="R768" s="2">
        <f t="shared" si="106"/>
        <v>2</v>
      </c>
      <c r="S768" s="2">
        <f>(1/9)*cnst_fish!$C$7*(1/cnst_fish!$C$8)^(R768-1)</f>
        <v>1.4102564102564099</v>
      </c>
      <c r="T768" s="682">
        <f t="shared" si="107"/>
        <v>0.48378840092202419</v>
      </c>
      <c r="W768" s="818"/>
      <c r="X768" s="818"/>
      <c r="Y768" s="819"/>
      <c r="Z768" s="820"/>
      <c r="AA768" s="820"/>
      <c r="AB768" s="821"/>
      <c r="AC768" s="821"/>
      <c r="AD768" s="253"/>
      <c r="AE768" s="253"/>
    </row>
    <row r="769" spans="1:31" ht="14.5">
      <c r="A769" t="s">
        <v>1960</v>
      </c>
      <c r="B769" t="s">
        <v>1961</v>
      </c>
      <c r="C769">
        <v>12225</v>
      </c>
      <c r="D769" s="581"/>
      <c r="E769" s="581"/>
      <c r="F769" s="2">
        <f>(1/S769)*cnst_fish!$C$6</f>
        <v>9.5299549485983424E-3</v>
      </c>
      <c r="G769" s="2">
        <f t="shared" si="110"/>
        <v>1</v>
      </c>
      <c r="H769" s="2">
        <f t="shared" si="110"/>
        <v>0.36449057933102513</v>
      </c>
      <c r="I769" s="2">
        <f t="shared" si="102"/>
        <v>0</v>
      </c>
      <c r="J769" s="389">
        <f t="shared" si="103"/>
        <v>0</v>
      </c>
      <c r="L769" s="721">
        <v>3882</v>
      </c>
      <c r="M769" s="581"/>
      <c r="N769" s="585" t="s">
        <v>1738</v>
      </c>
      <c r="O769" s="586" t="s">
        <v>4681</v>
      </c>
      <c r="P769" s="233">
        <f t="shared" si="104"/>
        <v>0</v>
      </c>
      <c r="Q769" s="233">
        <f t="shared" si="105"/>
        <v>3882</v>
      </c>
      <c r="R769" s="2">
        <f t="shared" si="106"/>
        <v>4.5</v>
      </c>
      <c r="S769" s="2">
        <f>(1/9)*cnst_fish!$C$7*(1/cnst_fish!$C$8)^(R769-1)</f>
        <v>445.96223412630997</v>
      </c>
      <c r="T769" s="682">
        <f t="shared" si="107"/>
        <v>148474.1991536014</v>
      </c>
      <c r="W769" s="818"/>
      <c r="X769" s="818"/>
      <c r="Y769" s="819"/>
      <c r="Z769" s="820"/>
      <c r="AA769" s="820"/>
      <c r="AB769" s="821"/>
      <c r="AC769" s="821"/>
      <c r="AD769" s="253"/>
      <c r="AE769" s="253"/>
    </row>
    <row r="770" spans="1:31" ht="14.5">
      <c r="A770" t="s">
        <v>2821</v>
      </c>
      <c r="B770" t="s">
        <v>2429</v>
      </c>
      <c r="C770">
        <v>12227</v>
      </c>
      <c r="D770" s="581"/>
      <c r="E770" s="581"/>
      <c r="F770" s="2">
        <f>(1/S770)*cnst_fish!$C$6</f>
        <v>0.10449387811364928</v>
      </c>
      <c r="G770" s="2">
        <f t="shared" si="110"/>
        <v>1</v>
      </c>
      <c r="H770" s="2">
        <f t="shared" si="110"/>
        <v>0.36449057933102513</v>
      </c>
      <c r="I770" s="2">
        <f t="shared" si="102"/>
        <v>0</v>
      </c>
      <c r="J770" s="389">
        <f t="shared" si="103"/>
        <v>0</v>
      </c>
      <c r="L770" s="721">
        <v>0</v>
      </c>
      <c r="M770" s="581"/>
      <c r="N770" s="585" t="s">
        <v>1738</v>
      </c>
      <c r="O770" s="586" t="s">
        <v>4681</v>
      </c>
      <c r="P770" s="233">
        <f t="shared" si="104"/>
        <v>0</v>
      </c>
      <c r="Q770" s="233">
        <f t="shared" si="105"/>
        <v>0</v>
      </c>
      <c r="R770" s="2">
        <f t="shared" si="106"/>
        <v>3.46</v>
      </c>
      <c r="S770" s="2">
        <f>(1/9)*cnst_fish!$C$7*(1/cnst_fish!$C$8)^(R770-1)</f>
        <v>40.672239146657276</v>
      </c>
      <c r="T770" s="682">
        <f t="shared" si="107"/>
        <v>0</v>
      </c>
      <c r="W770" s="818"/>
      <c r="X770" s="818"/>
      <c r="Y770" s="819"/>
      <c r="Z770" s="820"/>
      <c r="AA770" s="820"/>
      <c r="AB770" s="821"/>
      <c r="AC770" s="821"/>
      <c r="AD770" s="253"/>
      <c r="AE770" s="253"/>
    </row>
    <row r="771" spans="1:31" ht="14.5">
      <c r="A771" t="s">
        <v>6381</v>
      </c>
      <c r="B771" t="s">
        <v>6380</v>
      </c>
      <c r="C771">
        <v>6592</v>
      </c>
      <c r="D771" s="581"/>
      <c r="E771" s="581"/>
      <c r="F771" s="2">
        <f>(1/S771)*cnst_fish!$C$6</f>
        <v>3.0136363636363641</v>
      </c>
      <c r="G771" s="2">
        <f t="shared" si="110"/>
        <v>1</v>
      </c>
      <c r="H771" s="2">
        <f t="shared" si="110"/>
        <v>0.36449057933102513</v>
      </c>
      <c r="I771" s="2">
        <f t="shared" si="102"/>
        <v>0</v>
      </c>
      <c r="J771" s="389">
        <f t="shared" si="103"/>
        <v>0</v>
      </c>
      <c r="L771" s="721">
        <v>0</v>
      </c>
      <c r="M771" s="581"/>
      <c r="N771" s="585" t="s">
        <v>5196</v>
      </c>
      <c r="O771" s="586"/>
      <c r="P771" s="233">
        <f t="shared" si="104"/>
        <v>0</v>
      </c>
      <c r="Q771" s="233">
        <f t="shared" si="105"/>
        <v>0</v>
      </c>
      <c r="R771" s="2">
        <f t="shared" si="106"/>
        <v>2</v>
      </c>
      <c r="S771" s="2">
        <f>(1/9)*cnst_fish!$C$7*(1/cnst_fish!$C$8)^(R771-1)</f>
        <v>1.4102564102564099</v>
      </c>
      <c r="T771" s="682">
        <f t="shared" si="107"/>
        <v>0</v>
      </c>
      <c r="W771" s="818"/>
      <c r="X771" s="818"/>
      <c r="Y771" s="819"/>
      <c r="Z771" s="820"/>
      <c r="AA771" s="820"/>
      <c r="AB771" s="821"/>
      <c r="AC771" s="821"/>
      <c r="AD771" s="253"/>
      <c r="AE771" s="253"/>
    </row>
    <row r="772" spans="1:31" ht="14.5">
      <c r="A772" t="s">
        <v>3883</v>
      </c>
      <c r="B772" t="s">
        <v>3884</v>
      </c>
      <c r="C772">
        <v>12251</v>
      </c>
      <c r="D772" s="581"/>
      <c r="E772" s="581"/>
      <c r="F772" s="2">
        <f>(1/S772)*cnst_fish!$C$6</f>
        <v>0.10692785320993656</v>
      </c>
      <c r="G772" s="2">
        <f t="shared" si="110"/>
        <v>1</v>
      </c>
      <c r="H772" s="2">
        <f t="shared" si="110"/>
        <v>0.36449057933102513</v>
      </c>
      <c r="I772" s="2">
        <f t="shared" si="102"/>
        <v>0</v>
      </c>
      <c r="J772" s="389">
        <f t="shared" si="103"/>
        <v>0</v>
      </c>
      <c r="L772" s="721">
        <v>1260</v>
      </c>
      <c r="M772" s="581"/>
      <c r="N772" s="585" t="s">
        <v>1738</v>
      </c>
      <c r="O772" s="586" t="s">
        <v>4681</v>
      </c>
      <c r="P772" s="233">
        <f t="shared" si="104"/>
        <v>0</v>
      </c>
      <c r="Q772" s="233">
        <f t="shared" si="105"/>
        <v>1260</v>
      </c>
      <c r="R772" s="2">
        <f t="shared" si="106"/>
        <v>3.45</v>
      </c>
      <c r="S772" s="2">
        <f>(1/9)*cnst_fish!$C$7*(1/cnst_fish!$C$8)^(R772-1)</f>
        <v>39.746425953729492</v>
      </c>
      <c r="T772" s="682">
        <f t="shared" si="107"/>
        <v>4295.0280602324292</v>
      </c>
      <c r="W772" s="818"/>
      <c r="X772" s="818"/>
      <c r="Y772" s="819"/>
      <c r="Z772" s="820"/>
      <c r="AA772" s="820"/>
      <c r="AB772" s="821"/>
      <c r="AC772" s="821"/>
      <c r="AD772" s="253"/>
      <c r="AE772" s="253"/>
    </row>
    <row r="773" spans="1:31" ht="14.5">
      <c r="A773" t="s">
        <v>3411</v>
      </c>
      <c r="B773" t="s">
        <v>1651</v>
      </c>
      <c r="C773">
        <v>2214</v>
      </c>
      <c r="D773" s="581"/>
      <c r="E773" s="581"/>
      <c r="F773" s="2">
        <f>(1/S773)*cnst_fish!$C$6</f>
        <v>6.4430402969999093E-2</v>
      </c>
      <c r="G773" s="2">
        <f t="shared" si="110"/>
        <v>1</v>
      </c>
      <c r="H773" s="2">
        <f t="shared" si="110"/>
        <v>0.36449057933102513</v>
      </c>
      <c r="I773" s="2">
        <f t="shared" si="102"/>
        <v>0</v>
      </c>
      <c r="J773" s="389">
        <f t="shared" si="103"/>
        <v>0</v>
      </c>
      <c r="L773" s="721">
        <v>1213</v>
      </c>
      <c r="M773" s="581"/>
      <c r="N773" s="585" t="s">
        <v>1738</v>
      </c>
      <c r="O773" s="586" t="s">
        <v>4681</v>
      </c>
      <c r="P773" s="233">
        <f t="shared" si="104"/>
        <v>0</v>
      </c>
      <c r="Q773" s="233">
        <f t="shared" si="105"/>
        <v>1213</v>
      </c>
      <c r="R773" s="2">
        <f t="shared" si="106"/>
        <v>3.67</v>
      </c>
      <c r="S773" s="2">
        <f>(1/9)*cnst_fish!$C$7*(1/cnst_fish!$C$8)^(R773-1)</f>
        <v>65.962648130245896</v>
      </c>
      <c r="T773" s="682">
        <f t="shared" si="107"/>
        <v>6862.0876534700919</v>
      </c>
      <c r="W773" s="818"/>
      <c r="X773" s="818"/>
      <c r="Y773" s="819"/>
      <c r="Z773" s="820"/>
      <c r="AA773" s="820"/>
      <c r="AB773" s="821"/>
      <c r="AC773" s="821"/>
      <c r="AD773" s="253"/>
      <c r="AE773" s="253"/>
    </row>
    <row r="774" spans="1:31" ht="14.5">
      <c r="A774" t="s">
        <v>1619</v>
      </c>
      <c r="B774" t="s">
        <v>1653</v>
      </c>
      <c r="C774">
        <v>3011</v>
      </c>
      <c r="D774" s="581">
        <v>280</v>
      </c>
      <c r="E774" s="581"/>
      <c r="F774" s="2">
        <f>(1/S774)*cnst_fish!$C$6</f>
        <v>2.945037624971374E-2</v>
      </c>
      <c r="G774" s="2">
        <f t="shared" si="110"/>
        <v>1</v>
      </c>
      <c r="H774" s="2">
        <f t="shared" si="110"/>
        <v>0.36449057933102513</v>
      </c>
      <c r="I774" s="2">
        <f t="shared" si="102"/>
        <v>3465.4009628715366</v>
      </c>
      <c r="J774" s="389">
        <f t="shared" si="103"/>
        <v>0</v>
      </c>
      <c r="L774" s="721">
        <v>415046</v>
      </c>
      <c r="M774" s="581"/>
      <c r="N774" s="585" t="s">
        <v>5195</v>
      </c>
      <c r="O774" s="586" t="s">
        <v>4681</v>
      </c>
      <c r="P774" s="233">
        <f t="shared" si="104"/>
        <v>280</v>
      </c>
      <c r="Q774" s="233">
        <f t="shared" si="105"/>
        <v>415046</v>
      </c>
      <c r="R774" s="2">
        <f t="shared" si="106"/>
        <v>4.01</v>
      </c>
      <c r="S774" s="2">
        <f>(1/9)*cnst_fish!$C$7*(1/cnst_fish!$C$8)^(R774-1)</f>
        <v>144.31055019343972</v>
      </c>
      <c r="T774" s="682">
        <f t="shared" si="107"/>
        <v>5136788.6001284998</v>
      </c>
      <c r="W774" s="818"/>
      <c r="X774" s="818"/>
      <c r="Y774" s="819"/>
      <c r="Z774" s="820"/>
      <c r="AA774" s="820"/>
      <c r="AB774" s="821"/>
      <c r="AC774" s="821"/>
      <c r="AD774" s="253"/>
      <c r="AE774" s="253"/>
    </row>
    <row r="775" spans="1:31" ht="14.5">
      <c r="A775" t="s">
        <v>1328</v>
      </c>
      <c r="B775" t="s">
        <v>1654</v>
      </c>
      <c r="C775">
        <v>2218</v>
      </c>
      <c r="D775" s="581">
        <v>18073</v>
      </c>
      <c r="E775" s="581"/>
      <c r="F775" s="2">
        <f>(1/S775)*cnst_fish!$C$6</f>
        <v>1.1457525898206004E-2</v>
      </c>
      <c r="G775" s="2">
        <f t="shared" si="110"/>
        <v>1</v>
      </c>
      <c r="H775" s="2">
        <f t="shared" si="110"/>
        <v>0.36449057933102513</v>
      </c>
      <c r="I775" s="2">
        <f t="shared" ref="I775:I838" si="111">IF($F775=0,0,D775/$F775*$H775*$G775)</f>
        <v>574944.21559902956</v>
      </c>
      <c r="J775" s="389">
        <f t="shared" ref="J775:J838" si="112">IF($F775=0,0,E775/$F775*$H775*$G775)</f>
        <v>0</v>
      </c>
      <c r="L775" s="721">
        <v>1220985.2</v>
      </c>
      <c r="M775" s="581"/>
      <c r="N775" s="585" t="s">
        <v>5195</v>
      </c>
      <c r="O775" s="586" t="s">
        <v>4681</v>
      </c>
      <c r="P775" s="233">
        <f t="shared" ref="P775:P838" si="113">D775+E775</f>
        <v>18073</v>
      </c>
      <c r="Q775" s="233">
        <f t="shared" ref="Q775:Q838" si="114">L775+M775</f>
        <v>1220985.2</v>
      </c>
      <c r="R775" s="2">
        <f t="shared" ref="R775:R838" si="115">VLOOKUP(B775,constant_fish_trophic,3,FALSE)</f>
        <v>4.42</v>
      </c>
      <c r="S775" s="2">
        <f>(1/9)*cnst_fish!$C$7*(1/cnst_fish!$C$8)^(R775-1)</f>
        <v>370.93522962627179</v>
      </c>
      <c r="T775" s="682">
        <f t="shared" ref="T775:T838" si="116">IF(F775=0,0,Q775/F775*H775*G775)</f>
        <v>38842382.452942193</v>
      </c>
      <c r="W775" s="818"/>
      <c r="X775" s="818"/>
      <c r="Y775" s="819"/>
      <c r="Z775" s="820"/>
      <c r="AA775" s="820"/>
      <c r="AB775" s="821"/>
      <c r="AC775" s="821"/>
      <c r="AD775" s="253"/>
      <c r="AE775" s="253"/>
    </row>
    <row r="776" spans="1:31" ht="14.5">
      <c r="A776" t="s">
        <v>3634</v>
      </c>
      <c r="B776" t="s">
        <v>1655</v>
      </c>
      <c r="C776">
        <v>2219</v>
      </c>
      <c r="D776" s="581"/>
      <c r="E776" s="581"/>
      <c r="F776" s="2">
        <f>(1/S776)*cnst_fish!$C$6</f>
        <v>7.7462381998898044E-2</v>
      </c>
      <c r="G776" s="2">
        <f t="shared" si="110"/>
        <v>1</v>
      </c>
      <c r="H776" s="2">
        <f t="shared" si="110"/>
        <v>0.36449057933102513</v>
      </c>
      <c r="I776" s="2">
        <f t="shared" si="111"/>
        <v>0</v>
      </c>
      <c r="J776" s="389">
        <f t="shared" si="112"/>
        <v>0</v>
      </c>
      <c r="L776" s="721">
        <v>24</v>
      </c>
      <c r="M776" s="581"/>
      <c r="N776" s="585" t="s">
        <v>5195</v>
      </c>
      <c r="O776" s="586" t="s">
        <v>4681</v>
      </c>
      <c r="P776" s="233">
        <f t="shared" si="113"/>
        <v>0</v>
      </c>
      <c r="Q776" s="233">
        <f t="shared" si="114"/>
        <v>24</v>
      </c>
      <c r="R776" s="2">
        <f t="shared" si="115"/>
        <v>3.59</v>
      </c>
      <c r="S776" s="2">
        <f>(1/9)*cnst_fish!$C$7*(1/cnst_fish!$C$8)^(R776-1)</f>
        <v>54.865340960731871</v>
      </c>
      <c r="T776" s="682">
        <f t="shared" si="116"/>
        <v>112.92931714995605</v>
      </c>
      <c r="W776" s="818"/>
      <c r="X776" s="818"/>
      <c r="Y776" s="819"/>
      <c r="Z776" s="820"/>
      <c r="AA776" s="820"/>
      <c r="AB776" s="821"/>
      <c r="AC776" s="821"/>
      <c r="AD776" s="253"/>
      <c r="AE776" s="253"/>
    </row>
    <row r="777" spans="1:31" ht="14.5">
      <c r="A777" t="s">
        <v>6701</v>
      </c>
      <c r="B777" t="s">
        <v>6700</v>
      </c>
      <c r="C777">
        <v>2234</v>
      </c>
      <c r="D777" s="581"/>
      <c r="E777" s="581"/>
      <c r="F777" s="2">
        <f>(1/S777)*cnst_fish!$C$6</f>
        <v>0.11997502458044032</v>
      </c>
      <c r="G777" s="2">
        <f t="shared" si="110"/>
        <v>1</v>
      </c>
      <c r="H777" s="2">
        <f t="shared" si="110"/>
        <v>0.36449057933102513</v>
      </c>
      <c r="I777" s="2">
        <f t="shared" si="111"/>
        <v>0</v>
      </c>
      <c r="J777" s="389">
        <f t="shared" si="112"/>
        <v>0</v>
      </c>
      <c r="L777" s="721">
        <v>1</v>
      </c>
      <c r="M777" s="581"/>
      <c r="N777" s="585" t="s">
        <v>1738</v>
      </c>
      <c r="O777" s="586" t="s">
        <v>4681</v>
      </c>
      <c r="P777" s="233">
        <f t="shared" si="113"/>
        <v>0</v>
      </c>
      <c r="Q777" s="233">
        <f t="shared" si="114"/>
        <v>1</v>
      </c>
      <c r="R777" s="2">
        <f t="shared" si="115"/>
        <v>3.4</v>
      </c>
      <c r="S777" s="2">
        <f>(1/9)*cnst_fish!$C$7*(1/cnst_fish!$C$8)^(R777-1)</f>
        <v>35.424039418724846</v>
      </c>
      <c r="T777" s="682">
        <f t="shared" si="116"/>
        <v>3.038053799994374</v>
      </c>
      <c r="W777" s="818"/>
      <c r="X777" s="818"/>
      <c r="Y777" s="819"/>
      <c r="Z777" s="820"/>
      <c r="AA777" s="820"/>
      <c r="AB777" s="821"/>
      <c r="AC777" s="821"/>
      <c r="AD777" s="253"/>
      <c r="AE777" s="253"/>
    </row>
    <row r="778" spans="1:31" ht="14.5">
      <c r="A778" t="s">
        <v>482</v>
      </c>
      <c r="B778" t="s">
        <v>3929</v>
      </c>
      <c r="C778">
        <v>3018</v>
      </c>
      <c r="D778" s="581"/>
      <c r="E778" s="581"/>
      <c r="F778" s="2">
        <f>(1/S778)*cnst_fish!$C$6</f>
        <v>0.11724405960509449</v>
      </c>
      <c r="G778" s="2">
        <f t="shared" si="110"/>
        <v>1</v>
      </c>
      <c r="H778" s="2">
        <f t="shared" si="110"/>
        <v>0.36449057933102513</v>
      </c>
      <c r="I778" s="2">
        <f t="shared" si="111"/>
        <v>0</v>
      </c>
      <c r="J778" s="389">
        <f t="shared" si="112"/>
        <v>0</v>
      </c>
      <c r="L778" s="721">
        <v>91</v>
      </c>
      <c r="M778" s="581"/>
      <c r="N778" s="585" t="s">
        <v>1738</v>
      </c>
      <c r="O778" s="586" t="s">
        <v>4681</v>
      </c>
      <c r="P778" s="233">
        <f t="shared" si="113"/>
        <v>0</v>
      </c>
      <c r="Q778" s="233">
        <f t="shared" si="114"/>
        <v>91</v>
      </c>
      <c r="R778" s="2">
        <f t="shared" si="115"/>
        <v>3.41</v>
      </c>
      <c r="S778" s="2">
        <f>(1/9)*cnst_fish!$C$7*(1/cnst_fish!$C$8)^(R778-1)</f>
        <v>36.24917129545836</v>
      </c>
      <c r="T778" s="682">
        <f t="shared" si="116"/>
        <v>282.90254389726067</v>
      </c>
      <c r="W778" s="818"/>
      <c r="X778" s="818"/>
      <c r="Y778" s="819"/>
      <c r="Z778" s="820"/>
      <c r="AA778" s="820"/>
      <c r="AB778" s="821"/>
      <c r="AC778" s="821"/>
      <c r="AD778" s="253"/>
      <c r="AE778" s="253"/>
    </row>
    <row r="779" spans="1:31" ht="14.5">
      <c r="A779" t="s">
        <v>3822</v>
      </c>
      <c r="B779" t="s">
        <v>5131</v>
      </c>
      <c r="C779">
        <v>3468</v>
      </c>
      <c r="D779" s="581"/>
      <c r="E779" s="581"/>
      <c r="F779" s="2">
        <f>(1/S779)*cnst_fish!$C$6</f>
        <v>0.75699122913220485</v>
      </c>
      <c r="G779" s="2">
        <f t="shared" si="110"/>
        <v>1</v>
      </c>
      <c r="H779" s="2">
        <f t="shared" si="110"/>
        <v>0.36449057933102513</v>
      </c>
      <c r="I779" s="2">
        <f t="shared" si="111"/>
        <v>0</v>
      </c>
      <c r="J779" s="389">
        <f t="shared" si="112"/>
        <v>0</v>
      </c>
      <c r="L779" s="721">
        <v>2692</v>
      </c>
      <c r="M779" s="581"/>
      <c r="N779" s="585" t="s">
        <v>2322</v>
      </c>
      <c r="O779" s="586" t="s">
        <v>4680</v>
      </c>
      <c r="P779" s="233">
        <f t="shared" si="113"/>
        <v>0</v>
      </c>
      <c r="Q779" s="233">
        <f t="shared" si="114"/>
        <v>2692</v>
      </c>
      <c r="R779" s="2">
        <f t="shared" si="115"/>
        <v>2.6</v>
      </c>
      <c r="S779" s="2">
        <f>(1/9)*cnst_fish!$C$7*(1/cnst_fish!$C$8)^(R779-1)</f>
        <v>5.6143318924211183</v>
      </c>
      <c r="T779" s="682">
        <f t="shared" si="116"/>
        <v>1296.1955195755068</v>
      </c>
      <c r="W779" s="818"/>
      <c r="X779" s="818"/>
      <c r="Y779" s="819"/>
      <c r="Z779" s="820"/>
      <c r="AA779" s="820"/>
      <c r="AB779" s="821"/>
      <c r="AC779" s="821"/>
      <c r="AD779" s="253"/>
      <c r="AE779" s="253"/>
    </row>
    <row r="780" spans="1:31" ht="14.5">
      <c r="A780" t="s">
        <v>2614</v>
      </c>
      <c r="B780" t="s">
        <v>2430</v>
      </c>
      <c r="C780">
        <v>2972</v>
      </c>
      <c r="D780" s="581"/>
      <c r="E780" s="581"/>
      <c r="F780" s="2">
        <f>(1/S780)*cnst_fish!$C$6</f>
        <v>0.10211530705467774</v>
      </c>
      <c r="G780" s="2">
        <f t="shared" si="110"/>
        <v>1</v>
      </c>
      <c r="H780" s="2">
        <f t="shared" si="110"/>
        <v>0.36449057933102513</v>
      </c>
      <c r="I780" s="2">
        <f t="shared" si="111"/>
        <v>0</v>
      </c>
      <c r="J780" s="389">
        <f t="shared" si="112"/>
        <v>0</v>
      </c>
      <c r="L780" s="721">
        <v>0</v>
      </c>
      <c r="M780" s="581"/>
      <c r="N780" s="585" t="s">
        <v>1738</v>
      </c>
      <c r="O780" s="586" t="s">
        <v>4681</v>
      </c>
      <c r="P780" s="233">
        <f t="shared" si="113"/>
        <v>0</v>
      </c>
      <c r="Q780" s="233">
        <f t="shared" si="114"/>
        <v>0</v>
      </c>
      <c r="R780" s="2">
        <f t="shared" si="115"/>
        <v>3.47</v>
      </c>
      <c r="S780" s="2">
        <f>(1/9)*cnst_fish!$C$7*(1/cnst_fish!$C$8)^(R780-1)</f>
        <v>41.619617299141382</v>
      </c>
      <c r="T780" s="682">
        <f t="shared" si="116"/>
        <v>0</v>
      </c>
      <c r="W780" s="818"/>
      <c r="X780" s="818"/>
      <c r="Y780" s="819"/>
      <c r="Z780" s="820"/>
      <c r="AA780" s="820"/>
      <c r="AB780" s="821"/>
      <c r="AC780" s="821"/>
      <c r="AD780" s="253"/>
      <c r="AE780" s="253"/>
    </row>
    <row r="781" spans="1:31" ht="14.5">
      <c r="A781" t="s">
        <v>9018</v>
      </c>
      <c r="B781" t="s">
        <v>9019</v>
      </c>
      <c r="C781">
        <v>12268</v>
      </c>
      <c r="D781" s="581"/>
      <c r="E781" s="581"/>
      <c r="F781" s="869">
        <f>(1/S781)*cnst_fish!$C$6</f>
        <v>7.5699122913220479E-2</v>
      </c>
      <c r="G781" s="869">
        <f t="shared" si="110"/>
        <v>1</v>
      </c>
      <c r="H781" s="869">
        <f t="shared" si="110"/>
        <v>0.36449057933102513</v>
      </c>
      <c r="I781" s="869">
        <f t="shared" si="111"/>
        <v>0</v>
      </c>
      <c r="J781" s="389">
        <f t="shared" si="112"/>
        <v>0</v>
      </c>
      <c r="L781" s="721">
        <v>187</v>
      </c>
      <c r="M781" s="581"/>
      <c r="N781" s="877" t="s">
        <v>1738</v>
      </c>
      <c r="O781" s="881" t="s">
        <v>4681</v>
      </c>
      <c r="P781" s="871">
        <f t="shared" si="113"/>
        <v>0</v>
      </c>
      <c r="Q781" s="871">
        <f t="shared" si="114"/>
        <v>187</v>
      </c>
      <c r="R781" s="869">
        <f t="shared" si="115"/>
        <v>3.6</v>
      </c>
      <c r="S781" s="869">
        <f>(1/9)*cnst_fish!$C$7*(1/cnst_fish!$C$8)^(R781-1)</f>
        <v>56.143318924211187</v>
      </c>
      <c r="T781" s="682">
        <f t="shared" si="116"/>
        <v>900.40327697109865</v>
      </c>
      <c r="W781" s="818"/>
      <c r="X781" s="818"/>
      <c r="Y781" s="819"/>
      <c r="Z781" s="820"/>
      <c r="AA781" s="820"/>
      <c r="AB781" s="821"/>
      <c r="AC781" s="821"/>
      <c r="AD781" s="253"/>
      <c r="AE781" s="253"/>
    </row>
    <row r="782" spans="1:31" ht="14.5">
      <c r="A782" t="s">
        <v>5541</v>
      </c>
      <c r="B782" t="s">
        <v>1632</v>
      </c>
      <c r="C782">
        <v>2818</v>
      </c>
      <c r="D782" s="581"/>
      <c r="E782" s="581"/>
      <c r="F782" s="2">
        <f>(1/S782)*cnst_fish!$C$6</f>
        <v>8.6914222116951673E-3</v>
      </c>
      <c r="G782" s="2">
        <f t="shared" si="110"/>
        <v>1</v>
      </c>
      <c r="H782" s="2">
        <f t="shared" si="110"/>
        <v>0.36449057933102513</v>
      </c>
      <c r="I782" s="2">
        <f t="shared" si="111"/>
        <v>0</v>
      </c>
      <c r="J782" s="389">
        <f t="shared" si="112"/>
        <v>0</v>
      </c>
      <c r="L782" s="721">
        <v>130</v>
      </c>
      <c r="M782" s="581"/>
      <c r="N782" s="585" t="s">
        <v>3785</v>
      </c>
      <c r="O782" s="586" t="s">
        <v>4681</v>
      </c>
      <c r="P782" s="233">
        <f t="shared" si="113"/>
        <v>0</v>
      </c>
      <c r="Q782" s="233">
        <f t="shared" si="114"/>
        <v>130</v>
      </c>
      <c r="R782" s="2">
        <f t="shared" si="115"/>
        <v>4.54</v>
      </c>
      <c r="S782" s="2">
        <f>(1/9)*cnst_fish!$C$7*(1/cnst_fish!$C$8)^(R782-1)</f>
        <v>488.98786602280177</v>
      </c>
      <c r="T782" s="682">
        <f t="shared" si="116"/>
        <v>5451.7861586880126</v>
      </c>
      <c r="W782" s="818"/>
      <c r="X782" s="818"/>
      <c r="Y782" s="819"/>
      <c r="Z782" s="820"/>
      <c r="AA782" s="820"/>
      <c r="AB782" s="821"/>
      <c r="AC782" s="821"/>
      <c r="AD782" s="253"/>
      <c r="AE782" s="253"/>
    </row>
    <row r="783" spans="1:31" ht="14.5">
      <c r="A783" t="s">
        <v>127</v>
      </c>
      <c r="B783" t="s">
        <v>2431</v>
      </c>
      <c r="C783">
        <v>2268</v>
      </c>
      <c r="D783" s="581"/>
      <c r="E783" s="581"/>
      <c r="F783" s="2">
        <f>(1/S783)*cnst_fish!$C$6</f>
        <v>8.1113071591070229E-2</v>
      </c>
      <c r="G783" s="2">
        <f t="shared" si="110"/>
        <v>1</v>
      </c>
      <c r="H783" s="2">
        <f t="shared" si="110"/>
        <v>0.36449057933102513</v>
      </c>
      <c r="I783" s="2">
        <f t="shared" si="111"/>
        <v>0</v>
      </c>
      <c r="J783" s="389">
        <f t="shared" si="112"/>
        <v>0</v>
      </c>
      <c r="L783" s="721">
        <v>29142</v>
      </c>
      <c r="M783" s="581"/>
      <c r="N783" s="585" t="s">
        <v>1738</v>
      </c>
      <c r="O783" s="586" t="s">
        <v>4681</v>
      </c>
      <c r="P783" s="233">
        <f t="shared" si="113"/>
        <v>0</v>
      </c>
      <c r="Q783" s="233">
        <f t="shared" si="114"/>
        <v>29142</v>
      </c>
      <c r="R783" s="2">
        <f t="shared" si="115"/>
        <v>3.57</v>
      </c>
      <c r="S783" s="2">
        <f>(1/9)*cnst_fish!$C$7*(1/cnst_fish!$C$8)^(R783-1)</f>
        <v>52.395993847037154</v>
      </c>
      <c r="T783" s="682">
        <f t="shared" si="116"/>
        <v>130952.8076610788</v>
      </c>
      <c r="W783" s="818"/>
      <c r="X783" s="818"/>
      <c r="Y783" s="819"/>
      <c r="Z783" s="820"/>
      <c r="AA783" s="820"/>
      <c r="AB783" s="821"/>
      <c r="AC783" s="821"/>
      <c r="AD783" s="253"/>
      <c r="AE783" s="253"/>
    </row>
    <row r="784" spans="1:31" ht="14.5">
      <c r="A784" t="s">
        <v>1463</v>
      </c>
      <c r="B784" t="s">
        <v>1633</v>
      </c>
      <c r="C784">
        <v>2828</v>
      </c>
      <c r="D784" s="581"/>
      <c r="E784" s="581"/>
      <c r="F784" s="2">
        <f>(1/S784)*cnst_fish!$C$6</f>
        <v>1.8581931192461935E-2</v>
      </c>
      <c r="G784" s="2">
        <f t="shared" si="110"/>
        <v>1</v>
      </c>
      <c r="H784" s="2">
        <f t="shared" si="110"/>
        <v>0.36449057933102513</v>
      </c>
      <c r="I784" s="2">
        <f t="shared" si="111"/>
        <v>0</v>
      </c>
      <c r="J784" s="389">
        <f t="shared" si="112"/>
        <v>0</v>
      </c>
      <c r="L784" s="721">
        <v>4045</v>
      </c>
      <c r="M784" s="581"/>
      <c r="N784" s="585" t="s">
        <v>3785</v>
      </c>
      <c r="O784" s="586" t="s">
        <v>4681</v>
      </c>
      <c r="P784" s="233">
        <f t="shared" si="113"/>
        <v>0</v>
      </c>
      <c r="Q784" s="233">
        <f t="shared" si="114"/>
        <v>4045</v>
      </c>
      <c r="R784" s="2">
        <f t="shared" si="115"/>
        <v>4.21</v>
      </c>
      <c r="S784" s="2">
        <f>(1/9)*cnst_fish!$C$7*(1/cnst_fish!$C$8)^(R784-1)</f>
        <v>228.71680860190045</v>
      </c>
      <c r="T784" s="682">
        <f t="shared" si="116"/>
        <v>79343.980887847487</v>
      </c>
      <c r="W784" s="818"/>
      <c r="X784" s="818"/>
      <c r="Y784" s="819"/>
      <c r="Z784" s="820"/>
      <c r="AA784" s="820"/>
      <c r="AB784" s="821"/>
      <c r="AC784" s="821"/>
      <c r="AD784" s="253"/>
      <c r="AE784" s="253"/>
    </row>
    <row r="785" spans="1:31" ht="14.5">
      <c r="A785" t="s">
        <v>2064</v>
      </c>
      <c r="B785" t="s">
        <v>1634</v>
      </c>
      <c r="C785">
        <v>2803</v>
      </c>
      <c r="D785" s="581"/>
      <c r="E785" s="581"/>
      <c r="F785" s="2">
        <f>(1/S785)*cnst_fish!$C$6</f>
        <v>1.7745606522761578E-2</v>
      </c>
      <c r="G785" s="2">
        <f t="shared" si="110"/>
        <v>1</v>
      </c>
      <c r="H785" s="2">
        <f t="shared" si="110"/>
        <v>0.36449057933102513</v>
      </c>
      <c r="I785" s="2">
        <f t="shared" si="111"/>
        <v>0</v>
      </c>
      <c r="J785" s="389">
        <f t="shared" si="112"/>
        <v>0</v>
      </c>
      <c r="L785" s="721">
        <v>1782</v>
      </c>
      <c r="M785" s="581"/>
      <c r="N785" s="585" t="s">
        <v>3785</v>
      </c>
      <c r="O785" s="586" t="s">
        <v>4681</v>
      </c>
      <c r="P785" s="233">
        <f t="shared" si="113"/>
        <v>0</v>
      </c>
      <c r="Q785" s="233">
        <f t="shared" si="114"/>
        <v>1782</v>
      </c>
      <c r="R785" s="2">
        <f t="shared" si="115"/>
        <v>4.2300000000000004</v>
      </c>
      <c r="S785" s="2">
        <f>(1/9)*cnst_fish!$C$7*(1/cnst_fish!$C$8)^(R785-1)</f>
        <v>239.49589970614389</v>
      </c>
      <c r="T785" s="682">
        <f t="shared" si="116"/>
        <v>36601.86038356991</v>
      </c>
      <c r="W785" s="818"/>
      <c r="X785" s="818"/>
      <c r="Y785" s="819"/>
      <c r="Z785" s="820"/>
      <c r="AA785" s="820"/>
      <c r="AB785" s="821"/>
      <c r="AC785" s="821"/>
      <c r="AD785" s="253"/>
      <c r="AE785" s="253"/>
    </row>
    <row r="786" spans="1:31" ht="14.5">
      <c r="A786" t="s">
        <v>1944</v>
      </c>
      <c r="B786" t="s">
        <v>1945</v>
      </c>
      <c r="C786">
        <v>12273</v>
      </c>
      <c r="D786" s="581"/>
      <c r="E786" s="581"/>
      <c r="F786" s="2">
        <f>(1/S786)*cnst_fish!$C$6</f>
        <v>3.2291695426024204E-2</v>
      </c>
      <c r="G786" s="2">
        <f t="shared" si="110"/>
        <v>1</v>
      </c>
      <c r="H786" s="2">
        <f t="shared" si="110"/>
        <v>0.36449057933102513</v>
      </c>
      <c r="I786" s="2">
        <f t="shared" si="111"/>
        <v>0</v>
      </c>
      <c r="J786" s="389">
        <f t="shared" si="112"/>
        <v>0</v>
      </c>
      <c r="L786" s="721">
        <v>0</v>
      </c>
      <c r="M786" s="581"/>
      <c r="N786" s="585" t="s">
        <v>3785</v>
      </c>
      <c r="O786" s="586" t="s">
        <v>4681</v>
      </c>
      <c r="P786" s="233">
        <f t="shared" si="113"/>
        <v>0</v>
      </c>
      <c r="Q786" s="233">
        <f t="shared" si="114"/>
        <v>0</v>
      </c>
      <c r="R786" s="2">
        <f t="shared" si="115"/>
        <v>3.97</v>
      </c>
      <c r="S786" s="2">
        <f>(1/9)*cnst_fish!$C$7*(1/cnst_fish!$C$8)^(R786-1)</f>
        <v>131.61278600983218</v>
      </c>
      <c r="T786" s="682">
        <f t="shared" si="116"/>
        <v>0</v>
      </c>
      <c r="W786" s="818"/>
      <c r="X786" s="818"/>
      <c r="Y786" s="819"/>
      <c r="Z786" s="820"/>
      <c r="AA786" s="820"/>
      <c r="AB786" s="821"/>
      <c r="AC786" s="821"/>
      <c r="AD786" s="253"/>
      <c r="AE786" s="253"/>
    </row>
    <row r="787" spans="1:31" ht="14.5">
      <c r="A787" t="s">
        <v>6300</v>
      </c>
      <c r="B787" t="s">
        <v>6299</v>
      </c>
      <c r="C787">
        <v>2489</v>
      </c>
      <c r="D787" s="581"/>
      <c r="E787" s="581"/>
      <c r="F787" s="2">
        <f>(1/S787)*cnst_fish!$C$6</f>
        <v>1.1997502458044018E-2</v>
      </c>
      <c r="G787" s="2">
        <f t="shared" si="110"/>
        <v>1</v>
      </c>
      <c r="H787" s="2">
        <f t="shared" si="110"/>
        <v>0.36449057933102513</v>
      </c>
      <c r="I787" s="2">
        <f t="shared" si="111"/>
        <v>0</v>
      </c>
      <c r="J787" s="389">
        <f t="shared" si="112"/>
        <v>0</v>
      </c>
      <c r="L787" s="721">
        <v>9</v>
      </c>
      <c r="M787" s="581"/>
      <c r="N787" s="585" t="s">
        <v>1738</v>
      </c>
      <c r="O787" s="586" t="s">
        <v>4699</v>
      </c>
      <c r="P787" s="233">
        <f t="shared" si="113"/>
        <v>0</v>
      </c>
      <c r="Q787" s="233">
        <f t="shared" si="114"/>
        <v>9</v>
      </c>
      <c r="R787" s="2">
        <f t="shared" si="115"/>
        <v>4.4000000000000004</v>
      </c>
      <c r="S787" s="2">
        <f>(1/9)*cnst_fish!$C$7*(1/cnst_fish!$C$8)^(R787-1)</f>
        <v>354.24039418724885</v>
      </c>
      <c r="T787" s="682">
        <f t="shared" si="116"/>
        <v>273.42484199949399</v>
      </c>
      <c r="W787" s="818"/>
      <c r="X787" s="818"/>
      <c r="Y787" s="819"/>
      <c r="Z787" s="820"/>
      <c r="AA787" s="820"/>
      <c r="AB787" s="821"/>
      <c r="AC787" s="821"/>
      <c r="AD787" s="253"/>
      <c r="AE787" s="253"/>
    </row>
    <row r="788" spans="1:31" ht="14.5">
      <c r="A788" t="s">
        <v>1156</v>
      </c>
      <c r="B788" t="s">
        <v>1509</v>
      </c>
      <c r="C788">
        <v>12291</v>
      </c>
      <c r="D788" s="581"/>
      <c r="E788" s="581"/>
      <c r="F788" s="2">
        <f>(1/S788)*cnst_fish!$C$6</f>
        <v>9.3130266898023228E-2</v>
      </c>
      <c r="G788" s="2">
        <f t="shared" ref="G788:H807" si="117">G$7</f>
        <v>1</v>
      </c>
      <c r="H788" s="2">
        <f t="shared" si="117"/>
        <v>0.36449057933102513</v>
      </c>
      <c r="I788" s="2">
        <f t="shared" si="111"/>
        <v>0</v>
      </c>
      <c r="J788" s="389">
        <f t="shared" si="112"/>
        <v>0</v>
      </c>
      <c r="L788" s="721">
        <v>531</v>
      </c>
      <c r="M788" s="581">
        <v>194</v>
      </c>
      <c r="N788" s="585" t="s">
        <v>1738</v>
      </c>
      <c r="O788" s="586" t="s">
        <v>4685</v>
      </c>
      <c r="P788" s="233">
        <f t="shared" si="113"/>
        <v>0</v>
      </c>
      <c r="Q788" s="233">
        <f t="shared" si="114"/>
        <v>725</v>
      </c>
      <c r="R788" s="2">
        <f t="shared" si="115"/>
        <v>3.51</v>
      </c>
      <c r="S788" s="2">
        <f>(1/9)*cnst_fish!$C$7*(1/cnst_fish!$C$8)^(R788-1)</f>
        <v>45.635002900332182</v>
      </c>
      <c r="T788" s="682">
        <f t="shared" si="116"/>
        <v>2837.4842982502209</v>
      </c>
      <c r="W788" s="818"/>
      <c r="X788" s="818"/>
      <c r="Y788" s="819"/>
      <c r="Z788" s="820"/>
      <c r="AA788" s="820"/>
      <c r="AB788" s="821"/>
      <c r="AC788" s="821"/>
      <c r="AD788" s="253"/>
      <c r="AE788" s="253"/>
    </row>
    <row r="789" spans="1:31" ht="14.5">
      <c r="A789" t="s">
        <v>2285</v>
      </c>
      <c r="B789" t="s">
        <v>4335</v>
      </c>
      <c r="C789">
        <v>3488</v>
      </c>
      <c r="D789" s="581"/>
      <c r="E789" s="581"/>
      <c r="F789" s="2">
        <f>(1/S789)*cnst_fish!$C$6</f>
        <v>2.3938164528281742</v>
      </c>
      <c r="G789" s="2">
        <f t="shared" si="117"/>
        <v>1</v>
      </c>
      <c r="H789" s="2">
        <f t="shared" si="117"/>
        <v>0.36449057933102513</v>
      </c>
      <c r="I789" s="2">
        <f t="shared" si="111"/>
        <v>0</v>
      </c>
      <c r="J789" s="389">
        <f t="shared" si="112"/>
        <v>0</v>
      </c>
      <c r="L789" s="721">
        <v>39232.01</v>
      </c>
      <c r="M789" s="581"/>
      <c r="N789" s="585" t="s">
        <v>1736</v>
      </c>
      <c r="O789" s="586" t="s">
        <v>4691</v>
      </c>
      <c r="P789" s="233">
        <f t="shared" si="113"/>
        <v>0</v>
      </c>
      <c r="Q789" s="233">
        <f t="shared" si="114"/>
        <v>39232.01</v>
      </c>
      <c r="R789" s="2">
        <f t="shared" si="115"/>
        <v>2.1</v>
      </c>
      <c r="S789" s="2">
        <f>(1/9)*cnst_fish!$C$7*(1/cnst_fish!$C$8)^(R789-1)</f>
        <v>1.7754076320174161</v>
      </c>
      <c r="T789" s="682">
        <f t="shared" si="116"/>
        <v>5973.5983668782101</v>
      </c>
      <c r="W789" s="818"/>
      <c r="X789" s="818"/>
      <c r="Y789" s="819"/>
      <c r="Z789" s="820"/>
      <c r="AA789" s="820"/>
      <c r="AB789" s="821"/>
      <c r="AC789" s="821"/>
      <c r="AD789" s="253"/>
      <c r="AE789" s="253"/>
    </row>
    <row r="790" spans="1:31" ht="14.5">
      <c r="A790" t="s">
        <v>4210</v>
      </c>
      <c r="B790" t="s">
        <v>8617</v>
      </c>
      <c r="C790">
        <v>18469</v>
      </c>
      <c r="D790" s="581"/>
      <c r="E790" s="581"/>
      <c r="F790" s="2">
        <f>(1/S790)*cnst_fish!$C$6</f>
        <v>30.136363636363644</v>
      </c>
      <c r="G790" s="2">
        <f t="shared" si="117"/>
        <v>1</v>
      </c>
      <c r="H790" s="2">
        <f t="shared" si="117"/>
        <v>0.36449057933102513</v>
      </c>
      <c r="I790" s="2">
        <f t="shared" si="111"/>
        <v>0</v>
      </c>
      <c r="J790" s="389">
        <f t="shared" si="112"/>
        <v>0</v>
      </c>
      <c r="L790" s="721"/>
      <c r="M790" s="581"/>
      <c r="N790" s="585" t="s">
        <v>1740</v>
      </c>
      <c r="O790" s="586" t="s">
        <v>4671</v>
      </c>
      <c r="P790" s="233">
        <f t="shared" si="113"/>
        <v>0</v>
      </c>
      <c r="Q790" s="233">
        <f t="shared" si="114"/>
        <v>0</v>
      </c>
      <c r="R790" s="2">
        <f t="shared" si="115"/>
        <v>1</v>
      </c>
      <c r="S790" s="2">
        <f>(1/9)*cnst_fish!$C$7*(1/cnst_fish!$C$8)^(R790-1)</f>
        <v>0.141025641025641</v>
      </c>
      <c r="T790" s="682">
        <f t="shared" si="116"/>
        <v>0</v>
      </c>
      <c r="W790" s="818"/>
      <c r="X790" s="818"/>
      <c r="Y790" s="819"/>
      <c r="Z790" s="820"/>
      <c r="AA790" s="820"/>
      <c r="AB790" s="821"/>
      <c r="AC790" s="821"/>
      <c r="AD790" s="253"/>
      <c r="AE790" s="253"/>
    </row>
    <row r="791" spans="1:31" ht="14.5">
      <c r="A791" t="s">
        <v>1055</v>
      </c>
      <c r="B791" t="s">
        <v>1916</v>
      </c>
      <c r="C791">
        <v>2792</v>
      </c>
      <c r="D791" s="581"/>
      <c r="E791" s="581"/>
      <c r="F791" s="2">
        <f>(1/S791)*cnst_fish!$C$6</f>
        <v>30.136363636363644</v>
      </c>
      <c r="G791" s="2">
        <f t="shared" si="117"/>
        <v>1</v>
      </c>
      <c r="H791" s="2">
        <f t="shared" si="117"/>
        <v>0.36449057933102513</v>
      </c>
      <c r="I791" s="2">
        <f t="shared" si="111"/>
        <v>0</v>
      </c>
      <c r="J791" s="389">
        <f t="shared" si="112"/>
        <v>0</v>
      </c>
      <c r="L791" s="721">
        <v>1514</v>
      </c>
      <c r="M791" s="581"/>
      <c r="N791" s="585" t="s">
        <v>1740</v>
      </c>
      <c r="O791" s="586" t="s">
        <v>4671</v>
      </c>
      <c r="P791" s="233">
        <f t="shared" si="113"/>
        <v>0</v>
      </c>
      <c r="Q791" s="233">
        <f t="shared" si="114"/>
        <v>1514</v>
      </c>
      <c r="R791" s="2">
        <f t="shared" si="115"/>
        <v>1</v>
      </c>
      <c r="S791" s="2">
        <f>(1/9)*cnst_fish!$C$7*(1/cnst_fish!$C$8)^(R791-1)</f>
        <v>0.141025641025641</v>
      </c>
      <c r="T791" s="682">
        <f t="shared" si="116"/>
        <v>18.311390974898615</v>
      </c>
      <c r="W791" s="818"/>
      <c r="X791" s="818"/>
      <c r="Y791" s="819"/>
      <c r="Z791" s="820"/>
      <c r="AA791" s="820"/>
      <c r="AB791" s="821"/>
      <c r="AC791" s="821"/>
      <c r="AD791" s="253"/>
      <c r="AE791" s="253"/>
    </row>
    <row r="792" spans="1:31" ht="14.5">
      <c r="A792" t="s">
        <v>2170</v>
      </c>
      <c r="B792" t="s">
        <v>2202</v>
      </c>
      <c r="C792">
        <v>3266</v>
      </c>
      <c r="D792" s="581"/>
      <c r="E792" s="581"/>
      <c r="F792" s="2">
        <f>(1/S792)*cnst_fish!$C$6</f>
        <v>2.1334911593031029E-2</v>
      </c>
      <c r="G792" s="2">
        <f t="shared" si="117"/>
        <v>1</v>
      </c>
      <c r="H792" s="2">
        <f t="shared" si="117"/>
        <v>0.36449057933102513</v>
      </c>
      <c r="I792" s="2">
        <f t="shared" si="111"/>
        <v>0</v>
      </c>
      <c r="J792" s="389">
        <f t="shared" si="112"/>
        <v>0</v>
      </c>
      <c r="L792" s="721">
        <v>945</v>
      </c>
      <c r="M792" s="581"/>
      <c r="N792" s="585" t="s">
        <v>1738</v>
      </c>
      <c r="O792" s="586" t="s">
        <v>4681</v>
      </c>
      <c r="P792" s="233">
        <f t="shared" si="113"/>
        <v>0</v>
      </c>
      <c r="Q792" s="233">
        <f t="shared" si="114"/>
        <v>945</v>
      </c>
      <c r="R792" s="2">
        <f t="shared" si="115"/>
        <v>4.1500000000000004</v>
      </c>
      <c r="S792" s="2">
        <f>(1/9)*cnst_fish!$C$7*(1/cnst_fish!$C$8)^(R792-1)</f>
        <v>199.20401270320929</v>
      </c>
      <c r="T792" s="682">
        <f t="shared" si="116"/>
        <v>16144.599238945522</v>
      </c>
      <c r="W792" s="818"/>
      <c r="X792" s="818"/>
      <c r="Y792" s="819"/>
      <c r="Z792" s="820"/>
      <c r="AA792" s="820"/>
      <c r="AB792" s="821"/>
      <c r="AC792" s="821"/>
      <c r="AD792" s="253"/>
      <c r="AE792" s="253"/>
    </row>
    <row r="793" spans="1:31" ht="14.5">
      <c r="A793" t="s">
        <v>2632</v>
      </c>
      <c r="B793" t="s">
        <v>2432</v>
      </c>
      <c r="C793">
        <v>3159</v>
      </c>
      <c r="D793" s="581"/>
      <c r="E793" s="581"/>
      <c r="F793" s="2">
        <f>(1/S793)*cnst_fish!$C$6</f>
        <v>0.11196720767792057</v>
      </c>
      <c r="G793" s="2">
        <f t="shared" si="117"/>
        <v>1</v>
      </c>
      <c r="H793" s="2">
        <f t="shared" si="117"/>
        <v>0.36449057933102513</v>
      </c>
      <c r="I793" s="2">
        <f t="shared" si="111"/>
        <v>0</v>
      </c>
      <c r="J793" s="389">
        <f t="shared" si="112"/>
        <v>0</v>
      </c>
      <c r="L793" s="721">
        <v>21</v>
      </c>
      <c r="M793" s="581"/>
      <c r="N793" s="585" t="s">
        <v>1738</v>
      </c>
      <c r="O793" s="586" t="s">
        <v>4681</v>
      </c>
      <c r="P793" s="233">
        <f t="shared" si="113"/>
        <v>0</v>
      </c>
      <c r="Q793" s="233">
        <f t="shared" si="114"/>
        <v>21</v>
      </c>
      <c r="R793" s="2">
        <f t="shared" si="115"/>
        <v>3.43</v>
      </c>
      <c r="S793" s="2">
        <f>(1/9)*cnst_fish!$C$7*(1/cnst_fish!$C$8)^(R793-1)</f>
        <v>37.957542106661656</v>
      </c>
      <c r="T793" s="682">
        <f t="shared" si="116"/>
        <v>68.361999237933318</v>
      </c>
      <c r="W793" s="818"/>
      <c r="X793" s="818"/>
      <c r="Y793" s="819"/>
      <c r="Z793" s="820"/>
      <c r="AA793" s="820"/>
      <c r="AB793" s="821"/>
      <c r="AC793" s="821"/>
      <c r="AD793" s="253"/>
      <c r="AE793" s="253"/>
    </row>
    <row r="794" spans="1:31" ht="14.5">
      <c r="A794" t="s">
        <v>3427</v>
      </c>
      <c r="B794" t="s">
        <v>2203</v>
      </c>
      <c r="C794">
        <v>3257</v>
      </c>
      <c r="D794" s="581"/>
      <c r="E794" s="581"/>
      <c r="F794" s="2">
        <f>(1/S794)*cnst_fish!$C$6</f>
        <v>1.3774975896121007E-2</v>
      </c>
      <c r="G794" s="2">
        <f t="shared" si="117"/>
        <v>1</v>
      </c>
      <c r="H794" s="2">
        <f t="shared" si="117"/>
        <v>0.36449057933102513</v>
      </c>
      <c r="I794" s="2">
        <f t="shared" si="111"/>
        <v>0</v>
      </c>
      <c r="J794" s="389">
        <f t="shared" si="112"/>
        <v>0</v>
      </c>
      <c r="L794" s="721">
        <v>28594</v>
      </c>
      <c r="M794" s="581"/>
      <c r="N794" s="585" t="s">
        <v>1738</v>
      </c>
      <c r="O794" s="586" t="s">
        <v>4681</v>
      </c>
      <c r="P794" s="233">
        <f t="shared" si="113"/>
        <v>0</v>
      </c>
      <c r="Q794" s="233">
        <f t="shared" si="114"/>
        <v>28594</v>
      </c>
      <c r="R794" s="2">
        <f t="shared" si="115"/>
        <v>4.34</v>
      </c>
      <c r="S794" s="2">
        <f>(1/9)*cnst_fish!$C$7*(1/cnst_fish!$C$8)^(R794-1)</f>
        <v>308.53048542878304</v>
      </c>
      <c r="T794" s="682">
        <f t="shared" si="116"/>
        <v>756607.03176447703</v>
      </c>
      <c r="W794" s="818"/>
      <c r="X794" s="818"/>
      <c r="Y794" s="819"/>
      <c r="Z794" s="820"/>
      <c r="AA794" s="820"/>
      <c r="AB794" s="821"/>
      <c r="AC794" s="821"/>
      <c r="AD794" s="253"/>
      <c r="AE794" s="253"/>
    </row>
    <row r="795" spans="1:31" ht="14.5">
      <c r="A795" t="s">
        <v>3536</v>
      </c>
      <c r="B795" t="s">
        <v>4631</v>
      </c>
      <c r="C795">
        <v>3259</v>
      </c>
      <c r="D795" s="581"/>
      <c r="E795" s="581"/>
      <c r="F795" s="2">
        <f>(1/S795)*cnst_fish!$C$6</f>
        <v>1.0941852286935309E-2</v>
      </c>
      <c r="G795" s="2">
        <f t="shared" si="117"/>
        <v>1</v>
      </c>
      <c r="H795" s="2">
        <f t="shared" si="117"/>
        <v>0.36449057933102513</v>
      </c>
      <c r="I795" s="2">
        <f t="shared" si="111"/>
        <v>0</v>
      </c>
      <c r="J795" s="389">
        <f t="shared" si="112"/>
        <v>0</v>
      </c>
      <c r="L795" s="721">
        <v>5489</v>
      </c>
      <c r="M795" s="581"/>
      <c r="N795" s="585" t="s">
        <v>1738</v>
      </c>
      <c r="O795" s="586" t="s">
        <v>4681</v>
      </c>
      <c r="P795" s="233">
        <f t="shared" si="113"/>
        <v>0</v>
      </c>
      <c r="Q795" s="233">
        <f t="shared" si="114"/>
        <v>5489</v>
      </c>
      <c r="R795" s="2">
        <f t="shared" si="115"/>
        <v>4.4400000000000004</v>
      </c>
      <c r="S795" s="2">
        <f>(1/9)*cnst_fish!$C$7*(1/cnst_fish!$C$8)^(R795-1)</f>
        <v>388.41686841948564</v>
      </c>
      <c r="T795" s="682">
        <f t="shared" si="116"/>
        <v>182847.35869966378</v>
      </c>
      <c r="W795" s="822"/>
      <c r="X795" s="822"/>
      <c r="Y795" s="819"/>
      <c r="Z795" s="820"/>
      <c r="AA795" s="820"/>
      <c r="AB795" s="821"/>
      <c r="AC795" s="821"/>
      <c r="AD795" s="253"/>
      <c r="AE795" s="253"/>
    </row>
    <row r="796" spans="1:31" ht="14.5">
      <c r="A796" t="s">
        <v>2737</v>
      </c>
      <c r="B796" t="s">
        <v>4632</v>
      </c>
      <c r="C796">
        <v>3258</v>
      </c>
      <c r="D796" s="581"/>
      <c r="E796" s="581"/>
      <c r="F796" s="2">
        <f>(1/S796)*cnst_fish!$C$6</f>
        <v>1.6561163607618418E-2</v>
      </c>
      <c r="G796" s="2">
        <f t="shared" si="117"/>
        <v>1</v>
      </c>
      <c r="H796" s="2">
        <f t="shared" si="117"/>
        <v>0.36449057933102513</v>
      </c>
      <c r="I796" s="2">
        <f t="shared" si="111"/>
        <v>0</v>
      </c>
      <c r="J796" s="389">
        <f t="shared" si="112"/>
        <v>0</v>
      </c>
      <c r="L796" s="721">
        <v>546</v>
      </c>
      <c r="M796" s="581"/>
      <c r="N796" s="585" t="s">
        <v>1738</v>
      </c>
      <c r="O796" s="586" t="s">
        <v>4681</v>
      </c>
      <c r="P796" s="233">
        <f t="shared" si="113"/>
        <v>0</v>
      </c>
      <c r="Q796" s="233">
        <f t="shared" si="114"/>
        <v>546</v>
      </c>
      <c r="R796" s="2">
        <f t="shared" si="115"/>
        <v>4.26</v>
      </c>
      <c r="S796" s="2">
        <f>(1/9)*cnst_fish!$C$7*(1/cnst_fish!$C$8)^(R796-1)</f>
        <v>256.62448006038221</v>
      </c>
      <c r="T796" s="682">
        <f t="shared" si="116"/>
        <v>12016.77980061684</v>
      </c>
      <c r="W796" s="818"/>
      <c r="X796" s="818"/>
      <c r="Y796" s="819"/>
      <c r="Z796" s="820"/>
      <c r="AA796" s="820"/>
      <c r="AB796" s="821"/>
      <c r="AC796" s="821"/>
      <c r="AD796" s="253"/>
      <c r="AE796" s="253"/>
    </row>
    <row r="797" spans="1:31" ht="14.5">
      <c r="A797" t="s">
        <v>4320</v>
      </c>
      <c r="B797" t="s">
        <v>4633</v>
      </c>
      <c r="C797">
        <v>2460</v>
      </c>
      <c r="D797" s="581"/>
      <c r="E797" s="581"/>
      <c r="F797" s="2">
        <f>(1/S797)*cnst_fish!$C$6</f>
        <v>2.4495756009854434E-2</v>
      </c>
      <c r="G797" s="2">
        <f t="shared" si="117"/>
        <v>1</v>
      </c>
      <c r="H797" s="2">
        <f t="shared" si="117"/>
        <v>0.36449057933102513</v>
      </c>
      <c r="I797" s="2">
        <f t="shared" si="111"/>
        <v>0</v>
      </c>
      <c r="J797" s="389">
        <f t="shared" si="112"/>
        <v>0</v>
      </c>
      <c r="L797" s="721">
        <v>329</v>
      </c>
      <c r="M797" s="581"/>
      <c r="N797" s="585" t="s">
        <v>1738</v>
      </c>
      <c r="O797" s="586" t="s">
        <v>4681</v>
      </c>
      <c r="P797" s="233">
        <f t="shared" si="113"/>
        <v>0</v>
      </c>
      <c r="Q797" s="233">
        <f t="shared" si="114"/>
        <v>329</v>
      </c>
      <c r="R797" s="2">
        <f t="shared" si="115"/>
        <v>4.09</v>
      </c>
      <c r="S797" s="2">
        <f>(1/9)*cnst_fish!$C$7*(1/cnst_fish!$C$8)^(R797-1)</f>
        <v>173.49944203764363</v>
      </c>
      <c r="T797" s="682">
        <f t="shared" si="116"/>
        <v>4895.4357869855303</v>
      </c>
      <c r="W797" s="818"/>
      <c r="X797" s="818"/>
      <c r="Y797" s="819"/>
      <c r="Z797" s="820"/>
      <c r="AA797" s="820"/>
      <c r="AB797" s="821"/>
      <c r="AC797" s="821"/>
      <c r="AD797" s="253"/>
      <c r="AE797" s="253"/>
    </row>
    <row r="798" spans="1:31" ht="14.5">
      <c r="A798" t="s">
        <v>4763</v>
      </c>
      <c r="B798" t="s">
        <v>4634</v>
      </c>
      <c r="C798">
        <v>2459</v>
      </c>
      <c r="D798" s="581"/>
      <c r="E798" s="581"/>
      <c r="F798" s="2">
        <f>(1/S798)*cnst_fish!$C$6</f>
        <v>1.581578846116358E-2</v>
      </c>
      <c r="G798" s="2">
        <f t="shared" si="117"/>
        <v>1</v>
      </c>
      <c r="H798" s="2">
        <f t="shared" si="117"/>
        <v>0.36449057933102513</v>
      </c>
      <c r="I798" s="2">
        <f t="shared" si="111"/>
        <v>0</v>
      </c>
      <c r="J798" s="389">
        <f t="shared" si="112"/>
        <v>0</v>
      </c>
      <c r="L798" s="721">
        <v>745</v>
      </c>
      <c r="M798" s="581"/>
      <c r="N798" s="585" t="s">
        <v>1738</v>
      </c>
      <c r="O798" s="586" t="s">
        <v>4681</v>
      </c>
      <c r="P798" s="233">
        <f t="shared" si="113"/>
        <v>0</v>
      </c>
      <c r="Q798" s="233">
        <f t="shared" si="114"/>
        <v>745</v>
      </c>
      <c r="R798" s="2">
        <f t="shared" si="115"/>
        <v>4.28</v>
      </c>
      <c r="S798" s="2">
        <f>(1/9)*cnst_fish!$C$7*(1/cnst_fish!$C$8)^(R798-1)</f>
        <v>268.71881919994547</v>
      </c>
      <c r="T798" s="682">
        <f t="shared" si="116"/>
        <v>17169.266158839095</v>
      </c>
      <c r="W798" s="818"/>
      <c r="X798" s="818"/>
      <c r="Y798" s="819"/>
      <c r="Z798" s="820"/>
      <c r="AA798" s="820"/>
      <c r="AB798" s="821"/>
      <c r="AC798" s="821"/>
      <c r="AD798" s="253"/>
      <c r="AE798" s="253"/>
    </row>
    <row r="799" spans="1:31" ht="14.5">
      <c r="A799" t="s">
        <v>2067</v>
      </c>
      <c r="B799" t="s">
        <v>2433</v>
      </c>
      <c r="C799">
        <v>3249</v>
      </c>
      <c r="D799" s="581"/>
      <c r="E799" s="581"/>
      <c r="F799" s="2">
        <f>(1/S799)*cnst_fish!$C$6</f>
        <v>0.16946922663690964</v>
      </c>
      <c r="G799" s="2">
        <f t="shared" si="117"/>
        <v>1</v>
      </c>
      <c r="H799" s="2">
        <f t="shared" si="117"/>
        <v>0.36449057933102513</v>
      </c>
      <c r="I799" s="2">
        <f t="shared" si="111"/>
        <v>0</v>
      </c>
      <c r="J799" s="389">
        <f t="shared" si="112"/>
        <v>0</v>
      </c>
      <c r="L799" s="721">
        <v>4556</v>
      </c>
      <c r="M799" s="581"/>
      <c r="N799" s="585" t="s">
        <v>1738</v>
      </c>
      <c r="O799" s="586" t="s">
        <v>4681</v>
      </c>
      <c r="P799" s="233">
        <f t="shared" si="113"/>
        <v>0</v>
      </c>
      <c r="Q799" s="233">
        <f t="shared" si="114"/>
        <v>4556</v>
      </c>
      <c r="R799" s="2">
        <f t="shared" si="115"/>
        <v>3.25</v>
      </c>
      <c r="S799" s="2">
        <f>(1/9)*cnst_fish!$C$7*(1/cnst_fish!$C$8)^(R799-1)</f>
        <v>25.078299372343796</v>
      </c>
      <c r="T799" s="682">
        <f t="shared" si="116"/>
        <v>9798.9417452765738</v>
      </c>
      <c r="W799" s="818"/>
      <c r="X799" s="818"/>
      <c r="Y799" s="819"/>
      <c r="Z799" s="820"/>
      <c r="AA799" s="820"/>
      <c r="AB799" s="821"/>
      <c r="AC799" s="821"/>
      <c r="AD799" s="253"/>
      <c r="AE799" s="253"/>
    </row>
    <row r="800" spans="1:31" ht="14.5">
      <c r="A800" t="s">
        <v>2822</v>
      </c>
      <c r="B800" t="s">
        <v>136</v>
      </c>
      <c r="C800">
        <v>18869</v>
      </c>
      <c r="D800" s="581"/>
      <c r="E800" s="581"/>
      <c r="F800" s="2">
        <f>(1/S800)*cnst_fish!$C$6</f>
        <v>0.19457670629544385</v>
      </c>
      <c r="G800" s="2">
        <f t="shared" si="117"/>
        <v>1</v>
      </c>
      <c r="H800" s="2">
        <f t="shared" si="117"/>
        <v>0.36449057933102513</v>
      </c>
      <c r="I800" s="2">
        <f t="shared" si="111"/>
        <v>0</v>
      </c>
      <c r="J800" s="389">
        <f t="shared" si="112"/>
        <v>0</v>
      </c>
      <c r="L800" s="721">
        <v>4515</v>
      </c>
      <c r="M800" s="581"/>
      <c r="N800" s="585" t="s">
        <v>1738</v>
      </c>
      <c r="O800" s="586" t="s">
        <v>4681</v>
      </c>
      <c r="P800" s="233">
        <f t="shared" si="113"/>
        <v>0</v>
      </c>
      <c r="Q800" s="233">
        <f t="shared" si="114"/>
        <v>4515</v>
      </c>
      <c r="R800" s="2">
        <f t="shared" si="115"/>
        <v>3.19</v>
      </c>
      <c r="S800" s="2">
        <f>(1/9)*cnst_fish!$C$7*(1/cnst_fish!$C$8)^(R800-1)</f>
        <v>21.84228565132987</v>
      </c>
      <c r="T800" s="682">
        <f t="shared" si="116"/>
        <v>8457.7182799096099</v>
      </c>
      <c r="W800" s="818"/>
      <c r="X800" s="818"/>
      <c r="Y800" s="819"/>
      <c r="Z800" s="820"/>
      <c r="AA800" s="820"/>
      <c r="AB800" s="821"/>
      <c r="AC800" s="821"/>
      <c r="AD800" s="253"/>
      <c r="AE800" s="253"/>
    </row>
    <row r="801" spans="1:31" ht="14.5">
      <c r="A801" t="s">
        <v>692</v>
      </c>
      <c r="B801" t="s">
        <v>137</v>
      </c>
      <c r="C801">
        <v>12319</v>
      </c>
      <c r="D801" s="581"/>
      <c r="E801" s="581"/>
      <c r="F801" s="2">
        <f>(1/S801)*cnst_fish!$C$6</f>
        <v>9.5299549485983348E-2</v>
      </c>
      <c r="G801" s="2">
        <f t="shared" si="117"/>
        <v>1</v>
      </c>
      <c r="H801" s="2">
        <f t="shared" si="117"/>
        <v>0.36449057933102513</v>
      </c>
      <c r="I801" s="2">
        <f t="shared" si="111"/>
        <v>0</v>
      </c>
      <c r="J801" s="389">
        <f t="shared" si="112"/>
        <v>0</v>
      </c>
      <c r="L801" s="721">
        <v>657</v>
      </c>
      <c r="M801" s="581"/>
      <c r="N801" s="585" t="s">
        <v>1738</v>
      </c>
      <c r="O801" s="586" t="s">
        <v>4681</v>
      </c>
      <c r="P801" s="233">
        <f t="shared" si="113"/>
        <v>0</v>
      </c>
      <c r="Q801" s="233">
        <f t="shared" si="114"/>
        <v>657</v>
      </c>
      <c r="R801" s="2">
        <f t="shared" si="115"/>
        <v>3.5</v>
      </c>
      <c r="S801" s="2">
        <f>(1/9)*cnst_fish!$C$7*(1/cnst_fish!$C$8)^(R801-1)</f>
        <v>44.596223412631026</v>
      </c>
      <c r="T801" s="682">
        <f t="shared" si="116"/>
        <v>2512.8168172054661</v>
      </c>
      <c r="W801" s="818"/>
      <c r="X801" s="818"/>
      <c r="Y801" s="819"/>
      <c r="Z801" s="820"/>
      <c r="AA801" s="820"/>
      <c r="AB801" s="821"/>
      <c r="AC801" s="821"/>
      <c r="AD801" s="253"/>
      <c r="AE801" s="253"/>
    </row>
    <row r="802" spans="1:31" ht="14.5">
      <c r="A802" t="s">
        <v>230</v>
      </c>
      <c r="B802" t="s">
        <v>5120</v>
      </c>
      <c r="C802">
        <v>12320</v>
      </c>
      <c r="D802" s="581"/>
      <c r="E802" s="581"/>
      <c r="F802" s="2">
        <f>(1/S802)*cnst_fish!$C$6</f>
        <v>0.25650205424007994</v>
      </c>
      <c r="G802" s="2">
        <f t="shared" si="117"/>
        <v>1</v>
      </c>
      <c r="H802" s="2">
        <f t="shared" si="117"/>
        <v>0.36449057933102513</v>
      </c>
      <c r="I802" s="2">
        <f t="shared" si="111"/>
        <v>0</v>
      </c>
      <c r="J802" s="389">
        <f t="shared" si="112"/>
        <v>0</v>
      </c>
      <c r="L802" s="721">
        <v>539</v>
      </c>
      <c r="M802" s="581"/>
      <c r="N802" s="585" t="s">
        <v>1738</v>
      </c>
      <c r="O802" s="586" t="s">
        <v>4681</v>
      </c>
      <c r="P802" s="233">
        <f t="shared" si="113"/>
        <v>0</v>
      </c>
      <c r="Q802" s="233">
        <f t="shared" si="114"/>
        <v>539</v>
      </c>
      <c r="R802" s="2">
        <f t="shared" si="115"/>
        <v>3.07</v>
      </c>
      <c r="S802" s="2">
        <f>(1/9)*cnst_fish!$C$7*(1/cnst_fish!$C$8)^(R802-1)</f>
        <v>16.569068082480538</v>
      </c>
      <c r="T802" s="682">
        <f t="shared" si="116"/>
        <v>765.92143810099924</v>
      </c>
      <c r="W802" s="818"/>
      <c r="X802" s="818"/>
      <c r="Y802" s="819"/>
      <c r="Z802" s="820"/>
      <c r="AA802" s="820"/>
      <c r="AB802" s="821"/>
      <c r="AC802" s="821"/>
      <c r="AD802" s="253"/>
      <c r="AE802" s="253"/>
    </row>
    <row r="803" spans="1:31" ht="14.5">
      <c r="A803" t="s">
        <v>617</v>
      </c>
      <c r="B803" t="s">
        <v>5121</v>
      </c>
      <c r="C803">
        <v>3250</v>
      </c>
      <c r="D803" s="581"/>
      <c r="E803" s="581"/>
      <c r="F803" s="2">
        <f>(1/S803)*cnst_fish!$C$6</f>
        <v>0.15103960722494611</v>
      </c>
      <c r="G803" s="2">
        <f t="shared" si="117"/>
        <v>1</v>
      </c>
      <c r="H803" s="2">
        <f t="shared" si="117"/>
        <v>0.36449057933102513</v>
      </c>
      <c r="I803" s="2">
        <f t="shared" si="111"/>
        <v>0</v>
      </c>
      <c r="J803" s="389">
        <f t="shared" si="112"/>
        <v>0</v>
      </c>
      <c r="L803" s="721">
        <v>7913</v>
      </c>
      <c r="M803" s="581"/>
      <c r="N803" s="585" t="s">
        <v>1738</v>
      </c>
      <c r="O803" s="586" t="s">
        <v>4681</v>
      </c>
      <c r="P803" s="233">
        <f t="shared" si="113"/>
        <v>0</v>
      </c>
      <c r="Q803" s="233">
        <f t="shared" si="114"/>
        <v>7913</v>
      </c>
      <c r="R803" s="2">
        <f t="shared" si="115"/>
        <v>3.3</v>
      </c>
      <c r="S803" s="2">
        <f>(1/9)*cnst_fish!$C$7*(1/cnst_fish!$C$8)^(R803-1)</f>
        <v>28.138314698279075</v>
      </c>
      <c r="T803" s="682">
        <f t="shared" si="116"/>
        <v>19095.745859236034</v>
      </c>
      <c r="W803" s="818"/>
      <c r="X803" s="818"/>
      <c r="Y803" s="819"/>
      <c r="Z803" s="820"/>
      <c r="AA803" s="820"/>
      <c r="AB803" s="821"/>
      <c r="AC803" s="821"/>
      <c r="AD803" s="253"/>
      <c r="AE803" s="253"/>
    </row>
    <row r="804" spans="1:31" ht="14.5">
      <c r="A804" t="s">
        <v>6499</v>
      </c>
      <c r="B804" t="s">
        <v>6498</v>
      </c>
      <c r="C804">
        <v>16222</v>
      </c>
      <c r="D804" s="581"/>
      <c r="E804" s="581"/>
      <c r="F804" s="2">
        <f>(1/S804)*cnst_fish!$C$6</f>
        <v>3.0136363636363641</v>
      </c>
      <c r="G804" s="2">
        <f t="shared" si="117"/>
        <v>1</v>
      </c>
      <c r="H804" s="2">
        <f t="shared" si="117"/>
        <v>0.36449057933102513</v>
      </c>
      <c r="I804" s="2">
        <f t="shared" si="111"/>
        <v>0</v>
      </c>
      <c r="J804" s="389">
        <f t="shared" si="112"/>
        <v>0</v>
      </c>
      <c r="L804" s="721">
        <v>94</v>
      </c>
      <c r="M804" s="581"/>
      <c r="N804" s="585" t="s">
        <v>2311</v>
      </c>
      <c r="O804" s="586" t="s">
        <v>4680</v>
      </c>
      <c r="P804" s="233">
        <f t="shared" si="113"/>
        <v>0</v>
      </c>
      <c r="Q804" s="233">
        <f t="shared" si="114"/>
        <v>94</v>
      </c>
      <c r="R804" s="2">
        <f t="shared" si="115"/>
        <v>2</v>
      </c>
      <c r="S804" s="2">
        <f>(1/9)*cnst_fish!$C$7*(1/cnst_fish!$C$8)^(R804-1)</f>
        <v>1.4102564102564099</v>
      </c>
      <c r="T804" s="682">
        <f t="shared" si="116"/>
        <v>11.369027421667569</v>
      </c>
      <c r="W804" s="818"/>
      <c r="X804" s="818"/>
      <c r="Y804" s="819"/>
      <c r="Z804" s="820"/>
      <c r="AA804" s="820"/>
      <c r="AB804" s="821"/>
      <c r="AC804" s="821"/>
      <c r="AD804" s="253"/>
      <c r="AE804" s="253"/>
    </row>
    <row r="805" spans="1:31" ht="14.5">
      <c r="A805" t="s">
        <v>4028</v>
      </c>
      <c r="B805" t="s">
        <v>8618</v>
      </c>
      <c r="C805">
        <v>2164</v>
      </c>
      <c r="D805" s="581"/>
      <c r="E805" s="581"/>
      <c r="F805" s="2">
        <f>(1/S805)*cnst_fish!$C$6</f>
        <v>0.47762917572805397</v>
      </c>
      <c r="G805" s="2">
        <f t="shared" si="117"/>
        <v>1</v>
      </c>
      <c r="H805" s="2">
        <f t="shared" si="117"/>
        <v>0.36449057933102513</v>
      </c>
      <c r="I805" s="2">
        <f t="shared" si="111"/>
        <v>0</v>
      </c>
      <c r="J805" s="389">
        <f t="shared" si="112"/>
        <v>0</v>
      </c>
      <c r="L805" s="721"/>
      <c r="M805" s="581"/>
      <c r="N805" s="585" t="s">
        <v>5194</v>
      </c>
      <c r="O805" s="586" t="s">
        <v>4685</v>
      </c>
      <c r="P805" s="233">
        <f t="shared" si="113"/>
        <v>0</v>
      </c>
      <c r="Q805" s="233">
        <f t="shared" si="114"/>
        <v>0</v>
      </c>
      <c r="R805" s="2">
        <f t="shared" si="115"/>
        <v>2.8</v>
      </c>
      <c r="S805" s="2">
        <f>(1/9)*cnst_fish!$C$7*(1/cnst_fish!$C$8)^(R805-1)</f>
        <v>8.8981163965155421</v>
      </c>
      <c r="T805" s="682">
        <f t="shared" si="116"/>
        <v>0</v>
      </c>
      <c r="W805" s="818"/>
      <c r="X805" s="818"/>
      <c r="Y805" s="819"/>
      <c r="Z805" s="820"/>
      <c r="AA805" s="820"/>
      <c r="AB805" s="821"/>
      <c r="AC805" s="821"/>
      <c r="AD805" s="253"/>
      <c r="AE805" s="253"/>
    </row>
    <row r="806" spans="1:31" ht="14.5">
      <c r="A806" t="s">
        <v>243</v>
      </c>
      <c r="B806" t="s">
        <v>4075</v>
      </c>
      <c r="C806">
        <v>18402</v>
      </c>
      <c r="D806" s="581"/>
      <c r="E806" s="581"/>
      <c r="F806" s="2">
        <f>(1/S806)*cnst_fish!$C$6</f>
        <v>30.136363636363644</v>
      </c>
      <c r="G806" s="2">
        <f t="shared" si="117"/>
        <v>1</v>
      </c>
      <c r="H806" s="2">
        <f t="shared" si="117"/>
        <v>0.36449057933102513</v>
      </c>
      <c r="I806" s="2">
        <f t="shared" si="111"/>
        <v>0</v>
      </c>
      <c r="J806" s="389">
        <f t="shared" si="112"/>
        <v>0</v>
      </c>
      <c r="L806" s="721">
        <v>16688</v>
      </c>
      <c r="M806" s="581"/>
      <c r="N806" s="585" t="s">
        <v>1740</v>
      </c>
      <c r="O806" s="586" t="s">
        <v>4671</v>
      </c>
      <c r="P806" s="233">
        <f t="shared" si="113"/>
        <v>0</v>
      </c>
      <c r="Q806" s="233">
        <f t="shared" si="114"/>
        <v>16688</v>
      </c>
      <c r="R806" s="2">
        <f t="shared" si="115"/>
        <v>1</v>
      </c>
      <c r="S806" s="2">
        <f>(1/9)*cnst_fish!$C$7*(1/cnst_fish!$C$8)^(R806-1)</f>
        <v>0.141025641025641</v>
      </c>
      <c r="T806" s="682">
        <f t="shared" si="116"/>
        <v>201.8365208646685</v>
      </c>
      <c r="W806" s="818"/>
      <c r="X806" s="818"/>
      <c r="Y806" s="819"/>
      <c r="Z806" s="820"/>
      <c r="AA806" s="820"/>
      <c r="AB806" s="821"/>
      <c r="AC806" s="821"/>
      <c r="AD806" s="253"/>
      <c r="AE806" s="253"/>
    </row>
    <row r="807" spans="1:31" ht="14.5">
      <c r="A807" t="s">
        <v>6397</v>
      </c>
      <c r="B807" t="s">
        <v>6396</v>
      </c>
      <c r="C807">
        <v>19407</v>
      </c>
      <c r="D807" s="581"/>
      <c r="E807" s="581"/>
      <c r="F807" s="2">
        <f>(1/S807)*cnst_fish!$C$6</f>
        <v>3.0136363636363641</v>
      </c>
      <c r="G807" s="2">
        <f t="shared" si="117"/>
        <v>1</v>
      </c>
      <c r="H807" s="2">
        <f t="shared" si="117"/>
        <v>0.36449057933102513</v>
      </c>
      <c r="I807" s="2">
        <f t="shared" si="111"/>
        <v>0</v>
      </c>
      <c r="J807" s="389">
        <f t="shared" si="112"/>
        <v>0</v>
      </c>
      <c r="L807" s="721">
        <v>0</v>
      </c>
      <c r="M807" s="581"/>
      <c r="N807" s="585" t="s">
        <v>1740</v>
      </c>
      <c r="O807" s="586" t="s">
        <v>4671</v>
      </c>
      <c r="P807" s="233">
        <f t="shared" si="113"/>
        <v>0</v>
      </c>
      <c r="Q807" s="233">
        <f t="shared" si="114"/>
        <v>0</v>
      </c>
      <c r="R807" s="2">
        <f t="shared" si="115"/>
        <v>2</v>
      </c>
      <c r="S807" s="2">
        <f>(1/9)*cnst_fish!$C$7*(1/cnst_fish!$C$8)^(R807-1)</f>
        <v>1.4102564102564099</v>
      </c>
      <c r="T807" s="682">
        <f t="shared" si="116"/>
        <v>0</v>
      </c>
      <c r="W807" s="818"/>
      <c r="X807" s="818"/>
      <c r="Y807" s="819"/>
      <c r="Z807" s="820"/>
      <c r="AA807" s="820"/>
      <c r="AB807" s="821"/>
      <c r="AC807" s="821"/>
      <c r="AD807" s="253"/>
      <c r="AE807" s="253"/>
    </row>
    <row r="808" spans="1:31" ht="14.5">
      <c r="A808" t="s">
        <v>2529</v>
      </c>
      <c r="B808" t="s">
        <v>3716</v>
      </c>
      <c r="C808">
        <v>2013</v>
      </c>
      <c r="D808" s="581"/>
      <c r="E808" s="581"/>
      <c r="F808" s="2">
        <f>(1/S808)*cnst_fish!$C$6</f>
        <v>4.4574948243432784E-2</v>
      </c>
      <c r="G808" s="2">
        <f t="shared" ref="G808:H827" si="118">G$7</f>
        <v>1</v>
      </c>
      <c r="H808" s="2">
        <f t="shared" si="118"/>
        <v>0.36449057933102513</v>
      </c>
      <c r="I808" s="2">
        <f t="shared" si="111"/>
        <v>0</v>
      </c>
      <c r="J808" s="389">
        <f t="shared" si="112"/>
        <v>0</v>
      </c>
      <c r="L808" s="721">
        <v>14</v>
      </c>
      <c r="M808" s="581"/>
      <c r="N808" s="585" t="s">
        <v>3785</v>
      </c>
      <c r="O808" s="586" t="s">
        <v>4681</v>
      </c>
      <c r="P808" s="233">
        <f t="shared" si="113"/>
        <v>0</v>
      </c>
      <c r="Q808" s="233">
        <f t="shared" si="114"/>
        <v>14</v>
      </c>
      <c r="R808" s="2">
        <f t="shared" si="115"/>
        <v>3.83</v>
      </c>
      <c r="S808" s="2">
        <f>(1/9)*cnst_fish!$C$7*(1/cnst_fish!$C$8)^(R808-1)</f>
        <v>95.345034991176945</v>
      </c>
      <c r="T808" s="682">
        <f t="shared" si="116"/>
        <v>114.47838554442194</v>
      </c>
      <c r="W808" s="818"/>
      <c r="X808" s="818"/>
      <c r="Y808" s="819"/>
      <c r="Z808" s="820"/>
      <c r="AA808" s="820"/>
      <c r="AB808" s="821"/>
      <c r="AC808" s="821"/>
      <c r="AD808" s="253"/>
      <c r="AE808" s="253"/>
    </row>
    <row r="809" spans="1:31" ht="14.5">
      <c r="A809" t="s">
        <v>4093</v>
      </c>
      <c r="B809" t="s">
        <v>5122</v>
      </c>
      <c r="C809">
        <v>18706</v>
      </c>
      <c r="D809" s="581"/>
      <c r="E809" s="581"/>
      <c r="F809" s="2">
        <f>(1/S809)*cnst_fish!$C$6</f>
        <v>1.8581931192461947</v>
      </c>
      <c r="G809" s="2">
        <f t="shared" si="118"/>
        <v>1</v>
      </c>
      <c r="H809" s="2">
        <f t="shared" si="118"/>
        <v>0.36449057933102513</v>
      </c>
      <c r="I809" s="2">
        <f t="shared" si="111"/>
        <v>0</v>
      </c>
      <c r="J809" s="389">
        <f t="shared" si="112"/>
        <v>0</v>
      </c>
      <c r="L809" s="721"/>
      <c r="M809" s="581"/>
      <c r="N809" s="585" t="s">
        <v>1738</v>
      </c>
      <c r="O809" s="586" t="s">
        <v>4681</v>
      </c>
      <c r="P809" s="233">
        <f t="shared" si="113"/>
        <v>0</v>
      </c>
      <c r="Q809" s="233">
        <f t="shared" si="114"/>
        <v>0</v>
      </c>
      <c r="R809" s="2">
        <f t="shared" si="115"/>
        <v>2.21</v>
      </c>
      <c r="S809" s="2">
        <f>(1/9)*cnst_fish!$C$7*(1/cnst_fish!$C$8)^(R809-1)</f>
        <v>2.2871680860190029</v>
      </c>
      <c r="T809" s="682">
        <f t="shared" si="116"/>
        <v>0</v>
      </c>
      <c r="W809" s="818"/>
      <c r="X809" s="818"/>
      <c r="Y809" s="819"/>
      <c r="Z809" s="820"/>
      <c r="AA809" s="820"/>
      <c r="AB809" s="821"/>
      <c r="AC809" s="821"/>
      <c r="AD809" s="253"/>
      <c r="AE809" s="253"/>
    </row>
    <row r="810" spans="1:31" ht="14.5">
      <c r="A810" t="s">
        <v>586</v>
      </c>
      <c r="B810" t="s">
        <v>5123</v>
      </c>
      <c r="C810">
        <v>18574</v>
      </c>
      <c r="D810" s="581"/>
      <c r="E810" s="581"/>
      <c r="F810" s="2">
        <f>(1/S810)*cnst_fish!$C$6</f>
        <v>3.0136363636363641</v>
      </c>
      <c r="G810" s="2">
        <f t="shared" si="118"/>
        <v>1</v>
      </c>
      <c r="H810" s="2">
        <f t="shared" si="118"/>
        <v>0.36449057933102513</v>
      </c>
      <c r="I810" s="2">
        <f t="shared" si="111"/>
        <v>0</v>
      </c>
      <c r="J810" s="389">
        <f t="shared" si="112"/>
        <v>0</v>
      </c>
      <c r="L810" s="721">
        <v>272</v>
      </c>
      <c r="M810" s="581"/>
      <c r="N810" s="585" t="s">
        <v>1738</v>
      </c>
      <c r="O810" s="586" t="s">
        <v>4681</v>
      </c>
      <c r="P810" s="233">
        <f t="shared" si="113"/>
        <v>0</v>
      </c>
      <c r="Q810" s="233">
        <f t="shared" si="114"/>
        <v>272</v>
      </c>
      <c r="R810" s="2">
        <f t="shared" si="115"/>
        <v>2</v>
      </c>
      <c r="S810" s="2">
        <f>(1/9)*cnst_fish!$C$7*(1/cnst_fish!$C$8)^(R810-1)</f>
        <v>1.4102564102564099</v>
      </c>
      <c r="T810" s="682">
        <f t="shared" si="116"/>
        <v>32.897611262697652</v>
      </c>
      <c r="W810" s="818"/>
      <c r="X810" s="818"/>
      <c r="Y810" s="819"/>
      <c r="Z810" s="820"/>
      <c r="AA810" s="820"/>
      <c r="AB810" s="821"/>
      <c r="AC810" s="821"/>
      <c r="AD810" s="253"/>
      <c r="AE810" s="253"/>
    </row>
    <row r="811" spans="1:31" ht="14.5">
      <c r="A811" t="s">
        <v>710</v>
      </c>
      <c r="B811" t="s">
        <v>629</v>
      </c>
      <c r="C811">
        <v>2938</v>
      </c>
      <c r="D811" s="581"/>
      <c r="E811" s="581"/>
      <c r="F811" s="2">
        <f>(1/S811)*cnst_fish!$C$6</f>
        <v>0.21831865524078092</v>
      </c>
      <c r="G811" s="2">
        <f t="shared" si="118"/>
        <v>1</v>
      </c>
      <c r="H811" s="2">
        <f t="shared" si="118"/>
        <v>0.36449057933102513</v>
      </c>
      <c r="I811" s="2">
        <f t="shared" si="111"/>
        <v>0</v>
      </c>
      <c r="J811" s="389">
        <f t="shared" si="112"/>
        <v>0</v>
      </c>
      <c r="L811" s="721">
        <v>2761</v>
      </c>
      <c r="M811" s="581"/>
      <c r="N811" s="585" t="s">
        <v>1738</v>
      </c>
      <c r="O811" s="586" t="s">
        <v>4681</v>
      </c>
      <c r="P811" s="233">
        <f t="shared" si="113"/>
        <v>0</v>
      </c>
      <c r="Q811" s="233">
        <f t="shared" si="114"/>
        <v>2761</v>
      </c>
      <c r="R811" s="2">
        <f t="shared" si="115"/>
        <v>3.14</v>
      </c>
      <c r="S811" s="2">
        <f>(1/9)*cnst_fish!$C$7*(1/cnst_fish!$C$8)^(R811-1)</f>
        <v>19.466957577733005</v>
      </c>
      <c r="T811" s="682">
        <f t="shared" si="116"/>
        <v>4609.5854173481421</v>
      </c>
      <c r="W811" s="818"/>
      <c r="X811" s="818"/>
      <c r="Y811" s="819"/>
      <c r="Z811" s="820"/>
      <c r="AA811" s="820"/>
      <c r="AB811" s="821"/>
      <c r="AC811" s="821"/>
      <c r="AD811" s="253"/>
      <c r="AE811" s="253"/>
    </row>
    <row r="812" spans="1:31" ht="14.5">
      <c r="A812" t="s">
        <v>383</v>
      </c>
      <c r="B812" t="s">
        <v>384</v>
      </c>
      <c r="C812">
        <v>17447</v>
      </c>
      <c r="D812" s="581"/>
      <c r="E812" s="581"/>
      <c r="F812" s="2">
        <f>(1/S812)*cnst_fish!$C$6</f>
        <v>0.14481532779905856</v>
      </c>
      <c r="G812" s="2">
        <f t="shared" si="118"/>
        <v>1</v>
      </c>
      <c r="H812" s="2">
        <f t="shared" si="118"/>
        <v>0.36449057933102513</v>
      </c>
      <c r="I812" s="2">
        <f t="shared" si="111"/>
        <v>0</v>
      </c>
      <c r="J812" s="389">
        <f t="shared" si="112"/>
        <v>0</v>
      </c>
      <c r="L812" s="721">
        <v>4642</v>
      </c>
      <c r="M812" s="581"/>
      <c r="N812" s="585" t="s">
        <v>1736</v>
      </c>
      <c r="O812" s="586" t="s">
        <v>4691</v>
      </c>
      <c r="P812" s="233">
        <f t="shared" si="113"/>
        <v>0</v>
      </c>
      <c r="Q812" s="233">
        <f t="shared" si="114"/>
        <v>4642</v>
      </c>
      <c r="R812" s="2">
        <f t="shared" si="115"/>
        <v>3.3182763159269002</v>
      </c>
      <c r="S812" s="2">
        <f>(1/9)*cnst_fish!$C$7*(1/cnst_fish!$C$8)^(R812-1)</f>
        <v>29.347722127157517</v>
      </c>
      <c r="T812" s="682">
        <f t="shared" si="116"/>
        <v>11683.606251973129</v>
      </c>
      <c r="W812" s="818"/>
      <c r="X812" s="818"/>
      <c r="Y812" s="819"/>
      <c r="Z812" s="820"/>
      <c r="AA812" s="820"/>
      <c r="AB812" s="821"/>
      <c r="AC812" s="821"/>
      <c r="AD812" s="253"/>
      <c r="AE812" s="253"/>
    </row>
    <row r="813" spans="1:31" ht="14.5">
      <c r="A813" t="s">
        <v>9072</v>
      </c>
      <c r="B813" t="s">
        <v>9073</v>
      </c>
      <c r="C813">
        <v>17449</v>
      </c>
      <c r="D813" s="581"/>
      <c r="E813" s="581"/>
      <c r="F813" s="869">
        <f>(1/S813)*cnst_fish!$C$6</f>
        <v>2.3938164528281742</v>
      </c>
      <c r="G813" s="869">
        <f t="shared" si="118"/>
        <v>1</v>
      </c>
      <c r="H813" s="869">
        <f t="shared" si="118"/>
        <v>0.36449057933102513</v>
      </c>
      <c r="I813" s="869">
        <f t="shared" si="111"/>
        <v>0</v>
      </c>
      <c r="J813" s="389">
        <f t="shared" si="112"/>
        <v>0</v>
      </c>
      <c r="L813" s="721">
        <v>268</v>
      </c>
      <c r="M813" s="581"/>
      <c r="N813" s="877" t="s">
        <v>2314</v>
      </c>
      <c r="O813" s="882" t="s">
        <v>4691</v>
      </c>
      <c r="P813" s="871">
        <f t="shared" si="113"/>
        <v>0</v>
      </c>
      <c r="Q813" s="871">
        <f t="shared" si="114"/>
        <v>268</v>
      </c>
      <c r="R813" s="869">
        <f t="shared" si="115"/>
        <v>2.1</v>
      </c>
      <c r="S813" s="869">
        <f>(1/9)*cnst_fish!$C$7*(1/cnst_fish!$C$8)^(R813-1)</f>
        <v>1.7754076320174161</v>
      </c>
      <c r="T813" s="682">
        <f t="shared" si="116"/>
        <v>40.806585294084101</v>
      </c>
      <c r="W813" s="818"/>
      <c r="X813" s="818"/>
      <c r="Y813" s="819"/>
      <c r="Z813" s="820"/>
      <c r="AA813" s="820"/>
      <c r="AB813" s="821"/>
      <c r="AC813" s="821"/>
      <c r="AD813" s="253"/>
      <c r="AE813" s="253"/>
    </row>
    <row r="814" spans="1:31" ht="14.5">
      <c r="A814" t="s">
        <v>902</v>
      </c>
      <c r="B814" t="s">
        <v>3651</v>
      </c>
      <c r="C814">
        <v>3358</v>
      </c>
      <c r="D814" s="581"/>
      <c r="E814" s="581"/>
      <c r="F814" s="2">
        <f>(1/S814)*cnst_fish!$C$6</f>
        <v>0.21831865524078092</v>
      </c>
      <c r="G814" s="2">
        <f t="shared" si="118"/>
        <v>1</v>
      </c>
      <c r="H814" s="2">
        <f t="shared" si="118"/>
        <v>0.36449057933102513</v>
      </c>
      <c r="I814" s="2">
        <f t="shared" si="111"/>
        <v>0</v>
      </c>
      <c r="J814" s="389">
        <f t="shared" si="112"/>
        <v>0</v>
      </c>
      <c r="L814" s="721">
        <v>6760</v>
      </c>
      <c r="M814" s="581"/>
      <c r="N814" s="585" t="s">
        <v>1739</v>
      </c>
      <c r="O814" s="586" t="s">
        <v>4681</v>
      </c>
      <c r="P814" s="233">
        <f t="shared" si="113"/>
        <v>0</v>
      </c>
      <c r="Q814" s="233">
        <f t="shared" si="114"/>
        <v>6760</v>
      </c>
      <c r="R814" s="2">
        <f t="shared" si="115"/>
        <v>3.14</v>
      </c>
      <c r="S814" s="2">
        <f>(1/9)*cnst_fish!$C$7*(1/cnst_fish!$C$8)^(R814-1)</f>
        <v>19.466957577733005</v>
      </c>
      <c r="T814" s="682">
        <f t="shared" si="116"/>
        <v>11286.054842909614</v>
      </c>
      <c r="W814" s="818"/>
      <c r="X814" s="818"/>
      <c r="Y814" s="819"/>
      <c r="Z814" s="820"/>
      <c r="AA814" s="820"/>
      <c r="AB814" s="821"/>
      <c r="AC814" s="821"/>
      <c r="AD814" s="253"/>
      <c r="AE814" s="253"/>
    </row>
    <row r="815" spans="1:31" ht="14.5">
      <c r="A815" t="s">
        <v>2696</v>
      </c>
      <c r="B815" t="s">
        <v>3652</v>
      </c>
      <c r="C815">
        <v>2545</v>
      </c>
      <c r="D815" s="581"/>
      <c r="E815" s="581"/>
      <c r="F815" s="2">
        <f>(1/S815)*cnst_fish!$C$6</f>
        <v>0.17341667202478855</v>
      </c>
      <c r="G815" s="2">
        <f t="shared" si="118"/>
        <v>1</v>
      </c>
      <c r="H815" s="2">
        <f t="shared" si="118"/>
        <v>0.36449057933102513</v>
      </c>
      <c r="I815" s="2">
        <f t="shared" si="111"/>
        <v>0</v>
      </c>
      <c r="J815" s="389">
        <f t="shared" si="112"/>
        <v>0</v>
      </c>
      <c r="L815" s="721"/>
      <c r="M815" s="581"/>
      <c r="N815" s="585" t="s">
        <v>1741</v>
      </c>
      <c r="O815" s="586" t="s">
        <v>4681</v>
      </c>
      <c r="P815" s="233">
        <f t="shared" si="113"/>
        <v>0</v>
      </c>
      <c r="Q815" s="233">
        <f t="shared" si="114"/>
        <v>0</v>
      </c>
      <c r="R815" s="2">
        <f t="shared" si="115"/>
        <v>3.24</v>
      </c>
      <c r="S815" s="2">
        <f>(1/9)*cnst_fish!$C$7*(1/cnst_fish!$C$8)^(R815-1)</f>
        <v>24.507447584927103</v>
      </c>
      <c r="T815" s="682">
        <f t="shared" si="116"/>
        <v>0</v>
      </c>
      <c r="W815" s="822"/>
      <c r="X815" s="822"/>
      <c r="Y815" s="819"/>
      <c r="Z815" s="820"/>
      <c r="AA815" s="820"/>
      <c r="AB815" s="821"/>
      <c r="AC815" s="821"/>
      <c r="AD815" s="253"/>
      <c r="AE815" s="253"/>
    </row>
    <row r="816" spans="1:31" ht="14.5">
      <c r="A816" t="s">
        <v>3957</v>
      </c>
      <c r="B816" t="s">
        <v>695</v>
      </c>
      <c r="C816">
        <v>2323</v>
      </c>
      <c r="D816" s="581"/>
      <c r="E816" s="581"/>
      <c r="F816" s="2">
        <f>(1/S816)*cnst_fish!$C$6</f>
        <v>4.3560298545661361E-2</v>
      </c>
      <c r="G816" s="2">
        <f t="shared" si="118"/>
        <v>1</v>
      </c>
      <c r="H816" s="2">
        <f t="shared" si="118"/>
        <v>0.36449057933102513</v>
      </c>
      <c r="I816" s="2">
        <f t="shared" si="111"/>
        <v>0</v>
      </c>
      <c r="J816" s="389">
        <f t="shared" si="112"/>
        <v>0</v>
      </c>
      <c r="L816" s="721">
        <v>2757</v>
      </c>
      <c r="M816" s="581"/>
      <c r="N816" s="585" t="s">
        <v>1738</v>
      </c>
      <c r="O816" s="586" t="s">
        <v>4699</v>
      </c>
      <c r="P816" s="233">
        <f t="shared" si="113"/>
        <v>0</v>
      </c>
      <c r="Q816" s="233">
        <f t="shared" si="114"/>
        <v>2757</v>
      </c>
      <c r="R816" s="2">
        <f t="shared" si="115"/>
        <v>3.84</v>
      </c>
      <c r="S816" s="2">
        <f>(1/9)*cnst_fish!$C$7*(1/cnst_fish!$C$8)^(R816-1)</f>
        <v>97.565906155234643</v>
      </c>
      <c r="T816" s="682">
        <f t="shared" si="116"/>
        <v>23069.18365498037</v>
      </c>
      <c r="W816" s="818"/>
      <c r="X816" s="818"/>
      <c r="Y816" s="819"/>
      <c r="Z816" s="820"/>
      <c r="AA816" s="820"/>
      <c r="AB816" s="821"/>
      <c r="AC816" s="821"/>
      <c r="AD816" s="253"/>
      <c r="AE816" s="253"/>
    </row>
    <row r="817" spans="1:31" ht="14.5">
      <c r="A817" t="s">
        <v>9102</v>
      </c>
      <c r="B817" t="s">
        <v>9103</v>
      </c>
      <c r="C817">
        <v>20131</v>
      </c>
      <c r="D817" s="581"/>
      <c r="E817" s="581"/>
      <c r="F817" s="869">
        <f>(1/S817)*cnst_fish!$C$6</f>
        <v>0.11997502458044032</v>
      </c>
      <c r="G817" s="869">
        <f t="shared" si="118"/>
        <v>1</v>
      </c>
      <c r="H817" s="869">
        <f t="shared" si="118"/>
        <v>0.36449057933102513</v>
      </c>
      <c r="I817" s="869">
        <f t="shared" si="111"/>
        <v>0</v>
      </c>
      <c r="J817" s="389">
        <f t="shared" si="112"/>
        <v>0</v>
      </c>
      <c r="L817" s="721">
        <v>0.08</v>
      </c>
      <c r="M817" s="581"/>
      <c r="N817" s="877" t="s">
        <v>1738</v>
      </c>
      <c r="O817" s="882" t="s">
        <v>4685</v>
      </c>
      <c r="P817" s="871">
        <f t="shared" si="113"/>
        <v>0</v>
      </c>
      <c r="Q817" s="871">
        <f t="shared" si="114"/>
        <v>0.08</v>
      </c>
      <c r="R817" s="869">
        <f t="shared" si="115"/>
        <v>3.4</v>
      </c>
      <c r="S817" s="869">
        <f>(1/9)*cnst_fish!$C$7*(1/cnst_fish!$C$8)^(R817-1)</f>
        <v>35.424039418724846</v>
      </c>
      <c r="T817" s="682">
        <f t="shared" si="116"/>
        <v>0.24304430399954993</v>
      </c>
      <c r="W817" s="818"/>
      <c r="X817" s="818"/>
      <c r="Y817" s="819"/>
      <c r="Z817" s="820"/>
      <c r="AA817" s="820"/>
      <c r="AB817" s="821"/>
      <c r="AC817" s="821"/>
      <c r="AD817" s="253"/>
      <c r="AE817" s="253"/>
    </row>
    <row r="818" spans="1:31" ht="14.5">
      <c r="A818" t="s">
        <v>5483</v>
      </c>
      <c r="B818" t="s">
        <v>3089</v>
      </c>
      <c r="C818">
        <v>2516</v>
      </c>
      <c r="D818" s="581"/>
      <c r="E818" s="581"/>
      <c r="F818" s="2">
        <f>(1/S818)*cnst_fish!$C$6</f>
        <v>0.2037468239476744</v>
      </c>
      <c r="G818" s="2">
        <f t="shared" si="118"/>
        <v>1</v>
      </c>
      <c r="H818" s="2">
        <f t="shared" si="118"/>
        <v>0.36449057933102513</v>
      </c>
      <c r="I818" s="2">
        <f t="shared" si="111"/>
        <v>0</v>
      </c>
      <c r="J818" s="389">
        <f t="shared" si="112"/>
        <v>0</v>
      </c>
      <c r="L818" s="721"/>
      <c r="M818" s="581">
        <v>3330</v>
      </c>
      <c r="N818" s="585" t="s">
        <v>1738</v>
      </c>
      <c r="O818" s="586" t="s">
        <v>4681</v>
      </c>
      <c r="P818" s="233">
        <f t="shared" si="113"/>
        <v>0</v>
      </c>
      <c r="Q818" s="233">
        <f t="shared" si="114"/>
        <v>3330</v>
      </c>
      <c r="R818" s="2">
        <f t="shared" si="115"/>
        <v>3.17</v>
      </c>
      <c r="S818" s="2">
        <f>(1/9)*cnst_fish!$C$7*(1/cnst_fish!$C$8)^(R818-1)</f>
        <v>20.859220858782422</v>
      </c>
      <c r="T818" s="682">
        <f t="shared" si="116"/>
        <v>5957.1658868362329</v>
      </c>
      <c r="W818" s="818"/>
      <c r="X818" s="818"/>
      <c r="Y818" s="819"/>
      <c r="Z818" s="820"/>
      <c r="AA818" s="820"/>
      <c r="AB818" s="821"/>
      <c r="AC818" s="821"/>
      <c r="AD818" s="253"/>
      <c r="AE818" s="253"/>
    </row>
    <row r="819" spans="1:31" ht="14.5">
      <c r="A819" t="s">
        <v>3664</v>
      </c>
      <c r="B819" t="s">
        <v>3089</v>
      </c>
      <c r="C819">
        <v>2517</v>
      </c>
      <c r="D819" s="581"/>
      <c r="E819" s="581"/>
      <c r="F819" s="2">
        <f>(1/S819)*cnst_fish!$C$6</f>
        <v>0.2037468239476744</v>
      </c>
      <c r="G819" s="2">
        <f t="shared" si="118"/>
        <v>1</v>
      </c>
      <c r="H819" s="2">
        <f t="shared" si="118"/>
        <v>0.36449057933102513</v>
      </c>
      <c r="I819" s="2">
        <f t="shared" si="111"/>
        <v>0</v>
      </c>
      <c r="J819" s="389">
        <f t="shared" si="112"/>
        <v>0</v>
      </c>
      <c r="L819" s="721">
        <v>55281</v>
      </c>
      <c r="M819" s="581"/>
      <c r="N819" s="585" t="s">
        <v>1738</v>
      </c>
      <c r="O819" s="586" t="s">
        <v>4681</v>
      </c>
      <c r="P819" s="233">
        <f t="shared" si="113"/>
        <v>0</v>
      </c>
      <c r="Q819" s="233">
        <f t="shared" si="114"/>
        <v>55281</v>
      </c>
      <c r="R819" s="2">
        <f t="shared" si="115"/>
        <v>3.17</v>
      </c>
      <c r="S819" s="2">
        <f>(1/9)*cnst_fish!$C$7*(1/cnst_fish!$C$8)^(R819-1)</f>
        <v>20.859220858782422</v>
      </c>
      <c r="T819" s="682">
        <f t="shared" si="116"/>
        <v>98894.320537595733</v>
      </c>
      <c r="W819" s="818"/>
      <c r="X819" s="818"/>
      <c r="Y819" s="819"/>
      <c r="Z819" s="820"/>
      <c r="AA819" s="820"/>
      <c r="AB819" s="821"/>
      <c r="AC819" s="821"/>
      <c r="AD819" s="253"/>
      <c r="AE819" s="253"/>
    </row>
    <row r="820" spans="1:31" ht="14.5">
      <c r="A820" t="s">
        <v>1873</v>
      </c>
      <c r="B820" t="s">
        <v>1874</v>
      </c>
      <c r="C820">
        <v>12379</v>
      </c>
      <c r="D820" s="581"/>
      <c r="E820" s="581"/>
      <c r="F820" s="2">
        <f>(1/S820)*cnst_fish!$C$6</f>
        <v>5.7423657091346926E-2</v>
      </c>
      <c r="G820" s="2">
        <f t="shared" si="118"/>
        <v>1</v>
      </c>
      <c r="H820" s="2">
        <f t="shared" si="118"/>
        <v>0.36449057933102513</v>
      </c>
      <c r="I820" s="2">
        <f t="shared" si="111"/>
        <v>0</v>
      </c>
      <c r="J820" s="389">
        <f t="shared" si="112"/>
        <v>0</v>
      </c>
      <c r="L820" s="721"/>
      <c r="M820" s="581">
        <v>837</v>
      </c>
      <c r="N820" s="585" t="s">
        <v>1738</v>
      </c>
      <c r="O820" s="586" t="s">
        <v>4685</v>
      </c>
      <c r="P820" s="233">
        <f t="shared" si="113"/>
        <v>0</v>
      </c>
      <c r="Q820" s="233">
        <f t="shared" si="114"/>
        <v>837</v>
      </c>
      <c r="R820" s="2">
        <f t="shared" si="115"/>
        <v>3.72</v>
      </c>
      <c r="S820" s="2">
        <f>(1/9)*cnst_fish!$C$7*(1/cnst_fish!$C$8)^(R820-1)</f>
        <v>74.011308496762837</v>
      </c>
      <c r="T820" s="682">
        <f t="shared" si="116"/>
        <v>5312.7688195609508</v>
      </c>
      <c r="W820" s="818"/>
      <c r="X820" s="818"/>
      <c r="Y820" s="819"/>
      <c r="Z820" s="820"/>
      <c r="AA820" s="820"/>
      <c r="AB820" s="821"/>
      <c r="AC820" s="821"/>
      <c r="AD820" s="253"/>
      <c r="AE820" s="253"/>
    </row>
    <row r="821" spans="1:31" ht="14.5">
      <c r="A821" t="s">
        <v>8306</v>
      </c>
      <c r="B821" t="s">
        <v>5124</v>
      </c>
      <c r="C821">
        <v>2519</v>
      </c>
      <c r="D821" s="581"/>
      <c r="E821" s="581"/>
      <c r="F821" s="2">
        <f>(1/S821)*cnst_fish!$C$6</f>
        <v>0.15103960722494611</v>
      </c>
      <c r="G821" s="2">
        <f t="shared" si="118"/>
        <v>1</v>
      </c>
      <c r="H821" s="2">
        <f t="shared" si="118"/>
        <v>0.36449057933102513</v>
      </c>
      <c r="I821" s="2">
        <f t="shared" si="111"/>
        <v>0</v>
      </c>
      <c r="J821" s="389">
        <f t="shared" si="112"/>
        <v>0</v>
      </c>
      <c r="L821" s="721">
        <v>99</v>
      </c>
      <c r="M821" s="581"/>
      <c r="N821" s="585" t="s">
        <v>1738</v>
      </c>
      <c r="O821" s="586" t="s">
        <v>4685</v>
      </c>
      <c r="P821" s="233">
        <f t="shared" si="113"/>
        <v>0</v>
      </c>
      <c r="Q821" s="233">
        <f t="shared" si="114"/>
        <v>99</v>
      </c>
      <c r="R821" s="2">
        <f t="shared" si="115"/>
        <v>3.3</v>
      </c>
      <c r="S821" s="2">
        <f>(1/9)*cnst_fish!$C$7*(1/cnst_fish!$C$8)^(R821-1)</f>
        <v>28.138314698279075</v>
      </c>
      <c r="T821" s="682">
        <f t="shared" si="116"/>
        <v>238.9079792827458</v>
      </c>
      <c r="W821" s="818"/>
      <c r="X821" s="818"/>
      <c r="Y821" s="819"/>
      <c r="Z821" s="820"/>
      <c r="AA821" s="820"/>
      <c r="AB821" s="821"/>
      <c r="AC821" s="821"/>
      <c r="AD821" s="253"/>
      <c r="AE821" s="253"/>
    </row>
    <row r="822" spans="1:31" ht="14.5">
      <c r="A822" t="s">
        <v>6644</v>
      </c>
      <c r="B822" t="s">
        <v>6643</v>
      </c>
      <c r="C822">
        <v>12393</v>
      </c>
      <c r="D822" s="581"/>
      <c r="E822" s="581"/>
      <c r="F822" s="2">
        <f>(1/S822)*cnst_fish!$C$6</f>
        <v>3.0136363636363641</v>
      </c>
      <c r="G822" s="2">
        <f t="shared" si="118"/>
        <v>1</v>
      </c>
      <c r="H822" s="2">
        <f t="shared" si="118"/>
        <v>0.36449057933102513</v>
      </c>
      <c r="I822" s="2">
        <f t="shared" si="111"/>
        <v>0</v>
      </c>
      <c r="J822" s="389">
        <f t="shared" si="112"/>
        <v>0</v>
      </c>
      <c r="L822" s="721">
        <v>8</v>
      </c>
      <c r="M822" s="581"/>
      <c r="N822" s="585" t="s">
        <v>3785</v>
      </c>
      <c r="O822" s="586" t="s">
        <v>4681</v>
      </c>
      <c r="P822" s="233">
        <f t="shared" si="113"/>
        <v>0</v>
      </c>
      <c r="Q822" s="233">
        <f t="shared" si="114"/>
        <v>8</v>
      </c>
      <c r="R822" s="2">
        <f t="shared" si="115"/>
        <v>2</v>
      </c>
      <c r="S822" s="2">
        <f>(1/9)*cnst_fish!$C$7*(1/cnst_fish!$C$8)^(R822-1)</f>
        <v>1.4102564102564099</v>
      </c>
      <c r="T822" s="682">
        <f t="shared" si="116"/>
        <v>0.96757680184404837</v>
      </c>
      <c r="W822" s="818"/>
      <c r="X822" s="818"/>
      <c r="Y822" s="819"/>
      <c r="Z822" s="820"/>
      <c r="AA822" s="820"/>
      <c r="AB822" s="821"/>
      <c r="AC822" s="821"/>
      <c r="AD822" s="253"/>
      <c r="AE822" s="253"/>
    </row>
    <row r="823" spans="1:31" ht="14.5">
      <c r="A823" t="s">
        <v>1321</v>
      </c>
      <c r="B823" t="s">
        <v>1322</v>
      </c>
      <c r="C823">
        <v>19051</v>
      </c>
      <c r="D823" s="581"/>
      <c r="E823" s="581"/>
      <c r="F823" s="2">
        <f>(1/S823)*cnst_fish!$C$6</f>
        <v>0.14481532779905856</v>
      </c>
      <c r="G823" s="2">
        <f t="shared" si="118"/>
        <v>1</v>
      </c>
      <c r="H823" s="2">
        <f t="shared" si="118"/>
        <v>0.36449057933102513</v>
      </c>
      <c r="I823" s="2">
        <f t="shared" si="111"/>
        <v>0</v>
      </c>
      <c r="J823" s="389">
        <f t="shared" si="112"/>
        <v>0</v>
      </c>
      <c r="L823" s="721">
        <v>0</v>
      </c>
      <c r="M823" s="581"/>
      <c r="N823" s="585" t="s">
        <v>5197</v>
      </c>
      <c r="O823" s="586" t="s">
        <v>4675</v>
      </c>
      <c r="P823" s="233">
        <f t="shared" si="113"/>
        <v>0</v>
      </c>
      <c r="Q823" s="233">
        <f t="shared" si="114"/>
        <v>0</v>
      </c>
      <c r="R823" s="2">
        <f t="shared" si="115"/>
        <v>3.3182763159269002</v>
      </c>
      <c r="S823" s="2">
        <f>(1/9)*cnst_fish!$C$7*(1/cnst_fish!$C$8)^(R823-1)</f>
        <v>29.347722127157517</v>
      </c>
      <c r="T823" s="682">
        <f t="shared" si="116"/>
        <v>0</v>
      </c>
      <c r="W823" s="818"/>
      <c r="X823" s="818"/>
      <c r="Y823" s="819"/>
      <c r="Z823" s="820"/>
      <c r="AA823" s="820"/>
      <c r="AB823" s="821"/>
      <c r="AC823" s="821"/>
      <c r="AD823" s="253"/>
      <c r="AE823" s="253"/>
    </row>
    <row r="824" spans="1:31" ht="14.5">
      <c r="A824" t="s">
        <v>6298</v>
      </c>
      <c r="B824" t="s">
        <v>6297</v>
      </c>
      <c r="C824">
        <v>6595</v>
      </c>
      <c r="D824" s="581"/>
      <c r="E824" s="581"/>
      <c r="F824" s="2">
        <f>(1/S824)*cnst_fish!$C$6</f>
        <v>3.0136363636363641</v>
      </c>
      <c r="G824" s="2">
        <f t="shared" si="118"/>
        <v>1</v>
      </c>
      <c r="H824" s="2">
        <f t="shared" si="118"/>
        <v>0.36449057933102513</v>
      </c>
      <c r="I824" s="2">
        <f t="shared" si="111"/>
        <v>0</v>
      </c>
      <c r="J824" s="389">
        <f t="shared" si="112"/>
        <v>0</v>
      </c>
      <c r="L824" s="721">
        <v>0</v>
      </c>
      <c r="M824" s="581"/>
      <c r="N824" s="585" t="s">
        <v>5196</v>
      </c>
      <c r="O824" s="586"/>
      <c r="P824" s="233">
        <f t="shared" si="113"/>
        <v>0</v>
      </c>
      <c r="Q824" s="233">
        <f t="shared" si="114"/>
        <v>0</v>
      </c>
      <c r="R824" s="2">
        <f t="shared" si="115"/>
        <v>2</v>
      </c>
      <c r="S824" s="2">
        <f>(1/9)*cnst_fish!$C$7*(1/cnst_fish!$C$8)^(R824-1)</f>
        <v>1.4102564102564099</v>
      </c>
      <c r="T824" s="682">
        <f t="shared" si="116"/>
        <v>0</v>
      </c>
      <c r="W824" s="818"/>
      <c r="X824" s="818"/>
      <c r="Y824" s="819"/>
      <c r="Z824" s="820"/>
      <c r="AA824" s="820"/>
      <c r="AB824" s="821"/>
      <c r="AC824" s="821"/>
      <c r="AD824" s="253"/>
      <c r="AE824" s="253"/>
    </row>
    <row r="825" spans="1:31" ht="14.5">
      <c r="A825" t="s">
        <v>6405</v>
      </c>
      <c r="B825" t="s">
        <v>6404</v>
      </c>
      <c r="C825">
        <v>18765</v>
      </c>
      <c r="D825" s="581"/>
      <c r="E825" s="581"/>
      <c r="F825" s="2">
        <f>(1/S825)*cnst_fish!$C$6</f>
        <v>3.0136363636363641</v>
      </c>
      <c r="G825" s="2">
        <f t="shared" si="118"/>
        <v>1</v>
      </c>
      <c r="H825" s="2">
        <f t="shared" si="118"/>
        <v>0.36449057933102513</v>
      </c>
      <c r="I825" s="2">
        <f t="shared" si="111"/>
        <v>0</v>
      </c>
      <c r="J825" s="389">
        <f t="shared" si="112"/>
        <v>0</v>
      </c>
      <c r="L825" s="721">
        <v>9.0000000000000011E-2</v>
      </c>
      <c r="M825" s="581"/>
      <c r="N825" s="585" t="s">
        <v>5196</v>
      </c>
      <c r="O825" s="586"/>
      <c r="P825" s="233">
        <f t="shared" si="113"/>
        <v>0</v>
      </c>
      <c r="Q825" s="233">
        <f t="shared" si="114"/>
        <v>9.0000000000000011E-2</v>
      </c>
      <c r="R825" s="2">
        <f t="shared" si="115"/>
        <v>2</v>
      </c>
      <c r="S825" s="2">
        <f>(1/9)*cnst_fish!$C$7*(1/cnst_fish!$C$8)^(R825-1)</f>
        <v>1.4102564102564099</v>
      </c>
      <c r="T825" s="682">
        <f t="shared" si="116"/>
        <v>1.0885239020745546E-2</v>
      </c>
      <c r="W825" s="818"/>
      <c r="X825" s="818"/>
      <c r="Y825" s="819"/>
      <c r="Z825" s="820"/>
      <c r="AA825" s="820"/>
      <c r="AB825" s="821"/>
      <c r="AC825" s="821"/>
      <c r="AD825" s="253"/>
      <c r="AE825" s="253"/>
    </row>
    <row r="826" spans="1:31" ht="14.5">
      <c r="A826" t="s">
        <v>4279</v>
      </c>
      <c r="B826" t="s">
        <v>8619</v>
      </c>
      <c r="C826">
        <v>18535</v>
      </c>
      <c r="D826" s="581"/>
      <c r="E826" s="581"/>
      <c r="F826" s="2">
        <f>(1/S826)*cnst_fish!$C$6</f>
        <v>30.136363636363644</v>
      </c>
      <c r="G826" s="2">
        <f t="shared" si="118"/>
        <v>1</v>
      </c>
      <c r="H826" s="2">
        <f t="shared" si="118"/>
        <v>0.36449057933102513</v>
      </c>
      <c r="I826" s="2">
        <f t="shared" si="111"/>
        <v>0</v>
      </c>
      <c r="J826" s="389">
        <f t="shared" si="112"/>
        <v>0</v>
      </c>
      <c r="L826" s="721"/>
      <c r="M826" s="581"/>
      <c r="N826" s="585" t="s">
        <v>1740</v>
      </c>
      <c r="O826" s="586" t="s">
        <v>4671</v>
      </c>
      <c r="P826" s="233">
        <f t="shared" si="113"/>
        <v>0</v>
      </c>
      <c r="Q826" s="233">
        <f t="shared" si="114"/>
        <v>0</v>
      </c>
      <c r="R826" s="2">
        <f t="shared" si="115"/>
        <v>1</v>
      </c>
      <c r="S826" s="2">
        <f>(1/9)*cnst_fish!$C$7*(1/cnst_fish!$C$8)^(R826-1)</f>
        <v>0.141025641025641</v>
      </c>
      <c r="T826" s="682">
        <f t="shared" si="116"/>
        <v>0</v>
      </c>
      <c r="W826" s="818"/>
      <c r="X826" s="818"/>
      <c r="Y826" s="819"/>
      <c r="Z826" s="820"/>
      <c r="AA826" s="820"/>
      <c r="AB826" s="821"/>
      <c r="AC826" s="821"/>
      <c r="AD826" s="253"/>
      <c r="AE826" s="253"/>
    </row>
    <row r="827" spans="1:31" ht="14.5">
      <c r="A827" t="s">
        <v>4726</v>
      </c>
      <c r="B827" t="s">
        <v>4076</v>
      </c>
      <c r="C827">
        <v>3636</v>
      </c>
      <c r="D827" s="581"/>
      <c r="E827" s="581"/>
      <c r="F827" s="2">
        <f>(1/S827)*cnst_fish!$C$6</f>
        <v>30.136363636363644</v>
      </c>
      <c r="G827" s="2">
        <f t="shared" si="118"/>
        <v>1</v>
      </c>
      <c r="H827" s="2">
        <f t="shared" si="118"/>
        <v>0.36449057933102513</v>
      </c>
      <c r="I827" s="2">
        <f t="shared" si="111"/>
        <v>0</v>
      </c>
      <c r="J827" s="389">
        <f t="shared" si="112"/>
        <v>0</v>
      </c>
      <c r="L827" s="721">
        <v>58167</v>
      </c>
      <c r="M827" s="581"/>
      <c r="N827" s="585" t="s">
        <v>1740</v>
      </c>
      <c r="O827" s="586" t="s">
        <v>4671</v>
      </c>
      <c r="P827" s="233">
        <f t="shared" si="113"/>
        <v>0</v>
      </c>
      <c r="Q827" s="233">
        <f t="shared" si="114"/>
        <v>58167</v>
      </c>
      <c r="R827" s="2">
        <f t="shared" si="115"/>
        <v>1</v>
      </c>
      <c r="S827" s="2">
        <f>(1/9)*cnst_fish!$C$7*(1/cnst_fish!$C$8)^(R827-1)</f>
        <v>0.141025641025641</v>
      </c>
      <c r="T827" s="682">
        <f t="shared" si="116"/>
        <v>703.51299791078452</v>
      </c>
      <c r="W827" s="818"/>
      <c r="X827" s="818"/>
      <c r="Y827" s="819"/>
      <c r="Z827" s="820"/>
      <c r="AA827" s="820"/>
      <c r="AB827" s="821"/>
      <c r="AC827" s="821"/>
      <c r="AD827" s="253"/>
      <c r="AE827" s="253"/>
    </row>
    <row r="828" spans="1:31" ht="14.5">
      <c r="A828" t="s">
        <v>1606</v>
      </c>
      <c r="B828" t="s">
        <v>4796</v>
      </c>
      <c r="C828">
        <v>18986</v>
      </c>
      <c r="D828" s="581"/>
      <c r="E828" s="581"/>
      <c r="F828" s="2">
        <f>(1/S828)*cnst_fish!$C$6</f>
        <v>4.3560298545661361E-2</v>
      </c>
      <c r="G828" s="2">
        <f t="shared" ref="G828:H847" si="119">G$7</f>
        <v>1</v>
      </c>
      <c r="H828" s="2">
        <f t="shared" si="119"/>
        <v>0.36449057933102513</v>
      </c>
      <c r="I828" s="2">
        <f t="shared" si="111"/>
        <v>0</v>
      </c>
      <c r="J828" s="389">
        <f t="shared" si="112"/>
        <v>0</v>
      </c>
      <c r="L828" s="721">
        <v>49</v>
      </c>
      <c r="M828" s="581"/>
      <c r="N828" s="585" t="s">
        <v>1738</v>
      </c>
      <c r="O828" s="586" t="s">
        <v>4681</v>
      </c>
      <c r="P828" s="233">
        <f t="shared" si="113"/>
        <v>0</v>
      </c>
      <c r="Q828" s="233">
        <f t="shared" si="114"/>
        <v>49</v>
      </c>
      <c r="R828" s="2">
        <f t="shared" si="115"/>
        <v>3.84</v>
      </c>
      <c r="S828" s="2">
        <f>(1/9)*cnst_fish!$C$7*(1/cnst_fish!$C$8)^(R828-1)</f>
        <v>97.565906155234643</v>
      </c>
      <c r="T828" s="682">
        <f t="shared" si="116"/>
        <v>410.00725393327463</v>
      </c>
      <c r="W828" s="818"/>
      <c r="X828" s="818"/>
      <c r="Y828" s="819"/>
      <c r="Z828" s="820"/>
      <c r="AA828" s="820"/>
      <c r="AB828" s="821"/>
      <c r="AC828" s="821"/>
      <c r="AD828" s="253"/>
      <c r="AE828" s="253"/>
    </row>
    <row r="829" spans="1:31" ht="14.5">
      <c r="A829" t="s">
        <v>2817</v>
      </c>
      <c r="B829" t="s">
        <v>3090</v>
      </c>
      <c r="C829">
        <v>12441</v>
      </c>
      <c r="D829" s="581"/>
      <c r="E829" s="581"/>
      <c r="F829" s="2">
        <f>(1/S829)*cnst_fish!$C$6</f>
        <v>5.8761225892708345E-2</v>
      </c>
      <c r="G829" s="2">
        <f t="shared" si="119"/>
        <v>1</v>
      </c>
      <c r="H829" s="2">
        <f t="shared" si="119"/>
        <v>0.36449057933102513</v>
      </c>
      <c r="I829" s="2">
        <f t="shared" si="111"/>
        <v>0</v>
      </c>
      <c r="J829" s="389">
        <f t="shared" si="112"/>
        <v>0</v>
      </c>
      <c r="L829" s="721"/>
      <c r="M829" s="581">
        <v>16586</v>
      </c>
      <c r="N829" s="585" t="s">
        <v>1738</v>
      </c>
      <c r="O829" s="586" t="s">
        <v>4685</v>
      </c>
      <c r="P829" s="233">
        <f t="shared" si="113"/>
        <v>0</v>
      </c>
      <c r="Q829" s="233">
        <f t="shared" si="114"/>
        <v>16586</v>
      </c>
      <c r="R829" s="2">
        <f t="shared" si="115"/>
        <v>3.71</v>
      </c>
      <c r="S829" s="2">
        <f>(1/9)*cnst_fish!$C$7*(1/cnst_fish!$C$8)^(R829-1)</f>
        <v>72.326605434679692</v>
      </c>
      <c r="T829" s="682">
        <f t="shared" si="116"/>
        <v>102881.46063907356</v>
      </c>
      <c r="W829" s="818"/>
      <c r="X829" s="818"/>
      <c r="Y829" s="819"/>
      <c r="Z829" s="820"/>
      <c r="AA829" s="820"/>
      <c r="AB829" s="821"/>
      <c r="AC829" s="821"/>
      <c r="AD829" s="253"/>
      <c r="AE829" s="253"/>
    </row>
    <row r="830" spans="1:31" ht="14.5">
      <c r="A830" t="s">
        <v>869</v>
      </c>
      <c r="B830" t="s">
        <v>3091</v>
      </c>
      <c r="C830">
        <v>2301</v>
      </c>
      <c r="D830" s="581"/>
      <c r="E830" s="581"/>
      <c r="F830" s="2">
        <f>(1/S830)*cnst_fish!$C$6</f>
        <v>0.13461419163458563</v>
      </c>
      <c r="G830" s="2">
        <f t="shared" si="119"/>
        <v>1</v>
      </c>
      <c r="H830" s="2">
        <f t="shared" si="119"/>
        <v>0.36449057933102513</v>
      </c>
      <c r="I830" s="2">
        <f t="shared" si="111"/>
        <v>0</v>
      </c>
      <c r="J830" s="389">
        <f t="shared" si="112"/>
        <v>0</v>
      </c>
      <c r="L830" s="721">
        <v>188</v>
      </c>
      <c r="M830" s="581">
        <v>635</v>
      </c>
      <c r="N830" s="585" t="s">
        <v>1738</v>
      </c>
      <c r="O830" s="586" t="s">
        <v>4685</v>
      </c>
      <c r="P830" s="233">
        <f t="shared" si="113"/>
        <v>0</v>
      </c>
      <c r="Q830" s="233">
        <f t="shared" si="114"/>
        <v>823</v>
      </c>
      <c r="R830" s="2">
        <f t="shared" si="115"/>
        <v>3.35</v>
      </c>
      <c r="S830" s="2">
        <f>(1/9)*cnst_fish!$C$7*(1/cnst_fish!$C$8)^(R830-1)</f>
        <v>31.571708364425319</v>
      </c>
      <c r="T830" s="682">
        <f t="shared" si="116"/>
        <v>2228.4110103615753</v>
      </c>
      <c r="W830" s="818"/>
      <c r="X830" s="818"/>
      <c r="Y830" s="819"/>
      <c r="Z830" s="820"/>
      <c r="AA830" s="820"/>
      <c r="AB830" s="821"/>
      <c r="AC830" s="821"/>
      <c r="AD830" s="253"/>
      <c r="AE830" s="253"/>
    </row>
    <row r="831" spans="1:31" ht="14.5">
      <c r="A831" t="s">
        <v>5409</v>
      </c>
      <c r="B831" t="s">
        <v>4797</v>
      </c>
      <c r="C831">
        <v>3170</v>
      </c>
      <c r="D831" s="581"/>
      <c r="E831" s="581"/>
      <c r="F831" s="2">
        <f>(1/S831)*cnst_fish!$C$6</f>
        <v>0.13461419163458563</v>
      </c>
      <c r="G831" s="2">
        <f t="shared" si="119"/>
        <v>1</v>
      </c>
      <c r="H831" s="2">
        <f t="shared" si="119"/>
        <v>0.36449057933102513</v>
      </c>
      <c r="I831" s="2">
        <f t="shared" si="111"/>
        <v>0</v>
      </c>
      <c r="J831" s="389">
        <f t="shared" si="112"/>
        <v>0</v>
      </c>
      <c r="L831" s="721">
        <v>200</v>
      </c>
      <c r="M831" s="581"/>
      <c r="N831" s="585" t="s">
        <v>1738</v>
      </c>
      <c r="O831" s="586" t="s">
        <v>4681</v>
      </c>
      <c r="P831" s="233">
        <f t="shared" si="113"/>
        <v>0</v>
      </c>
      <c r="Q831" s="233">
        <f t="shared" si="114"/>
        <v>200</v>
      </c>
      <c r="R831" s="2">
        <f t="shared" si="115"/>
        <v>3.35</v>
      </c>
      <c r="S831" s="2">
        <f>(1/9)*cnst_fish!$C$7*(1/cnst_fish!$C$8)^(R831-1)</f>
        <v>31.571708364425319</v>
      </c>
      <c r="T831" s="682">
        <f t="shared" si="116"/>
        <v>541.5336598691556</v>
      </c>
      <c r="W831" s="818"/>
      <c r="X831" s="818"/>
      <c r="Y831" s="819"/>
      <c r="Z831" s="820"/>
      <c r="AA831" s="820"/>
      <c r="AB831" s="821"/>
      <c r="AC831" s="821"/>
      <c r="AD831" s="253"/>
      <c r="AE831" s="253"/>
    </row>
    <row r="832" spans="1:31" ht="14.5">
      <c r="A832" t="s">
        <v>6414</v>
      </c>
      <c r="B832" t="s">
        <v>2754</v>
      </c>
      <c r="C832">
        <v>2782</v>
      </c>
      <c r="D832" s="581"/>
      <c r="E832" s="581"/>
      <c r="F832" s="2">
        <f>(1/S832)*cnst_fish!$C$6</f>
        <v>30.136363636363644</v>
      </c>
      <c r="G832" s="2">
        <f t="shared" si="119"/>
        <v>1</v>
      </c>
      <c r="H832" s="2">
        <f t="shared" si="119"/>
        <v>0.36449057933102513</v>
      </c>
      <c r="I832" s="2">
        <f t="shared" si="111"/>
        <v>0</v>
      </c>
      <c r="J832" s="389">
        <f t="shared" si="112"/>
        <v>0</v>
      </c>
      <c r="L832" s="721">
        <v>728</v>
      </c>
      <c r="M832" s="581"/>
      <c r="N832" s="585" t="s">
        <v>2310</v>
      </c>
      <c r="O832" s="586" t="s">
        <v>4671</v>
      </c>
      <c r="P832" s="233">
        <f t="shared" si="113"/>
        <v>0</v>
      </c>
      <c r="Q832" s="233">
        <f t="shared" si="114"/>
        <v>728</v>
      </c>
      <c r="R832" s="2">
        <f t="shared" si="115"/>
        <v>1</v>
      </c>
      <c r="S832" s="2">
        <f>(1/9)*cnst_fish!$C$7*(1/cnst_fish!$C$8)^(R832-1)</f>
        <v>0.141025641025641</v>
      </c>
      <c r="T832" s="682">
        <f t="shared" si="116"/>
        <v>8.8049488967808394</v>
      </c>
      <c r="W832" s="818"/>
      <c r="X832" s="818"/>
      <c r="Y832" s="819"/>
      <c r="Z832" s="820"/>
      <c r="AA832" s="820"/>
      <c r="AB832" s="821"/>
      <c r="AC832" s="821"/>
      <c r="AD832" s="253"/>
      <c r="AE832" s="253"/>
    </row>
    <row r="833" spans="1:31" ht="14.5">
      <c r="A833" t="s">
        <v>2091</v>
      </c>
      <c r="B833" t="s">
        <v>4119</v>
      </c>
      <c r="C833">
        <v>2475</v>
      </c>
      <c r="D833" s="581"/>
      <c r="E833" s="581"/>
      <c r="F833" s="2">
        <f>(1/S833)*cnst_fish!$C$6</f>
        <v>9.5299549485983424E-3</v>
      </c>
      <c r="G833" s="2">
        <f t="shared" si="119"/>
        <v>1</v>
      </c>
      <c r="H833" s="2">
        <f t="shared" si="119"/>
        <v>0.36449057933102513</v>
      </c>
      <c r="I833" s="2">
        <f t="shared" si="111"/>
        <v>0</v>
      </c>
      <c r="J833" s="389">
        <f t="shared" si="112"/>
        <v>0</v>
      </c>
      <c r="L833" s="721">
        <v>1133</v>
      </c>
      <c r="M833" s="581"/>
      <c r="N833" s="585" t="s">
        <v>2843</v>
      </c>
      <c r="O833" s="586" t="s">
        <v>4699</v>
      </c>
      <c r="P833" s="233">
        <f t="shared" si="113"/>
        <v>0</v>
      </c>
      <c r="Q833" s="233">
        <f t="shared" si="114"/>
        <v>1133</v>
      </c>
      <c r="R833" s="2">
        <f t="shared" si="115"/>
        <v>4.5</v>
      </c>
      <c r="S833" s="2">
        <f>(1/9)*cnst_fish!$C$7*(1/cnst_fish!$C$8)^(R833-1)</f>
        <v>445.96223412630997</v>
      </c>
      <c r="T833" s="682">
        <f t="shared" si="116"/>
        <v>43333.659876617821</v>
      </c>
      <c r="W833" s="818"/>
      <c r="X833" s="818"/>
      <c r="Y833" s="819"/>
      <c r="Z833" s="820"/>
      <c r="AA833" s="820"/>
      <c r="AB833" s="821"/>
      <c r="AC833" s="821"/>
      <c r="AD833" s="253"/>
      <c r="AE833" s="253"/>
    </row>
    <row r="834" spans="1:31" ht="14.5">
      <c r="A834" t="s">
        <v>5499</v>
      </c>
      <c r="B834" t="s">
        <v>5500</v>
      </c>
      <c r="C834">
        <v>2144</v>
      </c>
      <c r="D834" s="581"/>
      <c r="E834" s="581"/>
      <c r="F834" s="2">
        <f>(1/S834)*cnst_fish!$C$6</f>
        <v>0.12562927329128742</v>
      </c>
      <c r="G834" s="2">
        <f t="shared" si="119"/>
        <v>1</v>
      </c>
      <c r="H834" s="2">
        <f t="shared" si="119"/>
        <v>0.36449057933102513</v>
      </c>
      <c r="I834" s="2">
        <f t="shared" si="111"/>
        <v>0</v>
      </c>
      <c r="J834" s="389">
        <f t="shared" si="112"/>
        <v>0</v>
      </c>
      <c r="L834" s="721">
        <v>0</v>
      </c>
      <c r="M834" s="581"/>
      <c r="N834" s="585" t="s">
        <v>1738</v>
      </c>
      <c r="O834" s="586" t="s">
        <v>4681</v>
      </c>
      <c r="P834" s="233">
        <f t="shared" si="113"/>
        <v>0</v>
      </c>
      <c r="Q834" s="233">
        <f t="shared" si="114"/>
        <v>0</v>
      </c>
      <c r="R834" s="2">
        <f t="shared" si="115"/>
        <v>3.38</v>
      </c>
      <c r="S834" s="2">
        <f>(1/9)*cnst_fish!$C$7*(1/cnst_fish!$C$8)^(R834-1)</f>
        <v>33.829695011813328</v>
      </c>
      <c r="T834" s="682">
        <f t="shared" si="116"/>
        <v>0</v>
      </c>
      <c r="W834" s="818"/>
      <c r="X834" s="818"/>
      <c r="Y834" s="819"/>
      <c r="Z834" s="820"/>
      <c r="AA834" s="820"/>
      <c r="AB834" s="821"/>
      <c r="AC834" s="821"/>
      <c r="AD834" s="253"/>
      <c r="AE834" s="253"/>
    </row>
    <row r="835" spans="1:31" ht="14.5">
      <c r="A835" t="s">
        <v>8620</v>
      </c>
      <c r="B835" t="s">
        <v>8621</v>
      </c>
      <c r="C835">
        <v>12481</v>
      </c>
      <c r="D835" s="581"/>
      <c r="E835" s="581"/>
      <c r="F835" s="2">
        <f>(1/S835)*cnst_fish!$C$6</f>
        <v>0.11997502458044032</v>
      </c>
      <c r="G835" s="2">
        <f t="shared" si="119"/>
        <v>1</v>
      </c>
      <c r="H835" s="2">
        <f t="shared" si="119"/>
        <v>0.36449057933102513</v>
      </c>
      <c r="I835" s="2">
        <f t="shared" si="111"/>
        <v>0</v>
      </c>
      <c r="J835" s="389">
        <f t="shared" si="112"/>
        <v>0</v>
      </c>
      <c r="L835" s="721">
        <v>0</v>
      </c>
      <c r="M835" s="581"/>
      <c r="N835" s="585" t="s">
        <v>3786</v>
      </c>
      <c r="O835" s="586" t="s">
        <v>4681</v>
      </c>
      <c r="P835" s="233">
        <f t="shared" si="113"/>
        <v>0</v>
      </c>
      <c r="Q835" s="233">
        <f t="shared" si="114"/>
        <v>0</v>
      </c>
      <c r="R835" s="2">
        <f t="shared" si="115"/>
        <v>3.4</v>
      </c>
      <c r="S835" s="2">
        <f>(1/9)*cnst_fish!$C$7*(1/cnst_fish!$C$8)^(R835-1)</f>
        <v>35.424039418724846</v>
      </c>
      <c r="T835" s="682">
        <f t="shared" si="116"/>
        <v>0</v>
      </c>
      <c r="W835" s="818"/>
      <c r="X835" s="818"/>
      <c r="Y835" s="819"/>
      <c r="Z835" s="820"/>
      <c r="AA835" s="820"/>
      <c r="AB835" s="821"/>
      <c r="AC835" s="821"/>
      <c r="AD835" s="253"/>
      <c r="AE835" s="253"/>
    </row>
    <row r="836" spans="1:31" ht="14.5">
      <c r="A836" t="s">
        <v>2792</v>
      </c>
      <c r="B836" t="s">
        <v>3717</v>
      </c>
      <c r="C836">
        <v>12485</v>
      </c>
      <c r="D836" s="581"/>
      <c r="E836" s="581"/>
      <c r="F836" s="2">
        <f>(1/S836)*cnst_fish!$C$6</f>
        <v>9.5299549485983424E-3</v>
      </c>
      <c r="G836" s="2">
        <f t="shared" si="119"/>
        <v>1</v>
      </c>
      <c r="H836" s="2">
        <f t="shared" si="119"/>
        <v>0.36449057933102513</v>
      </c>
      <c r="I836" s="2">
        <f t="shared" si="111"/>
        <v>0</v>
      </c>
      <c r="J836" s="389">
        <f t="shared" si="112"/>
        <v>0</v>
      </c>
      <c r="L836" s="721">
        <v>9</v>
      </c>
      <c r="M836" s="581"/>
      <c r="N836" s="585" t="s">
        <v>1738</v>
      </c>
      <c r="O836" s="586" t="s">
        <v>4681</v>
      </c>
      <c r="P836" s="233">
        <f t="shared" si="113"/>
        <v>0</v>
      </c>
      <c r="Q836" s="233">
        <f t="shared" si="114"/>
        <v>9</v>
      </c>
      <c r="R836" s="2">
        <f t="shared" si="115"/>
        <v>4.5</v>
      </c>
      <c r="S836" s="2">
        <f>(1/9)*cnst_fish!$C$7*(1/cnst_fish!$C$8)^(R836-1)</f>
        <v>445.96223412630997</v>
      </c>
      <c r="T836" s="682">
        <f t="shared" si="116"/>
        <v>344.22148180896772</v>
      </c>
      <c r="W836" s="818"/>
      <c r="X836" s="818"/>
      <c r="Y836" s="819"/>
      <c r="Z836" s="820"/>
      <c r="AA836" s="820"/>
      <c r="AB836" s="821"/>
      <c r="AC836" s="821"/>
      <c r="AD836" s="253"/>
      <c r="AE836" s="253"/>
    </row>
    <row r="837" spans="1:31" ht="14.5">
      <c r="A837" t="s">
        <v>6304</v>
      </c>
      <c r="B837" t="s">
        <v>6303</v>
      </c>
      <c r="C837">
        <v>12489</v>
      </c>
      <c r="D837" s="581"/>
      <c r="E837" s="581"/>
      <c r="F837" s="2">
        <f>(1/S837)*cnst_fish!$C$6</f>
        <v>3.0136363636363641</v>
      </c>
      <c r="G837" s="2">
        <f t="shared" si="119"/>
        <v>1</v>
      </c>
      <c r="H837" s="2">
        <f t="shared" si="119"/>
        <v>0.36449057933102513</v>
      </c>
      <c r="I837" s="2">
        <f t="shared" si="111"/>
        <v>0</v>
      </c>
      <c r="J837" s="389">
        <f t="shared" si="112"/>
        <v>0</v>
      </c>
      <c r="L837" s="721"/>
      <c r="M837" s="581"/>
      <c r="N837" s="585" t="s">
        <v>1738</v>
      </c>
      <c r="O837" s="586" t="s">
        <v>4681</v>
      </c>
      <c r="P837" s="233">
        <f t="shared" si="113"/>
        <v>0</v>
      </c>
      <c r="Q837" s="233">
        <f t="shared" si="114"/>
        <v>0</v>
      </c>
      <c r="R837" s="2">
        <f t="shared" si="115"/>
        <v>2</v>
      </c>
      <c r="S837" s="2">
        <f>(1/9)*cnst_fish!$C$7*(1/cnst_fish!$C$8)^(R837-1)</f>
        <v>1.4102564102564099</v>
      </c>
      <c r="T837" s="682">
        <f t="shared" si="116"/>
        <v>0</v>
      </c>
      <c r="W837" s="818"/>
      <c r="X837" s="818"/>
      <c r="Y837" s="819"/>
      <c r="Z837" s="820"/>
      <c r="AA837" s="820"/>
      <c r="AB837" s="821"/>
      <c r="AC837" s="821"/>
      <c r="AD837" s="253"/>
      <c r="AE837" s="253"/>
    </row>
    <row r="838" spans="1:31" ht="14.5">
      <c r="A838" t="s">
        <v>8865</v>
      </c>
      <c r="B838" t="s">
        <v>8866</v>
      </c>
      <c r="C838">
        <v>12490</v>
      </c>
      <c r="D838" s="581"/>
      <c r="E838" s="581"/>
      <c r="F838" s="2">
        <f>(1/S838)*cnst_fish!$C$6</f>
        <v>7.5699122913220479E-2</v>
      </c>
      <c r="G838" s="2">
        <f t="shared" si="119"/>
        <v>1</v>
      </c>
      <c r="H838" s="2">
        <f t="shared" si="119"/>
        <v>0.36449057933102513</v>
      </c>
      <c r="I838" s="2">
        <f t="shared" si="111"/>
        <v>0</v>
      </c>
      <c r="J838" s="389">
        <f t="shared" si="112"/>
        <v>0</v>
      </c>
      <c r="L838" s="721">
        <v>340</v>
      </c>
      <c r="M838" s="581"/>
      <c r="N838" s="585" t="s">
        <v>4282</v>
      </c>
      <c r="O838" s="586" t="s">
        <v>4681</v>
      </c>
      <c r="P838" s="233">
        <f t="shared" si="113"/>
        <v>0</v>
      </c>
      <c r="Q838" s="233">
        <f t="shared" si="114"/>
        <v>340</v>
      </c>
      <c r="R838" s="2">
        <f t="shared" si="115"/>
        <v>3.6</v>
      </c>
      <c r="S838" s="2">
        <f>(1/9)*cnst_fish!$C$7*(1/cnst_fish!$C$8)^(R838-1)</f>
        <v>56.143318924211187</v>
      </c>
      <c r="T838" s="682">
        <f t="shared" si="116"/>
        <v>1637.0968672201795</v>
      </c>
      <c r="W838" s="818"/>
      <c r="X838" s="818"/>
      <c r="Y838" s="819"/>
      <c r="Z838" s="820"/>
      <c r="AA838" s="820"/>
      <c r="AB838" s="821"/>
      <c r="AC838" s="821"/>
      <c r="AD838" s="253"/>
      <c r="AE838" s="253"/>
    </row>
    <row r="839" spans="1:31" ht="14.5">
      <c r="A839" t="s">
        <v>6763</v>
      </c>
      <c r="B839" t="s">
        <v>8622</v>
      </c>
      <c r="C839">
        <v>19262</v>
      </c>
      <c r="D839" s="581"/>
      <c r="E839" s="581"/>
      <c r="F839" s="2">
        <f>(1/S839)*cnst_fish!$C$6</f>
        <v>30.136363636363644</v>
      </c>
      <c r="G839" s="2">
        <f t="shared" si="119"/>
        <v>1</v>
      </c>
      <c r="H839" s="2">
        <f t="shared" si="119"/>
        <v>0.36449057933102513</v>
      </c>
      <c r="I839" s="2">
        <f t="shared" ref="I839:I902" si="120">IF($F839=0,0,D839/$F839*$H839*$G839)</f>
        <v>0</v>
      </c>
      <c r="J839" s="389">
        <f t="shared" ref="J839:J902" si="121">IF($F839=0,0,E839/$F839*$H839*$G839)</f>
        <v>0</v>
      </c>
      <c r="L839" s="721"/>
      <c r="M839" s="581"/>
      <c r="N839" s="585" t="s">
        <v>1740</v>
      </c>
      <c r="O839" s="586" t="s">
        <v>4671</v>
      </c>
      <c r="P839" s="233">
        <f t="shared" ref="P839:P902" si="122">D839+E839</f>
        <v>0</v>
      </c>
      <c r="Q839" s="233">
        <f t="shared" ref="Q839:Q902" si="123">L839+M839</f>
        <v>0</v>
      </c>
      <c r="R839" s="2">
        <f t="shared" ref="R839:R902" si="124">VLOOKUP(B839,constant_fish_trophic,3,FALSE)</f>
        <v>1</v>
      </c>
      <c r="S839" s="2">
        <f>(1/9)*cnst_fish!$C$7*(1/cnst_fish!$C$8)^(R839-1)</f>
        <v>0.141025641025641</v>
      </c>
      <c r="T839" s="682">
        <f t="shared" ref="T839:T902" si="125">IF(F839=0,0,Q839/F839*H839*G839)</f>
        <v>0</v>
      </c>
      <c r="W839" s="818"/>
      <c r="X839" s="818"/>
      <c r="Y839" s="819"/>
      <c r="Z839" s="820"/>
      <c r="AA839" s="820"/>
      <c r="AB839" s="821"/>
      <c r="AC839" s="821"/>
      <c r="AD839" s="253"/>
      <c r="AE839" s="253"/>
    </row>
    <row r="840" spans="1:31" ht="14.5">
      <c r="A840" t="s">
        <v>2116</v>
      </c>
      <c r="B840" t="s">
        <v>2396</v>
      </c>
      <c r="C840">
        <v>3142</v>
      </c>
      <c r="D840" s="581"/>
      <c r="E840" s="581"/>
      <c r="F840" s="2">
        <f>(1/S840)*cnst_fish!$C$6</f>
        <v>9.3130266898023228E-2</v>
      </c>
      <c r="G840" s="2">
        <f t="shared" si="119"/>
        <v>1</v>
      </c>
      <c r="H840" s="2">
        <f t="shared" si="119"/>
        <v>0.36449057933102513</v>
      </c>
      <c r="I840" s="2">
        <f t="shared" si="120"/>
        <v>0</v>
      </c>
      <c r="J840" s="389">
        <f t="shared" si="121"/>
        <v>0</v>
      </c>
      <c r="L840" s="721">
        <v>77608.070000000007</v>
      </c>
      <c r="M840" s="581"/>
      <c r="N840" s="585" t="s">
        <v>1738</v>
      </c>
      <c r="O840" s="586" t="s">
        <v>4681</v>
      </c>
      <c r="P840" s="233">
        <f t="shared" si="122"/>
        <v>0</v>
      </c>
      <c r="Q840" s="233">
        <f t="shared" si="123"/>
        <v>77608.070000000007</v>
      </c>
      <c r="R840" s="2">
        <f t="shared" si="124"/>
        <v>3.51</v>
      </c>
      <c r="S840" s="2">
        <f>(1/9)*cnst_fish!$C$7*(1/cnst_fish!$C$8)^(R840-1)</f>
        <v>45.635002900332182</v>
      </c>
      <c r="T840" s="682">
        <f t="shared" si="125"/>
        <v>303740.24833448831</v>
      </c>
      <c r="W840" s="818"/>
      <c r="X840" s="818"/>
      <c r="Y840" s="819"/>
      <c r="Z840" s="820"/>
      <c r="AA840" s="820"/>
      <c r="AB840" s="821"/>
      <c r="AC840" s="821"/>
      <c r="AD840" s="253"/>
      <c r="AE840" s="253"/>
    </row>
    <row r="841" spans="1:31" ht="14.5">
      <c r="A841" t="s">
        <v>31</v>
      </c>
      <c r="B841" t="s">
        <v>32</v>
      </c>
      <c r="C841">
        <v>12499</v>
      </c>
      <c r="D841" s="581"/>
      <c r="E841" s="581"/>
      <c r="F841" s="2">
        <f>(1/S841)*cnst_fish!$C$6</f>
        <v>0.19910898001319816</v>
      </c>
      <c r="G841" s="2">
        <f t="shared" si="119"/>
        <v>1</v>
      </c>
      <c r="H841" s="2">
        <f t="shared" si="119"/>
        <v>0.36449057933102513</v>
      </c>
      <c r="I841" s="2">
        <f t="shared" si="120"/>
        <v>0</v>
      </c>
      <c r="J841" s="389">
        <f t="shared" si="121"/>
        <v>0</v>
      </c>
      <c r="L841" s="721"/>
      <c r="M841" s="581"/>
      <c r="N841" s="585" t="s">
        <v>1738</v>
      </c>
      <c r="O841" s="586" t="s">
        <v>4681</v>
      </c>
      <c r="P841" s="233">
        <f t="shared" si="122"/>
        <v>0</v>
      </c>
      <c r="Q841" s="233">
        <f t="shared" si="123"/>
        <v>0</v>
      </c>
      <c r="R841" s="2">
        <f t="shared" si="124"/>
        <v>3.18</v>
      </c>
      <c r="S841" s="2">
        <f>(1/9)*cnst_fish!$C$7*(1/cnst_fish!$C$8)^(R841-1)</f>
        <v>21.345094529228586</v>
      </c>
      <c r="T841" s="682">
        <f t="shared" si="125"/>
        <v>0</v>
      </c>
      <c r="W841" s="818"/>
      <c r="X841" s="818"/>
      <c r="Y841" s="819"/>
      <c r="Z841" s="820"/>
      <c r="AA841" s="820"/>
      <c r="AB841" s="821"/>
      <c r="AC841" s="821"/>
      <c r="AD841" s="253"/>
      <c r="AE841" s="253"/>
    </row>
    <row r="842" spans="1:31" ht="14.5">
      <c r="A842" t="s">
        <v>8867</v>
      </c>
      <c r="B842" t="s">
        <v>8868</v>
      </c>
      <c r="C842">
        <v>12500</v>
      </c>
      <c r="D842" s="581"/>
      <c r="E842" s="581"/>
      <c r="F842" s="2">
        <f>(1/S842)*cnst_fish!$C$6</f>
        <v>1.1997502458044018E-2</v>
      </c>
      <c r="G842" s="2">
        <f t="shared" si="119"/>
        <v>1</v>
      </c>
      <c r="H842" s="2">
        <f t="shared" si="119"/>
        <v>0.36449057933102513</v>
      </c>
      <c r="I842" s="2">
        <f t="shared" si="120"/>
        <v>0</v>
      </c>
      <c r="J842" s="389">
        <f t="shared" si="121"/>
        <v>0</v>
      </c>
      <c r="L842" s="721">
        <v>350</v>
      </c>
      <c r="M842" s="581"/>
      <c r="N842" s="585" t="s">
        <v>4282</v>
      </c>
      <c r="O842" s="586" t="s">
        <v>4681</v>
      </c>
      <c r="P842" s="233">
        <f t="shared" si="122"/>
        <v>0</v>
      </c>
      <c r="Q842" s="233">
        <f t="shared" si="123"/>
        <v>350</v>
      </c>
      <c r="R842" s="2">
        <f t="shared" si="124"/>
        <v>4.4000000000000004</v>
      </c>
      <c r="S842" s="2">
        <f>(1/9)*cnst_fish!$C$7*(1/cnst_fish!$C$8)^(R842-1)</f>
        <v>354.24039418724885</v>
      </c>
      <c r="T842" s="682">
        <f t="shared" si="125"/>
        <v>10633.18829998032</v>
      </c>
      <c r="W842" s="818"/>
      <c r="X842" s="818"/>
      <c r="Y842" s="819"/>
      <c r="Z842" s="820"/>
      <c r="AA842" s="820"/>
      <c r="AB842" s="821"/>
      <c r="AC842" s="821"/>
      <c r="AD842" s="253"/>
      <c r="AE842" s="253"/>
    </row>
    <row r="843" spans="1:31" ht="14.5">
      <c r="A843" t="s">
        <v>29</v>
      </c>
      <c r="B843" t="s">
        <v>30</v>
      </c>
      <c r="C843">
        <v>12509</v>
      </c>
      <c r="D843" s="581"/>
      <c r="E843" s="581"/>
      <c r="F843" s="2">
        <f>(1/S843)*cnst_fish!$C$6</f>
        <v>7.5699122913220479E-2</v>
      </c>
      <c r="G843" s="2">
        <f t="shared" si="119"/>
        <v>1</v>
      </c>
      <c r="H843" s="2">
        <f t="shared" si="119"/>
        <v>0.36449057933102513</v>
      </c>
      <c r="I843" s="2">
        <f t="shared" si="120"/>
        <v>0</v>
      </c>
      <c r="J843" s="389">
        <f t="shared" si="121"/>
        <v>0</v>
      </c>
      <c r="L843" s="721">
        <v>2450</v>
      </c>
      <c r="M843" s="581"/>
      <c r="N843" s="585" t="s">
        <v>1738</v>
      </c>
      <c r="O843" s="586" t="s">
        <v>4681</v>
      </c>
      <c r="P843" s="233">
        <f t="shared" si="122"/>
        <v>0</v>
      </c>
      <c r="Q843" s="233">
        <f t="shared" si="123"/>
        <v>2450</v>
      </c>
      <c r="R843" s="2">
        <f t="shared" si="124"/>
        <v>3.6</v>
      </c>
      <c r="S843" s="2">
        <f>(1/9)*cnst_fish!$C$7*(1/cnst_fish!$C$8)^(R843-1)</f>
        <v>56.143318924211187</v>
      </c>
      <c r="T843" s="682">
        <f t="shared" si="125"/>
        <v>11796.727425557176</v>
      </c>
      <c r="W843" s="822"/>
      <c r="X843" s="822"/>
      <c r="Y843" s="819"/>
      <c r="Z843" s="820"/>
      <c r="AA843" s="820"/>
      <c r="AB843" s="821"/>
      <c r="AC843" s="821"/>
      <c r="AD843" s="253"/>
      <c r="AE843" s="253"/>
    </row>
    <row r="844" spans="1:31" ht="14.5">
      <c r="A844" t="s">
        <v>8623</v>
      </c>
      <c r="B844" t="s">
        <v>6415</v>
      </c>
      <c r="C844">
        <v>19016</v>
      </c>
      <c r="D844" s="581"/>
      <c r="E844" s="581"/>
      <c r="F844" s="2">
        <f>(1/S844)*cnst_fish!$C$6</f>
        <v>3.0136363636363641</v>
      </c>
      <c r="G844" s="2">
        <f t="shared" si="119"/>
        <v>1</v>
      </c>
      <c r="H844" s="2">
        <f t="shared" si="119"/>
        <v>0.36449057933102513</v>
      </c>
      <c r="I844" s="2">
        <f t="shared" si="120"/>
        <v>0</v>
      </c>
      <c r="J844" s="389">
        <f t="shared" si="121"/>
        <v>0</v>
      </c>
      <c r="L844" s="721">
        <v>12</v>
      </c>
      <c r="M844" s="581"/>
      <c r="N844" s="585" t="s">
        <v>1738</v>
      </c>
      <c r="O844" s="586" t="s">
        <v>4681</v>
      </c>
      <c r="P844" s="233">
        <f t="shared" si="122"/>
        <v>0</v>
      </c>
      <c r="Q844" s="233">
        <f t="shared" si="123"/>
        <v>12</v>
      </c>
      <c r="R844" s="2">
        <f t="shared" si="124"/>
        <v>2</v>
      </c>
      <c r="S844" s="2">
        <f>(1/9)*cnst_fish!$C$7*(1/cnst_fish!$C$8)^(R844-1)</f>
        <v>1.4102564102564099</v>
      </c>
      <c r="T844" s="682">
        <f t="shared" si="125"/>
        <v>1.4513652027660726</v>
      </c>
      <c r="W844" s="818"/>
      <c r="X844" s="818"/>
      <c r="Y844" s="819"/>
      <c r="Z844" s="820"/>
      <c r="AA844" s="820"/>
      <c r="AB844" s="821"/>
      <c r="AC844" s="821"/>
      <c r="AD844" s="253"/>
      <c r="AE844" s="253"/>
    </row>
    <row r="845" spans="1:31" ht="14.5">
      <c r="A845" t="s">
        <v>5479</v>
      </c>
      <c r="B845" t="s">
        <v>5480</v>
      </c>
      <c r="C845">
        <v>12517</v>
      </c>
      <c r="D845" s="581"/>
      <c r="E845" s="581"/>
      <c r="F845" s="2">
        <f>(1/S845)*cnst_fish!$C$6</f>
        <v>9.5299549485983348E-2</v>
      </c>
      <c r="G845" s="2">
        <f t="shared" si="119"/>
        <v>1</v>
      </c>
      <c r="H845" s="2">
        <f t="shared" si="119"/>
        <v>0.36449057933102513</v>
      </c>
      <c r="I845" s="2">
        <f t="shared" si="120"/>
        <v>0</v>
      </c>
      <c r="J845" s="389">
        <f t="shared" si="121"/>
        <v>0</v>
      </c>
      <c r="L845" s="721">
        <v>0</v>
      </c>
      <c r="M845" s="581"/>
      <c r="N845" s="585" t="s">
        <v>3785</v>
      </c>
      <c r="O845" s="586" t="s">
        <v>4681</v>
      </c>
      <c r="P845" s="233">
        <f t="shared" si="122"/>
        <v>0</v>
      </c>
      <c r="Q845" s="233">
        <f t="shared" si="123"/>
        <v>0</v>
      </c>
      <c r="R845" s="2">
        <f t="shared" si="124"/>
        <v>3.5</v>
      </c>
      <c r="S845" s="2">
        <f>(1/9)*cnst_fish!$C$7*(1/cnst_fish!$C$8)^(R845-1)</f>
        <v>44.596223412631026</v>
      </c>
      <c r="T845" s="682">
        <f t="shared" si="125"/>
        <v>0</v>
      </c>
      <c r="W845" s="822"/>
      <c r="X845" s="822"/>
      <c r="Y845" s="819"/>
      <c r="Z845" s="820"/>
      <c r="AA845" s="820"/>
      <c r="AB845" s="821"/>
      <c r="AC845" s="821"/>
      <c r="AD845" s="253"/>
      <c r="AE845" s="253"/>
    </row>
    <row r="846" spans="1:31" ht="14.5">
      <c r="A846" t="s">
        <v>8307</v>
      </c>
      <c r="B846" t="s">
        <v>8308</v>
      </c>
      <c r="C846">
        <v>12525</v>
      </c>
      <c r="D846" s="581"/>
      <c r="E846" s="581"/>
      <c r="F846" s="2">
        <f>(1/S846)*cnst_fish!$C$6</f>
        <v>0.11997502458044032</v>
      </c>
      <c r="G846" s="2">
        <f t="shared" si="119"/>
        <v>1</v>
      </c>
      <c r="H846" s="2">
        <f t="shared" si="119"/>
        <v>0.36449057933102513</v>
      </c>
      <c r="I846" s="2">
        <f t="shared" si="120"/>
        <v>0</v>
      </c>
      <c r="J846" s="389">
        <f t="shared" si="121"/>
        <v>0</v>
      </c>
      <c r="L846" s="721">
        <v>0</v>
      </c>
      <c r="M846" s="581"/>
      <c r="N846" s="585" t="s">
        <v>5195</v>
      </c>
      <c r="O846" s="586" t="s">
        <v>4681</v>
      </c>
      <c r="P846" s="233">
        <f t="shared" si="122"/>
        <v>0</v>
      </c>
      <c r="Q846" s="233">
        <f t="shared" si="123"/>
        <v>0</v>
      </c>
      <c r="R846" s="2">
        <f t="shared" si="124"/>
        <v>3.4</v>
      </c>
      <c r="S846" s="2">
        <f>(1/9)*cnst_fish!$C$7*(1/cnst_fish!$C$8)^(R846-1)</f>
        <v>35.424039418724846</v>
      </c>
      <c r="T846" s="682">
        <f t="shared" si="125"/>
        <v>0</v>
      </c>
      <c r="W846" s="818"/>
      <c r="X846" s="818"/>
      <c r="Y846" s="819"/>
      <c r="Z846" s="820"/>
      <c r="AA846" s="820"/>
      <c r="AB846" s="821"/>
      <c r="AC846" s="821"/>
      <c r="AD846" s="253"/>
      <c r="AE846" s="253"/>
    </row>
    <row r="847" spans="1:31" ht="14.5">
      <c r="A847" t="s">
        <v>4208</v>
      </c>
      <c r="B847" t="s">
        <v>8624</v>
      </c>
      <c r="C847">
        <v>3490</v>
      </c>
      <c r="D847" s="581"/>
      <c r="E847" s="581"/>
      <c r="F847" s="2">
        <f>(1/S847)*cnst_fish!$C$6</f>
        <v>2.3938164528281742</v>
      </c>
      <c r="G847" s="2">
        <f t="shared" si="119"/>
        <v>1</v>
      </c>
      <c r="H847" s="2">
        <f t="shared" si="119"/>
        <v>0.36449057933102513</v>
      </c>
      <c r="I847" s="2">
        <f t="shared" si="120"/>
        <v>0</v>
      </c>
      <c r="J847" s="389">
        <f t="shared" si="121"/>
        <v>0</v>
      </c>
      <c r="L847" s="721"/>
      <c r="M847" s="581"/>
      <c r="N847" s="585" t="s">
        <v>1736</v>
      </c>
      <c r="O847" s="586" t="s">
        <v>4691</v>
      </c>
      <c r="P847" s="233">
        <f t="shared" si="122"/>
        <v>0</v>
      </c>
      <c r="Q847" s="233">
        <f t="shared" si="123"/>
        <v>0</v>
      </c>
      <c r="R847" s="2">
        <f t="shared" si="124"/>
        <v>2.1</v>
      </c>
      <c r="S847" s="2">
        <f>(1/9)*cnst_fish!$C$7*(1/cnst_fish!$C$8)^(R847-1)</f>
        <v>1.7754076320174161</v>
      </c>
      <c r="T847" s="682">
        <f t="shared" si="125"/>
        <v>0</v>
      </c>
      <c r="W847" s="818"/>
      <c r="X847" s="818"/>
      <c r="Y847" s="819"/>
      <c r="Z847" s="820"/>
      <c r="AA847" s="820"/>
      <c r="AB847" s="821"/>
      <c r="AC847" s="821"/>
      <c r="AD847" s="253"/>
      <c r="AE847" s="253"/>
    </row>
    <row r="848" spans="1:31" ht="14.5">
      <c r="A848" t="s">
        <v>4441</v>
      </c>
      <c r="B848" t="s">
        <v>4336</v>
      </c>
      <c r="C848">
        <v>3491</v>
      </c>
      <c r="D848" s="581"/>
      <c r="E848" s="581"/>
      <c r="F848" s="2">
        <f>(1/S848)*cnst_fish!$C$6</f>
        <v>2.3938164528281742</v>
      </c>
      <c r="G848" s="2">
        <f t="shared" ref="G848:H867" si="126">G$7</f>
        <v>1</v>
      </c>
      <c r="H848" s="2">
        <f t="shared" si="126"/>
        <v>0.36449057933102513</v>
      </c>
      <c r="I848" s="2">
        <f t="shared" si="120"/>
        <v>0</v>
      </c>
      <c r="J848" s="389">
        <f t="shared" si="121"/>
        <v>0</v>
      </c>
      <c r="L848" s="721">
        <v>909</v>
      </c>
      <c r="M848" s="581"/>
      <c r="N848" s="585" t="s">
        <v>1736</v>
      </c>
      <c r="O848" s="586" t="s">
        <v>4691</v>
      </c>
      <c r="P848" s="233">
        <f t="shared" si="122"/>
        <v>0</v>
      </c>
      <c r="Q848" s="233">
        <f t="shared" si="123"/>
        <v>909</v>
      </c>
      <c r="R848" s="2">
        <f t="shared" si="124"/>
        <v>2.1</v>
      </c>
      <c r="S848" s="2">
        <f>(1/9)*cnst_fish!$C$7*(1/cnst_fish!$C$8)^(R848-1)</f>
        <v>1.7754076320174161</v>
      </c>
      <c r="T848" s="682">
        <f t="shared" si="125"/>
        <v>138.40741056836734</v>
      </c>
      <c r="W848" s="818"/>
      <c r="X848" s="818"/>
      <c r="Y848" s="819"/>
      <c r="Z848" s="820"/>
      <c r="AA848" s="820"/>
      <c r="AB848" s="821"/>
      <c r="AC848" s="821"/>
      <c r="AD848" s="253"/>
      <c r="AE848" s="253"/>
    </row>
    <row r="849" spans="1:31" ht="14.5">
      <c r="A849" t="s">
        <v>8625</v>
      </c>
      <c r="B849" t="s">
        <v>8626</v>
      </c>
      <c r="C849">
        <v>20272</v>
      </c>
      <c r="D849" s="581"/>
      <c r="E849" s="581"/>
      <c r="F849" s="2">
        <f>(1/S849)*cnst_fish!$C$6</f>
        <v>2.3938164528281742</v>
      </c>
      <c r="G849" s="2">
        <f t="shared" si="126"/>
        <v>1</v>
      </c>
      <c r="H849" s="2">
        <f t="shared" si="126"/>
        <v>0.36449057933102513</v>
      </c>
      <c r="I849" s="2">
        <f t="shared" si="120"/>
        <v>0</v>
      </c>
      <c r="J849" s="389">
        <f t="shared" si="121"/>
        <v>0</v>
      </c>
      <c r="L849" s="721"/>
      <c r="M849" s="581"/>
      <c r="N849" s="585" t="s">
        <v>1736</v>
      </c>
      <c r="O849" s="586" t="s">
        <v>4691</v>
      </c>
      <c r="P849" s="233">
        <f t="shared" si="122"/>
        <v>0</v>
      </c>
      <c r="Q849" s="233">
        <f t="shared" si="123"/>
        <v>0</v>
      </c>
      <c r="R849" s="2">
        <f t="shared" si="124"/>
        <v>2.1</v>
      </c>
      <c r="S849" s="2">
        <f>(1/9)*cnst_fish!$C$7*(1/cnst_fish!$C$8)^(R849-1)</f>
        <v>1.7754076320174161</v>
      </c>
      <c r="T849" s="682">
        <f t="shared" si="125"/>
        <v>0</v>
      </c>
      <c r="W849" s="818"/>
      <c r="X849" s="818"/>
      <c r="Y849" s="819"/>
      <c r="Z849" s="820"/>
      <c r="AA849" s="820"/>
      <c r="AB849" s="821"/>
      <c r="AC849" s="821"/>
      <c r="AD849" s="253"/>
      <c r="AE849" s="253"/>
    </row>
    <row r="850" spans="1:31" ht="14.5">
      <c r="A850" t="s">
        <v>5302</v>
      </c>
      <c r="B850" t="s">
        <v>4337</v>
      </c>
      <c r="C850">
        <v>2653</v>
      </c>
      <c r="D850" s="581"/>
      <c r="E850" s="581"/>
      <c r="F850" s="2">
        <f>(1/S850)*cnst_fish!$C$6</f>
        <v>2.3938164528281742</v>
      </c>
      <c r="G850" s="2">
        <f t="shared" si="126"/>
        <v>1</v>
      </c>
      <c r="H850" s="2">
        <f t="shared" si="126"/>
        <v>0.36449057933102513</v>
      </c>
      <c r="I850" s="2">
        <f t="shared" si="120"/>
        <v>0</v>
      </c>
      <c r="J850" s="389">
        <f t="shared" si="121"/>
        <v>0</v>
      </c>
      <c r="L850" s="721">
        <v>0</v>
      </c>
      <c r="M850" s="581"/>
      <c r="N850" s="585" t="s">
        <v>1736</v>
      </c>
      <c r="O850" s="586" t="s">
        <v>4691</v>
      </c>
      <c r="P850" s="233">
        <f t="shared" si="122"/>
        <v>0</v>
      </c>
      <c r="Q850" s="233">
        <f t="shared" si="123"/>
        <v>0</v>
      </c>
      <c r="R850" s="2">
        <f t="shared" si="124"/>
        <v>2.1</v>
      </c>
      <c r="S850" s="2">
        <f>(1/9)*cnst_fish!$C$7*(1/cnst_fish!$C$8)^(R850-1)</f>
        <v>1.7754076320174161</v>
      </c>
      <c r="T850" s="682">
        <f t="shared" si="125"/>
        <v>0</v>
      </c>
      <c r="W850" s="818"/>
      <c r="X850" s="818"/>
      <c r="Y850" s="819"/>
      <c r="Z850" s="820"/>
      <c r="AA850" s="820"/>
      <c r="AB850" s="821"/>
      <c r="AC850" s="821"/>
      <c r="AD850" s="253"/>
      <c r="AE850" s="253"/>
    </row>
    <row r="851" spans="1:31" ht="14.5">
      <c r="A851" t="s">
        <v>4887</v>
      </c>
      <c r="B851" t="s">
        <v>4338</v>
      </c>
      <c r="C851">
        <v>3492</v>
      </c>
      <c r="D851" s="581"/>
      <c r="E851" s="581"/>
      <c r="F851" s="2">
        <f>(1/S851)*cnst_fish!$C$6</f>
        <v>2.3938164528281742</v>
      </c>
      <c r="G851" s="2">
        <f t="shared" si="126"/>
        <v>1</v>
      </c>
      <c r="H851" s="2">
        <f t="shared" si="126"/>
        <v>0.36449057933102513</v>
      </c>
      <c r="I851" s="2">
        <f t="shared" si="120"/>
        <v>0</v>
      </c>
      <c r="J851" s="389">
        <f t="shared" si="121"/>
        <v>0</v>
      </c>
      <c r="L851" s="721">
        <v>349</v>
      </c>
      <c r="M851" s="581"/>
      <c r="N851" s="585" t="s">
        <v>1736</v>
      </c>
      <c r="O851" s="586" t="s">
        <v>4691</v>
      </c>
      <c r="P851" s="233">
        <f t="shared" si="122"/>
        <v>0</v>
      </c>
      <c r="Q851" s="233">
        <f t="shared" si="123"/>
        <v>349</v>
      </c>
      <c r="R851" s="2">
        <f t="shared" si="124"/>
        <v>2.1</v>
      </c>
      <c r="S851" s="2">
        <f>(1/9)*cnst_fish!$C$7*(1/cnst_fish!$C$8)^(R851-1)</f>
        <v>1.7754076320174161</v>
      </c>
      <c r="T851" s="682">
        <f t="shared" si="125"/>
        <v>53.139918909087129</v>
      </c>
      <c r="W851" s="818"/>
      <c r="X851" s="818"/>
      <c r="Y851" s="819"/>
      <c r="Z851" s="820"/>
      <c r="AA851" s="820"/>
      <c r="AB851" s="821"/>
      <c r="AC851" s="821"/>
      <c r="AD851" s="253"/>
      <c r="AE851" s="253"/>
    </row>
    <row r="852" spans="1:31" ht="14.5">
      <c r="A852" t="s">
        <v>4239</v>
      </c>
      <c r="B852" t="s">
        <v>8627</v>
      </c>
      <c r="C852">
        <v>2652</v>
      </c>
      <c r="D852" s="581"/>
      <c r="E852" s="581"/>
      <c r="F852" s="2">
        <f>(1/S852)*cnst_fish!$C$6</f>
        <v>2.3938164528281742</v>
      </c>
      <c r="G852" s="2">
        <f t="shared" si="126"/>
        <v>1</v>
      </c>
      <c r="H852" s="2">
        <f t="shared" si="126"/>
        <v>0.36449057933102513</v>
      </c>
      <c r="I852" s="2">
        <f t="shared" si="120"/>
        <v>0</v>
      </c>
      <c r="J852" s="389">
        <f t="shared" si="121"/>
        <v>0</v>
      </c>
      <c r="L852" s="721"/>
      <c r="M852" s="581"/>
      <c r="N852" s="585" t="s">
        <v>1736</v>
      </c>
      <c r="O852" s="586" t="s">
        <v>4680</v>
      </c>
      <c r="P852" s="233">
        <f t="shared" si="122"/>
        <v>0</v>
      </c>
      <c r="Q852" s="233">
        <f t="shared" si="123"/>
        <v>0</v>
      </c>
      <c r="R852" s="2">
        <f t="shared" si="124"/>
        <v>2.1</v>
      </c>
      <c r="S852" s="2">
        <f>(1/9)*cnst_fish!$C$7*(1/cnst_fish!$C$8)^(R852-1)</f>
        <v>1.7754076320174161</v>
      </c>
      <c r="T852" s="682">
        <f t="shared" si="125"/>
        <v>0</v>
      </c>
      <c r="W852" s="818"/>
      <c r="X852" s="818"/>
      <c r="Y852" s="819"/>
      <c r="Z852" s="820"/>
      <c r="AA852" s="820"/>
      <c r="AB852" s="821"/>
      <c r="AC852" s="821"/>
      <c r="AD852" s="253"/>
      <c r="AE852" s="253"/>
    </row>
    <row r="853" spans="1:31" ht="14.5">
      <c r="A853" t="s">
        <v>2893</v>
      </c>
      <c r="B853" t="s">
        <v>5354</v>
      </c>
      <c r="C853">
        <v>2651</v>
      </c>
      <c r="D853" s="581"/>
      <c r="E853" s="581"/>
      <c r="F853" s="2">
        <f>(1/S853)*cnst_fish!$C$6</f>
        <v>2.3938164528281742</v>
      </c>
      <c r="G853" s="2">
        <f t="shared" si="126"/>
        <v>1</v>
      </c>
      <c r="H853" s="2">
        <f t="shared" si="126"/>
        <v>0.36449057933102513</v>
      </c>
      <c r="I853" s="2">
        <f t="shared" si="120"/>
        <v>0</v>
      </c>
      <c r="J853" s="389">
        <f t="shared" si="121"/>
        <v>0</v>
      </c>
      <c r="L853" s="721">
        <v>4329</v>
      </c>
      <c r="M853" s="581"/>
      <c r="N853" s="585" t="s">
        <v>1736</v>
      </c>
      <c r="O853" s="586" t="s">
        <v>4691</v>
      </c>
      <c r="P853" s="233">
        <f t="shared" si="122"/>
        <v>0</v>
      </c>
      <c r="Q853" s="233">
        <f t="shared" si="123"/>
        <v>4329</v>
      </c>
      <c r="R853" s="2">
        <f t="shared" si="124"/>
        <v>2.1</v>
      </c>
      <c r="S853" s="2">
        <f>(1/9)*cnst_fish!$C$7*(1/cnst_fish!$C$8)^(R853-1)</f>
        <v>1.7754076320174161</v>
      </c>
      <c r="T853" s="682">
        <f t="shared" si="125"/>
        <v>659.14816320182854</v>
      </c>
      <c r="W853" s="818"/>
      <c r="X853" s="818"/>
      <c r="Y853" s="819"/>
      <c r="Z853" s="820"/>
      <c r="AA853" s="820"/>
      <c r="AB853" s="821"/>
      <c r="AC853" s="821"/>
      <c r="AD853" s="253"/>
      <c r="AE853" s="253"/>
    </row>
    <row r="854" spans="1:31" ht="14.5">
      <c r="A854" t="s">
        <v>1276</v>
      </c>
      <c r="B854" t="s">
        <v>373</v>
      </c>
      <c r="C854">
        <v>3493</v>
      </c>
      <c r="D854" s="581"/>
      <c r="E854" s="581"/>
      <c r="F854" s="2">
        <f>(1/S854)*cnst_fish!$C$6</f>
        <v>2.3938164528281742</v>
      </c>
      <c r="G854" s="2">
        <f t="shared" si="126"/>
        <v>1</v>
      </c>
      <c r="H854" s="2">
        <f t="shared" si="126"/>
        <v>0.36449057933102513</v>
      </c>
      <c r="I854" s="2">
        <f t="shared" si="120"/>
        <v>0</v>
      </c>
      <c r="J854" s="389">
        <f t="shared" si="121"/>
        <v>0</v>
      </c>
      <c r="L854" s="721">
        <v>35</v>
      </c>
      <c r="M854" s="581"/>
      <c r="N854" s="585" t="s">
        <v>1736</v>
      </c>
      <c r="O854" s="586" t="s">
        <v>4691</v>
      </c>
      <c r="P854" s="233">
        <f t="shared" si="122"/>
        <v>0</v>
      </c>
      <c r="Q854" s="233">
        <f t="shared" si="123"/>
        <v>35</v>
      </c>
      <c r="R854" s="2">
        <f t="shared" si="124"/>
        <v>2.1</v>
      </c>
      <c r="S854" s="2">
        <f>(1/9)*cnst_fish!$C$7*(1/cnst_fish!$C$8)^(R854-1)</f>
        <v>1.7754076320174161</v>
      </c>
      <c r="T854" s="682">
        <f t="shared" si="125"/>
        <v>5.3292182287050132</v>
      </c>
      <c r="W854" s="818"/>
      <c r="X854" s="818"/>
      <c r="Y854" s="819"/>
      <c r="Z854" s="820"/>
      <c r="AA854" s="820"/>
      <c r="AB854" s="821"/>
      <c r="AC854" s="821"/>
      <c r="AD854" s="253"/>
      <c r="AE854" s="253"/>
    </row>
    <row r="855" spans="1:31" ht="14.5">
      <c r="A855" t="s">
        <v>2047</v>
      </c>
      <c r="B855" t="s">
        <v>766</v>
      </c>
      <c r="C855">
        <v>16661</v>
      </c>
      <c r="D855" s="581"/>
      <c r="E855" s="581"/>
      <c r="F855" s="2">
        <f>(1/S855)*cnst_fish!$C$6</f>
        <v>1.0179208487545861</v>
      </c>
      <c r="G855" s="2">
        <f t="shared" si="126"/>
        <v>1</v>
      </c>
      <c r="H855" s="2">
        <f t="shared" si="126"/>
        <v>0.36449057933102513</v>
      </c>
      <c r="I855" s="2">
        <f t="shared" si="120"/>
        <v>0</v>
      </c>
      <c r="J855" s="389">
        <f t="shared" si="121"/>
        <v>0</v>
      </c>
      <c r="L855" s="721">
        <v>84</v>
      </c>
      <c r="M855" s="581"/>
      <c r="N855" s="585" t="s">
        <v>2322</v>
      </c>
      <c r="O855" s="586" t="s">
        <v>4680</v>
      </c>
      <c r="P855" s="233">
        <f t="shared" si="122"/>
        <v>0</v>
      </c>
      <c r="Q855" s="233">
        <f t="shared" si="123"/>
        <v>84</v>
      </c>
      <c r="R855" s="2">
        <f t="shared" si="124"/>
        <v>2.4713768380352099</v>
      </c>
      <c r="S855" s="2">
        <f>(1/9)*cnst_fish!$C$7*(1/cnst_fish!$C$8)^(R855-1)</f>
        <v>4.1751772794513675</v>
      </c>
      <c r="T855" s="682">
        <f t="shared" si="125"/>
        <v>30.078182111375259</v>
      </c>
      <c r="W855" s="818"/>
      <c r="X855" s="818"/>
      <c r="Y855" s="819"/>
      <c r="Z855" s="820"/>
      <c r="AA855" s="820"/>
      <c r="AB855" s="821"/>
      <c r="AC855" s="821"/>
      <c r="AD855" s="253"/>
      <c r="AE855" s="253"/>
    </row>
    <row r="856" spans="1:31" ht="14.5">
      <c r="A856" t="s">
        <v>1494</v>
      </c>
      <c r="B856" t="s">
        <v>2346</v>
      </c>
      <c r="C856">
        <v>3440</v>
      </c>
      <c r="D856" s="581"/>
      <c r="E856" s="581"/>
      <c r="F856" s="2">
        <f>(1/S856)*cnst_fish!$C$6</f>
        <v>1.9014759972289452</v>
      </c>
      <c r="G856" s="2">
        <f t="shared" si="126"/>
        <v>1</v>
      </c>
      <c r="H856" s="2">
        <f t="shared" si="126"/>
        <v>0.36449057933102513</v>
      </c>
      <c r="I856" s="2">
        <f t="shared" si="120"/>
        <v>0</v>
      </c>
      <c r="J856" s="389">
        <f t="shared" si="121"/>
        <v>0</v>
      </c>
      <c r="L856" s="721">
        <v>0</v>
      </c>
      <c r="M856" s="581"/>
      <c r="N856" s="585" t="s">
        <v>2322</v>
      </c>
      <c r="O856" s="586" t="s">
        <v>4680</v>
      </c>
      <c r="P856" s="233">
        <f t="shared" si="122"/>
        <v>0</v>
      </c>
      <c r="Q856" s="233">
        <f t="shared" si="123"/>
        <v>0</v>
      </c>
      <c r="R856" s="2">
        <f t="shared" si="124"/>
        <v>2.2000000000000002</v>
      </c>
      <c r="S856" s="2">
        <f>(1/9)*cnst_fish!$C$7*(1/cnst_fish!$C$8)^(R856-1)</f>
        <v>2.2351057842400328</v>
      </c>
      <c r="T856" s="682">
        <f t="shared" si="125"/>
        <v>0</v>
      </c>
      <c r="W856" s="818"/>
      <c r="X856" s="818"/>
      <c r="Y856" s="819"/>
      <c r="Z856" s="820"/>
      <c r="AA856" s="820"/>
      <c r="AB856" s="821"/>
      <c r="AC856" s="821"/>
      <c r="AD856" s="253"/>
      <c r="AE856" s="253"/>
    </row>
    <row r="857" spans="1:31" ht="14.5">
      <c r="A857" t="s">
        <v>4765</v>
      </c>
      <c r="B857" t="s">
        <v>2347</v>
      </c>
      <c r="C857">
        <v>2612</v>
      </c>
      <c r="D857" s="581"/>
      <c r="E857" s="581"/>
      <c r="F857" s="2">
        <f>(1/S857)*cnst_fish!$C$6</f>
        <v>1.9014759972289452</v>
      </c>
      <c r="G857" s="2">
        <f t="shared" si="126"/>
        <v>1</v>
      </c>
      <c r="H857" s="2">
        <f t="shared" si="126"/>
        <v>0.36449057933102513</v>
      </c>
      <c r="I857" s="2">
        <f t="shared" si="120"/>
        <v>0</v>
      </c>
      <c r="J857" s="389">
        <f t="shared" si="121"/>
        <v>0</v>
      </c>
      <c r="L857" s="721">
        <v>2000</v>
      </c>
      <c r="M857" s="581"/>
      <c r="N857" s="585" t="s">
        <v>2322</v>
      </c>
      <c r="O857" s="586" t="s">
        <v>4680</v>
      </c>
      <c r="P857" s="233">
        <f t="shared" si="122"/>
        <v>0</v>
      </c>
      <c r="Q857" s="233">
        <f t="shared" si="123"/>
        <v>2000</v>
      </c>
      <c r="R857" s="2">
        <f t="shared" si="124"/>
        <v>2.2000000000000002</v>
      </c>
      <c r="S857" s="2">
        <f>(1/9)*cnst_fish!$C$7*(1/cnst_fish!$C$8)^(R857-1)</f>
        <v>2.2351057842400328</v>
      </c>
      <c r="T857" s="682">
        <f t="shared" si="125"/>
        <v>383.37647160648231</v>
      </c>
      <c r="W857" s="818"/>
      <c r="X857" s="818"/>
      <c r="Y857" s="819"/>
      <c r="Z857" s="820"/>
      <c r="AA857" s="820"/>
      <c r="AB857" s="821"/>
      <c r="AC857" s="821"/>
      <c r="AD857" s="253"/>
      <c r="AE857" s="253"/>
    </row>
    <row r="858" spans="1:31" ht="14.5">
      <c r="A858" t="s">
        <v>5029</v>
      </c>
      <c r="B858" t="s">
        <v>1934</v>
      </c>
      <c r="C858">
        <v>12540</v>
      </c>
      <c r="D858" s="581"/>
      <c r="E858" s="581"/>
      <c r="F858" s="2">
        <f>(1/S858)*cnst_fish!$C$6</f>
        <v>3.3813556145554591E-2</v>
      </c>
      <c r="G858" s="2">
        <f t="shared" si="126"/>
        <v>1</v>
      </c>
      <c r="H858" s="2">
        <f t="shared" si="126"/>
        <v>0.36449057933102513</v>
      </c>
      <c r="I858" s="2">
        <f t="shared" si="120"/>
        <v>0</v>
      </c>
      <c r="J858" s="389">
        <f t="shared" si="121"/>
        <v>0</v>
      </c>
      <c r="L858" s="721">
        <v>0</v>
      </c>
      <c r="M858" s="581"/>
      <c r="N858" s="585" t="s">
        <v>1738</v>
      </c>
      <c r="O858" s="586" t="s">
        <v>4681</v>
      </c>
      <c r="P858" s="233">
        <f t="shared" si="122"/>
        <v>0</v>
      </c>
      <c r="Q858" s="233">
        <f t="shared" si="123"/>
        <v>0</v>
      </c>
      <c r="R858" s="2">
        <f t="shared" si="124"/>
        <v>3.95</v>
      </c>
      <c r="S858" s="2">
        <f>(1/9)*cnst_fish!$C$7*(1/cnst_fish!$C$8)^(R858-1)</f>
        <v>125.68923486501552</v>
      </c>
      <c r="T858" s="682">
        <f t="shared" si="125"/>
        <v>0</v>
      </c>
      <c r="W858" s="818"/>
      <c r="X858" s="818"/>
      <c r="Y858" s="819"/>
      <c r="Z858" s="820"/>
      <c r="AA858" s="820"/>
      <c r="AB858" s="821"/>
      <c r="AC858" s="821"/>
      <c r="AD858" s="253"/>
      <c r="AE858" s="253"/>
    </row>
    <row r="859" spans="1:31" ht="14.5">
      <c r="A859" t="s">
        <v>1883</v>
      </c>
      <c r="B859" t="s">
        <v>749</v>
      </c>
      <c r="C859">
        <v>12545</v>
      </c>
      <c r="D859" s="581"/>
      <c r="E859" s="581"/>
      <c r="F859" s="2">
        <f>(1/S859)*cnst_fish!$C$6</f>
        <v>1.7745606522761578E-2</v>
      </c>
      <c r="G859" s="2">
        <f t="shared" si="126"/>
        <v>1</v>
      </c>
      <c r="H859" s="2">
        <f t="shared" si="126"/>
        <v>0.36449057933102513</v>
      </c>
      <c r="I859" s="2">
        <f t="shared" si="120"/>
        <v>0</v>
      </c>
      <c r="J859" s="389">
        <f t="shared" si="121"/>
        <v>0</v>
      </c>
      <c r="L859" s="721"/>
      <c r="M859" s="581">
        <v>500</v>
      </c>
      <c r="N859" s="585" t="s">
        <v>1738</v>
      </c>
      <c r="O859" s="586" t="s">
        <v>4685</v>
      </c>
      <c r="P859" s="233">
        <f t="shared" si="122"/>
        <v>0</v>
      </c>
      <c r="Q859" s="233">
        <f t="shared" si="123"/>
        <v>500</v>
      </c>
      <c r="R859" s="2">
        <f t="shared" si="124"/>
        <v>4.2300000000000004</v>
      </c>
      <c r="S859" s="2">
        <f>(1/9)*cnst_fish!$C$7*(1/cnst_fish!$C$8)^(R859-1)</f>
        <v>239.49589970614389</v>
      </c>
      <c r="T859" s="682">
        <f t="shared" si="125"/>
        <v>10269.882262505585</v>
      </c>
      <c r="W859" s="818"/>
      <c r="X859" s="818"/>
      <c r="Y859" s="819"/>
      <c r="Z859" s="820"/>
      <c r="AA859" s="820"/>
      <c r="AB859" s="821"/>
      <c r="AC859" s="821"/>
      <c r="AD859" s="253"/>
      <c r="AE859" s="253"/>
    </row>
    <row r="860" spans="1:31" ht="14.5">
      <c r="A860" t="s">
        <v>2351</v>
      </c>
      <c r="B860" t="s">
        <v>5192</v>
      </c>
      <c r="C860">
        <v>3223</v>
      </c>
      <c r="D860" s="581"/>
      <c r="E860" s="581"/>
      <c r="F860" s="2">
        <f>(1/S860)*cnst_fish!$C$6</f>
        <v>0.19910898001319816</v>
      </c>
      <c r="G860" s="2">
        <f t="shared" si="126"/>
        <v>1</v>
      </c>
      <c r="H860" s="2">
        <f t="shared" si="126"/>
        <v>0.36449057933102513</v>
      </c>
      <c r="I860" s="2">
        <f t="shared" si="120"/>
        <v>0</v>
      </c>
      <c r="J860" s="389">
        <f t="shared" si="121"/>
        <v>0</v>
      </c>
      <c r="L860" s="721"/>
      <c r="M860" s="581">
        <v>33945</v>
      </c>
      <c r="N860" s="585" t="s">
        <v>1738</v>
      </c>
      <c r="O860" s="586" t="s">
        <v>4685</v>
      </c>
      <c r="P860" s="233">
        <f t="shared" si="122"/>
        <v>0</v>
      </c>
      <c r="Q860" s="233">
        <f t="shared" si="123"/>
        <v>33945</v>
      </c>
      <c r="R860" s="2">
        <f t="shared" si="124"/>
        <v>3.18</v>
      </c>
      <c r="S860" s="2">
        <f>(1/9)*cnst_fish!$C$7*(1/cnst_fish!$C$8)^(R860-1)</f>
        <v>21.345094529228586</v>
      </c>
      <c r="T860" s="682">
        <f t="shared" si="125"/>
        <v>62140.00350246139</v>
      </c>
      <c r="W860" s="818"/>
      <c r="X860" s="818"/>
      <c r="Y860" s="819"/>
      <c r="Z860" s="820"/>
      <c r="AA860" s="820"/>
      <c r="AB860" s="821"/>
      <c r="AC860" s="821"/>
      <c r="AD860" s="253"/>
      <c r="AE860" s="253"/>
    </row>
    <row r="861" spans="1:31" ht="14.5">
      <c r="A861" t="s">
        <v>1985</v>
      </c>
      <c r="B861" t="s">
        <v>2748</v>
      </c>
      <c r="C861">
        <v>2903</v>
      </c>
      <c r="D861" s="581"/>
      <c r="E861" s="581"/>
      <c r="F861" s="2">
        <f>(1/S861)*cnst_fish!$C$6</f>
        <v>0.15103960722494611</v>
      </c>
      <c r="G861" s="2">
        <f t="shared" si="126"/>
        <v>1</v>
      </c>
      <c r="H861" s="2">
        <f t="shared" si="126"/>
        <v>0.36449057933102513</v>
      </c>
      <c r="I861" s="2">
        <f t="shared" si="120"/>
        <v>0</v>
      </c>
      <c r="J861" s="389">
        <f t="shared" si="121"/>
        <v>0</v>
      </c>
      <c r="L861" s="721">
        <v>953</v>
      </c>
      <c r="M861" s="581"/>
      <c r="N861" s="585" t="s">
        <v>2321</v>
      </c>
      <c r="O861" s="586" t="s">
        <v>4699</v>
      </c>
      <c r="P861" s="233">
        <f t="shared" si="122"/>
        <v>0</v>
      </c>
      <c r="Q861" s="233">
        <f t="shared" si="123"/>
        <v>953</v>
      </c>
      <c r="R861" s="2">
        <f t="shared" si="124"/>
        <v>3.3</v>
      </c>
      <c r="S861" s="2">
        <f>(1/9)*cnst_fish!$C$7*(1/cnst_fish!$C$8)^(R861-1)</f>
        <v>28.138314698279075</v>
      </c>
      <c r="T861" s="682">
        <f t="shared" si="125"/>
        <v>2299.7909520854214</v>
      </c>
      <c r="W861" s="818"/>
      <c r="X861" s="818"/>
      <c r="Y861" s="819"/>
      <c r="Z861" s="820"/>
      <c r="AA861" s="820"/>
      <c r="AB861" s="821"/>
      <c r="AC861" s="821"/>
      <c r="AD861" s="253"/>
      <c r="AE861" s="253"/>
    </row>
    <row r="862" spans="1:31" ht="14.5">
      <c r="A862" t="s">
        <v>1962</v>
      </c>
      <c r="B862" t="s">
        <v>1963</v>
      </c>
      <c r="C862">
        <v>12563</v>
      </c>
      <c r="D862" s="581"/>
      <c r="E862" s="581"/>
      <c r="F862" s="2">
        <f>(1/S862)*cnst_fish!$C$6</f>
        <v>0.23938164528281752</v>
      </c>
      <c r="G862" s="2">
        <f t="shared" si="126"/>
        <v>1</v>
      </c>
      <c r="H862" s="2">
        <f t="shared" si="126"/>
        <v>0.36449057933102513</v>
      </c>
      <c r="I862" s="2">
        <f t="shared" si="120"/>
        <v>0</v>
      </c>
      <c r="J862" s="389">
        <f t="shared" si="121"/>
        <v>0</v>
      </c>
      <c r="L862" s="721"/>
      <c r="M862" s="581"/>
      <c r="N862" s="585" t="s">
        <v>1738</v>
      </c>
      <c r="O862" s="586" t="s">
        <v>4699</v>
      </c>
      <c r="P862" s="233">
        <f t="shared" si="122"/>
        <v>0</v>
      </c>
      <c r="Q862" s="233">
        <f t="shared" si="123"/>
        <v>0</v>
      </c>
      <c r="R862" s="2">
        <f t="shared" si="124"/>
        <v>3.1</v>
      </c>
      <c r="S862" s="2">
        <f>(1/9)*cnst_fish!$C$7*(1/cnst_fish!$C$8)^(R862-1)</f>
        <v>17.754076320174157</v>
      </c>
      <c r="T862" s="682">
        <f t="shared" si="125"/>
        <v>0</v>
      </c>
      <c r="W862" s="818"/>
      <c r="X862" s="818"/>
      <c r="Y862" s="819"/>
      <c r="Z862" s="820"/>
      <c r="AA862" s="820"/>
      <c r="AB862" s="821"/>
      <c r="AC862" s="821"/>
      <c r="AD862" s="253"/>
      <c r="AE862" s="253"/>
    </row>
    <row r="863" spans="1:31" ht="14.5">
      <c r="A863" t="s">
        <v>4137</v>
      </c>
      <c r="B863" t="s">
        <v>3370</v>
      </c>
      <c r="C863">
        <v>2949</v>
      </c>
      <c r="D863" s="581"/>
      <c r="E863" s="581"/>
      <c r="F863" s="2">
        <f>(1/S863)*cnst_fish!$C$6</f>
        <v>1.9014759972289439E-2</v>
      </c>
      <c r="G863" s="2">
        <f t="shared" si="126"/>
        <v>1</v>
      </c>
      <c r="H863" s="2">
        <f t="shared" si="126"/>
        <v>0.36449057933102513</v>
      </c>
      <c r="I863" s="2">
        <f t="shared" si="120"/>
        <v>0</v>
      </c>
      <c r="J863" s="389">
        <f t="shared" si="121"/>
        <v>0</v>
      </c>
      <c r="L863" s="721">
        <v>195598</v>
      </c>
      <c r="M863" s="581">
        <v>951.99</v>
      </c>
      <c r="N863" s="585" t="s">
        <v>1738</v>
      </c>
      <c r="O863" s="586" t="s">
        <v>4681</v>
      </c>
      <c r="P863" s="233">
        <f t="shared" si="122"/>
        <v>0</v>
      </c>
      <c r="Q863" s="233">
        <f t="shared" si="123"/>
        <v>196549.99</v>
      </c>
      <c r="R863" s="2">
        <f t="shared" si="124"/>
        <v>4.2</v>
      </c>
      <c r="S863" s="2">
        <f>(1/9)*cnst_fish!$C$7*(1/cnst_fish!$C$8)^(R863-1)</f>
        <v>223.51057842400343</v>
      </c>
      <c r="T863" s="682">
        <f t="shared" si="125"/>
        <v>3767632.0830244711</v>
      </c>
      <c r="W863" s="818"/>
      <c r="X863" s="818"/>
      <c r="Y863" s="819"/>
      <c r="Z863" s="820"/>
      <c r="AA863" s="820"/>
      <c r="AB863" s="821"/>
      <c r="AC863" s="821"/>
      <c r="AD863" s="253"/>
      <c r="AE863" s="253"/>
    </row>
    <row r="864" spans="1:31" ht="14.5">
      <c r="A864" t="s">
        <v>8869</v>
      </c>
      <c r="B864" t="s">
        <v>8870</v>
      </c>
      <c r="C864">
        <v>12571</v>
      </c>
      <c r="D864" s="581"/>
      <c r="E864" s="581"/>
      <c r="F864" s="2">
        <f>(1/S864)*cnst_fish!$C$6</f>
        <v>0.19014759972289441</v>
      </c>
      <c r="G864" s="2">
        <f t="shared" si="126"/>
        <v>1</v>
      </c>
      <c r="H864" s="2">
        <f t="shared" si="126"/>
        <v>0.36449057933102513</v>
      </c>
      <c r="I864" s="2">
        <f t="shared" si="120"/>
        <v>0</v>
      </c>
      <c r="J864" s="389">
        <f t="shared" si="121"/>
        <v>0</v>
      </c>
      <c r="L864" s="721"/>
      <c r="M864" s="581"/>
      <c r="N864" s="585" t="s">
        <v>4282</v>
      </c>
      <c r="O864" s="586"/>
      <c r="P864" s="233">
        <f t="shared" si="122"/>
        <v>0</v>
      </c>
      <c r="Q864" s="233">
        <f t="shared" si="123"/>
        <v>0</v>
      </c>
      <c r="R864" s="2">
        <f t="shared" si="124"/>
        <v>3.2</v>
      </c>
      <c r="S864" s="2">
        <f>(1/9)*cnst_fish!$C$7*(1/cnst_fish!$C$8)^(R864-1)</f>
        <v>22.351057842400341</v>
      </c>
      <c r="T864" s="682">
        <f t="shared" si="125"/>
        <v>0</v>
      </c>
      <c r="W864" s="818"/>
      <c r="X864" s="818"/>
      <c r="Y864" s="819"/>
      <c r="Z864" s="820"/>
      <c r="AA864" s="820"/>
      <c r="AB864" s="821"/>
      <c r="AC864" s="821"/>
      <c r="AD864" s="253"/>
      <c r="AE864" s="253"/>
    </row>
    <row r="865" spans="1:31" ht="14.5">
      <c r="A865" t="s">
        <v>1837</v>
      </c>
      <c r="B865" t="s">
        <v>630</v>
      </c>
      <c r="C865">
        <v>2528</v>
      </c>
      <c r="D865" s="581"/>
      <c r="E865" s="581"/>
      <c r="F865" s="2">
        <f>(1/S865)*cnst_fish!$C$6</f>
        <v>4.6675700833589753E-2</v>
      </c>
      <c r="G865" s="2">
        <f t="shared" si="126"/>
        <v>1</v>
      </c>
      <c r="H865" s="2">
        <f t="shared" si="126"/>
        <v>0.36449057933102513</v>
      </c>
      <c r="I865" s="2">
        <f t="shared" si="120"/>
        <v>0</v>
      </c>
      <c r="J865" s="389">
        <f t="shared" si="121"/>
        <v>0</v>
      </c>
      <c r="L865" s="721">
        <v>6235</v>
      </c>
      <c r="M865" s="581"/>
      <c r="N865" s="585" t="s">
        <v>1738</v>
      </c>
      <c r="O865" s="586" t="s">
        <v>4681</v>
      </c>
      <c r="P865" s="233">
        <f t="shared" si="122"/>
        <v>0</v>
      </c>
      <c r="Q865" s="233">
        <f t="shared" si="123"/>
        <v>6235</v>
      </c>
      <c r="R865" s="2">
        <f t="shared" si="124"/>
        <v>3.81</v>
      </c>
      <c r="S865" s="2">
        <f>(1/9)*cnst_fish!$C$7*(1/cnst_fish!$C$8)^(R865-1)</f>
        <v>91.053801530528389</v>
      </c>
      <c r="T865" s="682">
        <f t="shared" si="125"/>
        <v>48689.119210685451</v>
      </c>
      <c r="W865" s="818"/>
      <c r="X865" s="818"/>
      <c r="Y865" s="819"/>
      <c r="Z865" s="820"/>
      <c r="AA865" s="820"/>
      <c r="AB865" s="821"/>
      <c r="AC865" s="821"/>
      <c r="AD865" s="253"/>
      <c r="AE865" s="253"/>
    </row>
    <row r="866" spans="1:31" ht="14.5">
      <c r="A866" t="s">
        <v>8871</v>
      </c>
      <c r="B866" t="s">
        <v>8872</v>
      </c>
      <c r="C866">
        <v>18841</v>
      </c>
      <c r="D866" s="581"/>
      <c r="E866" s="581"/>
      <c r="F866" s="2">
        <f>(1/S866)*cnst_fish!$C$6</f>
        <v>3.0136363636363642E-2</v>
      </c>
      <c r="G866" s="2">
        <f t="shared" si="126"/>
        <v>1</v>
      </c>
      <c r="H866" s="2">
        <f t="shared" si="126"/>
        <v>0.36449057933102513</v>
      </c>
      <c r="I866" s="2">
        <f t="shared" si="120"/>
        <v>0</v>
      </c>
      <c r="J866" s="389">
        <f t="shared" si="121"/>
        <v>0</v>
      </c>
      <c r="L866" s="721">
        <v>3</v>
      </c>
      <c r="M866" s="581"/>
      <c r="N866" s="585" t="s">
        <v>4282</v>
      </c>
      <c r="O866" s="586" t="s">
        <v>4681</v>
      </c>
      <c r="P866" s="233">
        <f t="shared" si="122"/>
        <v>0</v>
      </c>
      <c r="Q866" s="233">
        <f t="shared" si="123"/>
        <v>3</v>
      </c>
      <c r="R866" s="2">
        <f t="shared" si="124"/>
        <v>4</v>
      </c>
      <c r="S866" s="2">
        <f>(1/9)*cnst_fish!$C$7*(1/cnst_fish!$C$8)^(R866-1)</f>
        <v>141.02564102564099</v>
      </c>
      <c r="T866" s="682">
        <f t="shared" si="125"/>
        <v>36.284130069151821</v>
      </c>
      <c r="W866" s="818"/>
      <c r="X866" s="818"/>
      <c r="Y866" s="819"/>
      <c r="Z866" s="820"/>
      <c r="AA866" s="820"/>
      <c r="AB866" s="821"/>
      <c r="AC866" s="821"/>
      <c r="AD866" s="253"/>
      <c r="AE866" s="253"/>
    </row>
    <row r="867" spans="1:31" ht="14.5">
      <c r="A867" t="s">
        <v>3659</v>
      </c>
      <c r="B867" t="s">
        <v>3092</v>
      </c>
      <c r="C867">
        <v>3322</v>
      </c>
      <c r="D867" s="581"/>
      <c r="E867" s="581"/>
      <c r="F867" s="2">
        <f>(1/S867)*cnst_fish!$C$6</f>
        <v>0.45613232168782086</v>
      </c>
      <c r="G867" s="2">
        <f t="shared" si="126"/>
        <v>1</v>
      </c>
      <c r="H867" s="2">
        <f t="shared" si="126"/>
        <v>0.36449057933102513</v>
      </c>
      <c r="I867" s="2">
        <f t="shared" si="120"/>
        <v>0</v>
      </c>
      <c r="J867" s="389">
        <f t="shared" si="121"/>
        <v>0</v>
      </c>
      <c r="L867" s="721"/>
      <c r="M867" s="581">
        <v>10902.13</v>
      </c>
      <c r="N867" s="585" t="s">
        <v>1738</v>
      </c>
      <c r="O867" s="586" t="s">
        <v>4685</v>
      </c>
      <c r="P867" s="233">
        <f t="shared" si="122"/>
        <v>0</v>
      </c>
      <c r="Q867" s="233">
        <f t="shared" si="123"/>
        <v>10902.13</v>
      </c>
      <c r="R867" s="2">
        <f t="shared" si="124"/>
        <v>2.82</v>
      </c>
      <c r="S867" s="2">
        <f>(1/9)*cnst_fish!$C$7*(1/cnst_fish!$C$8)^(R867-1)</f>
        <v>9.3174717026712273</v>
      </c>
      <c r="T867" s="682">
        <f t="shared" si="125"/>
        <v>8711.7783386588944</v>
      </c>
      <c r="W867" s="818"/>
      <c r="X867" s="818"/>
      <c r="Y867" s="819"/>
      <c r="Z867" s="820"/>
      <c r="AA867" s="820"/>
      <c r="AB867" s="821"/>
      <c r="AC867" s="821"/>
      <c r="AD867" s="253"/>
      <c r="AE867" s="253"/>
    </row>
    <row r="868" spans="1:31" ht="14.5">
      <c r="A868" t="s">
        <v>3767</v>
      </c>
      <c r="B868" t="s">
        <v>6221</v>
      </c>
      <c r="C868">
        <v>2974</v>
      </c>
      <c r="D868" s="581"/>
      <c r="E868" s="581"/>
      <c r="F868" s="2">
        <f>(1/S868)*cnst_fish!$C$6</f>
        <v>7.5699122913220479E-2</v>
      </c>
      <c r="G868" s="2">
        <f t="shared" ref="G868:H887" si="127">G$7</f>
        <v>1</v>
      </c>
      <c r="H868" s="2">
        <f t="shared" si="127"/>
        <v>0.36449057933102513</v>
      </c>
      <c r="I868" s="2">
        <f t="shared" si="120"/>
        <v>0</v>
      </c>
      <c r="J868" s="389">
        <f t="shared" si="121"/>
        <v>0</v>
      </c>
      <c r="L868" s="721"/>
      <c r="M868" s="581">
        <v>37723.699999999997</v>
      </c>
      <c r="N868" s="585" t="s">
        <v>1738</v>
      </c>
      <c r="O868" s="586" t="s">
        <v>4685</v>
      </c>
      <c r="P868" s="233">
        <f t="shared" si="122"/>
        <v>0</v>
      </c>
      <c r="Q868" s="233">
        <f t="shared" si="123"/>
        <v>37723.699999999997</v>
      </c>
      <c r="R868" s="2">
        <f t="shared" si="124"/>
        <v>3.6</v>
      </c>
      <c r="S868" s="2">
        <f>(1/9)*cnst_fish!$C$7*(1/cnst_fish!$C$8)^(R868-1)</f>
        <v>56.143318924211187</v>
      </c>
      <c r="T868" s="682">
        <f t="shared" si="125"/>
        <v>181639.26791162905</v>
      </c>
      <c r="W868" s="818"/>
      <c r="X868" s="818"/>
      <c r="Y868" s="819"/>
      <c r="Z868" s="820"/>
      <c r="AA868" s="820"/>
      <c r="AB868" s="821"/>
      <c r="AC868" s="821"/>
      <c r="AD868" s="253"/>
      <c r="AE868" s="253"/>
    </row>
    <row r="869" spans="1:31" ht="14.5">
      <c r="A869" t="s">
        <v>6417</v>
      </c>
      <c r="B869" t="s">
        <v>6416</v>
      </c>
      <c r="C869">
        <v>12583</v>
      </c>
      <c r="D869" s="581"/>
      <c r="E869" s="581"/>
      <c r="F869" s="2">
        <f>(1/S869)*cnst_fish!$C$6</f>
        <v>3.0136363636363641</v>
      </c>
      <c r="G869" s="2">
        <f t="shared" si="127"/>
        <v>1</v>
      </c>
      <c r="H869" s="2">
        <f t="shared" si="127"/>
        <v>0.36449057933102513</v>
      </c>
      <c r="I869" s="2">
        <f t="shared" si="120"/>
        <v>0</v>
      </c>
      <c r="J869" s="389">
        <f t="shared" si="121"/>
        <v>0</v>
      </c>
      <c r="L869" s="721"/>
      <c r="M869" s="581">
        <v>227</v>
      </c>
      <c r="N869" s="585" t="s">
        <v>1738</v>
      </c>
      <c r="O869" s="586" t="s">
        <v>4685</v>
      </c>
      <c r="P869" s="233">
        <f t="shared" si="122"/>
        <v>0</v>
      </c>
      <c r="Q869" s="233">
        <f t="shared" si="123"/>
        <v>227</v>
      </c>
      <c r="R869" s="2">
        <f t="shared" si="124"/>
        <v>2</v>
      </c>
      <c r="S869" s="2">
        <f>(1/9)*cnst_fish!$C$7*(1/cnst_fish!$C$8)^(R869-1)</f>
        <v>1.4102564102564099</v>
      </c>
      <c r="T869" s="682">
        <f t="shared" si="125"/>
        <v>27.454991752324876</v>
      </c>
      <c r="W869" s="818"/>
      <c r="X869" s="818"/>
      <c r="Y869" s="819"/>
      <c r="Z869" s="820"/>
      <c r="AA869" s="820"/>
      <c r="AB869" s="821"/>
      <c r="AC869" s="821"/>
      <c r="AD869" s="253"/>
      <c r="AE869" s="253"/>
    </row>
    <row r="870" spans="1:31" ht="14.5">
      <c r="A870" t="s">
        <v>6235</v>
      </c>
      <c r="B870" t="s">
        <v>6234</v>
      </c>
      <c r="C870">
        <v>12591</v>
      </c>
      <c r="D870" s="581"/>
      <c r="E870" s="581"/>
      <c r="F870" s="2">
        <f>(1/S870)*cnst_fish!$C$6</f>
        <v>0.19014759972289441</v>
      </c>
      <c r="G870" s="2">
        <f t="shared" si="127"/>
        <v>1</v>
      </c>
      <c r="H870" s="2">
        <f t="shared" si="127"/>
        <v>0.36449057933102513</v>
      </c>
      <c r="I870" s="2">
        <f t="shared" si="120"/>
        <v>0</v>
      </c>
      <c r="J870" s="389">
        <f t="shared" si="121"/>
        <v>0</v>
      </c>
      <c r="L870" s="721"/>
      <c r="M870" s="581">
        <v>21</v>
      </c>
      <c r="N870" s="585" t="s">
        <v>1738</v>
      </c>
      <c r="O870" s="586" t="s">
        <v>4685</v>
      </c>
      <c r="P870" s="233">
        <f t="shared" si="122"/>
        <v>0</v>
      </c>
      <c r="Q870" s="233">
        <f t="shared" si="123"/>
        <v>21</v>
      </c>
      <c r="R870" s="2">
        <f t="shared" si="124"/>
        <v>3.2</v>
      </c>
      <c r="S870" s="2">
        <f>(1/9)*cnst_fish!$C$7*(1/cnst_fish!$C$8)^(R870-1)</f>
        <v>22.351057842400341</v>
      </c>
      <c r="T870" s="682">
        <f t="shared" si="125"/>
        <v>40.254529518680663</v>
      </c>
      <c r="W870" s="818"/>
      <c r="X870" s="818"/>
      <c r="Y870" s="819"/>
      <c r="Z870" s="820"/>
      <c r="AA870" s="820"/>
      <c r="AB870" s="821"/>
      <c r="AC870" s="821"/>
      <c r="AD870" s="253"/>
      <c r="AE870" s="253"/>
    </row>
    <row r="871" spans="1:31" ht="14.5">
      <c r="A871" t="s">
        <v>8994</v>
      </c>
      <c r="B871" t="s">
        <v>8995</v>
      </c>
      <c r="C871">
        <v>6776</v>
      </c>
      <c r="D871" s="581"/>
      <c r="E871" s="581"/>
      <c r="F871" s="869">
        <f>(1/S871)*cnst_fish!$C$6</f>
        <v>0.75699122913220485</v>
      </c>
      <c r="G871" s="869">
        <f t="shared" si="127"/>
        <v>1</v>
      </c>
      <c r="H871" s="869">
        <f t="shared" si="127"/>
        <v>0.36449057933102513</v>
      </c>
      <c r="I871" s="869">
        <f t="shared" si="120"/>
        <v>0</v>
      </c>
      <c r="J871" s="389">
        <f t="shared" si="121"/>
        <v>0</v>
      </c>
      <c r="L871" s="721"/>
      <c r="M871" s="581">
        <v>339</v>
      </c>
      <c r="N871" s="877" t="s">
        <v>1738</v>
      </c>
      <c r="O871" s="881" t="s">
        <v>4681</v>
      </c>
      <c r="P871" s="871">
        <f t="shared" si="122"/>
        <v>0</v>
      </c>
      <c r="Q871" s="871">
        <f t="shared" si="123"/>
        <v>339</v>
      </c>
      <c r="R871" s="869">
        <f t="shared" si="124"/>
        <v>2.6</v>
      </c>
      <c r="S871" s="869">
        <f>(1/9)*cnst_fish!$C$7*(1/cnst_fish!$C$8)^(R871-1)</f>
        <v>5.6143318924211183</v>
      </c>
      <c r="T871" s="682">
        <f t="shared" si="125"/>
        <v>163.22818764342375</v>
      </c>
      <c r="W871" s="818"/>
      <c r="X871" s="818"/>
      <c r="Y871" s="819"/>
      <c r="Z871" s="820"/>
      <c r="AA871" s="820"/>
      <c r="AB871" s="821"/>
      <c r="AC871" s="821"/>
      <c r="AD871" s="253"/>
      <c r="AE871" s="253"/>
    </row>
    <row r="872" spans="1:31" ht="14.5">
      <c r="A872" t="s">
        <v>6230</v>
      </c>
      <c r="B872" t="s">
        <v>6229</v>
      </c>
      <c r="C872">
        <v>2213</v>
      </c>
      <c r="D872" s="581"/>
      <c r="E872" s="581"/>
      <c r="F872" s="2">
        <f>(1/S872)*cnst_fish!$C$6</f>
        <v>7.5699122913220479E-2</v>
      </c>
      <c r="G872" s="2">
        <f t="shared" si="127"/>
        <v>1</v>
      </c>
      <c r="H872" s="2">
        <f t="shared" si="127"/>
        <v>0.36449057933102513</v>
      </c>
      <c r="I872" s="2">
        <f t="shared" si="120"/>
        <v>0</v>
      </c>
      <c r="J872" s="389">
        <f t="shared" si="121"/>
        <v>0</v>
      </c>
      <c r="L872" s="721">
        <v>49</v>
      </c>
      <c r="M872" s="581"/>
      <c r="N872" s="585" t="s">
        <v>1738</v>
      </c>
      <c r="O872" s="586" t="s">
        <v>4699</v>
      </c>
      <c r="P872" s="233">
        <f t="shared" si="122"/>
        <v>0</v>
      </c>
      <c r="Q872" s="233">
        <f t="shared" si="123"/>
        <v>49</v>
      </c>
      <c r="R872" s="2">
        <f t="shared" si="124"/>
        <v>3.6</v>
      </c>
      <c r="S872" s="2">
        <f>(1/9)*cnst_fish!$C$7*(1/cnst_fish!$C$8)^(R872-1)</f>
        <v>56.143318924211187</v>
      </c>
      <c r="T872" s="682">
        <f t="shared" si="125"/>
        <v>235.93454851114348</v>
      </c>
      <c r="W872" s="818"/>
      <c r="X872" s="818"/>
      <c r="Y872" s="819"/>
      <c r="Z872" s="820"/>
      <c r="AA872" s="820"/>
      <c r="AB872" s="821"/>
      <c r="AC872" s="821"/>
      <c r="AD872" s="253"/>
      <c r="AE872" s="253"/>
    </row>
    <row r="873" spans="1:31" ht="14.5">
      <c r="A873" t="s">
        <v>2572</v>
      </c>
      <c r="B873" t="s">
        <v>696</v>
      </c>
      <c r="C873">
        <v>3003</v>
      </c>
      <c r="D873" s="581"/>
      <c r="E873" s="581"/>
      <c r="F873" s="2">
        <f>(1/S873)*cnst_fish!$C$6</f>
        <v>0.99790878883162693</v>
      </c>
      <c r="G873" s="2">
        <f t="shared" si="127"/>
        <v>1</v>
      </c>
      <c r="H873" s="2">
        <f t="shared" si="127"/>
        <v>0.36449057933102513</v>
      </c>
      <c r="I873" s="2">
        <f t="shared" si="120"/>
        <v>0</v>
      </c>
      <c r="J873" s="389">
        <f t="shared" si="121"/>
        <v>0</v>
      </c>
      <c r="L873" s="721">
        <v>1508</v>
      </c>
      <c r="M873" s="581"/>
      <c r="N873" s="585" t="s">
        <v>1738</v>
      </c>
      <c r="O873" s="586" t="s">
        <v>4699</v>
      </c>
      <c r="P873" s="233">
        <f t="shared" si="122"/>
        <v>0</v>
      </c>
      <c r="Q873" s="233">
        <f t="shared" si="123"/>
        <v>1508</v>
      </c>
      <c r="R873" s="2">
        <f t="shared" si="124"/>
        <v>2.48</v>
      </c>
      <c r="S873" s="2">
        <f>(1/9)*cnst_fish!$C$7*(1/cnst_fish!$C$8)^(R873-1)</f>
        <v>4.2589062723618172</v>
      </c>
      <c r="T873" s="682">
        <f t="shared" si="125"/>
        <v>550.80364035547791</v>
      </c>
      <c r="W873" s="818"/>
      <c r="X873" s="818"/>
      <c r="Y873" s="819"/>
      <c r="Z873" s="820"/>
      <c r="AA873" s="820"/>
      <c r="AB873" s="821"/>
      <c r="AC873" s="821"/>
      <c r="AD873" s="253"/>
      <c r="AE873" s="253"/>
    </row>
    <row r="874" spans="1:31" ht="14.5">
      <c r="A874" t="s">
        <v>9112</v>
      </c>
      <c r="B874" t="s">
        <v>9113</v>
      </c>
      <c r="C874">
        <v>20579</v>
      </c>
      <c r="D874" s="581"/>
      <c r="E874" s="581"/>
      <c r="F874" s="869">
        <f>(1/S874)*cnst_fish!$C$6</f>
        <v>3.0136363636363642E-2</v>
      </c>
      <c r="G874" s="869">
        <f t="shared" si="127"/>
        <v>1</v>
      </c>
      <c r="H874" s="869">
        <f t="shared" si="127"/>
        <v>0.36449057933102513</v>
      </c>
      <c r="I874" s="869">
        <f t="shared" si="120"/>
        <v>0</v>
      </c>
      <c r="J874" s="389">
        <f t="shared" si="121"/>
        <v>0</v>
      </c>
      <c r="L874" s="721">
        <v>0.3</v>
      </c>
      <c r="M874" s="581"/>
      <c r="N874" s="877" t="s">
        <v>1738</v>
      </c>
      <c r="O874" s="882" t="s">
        <v>4699</v>
      </c>
      <c r="P874" s="871">
        <f t="shared" si="122"/>
        <v>0</v>
      </c>
      <c r="Q874" s="871">
        <f t="shared" si="123"/>
        <v>0.3</v>
      </c>
      <c r="R874" s="869">
        <f t="shared" si="124"/>
        <v>4</v>
      </c>
      <c r="S874" s="869">
        <f>(1/9)*cnst_fish!$C$7*(1/cnst_fish!$C$8)^(R874-1)</f>
        <v>141.02564102564099</v>
      </c>
      <c r="T874" s="682">
        <f t="shared" si="125"/>
        <v>3.6284130069151819</v>
      </c>
      <c r="W874" s="818"/>
      <c r="X874" s="818"/>
      <c r="Y874" s="819"/>
      <c r="Z874" s="820"/>
      <c r="AA874" s="820"/>
      <c r="AB874" s="821"/>
      <c r="AC874" s="821"/>
      <c r="AD874" s="253"/>
      <c r="AE874" s="253"/>
    </row>
    <row r="875" spans="1:31" ht="14.5">
      <c r="A875" t="s">
        <v>5369</v>
      </c>
      <c r="B875" t="s">
        <v>4042</v>
      </c>
      <c r="C875">
        <v>2212</v>
      </c>
      <c r="D875" s="581"/>
      <c r="E875" s="581"/>
      <c r="F875" s="2">
        <f>(1/S875)*cnst_fish!$C$6</f>
        <v>0.26247675460949144</v>
      </c>
      <c r="G875" s="2">
        <f t="shared" si="127"/>
        <v>1</v>
      </c>
      <c r="H875" s="2">
        <f t="shared" si="127"/>
        <v>0.36449057933102513</v>
      </c>
      <c r="I875" s="2">
        <f t="shared" si="120"/>
        <v>0</v>
      </c>
      <c r="J875" s="389">
        <f t="shared" si="121"/>
        <v>0</v>
      </c>
      <c r="L875" s="721">
        <v>237</v>
      </c>
      <c r="M875" s="581"/>
      <c r="N875" s="585" t="s">
        <v>1738</v>
      </c>
      <c r="O875" s="586" t="s">
        <v>4699</v>
      </c>
      <c r="P875" s="233">
        <f t="shared" si="122"/>
        <v>0</v>
      </c>
      <c r="Q875" s="233">
        <f t="shared" si="123"/>
        <v>237</v>
      </c>
      <c r="R875" s="2">
        <f t="shared" si="124"/>
        <v>3.06</v>
      </c>
      <c r="S875" s="2">
        <f>(1/9)*cnst_fish!$C$7*(1/cnst_fish!$C$8)^(R875-1)</f>
        <v>16.19191004675092</v>
      </c>
      <c r="T875" s="682">
        <f t="shared" si="125"/>
        <v>329.11206719990895</v>
      </c>
      <c r="W875" s="818"/>
      <c r="X875" s="818"/>
      <c r="Y875" s="819"/>
      <c r="Z875" s="820"/>
      <c r="AA875" s="820"/>
      <c r="AB875" s="821"/>
      <c r="AC875" s="821"/>
      <c r="AD875" s="253"/>
      <c r="AE875" s="253"/>
    </row>
    <row r="876" spans="1:31" ht="14.5">
      <c r="A876" t="s">
        <v>6580</v>
      </c>
      <c r="B876" t="s">
        <v>6579</v>
      </c>
      <c r="C876">
        <v>12623</v>
      </c>
      <c r="D876" s="581"/>
      <c r="E876" s="581"/>
      <c r="F876" s="2">
        <f>(1/S876)*cnst_fish!$C$6</f>
        <v>3.0136363636363641</v>
      </c>
      <c r="G876" s="2">
        <f t="shared" si="127"/>
        <v>1</v>
      </c>
      <c r="H876" s="2">
        <f t="shared" si="127"/>
        <v>0.36449057933102513</v>
      </c>
      <c r="I876" s="2">
        <f t="shared" si="120"/>
        <v>0</v>
      </c>
      <c r="J876" s="389">
        <f t="shared" si="121"/>
        <v>0</v>
      </c>
      <c r="L876" s="721"/>
      <c r="M876" s="581">
        <v>22.92</v>
      </c>
      <c r="N876" s="585" t="s">
        <v>1738</v>
      </c>
      <c r="O876" s="586" t="s">
        <v>4685</v>
      </c>
      <c r="P876" s="233">
        <f t="shared" si="122"/>
        <v>0</v>
      </c>
      <c r="Q876" s="233">
        <f t="shared" si="123"/>
        <v>22.92</v>
      </c>
      <c r="R876" s="2">
        <f t="shared" si="124"/>
        <v>2</v>
      </c>
      <c r="S876" s="2">
        <f>(1/9)*cnst_fish!$C$7*(1/cnst_fish!$C$8)^(R876-1)</f>
        <v>1.4102564102564099</v>
      </c>
      <c r="T876" s="682">
        <f t="shared" si="125"/>
        <v>2.7721075372831994</v>
      </c>
      <c r="W876" s="818"/>
      <c r="X876" s="818"/>
      <c r="Y876" s="819"/>
      <c r="Z876" s="820"/>
      <c r="AA876" s="820"/>
      <c r="AB876" s="821"/>
      <c r="AC876" s="821"/>
      <c r="AD876" s="253"/>
      <c r="AE876" s="253"/>
    </row>
    <row r="877" spans="1:31" ht="14.5">
      <c r="A877" t="s">
        <v>6441</v>
      </c>
      <c r="B877" t="s">
        <v>6440</v>
      </c>
      <c r="C877">
        <v>12629</v>
      </c>
      <c r="D877" s="581"/>
      <c r="E877" s="581"/>
      <c r="F877" s="2">
        <f>(1/S877)*cnst_fish!$C$6</f>
        <v>1.1997502458044018E-2</v>
      </c>
      <c r="G877" s="2">
        <f t="shared" si="127"/>
        <v>1</v>
      </c>
      <c r="H877" s="2">
        <f t="shared" si="127"/>
        <v>0.36449057933102513</v>
      </c>
      <c r="I877" s="2">
        <f t="shared" si="120"/>
        <v>0</v>
      </c>
      <c r="J877" s="389">
        <f t="shared" si="121"/>
        <v>0</v>
      </c>
      <c r="L877" s="721">
        <v>0</v>
      </c>
      <c r="M877" s="581"/>
      <c r="N877" s="585" t="s">
        <v>1738</v>
      </c>
      <c r="O877" s="586" t="s">
        <v>4681</v>
      </c>
      <c r="P877" s="233">
        <f t="shared" si="122"/>
        <v>0</v>
      </c>
      <c r="Q877" s="233">
        <f t="shared" si="123"/>
        <v>0</v>
      </c>
      <c r="R877" s="2">
        <f t="shared" si="124"/>
        <v>4.4000000000000004</v>
      </c>
      <c r="S877" s="2">
        <f>(1/9)*cnst_fish!$C$7*(1/cnst_fish!$C$8)^(R877-1)</f>
        <v>354.24039418724885</v>
      </c>
      <c r="T877" s="682">
        <f t="shared" si="125"/>
        <v>0</v>
      </c>
      <c r="W877" s="818"/>
      <c r="X877" s="818"/>
      <c r="Y877" s="819"/>
      <c r="Z877" s="820"/>
      <c r="AA877" s="820"/>
      <c r="AB877" s="821"/>
      <c r="AC877" s="821"/>
      <c r="AD877" s="253"/>
      <c r="AE877" s="253"/>
    </row>
    <row r="878" spans="1:31" ht="14.5">
      <c r="A878" t="s">
        <v>909</v>
      </c>
      <c r="B878" t="s">
        <v>3093</v>
      </c>
      <c r="C878">
        <v>12635</v>
      </c>
      <c r="D878" s="581"/>
      <c r="E878" s="581"/>
      <c r="F878" s="2">
        <f>(1/S878)*cnst_fish!$C$6</f>
        <v>9.5299549485983424E-3</v>
      </c>
      <c r="G878" s="2">
        <f t="shared" si="127"/>
        <v>1</v>
      </c>
      <c r="H878" s="2">
        <f t="shared" si="127"/>
        <v>0.36449057933102513</v>
      </c>
      <c r="I878" s="2">
        <f t="shared" si="120"/>
        <v>0</v>
      </c>
      <c r="J878" s="389">
        <f t="shared" si="121"/>
        <v>0</v>
      </c>
      <c r="L878" s="721"/>
      <c r="M878" s="581">
        <v>4746</v>
      </c>
      <c r="N878" s="585" t="s">
        <v>1738</v>
      </c>
      <c r="O878" s="586" t="s">
        <v>4685</v>
      </c>
      <c r="P878" s="233">
        <f t="shared" si="122"/>
        <v>0</v>
      </c>
      <c r="Q878" s="233">
        <f t="shared" si="123"/>
        <v>4746</v>
      </c>
      <c r="R878" s="2">
        <f t="shared" si="124"/>
        <v>4.5</v>
      </c>
      <c r="S878" s="2">
        <f>(1/9)*cnst_fish!$C$7*(1/cnst_fish!$C$8)^(R878-1)</f>
        <v>445.96223412630997</v>
      </c>
      <c r="T878" s="682">
        <f t="shared" si="125"/>
        <v>181519.46140726231</v>
      </c>
      <c r="W878" s="818"/>
      <c r="X878" s="818"/>
      <c r="Y878" s="819"/>
      <c r="Z878" s="820"/>
      <c r="AA878" s="820"/>
      <c r="AB878" s="821"/>
      <c r="AC878" s="821"/>
      <c r="AD878" s="253"/>
      <c r="AE878" s="253"/>
    </row>
    <row r="879" spans="1:31" ht="14.5">
      <c r="A879" t="s">
        <v>6624</v>
      </c>
      <c r="B879" t="s">
        <v>6623</v>
      </c>
      <c r="C879">
        <v>12637</v>
      </c>
      <c r="D879" s="581"/>
      <c r="E879" s="581"/>
      <c r="F879" s="2">
        <f>(1/S879)*cnst_fish!$C$6</f>
        <v>1.9014759972289439E-2</v>
      </c>
      <c r="G879" s="2">
        <f t="shared" si="127"/>
        <v>1</v>
      </c>
      <c r="H879" s="2">
        <f t="shared" si="127"/>
        <v>0.36449057933102513</v>
      </c>
      <c r="I879" s="2">
        <f t="shared" si="120"/>
        <v>0</v>
      </c>
      <c r="J879" s="389">
        <f t="shared" si="121"/>
        <v>0</v>
      </c>
      <c r="L879" s="721">
        <v>0</v>
      </c>
      <c r="M879" s="581"/>
      <c r="N879" s="585" t="s">
        <v>3785</v>
      </c>
      <c r="O879" s="586" t="s">
        <v>4681</v>
      </c>
      <c r="P879" s="233">
        <f t="shared" si="122"/>
        <v>0</v>
      </c>
      <c r="Q879" s="233">
        <f t="shared" si="123"/>
        <v>0</v>
      </c>
      <c r="R879" s="2">
        <f t="shared" si="124"/>
        <v>4.2</v>
      </c>
      <c r="S879" s="2">
        <f>(1/9)*cnst_fish!$C$7*(1/cnst_fish!$C$8)^(R879-1)</f>
        <v>223.51057842400343</v>
      </c>
      <c r="T879" s="682">
        <f t="shared" si="125"/>
        <v>0</v>
      </c>
      <c r="W879" s="818"/>
      <c r="X879" s="818"/>
      <c r="Y879" s="819"/>
      <c r="Z879" s="820"/>
      <c r="AA879" s="820"/>
      <c r="AB879" s="821"/>
      <c r="AC879" s="821"/>
      <c r="AD879" s="253"/>
      <c r="AE879" s="253"/>
    </row>
    <row r="880" spans="1:31" ht="14.5">
      <c r="A880" t="s">
        <v>3012</v>
      </c>
      <c r="B880" t="s">
        <v>964</v>
      </c>
      <c r="C880">
        <v>2912</v>
      </c>
      <c r="D880" s="581"/>
      <c r="E880" s="581"/>
      <c r="F880" s="2">
        <f>(1/S880)*cnst_fish!$C$6</f>
        <v>8.1113071591070229E-2</v>
      </c>
      <c r="G880" s="2">
        <f t="shared" si="127"/>
        <v>1</v>
      </c>
      <c r="H880" s="2">
        <f t="shared" si="127"/>
        <v>0.36449057933102513</v>
      </c>
      <c r="I880" s="2">
        <f t="shared" si="120"/>
        <v>0</v>
      </c>
      <c r="J880" s="389">
        <f t="shared" si="121"/>
        <v>0</v>
      </c>
      <c r="L880" s="721">
        <v>16</v>
      </c>
      <c r="M880" s="581"/>
      <c r="N880" s="585" t="s">
        <v>1738</v>
      </c>
      <c r="O880" s="586" t="s">
        <v>4699</v>
      </c>
      <c r="P880" s="233">
        <f t="shared" si="122"/>
        <v>0</v>
      </c>
      <c r="Q880" s="233">
        <f t="shared" si="123"/>
        <v>16</v>
      </c>
      <c r="R880" s="2">
        <f t="shared" si="124"/>
        <v>3.57</v>
      </c>
      <c r="S880" s="2">
        <f>(1/9)*cnst_fish!$C$7*(1/cnst_fish!$C$8)^(R880-1)</f>
        <v>52.395993847037154</v>
      </c>
      <c r="T880" s="682">
        <f t="shared" si="125"/>
        <v>71.897773748447634</v>
      </c>
      <c r="W880" s="818"/>
      <c r="X880" s="818"/>
      <c r="Y880" s="819"/>
      <c r="Z880" s="820"/>
      <c r="AA880" s="820"/>
      <c r="AB880" s="821"/>
      <c r="AC880" s="821"/>
      <c r="AD880" s="253"/>
      <c r="AE880" s="253"/>
    </row>
    <row r="881" spans="1:31" ht="14.5">
      <c r="A881" t="s">
        <v>4000</v>
      </c>
      <c r="B881" t="s">
        <v>8628</v>
      </c>
      <c r="C881">
        <v>2198</v>
      </c>
      <c r="D881" s="581"/>
      <c r="E881" s="581"/>
      <c r="F881" s="2">
        <f>(1/S881)*cnst_fish!$C$6</f>
        <v>6.0129950673834844E-2</v>
      </c>
      <c r="G881" s="2">
        <f t="shared" si="127"/>
        <v>1</v>
      </c>
      <c r="H881" s="2">
        <f t="shared" si="127"/>
        <v>0.36449057933102513</v>
      </c>
      <c r="I881" s="2">
        <f t="shared" si="120"/>
        <v>0</v>
      </c>
      <c r="J881" s="389">
        <f t="shared" si="121"/>
        <v>0</v>
      </c>
      <c r="L881" s="721"/>
      <c r="M881" s="581"/>
      <c r="N881" s="585" t="s">
        <v>1738</v>
      </c>
      <c r="O881" s="586" t="s">
        <v>4685</v>
      </c>
      <c r="P881" s="233">
        <f t="shared" si="122"/>
        <v>0</v>
      </c>
      <c r="Q881" s="233">
        <f t="shared" si="123"/>
        <v>0</v>
      </c>
      <c r="R881" s="2">
        <f t="shared" si="124"/>
        <v>3.7</v>
      </c>
      <c r="S881" s="2">
        <f>(1/9)*cnst_fish!$C$7*(1/cnst_fish!$C$8)^(R881-1)</f>
        <v>70.680250896153822</v>
      </c>
      <c r="T881" s="682">
        <f t="shared" si="125"/>
        <v>0</v>
      </c>
      <c r="W881" s="818"/>
      <c r="X881" s="818"/>
      <c r="Y881" s="819"/>
      <c r="Z881" s="820"/>
      <c r="AA881" s="820"/>
      <c r="AB881" s="821"/>
      <c r="AC881" s="821"/>
      <c r="AD881" s="253"/>
      <c r="AE881" s="253"/>
    </row>
    <row r="882" spans="1:31" ht="14.5">
      <c r="A882" t="s">
        <v>4250</v>
      </c>
      <c r="B882" t="s">
        <v>8309</v>
      </c>
      <c r="C882">
        <v>2983</v>
      </c>
      <c r="D882" s="581"/>
      <c r="E882" s="581"/>
      <c r="F882" s="2">
        <f>(1/S882)*cnst_fish!$C$6</f>
        <v>6.0129950673834844E-2</v>
      </c>
      <c r="G882" s="2">
        <f t="shared" si="127"/>
        <v>1</v>
      </c>
      <c r="H882" s="2">
        <f t="shared" si="127"/>
        <v>0.36449057933102513</v>
      </c>
      <c r="I882" s="2">
        <f t="shared" si="120"/>
        <v>0</v>
      </c>
      <c r="J882" s="389">
        <f t="shared" si="121"/>
        <v>0</v>
      </c>
      <c r="L882" s="721"/>
      <c r="M882" s="581">
        <v>7280</v>
      </c>
      <c r="N882" s="585" t="s">
        <v>1738</v>
      </c>
      <c r="O882" s="586" t="s">
        <v>4685</v>
      </c>
      <c r="P882" s="233">
        <f t="shared" si="122"/>
        <v>0</v>
      </c>
      <c r="Q882" s="233">
        <f t="shared" si="123"/>
        <v>7280</v>
      </c>
      <c r="R882" s="2">
        <f t="shared" si="124"/>
        <v>3.7</v>
      </c>
      <c r="S882" s="2">
        <f>(1/9)*cnst_fish!$C$7*(1/cnst_fish!$C$8)^(R882-1)</f>
        <v>70.680250896153822</v>
      </c>
      <c r="T882" s="682">
        <f t="shared" si="125"/>
        <v>44129.279798070951</v>
      </c>
      <c r="W882" s="818"/>
      <c r="X882" s="818"/>
      <c r="Y882" s="819"/>
      <c r="Z882" s="820"/>
      <c r="AA882" s="820"/>
      <c r="AB882" s="821"/>
      <c r="AC882" s="821"/>
      <c r="AD882" s="253"/>
      <c r="AE882" s="253"/>
    </row>
    <row r="883" spans="1:31" ht="14.5">
      <c r="A883" t="s">
        <v>2048</v>
      </c>
      <c r="B883" t="s">
        <v>2348</v>
      </c>
      <c r="C883">
        <v>2605</v>
      </c>
      <c r="D883" s="581"/>
      <c r="E883" s="581"/>
      <c r="F883" s="2">
        <f>(1/S883)*cnst_fish!$C$6</f>
        <v>1.5103960722494616</v>
      </c>
      <c r="G883" s="2">
        <f t="shared" si="127"/>
        <v>1</v>
      </c>
      <c r="H883" s="2">
        <f t="shared" si="127"/>
        <v>0.36449057933102513</v>
      </c>
      <c r="I883" s="2">
        <f t="shared" si="120"/>
        <v>0</v>
      </c>
      <c r="J883" s="389">
        <f t="shared" si="121"/>
        <v>0</v>
      </c>
      <c r="L883" s="721">
        <v>5288</v>
      </c>
      <c r="M883" s="581"/>
      <c r="N883" s="585" t="s">
        <v>2322</v>
      </c>
      <c r="O883" s="586" t="s">
        <v>4680</v>
      </c>
      <c r="P883" s="233">
        <f t="shared" si="122"/>
        <v>0</v>
      </c>
      <c r="Q883" s="233">
        <f t="shared" si="123"/>
        <v>5288</v>
      </c>
      <c r="R883" s="2">
        <f t="shared" si="124"/>
        <v>2.2999999999999998</v>
      </c>
      <c r="S883" s="2">
        <f>(1/9)*cnst_fish!$C$7*(1/cnst_fish!$C$8)^(R883-1)</f>
        <v>2.8138314698279068</v>
      </c>
      <c r="T883" s="682">
        <f t="shared" si="125"/>
        <v>1276.1064590375347</v>
      </c>
      <c r="W883" s="818"/>
      <c r="X883" s="818"/>
      <c r="Y883" s="819"/>
      <c r="Z883" s="820"/>
      <c r="AA883" s="820"/>
      <c r="AB883" s="821"/>
      <c r="AC883" s="821"/>
      <c r="AD883" s="253"/>
      <c r="AE883" s="253"/>
    </row>
    <row r="884" spans="1:31" ht="14.5">
      <c r="A884" t="s">
        <v>8310</v>
      </c>
      <c r="B884" t="s">
        <v>8311</v>
      </c>
      <c r="C884">
        <v>20406</v>
      </c>
      <c r="D884" s="581"/>
      <c r="E884" s="581"/>
      <c r="F884" s="2">
        <f>(1/S884)*cnst_fish!$C$6</f>
        <v>1.2276960190187576</v>
      </c>
      <c r="G884" s="2">
        <f t="shared" si="127"/>
        <v>1</v>
      </c>
      <c r="H884" s="2">
        <f t="shared" si="127"/>
        <v>0.36449057933102513</v>
      </c>
      <c r="I884" s="2">
        <f t="shared" si="120"/>
        <v>0</v>
      </c>
      <c r="J884" s="389">
        <f t="shared" si="121"/>
        <v>0</v>
      </c>
      <c r="L884" s="721"/>
      <c r="M884" s="581"/>
      <c r="N884" s="585" t="s">
        <v>2322</v>
      </c>
      <c r="O884" s="586" t="s">
        <v>4680</v>
      </c>
      <c r="P884" s="233">
        <f t="shared" si="122"/>
        <v>0</v>
      </c>
      <c r="Q884" s="233">
        <f t="shared" si="123"/>
        <v>0</v>
      </c>
      <c r="R884" s="2">
        <f t="shared" si="124"/>
        <v>2.39</v>
      </c>
      <c r="S884" s="2">
        <f>(1/9)*cnst_fish!$C$7*(1/cnst_fish!$C$8)^(R884-1)</f>
        <v>3.4617689836583772</v>
      </c>
      <c r="T884" s="682">
        <f t="shared" si="125"/>
        <v>0</v>
      </c>
      <c r="W884" s="818"/>
      <c r="X884" s="818"/>
      <c r="Y884" s="819"/>
      <c r="Z884" s="820"/>
      <c r="AA884" s="820"/>
      <c r="AB884" s="821"/>
      <c r="AC884" s="821"/>
      <c r="AD884" s="253"/>
      <c r="AE884" s="253"/>
    </row>
    <row r="885" spans="1:31" ht="14.5">
      <c r="A885" t="s">
        <v>3328</v>
      </c>
      <c r="B885" t="s">
        <v>2349</v>
      </c>
      <c r="C885">
        <v>16508</v>
      </c>
      <c r="D885" s="581"/>
      <c r="E885" s="581"/>
      <c r="F885" s="2">
        <f>(1/S885)*cnst_fish!$C$6</f>
        <v>1.0179208487545861</v>
      </c>
      <c r="G885" s="2">
        <f t="shared" si="127"/>
        <v>1</v>
      </c>
      <c r="H885" s="2">
        <f t="shared" si="127"/>
        <v>0.36449057933102513</v>
      </c>
      <c r="I885" s="2">
        <f t="shared" si="120"/>
        <v>0</v>
      </c>
      <c r="J885" s="389">
        <f t="shared" si="121"/>
        <v>0</v>
      </c>
      <c r="L885" s="721"/>
      <c r="M885" s="581"/>
      <c r="N885" s="585" t="s">
        <v>2322</v>
      </c>
      <c r="O885" s="586" t="s">
        <v>4680</v>
      </c>
      <c r="P885" s="233">
        <f t="shared" si="122"/>
        <v>0</v>
      </c>
      <c r="Q885" s="233">
        <f t="shared" si="123"/>
        <v>0</v>
      </c>
      <c r="R885" s="2">
        <f t="shared" si="124"/>
        <v>2.4713768380352099</v>
      </c>
      <c r="S885" s="2">
        <f>(1/9)*cnst_fish!$C$7*(1/cnst_fish!$C$8)^(R885-1)</f>
        <v>4.1751772794513675</v>
      </c>
      <c r="T885" s="682">
        <f t="shared" si="125"/>
        <v>0</v>
      </c>
      <c r="W885" s="818"/>
      <c r="X885" s="818"/>
      <c r="Y885" s="819"/>
      <c r="Z885" s="820"/>
      <c r="AA885" s="820"/>
      <c r="AB885" s="821"/>
      <c r="AC885" s="821"/>
      <c r="AD885" s="253"/>
      <c r="AE885" s="253"/>
    </row>
    <row r="886" spans="1:31" ht="14.5">
      <c r="A886" t="s">
        <v>9100</v>
      </c>
      <c r="B886" t="s">
        <v>9101</v>
      </c>
      <c r="C886">
        <v>19807</v>
      </c>
      <c r="D886" s="581"/>
      <c r="E886" s="581"/>
      <c r="F886" s="869">
        <f>(1/S886)*cnst_fish!$C$6</f>
        <v>0.15103960722494611</v>
      </c>
      <c r="G886" s="869">
        <f t="shared" si="127"/>
        <v>1</v>
      </c>
      <c r="H886" s="869">
        <f t="shared" si="127"/>
        <v>0.36449057933102513</v>
      </c>
      <c r="I886" s="869">
        <f t="shared" si="120"/>
        <v>0</v>
      </c>
      <c r="J886" s="389">
        <f t="shared" si="121"/>
        <v>0</v>
      </c>
      <c r="L886" s="721">
        <v>0</v>
      </c>
      <c r="M886" s="581"/>
      <c r="N886" s="877" t="s">
        <v>1741</v>
      </c>
      <c r="O886" s="882" t="s">
        <v>4685</v>
      </c>
      <c r="P886" s="871">
        <f t="shared" si="122"/>
        <v>0</v>
      </c>
      <c r="Q886" s="871">
        <f t="shared" si="123"/>
        <v>0</v>
      </c>
      <c r="R886" s="869">
        <f t="shared" si="124"/>
        <v>3.3</v>
      </c>
      <c r="S886" s="869">
        <f>(1/9)*cnst_fish!$C$7*(1/cnst_fish!$C$8)^(R886-1)</f>
        <v>28.138314698279075</v>
      </c>
      <c r="T886" s="682">
        <f t="shared" si="125"/>
        <v>0</v>
      </c>
      <c r="W886" s="822"/>
      <c r="X886" s="822"/>
      <c r="Y886" s="819"/>
      <c r="Z886" s="820"/>
      <c r="AA886" s="820"/>
      <c r="AB886" s="821"/>
      <c r="AC886" s="821"/>
      <c r="AD886" s="253"/>
      <c r="AE886" s="253"/>
    </row>
    <row r="887" spans="1:31" ht="14.5">
      <c r="A887" t="s">
        <v>6792</v>
      </c>
      <c r="B887" t="s">
        <v>8629</v>
      </c>
      <c r="C887">
        <v>12670</v>
      </c>
      <c r="D887" s="581"/>
      <c r="E887" s="581"/>
      <c r="F887" s="2">
        <f>(1/S887)*cnst_fish!$C$6</f>
        <v>7.5699122913220479E-2</v>
      </c>
      <c r="G887" s="2">
        <f t="shared" si="127"/>
        <v>1</v>
      </c>
      <c r="H887" s="2">
        <f t="shared" si="127"/>
        <v>0.36449057933102513</v>
      </c>
      <c r="I887" s="2">
        <f t="shared" si="120"/>
        <v>0</v>
      </c>
      <c r="J887" s="389">
        <f t="shared" si="121"/>
        <v>0</v>
      </c>
      <c r="L887" s="721"/>
      <c r="M887" s="581"/>
      <c r="N887" s="585" t="s">
        <v>3786</v>
      </c>
      <c r="O887" s="586" t="s">
        <v>4685</v>
      </c>
      <c r="P887" s="233">
        <f t="shared" si="122"/>
        <v>0</v>
      </c>
      <c r="Q887" s="233">
        <f t="shared" si="123"/>
        <v>0</v>
      </c>
      <c r="R887" s="2">
        <f t="shared" si="124"/>
        <v>3.6</v>
      </c>
      <c r="S887" s="2">
        <f>(1/9)*cnst_fish!$C$7*(1/cnst_fish!$C$8)^(R887-1)</f>
        <v>56.143318924211187</v>
      </c>
      <c r="T887" s="682">
        <f t="shared" si="125"/>
        <v>0</v>
      </c>
      <c r="W887" s="818"/>
      <c r="X887" s="818"/>
      <c r="Y887" s="819"/>
      <c r="Z887" s="820"/>
      <c r="AA887" s="820"/>
      <c r="AB887" s="821"/>
      <c r="AC887" s="821"/>
      <c r="AD887" s="253"/>
      <c r="AE887" s="253"/>
    </row>
    <row r="888" spans="1:31" ht="14.5">
      <c r="A888" t="s">
        <v>3999</v>
      </c>
      <c r="B888" t="s">
        <v>6199</v>
      </c>
      <c r="C888">
        <v>2141</v>
      </c>
      <c r="D888" s="581"/>
      <c r="E888" s="581"/>
      <c r="F888" s="2">
        <f>(1/S888)*cnst_fish!$C$6</f>
        <v>3.0136363636363641</v>
      </c>
      <c r="G888" s="2">
        <f t="shared" ref="G888:H907" si="128">G$7</f>
        <v>1</v>
      </c>
      <c r="H888" s="2">
        <f t="shared" si="128"/>
        <v>0.36449057933102513</v>
      </c>
      <c r="I888" s="2">
        <f t="shared" si="120"/>
        <v>0</v>
      </c>
      <c r="J888" s="389">
        <f t="shared" si="121"/>
        <v>0</v>
      </c>
      <c r="L888" s="721"/>
      <c r="M888" s="581">
        <v>29257</v>
      </c>
      <c r="N888" s="585" t="s">
        <v>1738</v>
      </c>
      <c r="O888" s="586" t="s">
        <v>4685</v>
      </c>
      <c r="P888" s="233">
        <f t="shared" si="122"/>
        <v>0</v>
      </c>
      <c r="Q888" s="233">
        <f t="shared" si="123"/>
        <v>29257</v>
      </c>
      <c r="R888" s="2">
        <f t="shared" si="124"/>
        <v>2</v>
      </c>
      <c r="S888" s="2">
        <f>(1/9)*cnst_fish!$C$7*(1/cnst_fish!$C$8)^(R888-1)</f>
        <v>1.4102564102564099</v>
      </c>
      <c r="T888" s="682">
        <f t="shared" si="125"/>
        <v>3538.5493114439159</v>
      </c>
      <c r="W888" s="818"/>
      <c r="X888" s="818"/>
      <c r="Y888" s="819"/>
      <c r="Z888" s="820"/>
      <c r="AA888" s="820"/>
      <c r="AB888" s="821"/>
      <c r="AC888" s="821"/>
      <c r="AD888" s="253"/>
      <c r="AE888" s="253"/>
    </row>
    <row r="889" spans="1:31" ht="14.5">
      <c r="A889" t="s">
        <v>2254</v>
      </c>
      <c r="B889" t="s">
        <v>2255</v>
      </c>
      <c r="C889">
        <v>19139</v>
      </c>
      <c r="D889" s="581"/>
      <c r="E889" s="581"/>
      <c r="F889" s="2">
        <f>(1/S889)*cnst_fish!$C$6</f>
        <v>7.7462381998898044E-2</v>
      </c>
      <c r="G889" s="2">
        <f t="shared" si="128"/>
        <v>1</v>
      </c>
      <c r="H889" s="2">
        <f t="shared" si="128"/>
        <v>0.36449057933102513</v>
      </c>
      <c r="I889" s="2">
        <f t="shared" si="120"/>
        <v>0</v>
      </c>
      <c r="J889" s="389">
        <f t="shared" si="121"/>
        <v>0</v>
      </c>
      <c r="L889" s="721">
        <v>21</v>
      </c>
      <c r="M889" s="581"/>
      <c r="N889" s="585" t="s">
        <v>1738</v>
      </c>
      <c r="O889" s="586" t="s">
        <v>4681</v>
      </c>
      <c r="P889" s="233">
        <f t="shared" si="122"/>
        <v>0</v>
      </c>
      <c r="Q889" s="233">
        <f t="shared" si="123"/>
        <v>21</v>
      </c>
      <c r="R889" s="2">
        <f t="shared" si="124"/>
        <v>3.59</v>
      </c>
      <c r="S889" s="2">
        <f>(1/9)*cnst_fish!$C$7*(1/cnst_fish!$C$8)^(R889-1)</f>
        <v>54.865340960731871</v>
      </c>
      <c r="T889" s="682">
        <f t="shared" si="125"/>
        <v>98.813152506211537</v>
      </c>
      <c r="W889" s="822"/>
      <c r="X889" s="822"/>
      <c r="Y889" s="819"/>
      <c r="Z889" s="820"/>
      <c r="AA889" s="820"/>
      <c r="AB889" s="821"/>
      <c r="AC889" s="821"/>
      <c r="AD889" s="253"/>
      <c r="AE889" s="253"/>
    </row>
    <row r="890" spans="1:31" ht="14.5">
      <c r="A890" t="s">
        <v>2813</v>
      </c>
      <c r="B890" t="s">
        <v>3718</v>
      </c>
      <c r="C890">
        <v>2003</v>
      </c>
      <c r="D890" s="581"/>
      <c r="E890" s="581"/>
      <c r="F890" s="2">
        <f>(1/S890)*cnst_fish!$C$6</f>
        <v>1.581578846116358E-2</v>
      </c>
      <c r="G890" s="2">
        <f t="shared" si="128"/>
        <v>1</v>
      </c>
      <c r="H890" s="2">
        <f t="shared" si="128"/>
        <v>0.36449057933102513</v>
      </c>
      <c r="I890" s="2">
        <f t="shared" si="120"/>
        <v>0</v>
      </c>
      <c r="J890" s="389">
        <f t="shared" si="121"/>
        <v>0</v>
      </c>
      <c r="L890" s="721">
        <v>33</v>
      </c>
      <c r="M890" s="581"/>
      <c r="N890" s="585" t="s">
        <v>3785</v>
      </c>
      <c r="O890" s="586" t="s">
        <v>4681</v>
      </c>
      <c r="P890" s="233">
        <f t="shared" si="122"/>
        <v>0</v>
      </c>
      <c r="Q890" s="233">
        <f t="shared" si="123"/>
        <v>33</v>
      </c>
      <c r="R890" s="2">
        <f t="shared" si="124"/>
        <v>4.28</v>
      </c>
      <c r="S890" s="2">
        <f>(1/9)*cnst_fish!$C$7*(1/cnst_fish!$C$8)^(R890-1)</f>
        <v>268.71881919994547</v>
      </c>
      <c r="T890" s="682">
        <f t="shared" si="125"/>
        <v>760.51782985461773</v>
      </c>
      <c r="W890" s="818"/>
      <c r="X890" s="818"/>
      <c r="Y890" s="819"/>
      <c r="Z890" s="820"/>
      <c r="AA890" s="820"/>
      <c r="AB890" s="821"/>
      <c r="AC890" s="821"/>
      <c r="AD890" s="253"/>
      <c r="AE890" s="253"/>
    </row>
    <row r="891" spans="1:31" ht="14.5">
      <c r="A891" t="s">
        <v>3766</v>
      </c>
      <c r="B891" t="s">
        <v>8630</v>
      </c>
      <c r="C891">
        <v>2097</v>
      </c>
      <c r="D891" s="581"/>
      <c r="E891" s="581"/>
      <c r="F891" s="2">
        <f>(1/S891)*cnst_fish!$C$6</f>
        <v>0.16946922663690964</v>
      </c>
      <c r="G891" s="2">
        <f t="shared" si="128"/>
        <v>1</v>
      </c>
      <c r="H891" s="2">
        <f t="shared" si="128"/>
        <v>0.36449057933102513</v>
      </c>
      <c r="I891" s="2">
        <f t="shared" si="120"/>
        <v>0</v>
      </c>
      <c r="J891" s="389">
        <f t="shared" si="121"/>
        <v>0</v>
      </c>
      <c r="L891" s="721"/>
      <c r="M891" s="581"/>
      <c r="N891" s="585" t="s">
        <v>1738</v>
      </c>
      <c r="O891" s="586" t="s">
        <v>4685</v>
      </c>
      <c r="P891" s="233">
        <f t="shared" si="122"/>
        <v>0</v>
      </c>
      <c r="Q891" s="233">
        <f t="shared" si="123"/>
        <v>0</v>
      </c>
      <c r="R891" s="2">
        <f t="shared" si="124"/>
        <v>3.25</v>
      </c>
      <c r="S891" s="2">
        <f>(1/9)*cnst_fish!$C$7*(1/cnst_fish!$C$8)^(R891-1)</f>
        <v>25.078299372343796</v>
      </c>
      <c r="T891" s="682">
        <f t="shared" si="125"/>
        <v>0</v>
      </c>
      <c r="W891" s="818"/>
      <c r="X891" s="818"/>
      <c r="Y891" s="819"/>
      <c r="Z891" s="820"/>
      <c r="AA891" s="820"/>
      <c r="AB891" s="821"/>
      <c r="AC891" s="821"/>
      <c r="AD891" s="253"/>
      <c r="AE891" s="253"/>
    </row>
    <row r="892" spans="1:31" ht="14.5">
      <c r="A892" t="s">
        <v>3336</v>
      </c>
      <c r="B892" t="s">
        <v>3719</v>
      </c>
      <c r="C892">
        <v>12686</v>
      </c>
      <c r="D892" s="581"/>
      <c r="E892" s="581"/>
      <c r="F892" s="2">
        <f>(1/S892)*cnst_fish!$C$6</f>
        <v>5.6116535073067304E-2</v>
      </c>
      <c r="G892" s="2">
        <f t="shared" si="128"/>
        <v>1</v>
      </c>
      <c r="H892" s="2">
        <f t="shared" si="128"/>
        <v>0.36449057933102513</v>
      </c>
      <c r="I892" s="2">
        <f t="shared" si="120"/>
        <v>0</v>
      </c>
      <c r="J892" s="389">
        <f t="shared" si="121"/>
        <v>0</v>
      </c>
      <c r="L892" s="721">
        <v>48</v>
      </c>
      <c r="M892" s="581"/>
      <c r="N892" s="585" t="s">
        <v>1738</v>
      </c>
      <c r="O892" s="586" t="s">
        <v>4681</v>
      </c>
      <c r="P892" s="233">
        <f t="shared" si="122"/>
        <v>0</v>
      </c>
      <c r="Q892" s="233">
        <f t="shared" si="123"/>
        <v>48</v>
      </c>
      <c r="R892" s="2">
        <f t="shared" si="124"/>
        <v>3.73</v>
      </c>
      <c r="S892" s="2">
        <f>(1/9)*cnst_fish!$C$7*(1/cnst_fish!$C$8)^(R892-1)</f>
        <v>75.735253334266432</v>
      </c>
      <c r="T892" s="682">
        <f t="shared" si="125"/>
        <v>311.77170481229621</v>
      </c>
      <c r="W892" s="818"/>
      <c r="X892" s="818"/>
      <c r="Y892" s="819"/>
      <c r="Z892" s="820"/>
      <c r="AA892" s="820"/>
      <c r="AB892" s="821"/>
      <c r="AC892" s="821"/>
      <c r="AD892" s="253"/>
      <c r="AE892" s="253"/>
    </row>
    <row r="893" spans="1:31" ht="14.5">
      <c r="A893" t="s">
        <v>9084</v>
      </c>
      <c r="B893" t="s">
        <v>9085</v>
      </c>
      <c r="C893">
        <v>18618</v>
      </c>
      <c r="D893" s="581"/>
      <c r="E893" s="581"/>
      <c r="F893" s="869">
        <f>(1/S893)*cnst_fish!$C$6</f>
        <v>0.15103960722494611</v>
      </c>
      <c r="G893" s="869">
        <f t="shared" si="128"/>
        <v>1</v>
      </c>
      <c r="H893" s="869">
        <f t="shared" si="128"/>
        <v>0.36449057933102513</v>
      </c>
      <c r="I893" s="869">
        <f t="shared" si="120"/>
        <v>0</v>
      </c>
      <c r="J893" s="389">
        <f t="shared" si="121"/>
        <v>0</v>
      </c>
      <c r="L893" s="721">
        <v>0.2</v>
      </c>
      <c r="M893" s="581"/>
      <c r="N893" s="877" t="s">
        <v>1738</v>
      </c>
      <c r="O893" s="882" t="s">
        <v>4681</v>
      </c>
      <c r="P893" s="871">
        <f t="shared" si="122"/>
        <v>0</v>
      </c>
      <c r="Q893" s="871">
        <f t="shared" si="123"/>
        <v>0.2</v>
      </c>
      <c r="R893" s="869">
        <f t="shared" si="124"/>
        <v>3.3</v>
      </c>
      <c r="S893" s="869">
        <f>(1/9)*cnst_fish!$C$7*(1/cnst_fish!$C$8)^(R893-1)</f>
        <v>28.138314698279075</v>
      </c>
      <c r="T893" s="682">
        <f t="shared" si="125"/>
        <v>0.4826423823893855</v>
      </c>
      <c r="W893" s="818"/>
      <c r="X893" s="818"/>
      <c r="Y893" s="819"/>
      <c r="Z893" s="820"/>
      <c r="AA893" s="820"/>
      <c r="AB893" s="821"/>
      <c r="AC893" s="821"/>
      <c r="AD893" s="253"/>
      <c r="AE893" s="253"/>
    </row>
    <row r="894" spans="1:31" ht="14.5">
      <c r="A894" t="s">
        <v>4174</v>
      </c>
      <c r="B894" t="s">
        <v>3653</v>
      </c>
      <c r="C894">
        <v>2547</v>
      </c>
      <c r="D894" s="581"/>
      <c r="E894" s="581"/>
      <c r="F894" s="2">
        <f>(1/S894)*cnst_fish!$C$6</f>
        <v>6.9038420626592392E-2</v>
      </c>
      <c r="G894" s="2">
        <f t="shared" si="128"/>
        <v>1</v>
      </c>
      <c r="H894" s="2">
        <f t="shared" si="128"/>
        <v>0.36449057933102513</v>
      </c>
      <c r="I894" s="2">
        <f t="shared" si="120"/>
        <v>0</v>
      </c>
      <c r="J894" s="389">
        <f t="shared" si="121"/>
        <v>0</v>
      </c>
      <c r="L894" s="721">
        <v>12380</v>
      </c>
      <c r="M894" s="581"/>
      <c r="N894" s="585" t="s">
        <v>1741</v>
      </c>
      <c r="O894" s="586" t="s">
        <v>4681</v>
      </c>
      <c r="P894" s="233">
        <f t="shared" si="122"/>
        <v>0</v>
      </c>
      <c r="Q894" s="233">
        <f t="shared" si="123"/>
        <v>12380</v>
      </c>
      <c r="R894" s="2">
        <f t="shared" si="124"/>
        <v>3.64</v>
      </c>
      <c r="S894" s="2">
        <f>(1/9)*cnst_fish!$C$7*(1/cnst_fish!$C$8)^(R894-1)</f>
        <v>61.559925059510611</v>
      </c>
      <c r="T894" s="682">
        <f t="shared" si="125"/>
        <v>65360.611253322844</v>
      </c>
      <c r="W894" s="818"/>
      <c r="X894" s="818"/>
      <c r="Y894" s="819"/>
      <c r="Z894" s="820"/>
      <c r="AA894" s="820"/>
      <c r="AB894" s="821"/>
      <c r="AC894" s="821"/>
      <c r="AD894" s="253"/>
      <c r="AE894" s="253"/>
    </row>
    <row r="895" spans="1:31" ht="14.5">
      <c r="A895" t="s">
        <v>1661</v>
      </c>
      <c r="B895" t="s">
        <v>3654</v>
      </c>
      <c r="C895">
        <v>3359</v>
      </c>
      <c r="D895" s="581"/>
      <c r="E895" s="581"/>
      <c r="F895" s="2">
        <f>(1/S895)*cnst_fish!$C$6</f>
        <v>6.7466914312309487E-2</v>
      </c>
      <c r="G895" s="2">
        <f t="shared" si="128"/>
        <v>1</v>
      </c>
      <c r="H895" s="2">
        <f t="shared" si="128"/>
        <v>0.36449057933102513</v>
      </c>
      <c r="I895" s="2">
        <f t="shared" si="120"/>
        <v>0</v>
      </c>
      <c r="J895" s="389">
        <f t="shared" si="121"/>
        <v>0</v>
      </c>
      <c r="L895" s="721">
        <v>6640</v>
      </c>
      <c r="M895" s="581"/>
      <c r="N895" s="585" t="s">
        <v>1738</v>
      </c>
      <c r="O895" s="586" t="s">
        <v>4681</v>
      </c>
      <c r="P895" s="233">
        <f t="shared" si="122"/>
        <v>0</v>
      </c>
      <c r="Q895" s="233">
        <f t="shared" si="123"/>
        <v>6640</v>
      </c>
      <c r="R895" s="2">
        <f t="shared" si="124"/>
        <v>3.65</v>
      </c>
      <c r="S895" s="2">
        <f>(1/9)*cnst_fish!$C$7*(1/cnst_fish!$C$8)^(R895-1)</f>
        <v>62.993839918725584</v>
      </c>
      <c r="T895" s="682">
        <f t="shared" si="125"/>
        <v>35872.656566960155</v>
      </c>
      <c r="W895" s="818"/>
      <c r="X895" s="818"/>
      <c r="Y895" s="819"/>
      <c r="Z895" s="820"/>
      <c r="AA895" s="820"/>
      <c r="AB895" s="821"/>
      <c r="AC895" s="821"/>
      <c r="AD895" s="253"/>
      <c r="AE895" s="253"/>
    </row>
    <row r="896" spans="1:31" ht="14.5">
      <c r="A896" t="s">
        <v>1484</v>
      </c>
      <c r="B896" t="s">
        <v>3655</v>
      </c>
      <c r="C896">
        <v>3353</v>
      </c>
      <c r="D896" s="581">
        <v>5283</v>
      </c>
      <c r="E896" s="581"/>
      <c r="F896" s="2">
        <f>(1/S896)*cnst_fish!$C$6</f>
        <v>8.8938714421809562E-3</v>
      </c>
      <c r="G896" s="2">
        <f t="shared" si="128"/>
        <v>1</v>
      </c>
      <c r="H896" s="2">
        <f t="shared" si="128"/>
        <v>0.36449057933102513</v>
      </c>
      <c r="I896" s="2">
        <f t="shared" si="120"/>
        <v>216509.0583020176</v>
      </c>
      <c r="J896" s="389">
        <f t="shared" si="121"/>
        <v>0</v>
      </c>
      <c r="L896" s="721">
        <v>9231</v>
      </c>
      <c r="M896" s="581"/>
      <c r="N896" s="585" t="s">
        <v>3787</v>
      </c>
      <c r="O896" s="586" t="s">
        <v>4681</v>
      </c>
      <c r="P896" s="233">
        <f t="shared" si="122"/>
        <v>5283</v>
      </c>
      <c r="Q896" s="233">
        <f t="shared" si="123"/>
        <v>9231</v>
      </c>
      <c r="R896" s="2">
        <f t="shared" si="124"/>
        <v>4.53</v>
      </c>
      <c r="S896" s="2">
        <f>(1/9)*cnst_fish!$C$7*(1/cnst_fish!$C$8)^(R896-1)</f>
        <v>477.85714327323512</v>
      </c>
      <c r="T896" s="682">
        <f t="shared" si="125"/>
        <v>378306.85542039073</v>
      </c>
      <c r="W896" s="818"/>
      <c r="X896" s="818"/>
      <c r="Y896" s="819"/>
      <c r="Z896" s="820"/>
      <c r="AA896" s="820"/>
      <c r="AB896" s="821"/>
      <c r="AC896" s="821"/>
      <c r="AD896" s="253"/>
      <c r="AE896" s="253"/>
    </row>
    <row r="897" spans="1:31" ht="14.5">
      <c r="A897" t="s">
        <v>1620</v>
      </c>
      <c r="B897" t="s">
        <v>3605</v>
      </c>
      <c r="C897">
        <v>2542</v>
      </c>
      <c r="D897" s="581">
        <v>3330</v>
      </c>
      <c r="E897" s="581"/>
      <c r="F897" s="2">
        <f>(1/S897)*cnst_fish!$C$6</f>
        <v>2.234039499920492E-2</v>
      </c>
      <c r="G897" s="2">
        <f t="shared" si="128"/>
        <v>1</v>
      </c>
      <c r="H897" s="2">
        <f t="shared" si="128"/>
        <v>0.36449057933102513</v>
      </c>
      <c r="I897" s="2">
        <f t="shared" si="120"/>
        <v>54329.998606359033</v>
      </c>
      <c r="J897" s="389">
        <f t="shared" si="121"/>
        <v>0</v>
      </c>
      <c r="L897" s="721">
        <v>19139</v>
      </c>
      <c r="M897" s="581"/>
      <c r="N897" s="585" t="s">
        <v>3787</v>
      </c>
      <c r="O897" s="586" t="s">
        <v>4681</v>
      </c>
      <c r="P897" s="233">
        <f t="shared" si="122"/>
        <v>3330</v>
      </c>
      <c r="Q897" s="233">
        <f t="shared" si="123"/>
        <v>19139</v>
      </c>
      <c r="R897" s="2">
        <f t="shared" si="124"/>
        <v>4.13</v>
      </c>
      <c r="S897" s="2">
        <f>(1/9)*cnst_fish!$C$7*(1/cnst_fish!$C$8)^(R897-1)</f>
        <v>190.23835523728451</v>
      </c>
      <c r="T897" s="682">
        <f t="shared" si="125"/>
        <v>312258.8118099416</v>
      </c>
      <c r="W897" s="818"/>
      <c r="X897" s="818"/>
      <c r="Y897" s="819"/>
      <c r="Z897" s="820"/>
      <c r="AA897" s="820"/>
      <c r="AB897" s="821"/>
      <c r="AC897" s="821"/>
      <c r="AD897" s="253"/>
      <c r="AE897" s="253"/>
    </row>
    <row r="898" spans="1:31" ht="14.5">
      <c r="A898" t="s">
        <v>4968</v>
      </c>
      <c r="B898" t="s">
        <v>8631</v>
      </c>
      <c r="C898">
        <v>3559</v>
      </c>
      <c r="D898" s="581"/>
      <c r="E898" s="581"/>
      <c r="F898" s="2">
        <f>(1/S898)*cnst_fish!$C$6</f>
        <v>2.3938164528281742</v>
      </c>
      <c r="G898" s="2">
        <f t="shared" si="128"/>
        <v>1</v>
      </c>
      <c r="H898" s="2">
        <f t="shared" si="128"/>
        <v>0.36449057933102513</v>
      </c>
      <c r="I898" s="2">
        <f t="shared" si="120"/>
        <v>0</v>
      </c>
      <c r="J898" s="389">
        <f t="shared" si="121"/>
        <v>0</v>
      </c>
      <c r="L898" s="721"/>
      <c r="M898" s="581"/>
      <c r="N898" s="585" t="s">
        <v>1736</v>
      </c>
      <c r="O898" s="586" t="s">
        <v>4691</v>
      </c>
      <c r="P898" s="233">
        <f t="shared" si="122"/>
        <v>0</v>
      </c>
      <c r="Q898" s="233">
        <f t="shared" si="123"/>
        <v>0</v>
      </c>
      <c r="R898" s="2">
        <f t="shared" si="124"/>
        <v>2.1</v>
      </c>
      <c r="S898" s="2">
        <f>(1/9)*cnst_fish!$C$7*(1/cnst_fish!$C$8)^(R898-1)</f>
        <v>1.7754076320174161</v>
      </c>
      <c r="T898" s="682">
        <f t="shared" si="125"/>
        <v>0</v>
      </c>
      <c r="W898" s="818"/>
      <c r="X898" s="818"/>
      <c r="Y898" s="819"/>
      <c r="Z898" s="820"/>
      <c r="AA898" s="820"/>
      <c r="AB898" s="821"/>
      <c r="AC898" s="821"/>
      <c r="AD898" s="253"/>
      <c r="AE898" s="253"/>
    </row>
    <row r="899" spans="1:31" ht="14.5">
      <c r="A899" t="s">
        <v>6627</v>
      </c>
      <c r="B899" t="s">
        <v>6626</v>
      </c>
      <c r="C899">
        <v>18282</v>
      </c>
      <c r="D899" s="581"/>
      <c r="E899" s="581"/>
      <c r="F899" s="2">
        <f>(1/S899)*cnst_fish!$C$6</f>
        <v>3.0136363636363641</v>
      </c>
      <c r="G899" s="2">
        <f t="shared" si="128"/>
        <v>1</v>
      </c>
      <c r="H899" s="2">
        <f t="shared" si="128"/>
        <v>0.36449057933102513</v>
      </c>
      <c r="I899" s="2">
        <f t="shared" si="120"/>
        <v>0</v>
      </c>
      <c r="J899" s="389">
        <f t="shared" si="121"/>
        <v>0</v>
      </c>
      <c r="L899" s="721">
        <v>44</v>
      </c>
      <c r="M899" s="581"/>
      <c r="N899" s="585" t="s">
        <v>1449</v>
      </c>
      <c r="O899" s="586"/>
      <c r="P899" s="233">
        <f t="shared" si="122"/>
        <v>0</v>
      </c>
      <c r="Q899" s="233">
        <f t="shared" si="123"/>
        <v>44</v>
      </c>
      <c r="R899" s="2">
        <f t="shared" si="124"/>
        <v>2</v>
      </c>
      <c r="S899" s="2">
        <f>(1/9)*cnst_fish!$C$7*(1/cnst_fish!$C$8)^(R899-1)</f>
        <v>1.4102564102564099</v>
      </c>
      <c r="T899" s="682">
        <f t="shared" si="125"/>
        <v>5.3216724101422663</v>
      </c>
      <c r="W899" s="818"/>
      <c r="X899" s="818"/>
      <c r="Y899" s="819"/>
      <c r="Z899" s="820"/>
      <c r="AA899" s="820"/>
      <c r="AB899" s="821"/>
      <c r="AC899" s="821"/>
      <c r="AD899" s="253"/>
      <c r="AE899" s="253"/>
    </row>
    <row r="900" spans="1:31" ht="14.5">
      <c r="A900" t="s">
        <v>171</v>
      </c>
      <c r="B900" t="s">
        <v>3371</v>
      </c>
      <c r="C900">
        <v>3042</v>
      </c>
      <c r="D900" s="581"/>
      <c r="E900" s="581"/>
      <c r="F900" s="2">
        <f>(1/S900)*cnst_fish!$C$6</f>
        <v>6.2963787943464855E-2</v>
      </c>
      <c r="G900" s="2">
        <f t="shared" si="128"/>
        <v>1</v>
      </c>
      <c r="H900" s="2">
        <f t="shared" si="128"/>
        <v>0.36449057933102513</v>
      </c>
      <c r="I900" s="2">
        <f t="shared" si="120"/>
        <v>0</v>
      </c>
      <c r="J900" s="389">
        <f t="shared" si="121"/>
        <v>0</v>
      </c>
      <c r="L900" s="721">
        <v>302</v>
      </c>
      <c r="M900" s="581"/>
      <c r="N900" s="585" t="s">
        <v>1738</v>
      </c>
      <c r="O900" s="586" t="s">
        <v>4681</v>
      </c>
      <c r="P900" s="233">
        <f t="shared" si="122"/>
        <v>0</v>
      </c>
      <c r="Q900" s="233">
        <f t="shared" si="123"/>
        <v>302</v>
      </c>
      <c r="R900" s="2">
        <f t="shared" si="124"/>
        <v>3.68</v>
      </c>
      <c r="S900" s="2">
        <f>(1/9)*cnst_fish!$C$7*(1/cnst_fish!$C$8)^(R900-1)</f>
        <v>67.499115583961881</v>
      </c>
      <c r="T900" s="682">
        <f t="shared" si="125"/>
        <v>1748.2454368343738</v>
      </c>
      <c r="W900" s="818"/>
      <c r="X900" s="818"/>
      <c r="Y900" s="819"/>
      <c r="Z900" s="820"/>
      <c r="AA900" s="820"/>
      <c r="AB900" s="821"/>
      <c r="AC900" s="821"/>
      <c r="AD900" s="253"/>
      <c r="AE900" s="253"/>
    </row>
    <row r="901" spans="1:31" ht="14.5">
      <c r="A901" t="s">
        <v>8632</v>
      </c>
      <c r="B901" t="s">
        <v>8633</v>
      </c>
      <c r="C901">
        <v>12727</v>
      </c>
      <c r="D901" s="581"/>
      <c r="E901" s="581"/>
      <c r="F901" s="2">
        <f>(1/S901)*cnst_fish!$C$6</f>
        <v>0.23938164528281752</v>
      </c>
      <c r="G901" s="2">
        <f t="shared" si="128"/>
        <v>1</v>
      </c>
      <c r="H901" s="2">
        <f t="shared" si="128"/>
        <v>0.36449057933102513</v>
      </c>
      <c r="I901" s="2">
        <f t="shared" si="120"/>
        <v>0</v>
      </c>
      <c r="J901" s="389">
        <f t="shared" si="121"/>
        <v>0</v>
      </c>
      <c r="L901" s="721">
        <v>100</v>
      </c>
      <c r="M901" s="581"/>
      <c r="N901" s="585" t="s">
        <v>1738</v>
      </c>
      <c r="O901" s="586" t="s">
        <v>4681</v>
      </c>
      <c r="P901" s="233">
        <f t="shared" si="122"/>
        <v>0</v>
      </c>
      <c r="Q901" s="233">
        <f t="shared" si="123"/>
        <v>100</v>
      </c>
      <c r="R901" s="2">
        <f t="shared" si="124"/>
        <v>3.1</v>
      </c>
      <c r="S901" s="2">
        <f>(1/9)*cnst_fish!$C$7*(1/cnst_fish!$C$8)^(R901-1)</f>
        <v>17.754076320174157</v>
      </c>
      <c r="T901" s="682">
        <f t="shared" si="125"/>
        <v>152.26337796300032</v>
      </c>
      <c r="W901" s="818"/>
      <c r="X901" s="818"/>
      <c r="Y901" s="819"/>
      <c r="Z901" s="820"/>
      <c r="AA901" s="820"/>
      <c r="AB901" s="821"/>
      <c r="AC901" s="821"/>
      <c r="AD901" s="253"/>
      <c r="AE901" s="253"/>
    </row>
    <row r="902" spans="1:31" ht="14.5">
      <c r="A902" t="s">
        <v>35</v>
      </c>
      <c r="B902" t="s">
        <v>36</v>
      </c>
      <c r="C902">
        <v>18371</v>
      </c>
      <c r="D902" s="581"/>
      <c r="E902" s="581"/>
      <c r="F902" s="2">
        <f>(1/S902)*cnst_fish!$C$6</f>
        <v>0.14481532779905856</v>
      </c>
      <c r="G902" s="2">
        <f t="shared" si="128"/>
        <v>1</v>
      </c>
      <c r="H902" s="2">
        <f t="shared" si="128"/>
        <v>0.36449057933102513</v>
      </c>
      <c r="I902" s="2">
        <f t="shared" si="120"/>
        <v>0</v>
      </c>
      <c r="J902" s="389">
        <f t="shared" si="121"/>
        <v>0</v>
      </c>
      <c r="L902" s="721">
        <v>70</v>
      </c>
      <c r="M902" s="581"/>
      <c r="N902" s="585" t="s">
        <v>1738</v>
      </c>
      <c r="O902" s="586"/>
      <c r="P902" s="233">
        <f t="shared" si="122"/>
        <v>0</v>
      </c>
      <c r="Q902" s="233">
        <f t="shared" si="123"/>
        <v>70</v>
      </c>
      <c r="R902" s="2">
        <f t="shared" si="124"/>
        <v>3.3182763159269002</v>
      </c>
      <c r="S902" s="2">
        <f>(1/9)*cnst_fish!$C$7*(1/cnst_fish!$C$8)^(R902-1)</f>
        <v>29.347722127157517</v>
      </c>
      <c r="T902" s="682">
        <f t="shared" si="125"/>
        <v>176.18535924991792</v>
      </c>
      <c r="W902" s="818"/>
      <c r="X902" s="818"/>
      <c r="Y902" s="819"/>
      <c r="Z902" s="820"/>
      <c r="AA902" s="820"/>
      <c r="AB902" s="821"/>
      <c r="AC902" s="821"/>
      <c r="AD902" s="253"/>
      <c r="AE902" s="253"/>
    </row>
    <row r="903" spans="1:31" ht="14.5">
      <c r="A903" t="s">
        <v>3565</v>
      </c>
      <c r="B903" t="s">
        <v>3566</v>
      </c>
      <c r="C903">
        <v>18367</v>
      </c>
      <c r="D903" s="581"/>
      <c r="E903" s="581"/>
      <c r="F903" s="2">
        <f>(1/S903)*cnst_fish!$C$6</f>
        <v>0.14481532779905856</v>
      </c>
      <c r="G903" s="2">
        <f t="shared" si="128"/>
        <v>1</v>
      </c>
      <c r="H903" s="2">
        <f t="shared" si="128"/>
        <v>0.36449057933102513</v>
      </c>
      <c r="I903" s="2">
        <f t="shared" ref="I903:I966" si="129">IF($F903=0,0,D903/$F903*$H903*$G903)</f>
        <v>0</v>
      </c>
      <c r="J903" s="389">
        <f t="shared" ref="J903:J966" si="130">IF($F903=0,0,E903/$F903*$H903*$G903)</f>
        <v>0</v>
      </c>
      <c r="L903" s="721">
        <v>5</v>
      </c>
      <c r="M903" s="581"/>
      <c r="N903" s="585" t="s">
        <v>1738</v>
      </c>
      <c r="O903" s="586"/>
      <c r="P903" s="233">
        <f t="shared" ref="P903:P966" si="131">D903+E903</f>
        <v>0</v>
      </c>
      <c r="Q903" s="233">
        <f t="shared" ref="Q903:Q966" si="132">L903+M903</f>
        <v>5</v>
      </c>
      <c r="R903" s="2">
        <f t="shared" ref="R903:R966" si="133">VLOOKUP(B903,constant_fish_trophic,3,FALSE)</f>
        <v>3.3182763159269002</v>
      </c>
      <c r="S903" s="2">
        <f>(1/9)*cnst_fish!$C$7*(1/cnst_fish!$C$8)^(R903-1)</f>
        <v>29.347722127157517</v>
      </c>
      <c r="T903" s="682">
        <f t="shared" ref="T903:T966" si="134">IF(F903=0,0,Q903/F903*H903*G903)</f>
        <v>12.584668517851282</v>
      </c>
      <c r="W903" s="822"/>
      <c r="X903" s="822"/>
      <c r="Y903" s="819"/>
      <c r="Z903" s="820"/>
      <c r="AA903" s="820"/>
      <c r="AB903" s="821"/>
      <c r="AC903" s="821"/>
      <c r="AD903" s="253"/>
      <c r="AE903" s="253"/>
    </row>
    <row r="904" spans="1:31" ht="14.5">
      <c r="A904" t="s">
        <v>8634</v>
      </c>
      <c r="B904" t="s">
        <v>3870</v>
      </c>
      <c r="C904">
        <v>18366</v>
      </c>
      <c r="D904" s="581"/>
      <c r="E904" s="581"/>
      <c r="F904" s="2">
        <f>(1/S904)*cnst_fish!$C$6</f>
        <v>0.14481532779905856</v>
      </c>
      <c r="G904" s="2">
        <f t="shared" si="128"/>
        <v>1</v>
      </c>
      <c r="H904" s="2">
        <f t="shared" si="128"/>
        <v>0.36449057933102513</v>
      </c>
      <c r="I904" s="2">
        <f t="shared" si="129"/>
        <v>0</v>
      </c>
      <c r="J904" s="389">
        <f t="shared" si="130"/>
        <v>0</v>
      </c>
      <c r="L904" s="721">
        <v>0</v>
      </c>
      <c r="M904" s="581"/>
      <c r="N904" s="585" t="s">
        <v>1738</v>
      </c>
      <c r="O904" s="586"/>
      <c r="P904" s="233">
        <f t="shared" si="131"/>
        <v>0</v>
      </c>
      <c r="Q904" s="233">
        <f t="shared" si="132"/>
        <v>0</v>
      </c>
      <c r="R904" s="2">
        <f t="shared" si="133"/>
        <v>3.3182763159269002</v>
      </c>
      <c r="S904" s="2">
        <f>(1/9)*cnst_fish!$C$7*(1/cnst_fish!$C$8)^(R904-1)</f>
        <v>29.347722127157517</v>
      </c>
      <c r="T904" s="682">
        <f t="shared" si="134"/>
        <v>0</v>
      </c>
      <c r="W904" s="818"/>
      <c r="X904" s="818"/>
      <c r="Y904" s="819"/>
      <c r="Z904" s="820"/>
      <c r="AA904" s="820"/>
      <c r="AB904" s="821"/>
      <c r="AC904" s="821"/>
      <c r="AD904" s="253"/>
      <c r="AE904" s="253"/>
    </row>
    <row r="905" spans="1:31" ht="14.5">
      <c r="A905" t="s">
        <v>713</v>
      </c>
      <c r="B905" t="s">
        <v>6420</v>
      </c>
      <c r="C905">
        <v>2770</v>
      </c>
      <c r="D905" s="581">
        <v>11628</v>
      </c>
      <c r="E905" s="581"/>
      <c r="F905" s="2">
        <f>(1/S905)*cnst_fish!$C$6</f>
        <v>1.5103960722494616</v>
      </c>
      <c r="G905" s="2">
        <f t="shared" si="128"/>
        <v>1</v>
      </c>
      <c r="H905" s="2">
        <f t="shared" si="128"/>
        <v>0.36449057933102513</v>
      </c>
      <c r="I905" s="2">
        <f t="shared" si="129"/>
        <v>2806.0828112118861</v>
      </c>
      <c r="J905" s="389">
        <f t="shared" si="130"/>
        <v>0</v>
      </c>
      <c r="L905" s="721">
        <v>48349.5</v>
      </c>
      <c r="M905" s="581"/>
      <c r="N905" s="585" t="s">
        <v>1738</v>
      </c>
      <c r="O905" s="586"/>
      <c r="P905" s="233">
        <f t="shared" si="131"/>
        <v>11628</v>
      </c>
      <c r="Q905" s="233">
        <f t="shared" si="132"/>
        <v>48349.5</v>
      </c>
      <c r="R905" s="2">
        <f t="shared" si="133"/>
        <v>2.2999999999999998</v>
      </c>
      <c r="S905" s="2">
        <f>(1/9)*cnst_fish!$C$7*(1/cnst_fish!$C$8)^(R905-1)</f>
        <v>2.8138314698279068</v>
      </c>
      <c r="T905" s="682">
        <f t="shared" si="134"/>
        <v>11667.758933667792</v>
      </c>
      <c r="W905" s="818"/>
      <c r="X905" s="818"/>
      <c r="Y905" s="819"/>
      <c r="Z905" s="820"/>
      <c r="AA905" s="820"/>
      <c r="AB905" s="821"/>
      <c r="AC905" s="821"/>
      <c r="AD905" s="253"/>
      <c r="AE905" s="253"/>
    </row>
    <row r="906" spans="1:31" ht="14.5">
      <c r="A906" t="s">
        <v>214</v>
      </c>
      <c r="B906" t="s">
        <v>215</v>
      </c>
      <c r="C906">
        <v>19141</v>
      </c>
      <c r="D906" s="581"/>
      <c r="E906" s="581"/>
      <c r="F906" s="2">
        <f>(1/S906)*cnst_fish!$C$6</f>
        <v>0.14481532779905856</v>
      </c>
      <c r="G906" s="2">
        <f t="shared" si="128"/>
        <v>1</v>
      </c>
      <c r="H906" s="2">
        <f t="shared" si="128"/>
        <v>0.36449057933102513</v>
      </c>
      <c r="I906" s="2">
        <f t="shared" si="129"/>
        <v>0</v>
      </c>
      <c r="J906" s="389">
        <f t="shared" si="130"/>
        <v>0</v>
      </c>
      <c r="L906" s="721">
        <v>146</v>
      </c>
      <c r="M906" s="581"/>
      <c r="N906" s="585" t="s">
        <v>2311</v>
      </c>
      <c r="O906" s="586" t="s">
        <v>4680</v>
      </c>
      <c r="P906" s="233">
        <f t="shared" si="131"/>
        <v>0</v>
      </c>
      <c r="Q906" s="233">
        <f t="shared" si="132"/>
        <v>146</v>
      </c>
      <c r="R906" s="2">
        <f t="shared" si="133"/>
        <v>3.3182763159269002</v>
      </c>
      <c r="S906" s="2">
        <f>(1/9)*cnst_fish!$C$7*(1/cnst_fish!$C$8)^(R906-1)</f>
        <v>29.347722127157517</v>
      </c>
      <c r="T906" s="682">
        <f t="shared" si="134"/>
        <v>367.4723207212574</v>
      </c>
      <c r="W906" s="818"/>
      <c r="X906" s="818"/>
      <c r="Y906" s="819"/>
      <c r="Z906" s="820"/>
      <c r="AA906" s="820"/>
      <c r="AB906" s="821"/>
      <c r="AC906" s="821"/>
      <c r="AD906" s="253"/>
      <c r="AE906" s="253"/>
    </row>
    <row r="907" spans="1:31" ht="14.5">
      <c r="A907" t="s">
        <v>4488</v>
      </c>
      <c r="B907" t="s">
        <v>178</v>
      </c>
      <c r="C907">
        <v>3482</v>
      </c>
      <c r="D907" s="581">
        <v>97381</v>
      </c>
      <c r="E907" s="581"/>
      <c r="F907" s="2">
        <f>(1/S907)*cnst_fish!$C$6</f>
        <v>0.11997502458044032</v>
      </c>
      <c r="G907" s="2">
        <f t="shared" si="128"/>
        <v>1</v>
      </c>
      <c r="H907" s="2">
        <f t="shared" si="128"/>
        <v>0.36449057933102513</v>
      </c>
      <c r="I907" s="2">
        <f t="shared" si="129"/>
        <v>295848.71709725214</v>
      </c>
      <c r="J907" s="389">
        <f t="shared" si="130"/>
        <v>0</v>
      </c>
      <c r="L907" s="721">
        <v>163705</v>
      </c>
      <c r="M907" s="581"/>
      <c r="N907" s="585" t="s">
        <v>3790</v>
      </c>
      <c r="O907" s="586" t="s">
        <v>4680</v>
      </c>
      <c r="P907" s="233">
        <f t="shared" si="131"/>
        <v>97381</v>
      </c>
      <c r="Q907" s="233">
        <f t="shared" si="132"/>
        <v>163705</v>
      </c>
      <c r="R907" s="2">
        <f t="shared" si="133"/>
        <v>3.4</v>
      </c>
      <c r="S907" s="2">
        <f>(1/9)*cnst_fish!$C$7*(1/cnst_fish!$C$8)^(R907-1)</f>
        <v>35.424039418724846</v>
      </c>
      <c r="T907" s="682">
        <f t="shared" si="134"/>
        <v>497344.59732807893</v>
      </c>
      <c r="W907" s="818"/>
      <c r="X907" s="818"/>
      <c r="Y907" s="819"/>
      <c r="Z907" s="820"/>
      <c r="AA907" s="820"/>
      <c r="AB907" s="821"/>
      <c r="AC907" s="821"/>
      <c r="AD907" s="253"/>
      <c r="AE907" s="253"/>
    </row>
    <row r="908" spans="1:31" ht="14.5">
      <c r="A908" t="s">
        <v>3959</v>
      </c>
      <c r="B908" t="s">
        <v>1270</v>
      </c>
      <c r="C908">
        <v>2648</v>
      </c>
      <c r="D908" s="581"/>
      <c r="E908" s="581"/>
      <c r="F908" s="2">
        <f>(1/S908)*cnst_fish!$C$6</f>
        <v>0.75699122913220485</v>
      </c>
      <c r="G908" s="2">
        <f t="shared" ref="G908:H927" si="135">G$7</f>
        <v>1</v>
      </c>
      <c r="H908" s="2">
        <f t="shared" si="135"/>
        <v>0.36449057933102513</v>
      </c>
      <c r="I908" s="2">
        <f t="shared" si="129"/>
        <v>0</v>
      </c>
      <c r="J908" s="389">
        <f t="shared" si="130"/>
        <v>0</v>
      </c>
      <c r="L908" s="721">
        <v>4689</v>
      </c>
      <c r="M908" s="581"/>
      <c r="N908" s="585" t="s">
        <v>3790</v>
      </c>
      <c r="O908" s="586" t="s">
        <v>4680</v>
      </c>
      <c r="P908" s="233">
        <f t="shared" si="131"/>
        <v>0</v>
      </c>
      <c r="Q908" s="233">
        <f t="shared" si="132"/>
        <v>4689</v>
      </c>
      <c r="R908" s="2">
        <f t="shared" si="133"/>
        <v>2.6</v>
      </c>
      <c r="S908" s="2">
        <f>(1/9)*cnst_fish!$C$7*(1/cnst_fish!$C$8)^(R908-1)</f>
        <v>5.6143318924211183</v>
      </c>
      <c r="T908" s="682">
        <f t="shared" si="134"/>
        <v>2257.7491795280648</v>
      </c>
      <c r="W908" s="818"/>
      <c r="X908" s="818"/>
      <c r="Y908" s="819"/>
      <c r="Z908" s="820"/>
      <c r="AA908" s="820"/>
      <c r="AB908" s="821"/>
      <c r="AC908" s="821"/>
      <c r="AD908" s="253"/>
      <c r="AE908" s="253"/>
    </row>
    <row r="909" spans="1:31" ht="14.5">
      <c r="A909" t="s">
        <v>6205</v>
      </c>
      <c r="B909" t="s">
        <v>6204</v>
      </c>
      <c r="C909">
        <v>12737</v>
      </c>
      <c r="D909" s="581"/>
      <c r="E909" s="581"/>
      <c r="F909" s="2">
        <f>(1/S909)*cnst_fish!$C$6</f>
        <v>0.11997502458044032</v>
      </c>
      <c r="G909" s="2">
        <f t="shared" si="135"/>
        <v>1</v>
      </c>
      <c r="H909" s="2">
        <f t="shared" si="135"/>
        <v>0.36449057933102513</v>
      </c>
      <c r="I909" s="2">
        <f t="shared" si="129"/>
        <v>0</v>
      </c>
      <c r="J909" s="389">
        <f t="shared" si="130"/>
        <v>0</v>
      </c>
      <c r="L909" s="721"/>
      <c r="M909" s="581">
        <v>280</v>
      </c>
      <c r="N909" s="585" t="s">
        <v>1738</v>
      </c>
      <c r="O909" s="586" t="s">
        <v>4685</v>
      </c>
      <c r="P909" s="233">
        <f t="shared" si="131"/>
        <v>0</v>
      </c>
      <c r="Q909" s="233">
        <f t="shared" si="132"/>
        <v>280</v>
      </c>
      <c r="R909" s="2">
        <f t="shared" si="133"/>
        <v>3.4</v>
      </c>
      <c r="S909" s="2">
        <f>(1/9)*cnst_fish!$C$7*(1/cnst_fish!$C$8)^(R909-1)</f>
        <v>35.424039418724846</v>
      </c>
      <c r="T909" s="682">
        <f t="shared" si="134"/>
        <v>850.65506399842468</v>
      </c>
      <c r="W909" s="818"/>
      <c r="X909" s="818"/>
      <c r="Y909" s="819"/>
      <c r="Z909" s="820"/>
      <c r="AA909" s="820"/>
      <c r="AB909" s="821"/>
      <c r="AC909" s="821"/>
      <c r="AD909" s="253"/>
      <c r="AE909" s="253"/>
    </row>
    <row r="910" spans="1:31" ht="14.5">
      <c r="A910" t="s">
        <v>6764</v>
      </c>
      <c r="B910" t="s">
        <v>8635</v>
      </c>
      <c r="C910">
        <v>6803</v>
      </c>
      <c r="D910" s="581"/>
      <c r="E910" s="581"/>
      <c r="F910" s="2">
        <f>(1/S910)*cnst_fish!$C$6</f>
        <v>7.5699122913220479E-2</v>
      </c>
      <c r="G910" s="2">
        <f t="shared" si="135"/>
        <v>1</v>
      </c>
      <c r="H910" s="2">
        <f t="shared" si="135"/>
        <v>0.36449057933102513</v>
      </c>
      <c r="I910" s="2">
        <f t="shared" si="129"/>
        <v>0</v>
      </c>
      <c r="J910" s="389">
        <f t="shared" si="130"/>
        <v>0</v>
      </c>
      <c r="L910" s="721"/>
      <c r="M910" s="581"/>
      <c r="N910" s="585" t="s">
        <v>1738</v>
      </c>
      <c r="O910" s="586" t="s">
        <v>4685</v>
      </c>
      <c r="P910" s="233">
        <f t="shared" si="131"/>
        <v>0</v>
      </c>
      <c r="Q910" s="233">
        <f t="shared" si="132"/>
        <v>0</v>
      </c>
      <c r="R910" s="2">
        <f t="shared" si="133"/>
        <v>3.6</v>
      </c>
      <c r="S910" s="2">
        <f>(1/9)*cnst_fish!$C$7*(1/cnst_fish!$C$8)^(R910-1)</f>
        <v>56.143318924211187</v>
      </c>
      <c r="T910" s="682">
        <f t="shared" si="134"/>
        <v>0</v>
      </c>
      <c r="W910" s="818"/>
      <c r="X910" s="818"/>
      <c r="Y910" s="819"/>
      <c r="Z910" s="820"/>
      <c r="AA910" s="820"/>
      <c r="AB910" s="821"/>
      <c r="AC910" s="821"/>
      <c r="AD910" s="253"/>
      <c r="AE910" s="253"/>
    </row>
    <row r="911" spans="1:31" ht="14.5">
      <c r="A911" t="s">
        <v>6422</v>
      </c>
      <c r="B911" t="s">
        <v>6421</v>
      </c>
      <c r="C911">
        <v>12738</v>
      </c>
      <c r="D911" s="581"/>
      <c r="E911" s="581"/>
      <c r="F911" s="2">
        <f>(1/S911)*cnst_fish!$C$6</f>
        <v>6.0129950673834844E-2</v>
      </c>
      <c r="G911" s="2">
        <f t="shared" si="135"/>
        <v>1</v>
      </c>
      <c r="H911" s="2">
        <f t="shared" si="135"/>
        <v>0.36449057933102513</v>
      </c>
      <c r="I911" s="2">
        <f t="shared" si="129"/>
        <v>0</v>
      </c>
      <c r="J911" s="389">
        <f t="shared" si="130"/>
        <v>0</v>
      </c>
      <c r="L911" s="721"/>
      <c r="M911" s="581">
        <v>8880</v>
      </c>
      <c r="N911" s="585" t="s">
        <v>1738</v>
      </c>
      <c r="O911" s="586" t="s">
        <v>4685</v>
      </c>
      <c r="P911" s="233">
        <f t="shared" si="131"/>
        <v>0</v>
      </c>
      <c r="Q911" s="233">
        <f t="shared" si="132"/>
        <v>8880</v>
      </c>
      <c r="R911" s="2">
        <f t="shared" si="133"/>
        <v>3.7</v>
      </c>
      <c r="S911" s="2">
        <f>(1/9)*cnst_fish!$C$7*(1/cnst_fish!$C$8)^(R911-1)</f>
        <v>70.680250896153822</v>
      </c>
      <c r="T911" s="682">
        <f t="shared" si="134"/>
        <v>53828.022610833803</v>
      </c>
      <c r="W911" s="818"/>
      <c r="X911" s="818"/>
      <c r="Y911" s="819"/>
      <c r="Z911" s="820"/>
      <c r="AA911" s="820"/>
      <c r="AB911" s="821"/>
      <c r="AC911" s="821"/>
      <c r="AD911" s="253"/>
      <c r="AE911" s="253"/>
    </row>
    <row r="912" spans="1:31" ht="14.5">
      <c r="A912" t="s">
        <v>6704</v>
      </c>
      <c r="B912" t="s">
        <v>6703</v>
      </c>
      <c r="C912">
        <v>6820</v>
      </c>
      <c r="D912" s="581"/>
      <c r="E912" s="581"/>
      <c r="F912" s="2">
        <f>(1/S912)*cnst_fish!$C$6</f>
        <v>3.0136363636363641</v>
      </c>
      <c r="G912" s="2">
        <f t="shared" si="135"/>
        <v>1</v>
      </c>
      <c r="H912" s="2">
        <f t="shared" si="135"/>
        <v>0.36449057933102513</v>
      </c>
      <c r="I912" s="2">
        <f t="shared" si="129"/>
        <v>0</v>
      </c>
      <c r="J912" s="389">
        <f t="shared" si="130"/>
        <v>0</v>
      </c>
      <c r="L912" s="721"/>
      <c r="M912" s="581">
        <v>1998</v>
      </c>
      <c r="N912" s="585" t="s">
        <v>1738</v>
      </c>
      <c r="O912" s="586" t="s">
        <v>4685</v>
      </c>
      <c r="P912" s="233">
        <f t="shared" si="131"/>
        <v>0</v>
      </c>
      <c r="Q912" s="233">
        <f t="shared" si="132"/>
        <v>1998</v>
      </c>
      <c r="R912" s="2">
        <f t="shared" si="133"/>
        <v>2</v>
      </c>
      <c r="S912" s="2">
        <f>(1/9)*cnst_fish!$C$7*(1/cnst_fish!$C$8)^(R912-1)</f>
        <v>1.4102564102564099</v>
      </c>
      <c r="T912" s="682">
        <f t="shared" si="134"/>
        <v>241.65230626055111</v>
      </c>
      <c r="W912" s="818"/>
      <c r="X912" s="818"/>
      <c r="Y912" s="819"/>
      <c r="Z912" s="820"/>
      <c r="AA912" s="820"/>
      <c r="AB912" s="821"/>
      <c r="AC912" s="821"/>
      <c r="AD912" s="253"/>
      <c r="AE912" s="253"/>
    </row>
    <row r="913" spans="1:31" ht="14.5">
      <c r="A913" t="s">
        <v>6424</v>
      </c>
      <c r="B913" t="s">
        <v>6423</v>
      </c>
      <c r="C913">
        <v>19224</v>
      </c>
      <c r="D913" s="581"/>
      <c r="E913" s="581"/>
      <c r="F913" s="2">
        <f>(1/S913)*cnst_fish!$C$6</f>
        <v>3.0136363636363641</v>
      </c>
      <c r="G913" s="2">
        <f t="shared" si="135"/>
        <v>1</v>
      </c>
      <c r="H913" s="2">
        <f t="shared" si="135"/>
        <v>0.36449057933102513</v>
      </c>
      <c r="I913" s="2">
        <f t="shared" si="129"/>
        <v>0</v>
      </c>
      <c r="J913" s="389">
        <f t="shared" si="130"/>
        <v>0</v>
      </c>
      <c r="L913" s="721"/>
      <c r="M913" s="581">
        <v>13</v>
      </c>
      <c r="N913" s="585" t="s">
        <v>1738</v>
      </c>
      <c r="O913" s="586" t="s">
        <v>4685</v>
      </c>
      <c r="P913" s="233">
        <f t="shared" si="131"/>
        <v>0</v>
      </c>
      <c r="Q913" s="233">
        <f t="shared" si="132"/>
        <v>13</v>
      </c>
      <c r="R913" s="2">
        <f t="shared" si="133"/>
        <v>2</v>
      </c>
      <c r="S913" s="2">
        <f>(1/9)*cnst_fish!$C$7*(1/cnst_fish!$C$8)^(R913-1)</f>
        <v>1.4102564102564099</v>
      </c>
      <c r="T913" s="682">
        <f t="shared" si="134"/>
        <v>1.5723123029965786</v>
      </c>
      <c r="W913" s="818"/>
      <c r="X913" s="818"/>
      <c r="Y913" s="819"/>
      <c r="Z913" s="820"/>
      <c r="AA913" s="820"/>
      <c r="AB913" s="821"/>
      <c r="AC913" s="821"/>
      <c r="AD913" s="253"/>
      <c r="AE913" s="253"/>
    </row>
    <row r="914" spans="1:31" ht="14.5">
      <c r="A914" t="s">
        <v>8636</v>
      </c>
      <c r="B914" t="s">
        <v>8637</v>
      </c>
      <c r="C914">
        <v>20443</v>
      </c>
      <c r="D914" s="581"/>
      <c r="E914" s="581"/>
      <c r="F914" s="2">
        <f>(1/S914)*cnst_fish!$C$6</f>
        <v>0.75699122913220485</v>
      </c>
      <c r="G914" s="2">
        <f t="shared" si="135"/>
        <v>1</v>
      </c>
      <c r="H914" s="2">
        <f t="shared" si="135"/>
        <v>0.36449057933102513</v>
      </c>
      <c r="I914" s="2">
        <f t="shared" si="129"/>
        <v>0</v>
      </c>
      <c r="J914" s="389">
        <f t="shared" si="130"/>
        <v>0</v>
      </c>
      <c r="L914" s="721"/>
      <c r="M914" s="581"/>
      <c r="N914" s="585" t="s">
        <v>2310</v>
      </c>
      <c r="O914" s="586"/>
      <c r="P914" s="233">
        <f t="shared" si="131"/>
        <v>0</v>
      </c>
      <c r="Q914" s="233">
        <f t="shared" si="132"/>
        <v>0</v>
      </c>
      <c r="R914" s="2">
        <f t="shared" si="133"/>
        <v>2.6</v>
      </c>
      <c r="S914" s="2">
        <f>(1/9)*cnst_fish!$C$7*(1/cnst_fish!$C$8)^(R914-1)</f>
        <v>5.6143318924211183</v>
      </c>
      <c r="T914" s="682">
        <f t="shared" si="134"/>
        <v>0</v>
      </c>
      <c r="W914" s="818"/>
      <c r="X914" s="818"/>
      <c r="Y914" s="819"/>
      <c r="Z914" s="820"/>
      <c r="AA914" s="820"/>
      <c r="AB914" s="821"/>
      <c r="AC914" s="821"/>
      <c r="AD914" s="253"/>
      <c r="AE914" s="253"/>
    </row>
    <row r="915" spans="1:31" ht="14.5">
      <c r="A915" t="s">
        <v>1938</v>
      </c>
      <c r="B915" t="s">
        <v>6425</v>
      </c>
      <c r="C915">
        <v>12745</v>
      </c>
      <c r="D915" s="581"/>
      <c r="E915" s="581"/>
      <c r="F915" s="2">
        <f>(1/S915)*cnst_fish!$C$6</f>
        <v>6.2963787943464855E-2</v>
      </c>
      <c r="G915" s="2">
        <f t="shared" si="135"/>
        <v>1</v>
      </c>
      <c r="H915" s="2">
        <f t="shared" si="135"/>
        <v>0.36449057933102513</v>
      </c>
      <c r="I915" s="2">
        <f t="shared" si="129"/>
        <v>0</v>
      </c>
      <c r="J915" s="389">
        <f t="shared" si="130"/>
        <v>0</v>
      </c>
      <c r="L915" s="721">
        <v>644</v>
      </c>
      <c r="M915" s="581"/>
      <c r="N915" s="585" t="s">
        <v>1738</v>
      </c>
      <c r="O915" s="586" t="s">
        <v>4681</v>
      </c>
      <c r="P915" s="233">
        <f t="shared" si="131"/>
        <v>0</v>
      </c>
      <c r="Q915" s="233">
        <f t="shared" si="132"/>
        <v>644</v>
      </c>
      <c r="R915" s="2">
        <f t="shared" si="133"/>
        <v>3.68</v>
      </c>
      <c r="S915" s="2">
        <f>(1/9)*cnst_fish!$C$7*(1/cnst_fish!$C$8)^(R915-1)</f>
        <v>67.499115583961881</v>
      </c>
      <c r="T915" s="682">
        <f t="shared" si="134"/>
        <v>3728.0465606666776</v>
      </c>
      <c r="W915" s="818"/>
      <c r="X915" s="818"/>
      <c r="Y915" s="819"/>
      <c r="Z915" s="820"/>
      <c r="AA915" s="820"/>
      <c r="AB915" s="821"/>
      <c r="AC915" s="821"/>
      <c r="AD915" s="253"/>
      <c r="AE915" s="253"/>
    </row>
    <row r="916" spans="1:31" ht="14.5">
      <c r="A916" t="s">
        <v>4963</v>
      </c>
      <c r="B916" t="s">
        <v>8638</v>
      </c>
      <c r="C916">
        <v>2986</v>
      </c>
      <c r="D916" s="581"/>
      <c r="E916" s="581"/>
      <c r="F916" s="2">
        <f>(1/S916)*cnst_fish!$C$6</f>
        <v>0.60129950673834842</v>
      </c>
      <c r="G916" s="2">
        <f t="shared" si="135"/>
        <v>1</v>
      </c>
      <c r="H916" s="2">
        <f t="shared" si="135"/>
        <v>0.36449057933102513</v>
      </c>
      <c r="I916" s="2">
        <f t="shared" si="129"/>
        <v>0</v>
      </c>
      <c r="J916" s="389">
        <f t="shared" si="130"/>
        <v>0</v>
      </c>
      <c r="L916" s="721"/>
      <c r="M916" s="581"/>
      <c r="N916" s="585" t="s">
        <v>1738</v>
      </c>
      <c r="O916" s="586" t="s">
        <v>4685</v>
      </c>
      <c r="P916" s="233">
        <f t="shared" si="131"/>
        <v>0</v>
      </c>
      <c r="Q916" s="233">
        <f t="shared" si="132"/>
        <v>0</v>
      </c>
      <c r="R916" s="2">
        <f t="shared" si="133"/>
        <v>2.7</v>
      </c>
      <c r="S916" s="2">
        <f>(1/9)*cnst_fish!$C$7*(1/cnst_fish!$C$8)^(R916-1)</f>
        <v>7.0680250896153813</v>
      </c>
      <c r="T916" s="682">
        <f t="shared" si="134"/>
        <v>0</v>
      </c>
      <c r="W916" s="818"/>
      <c r="X916" s="818"/>
      <c r="Y916" s="819"/>
      <c r="Z916" s="820"/>
      <c r="AA916" s="820"/>
      <c r="AB916" s="821"/>
      <c r="AC916" s="821"/>
      <c r="AD916" s="253"/>
      <c r="AE916" s="253"/>
    </row>
    <row r="917" spans="1:31" ht="14.5">
      <c r="A917" t="s">
        <v>3778</v>
      </c>
      <c r="B917" t="s">
        <v>631</v>
      </c>
      <c r="C917">
        <v>2249</v>
      </c>
      <c r="D917" s="581"/>
      <c r="E917" s="581"/>
      <c r="F917" s="2">
        <f>(1/S917)*cnst_fish!$C$6</f>
        <v>1.5103960722494611E-2</v>
      </c>
      <c r="G917" s="2">
        <f t="shared" si="135"/>
        <v>1</v>
      </c>
      <c r="H917" s="2">
        <f t="shared" si="135"/>
        <v>0.36449057933102513</v>
      </c>
      <c r="I917" s="2">
        <f t="shared" si="129"/>
        <v>0</v>
      </c>
      <c r="J917" s="389">
        <f t="shared" si="130"/>
        <v>0</v>
      </c>
      <c r="L917" s="721">
        <v>9688</v>
      </c>
      <c r="M917" s="581"/>
      <c r="N917" s="585" t="s">
        <v>1738</v>
      </c>
      <c r="O917" s="586" t="s">
        <v>4681</v>
      </c>
      <c r="P917" s="233">
        <f t="shared" si="131"/>
        <v>0</v>
      </c>
      <c r="Q917" s="233">
        <f t="shared" si="132"/>
        <v>9688</v>
      </c>
      <c r="R917" s="2">
        <f t="shared" si="133"/>
        <v>4.3</v>
      </c>
      <c r="S917" s="2">
        <f>(1/9)*cnst_fish!$C$7*(1/cnst_fish!$C$8)^(R917-1)</f>
        <v>281.38314698279078</v>
      </c>
      <c r="T917" s="682">
        <f t="shared" si="134"/>
        <v>233791.97002941833</v>
      </c>
      <c r="W917" s="818"/>
      <c r="X917" s="818"/>
      <c r="Y917" s="819"/>
      <c r="Z917" s="820"/>
      <c r="AA917" s="820"/>
      <c r="AB917" s="821"/>
      <c r="AC917" s="821"/>
      <c r="AD917" s="253"/>
      <c r="AE917" s="253"/>
    </row>
    <row r="918" spans="1:31" ht="14.5">
      <c r="A918" t="s">
        <v>4362</v>
      </c>
      <c r="B918" t="s">
        <v>4363</v>
      </c>
      <c r="C918">
        <v>12747</v>
      </c>
      <c r="D918" s="581"/>
      <c r="E918" s="581"/>
      <c r="F918" s="2">
        <f>(1/S918)*cnst_fish!$C$6</f>
        <v>9.7519361156519699E-2</v>
      </c>
      <c r="G918" s="2">
        <f t="shared" si="135"/>
        <v>1</v>
      </c>
      <c r="H918" s="2">
        <f t="shared" si="135"/>
        <v>0.36449057933102513</v>
      </c>
      <c r="I918" s="2">
        <f t="shared" si="129"/>
        <v>0</v>
      </c>
      <c r="J918" s="389">
        <f t="shared" si="130"/>
        <v>0</v>
      </c>
      <c r="L918" s="721">
        <v>0</v>
      </c>
      <c r="M918" s="581"/>
      <c r="N918" s="585" t="s">
        <v>1738</v>
      </c>
      <c r="O918" s="586" t="s">
        <v>4681</v>
      </c>
      <c r="P918" s="233">
        <f t="shared" si="131"/>
        <v>0</v>
      </c>
      <c r="Q918" s="233">
        <f t="shared" si="132"/>
        <v>0</v>
      </c>
      <c r="R918" s="2">
        <f t="shared" si="133"/>
        <v>3.49</v>
      </c>
      <c r="S918" s="2">
        <f>(1/9)*cnst_fish!$C$7*(1/cnst_fish!$C$8)^(R918-1)</f>
        <v>43.581089432884006</v>
      </c>
      <c r="T918" s="682">
        <f t="shared" si="134"/>
        <v>0</v>
      </c>
      <c r="W918" s="818"/>
      <c r="X918" s="818"/>
      <c r="Y918" s="819"/>
      <c r="Z918" s="820"/>
      <c r="AA918" s="820"/>
      <c r="AB918" s="821"/>
      <c r="AC918" s="821"/>
      <c r="AD918" s="253"/>
      <c r="AE918" s="253"/>
    </row>
    <row r="919" spans="1:31" ht="14.5">
      <c r="A919" t="s">
        <v>5236</v>
      </c>
      <c r="B919" t="s">
        <v>3831</v>
      </c>
      <c r="C919">
        <v>12757</v>
      </c>
      <c r="D919" s="581"/>
      <c r="E919" s="581"/>
      <c r="F919" s="2">
        <f>(1/S919)*cnst_fish!$C$6</f>
        <v>2.0374682394767439E-2</v>
      </c>
      <c r="G919" s="2">
        <f t="shared" si="135"/>
        <v>1</v>
      </c>
      <c r="H919" s="2">
        <f t="shared" si="135"/>
        <v>0.36449057933102513</v>
      </c>
      <c r="I919" s="2">
        <f t="shared" si="129"/>
        <v>0</v>
      </c>
      <c r="J919" s="389">
        <f t="shared" si="130"/>
        <v>0</v>
      </c>
      <c r="L919" s="721"/>
      <c r="M919" s="581">
        <v>1</v>
      </c>
      <c r="N919" s="585" t="s">
        <v>3791</v>
      </c>
      <c r="O919" s="586" t="s">
        <v>4685</v>
      </c>
      <c r="P919" s="233">
        <f t="shared" si="131"/>
        <v>0</v>
      </c>
      <c r="Q919" s="233">
        <f t="shared" si="132"/>
        <v>1</v>
      </c>
      <c r="R919" s="2">
        <f t="shared" si="133"/>
        <v>4.17</v>
      </c>
      <c r="S919" s="2">
        <f>(1/9)*cnst_fish!$C$7*(1/cnst_fish!$C$8)^(R919-1)</f>
        <v>208.59220858782425</v>
      </c>
      <c r="T919" s="682">
        <f t="shared" si="134"/>
        <v>17.889387047556259</v>
      </c>
      <c r="W919" s="818"/>
      <c r="X919" s="818"/>
      <c r="Y919" s="819"/>
      <c r="Z919" s="820"/>
      <c r="AA919" s="820"/>
      <c r="AB919" s="821"/>
      <c r="AC919" s="821"/>
      <c r="AD919" s="253"/>
      <c r="AE919" s="253"/>
    </row>
    <row r="920" spans="1:31" ht="14.5">
      <c r="A920" t="s">
        <v>4428</v>
      </c>
      <c r="B920" t="s">
        <v>1107</v>
      </c>
      <c r="C920">
        <v>2072</v>
      </c>
      <c r="D920" s="581"/>
      <c r="E920" s="581"/>
      <c r="F920" s="2">
        <f>(1/S920)*cnst_fish!$C$6</f>
        <v>2.6247675460949162E-2</v>
      </c>
      <c r="G920" s="2">
        <f t="shared" si="135"/>
        <v>1</v>
      </c>
      <c r="H920" s="2">
        <f t="shared" si="135"/>
        <v>0.36449057933102513</v>
      </c>
      <c r="I920" s="2">
        <f t="shared" si="129"/>
        <v>0</v>
      </c>
      <c r="J920" s="389">
        <f t="shared" si="130"/>
        <v>0</v>
      </c>
      <c r="L920" s="721">
        <v>0</v>
      </c>
      <c r="M920" s="581">
        <v>0</v>
      </c>
      <c r="N920" s="585" t="s">
        <v>1738</v>
      </c>
      <c r="O920" s="586" t="s">
        <v>4685</v>
      </c>
      <c r="P920" s="233">
        <f t="shared" si="131"/>
        <v>0</v>
      </c>
      <c r="Q920" s="233">
        <f t="shared" si="132"/>
        <v>0</v>
      </c>
      <c r="R920" s="2">
        <f t="shared" si="133"/>
        <v>4.0599999999999996</v>
      </c>
      <c r="S920" s="2">
        <f>(1/9)*cnst_fish!$C$7*(1/cnst_fish!$C$8)^(R920-1)</f>
        <v>161.91910046750908</v>
      </c>
      <c r="T920" s="682">
        <f t="shared" si="134"/>
        <v>0</v>
      </c>
      <c r="W920" s="818"/>
      <c r="X920" s="818"/>
      <c r="Y920" s="819"/>
      <c r="Z920" s="820"/>
      <c r="AA920" s="820"/>
      <c r="AB920" s="821"/>
      <c r="AC920" s="821"/>
      <c r="AD920" s="253"/>
      <c r="AE920" s="253"/>
    </row>
    <row r="921" spans="1:31" ht="14.5">
      <c r="A921" t="s">
        <v>6371</v>
      </c>
      <c r="B921" t="s">
        <v>6370</v>
      </c>
      <c r="C921">
        <v>12762</v>
      </c>
      <c r="D921" s="581"/>
      <c r="E921" s="581"/>
      <c r="F921" s="2">
        <f>(1/S921)*cnst_fish!$C$6</f>
        <v>3.0136363636363641</v>
      </c>
      <c r="G921" s="2">
        <f t="shared" si="135"/>
        <v>1</v>
      </c>
      <c r="H921" s="2">
        <f t="shared" si="135"/>
        <v>0.36449057933102513</v>
      </c>
      <c r="I921" s="2">
        <f t="shared" si="129"/>
        <v>0</v>
      </c>
      <c r="J921" s="389">
        <f t="shared" si="130"/>
        <v>0</v>
      </c>
      <c r="L921" s="721"/>
      <c r="M921" s="581">
        <v>128</v>
      </c>
      <c r="N921" s="585" t="s">
        <v>1738</v>
      </c>
      <c r="O921" s="586" t="s">
        <v>4685</v>
      </c>
      <c r="P921" s="233">
        <f t="shared" si="131"/>
        <v>0</v>
      </c>
      <c r="Q921" s="233">
        <f t="shared" si="132"/>
        <v>128</v>
      </c>
      <c r="R921" s="2">
        <f t="shared" si="133"/>
        <v>2</v>
      </c>
      <c r="S921" s="2">
        <f>(1/9)*cnst_fish!$C$7*(1/cnst_fish!$C$8)^(R921-1)</f>
        <v>1.4102564102564099</v>
      </c>
      <c r="T921" s="682">
        <f t="shared" si="134"/>
        <v>15.481228829504774</v>
      </c>
      <c r="W921" s="818"/>
      <c r="X921" s="818"/>
      <c r="Y921" s="819"/>
      <c r="Z921" s="820"/>
      <c r="AA921" s="820"/>
      <c r="AB921" s="821"/>
      <c r="AC921" s="821"/>
      <c r="AD921" s="253"/>
      <c r="AE921" s="253"/>
    </row>
    <row r="922" spans="1:31" ht="14.5">
      <c r="A922" t="s">
        <v>1980</v>
      </c>
      <c r="B922" t="s">
        <v>3720</v>
      </c>
      <c r="C922">
        <v>2066</v>
      </c>
      <c r="D922" s="581"/>
      <c r="E922" s="581"/>
      <c r="F922" s="2">
        <f>(1/S922)*cnst_fish!$C$6</f>
        <v>6.2963787943464855E-2</v>
      </c>
      <c r="G922" s="2">
        <f t="shared" si="135"/>
        <v>1</v>
      </c>
      <c r="H922" s="2">
        <f t="shared" si="135"/>
        <v>0.36449057933102513</v>
      </c>
      <c r="I922" s="2">
        <f t="shared" si="129"/>
        <v>0</v>
      </c>
      <c r="J922" s="389">
        <f t="shared" si="130"/>
        <v>0</v>
      </c>
      <c r="L922" s="721">
        <v>2</v>
      </c>
      <c r="M922" s="581"/>
      <c r="N922" s="585" t="s">
        <v>1738</v>
      </c>
      <c r="O922" s="586" t="s">
        <v>4681</v>
      </c>
      <c r="P922" s="233">
        <f t="shared" si="131"/>
        <v>0</v>
      </c>
      <c r="Q922" s="233">
        <f t="shared" si="132"/>
        <v>2</v>
      </c>
      <c r="R922" s="2">
        <f t="shared" si="133"/>
        <v>3.68</v>
      </c>
      <c r="S922" s="2">
        <f>(1/9)*cnst_fish!$C$7*(1/cnst_fish!$C$8)^(R922-1)</f>
        <v>67.499115583961881</v>
      </c>
      <c r="T922" s="682">
        <f t="shared" si="134"/>
        <v>11.577784349896515</v>
      </c>
      <c r="W922" s="818"/>
      <c r="X922" s="818"/>
      <c r="Y922" s="819"/>
      <c r="Z922" s="820"/>
      <c r="AA922" s="820"/>
      <c r="AB922" s="821"/>
      <c r="AC922" s="821"/>
      <c r="AD922" s="253"/>
      <c r="AE922" s="253"/>
    </row>
    <row r="923" spans="1:31" ht="14.5">
      <c r="A923" t="s">
        <v>3799</v>
      </c>
      <c r="B923" t="s">
        <v>4838</v>
      </c>
      <c r="C923">
        <v>2871</v>
      </c>
      <c r="D923" s="581"/>
      <c r="E923" s="581"/>
      <c r="F923" s="2">
        <f>(1/S923)*cnst_fish!$C$6</f>
        <v>9.1010363210297068E-2</v>
      </c>
      <c r="G923" s="2">
        <f t="shared" si="135"/>
        <v>1</v>
      </c>
      <c r="H923" s="2">
        <f t="shared" si="135"/>
        <v>0.36449057933102513</v>
      </c>
      <c r="I923" s="2">
        <f t="shared" si="129"/>
        <v>0</v>
      </c>
      <c r="J923" s="389">
        <f t="shared" si="130"/>
        <v>0</v>
      </c>
      <c r="L923" s="721">
        <v>1330</v>
      </c>
      <c r="M923" s="581"/>
      <c r="N923" s="585" t="s">
        <v>3785</v>
      </c>
      <c r="O923" s="586" t="s">
        <v>4681</v>
      </c>
      <c r="P923" s="233">
        <f t="shared" si="131"/>
        <v>0</v>
      </c>
      <c r="Q923" s="233">
        <f t="shared" si="132"/>
        <v>1330</v>
      </c>
      <c r="R923" s="2">
        <f t="shared" si="133"/>
        <v>3.52</v>
      </c>
      <c r="S923" s="2">
        <f>(1/9)*cnst_fish!$C$7*(1/cnst_fish!$C$8)^(R923-1)</f>
        <v>46.69797867062185</v>
      </c>
      <c r="T923" s="682">
        <f t="shared" si="134"/>
        <v>5326.5634089395153</v>
      </c>
      <c r="W923" s="818"/>
      <c r="X923" s="818"/>
      <c r="Y923" s="819"/>
      <c r="Z923" s="820"/>
      <c r="AA923" s="820"/>
      <c r="AB923" s="821"/>
      <c r="AC923" s="821"/>
      <c r="AD923" s="253"/>
      <c r="AE923" s="253"/>
    </row>
    <row r="924" spans="1:31" ht="14.5">
      <c r="A924" t="s">
        <v>1116</v>
      </c>
      <c r="B924" t="s">
        <v>4839</v>
      </c>
      <c r="C924">
        <v>2870</v>
      </c>
      <c r="D924" s="581"/>
      <c r="E924" s="581"/>
      <c r="F924" s="2">
        <f>(1/S924)*cnst_fish!$C$6</f>
        <v>5.1178888253733429E-2</v>
      </c>
      <c r="G924" s="2">
        <f t="shared" si="135"/>
        <v>1</v>
      </c>
      <c r="H924" s="2">
        <f t="shared" si="135"/>
        <v>0.36449057933102513</v>
      </c>
      <c r="I924" s="2">
        <f t="shared" si="129"/>
        <v>0</v>
      </c>
      <c r="J924" s="389">
        <f t="shared" si="130"/>
        <v>0</v>
      </c>
      <c r="L924" s="721">
        <v>1094</v>
      </c>
      <c r="M924" s="581"/>
      <c r="N924" s="585" t="s">
        <v>1738</v>
      </c>
      <c r="O924" s="586" t="s">
        <v>4681</v>
      </c>
      <c r="P924" s="233">
        <f t="shared" si="131"/>
        <v>0</v>
      </c>
      <c r="Q924" s="233">
        <f t="shared" si="132"/>
        <v>1094</v>
      </c>
      <c r="R924" s="2">
        <f t="shared" si="133"/>
        <v>3.77</v>
      </c>
      <c r="S924" s="2">
        <f>(1/9)*cnst_fish!$C$7*(1/cnst_fish!$C$8)^(R924-1)</f>
        <v>83.042053960403649</v>
      </c>
      <c r="T924" s="682">
        <f t="shared" si="134"/>
        <v>7791.3512269202738</v>
      </c>
      <c r="W924" s="818"/>
      <c r="X924" s="818"/>
      <c r="Y924" s="819"/>
      <c r="Z924" s="820"/>
      <c r="AA924" s="820"/>
      <c r="AB924" s="821"/>
      <c r="AC924" s="821"/>
      <c r="AD924" s="253"/>
      <c r="AE924" s="253"/>
    </row>
    <row r="925" spans="1:31" ht="14.5">
      <c r="A925" t="s">
        <v>8873</v>
      </c>
      <c r="B925" t="s">
        <v>8874</v>
      </c>
      <c r="C925">
        <v>6801</v>
      </c>
      <c r="D925" s="581"/>
      <c r="E925" s="581"/>
      <c r="F925" s="2">
        <f>(1/S925)*cnst_fish!$C$6</f>
        <v>9.5299549485983424E-3</v>
      </c>
      <c r="G925" s="2">
        <f t="shared" si="135"/>
        <v>1</v>
      </c>
      <c r="H925" s="2">
        <f t="shared" si="135"/>
        <v>0.36449057933102513</v>
      </c>
      <c r="I925" s="2">
        <f t="shared" si="129"/>
        <v>0</v>
      </c>
      <c r="J925" s="389">
        <f t="shared" si="130"/>
        <v>0</v>
      </c>
      <c r="L925" s="721"/>
      <c r="M925" s="581">
        <v>235</v>
      </c>
      <c r="N925" s="585" t="s">
        <v>4282</v>
      </c>
      <c r="O925" s="586" t="s">
        <v>4685</v>
      </c>
      <c r="P925" s="233">
        <f t="shared" si="131"/>
        <v>0</v>
      </c>
      <c r="Q925" s="233">
        <f t="shared" si="132"/>
        <v>235</v>
      </c>
      <c r="R925" s="2">
        <f t="shared" si="133"/>
        <v>4.5</v>
      </c>
      <c r="S925" s="2">
        <f>(1/9)*cnst_fish!$C$7*(1/cnst_fish!$C$8)^(R925-1)</f>
        <v>445.96223412630997</v>
      </c>
      <c r="T925" s="682">
        <f t="shared" si="134"/>
        <v>8988.0053583452682</v>
      </c>
      <c r="W925" s="818"/>
      <c r="X925" s="818"/>
      <c r="Y925" s="819"/>
      <c r="Z925" s="820"/>
      <c r="AA925" s="820"/>
      <c r="AB925" s="821"/>
      <c r="AC925" s="821"/>
      <c r="AD925" s="253"/>
      <c r="AE925" s="253"/>
    </row>
    <row r="926" spans="1:31" ht="14.5">
      <c r="A926" t="s">
        <v>4662</v>
      </c>
      <c r="B926" t="s">
        <v>632</v>
      </c>
      <c r="C926">
        <v>3319</v>
      </c>
      <c r="D926" s="581"/>
      <c r="E926" s="581"/>
      <c r="F926" s="2">
        <f>(1/S926)*cnst_fish!$C$6</f>
        <v>3.3813556145554591E-2</v>
      </c>
      <c r="G926" s="2">
        <f t="shared" si="135"/>
        <v>1</v>
      </c>
      <c r="H926" s="2">
        <f t="shared" si="135"/>
        <v>0.36449057933102513</v>
      </c>
      <c r="I926" s="2">
        <f t="shared" si="129"/>
        <v>0</v>
      </c>
      <c r="J926" s="389">
        <f t="shared" si="130"/>
        <v>0</v>
      </c>
      <c r="L926" s="721">
        <v>1062.5999999999999</v>
      </c>
      <c r="M926" s="581"/>
      <c r="N926" s="585" t="s">
        <v>1738</v>
      </c>
      <c r="O926" s="586" t="s">
        <v>4681</v>
      </c>
      <c r="P926" s="233">
        <f t="shared" si="131"/>
        <v>0</v>
      </c>
      <c r="Q926" s="233">
        <f t="shared" si="132"/>
        <v>1062.5999999999999</v>
      </c>
      <c r="R926" s="2">
        <f t="shared" si="133"/>
        <v>3.95</v>
      </c>
      <c r="S926" s="2">
        <f>(1/9)*cnst_fish!$C$7*(1/cnst_fish!$C$8)^(R926-1)</f>
        <v>125.68923486501552</v>
      </c>
      <c r="T926" s="682">
        <f t="shared" si="134"/>
        <v>11454.213450071147</v>
      </c>
      <c r="W926" s="818"/>
      <c r="X926" s="818"/>
      <c r="Y926" s="819"/>
      <c r="Z926" s="820"/>
      <c r="AA926" s="820"/>
      <c r="AB926" s="821"/>
      <c r="AC926" s="821"/>
      <c r="AD926" s="253"/>
      <c r="AE926" s="253"/>
    </row>
    <row r="927" spans="1:31" ht="14.5">
      <c r="A927" t="s">
        <v>1611</v>
      </c>
      <c r="B927" t="s">
        <v>633</v>
      </c>
      <c r="C927">
        <v>18704</v>
      </c>
      <c r="D927" s="581"/>
      <c r="E927" s="581"/>
      <c r="F927" s="2">
        <f>(1/S927)*cnst_fish!$C$6</f>
        <v>4.5613232168782068E-2</v>
      </c>
      <c r="G927" s="2">
        <f t="shared" si="135"/>
        <v>1</v>
      </c>
      <c r="H927" s="2">
        <f t="shared" si="135"/>
        <v>0.36449057933102513</v>
      </c>
      <c r="I927" s="2">
        <f t="shared" si="129"/>
        <v>0</v>
      </c>
      <c r="J927" s="389">
        <f t="shared" si="130"/>
        <v>0</v>
      </c>
      <c r="L927" s="721"/>
      <c r="M927" s="581"/>
      <c r="N927" s="585" t="s">
        <v>1738</v>
      </c>
      <c r="O927" s="586" t="s">
        <v>4681</v>
      </c>
      <c r="P927" s="233">
        <f t="shared" si="131"/>
        <v>0</v>
      </c>
      <c r="Q927" s="233">
        <f t="shared" si="132"/>
        <v>0</v>
      </c>
      <c r="R927" s="2">
        <f t="shared" si="133"/>
        <v>3.82</v>
      </c>
      <c r="S927" s="2">
        <f>(1/9)*cnst_fish!$C$7*(1/cnst_fish!$C$8)^(R927-1)</f>
        <v>93.174717026712301</v>
      </c>
      <c r="T927" s="682">
        <f t="shared" si="134"/>
        <v>0</v>
      </c>
      <c r="W927" s="818"/>
      <c r="X927" s="818"/>
      <c r="Y927" s="819"/>
      <c r="Z927" s="820"/>
      <c r="AA927" s="820"/>
      <c r="AB927" s="821"/>
      <c r="AC927" s="821"/>
      <c r="AD927" s="253"/>
      <c r="AE927" s="253"/>
    </row>
    <row r="928" spans="1:31" ht="14.5">
      <c r="A928" t="s">
        <v>342</v>
      </c>
      <c r="B928" t="s">
        <v>343</v>
      </c>
      <c r="C928">
        <v>18705</v>
      </c>
      <c r="D928" s="581"/>
      <c r="E928" s="581"/>
      <c r="F928" s="2">
        <f>(1/S928)*cnst_fish!$C$6</f>
        <v>3.5407139951132149E-2</v>
      </c>
      <c r="G928" s="2">
        <f t="shared" ref="G928:H947" si="136">G$7</f>
        <v>1</v>
      </c>
      <c r="H928" s="2">
        <f t="shared" si="136"/>
        <v>0.36449057933102513</v>
      </c>
      <c r="I928" s="2">
        <f t="shared" si="129"/>
        <v>0</v>
      </c>
      <c r="J928" s="389">
        <f t="shared" si="130"/>
        <v>0</v>
      </c>
      <c r="L928" s="721">
        <v>3</v>
      </c>
      <c r="M928" s="581"/>
      <c r="N928" s="585" t="s">
        <v>1738</v>
      </c>
      <c r="O928" s="586" t="s">
        <v>4681</v>
      </c>
      <c r="P928" s="233">
        <f t="shared" si="131"/>
        <v>0</v>
      </c>
      <c r="Q928" s="233">
        <f t="shared" si="132"/>
        <v>3</v>
      </c>
      <c r="R928" s="2">
        <f t="shared" si="133"/>
        <v>3.93</v>
      </c>
      <c r="S928" s="2">
        <f>(1/9)*cnst_fish!$C$7*(1/cnst_fish!$C$8)^(R928-1)</f>
        <v>120.03228743879681</v>
      </c>
      <c r="T928" s="682">
        <f t="shared" si="134"/>
        <v>30.882803284937776</v>
      </c>
      <c r="W928" s="818"/>
      <c r="X928" s="818"/>
      <c r="Y928" s="819"/>
      <c r="Z928" s="820"/>
      <c r="AA928" s="820"/>
      <c r="AB928" s="821"/>
      <c r="AC928" s="821"/>
      <c r="AD928" s="253"/>
      <c r="AE928" s="253"/>
    </row>
    <row r="929" spans="1:31" ht="14.5">
      <c r="A929" t="s">
        <v>6439</v>
      </c>
      <c r="B929" t="s">
        <v>6438</v>
      </c>
      <c r="C929">
        <v>19145</v>
      </c>
      <c r="D929" s="581"/>
      <c r="E929" s="581"/>
      <c r="F929" s="2">
        <f>(1/S929)*cnst_fish!$C$6</f>
        <v>3.0136363636363641</v>
      </c>
      <c r="G929" s="2">
        <f t="shared" si="136"/>
        <v>1</v>
      </c>
      <c r="H929" s="2">
        <f t="shared" si="136"/>
        <v>0.36449057933102513</v>
      </c>
      <c r="I929" s="2">
        <f t="shared" si="129"/>
        <v>0</v>
      </c>
      <c r="J929" s="389">
        <f t="shared" si="130"/>
        <v>0</v>
      </c>
      <c r="L929" s="721"/>
      <c r="M929" s="581">
        <v>1146</v>
      </c>
      <c r="N929" s="585" t="s">
        <v>1738</v>
      </c>
      <c r="O929" s="586" t="s">
        <v>4685</v>
      </c>
      <c r="P929" s="233">
        <f t="shared" si="131"/>
        <v>0</v>
      </c>
      <c r="Q929" s="233">
        <f t="shared" si="132"/>
        <v>1146</v>
      </c>
      <c r="R929" s="2">
        <f t="shared" si="133"/>
        <v>2</v>
      </c>
      <c r="S929" s="2">
        <f>(1/9)*cnst_fish!$C$7*(1/cnst_fish!$C$8)^(R929-1)</f>
        <v>1.4102564102564099</v>
      </c>
      <c r="T929" s="682">
        <f t="shared" si="134"/>
        <v>138.60537686415995</v>
      </c>
      <c r="W929" s="818"/>
      <c r="X929" s="818"/>
      <c r="Y929" s="819"/>
      <c r="Z929" s="820"/>
      <c r="AA929" s="820"/>
      <c r="AB929" s="821"/>
      <c r="AC929" s="821"/>
      <c r="AD929" s="253"/>
      <c r="AE929" s="253"/>
    </row>
    <row r="930" spans="1:31" ht="14.5">
      <c r="A930" t="s">
        <v>3707</v>
      </c>
      <c r="B930" t="s">
        <v>1994</v>
      </c>
      <c r="C930">
        <v>2129</v>
      </c>
      <c r="D930" s="581"/>
      <c r="E930" s="581">
        <v>2473</v>
      </c>
      <c r="F930" s="2">
        <f>(1/S930)*cnst_fish!$C$6</f>
        <v>0.18581931192461937</v>
      </c>
      <c r="G930" s="2">
        <f t="shared" si="136"/>
        <v>1</v>
      </c>
      <c r="H930" s="2">
        <f t="shared" si="136"/>
        <v>0.36449057933102513</v>
      </c>
      <c r="I930" s="2">
        <f t="shared" si="129"/>
        <v>0</v>
      </c>
      <c r="J930" s="389">
        <f t="shared" si="130"/>
        <v>4850.8693383349018</v>
      </c>
      <c r="L930" s="721"/>
      <c r="M930" s="581">
        <v>2473</v>
      </c>
      <c r="N930" s="585" t="s">
        <v>1738</v>
      </c>
      <c r="O930" s="586" t="s">
        <v>4685</v>
      </c>
      <c r="P930" s="233">
        <f t="shared" si="131"/>
        <v>2473</v>
      </c>
      <c r="Q930" s="233">
        <f t="shared" si="132"/>
        <v>2473</v>
      </c>
      <c r="R930" s="2">
        <f t="shared" si="133"/>
        <v>3.21</v>
      </c>
      <c r="S930" s="2">
        <f>(1/9)*cnst_fish!$C$7*(1/cnst_fish!$C$8)^(R930-1)</f>
        <v>22.87168086019004</v>
      </c>
      <c r="T930" s="682">
        <f t="shared" si="134"/>
        <v>4850.8693383349018</v>
      </c>
      <c r="W930" s="818"/>
      <c r="X930" s="818"/>
      <c r="Y930" s="819"/>
      <c r="Z930" s="820"/>
      <c r="AA930" s="820"/>
      <c r="AB930" s="821"/>
      <c r="AC930" s="821"/>
      <c r="AD930" s="253"/>
      <c r="AE930" s="253"/>
    </row>
    <row r="931" spans="1:31" ht="14.5">
      <c r="A931" t="s">
        <v>1085</v>
      </c>
      <c r="B931" t="s">
        <v>1995</v>
      </c>
      <c r="C931">
        <v>2937</v>
      </c>
      <c r="D931" s="581"/>
      <c r="E931" s="581"/>
      <c r="F931" s="2">
        <f>(1/S931)*cnst_fish!$C$6</f>
        <v>0.11196720767792057</v>
      </c>
      <c r="G931" s="2">
        <f t="shared" si="136"/>
        <v>1</v>
      </c>
      <c r="H931" s="2">
        <f t="shared" si="136"/>
        <v>0.36449057933102513</v>
      </c>
      <c r="I931" s="2">
        <f t="shared" si="129"/>
        <v>0</v>
      </c>
      <c r="J931" s="389">
        <f t="shared" si="130"/>
        <v>0</v>
      </c>
      <c r="L931" s="721"/>
      <c r="M931" s="581"/>
      <c r="N931" s="585" t="s">
        <v>1738</v>
      </c>
      <c r="O931" s="586" t="s">
        <v>4685</v>
      </c>
      <c r="P931" s="233">
        <f t="shared" si="131"/>
        <v>0</v>
      </c>
      <c r="Q931" s="233">
        <f t="shared" si="132"/>
        <v>0</v>
      </c>
      <c r="R931" s="2">
        <f t="shared" si="133"/>
        <v>3.43</v>
      </c>
      <c r="S931" s="2">
        <f>(1/9)*cnst_fish!$C$7*(1/cnst_fish!$C$8)^(R931-1)</f>
        <v>37.957542106661656</v>
      </c>
      <c r="T931" s="682">
        <f t="shared" si="134"/>
        <v>0</v>
      </c>
      <c r="W931" s="818"/>
      <c r="X931" s="818"/>
      <c r="Y931" s="819"/>
      <c r="Z931" s="820"/>
      <c r="AA931" s="820"/>
      <c r="AB931" s="821"/>
      <c r="AC931" s="821"/>
      <c r="AD931" s="253"/>
      <c r="AE931" s="253"/>
    </row>
    <row r="932" spans="1:31" ht="14.5">
      <c r="A932" t="s">
        <v>2549</v>
      </c>
      <c r="B932" t="s">
        <v>4827</v>
      </c>
      <c r="C932">
        <v>2967</v>
      </c>
      <c r="D932" s="581"/>
      <c r="E932" s="581"/>
      <c r="F932" s="2">
        <f>(1/S932)*cnst_fish!$C$6</f>
        <v>3.0136363636363641</v>
      </c>
      <c r="G932" s="2">
        <f t="shared" si="136"/>
        <v>1</v>
      </c>
      <c r="H932" s="2">
        <f t="shared" si="136"/>
        <v>0.36449057933102513</v>
      </c>
      <c r="I932" s="2">
        <f t="shared" si="129"/>
        <v>0</v>
      </c>
      <c r="J932" s="389">
        <f t="shared" si="130"/>
        <v>0</v>
      </c>
      <c r="L932" s="721">
        <v>0</v>
      </c>
      <c r="M932" s="581">
        <v>34377.96</v>
      </c>
      <c r="N932" s="585" t="s">
        <v>5194</v>
      </c>
      <c r="O932" s="586" t="s">
        <v>4685</v>
      </c>
      <c r="P932" s="233">
        <f t="shared" si="131"/>
        <v>0</v>
      </c>
      <c r="Q932" s="233">
        <f t="shared" si="132"/>
        <v>34377.96</v>
      </c>
      <c r="R932" s="2">
        <f t="shared" si="133"/>
        <v>2</v>
      </c>
      <c r="S932" s="2">
        <f>(1/9)*cnst_fish!$C$7*(1/cnst_fish!$C$8)^(R932-1)</f>
        <v>1.4102564102564099</v>
      </c>
      <c r="T932" s="682">
        <f t="shared" si="134"/>
        <v>4157.9145738403276</v>
      </c>
      <c r="W932" s="818"/>
      <c r="X932" s="818"/>
      <c r="Y932" s="819"/>
      <c r="Z932" s="820"/>
      <c r="AA932" s="820"/>
      <c r="AB932" s="821"/>
      <c r="AC932" s="821"/>
      <c r="AD932" s="253"/>
      <c r="AE932" s="253"/>
    </row>
    <row r="933" spans="1:31" ht="14.5">
      <c r="A933" t="s">
        <v>1245</v>
      </c>
      <c r="B933" t="s">
        <v>4828</v>
      </c>
      <c r="C933">
        <v>2965</v>
      </c>
      <c r="D933" s="581"/>
      <c r="E933" s="581"/>
      <c r="F933" s="2">
        <f>(1/S933)*cnst_fish!$C$6</f>
        <v>1.4095836303336922</v>
      </c>
      <c r="G933" s="2">
        <f t="shared" si="136"/>
        <v>1</v>
      </c>
      <c r="H933" s="2">
        <f t="shared" si="136"/>
        <v>0.36449057933102513</v>
      </c>
      <c r="I933" s="2">
        <f t="shared" si="129"/>
        <v>0</v>
      </c>
      <c r="J933" s="389">
        <f t="shared" si="130"/>
        <v>0</v>
      </c>
      <c r="L933" s="721"/>
      <c r="M933" s="581">
        <v>2743</v>
      </c>
      <c r="N933" s="585" t="s">
        <v>5194</v>
      </c>
      <c r="O933" s="586" t="s">
        <v>4685</v>
      </c>
      <c r="P933" s="233">
        <f t="shared" si="131"/>
        <v>0</v>
      </c>
      <c r="Q933" s="233">
        <f t="shared" si="132"/>
        <v>2743</v>
      </c>
      <c r="R933" s="2">
        <f t="shared" si="133"/>
        <v>2.33</v>
      </c>
      <c r="S933" s="2">
        <f>(1/9)*cnst_fish!$C$7*(1/cnst_fish!$C$8)^(R933-1)</f>
        <v>3.0150747416057131</v>
      </c>
      <c r="T933" s="682">
        <f t="shared" si="134"/>
        <v>709.28580439623784</v>
      </c>
      <c r="W933" s="818"/>
      <c r="X933" s="818"/>
      <c r="Y933" s="819"/>
      <c r="Z933" s="820"/>
      <c r="AA933" s="820"/>
      <c r="AB933" s="821"/>
      <c r="AC933" s="821"/>
      <c r="AD933" s="253"/>
      <c r="AE933" s="253"/>
    </row>
    <row r="934" spans="1:31" ht="14.5">
      <c r="A934" t="s">
        <v>6419</v>
      </c>
      <c r="B934" t="s">
        <v>6418</v>
      </c>
      <c r="C934">
        <v>12795</v>
      </c>
      <c r="D934" s="581"/>
      <c r="E934" s="581"/>
      <c r="F934" s="2">
        <f>(1/S934)*cnst_fish!$C$6</f>
        <v>0.37939434000887845</v>
      </c>
      <c r="G934" s="2">
        <f t="shared" si="136"/>
        <v>1</v>
      </c>
      <c r="H934" s="2">
        <f t="shared" si="136"/>
        <v>0.36449057933102513</v>
      </c>
      <c r="I934" s="2">
        <f t="shared" si="129"/>
        <v>0</v>
      </c>
      <c r="J934" s="389">
        <f t="shared" si="130"/>
        <v>0</v>
      </c>
      <c r="L934" s="721"/>
      <c r="M934" s="581">
        <v>1513</v>
      </c>
      <c r="N934" s="585" t="s">
        <v>1738</v>
      </c>
      <c r="O934" s="586" t="s">
        <v>4685</v>
      </c>
      <c r="P934" s="233">
        <f t="shared" si="131"/>
        <v>0</v>
      </c>
      <c r="Q934" s="233">
        <f t="shared" si="132"/>
        <v>1513</v>
      </c>
      <c r="R934" s="2">
        <f t="shared" si="133"/>
        <v>2.9</v>
      </c>
      <c r="S934" s="2">
        <f>(1/9)*cnst_fish!$C$7*(1/cnst_fish!$C$8)^(R934-1)</f>
        <v>11.20206484867577</v>
      </c>
      <c r="T934" s="682">
        <f t="shared" si="134"/>
        <v>1453.5647698775254</v>
      </c>
      <c r="W934" s="818"/>
      <c r="X934" s="818"/>
      <c r="Y934" s="819"/>
      <c r="Z934" s="820"/>
      <c r="AA934" s="820"/>
      <c r="AB934" s="821"/>
      <c r="AC934" s="821"/>
      <c r="AD934" s="253"/>
      <c r="AE934" s="253"/>
    </row>
    <row r="935" spans="1:31" ht="14.5">
      <c r="A935" t="s">
        <v>8312</v>
      </c>
      <c r="B935" t="s">
        <v>8313</v>
      </c>
      <c r="C935">
        <v>6804</v>
      </c>
      <c r="D935" s="581"/>
      <c r="E935" s="581"/>
      <c r="F935" s="2">
        <f>(1/S935)*cnst_fish!$C$6</f>
        <v>0.2133491159303107</v>
      </c>
      <c r="G935" s="2">
        <f t="shared" si="136"/>
        <v>1</v>
      </c>
      <c r="H935" s="2">
        <f t="shared" si="136"/>
        <v>0.36449057933102513</v>
      </c>
      <c r="I935" s="2">
        <f t="shared" si="129"/>
        <v>0</v>
      </c>
      <c r="J935" s="389">
        <f t="shared" si="130"/>
        <v>0</v>
      </c>
      <c r="L935" s="721"/>
      <c r="M935" s="581">
        <v>8660</v>
      </c>
      <c r="N935" s="585" t="s">
        <v>1738</v>
      </c>
      <c r="O935" s="586" t="s">
        <v>4685</v>
      </c>
      <c r="P935" s="233">
        <f t="shared" si="131"/>
        <v>0</v>
      </c>
      <c r="Q935" s="233">
        <f t="shared" si="132"/>
        <v>8660</v>
      </c>
      <c r="R935" s="2">
        <f t="shared" si="133"/>
        <v>3.15</v>
      </c>
      <c r="S935" s="2">
        <f>(1/9)*cnst_fish!$C$7*(1/cnst_fish!$C$8)^(R935-1)</f>
        <v>19.920401270320887</v>
      </c>
      <c r="T935" s="682">
        <f t="shared" si="134"/>
        <v>14794.944911033645</v>
      </c>
      <c r="W935" s="818"/>
      <c r="X935" s="818"/>
      <c r="Y935" s="819"/>
      <c r="Z935" s="820"/>
      <c r="AA935" s="820"/>
      <c r="AB935" s="821"/>
      <c r="AC935" s="821"/>
      <c r="AD935" s="253"/>
      <c r="AE935" s="253"/>
    </row>
    <row r="936" spans="1:31" ht="14.5">
      <c r="A936" t="s">
        <v>2868</v>
      </c>
      <c r="B936" t="s">
        <v>3372</v>
      </c>
      <c r="C936">
        <v>2462</v>
      </c>
      <c r="D936" s="581"/>
      <c r="E936" s="581"/>
      <c r="F936" s="2">
        <f>(1/S936)*cnst_fish!$C$6</f>
        <v>0.14760152601876345</v>
      </c>
      <c r="G936" s="2">
        <f t="shared" si="136"/>
        <v>1</v>
      </c>
      <c r="H936" s="2">
        <f t="shared" si="136"/>
        <v>0.36449057933102513</v>
      </c>
      <c r="I936" s="2">
        <f t="shared" si="129"/>
        <v>0</v>
      </c>
      <c r="J936" s="389">
        <f t="shared" si="130"/>
        <v>0</v>
      </c>
      <c r="L936" s="721">
        <v>0</v>
      </c>
      <c r="M936" s="581"/>
      <c r="N936" s="585" t="s">
        <v>1738</v>
      </c>
      <c r="O936" s="586" t="s">
        <v>4681</v>
      </c>
      <c r="P936" s="233">
        <f t="shared" si="131"/>
        <v>0</v>
      </c>
      <c r="Q936" s="233">
        <f t="shared" si="132"/>
        <v>0</v>
      </c>
      <c r="R936" s="2">
        <f t="shared" si="133"/>
        <v>3.31</v>
      </c>
      <c r="S936" s="2">
        <f>(1/9)*cnst_fish!$C$7*(1/cnst_fish!$C$8)^(R936-1)</f>
        <v>28.793740245339542</v>
      </c>
      <c r="T936" s="682">
        <f t="shared" si="134"/>
        <v>0</v>
      </c>
      <c r="W936" s="818"/>
      <c r="X936" s="818"/>
      <c r="Y936" s="819"/>
      <c r="Z936" s="820"/>
      <c r="AA936" s="820"/>
      <c r="AB936" s="821"/>
      <c r="AC936" s="821"/>
      <c r="AD936" s="253"/>
      <c r="AE936" s="253"/>
    </row>
    <row r="937" spans="1:31" ht="14.5">
      <c r="A937" t="s">
        <v>2866</v>
      </c>
      <c r="B937" t="s">
        <v>4043</v>
      </c>
      <c r="C937">
        <v>3002</v>
      </c>
      <c r="D937" s="581"/>
      <c r="E937" s="581"/>
      <c r="F937" s="2">
        <f>(1/S937)*cnst_fish!$C$6</f>
        <v>0.11997502458044032</v>
      </c>
      <c r="G937" s="2">
        <f t="shared" si="136"/>
        <v>1</v>
      </c>
      <c r="H937" s="2">
        <f t="shared" si="136"/>
        <v>0.36449057933102513</v>
      </c>
      <c r="I937" s="2">
        <f t="shared" si="129"/>
        <v>0</v>
      </c>
      <c r="J937" s="389">
        <f t="shared" si="130"/>
        <v>0</v>
      </c>
      <c r="L937" s="721">
        <v>610</v>
      </c>
      <c r="M937" s="581"/>
      <c r="N937" s="585" t="s">
        <v>1738</v>
      </c>
      <c r="O937" s="586" t="s">
        <v>4699</v>
      </c>
      <c r="P937" s="233">
        <f t="shared" si="131"/>
        <v>0</v>
      </c>
      <c r="Q937" s="233">
        <f t="shared" si="132"/>
        <v>610</v>
      </c>
      <c r="R937" s="2">
        <f t="shared" si="133"/>
        <v>3.4</v>
      </c>
      <c r="S937" s="2">
        <f>(1/9)*cnst_fish!$C$7*(1/cnst_fish!$C$8)^(R937-1)</f>
        <v>35.424039418724846</v>
      </c>
      <c r="T937" s="682">
        <f t="shared" si="134"/>
        <v>1853.2128179965682</v>
      </c>
      <c r="W937" s="818"/>
      <c r="X937" s="818"/>
      <c r="Y937" s="819"/>
      <c r="Z937" s="820"/>
      <c r="AA937" s="820"/>
      <c r="AB937" s="821"/>
      <c r="AC937" s="821"/>
      <c r="AD937" s="253"/>
      <c r="AE937" s="253"/>
    </row>
    <row r="938" spans="1:31" ht="14.5">
      <c r="A938" t="s">
        <v>6793</v>
      </c>
      <c r="B938" t="s">
        <v>8639</v>
      </c>
      <c r="C938">
        <v>12812</v>
      </c>
      <c r="D938" s="581"/>
      <c r="E938" s="581"/>
      <c r="F938" s="2">
        <f>(1/S938)*cnst_fish!$C$6</f>
        <v>0.95299549485983426</v>
      </c>
      <c r="G938" s="2">
        <f t="shared" si="136"/>
        <v>1</v>
      </c>
      <c r="H938" s="2">
        <f t="shared" si="136"/>
        <v>0.36449057933102513</v>
      </c>
      <c r="I938" s="2">
        <f t="shared" si="129"/>
        <v>0</v>
      </c>
      <c r="J938" s="389">
        <f t="shared" si="130"/>
        <v>0</v>
      </c>
      <c r="L938" s="721"/>
      <c r="M938" s="581"/>
      <c r="N938" s="585" t="s">
        <v>1738</v>
      </c>
      <c r="O938" s="586" t="s">
        <v>4685</v>
      </c>
      <c r="P938" s="233">
        <f t="shared" si="131"/>
        <v>0</v>
      </c>
      <c r="Q938" s="233">
        <f t="shared" si="132"/>
        <v>0</v>
      </c>
      <c r="R938" s="2">
        <f t="shared" si="133"/>
        <v>2.5</v>
      </c>
      <c r="S938" s="2">
        <f>(1/9)*cnst_fish!$C$7*(1/cnst_fish!$C$8)^(R938-1)</f>
        <v>4.4596223412630991</v>
      </c>
      <c r="T938" s="682">
        <f t="shared" si="134"/>
        <v>0</v>
      </c>
      <c r="W938" s="818"/>
      <c r="X938" s="818"/>
      <c r="Y938" s="819"/>
      <c r="Z938" s="820"/>
      <c r="AA938" s="820"/>
      <c r="AB938" s="821"/>
      <c r="AC938" s="821"/>
      <c r="AD938" s="253"/>
      <c r="AE938" s="253"/>
    </row>
    <row r="939" spans="1:31" ht="14.5">
      <c r="A939" t="s">
        <v>8996</v>
      </c>
      <c r="B939" t="s">
        <v>8997</v>
      </c>
      <c r="C939">
        <v>6800</v>
      </c>
      <c r="D939" s="581"/>
      <c r="E939" s="581"/>
      <c r="F939" s="869">
        <f>(1/S939)*cnst_fish!$C$6</f>
        <v>0.95299549485983426</v>
      </c>
      <c r="G939" s="869">
        <f t="shared" si="136"/>
        <v>1</v>
      </c>
      <c r="H939" s="869">
        <f t="shared" si="136"/>
        <v>0.36449057933102513</v>
      </c>
      <c r="I939" s="869">
        <f t="shared" si="129"/>
        <v>0</v>
      </c>
      <c r="J939" s="389">
        <f t="shared" si="130"/>
        <v>0</v>
      </c>
      <c r="L939" s="721"/>
      <c r="M939" s="581">
        <v>625</v>
      </c>
      <c r="N939" s="877" t="s">
        <v>1738</v>
      </c>
      <c r="O939" s="881" t="s">
        <v>4685</v>
      </c>
      <c r="P939" s="871">
        <f t="shared" si="131"/>
        <v>0</v>
      </c>
      <c r="Q939" s="871">
        <f t="shared" si="132"/>
        <v>625</v>
      </c>
      <c r="R939" s="869">
        <f t="shared" si="133"/>
        <v>2.5</v>
      </c>
      <c r="S939" s="869">
        <f>(1/9)*cnst_fish!$C$7*(1/cnst_fish!$C$8)^(R939-1)</f>
        <v>4.4596223412630991</v>
      </c>
      <c r="T939" s="682">
        <f t="shared" si="134"/>
        <v>239.04269570067203</v>
      </c>
      <c r="W939" s="818"/>
      <c r="X939" s="818"/>
      <c r="Y939" s="819"/>
      <c r="Z939" s="820"/>
      <c r="AA939" s="820"/>
      <c r="AB939" s="821"/>
      <c r="AC939" s="821"/>
      <c r="AD939" s="253"/>
      <c r="AE939" s="253"/>
    </row>
    <row r="940" spans="1:31" ht="14.5">
      <c r="A940" t="s">
        <v>8640</v>
      </c>
      <c r="B940" t="s">
        <v>8641</v>
      </c>
      <c r="C940">
        <v>19191</v>
      </c>
      <c r="D940" s="581"/>
      <c r="E940" s="581"/>
      <c r="F940" s="2">
        <f>(1/S940)*cnst_fish!$C$6</f>
        <v>0.30136363636363639</v>
      </c>
      <c r="G940" s="2">
        <f t="shared" si="136"/>
        <v>1</v>
      </c>
      <c r="H940" s="2">
        <f t="shared" si="136"/>
        <v>0.36449057933102513</v>
      </c>
      <c r="I940" s="2">
        <f t="shared" si="129"/>
        <v>0</v>
      </c>
      <c r="J940" s="389">
        <f t="shared" si="130"/>
        <v>0</v>
      </c>
      <c r="L940" s="721"/>
      <c r="M940" s="581"/>
      <c r="N940" s="585" t="s">
        <v>5194</v>
      </c>
      <c r="O940" s="586" t="s">
        <v>4685</v>
      </c>
      <c r="P940" s="233">
        <f t="shared" si="131"/>
        <v>0</v>
      </c>
      <c r="Q940" s="233">
        <f t="shared" si="132"/>
        <v>0</v>
      </c>
      <c r="R940" s="2">
        <f t="shared" si="133"/>
        <v>3</v>
      </c>
      <c r="S940" s="2">
        <f>(1/9)*cnst_fish!$C$7*(1/cnst_fish!$C$8)^(R940-1)</f>
        <v>14.1025641025641</v>
      </c>
      <c r="T940" s="682">
        <f t="shared" si="134"/>
        <v>0</v>
      </c>
      <c r="W940" s="818"/>
      <c r="X940" s="818"/>
      <c r="Y940" s="819"/>
      <c r="Z940" s="820"/>
      <c r="AA940" s="820"/>
      <c r="AB940" s="821"/>
      <c r="AC940" s="821"/>
      <c r="AD940" s="253"/>
      <c r="AE940" s="253"/>
    </row>
    <row r="941" spans="1:31" ht="14.5">
      <c r="A941" t="s">
        <v>8314</v>
      </c>
      <c r="B941" t="s">
        <v>8315</v>
      </c>
      <c r="C941">
        <v>16312</v>
      </c>
      <c r="D941" s="581"/>
      <c r="E941" s="581"/>
      <c r="F941" s="2">
        <f>(1/S941)*cnst_fish!$C$6</f>
        <v>0.33043865638315079</v>
      </c>
      <c r="G941" s="2">
        <f t="shared" si="136"/>
        <v>1</v>
      </c>
      <c r="H941" s="2">
        <f t="shared" si="136"/>
        <v>0.36449057933102513</v>
      </c>
      <c r="I941" s="2">
        <f t="shared" si="129"/>
        <v>0</v>
      </c>
      <c r="J941" s="389">
        <f t="shared" si="130"/>
        <v>0</v>
      </c>
      <c r="L941" s="721">
        <v>0</v>
      </c>
      <c r="M941" s="581"/>
      <c r="N941" s="585" t="s">
        <v>3790</v>
      </c>
      <c r="O941" s="586" t="s">
        <v>4680</v>
      </c>
      <c r="P941" s="233">
        <f t="shared" si="131"/>
        <v>0</v>
      </c>
      <c r="Q941" s="233">
        <f t="shared" si="132"/>
        <v>0</v>
      </c>
      <c r="R941" s="2">
        <f t="shared" si="133"/>
        <v>2.96</v>
      </c>
      <c r="S941" s="2">
        <f>(1/9)*cnst_fish!$C$7*(1/cnst_fish!$C$8)^(R941-1)</f>
        <v>12.861691324250007</v>
      </c>
      <c r="T941" s="682">
        <f t="shared" si="134"/>
        <v>0</v>
      </c>
      <c r="W941" s="818"/>
      <c r="X941" s="818"/>
      <c r="Y941" s="819"/>
      <c r="Z941" s="820"/>
      <c r="AA941" s="820"/>
      <c r="AB941" s="821"/>
      <c r="AC941" s="821"/>
      <c r="AD941" s="253"/>
      <c r="AE941" s="253"/>
    </row>
    <row r="942" spans="1:31" ht="14.5">
      <c r="A942" t="s">
        <v>4370</v>
      </c>
      <c r="B942" t="s">
        <v>1271</v>
      </c>
      <c r="C942">
        <v>16315</v>
      </c>
      <c r="D942" s="581"/>
      <c r="E942" s="581"/>
      <c r="F942" s="2">
        <f>(1/S942)*cnst_fish!$C$6</f>
        <v>0.3314045734418738</v>
      </c>
      <c r="G942" s="2">
        <f t="shared" si="136"/>
        <v>1</v>
      </c>
      <c r="H942" s="2">
        <f t="shared" si="136"/>
        <v>0.36449057933102513</v>
      </c>
      <c r="I942" s="2">
        <f t="shared" si="129"/>
        <v>0</v>
      </c>
      <c r="J942" s="389">
        <f t="shared" si="130"/>
        <v>0</v>
      </c>
      <c r="L942" s="721">
        <v>1</v>
      </c>
      <c r="M942" s="581"/>
      <c r="N942" s="585" t="s">
        <v>3790</v>
      </c>
      <c r="O942" s="586" t="s">
        <v>4680</v>
      </c>
      <c r="P942" s="233">
        <f t="shared" si="131"/>
        <v>0</v>
      </c>
      <c r="Q942" s="233">
        <f t="shared" si="132"/>
        <v>1</v>
      </c>
      <c r="R942" s="2">
        <f t="shared" si="133"/>
        <v>2.9587323501170402</v>
      </c>
      <c r="S942" s="2">
        <f>(1/9)*cnst_fish!$C$7*(1/cnst_fish!$C$8)^(R942-1)</f>
        <v>12.824204433453367</v>
      </c>
      <c r="T942" s="682">
        <f t="shared" si="134"/>
        <v>1.0998356949197456</v>
      </c>
      <c r="W942" s="818"/>
      <c r="X942" s="818"/>
      <c r="Y942" s="819"/>
      <c r="Z942" s="820"/>
      <c r="AA942" s="820"/>
      <c r="AB942" s="821"/>
      <c r="AC942" s="821"/>
      <c r="AD942" s="253"/>
      <c r="AE942" s="253"/>
    </row>
    <row r="943" spans="1:31" ht="14.5">
      <c r="A943" t="s">
        <v>6765</v>
      </c>
      <c r="B943" t="s">
        <v>4204</v>
      </c>
      <c r="C943">
        <v>2147</v>
      </c>
      <c r="D943" s="581"/>
      <c r="E943" s="581"/>
      <c r="F943" s="2">
        <f>(1/S943)*cnst_fish!$C$6</f>
        <v>1.9014759972289452</v>
      </c>
      <c r="G943" s="2">
        <f t="shared" si="136"/>
        <v>1</v>
      </c>
      <c r="H943" s="2">
        <f t="shared" si="136"/>
        <v>0.36449057933102513</v>
      </c>
      <c r="I943" s="2">
        <f t="shared" si="129"/>
        <v>0</v>
      </c>
      <c r="J943" s="389">
        <f t="shared" si="130"/>
        <v>0</v>
      </c>
      <c r="L943" s="721"/>
      <c r="M943" s="581"/>
      <c r="N943" s="585" t="s">
        <v>5194</v>
      </c>
      <c r="O943" s="586" t="s">
        <v>4685</v>
      </c>
      <c r="P943" s="233">
        <f t="shared" si="131"/>
        <v>0</v>
      </c>
      <c r="Q943" s="233">
        <f t="shared" si="132"/>
        <v>0</v>
      </c>
      <c r="R943" s="2">
        <f t="shared" si="133"/>
        <v>2.2000000000000002</v>
      </c>
      <c r="S943" s="2">
        <f>(1/9)*cnst_fish!$C$7*(1/cnst_fish!$C$8)^(R943-1)</f>
        <v>2.2351057842400328</v>
      </c>
      <c r="T943" s="682">
        <f t="shared" si="134"/>
        <v>0</v>
      </c>
      <c r="W943" s="818"/>
      <c r="X943" s="818"/>
      <c r="Y943" s="819"/>
      <c r="Z943" s="820"/>
      <c r="AA943" s="820"/>
      <c r="AB943" s="821"/>
      <c r="AC943" s="821"/>
      <c r="AD943" s="253"/>
      <c r="AE943" s="253"/>
    </row>
    <row r="944" spans="1:31" ht="14.5">
      <c r="A944" t="s">
        <v>5278</v>
      </c>
      <c r="B944" t="s">
        <v>3094</v>
      </c>
      <c r="C944">
        <v>2977</v>
      </c>
      <c r="D944" s="581"/>
      <c r="E944" s="581"/>
      <c r="F944" s="2">
        <f>(1/S944)*cnst_fish!$C$6</f>
        <v>0.11724405960509449</v>
      </c>
      <c r="G944" s="2">
        <f t="shared" si="136"/>
        <v>1</v>
      </c>
      <c r="H944" s="2">
        <f t="shared" si="136"/>
        <v>0.36449057933102513</v>
      </c>
      <c r="I944" s="2">
        <f t="shared" si="129"/>
        <v>0</v>
      </c>
      <c r="J944" s="389">
        <f t="shared" si="130"/>
        <v>0</v>
      </c>
      <c r="L944" s="721"/>
      <c r="M944" s="581">
        <v>3926</v>
      </c>
      <c r="N944" s="585" t="s">
        <v>1738</v>
      </c>
      <c r="O944" s="586" t="s">
        <v>4685</v>
      </c>
      <c r="P944" s="233">
        <f t="shared" si="131"/>
        <v>0</v>
      </c>
      <c r="Q944" s="233">
        <f t="shared" si="132"/>
        <v>3926</v>
      </c>
      <c r="R944" s="2">
        <f t="shared" si="133"/>
        <v>3.41</v>
      </c>
      <c r="S944" s="2">
        <f>(1/9)*cnst_fish!$C$7*(1/cnst_fish!$C$8)^(R944-1)</f>
        <v>36.24917129545836</v>
      </c>
      <c r="T944" s="682">
        <f t="shared" si="134"/>
        <v>12205.224036710388</v>
      </c>
      <c r="W944" s="818"/>
      <c r="X944" s="818"/>
      <c r="Y944" s="819"/>
      <c r="Z944" s="820"/>
      <c r="AA944" s="820"/>
      <c r="AB944" s="821"/>
      <c r="AC944" s="821"/>
      <c r="AD944" s="253"/>
      <c r="AE944" s="253"/>
    </row>
    <row r="945" spans="1:31" ht="14.5">
      <c r="A945" t="s">
        <v>2264</v>
      </c>
      <c r="B945" t="s">
        <v>309</v>
      </c>
      <c r="C945">
        <v>2188</v>
      </c>
      <c r="D945" s="581"/>
      <c r="E945" s="581"/>
      <c r="F945" s="2">
        <f>(1/S945)*cnst_fish!$C$6</f>
        <v>4.0652835961739346E-2</v>
      </c>
      <c r="G945" s="2">
        <f t="shared" si="136"/>
        <v>1</v>
      </c>
      <c r="H945" s="2">
        <f t="shared" si="136"/>
        <v>0.36449057933102513</v>
      </c>
      <c r="I945" s="2">
        <f t="shared" si="129"/>
        <v>0</v>
      </c>
      <c r="J945" s="389">
        <f t="shared" si="130"/>
        <v>0</v>
      </c>
      <c r="L945" s="721"/>
      <c r="M945" s="581">
        <v>1254</v>
      </c>
      <c r="N945" s="585" t="s">
        <v>1738</v>
      </c>
      <c r="O945" s="586" t="s">
        <v>4685</v>
      </c>
      <c r="P945" s="233">
        <f t="shared" si="131"/>
        <v>0</v>
      </c>
      <c r="Q945" s="233">
        <f t="shared" si="132"/>
        <v>1254</v>
      </c>
      <c r="R945" s="2">
        <f t="shared" si="133"/>
        <v>3.87</v>
      </c>
      <c r="S945" s="2">
        <f>(1/9)*cnst_fish!$C$7*(1/cnst_fish!$C$8)^(R945-1)</f>
        <v>104.54375197833461</v>
      </c>
      <c r="T945" s="682">
        <f t="shared" si="134"/>
        <v>11243.279236687957</v>
      </c>
      <c r="W945" s="818"/>
      <c r="X945" s="818"/>
      <c r="Y945" s="819"/>
      <c r="Z945" s="820"/>
      <c r="AA945" s="820"/>
      <c r="AB945" s="821"/>
      <c r="AC945" s="821"/>
      <c r="AD945" s="253"/>
      <c r="AE945" s="253"/>
    </row>
    <row r="946" spans="1:31" ht="14.5">
      <c r="A946" t="s">
        <v>1246</v>
      </c>
      <c r="B946" t="s">
        <v>310</v>
      </c>
      <c r="C946">
        <v>2976</v>
      </c>
      <c r="D946" s="581"/>
      <c r="E946" s="581">
        <v>232</v>
      </c>
      <c r="F946" s="2">
        <f>(1/S946)*cnst_fish!$C$6</f>
        <v>7.9266712664847111E-2</v>
      </c>
      <c r="G946" s="2">
        <f t="shared" si="136"/>
        <v>1</v>
      </c>
      <c r="H946" s="2">
        <f t="shared" si="136"/>
        <v>0.36449057933102513</v>
      </c>
      <c r="I946" s="2">
        <f t="shared" si="129"/>
        <v>0</v>
      </c>
      <c r="J946" s="389">
        <f t="shared" si="130"/>
        <v>1066.8010765419187</v>
      </c>
      <c r="L946" s="721"/>
      <c r="M946" s="581">
        <v>6786</v>
      </c>
      <c r="N946" s="585" t="s">
        <v>1738</v>
      </c>
      <c r="O946" s="586" t="s">
        <v>4685</v>
      </c>
      <c r="P946" s="233">
        <f t="shared" si="131"/>
        <v>232</v>
      </c>
      <c r="Q946" s="233">
        <f t="shared" si="132"/>
        <v>6786</v>
      </c>
      <c r="R946" s="2">
        <f t="shared" si="133"/>
        <v>3.58</v>
      </c>
      <c r="S946" s="2">
        <f>(1/9)*cnst_fish!$C$7*(1/cnst_fish!$C$8)^(R946-1)</f>
        <v>53.616453327258682</v>
      </c>
      <c r="T946" s="682">
        <f t="shared" si="134"/>
        <v>31203.931488851118</v>
      </c>
      <c r="W946" s="818"/>
      <c r="X946" s="818"/>
      <c r="Y946" s="819"/>
      <c r="Z946" s="820"/>
      <c r="AA946" s="820"/>
      <c r="AB946" s="821"/>
      <c r="AC946" s="821"/>
      <c r="AD946" s="253"/>
      <c r="AE946" s="253"/>
    </row>
    <row r="947" spans="1:31" ht="14.5">
      <c r="A947" t="s">
        <v>2517</v>
      </c>
      <c r="B947" t="s">
        <v>4829</v>
      </c>
      <c r="C947">
        <v>2954</v>
      </c>
      <c r="D947" s="581"/>
      <c r="E947" s="581"/>
      <c r="F947" s="2">
        <f>(1/S947)*cnst_fish!$C$6</f>
        <v>0.23393265378401026</v>
      </c>
      <c r="G947" s="2">
        <f t="shared" si="136"/>
        <v>1</v>
      </c>
      <c r="H947" s="2">
        <f t="shared" si="136"/>
        <v>0.36449057933102513</v>
      </c>
      <c r="I947" s="2">
        <f t="shared" si="129"/>
        <v>0</v>
      </c>
      <c r="J947" s="389">
        <f t="shared" si="130"/>
        <v>0</v>
      </c>
      <c r="L947" s="721"/>
      <c r="M947" s="581">
        <v>1286</v>
      </c>
      <c r="N947" s="585" t="s">
        <v>1738</v>
      </c>
      <c r="O947" s="586" t="s">
        <v>4685</v>
      </c>
      <c r="P947" s="233">
        <f t="shared" si="131"/>
        <v>0</v>
      </c>
      <c r="Q947" s="233">
        <f t="shared" si="132"/>
        <v>1286</v>
      </c>
      <c r="R947" s="2">
        <f t="shared" si="133"/>
        <v>3.11</v>
      </c>
      <c r="S947" s="2">
        <f>(1/9)*cnst_fish!$C$7*(1/cnst_fish!$C$8)^(R947-1)</f>
        <v>18.16762188285189</v>
      </c>
      <c r="T947" s="682">
        <f t="shared" si="134"/>
        <v>2003.7172127858673</v>
      </c>
      <c r="W947" s="818"/>
      <c r="X947" s="818"/>
      <c r="Y947" s="819"/>
      <c r="Z947" s="820"/>
      <c r="AA947" s="820"/>
      <c r="AB947" s="821"/>
      <c r="AC947" s="821"/>
      <c r="AD947" s="253"/>
      <c r="AE947" s="253"/>
    </row>
    <row r="948" spans="1:31" ht="14.5">
      <c r="A948" t="s">
        <v>9020</v>
      </c>
      <c r="B948" t="s">
        <v>9021</v>
      </c>
      <c r="C948">
        <v>12853</v>
      </c>
      <c r="D948" s="581"/>
      <c r="E948" s="581"/>
      <c r="F948" s="869">
        <f>(1/S948)*cnst_fish!$C$6</f>
        <v>0.37939434000887845</v>
      </c>
      <c r="G948" s="869">
        <f t="shared" ref="G948:H967" si="137">G$7</f>
        <v>1</v>
      </c>
      <c r="H948" s="869">
        <f t="shared" si="137"/>
        <v>0.36449057933102513</v>
      </c>
      <c r="I948" s="869">
        <f t="shared" si="129"/>
        <v>0</v>
      </c>
      <c r="J948" s="389">
        <f t="shared" si="130"/>
        <v>0</v>
      </c>
      <c r="L948" s="721"/>
      <c r="M948" s="581">
        <v>4.88</v>
      </c>
      <c r="N948" s="877" t="s">
        <v>1738</v>
      </c>
      <c r="O948" s="881" t="s">
        <v>4681</v>
      </c>
      <c r="P948" s="871">
        <f t="shared" si="131"/>
        <v>0</v>
      </c>
      <c r="Q948" s="871">
        <f t="shared" si="132"/>
        <v>4.88</v>
      </c>
      <c r="R948" s="869">
        <f t="shared" si="133"/>
        <v>2.9</v>
      </c>
      <c r="S948" s="869">
        <f>(1/9)*cnst_fish!$C$7*(1/cnst_fish!$C$8)^(R948-1)</f>
        <v>11.20206484867577</v>
      </c>
      <c r="T948" s="682">
        <f t="shared" si="134"/>
        <v>4.6882987951105912</v>
      </c>
      <c r="W948" s="818"/>
      <c r="X948" s="818"/>
      <c r="Y948" s="819"/>
      <c r="Z948" s="820"/>
      <c r="AA948" s="820"/>
      <c r="AB948" s="821"/>
      <c r="AC948" s="821"/>
      <c r="AD948" s="253"/>
      <c r="AE948" s="253"/>
    </row>
    <row r="949" spans="1:31" ht="14.5">
      <c r="A949" t="s">
        <v>131</v>
      </c>
      <c r="B949" t="s">
        <v>217</v>
      </c>
      <c r="C949">
        <v>2112</v>
      </c>
      <c r="D949" s="581"/>
      <c r="E949" s="581"/>
      <c r="F949" s="2">
        <f>(1/S949)*cnst_fish!$C$6</f>
        <v>0.10941852286935322</v>
      </c>
      <c r="G949" s="2">
        <f t="shared" si="137"/>
        <v>1</v>
      </c>
      <c r="H949" s="2">
        <f t="shared" si="137"/>
        <v>0.36449057933102513</v>
      </c>
      <c r="I949" s="2">
        <f t="shared" si="129"/>
        <v>0</v>
      </c>
      <c r="J949" s="389">
        <f t="shared" si="130"/>
        <v>0</v>
      </c>
      <c r="L949" s="721">
        <v>16118</v>
      </c>
      <c r="M949" s="581"/>
      <c r="N949" s="585" t="s">
        <v>1738</v>
      </c>
      <c r="O949" s="586" t="s">
        <v>4685</v>
      </c>
      <c r="P949" s="233">
        <f t="shared" si="131"/>
        <v>0</v>
      </c>
      <c r="Q949" s="233">
        <f t="shared" si="132"/>
        <v>16118</v>
      </c>
      <c r="R949" s="2">
        <f t="shared" si="133"/>
        <v>3.44</v>
      </c>
      <c r="S949" s="2">
        <f>(1/9)*cnst_fish!$C$7*(1/cnst_fish!$C$8)^(R949-1)</f>
        <v>38.841686841948523</v>
      </c>
      <c r="T949" s="682">
        <f t="shared" si="134"/>
        <v>53691.632857008146</v>
      </c>
      <c r="W949" s="818"/>
      <c r="X949" s="818"/>
      <c r="Y949" s="819"/>
      <c r="Z949" s="820"/>
      <c r="AA949" s="820"/>
      <c r="AB949" s="821"/>
      <c r="AC949" s="821"/>
      <c r="AD949" s="253"/>
      <c r="AE949" s="253"/>
    </row>
    <row r="950" spans="1:31" ht="14.5">
      <c r="A950" t="s">
        <v>416</v>
      </c>
      <c r="B950" t="s">
        <v>218</v>
      </c>
      <c r="C950">
        <v>2924</v>
      </c>
      <c r="D950" s="581"/>
      <c r="E950" s="581"/>
      <c r="F950" s="2">
        <f>(1/S950)*cnst_fish!$C$6</f>
        <v>4.8875458843134996E-2</v>
      </c>
      <c r="G950" s="2">
        <f t="shared" si="137"/>
        <v>1</v>
      </c>
      <c r="H950" s="2">
        <f t="shared" si="137"/>
        <v>0.36449057933102513</v>
      </c>
      <c r="I950" s="2">
        <f t="shared" si="129"/>
        <v>0</v>
      </c>
      <c r="J950" s="389">
        <f t="shared" si="130"/>
        <v>0</v>
      </c>
      <c r="L950" s="721">
        <v>67693</v>
      </c>
      <c r="M950" s="581"/>
      <c r="N950" s="585" t="s">
        <v>1738</v>
      </c>
      <c r="O950" s="586" t="s">
        <v>4685</v>
      </c>
      <c r="P950" s="233">
        <f t="shared" si="131"/>
        <v>0</v>
      </c>
      <c r="Q950" s="233">
        <f t="shared" si="132"/>
        <v>67693</v>
      </c>
      <c r="R950" s="2">
        <f t="shared" si="133"/>
        <v>3.79</v>
      </c>
      <c r="S950" s="2">
        <f>(1/9)*cnst_fish!$C$7*(1/cnst_fish!$C$8)^(R950-1)</f>
        <v>86.955705390721903</v>
      </c>
      <c r="T950" s="682">
        <f t="shared" si="134"/>
        <v>504823.10285503737</v>
      </c>
      <c r="W950" s="818"/>
      <c r="X950" s="818"/>
      <c r="Y950" s="819"/>
      <c r="Z950" s="820"/>
      <c r="AA950" s="820"/>
      <c r="AB950" s="821"/>
      <c r="AC950" s="821"/>
      <c r="AD950" s="253"/>
      <c r="AE950" s="253"/>
    </row>
    <row r="951" spans="1:31" ht="14.5">
      <c r="A951" t="s">
        <v>3530</v>
      </c>
      <c r="B951" t="s">
        <v>4456</v>
      </c>
      <c r="C951">
        <v>3565</v>
      </c>
      <c r="D951" s="581"/>
      <c r="E951" s="581"/>
      <c r="F951" s="2">
        <f>(1/S951)*cnst_fish!$C$6</f>
        <v>4.7762917572805388E-2</v>
      </c>
      <c r="G951" s="2">
        <f t="shared" si="137"/>
        <v>1</v>
      </c>
      <c r="H951" s="2">
        <f t="shared" si="137"/>
        <v>0.36449057933102513</v>
      </c>
      <c r="I951" s="2">
        <f t="shared" si="129"/>
        <v>0</v>
      </c>
      <c r="J951" s="389">
        <f t="shared" si="130"/>
        <v>0</v>
      </c>
      <c r="L951" s="721">
        <v>301155</v>
      </c>
      <c r="M951" s="581"/>
      <c r="N951" s="585" t="s">
        <v>5197</v>
      </c>
      <c r="O951" s="586" t="s">
        <v>4675</v>
      </c>
      <c r="P951" s="233">
        <f t="shared" si="131"/>
        <v>0</v>
      </c>
      <c r="Q951" s="233">
        <f t="shared" si="132"/>
        <v>301155</v>
      </c>
      <c r="R951" s="2">
        <f t="shared" si="133"/>
        <v>3.8</v>
      </c>
      <c r="S951" s="2">
        <f>(1/9)*cnst_fish!$C$7*(1/cnst_fish!$C$8)^(R951-1)</f>
        <v>88.981163965155432</v>
      </c>
      <c r="T951" s="682">
        <f t="shared" si="134"/>
        <v>2298187.92478735</v>
      </c>
      <c r="W951" s="818"/>
      <c r="X951" s="818"/>
      <c r="Y951" s="819"/>
      <c r="Z951" s="820"/>
      <c r="AA951" s="820"/>
      <c r="AB951" s="821"/>
      <c r="AC951" s="821"/>
      <c r="AD951" s="253"/>
      <c r="AE951" s="253"/>
    </row>
    <row r="952" spans="1:31" ht="14.5">
      <c r="A952" t="s">
        <v>2814</v>
      </c>
      <c r="B952" t="s">
        <v>4457</v>
      </c>
      <c r="C952">
        <v>3564</v>
      </c>
      <c r="D952" s="581"/>
      <c r="E952" s="581"/>
      <c r="F952" s="2">
        <f>(1/S952)*cnst_fish!$C$6</f>
        <v>2.1334911593031029E-2</v>
      </c>
      <c r="G952" s="2">
        <f t="shared" si="137"/>
        <v>1</v>
      </c>
      <c r="H952" s="2">
        <f t="shared" si="137"/>
        <v>0.36449057933102513</v>
      </c>
      <c r="I952" s="2">
        <f t="shared" si="129"/>
        <v>0</v>
      </c>
      <c r="J952" s="389">
        <f t="shared" si="130"/>
        <v>0</v>
      </c>
      <c r="L952" s="721">
        <v>5865</v>
      </c>
      <c r="M952" s="581"/>
      <c r="N952" s="585" t="s">
        <v>5197</v>
      </c>
      <c r="O952" s="586" t="s">
        <v>4675</v>
      </c>
      <c r="P952" s="233">
        <f t="shared" si="131"/>
        <v>0</v>
      </c>
      <c r="Q952" s="233">
        <f t="shared" si="132"/>
        <v>5865</v>
      </c>
      <c r="R952" s="2">
        <f t="shared" si="133"/>
        <v>4.1500000000000004</v>
      </c>
      <c r="S952" s="2">
        <f>(1/9)*cnst_fish!$C$7*(1/cnst_fish!$C$8)^(R952-1)</f>
        <v>199.20401270320929</v>
      </c>
      <c r="T952" s="682">
        <f t="shared" si="134"/>
        <v>100199.02067345554</v>
      </c>
      <c r="W952" s="818"/>
      <c r="X952" s="818"/>
      <c r="Y952" s="819"/>
      <c r="Z952" s="820"/>
      <c r="AA952" s="820"/>
      <c r="AB952" s="821"/>
      <c r="AC952" s="821"/>
      <c r="AD952" s="253"/>
      <c r="AE952" s="253"/>
    </row>
    <row r="953" spans="1:31" ht="14.5">
      <c r="A953" t="s">
        <v>1889</v>
      </c>
      <c r="B953" t="s">
        <v>4458</v>
      </c>
      <c r="C953">
        <v>2720</v>
      </c>
      <c r="D953" s="581">
        <v>1274</v>
      </c>
      <c r="E953" s="581"/>
      <c r="F953" s="2">
        <f>(1/S953)*cnst_fish!$C$6</f>
        <v>3.1556646698079359E-2</v>
      </c>
      <c r="G953" s="2">
        <f t="shared" si="137"/>
        <v>1</v>
      </c>
      <c r="H953" s="2">
        <f t="shared" si="137"/>
        <v>0.36449057933102513</v>
      </c>
      <c r="I953" s="2">
        <f t="shared" si="129"/>
        <v>14715.156604265832</v>
      </c>
      <c r="J953" s="389">
        <f t="shared" si="130"/>
        <v>0</v>
      </c>
      <c r="L953" s="721">
        <v>28350</v>
      </c>
      <c r="M953" s="581"/>
      <c r="N953" s="585" t="s">
        <v>5197</v>
      </c>
      <c r="O953" s="586" t="s">
        <v>4675</v>
      </c>
      <c r="P953" s="233">
        <f t="shared" si="131"/>
        <v>1274</v>
      </c>
      <c r="Q953" s="233">
        <f t="shared" si="132"/>
        <v>28350</v>
      </c>
      <c r="R953" s="2">
        <f t="shared" si="133"/>
        <v>3.98</v>
      </c>
      <c r="S953" s="2">
        <f>(1/9)*cnst_fish!$C$7*(1/cnst_fish!$C$8)^(R953-1)</f>
        <v>134.67844161840773</v>
      </c>
      <c r="T953" s="682">
        <f t="shared" si="134"/>
        <v>327452.66069932206</v>
      </c>
      <c r="W953" s="818"/>
      <c r="X953" s="818"/>
      <c r="Y953" s="819"/>
      <c r="Z953" s="820"/>
      <c r="AA953" s="820"/>
      <c r="AB953" s="821"/>
      <c r="AC953" s="821"/>
      <c r="AD953" s="253"/>
      <c r="AE953" s="253"/>
    </row>
    <row r="954" spans="1:31" ht="14.5">
      <c r="A954" t="s">
        <v>2933</v>
      </c>
      <c r="B954" t="s">
        <v>838</v>
      </c>
      <c r="C954">
        <v>3625</v>
      </c>
      <c r="D954" s="581"/>
      <c r="E954" s="581"/>
      <c r="F954" s="2">
        <f>(1/S954)*cnst_fish!$C$6</f>
        <v>1.5103960722494616</v>
      </c>
      <c r="G954" s="2">
        <f t="shared" si="137"/>
        <v>1</v>
      </c>
      <c r="H954" s="2">
        <f t="shared" si="137"/>
        <v>0.36449057933102513</v>
      </c>
      <c r="I954" s="2">
        <f t="shared" si="129"/>
        <v>0</v>
      </c>
      <c r="J954" s="389">
        <f t="shared" si="130"/>
        <v>0</v>
      </c>
      <c r="L954" s="721">
        <v>115667.39</v>
      </c>
      <c r="M954" s="581">
        <v>24490</v>
      </c>
      <c r="N954" s="585" t="s">
        <v>1738</v>
      </c>
      <c r="O954" s="586"/>
      <c r="P954" s="233">
        <f t="shared" si="131"/>
        <v>0</v>
      </c>
      <c r="Q954" s="233">
        <f t="shared" si="132"/>
        <v>140157.39000000001</v>
      </c>
      <c r="R954" s="2">
        <f t="shared" si="133"/>
        <v>2.2999999999999998</v>
      </c>
      <c r="S954" s="2">
        <f>(1/9)*cnst_fish!$C$7*(1/cnst_fish!$C$8)^(R954-1)</f>
        <v>2.8138314698279068</v>
      </c>
      <c r="T954" s="682">
        <f t="shared" si="134"/>
        <v>33822.948309539104</v>
      </c>
      <c r="W954" s="818"/>
      <c r="X954" s="818"/>
      <c r="Y954" s="819"/>
      <c r="Z954" s="820"/>
      <c r="AA954" s="820"/>
      <c r="AB954" s="821"/>
      <c r="AC954" s="821"/>
      <c r="AD954" s="253"/>
      <c r="AE954" s="253"/>
    </row>
    <row r="955" spans="1:31" ht="14.5">
      <c r="A955" t="s">
        <v>4323</v>
      </c>
      <c r="B955" t="s">
        <v>3000</v>
      </c>
      <c r="C955">
        <v>3143</v>
      </c>
      <c r="D955" s="581"/>
      <c r="E955" s="581"/>
      <c r="F955" s="2">
        <f>(1/S955)*cnst_fish!$C$6</f>
        <v>0.37075827047664034</v>
      </c>
      <c r="G955" s="2">
        <f t="shared" si="137"/>
        <v>1</v>
      </c>
      <c r="H955" s="2">
        <f t="shared" si="137"/>
        <v>0.36449057933102513</v>
      </c>
      <c r="I955" s="2">
        <f t="shared" si="129"/>
        <v>0</v>
      </c>
      <c r="J955" s="389">
        <f t="shared" si="130"/>
        <v>0</v>
      </c>
      <c r="L955" s="721">
        <v>1950</v>
      </c>
      <c r="M955" s="581"/>
      <c r="N955" s="585" t="s">
        <v>1738</v>
      </c>
      <c r="O955" s="586" t="s">
        <v>4681</v>
      </c>
      <c r="P955" s="233">
        <f t="shared" si="131"/>
        <v>0</v>
      </c>
      <c r="Q955" s="233">
        <f t="shared" si="132"/>
        <v>1950</v>
      </c>
      <c r="R955" s="2">
        <f t="shared" si="133"/>
        <v>2.91</v>
      </c>
      <c r="S955" s="2">
        <f>(1/9)*cnst_fish!$C$7*(1/cnst_fish!$C$8)^(R955-1)</f>
        <v>11.462994458724479</v>
      </c>
      <c r="T955" s="682">
        <f t="shared" si="134"/>
        <v>1917.0351312238099</v>
      </c>
      <c r="W955" s="818"/>
      <c r="X955" s="818"/>
      <c r="Y955" s="819"/>
      <c r="Z955" s="820"/>
      <c r="AA955" s="820"/>
      <c r="AB955" s="821"/>
      <c r="AC955" s="821"/>
      <c r="AD955" s="253"/>
      <c r="AE955" s="253"/>
    </row>
    <row r="956" spans="1:31" ht="14.5">
      <c r="A956" t="s">
        <v>6256</v>
      </c>
      <c r="B956" t="s">
        <v>6255</v>
      </c>
      <c r="C956">
        <v>12890</v>
      </c>
      <c r="D956" s="581"/>
      <c r="E956" s="581"/>
      <c r="F956" s="2">
        <f>(1/S956)*cnst_fish!$C$6</f>
        <v>3.0136363636363641</v>
      </c>
      <c r="G956" s="2">
        <f t="shared" si="137"/>
        <v>1</v>
      </c>
      <c r="H956" s="2">
        <f t="shared" si="137"/>
        <v>0.36449057933102513</v>
      </c>
      <c r="I956" s="2">
        <f t="shared" si="129"/>
        <v>0</v>
      </c>
      <c r="J956" s="389">
        <f t="shared" si="130"/>
        <v>0</v>
      </c>
      <c r="L956" s="721">
        <v>82</v>
      </c>
      <c r="M956" s="581"/>
      <c r="N956" s="585" t="s">
        <v>1738</v>
      </c>
      <c r="O956" s="586" t="s">
        <v>4681</v>
      </c>
      <c r="P956" s="233">
        <f t="shared" si="131"/>
        <v>0</v>
      </c>
      <c r="Q956" s="233">
        <f t="shared" si="132"/>
        <v>82</v>
      </c>
      <c r="R956" s="2">
        <f t="shared" si="133"/>
        <v>2</v>
      </c>
      <c r="S956" s="2">
        <f>(1/9)*cnst_fish!$C$7*(1/cnst_fish!$C$8)^(R956-1)</f>
        <v>1.4102564102564099</v>
      </c>
      <c r="T956" s="682">
        <f t="shared" si="134"/>
        <v>9.917662218901496</v>
      </c>
      <c r="W956" s="818"/>
      <c r="X956" s="818"/>
      <c r="Y956" s="819"/>
      <c r="Z956" s="820"/>
      <c r="AA956" s="820"/>
      <c r="AB956" s="821"/>
      <c r="AC956" s="821"/>
      <c r="AD956" s="253"/>
      <c r="AE956" s="253"/>
    </row>
    <row r="957" spans="1:31" ht="14.5">
      <c r="A957" t="s">
        <v>8316</v>
      </c>
      <c r="B957" t="s">
        <v>8317</v>
      </c>
      <c r="C957">
        <v>12892</v>
      </c>
      <c r="D957" s="581"/>
      <c r="E957" s="581"/>
      <c r="F957" s="2">
        <f>(1/S957)*cnst_fish!$C$6</f>
        <v>7.5699122913220479E-2</v>
      </c>
      <c r="G957" s="2">
        <f t="shared" si="137"/>
        <v>1</v>
      </c>
      <c r="H957" s="2">
        <f t="shared" si="137"/>
        <v>0.36449057933102513</v>
      </c>
      <c r="I957" s="2">
        <f t="shared" si="129"/>
        <v>0</v>
      </c>
      <c r="J957" s="389">
        <f t="shared" si="130"/>
        <v>0</v>
      </c>
      <c r="L957" s="721"/>
      <c r="M957" s="581"/>
      <c r="N957" s="585" t="s">
        <v>1741</v>
      </c>
      <c r="O957" s="586" t="s">
        <v>4681</v>
      </c>
      <c r="P957" s="233">
        <f t="shared" si="131"/>
        <v>0</v>
      </c>
      <c r="Q957" s="233">
        <f t="shared" si="132"/>
        <v>0</v>
      </c>
      <c r="R957" s="2">
        <f t="shared" si="133"/>
        <v>3.6</v>
      </c>
      <c r="S957" s="2">
        <f>(1/9)*cnst_fish!$C$7*(1/cnst_fish!$C$8)^(R957-1)</f>
        <v>56.143318924211187</v>
      </c>
      <c r="T957" s="682">
        <f t="shared" si="134"/>
        <v>0</v>
      </c>
      <c r="W957" s="818"/>
      <c r="X957" s="818"/>
      <c r="Y957" s="819"/>
      <c r="Z957" s="820"/>
      <c r="AA957" s="820"/>
      <c r="AB957" s="821"/>
      <c r="AC957" s="821"/>
      <c r="AD957" s="253"/>
      <c r="AE957" s="253"/>
    </row>
    <row r="958" spans="1:31" ht="14.5">
      <c r="A958" t="s">
        <v>4400</v>
      </c>
      <c r="B958" t="s">
        <v>4120</v>
      </c>
      <c r="C958">
        <v>3300</v>
      </c>
      <c r="D958" s="581"/>
      <c r="E958" s="581"/>
      <c r="F958" s="2">
        <f>(1/S958)*cnst_fish!$C$6</f>
        <v>1.0211530705467781E-2</v>
      </c>
      <c r="G958" s="2">
        <f t="shared" si="137"/>
        <v>1</v>
      </c>
      <c r="H958" s="2">
        <f t="shared" si="137"/>
        <v>0.36449057933102513</v>
      </c>
      <c r="I958" s="2">
        <f t="shared" si="129"/>
        <v>0</v>
      </c>
      <c r="J958" s="389">
        <f t="shared" si="130"/>
        <v>0</v>
      </c>
      <c r="L958" s="721">
        <v>6087.17</v>
      </c>
      <c r="M958" s="581"/>
      <c r="N958" s="585" t="s">
        <v>1738</v>
      </c>
      <c r="O958" s="586" t="s">
        <v>4699</v>
      </c>
      <c r="P958" s="233">
        <f t="shared" si="131"/>
        <v>0</v>
      </c>
      <c r="Q958" s="233">
        <f t="shared" si="132"/>
        <v>6087.17</v>
      </c>
      <c r="R958" s="2">
        <f t="shared" si="133"/>
        <v>4.47</v>
      </c>
      <c r="S958" s="2">
        <f>(1/9)*cnst_fish!$C$7*(1/cnst_fish!$C$8)^(R958-1)</f>
        <v>416.19617299141356</v>
      </c>
      <c r="T958" s="682">
        <f t="shared" si="134"/>
        <v>217275.56659046432</v>
      </c>
      <c r="W958" s="818"/>
      <c r="X958" s="818"/>
      <c r="Y958" s="819"/>
      <c r="Z958" s="820"/>
      <c r="AA958" s="820"/>
      <c r="AB958" s="821"/>
      <c r="AC958" s="821"/>
      <c r="AD958" s="253"/>
      <c r="AE958" s="253"/>
    </row>
    <row r="959" spans="1:31" ht="14.5">
      <c r="A959" t="s">
        <v>2958</v>
      </c>
      <c r="B959" t="s">
        <v>2407</v>
      </c>
      <c r="C959">
        <v>2499</v>
      </c>
      <c r="D959" s="581"/>
      <c r="E959" s="581"/>
      <c r="F959" s="2">
        <f>(1/S959)*cnst_fish!$C$6</f>
        <v>9.5299549485983424E-3</v>
      </c>
      <c r="G959" s="2">
        <f t="shared" si="137"/>
        <v>1</v>
      </c>
      <c r="H959" s="2">
        <f t="shared" si="137"/>
        <v>0.36449057933102513</v>
      </c>
      <c r="I959" s="2">
        <f t="shared" si="129"/>
        <v>0</v>
      </c>
      <c r="J959" s="389">
        <f t="shared" si="130"/>
        <v>0</v>
      </c>
      <c r="L959" s="721">
        <v>2755.79</v>
      </c>
      <c r="M959" s="581"/>
      <c r="N959" s="585" t="s">
        <v>1738</v>
      </c>
      <c r="O959" s="586" t="s">
        <v>4699</v>
      </c>
      <c r="P959" s="233">
        <f t="shared" si="131"/>
        <v>0</v>
      </c>
      <c r="Q959" s="233">
        <f t="shared" si="132"/>
        <v>2755.79</v>
      </c>
      <c r="R959" s="2">
        <f t="shared" si="133"/>
        <v>4.5</v>
      </c>
      <c r="S959" s="2">
        <f>(1/9)*cnst_fish!$C$7*(1/cnst_fish!$C$8)^(R959-1)</f>
        <v>445.96223412630997</v>
      </c>
      <c r="T959" s="682">
        <f t="shared" si="134"/>
        <v>105400.2352615928</v>
      </c>
      <c r="W959" s="818"/>
      <c r="X959" s="818"/>
      <c r="Y959" s="819"/>
      <c r="Z959" s="820"/>
      <c r="AA959" s="820"/>
      <c r="AB959" s="821"/>
      <c r="AC959" s="821"/>
      <c r="AD959" s="253"/>
      <c r="AE959" s="253"/>
    </row>
    <row r="960" spans="1:31" ht="14.5">
      <c r="A960" t="s">
        <v>5050</v>
      </c>
      <c r="B960" t="s">
        <v>2408</v>
      </c>
      <c r="C960">
        <v>3301</v>
      </c>
      <c r="D960" s="581"/>
      <c r="E960" s="581"/>
      <c r="F960" s="2">
        <f>(1/S960)*cnst_fish!$C$6</f>
        <v>9.5299549485983424E-3</v>
      </c>
      <c r="G960" s="2">
        <f t="shared" si="137"/>
        <v>1</v>
      </c>
      <c r="H960" s="2">
        <f t="shared" si="137"/>
        <v>0.36449057933102513</v>
      </c>
      <c r="I960" s="2">
        <f t="shared" si="129"/>
        <v>0</v>
      </c>
      <c r="J960" s="389">
        <f t="shared" si="130"/>
        <v>0</v>
      </c>
      <c r="L960" s="721">
        <v>42498.53</v>
      </c>
      <c r="M960" s="581"/>
      <c r="N960" s="585" t="s">
        <v>1738</v>
      </c>
      <c r="O960" s="586" t="s">
        <v>4699</v>
      </c>
      <c r="P960" s="233">
        <f t="shared" si="131"/>
        <v>0</v>
      </c>
      <c r="Q960" s="233">
        <f t="shared" si="132"/>
        <v>42498.53</v>
      </c>
      <c r="R960" s="2">
        <f t="shared" si="133"/>
        <v>4.5</v>
      </c>
      <c r="S960" s="2">
        <f>(1/9)*cnst_fish!$C$7*(1/cnst_fish!$C$8)^(R960-1)</f>
        <v>445.96223412630997</v>
      </c>
      <c r="T960" s="682">
        <f t="shared" si="134"/>
        <v>1625434.107922541</v>
      </c>
      <c r="W960" s="818"/>
      <c r="X960" s="818"/>
      <c r="Y960" s="819"/>
      <c r="Z960" s="820"/>
      <c r="AA960" s="820"/>
      <c r="AB960" s="821"/>
      <c r="AC960" s="821"/>
      <c r="AD960" s="253"/>
      <c r="AE960" s="253"/>
    </row>
    <row r="961" spans="1:31" ht="14.5">
      <c r="A961" t="s">
        <v>129</v>
      </c>
      <c r="B961" t="s">
        <v>4840</v>
      </c>
      <c r="C961">
        <v>2011</v>
      </c>
      <c r="D961" s="581">
        <v>55</v>
      </c>
      <c r="E961" s="581"/>
      <c r="F961" s="2">
        <f>(1/S961)*cnst_fish!$C$6</f>
        <v>9.5299549485983424E-3</v>
      </c>
      <c r="G961" s="2">
        <f t="shared" si="137"/>
        <v>1</v>
      </c>
      <c r="H961" s="2">
        <f t="shared" si="137"/>
        <v>0.36449057933102513</v>
      </c>
      <c r="I961" s="2">
        <f t="shared" si="129"/>
        <v>2103.5757221659142</v>
      </c>
      <c r="J961" s="389">
        <f t="shared" si="130"/>
        <v>0</v>
      </c>
      <c r="L961" s="721">
        <v>11493.369999999999</v>
      </c>
      <c r="M961" s="581"/>
      <c r="N961" s="585" t="s">
        <v>1738</v>
      </c>
      <c r="O961" s="586" t="s">
        <v>4681</v>
      </c>
      <c r="P961" s="233">
        <f t="shared" si="131"/>
        <v>55</v>
      </c>
      <c r="Q961" s="233">
        <f t="shared" si="132"/>
        <v>11493.369999999999</v>
      </c>
      <c r="R961" s="2">
        <f t="shared" si="133"/>
        <v>4.5</v>
      </c>
      <c r="S961" s="2">
        <f>(1/9)*cnst_fish!$C$7*(1/cnst_fish!$C$8)^(R961-1)</f>
        <v>445.96223412630997</v>
      </c>
      <c r="T961" s="682">
        <f t="shared" si="134"/>
        <v>439584.98359763715</v>
      </c>
      <c r="W961" s="818"/>
      <c r="X961" s="818"/>
      <c r="Y961" s="819"/>
      <c r="Z961" s="820"/>
      <c r="AA961" s="820"/>
      <c r="AB961" s="821"/>
      <c r="AC961" s="821"/>
      <c r="AD961" s="253"/>
      <c r="AE961" s="253"/>
    </row>
    <row r="962" spans="1:31" ht="14.5">
      <c r="A962" t="s">
        <v>4361</v>
      </c>
      <c r="B962" t="s">
        <v>4841</v>
      </c>
      <c r="C962">
        <v>2797</v>
      </c>
      <c r="D962" s="581"/>
      <c r="E962" s="581"/>
      <c r="F962" s="2">
        <f>(1/S962)*cnst_fish!$C$6</f>
        <v>9.5299549485983424E-3</v>
      </c>
      <c r="G962" s="2">
        <f t="shared" si="137"/>
        <v>1</v>
      </c>
      <c r="H962" s="2">
        <f t="shared" si="137"/>
        <v>0.36449057933102513</v>
      </c>
      <c r="I962" s="2">
        <f t="shared" si="129"/>
        <v>0</v>
      </c>
      <c r="J962" s="389">
        <f t="shared" si="130"/>
        <v>0</v>
      </c>
      <c r="L962" s="721">
        <v>148</v>
      </c>
      <c r="M962" s="581"/>
      <c r="N962" s="585" t="s">
        <v>1738</v>
      </c>
      <c r="O962" s="586" t="s">
        <v>4681</v>
      </c>
      <c r="P962" s="233">
        <f t="shared" si="131"/>
        <v>0</v>
      </c>
      <c r="Q962" s="233">
        <f t="shared" si="132"/>
        <v>148</v>
      </c>
      <c r="R962" s="2">
        <f t="shared" si="133"/>
        <v>4.5</v>
      </c>
      <c r="S962" s="2">
        <f>(1/9)*cnst_fish!$C$7*(1/cnst_fish!$C$8)^(R962-1)</f>
        <v>445.96223412630997</v>
      </c>
      <c r="T962" s="682">
        <f t="shared" si="134"/>
        <v>5660.5310341919139</v>
      </c>
      <c r="W962" s="818"/>
      <c r="X962" s="818"/>
      <c r="Y962" s="819"/>
      <c r="Z962" s="820"/>
      <c r="AA962" s="820"/>
      <c r="AB962" s="821"/>
      <c r="AC962" s="821"/>
      <c r="AD962" s="253"/>
      <c r="AE962" s="253"/>
    </row>
    <row r="963" spans="1:31" ht="14.5">
      <c r="A963" t="s">
        <v>4131</v>
      </c>
      <c r="B963" t="s">
        <v>4842</v>
      </c>
      <c r="C963">
        <v>2010</v>
      </c>
      <c r="D963" s="581"/>
      <c r="E963" s="581"/>
      <c r="F963" s="2">
        <f>(1/S963)*cnst_fish!$C$6</f>
        <v>9.5299549485983424E-3</v>
      </c>
      <c r="G963" s="2">
        <f t="shared" si="137"/>
        <v>1</v>
      </c>
      <c r="H963" s="2">
        <f t="shared" si="137"/>
        <v>0.36449057933102513</v>
      </c>
      <c r="I963" s="2">
        <f t="shared" si="129"/>
        <v>0</v>
      </c>
      <c r="J963" s="389">
        <f t="shared" si="130"/>
        <v>0</v>
      </c>
      <c r="L963" s="721">
        <v>72</v>
      </c>
      <c r="M963" s="581"/>
      <c r="N963" s="585" t="s">
        <v>3785</v>
      </c>
      <c r="O963" s="586" t="s">
        <v>4681</v>
      </c>
      <c r="P963" s="233">
        <f t="shared" si="131"/>
        <v>0</v>
      </c>
      <c r="Q963" s="233">
        <f t="shared" si="132"/>
        <v>72</v>
      </c>
      <c r="R963" s="2">
        <f t="shared" si="133"/>
        <v>4.5</v>
      </c>
      <c r="S963" s="2">
        <f>(1/9)*cnst_fish!$C$7*(1/cnst_fish!$C$8)^(R963-1)</f>
        <v>445.96223412630997</v>
      </c>
      <c r="T963" s="682">
        <f t="shared" si="134"/>
        <v>2753.7718544717418</v>
      </c>
      <c r="W963" s="818"/>
      <c r="X963" s="818"/>
      <c r="Y963" s="819"/>
      <c r="Z963" s="820"/>
      <c r="AA963" s="820"/>
      <c r="AB963" s="821"/>
      <c r="AC963" s="821"/>
      <c r="AD963" s="253"/>
      <c r="AE963" s="253"/>
    </row>
    <row r="964" spans="1:31" ht="14.5">
      <c r="A964" t="s">
        <v>5525</v>
      </c>
      <c r="B964" t="s">
        <v>2160</v>
      </c>
      <c r="C964">
        <v>3450</v>
      </c>
      <c r="D964" s="581"/>
      <c r="E964" s="581"/>
      <c r="F964" s="2">
        <f>(1/S964)*cnst_fish!$C$6</f>
        <v>0.75699122913220485</v>
      </c>
      <c r="G964" s="2">
        <f t="shared" si="137"/>
        <v>1</v>
      </c>
      <c r="H964" s="2">
        <f t="shared" si="137"/>
        <v>0.36449057933102513</v>
      </c>
      <c r="I964" s="2">
        <f t="shared" si="129"/>
        <v>0</v>
      </c>
      <c r="J964" s="389">
        <f t="shared" si="130"/>
        <v>0</v>
      </c>
      <c r="L964" s="721">
        <v>2660</v>
      </c>
      <c r="M964" s="581"/>
      <c r="N964" s="585" t="s">
        <v>2312</v>
      </c>
      <c r="O964" s="586" t="s">
        <v>4680</v>
      </c>
      <c r="P964" s="233">
        <f t="shared" si="131"/>
        <v>0</v>
      </c>
      <c r="Q964" s="233">
        <f t="shared" si="132"/>
        <v>2660</v>
      </c>
      <c r="R964" s="2">
        <f t="shared" si="133"/>
        <v>2.6</v>
      </c>
      <c r="S964" s="2">
        <f>(1/9)*cnst_fish!$C$7*(1/cnst_fish!$C$8)^(R964-1)</f>
        <v>5.6143318924211183</v>
      </c>
      <c r="T964" s="682">
        <f t="shared" si="134"/>
        <v>1280.7875490604931</v>
      </c>
      <c r="W964" s="818"/>
      <c r="X964" s="818"/>
      <c r="Y964" s="819"/>
      <c r="Z964" s="820"/>
      <c r="AA964" s="820"/>
      <c r="AB964" s="821"/>
      <c r="AC964" s="821"/>
      <c r="AD964" s="253"/>
      <c r="AE964" s="253"/>
    </row>
    <row r="965" spans="1:31" ht="14.5">
      <c r="A965" t="s">
        <v>2289</v>
      </c>
      <c r="B965" t="s">
        <v>2161</v>
      </c>
      <c r="C965">
        <v>3448</v>
      </c>
      <c r="D965" s="581"/>
      <c r="E965" s="581"/>
      <c r="F965" s="2">
        <f>(1/S965)*cnst_fish!$C$6</f>
        <v>0.75699122913220485</v>
      </c>
      <c r="G965" s="2">
        <f t="shared" si="137"/>
        <v>1</v>
      </c>
      <c r="H965" s="2">
        <f t="shared" si="137"/>
        <v>0.36449057933102513</v>
      </c>
      <c r="I965" s="2">
        <f t="shared" si="129"/>
        <v>0</v>
      </c>
      <c r="J965" s="389">
        <f t="shared" si="130"/>
        <v>0</v>
      </c>
      <c r="L965" s="721">
        <v>68</v>
      </c>
      <c r="M965" s="581"/>
      <c r="N965" s="585" t="s">
        <v>2312</v>
      </c>
      <c r="O965" s="586" t="s">
        <v>4680</v>
      </c>
      <c r="P965" s="233">
        <f t="shared" si="131"/>
        <v>0</v>
      </c>
      <c r="Q965" s="233">
        <f t="shared" si="132"/>
        <v>68</v>
      </c>
      <c r="R965" s="2">
        <f t="shared" si="133"/>
        <v>2.6</v>
      </c>
      <c r="S965" s="2">
        <f>(1/9)*cnst_fish!$C$7*(1/cnst_fish!$C$8)^(R965-1)</f>
        <v>5.6143318924211183</v>
      </c>
      <c r="T965" s="682">
        <f t="shared" si="134"/>
        <v>32.741937344403588</v>
      </c>
      <c r="W965" s="818"/>
      <c r="X965" s="818"/>
      <c r="Y965" s="819"/>
      <c r="Z965" s="820"/>
      <c r="AA965" s="820"/>
      <c r="AB965" s="821"/>
      <c r="AC965" s="821"/>
      <c r="AD965" s="253"/>
      <c r="AE965" s="253"/>
    </row>
    <row r="966" spans="1:31" ht="14.5">
      <c r="A966" t="s">
        <v>1220</v>
      </c>
      <c r="B966" t="s">
        <v>2162</v>
      </c>
      <c r="C966">
        <v>3447</v>
      </c>
      <c r="D966" s="581"/>
      <c r="E966" s="581"/>
      <c r="F966" s="2">
        <f>(1/S966)*cnst_fish!$C$6</f>
        <v>0.75699122913220485</v>
      </c>
      <c r="G966" s="2">
        <f t="shared" si="137"/>
        <v>1</v>
      </c>
      <c r="H966" s="2">
        <f t="shared" si="137"/>
        <v>0.36449057933102513</v>
      </c>
      <c r="I966" s="2">
        <f t="shared" si="129"/>
        <v>0</v>
      </c>
      <c r="J966" s="389">
        <f t="shared" si="130"/>
        <v>0</v>
      </c>
      <c r="L966" s="721">
        <v>1392</v>
      </c>
      <c r="M966" s="581"/>
      <c r="N966" s="585" t="s">
        <v>2312</v>
      </c>
      <c r="O966" s="586" t="s">
        <v>4680</v>
      </c>
      <c r="P966" s="233">
        <f t="shared" si="131"/>
        <v>0</v>
      </c>
      <c r="Q966" s="233">
        <f t="shared" si="132"/>
        <v>1392</v>
      </c>
      <c r="R966" s="2">
        <f t="shared" si="133"/>
        <v>2.6</v>
      </c>
      <c r="S966" s="2">
        <f>(1/9)*cnst_fish!$C$7*(1/cnst_fish!$C$8)^(R966-1)</f>
        <v>5.6143318924211183</v>
      </c>
      <c r="T966" s="682">
        <f t="shared" si="134"/>
        <v>670.2467174030852</v>
      </c>
      <c r="W966" s="818"/>
      <c r="X966" s="818"/>
      <c r="Y966" s="819"/>
      <c r="Z966" s="820"/>
      <c r="AA966" s="820"/>
      <c r="AB966" s="821"/>
      <c r="AC966" s="821"/>
      <c r="AD966" s="253"/>
      <c r="AE966" s="253"/>
    </row>
    <row r="967" spans="1:31" ht="14.5">
      <c r="A967" t="s">
        <v>2926</v>
      </c>
      <c r="B967" t="s">
        <v>3762</v>
      </c>
      <c r="C967">
        <v>16285</v>
      </c>
      <c r="D967" s="581"/>
      <c r="E967" s="581"/>
      <c r="F967" s="2">
        <f>(1/S967)*cnst_fish!$C$6</f>
        <v>0.3314045734418738</v>
      </c>
      <c r="G967" s="2">
        <f t="shared" si="137"/>
        <v>1</v>
      </c>
      <c r="H967" s="2">
        <f t="shared" si="137"/>
        <v>0.36449057933102513</v>
      </c>
      <c r="I967" s="2">
        <f t="shared" ref="I967:I1030" si="138">IF($F967=0,0,D967/$F967*$H967*$G967)</f>
        <v>0</v>
      </c>
      <c r="J967" s="389">
        <f t="shared" ref="J967:J1030" si="139">IF($F967=0,0,E967/$F967*$H967*$G967)</f>
        <v>0</v>
      </c>
      <c r="L967" s="721">
        <v>2950</v>
      </c>
      <c r="M967" s="581"/>
      <c r="N967" s="585" t="s">
        <v>2312</v>
      </c>
      <c r="O967" s="586" t="s">
        <v>4680</v>
      </c>
      <c r="P967" s="233">
        <f t="shared" ref="P967:P1030" si="140">D967+E967</f>
        <v>0</v>
      </c>
      <c r="Q967" s="233">
        <f t="shared" ref="Q967:Q1030" si="141">L967+M967</f>
        <v>2950</v>
      </c>
      <c r="R967" s="2">
        <f t="shared" ref="R967:R1030" si="142">VLOOKUP(B967,constant_fish_trophic,3,FALSE)</f>
        <v>2.9587323501170402</v>
      </c>
      <c r="S967" s="2">
        <f>(1/9)*cnst_fish!$C$7*(1/cnst_fish!$C$8)^(R967-1)</f>
        <v>12.824204433453367</v>
      </c>
      <c r="T967" s="682">
        <f t="shared" ref="T967:T1030" si="143">IF(F967=0,0,Q967/F967*H967*G967)</f>
        <v>3244.5153000132495</v>
      </c>
      <c r="W967" s="818"/>
      <c r="X967" s="818"/>
      <c r="Y967" s="819"/>
      <c r="Z967" s="820"/>
      <c r="AA967" s="820"/>
      <c r="AB967" s="821"/>
      <c r="AC967" s="821"/>
      <c r="AD967" s="253"/>
      <c r="AE967" s="253"/>
    </row>
    <row r="968" spans="1:31" ht="14.5">
      <c r="A968" t="s">
        <v>4653</v>
      </c>
      <c r="B968" t="s">
        <v>3763</v>
      </c>
      <c r="C968">
        <v>16284</v>
      </c>
      <c r="D968" s="581"/>
      <c r="E968" s="581"/>
      <c r="F968" s="2">
        <f>(1/S968)*cnst_fish!$C$6</f>
        <v>0.3314045734418738</v>
      </c>
      <c r="G968" s="2">
        <f t="shared" ref="G968:H987" si="144">G$7</f>
        <v>1</v>
      </c>
      <c r="H968" s="2">
        <f t="shared" si="144"/>
        <v>0.36449057933102513</v>
      </c>
      <c r="I968" s="2">
        <f t="shared" si="138"/>
        <v>0</v>
      </c>
      <c r="J968" s="389">
        <f t="shared" si="139"/>
        <v>0</v>
      </c>
      <c r="L968" s="721">
        <v>355</v>
      </c>
      <c r="M968" s="581"/>
      <c r="N968" s="585" t="s">
        <v>2312</v>
      </c>
      <c r="O968" s="586" t="s">
        <v>4680</v>
      </c>
      <c r="P968" s="233">
        <f t="shared" si="140"/>
        <v>0</v>
      </c>
      <c r="Q968" s="233">
        <f t="shared" si="141"/>
        <v>355</v>
      </c>
      <c r="R968" s="2">
        <f t="shared" si="142"/>
        <v>2.9587323501170402</v>
      </c>
      <c r="S968" s="2">
        <f>(1/9)*cnst_fish!$C$7*(1/cnst_fish!$C$8)^(R968-1)</f>
        <v>12.824204433453367</v>
      </c>
      <c r="T968" s="682">
        <f t="shared" si="143"/>
        <v>390.44167169650973</v>
      </c>
      <c r="W968" s="818"/>
      <c r="X968" s="818"/>
      <c r="Y968" s="819"/>
      <c r="Z968" s="820"/>
      <c r="AA968" s="820"/>
      <c r="AB968" s="821"/>
      <c r="AC968" s="821"/>
      <c r="AD968" s="253"/>
      <c r="AE968" s="253"/>
    </row>
    <row r="969" spans="1:31" ht="14.5">
      <c r="A969" t="s">
        <v>262</v>
      </c>
      <c r="B969" t="s">
        <v>5161</v>
      </c>
      <c r="C969">
        <v>3449</v>
      </c>
      <c r="D969" s="581"/>
      <c r="E969" s="581"/>
      <c r="F969" s="2">
        <f>(1/S969)*cnst_fish!$C$6</f>
        <v>0.75699122913220485</v>
      </c>
      <c r="G969" s="2">
        <f t="shared" si="144"/>
        <v>1</v>
      </c>
      <c r="H969" s="2">
        <f t="shared" si="144"/>
        <v>0.36449057933102513</v>
      </c>
      <c r="I969" s="2">
        <f t="shared" si="138"/>
        <v>0</v>
      </c>
      <c r="J969" s="389">
        <f t="shared" si="139"/>
        <v>0</v>
      </c>
      <c r="L969" s="721">
        <v>442</v>
      </c>
      <c r="M969" s="581"/>
      <c r="N969" s="585" t="s">
        <v>2312</v>
      </c>
      <c r="O969" s="586" t="s">
        <v>4680</v>
      </c>
      <c r="P969" s="233">
        <f t="shared" si="140"/>
        <v>0</v>
      </c>
      <c r="Q969" s="233">
        <f t="shared" si="141"/>
        <v>442</v>
      </c>
      <c r="R969" s="2">
        <f t="shared" si="142"/>
        <v>2.6</v>
      </c>
      <c r="S969" s="2">
        <f>(1/9)*cnst_fish!$C$7*(1/cnst_fish!$C$8)^(R969-1)</f>
        <v>5.6143318924211183</v>
      </c>
      <c r="T969" s="682">
        <f t="shared" si="143"/>
        <v>212.82259273862329</v>
      </c>
      <c r="W969" s="818"/>
      <c r="X969" s="818"/>
      <c r="Y969" s="819"/>
      <c r="Z969" s="820"/>
      <c r="AA969" s="820"/>
      <c r="AB969" s="821"/>
      <c r="AC969" s="821"/>
      <c r="AD969" s="253"/>
      <c r="AE969" s="253"/>
    </row>
    <row r="970" spans="1:31" ht="14.5">
      <c r="A970" t="s">
        <v>5366</v>
      </c>
      <c r="B970" t="s">
        <v>5162</v>
      </c>
      <c r="C970">
        <v>2617</v>
      </c>
      <c r="D970" s="581"/>
      <c r="E970" s="581"/>
      <c r="F970" s="2">
        <f>(1/S970)*cnst_fish!$C$6</f>
        <v>0.75699122913220485</v>
      </c>
      <c r="G970" s="2">
        <f t="shared" si="144"/>
        <v>1</v>
      </c>
      <c r="H970" s="2">
        <f t="shared" si="144"/>
        <v>0.36449057933102513</v>
      </c>
      <c r="I970" s="2">
        <f t="shared" si="138"/>
        <v>0</v>
      </c>
      <c r="J970" s="389">
        <f t="shared" si="139"/>
        <v>0</v>
      </c>
      <c r="L970" s="721">
        <v>39</v>
      </c>
      <c r="M970" s="581"/>
      <c r="N970" s="585" t="s">
        <v>2312</v>
      </c>
      <c r="O970" s="586" t="s">
        <v>4680</v>
      </c>
      <c r="P970" s="233">
        <f t="shared" si="140"/>
        <v>0</v>
      </c>
      <c r="Q970" s="233">
        <f t="shared" si="141"/>
        <v>39</v>
      </c>
      <c r="R970" s="2">
        <f t="shared" si="142"/>
        <v>2.6</v>
      </c>
      <c r="S970" s="2">
        <f>(1/9)*cnst_fish!$C$7*(1/cnst_fish!$C$8)^(R970-1)</f>
        <v>5.6143318924211183</v>
      </c>
      <c r="T970" s="682">
        <f t="shared" si="143"/>
        <v>18.778464065172646</v>
      </c>
      <c r="W970" s="818"/>
      <c r="X970" s="818"/>
      <c r="Y970" s="819"/>
      <c r="Z970" s="820"/>
      <c r="AA970" s="820"/>
      <c r="AB970" s="821"/>
      <c r="AC970" s="821"/>
      <c r="AD970" s="253"/>
      <c r="AE970" s="253"/>
    </row>
    <row r="971" spans="1:31" ht="14.5">
      <c r="A971" t="s">
        <v>2093</v>
      </c>
      <c r="B971" t="s">
        <v>3001</v>
      </c>
      <c r="C971">
        <v>2259</v>
      </c>
      <c r="D971" s="581"/>
      <c r="E971" s="581"/>
      <c r="F971" s="2">
        <f>(1/S971)*cnst_fish!$C$6</f>
        <v>1.2855555498429809</v>
      </c>
      <c r="G971" s="2">
        <f t="shared" si="144"/>
        <v>1</v>
      </c>
      <c r="H971" s="2">
        <f t="shared" si="144"/>
        <v>0.36449057933102513</v>
      </c>
      <c r="I971" s="2">
        <f t="shared" si="138"/>
        <v>0</v>
      </c>
      <c r="J971" s="389">
        <f t="shared" si="139"/>
        <v>0</v>
      </c>
      <c r="L971" s="721">
        <v>440</v>
      </c>
      <c r="M971" s="581"/>
      <c r="N971" s="585" t="s">
        <v>1738</v>
      </c>
      <c r="O971" s="586" t="s">
        <v>4681</v>
      </c>
      <c r="P971" s="233">
        <f t="shared" si="140"/>
        <v>0</v>
      </c>
      <c r="Q971" s="233">
        <f t="shared" si="141"/>
        <v>440</v>
      </c>
      <c r="R971" s="2">
        <f t="shared" si="142"/>
        <v>2.37</v>
      </c>
      <c r="S971" s="2">
        <f>(1/9)*cnst_fish!$C$7*(1/cnst_fish!$C$8)^(R971-1)</f>
        <v>3.3059637139127123</v>
      </c>
      <c r="T971" s="682">
        <f t="shared" si="143"/>
        <v>124.75217809548528</v>
      </c>
      <c r="W971" s="818"/>
      <c r="X971" s="818"/>
      <c r="Y971" s="819"/>
      <c r="Z971" s="820"/>
      <c r="AA971" s="820"/>
      <c r="AB971" s="821"/>
      <c r="AC971" s="821"/>
      <c r="AD971" s="253"/>
      <c r="AE971" s="253"/>
    </row>
    <row r="972" spans="1:31" ht="14.5">
      <c r="A972" t="s">
        <v>443</v>
      </c>
      <c r="B972" t="s">
        <v>8642</v>
      </c>
      <c r="C972">
        <v>2783</v>
      </c>
      <c r="D972" s="581"/>
      <c r="E972" s="581"/>
      <c r="F972" s="2">
        <f>(1/S972)*cnst_fish!$C$6</f>
        <v>30.136363636363644</v>
      </c>
      <c r="G972" s="2">
        <f t="shared" si="144"/>
        <v>1</v>
      </c>
      <c r="H972" s="2">
        <f t="shared" si="144"/>
        <v>0.36449057933102513</v>
      </c>
      <c r="I972" s="2">
        <f t="shared" si="138"/>
        <v>0</v>
      </c>
      <c r="J972" s="389">
        <f t="shared" si="139"/>
        <v>0</v>
      </c>
      <c r="L972" s="721"/>
      <c r="M972" s="581"/>
      <c r="N972" s="585" t="s">
        <v>1740</v>
      </c>
      <c r="O972" s="586" t="s">
        <v>4671</v>
      </c>
      <c r="P972" s="233">
        <f t="shared" si="140"/>
        <v>0</v>
      </c>
      <c r="Q972" s="233">
        <f t="shared" si="141"/>
        <v>0</v>
      </c>
      <c r="R972" s="2">
        <f t="shared" si="142"/>
        <v>1</v>
      </c>
      <c r="S972" s="2">
        <f>(1/9)*cnst_fish!$C$7*(1/cnst_fish!$C$8)^(R972-1)</f>
        <v>0.141025641025641</v>
      </c>
      <c r="T972" s="682">
        <f t="shared" si="143"/>
        <v>0</v>
      </c>
      <c r="W972" s="818"/>
      <c r="X972" s="818"/>
      <c r="Y972" s="819"/>
      <c r="Z972" s="820"/>
      <c r="AA972" s="820"/>
      <c r="AB972" s="821"/>
      <c r="AC972" s="821"/>
      <c r="AD972" s="253"/>
      <c r="AE972" s="253"/>
    </row>
    <row r="973" spans="1:31" ht="14.5">
      <c r="A973" t="s">
        <v>3806</v>
      </c>
      <c r="B973" t="s">
        <v>634</v>
      </c>
      <c r="C973">
        <v>3234</v>
      </c>
      <c r="D973" s="581"/>
      <c r="E973" s="581"/>
      <c r="F973" s="2">
        <f>(1/S973)*cnst_fish!$C$6</f>
        <v>8.1113071591070122E-3</v>
      </c>
      <c r="G973" s="2">
        <f t="shared" si="144"/>
        <v>1</v>
      </c>
      <c r="H973" s="2">
        <f t="shared" si="144"/>
        <v>0.36449057933102513</v>
      </c>
      <c r="I973" s="2">
        <f t="shared" si="138"/>
        <v>0</v>
      </c>
      <c r="J973" s="389">
        <f t="shared" si="139"/>
        <v>0</v>
      </c>
      <c r="L973" s="721">
        <v>3058</v>
      </c>
      <c r="M973" s="581"/>
      <c r="N973" s="585" t="s">
        <v>1738</v>
      </c>
      <c r="O973" s="586" t="s">
        <v>4681</v>
      </c>
      <c r="P973" s="233">
        <f t="shared" si="140"/>
        <v>0</v>
      </c>
      <c r="Q973" s="233">
        <f t="shared" si="141"/>
        <v>3058</v>
      </c>
      <c r="R973" s="2">
        <f t="shared" si="142"/>
        <v>4.57</v>
      </c>
      <c r="S973" s="2">
        <f>(1/9)*cnst_fish!$C$7*(1/cnst_fish!$C$8)^(R973-1)</f>
        <v>523.95993847037221</v>
      </c>
      <c r="T973" s="682">
        <f t="shared" si="143"/>
        <v>137414.62007672069</v>
      </c>
      <c r="W973" s="818"/>
      <c r="X973" s="818"/>
      <c r="Y973" s="819"/>
      <c r="Z973" s="820"/>
      <c r="AA973" s="820"/>
      <c r="AB973" s="821"/>
      <c r="AC973" s="821"/>
      <c r="AD973" s="253"/>
      <c r="AE973" s="253"/>
    </row>
    <row r="974" spans="1:31" ht="14.5">
      <c r="A974" t="s">
        <v>2870</v>
      </c>
      <c r="B974" t="s">
        <v>2409</v>
      </c>
      <c r="C974">
        <v>2494</v>
      </c>
      <c r="D974" s="581"/>
      <c r="E974" s="581"/>
      <c r="F974" s="2">
        <f>(1/S974)*cnst_fish!$C$6</f>
        <v>1.3461419163458574E-2</v>
      </c>
      <c r="G974" s="2">
        <f t="shared" si="144"/>
        <v>1</v>
      </c>
      <c r="H974" s="2">
        <f t="shared" si="144"/>
        <v>0.36449057933102513</v>
      </c>
      <c r="I974" s="2">
        <f t="shared" si="138"/>
        <v>0</v>
      </c>
      <c r="J974" s="389">
        <f t="shared" si="139"/>
        <v>0</v>
      </c>
      <c r="L974" s="721">
        <v>3231209.0399999996</v>
      </c>
      <c r="M974" s="581"/>
      <c r="N974" s="585" t="s">
        <v>2320</v>
      </c>
      <c r="O974" s="586" t="s">
        <v>4699</v>
      </c>
      <c r="P974" s="233">
        <f t="shared" si="140"/>
        <v>0</v>
      </c>
      <c r="Q974" s="233">
        <f t="shared" si="141"/>
        <v>3231209.0399999996</v>
      </c>
      <c r="R974" s="2">
        <f t="shared" si="142"/>
        <v>4.3499999999999996</v>
      </c>
      <c r="S974" s="2">
        <f>(1/9)*cnst_fish!$C$7*(1/cnst_fish!$C$8)^(R974-1)</f>
        <v>315.71708364425297</v>
      </c>
      <c r="T974" s="682">
        <f t="shared" si="143"/>
        <v>87490422.861674964</v>
      </c>
      <c r="W974" s="818"/>
      <c r="X974" s="818"/>
      <c r="Y974" s="819"/>
      <c r="Z974" s="820"/>
      <c r="AA974" s="820"/>
      <c r="AB974" s="821"/>
      <c r="AC974" s="821"/>
      <c r="AD974" s="253"/>
      <c r="AE974" s="253"/>
    </row>
    <row r="975" spans="1:31" ht="14.5">
      <c r="A975" t="s">
        <v>1056</v>
      </c>
      <c r="B975" t="s">
        <v>864</v>
      </c>
      <c r="C975">
        <v>2908</v>
      </c>
      <c r="D975" s="581"/>
      <c r="E975" s="581"/>
      <c r="F975" s="2">
        <f>(1/S975)*cnst_fish!$C$6</f>
        <v>0.40652835961739353</v>
      </c>
      <c r="G975" s="2">
        <f t="shared" si="144"/>
        <v>1</v>
      </c>
      <c r="H975" s="2">
        <f t="shared" si="144"/>
        <v>0.36449057933102513</v>
      </c>
      <c r="I975" s="2">
        <f t="shared" si="138"/>
        <v>0</v>
      </c>
      <c r="J975" s="389">
        <f t="shared" si="139"/>
        <v>0</v>
      </c>
      <c r="L975" s="721">
        <v>4923</v>
      </c>
      <c r="M975" s="581"/>
      <c r="N975" s="585" t="s">
        <v>1738</v>
      </c>
      <c r="O975" s="586" t="s">
        <v>4685</v>
      </c>
      <c r="P975" s="233">
        <f t="shared" si="140"/>
        <v>0</v>
      </c>
      <c r="Q975" s="233">
        <f t="shared" si="141"/>
        <v>4923</v>
      </c>
      <c r="R975" s="2">
        <f t="shared" si="142"/>
        <v>2.87</v>
      </c>
      <c r="S975" s="2">
        <f>(1/9)*cnst_fish!$C$7*(1/cnst_fish!$C$8)^(R975-1)</f>
        <v>10.454375197833459</v>
      </c>
      <c r="T975" s="682">
        <f t="shared" si="143"/>
        <v>4413.9285233026167</v>
      </c>
      <c r="W975" s="818"/>
      <c r="X975" s="818"/>
      <c r="Y975" s="819"/>
      <c r="Z975" s="820"/>
      <c r="AA975" s="820"/>
      <c r="AB975" s="821"/>
      <c r="AC975" s="821"/>
      <c r="AD975" s="253"/>
      <c r="AE975" s="253"/>
    </row>
    <row r="976" spans="1:31" ht="14.5">
      <c r="A976" t="s">
        <v>4148</v>
      </c>
      <c r="B976" t="s">
        <v>311</v>
      </c>
      <c r="C976">
        <v>2185</v>
      </c>
      <c r="D976" s="581"/>
      <c r="E976" s="581"/>
      <c r="F976" s="2">
        <f>(1/S976)*cnst_fish!$C$6</f>
        <v>3.304386563831508E-2</v>
      </c>
      <c r="G976" s="2">
        <f t="shared" si="144"/>
        <v>1</v>
      </c>
      <c r="H976" s="2">
        <f t="shared" si="144"/>
        <v>0.36449057933102513</v>
      </c>
      <c r="I976" s="2">
        <f t="shared" si="138"/>
        <v>0</v>
      </c>
      <c r="J976" s="389">
        <f t="shared" si="139"/>
        <v>0</v>
      </c>
      <c r="L976" s="721"/>
      <c r="M976" s="581">
        <v>20317.62</v>
      </c>
      <c r="N976" s="585" t="s">
        <v>1738</v>
      </c>
      <c r="O976" s="586" t="s">
        <v>4685</v>
      </c>
      <c r="P976" s="233">
        <f t="shared" si="140"/>
        <v>0</v>
      </c>
      <c r="Q976" s="233">
        <f t="shared" si="141"/>
        <v>20317.62</v>
      </c>
      <c r="R976" s="2">
        <f t="shared" si="142"/>
        <v>3.96</v>
      </c>
      <c r="S976" s="2">
        <f>(1/9)*cnst_fish!$C$7*(1/cnst_fish!$C$8)^(R976-1)</f>
        <v>128.61691324250009</v>
      </c>
      <c r="T976" s="682">
        <f t="shared" si="143"/>
        <v>224113.64231673579</v>
      </c>
      <c r="W976" s="818"/>
      <c r="X976" s="818"/>
      <c r="Y976" s="819"/>
      <c r="Z976" s="820"/>
      <c r="AA976" s="820"/>
      <c r="AB976" s="821"/>
      <c r="AC976" s="821"/>
      <c r="AD976" s="253"/>
      <c r="AE976" s="253"/>
    </row>
    <row r="977" spans="1:31" ht="14.5">
      <c r="A977" t="s">
        <v>1853</v>
      </c>
      <c r="B977" t="s">
        <v>4728</v>
      </c>
      <c r="C977">
        <v>18985</v>
      </c>
      <c r="D977" s="581"/>
      <c r="E977" s="581"/>
      <c r="F977" s="2">
        <f>(1/S977)*cnst_fish!$C$6</f>
        <v>0.57423657091346914</v>
      </c>
      <c r="G977" s="2">
        <f t="shared" si="144"/>
        <v>1</v>
      </c>
      <c r="H977" s="2">
        <f t="shared" si="144"/>
        <v>0.36449057933102513</v>
      </c>
      <c r="I977" s="2">
        <f t="shared" si="138"/>
        <v>0</v>
      </c>
      <c r="J977" s="389">
        <f t="shared" si="139"/>
        <v>0</v>
      </c>
      <c r="L977" s="721">
        <v>66.11</v>
      </c>
      <c r="M977" s="581"/>
      <c r="N977" s="585" t="s">
        <v>1738</v>
      </c>
      <c r="O977" s="586" t="s">
        <v>4681</v>
      </c>
      <c r="P977" s="233">
        <f t="shared" si="140"/>
        <v>0</v>
      </c>
      <c r="Q977" s="233">
        <f t="shared" si="141"/>
        <v>66.11</v>
      </c>
      <c r="R977" s="2">
        <f t="shared" si="142"/>
        <v>2.72</v>
      </c>
      <c r="S977" s="2">
        <f>(1/9)*cnst_fish!$C$7*(1/cnst_fish!$C$8)^(R977-1)</f>
        <v>7.4011308496762851</v>
      </c>
      <c r="T977" s="682">
        <f t="shared" si="143"/>
        <v>41.962622062266973</v>
      </c>
      <c r="W977" s="818"/>
      <c r="X977" s="818"/>
      <c r="Y977" s="819"/>
      <c r="Z977" s="820"/>
      <c r="AA977" s="820"/>
      <c r="AB977" s="821"/>
      <c r="AC977" s="821"/>
      <c r="AD977" s="253"/>
      <c r="AE977" s="253"/>
    </row>
    <row r="978" spans="1:31" ht="14.5">
      <c r="A978" t="s">
        <v>6773</v>
      </c>
      <c r="B978" t="s">
        <v>8643</v>
      </c>
      <c r="C978">
        <v>2161</v>
      </c>
      <c r="D978" s="581"/>
      <c r="E978" s="581"/>
      <c r="F978" s="2">
        <f>(1/S978)*cnst_fish!$C$6</f>
        <v>3.0136363636363641</v>
      </c>
      <c r="G978" s="2">
        <f t="shared" si="144"/>
        <v>1</v>
      </c>
      <c r="H978" s="2">
        <f t="shared" si="144"/>
        <v>0.36449057933102513</v>
      </c>
      <c r="I978" s="2">
        <f t="shared" si="138"/>
        <v>0</v>
      </c>
      <c r="J978" s="389">
        <f t="shared" si="139"/>
        <v>0</v>
      </c>
      <c r="L978" s="721"/>
      <c r="M978" s="581"/>
      <c r="N978" s="585" t="s">
        <v>5194</v>
      </c>
      <c r="O978" s="586" t="s">
        <v>4685</v>
      </c>
      <c r="P978" s="233">
        <f t="shared" si="140"/>
        <v>0</v>
      </c>
      <c r="Q978" s="233">
        <f t="shared" si="141"/>
        <v>0</v>
      </c>
      <c r="R978" s="2">
        <f t="shared" si="142"/>
        <v>2</v>
      </c>
      <c r="S978" s="2">
        <f>(1/9)*cnst_fish!$C$7*(1/cnst_fish!$C$8)^(R978-1)</f>
        <v>1.4102564102564099</v>
      </c>
      <c r="T978" s="682">
        <f t="shared" si="143"/>
        <v>0</v>
      </c>
      <c r="W978" s="818"/>
      <c r="X978" s="818"/>
      <c r="Y978" s="819"/>
      <c r="Z978" s="820"/>
      <c r="AA978" s="820"/>
      <c r="AB978" s="821"/>
      <c r="AC978" s="821"/>
      <c r="AD978" s="253"/>
      <c r="AE978" s="253"/>
    </row>
    <row r="979" spans="1:31" ht="14.5">
      <c r="A979" t="s">
        <v>6768</v>
      </c>
      <c r="B979" t="s">
        <v>8644</v>
      </c>
      <c r="C979">
        <v>12975</v>
      </c>
      <c r="D979" s="581"/>
      <c r="E979" s="581"/>
      <c r="F979" s="2">
        <f>(1/S979)*cnst_fish!$C$6</f>
        <v>3.0136363636363641</v>
      </c>
      <c r="G979" s="2">
        <f t="shared" si="144"/>
        <v>1</v>
      </c>
      <c r="H979" s="2">
        <f t="shared" si="144"/>
        <v>0.36449057933102513</v>
      </c>
      <c r="I979" s="2">
        <f t="shared" si="138"/>
        <v>0</v>
      </c>
      <c r="J979" s="389">
        <f t="shared" si="139"/>
        <v>0</v>
      </c>
      <c r="L979" s="721"/>
      <c r="M979" s="581"/>
      <c r="N979" s="585" t="s">
        <v>1738</v>
      </c>
      <c r="O979" s="586" t="s">
        <v>4685</v>
      </c>
      <c r="P979" s="233">
        <f t="shared" si="140"/>
        <v>0</v>
      </c>
      <c r="Q979" s="233">
        <f t="shared" si="141"/>
        <v>0</v>
      </c>
      <c r="R979" s="2">
        <f t="shared" si="142"/>
        <v>2</v>
      </c>
      <c r="S979" s="2">
        <f>(1/9)*cnst_fish!$C$7*(1/cnst_fish!$C$8)^(R979-1)</f>
        <v>1.4102564102564099</v>
      </c>
      <c r="T979" s="682">
        <f t="shared" si="143"/>
        <v>0</v>
      </c>
      <c r="W979" s="818"/>
      <c r="X979" s="818"/>
      <c r="Y979" s="819"/>
      <c r="Z979" s="820"/>
      <c r="AA979" s="820"/>
      <c r="AB979" s="821"/>
      <c r="AC979" s="821"/>
      <c r="AD979" s="253"/>
      <c r="AE979" s="253"/>
    </row>
    <row r="980" spans="1:31" ht="14.5">
      <c r="A980" t="s">
        <v>4246</v>
      </c>
      <c r="B980" t="s">
        <v>8645</v>
      </c>
      <c r="C980">
        <v>2964</v>
      </c>
      <c r="D980" s="581"/>
      <c r="E980" s="581"/>
      <c r="F980" s="2">
        <f>(1/S980)*cnst_fish!$C$6</f>
        <v>1.9014759972289452</v>
      </c>
      <c r="G980" s="2">
        <f t="shared" si="144"/>
        <v>1</v>
      </c>
      <c r="H980" s="2">
        <f t="shared" si="144"/>
        <v>0.36449057933102513</v>
      </c>
      <c r="I980" s="2">
        <f t="shared" si="138"/>
        <v>0</v>
      </c>
      <c r="J980" s="389">
        <f t="shared" si="139"/>
        <v>0</v>
      </c>
      <c r="L980" s="721"/>
      <c r="M980" s="581"/>
      <c r="N980" s="585" t="s">
        <v>5194</v>
      </c>
      <c r="O980" s="586" t="s">
        <v>4685</v>
      </c>
      <c r="P980" s="233">
        <f t="shared" si="140"/>
        <v>0</v>
      </c>
      <c r="Q980" s="233">
        <f t="shared" si="141"/>
        <v>0</v>
      </c>
      <c r="R980" s="2">
        <f t="shared" si="142"/>
        <v>2.2000000000000002</v>
      </c>
      <c r="S980" s="2">
        <f>(1/9)*cnst_fish!$C$7*(1/cnst_fish!$C$8)^(R980-1)</f>
        <v>2.2351057842400328</v>
      </c>
      <c r="T980" s="682">
        <f t="shared" si="143"/>
        <v>0</v>
      </c>
      <c r="W980" s="818"/>
      <c r="X980" s="818"/>
      <c r="Y980" s="819"/>
      <c r="Z980" s="820"/>
      <c r="AA980" s="820"/>
      <c r="AB980" s="821"/>
      <c r="AC980" s="821"/>
      <c r="AD980" s="253"/>
      <c r="AE980" s="253"/>
    </row>
    <row r="981" spans="1:31" ht="14.5">
      <c r="A981" t="s">
        <v>3313</v>
      </c>
      <c r="B981" t="s">
        <v>4830</v>
      </c>
      <c r="C981">
        <v>2963</v>
      </c>
      <c r="D981" s="581"/>
      <c r="E981" s="581"/>
      <c r="F981" s="2">
        <f>(1/S981)*cnst_fish!$C$6</f>
        <v>1.945767062954439</v>
      </c>
      <c r="G981" s="2">
        <f t="shared" si="144"/>
        <v>1</v>
      </c>
      <c r="H981" s="2">
        <f t="shared" si="144"/>
        <v>0.36449057933102513</v>
      </c>
      <c r="I981" s="2">
        <f t="shared" si="138"/>
        <v>0</v>
      </c>
      <c r="J981" s="389">
        <f t="shared" si="139"/>
        <v>0</v>
      </c>
      <c r="L981" s="721"/>
      <c r="M981" s="581">
        <v>1037</v>
      </c>
      <c r="N981" s="585" t="s">
        <v>1738</v>
      </c>
      <c r="O981" s="586" t="s">
        <v>4685</v>
      </c>
      <c r="P981" s="233">
        <f t="shared" si="140"/>
        <v>0</v>
      </c>
      <c r="Q981" s="233">
        <f t="shared" si="141"/>
        <v>1037</v>
      </c>
      <c r="R981" s="2">
        <f t="shared" si="142"/>
        <v>2.19</v>
      </c>
      <c r="S981" s="2">
        <f>(1/9)*cnst_fish!$C$7*(1/cnst_fish!$C$8)^(R981-1)</f>
        <v>2.1842285651329867</v>
      </c>
      <c r="T981" s="682">
        <f t="shared" si="143"/>
        <v>194.25589936359384</v>
      </c>
      <c r="W981" s="818"/>
      <c r="X981" s="818"/>
      <c r="Y981" s="819"/>
      <c r="Z981" s="820"/>
      <c r="AA981" s="820"/>
      <c r="AB981" s="821"/>
      <c r="AC981" s="821"/>
      <c r="AD981" s="253"/>
      <c r="AE981" s="253"/>
    </row>
    <row r="982" spans="1:31" ht="14.5">
      <c r="A982" t="s">
        <v>4226</v>
      </c>
      <c r="B982" t="s">
        <v>8646</v>
      </c>
      <c r="C982">
        <v>12991</v>
      </c>
      <c r="D982" s="581"/>
      <c r="E982" s="581"/>
      <c r="F982" s="2">
        <f>(1/S982)*cnst_fish!$C$6</f>
        <v>1.1997502458044034</v>
      </c>
      <c r="G982" s="2">
        <f t="shared" si="144"/>
        <v>1</v>
      </c>
      <c r="H982" s="2">
        <f t="shared" si="144"/>
        <v>0.36449057933102513</v>
      </c>
      <c r="I982" s="2">
        <f t="shared" si="138"/>
        <v>0</v>
      </c>
      <c r="J982" s="389">
        <f t="shared" si="139"/>
        <v>0</v>
      </c>
      <c r="L982" s="721"/>
      <c r="M982" s="581"/>
      <c r="N982" s="585" t="s">
        <v>1738</v>
      </c>
      <c r="O982" s="586" t="s">
        <v>4685</v>
      </c>
      <c r="P982" s="233">
        <f t="shared" si="140"/>
        <v>0</v>
      </c>
      <c r="Q982" s="233">
        <f t="shared" si="141"/>
        <v>0</v>
      </c>
      <c r="R982" s="2">
        <f t="shared" si="142"/>
        <v>2.4</v>
      </c>
      <c r="S982" s="2">
        <f>(1/9)*cnst_fish!$C$7*(1/cnst_fish!$C$8)^(R982-1)</f>
        <v>3.5424039418724838</v>
      </c>
      <c r="T982" s="682">
        <f t="shared" si="143"/>
        <v>0</v>
      </c>
      <c r="W982" s="818"/>
      <c r="X982" s="818"/>
      <c r="Y982" s="819"/>
      <c r="Z982" s="820"/>
      <c r="AA982" s="820"/>
      <c r="AB982" s="821"/>
      <c r="AC982" s="821"/>
      <c r="AD982" s="253"/>
      <c r="AE982" s="253"/>
    </row>
    <row r="983" spans="1:31" ht="14.5">
      <c r="A983" t="s">
        <v>4245</v>
      </c>
      <c r="B983" t="s">
        <v>8647</v>
      </c>
      <c r="C983">
        <v>10724</v>
      </c>
      <c r="D983" s="581"/>
      <c r="E983" s="581"/>
      <c r="F983" s="2">
        <f>(1/S983)*cnst_fish!$C$6</f>
        <v>0.11997502458044032</v>
      </c>
      <c r="G983" s="2">
        <f t="shared" si="144"/>
        <v>1</v>
      </c>
      <c r="H983" s="2">
        <f t="shared" si="144"/>
        <v>0.36449057933102513</v>
      </c>
      <c r="I983" s="2">
        <f t="shared" si="138"/>
        <v>0</v>
      </c>
      <c r="J983" s="389">
        <f t="shared" si="139"/>
        <v>0</v>
      </c>
      <c r="L983" s="721"/>
      <c r="M983" s="581"/>
      <c r="N983" s="585" t="s">
        <v>1738</v>
      </c>
      <c r="O983" s="586" t="s">
        <v>4685</v>
      </c>
      <c r="P983" s="233">
        <f t="shared" si="140"/>
        <v>0</v>
      </c>
      <c r="Q983" s="233">
        <f t="shared" si="141"/>
        <v>0</v>
      </c>
      <c r="R983" s="2">
        <f t="shared" si="142"/>
        <v>3.4</v>
      </c>
      <c r="S983" s="2">
        <f>(1/9)*cnst_fish!$C$7*(1/cnst_fish!$C$8)^(R983-1)</f>
        <v>35.424039418724846</v>
      </c>
      <c r="T983" s="682">
        <f t="shared" si="143"/>
        <v>0</v>
      </c>
      <c r="W983" s="818"/>
      <c r="X983" s="818"/>
      <c r="Y983" s="819"/>
      <c r="Z983" s="820"/>
      <c r="AA983" s="820"/>
      <c r="AB983" s="821"/>
      <c r="AC983" s="821"/>
      <c r="AD983" s="253"/>
      <c r="AE983" s="253"/>
    </row>
    <row r="984" spans="1:31" ht="14.5">
      <c r="A984" t="s">
        <v>2473</v>
      </c>
      <c r="B984" t="s">
        <v>5087</v>
      </c>
      <c r="C984">
        <v>19128</v>
      </c>
      <c r="D984" s="581"/>
      <c r="E984" s="581"/>
      <c r="F984" s="2">
        <f>(1/S984)*cnst_fish!$C$6</f>
        <v>1.3774975896121009</v>
      </c>
      <c r="G984" s="2">
        <f t="shared" si="144"/>
        <v>1</v>
      </c>
      <c r="H984" s="2">
        <f t="shared" si="144"/>
        <v>0.36449057933102513</v>
      </c>
      <c r="I984" s="2">
        <f t="shared" si="138"/>
        <v>0</v>
      </c>
      <c r="J984" s="389">
        <f t="shared" si="139"/>
        <v>0</v>
      </c>
      <c r="L984" s="721"/>
      <c r="M984" s="581">
        <v>1495.67</v>
      </c>
      <c r="N984" s="585" t="s">
        <v>1738</v>
      </c>
      <c r="O984" s="586" t="s">
        <v>4685</v>
      </c>
      <c r="P984" s="233">
        <f t="shared" si="140"/>
        <v>0</v>
      </c>
      <c r="Q984" s="233">
        <f t="shared" si="141"/>
        <v>1495.67</v>
      </c>
      <c r="R984" s="2">
        <f t="shared" si="142"/>
        <v>2.34</v>
      </c>
      <c r="S984" s="2">
        <f>(1/9)*cnst_fish!$C$7*(1/cnst_fish!$C$8)^(R984-1)</f>
        <v>3.0853048542878301</v>
      </c>
      <c r="T984" s="682">
        <f t="shared" si="143"/>
        <v>395.7594037907167</v>
      </c>
      <c r="W984" s="818"/>
      <c r="X984" s="818"/>
      <c r="Y984" s="819"/>
      <c r="Z984" s="820"/>
      <c r="AA984" s="820"/>
      <c r="AB984" s="821"/>
      <c r="AC984" s="821"/>
      <c r="AD984" s="253"/>
      <c r="AE984" s="253"/>
    </row>
    <row r="985" spans="1:31" ht="14.5">
      <c r="A985" t="s">
        <v>4722</v>
      </c>
      <c r="B985" t="s">
        <v>4729</v>
      </c>
      <c r="C985">
        <v>3224</v>
      </c>
      <c r="D985" s="581"/>
      <c r="E985" s="581"/>
      <c r="F985" s="2">
        <f>(1/S985)*cnst_fish!$C$6</f>
        <v>0.11196720767792057</v>
      </c>
      <c r="G985" s="2">
        <f t="shared" si="144"/>
        <v>1</v>
      </c>
      <c r="H985" s="2">
        <f t="shared" si="144"/>
        <v>0.36449057933102513</v>
      </c>
      <c r="I985" s="2">
        <f t="shared" si="138"/>
        <v>0</v>
      </c>
      <c r="J985" s="389">
        <f t="shared" si="139"/>
        <v>0</v>
      </c>
      <c r="L985" s="721">
        <v>18068</v>
      </c>
      <c r="M985" s="581"/>
      <c r="N985" s="585" t="s">
        <v>1738</v>
      </c>
      <c r="O985" s="586" t="s">
        <v>4681</v>
      </c>
      <c r="P985" s="233">
        <f t="shared" si="140"/>
        <v>0</v>
      </c>
      <c r="Q985" s="233">
        <f t="shared" si="141"/>
        <v>18068</v>
      </c>
      <c r="R985" s="2">
        <f t="shared" si="142"/>
        <v>3.43</v>
      </c>
      <c r="S985" s="2">
        <f>(1/9)*cnst_fish!$C$7*(1/cnst_fish!$C$8)^(R985-1)</f>
        <v>37.957542106661656</v>
      </c>
      <c r="T985" s="682">
        <f t="shared" si="143"/>
        <v>58817.362010999008</v>
      </c>
      <c r="W985" s="818"/>
      <c r="X985" s="818"/>
      <c r="Y985" s="819"/>
      <c r="Z985" s="820"/>
      <c r="AA985" s="820"/>
      <c r="AB985" s="821"/>
      <c r="AC985" s="821"/>
      <c r="AD985" s="253"/>
      <c r="AE985" s="253"/>
    </row>
    <row r="986" spans="1:31" ht="14.5">
      <c r="A986" t="s">
        <v>2628</v>
      </c>
      <c r="B986" t="s">
        <v>4730</v>
      </c>
      <c r="C986">
        <v>13004</v>
      </c>
      <c r="D986" s="581"/>
      <c r="E986" s="581"/>
      <c r="F986" s="2">
        <f>(1/S986)*cnst_fish!$C$6</f>
        <v>0.25650205424007994</v>
      </c>
      <c r="G986" s="2">
        <f t="shared" si="144"/>
        <v>1</v>
      </c>
      <c r="H986" s="2">
        <f t="shared" si="144"/>
        <v>0.36449057933102513</v>
      </c>
      <c r="I986" s="2">
        <f t="shared" si="138"/>
        <v>0</v>
      </c>
      <c r="J986" s="389">
        <f t="shared" si="139"/>
        <v>0</v>
      </c>
      <c r="L986" s="721">
        <v>511</v>
      </c>
      <c r="M986" s="581"/>
      <c r="N986" s="585" t="s">
        <v>1738</v>
      </c>
      <c r="O986" s="586" t="s">
        <v>4681</v>
      </c>
      <c r="P986" s="233">
        <f t="shared" si="140"/>
        <v>0</v>
      </c>
      <c r="Q986" s="233">
        <f t="shared" si="141"/>
        <v>511</v>
      </c>
      <c r="R986" s="2">
        <f t="shared" si="142"/>
        <v>3.07</v>
      </c>
      <c r="S986" s="2">
        <f>(1/9)*cnst_fish!$C$7*(1/cnst_fish!$C$8)^(R986-1)</f>
        <v>16.569068082480538</v>
      </c>
      <c r="T986" s="682">
        <f t="shared" si="143"/>
        <v>726.13331144640199</v>
      </c>
      <c r="W986" s="818"/>
      <c r="X986" s="818"/>
      <c r="Y986" s="819"/>
      <c r="Z986" s="820"/>
      <c r="AA986" s="820"/>
      <c r="AB986" s="821"/>
      <c r="AC986" s="821"/>
      <c r="AD986" s="253"/>
      <c r="AE986" s="253"/>
    </row>
    <row r="987" spans="1:31" ht="14.5">
      <c r="A987" t="s">
        <v>6286</v>
      </c>
      <c r="B987" t="s">
        <v>6285</v>
      </c>
      <c r="C987">
        <v>17808</v>
      </c>
      <c r="D987" s="581"/>
      <c r="E987" s="581"/>
      <c r="F987" s="2">
        <f>(1/S987)*cnst_fish!$C$6</f>
        <v>3.0136363636363641</v>
      </c>
      <c r="G987" s="2">
        <f t="shared" si="144"/>
        <v>1</v>
      </c>
      <c r="H987" s="2">
        <f t="shared" si="144"/>
        <v>0.36449057933102513</v>
      </c>
      <c r="I987" s="2">
        <f t="shared" si="138"/>
        <v>0</v>
      </c>
      <c r="J987" s="389">
        <f t="shared" si="139"/>
        <v>0</v>
      </c>
      <c r="L987" s="721">
        <v>0</v>
      </c>
      <c r="M987" s="581"/>
      <c r="N987" s="585" t="s">
        <v>1738</v>
      </c>
      <c r="O987" s="586" t="s">
        <v>4681</v>
      </c>
      <c r="P987" s="233">
        <f t="shared" si="140"/>
        <v>0</v>
      </c>
      <c r="Q987" s="233">
        <f t="shared" si="141"/>
        <v>0</v>
      </c>
      <c r="R987" s="2">
        <f t="shared" si="142"/>
        <v>2</v>
      </c>
      <c r="S987" s="2">
        <f>(1/9)*cnst_fish!$C$7*(1/cnst_fish!$C$8)^(R987-1)</f>
        <v>1.4102564102564099</v>
      </c>
      <c r="T987" s="682">
        <f t="shared" si="143"/>
        <v>0</v>
      </c>
      <c r="W987" s="818"/>
      <c r="X987" s="818"/>
      <c r="Y987" s="819"/>
      <c r="Z987" s="820"/>
      <c r="AA987" s="820"/>
      <c r="AB987" s="821"/>
      <c r="AC987" s="821"/>
      <c r="AD987" s="253"/>
      <c r="AE987" s="253"/>
    </row>
    <row r="988" spans="1:31" ht="14.5">
      <c r="A988" t="s">
        <v>2252</v>
      </c>
      <c r="B988" t="s">
        <v>2253</v>
      </c>
      <c r="C988">
        <v>13007</v>
      </c>
      <c r="D988" s="581"/>
      <c r="E988" s="581"/>
      <c r="F988" s="2">
        <f>(1/S988)*cnst_fish!$C$6</f>
        <v>3.5407139951132149E-2</v>
      </c>
      <c r="G988" s="2">
        <f t="shared" ref="G988:H1007" si="145">G$7</f>
        <v>1</v>
      </c>
      <c r="H988" s="2">
        <f t="shared" si="145"/>
        <v>0.36449057933102513</v>
      </c>
      <c r="I988" s="2">
        <f t="shared" si="138"/>
        <v>0</v>
      </c>
      <c r="J988" s="389">
        <f t="shared" si="139"/>
        <v>0</v>
      </c>
      <c r="L988" s="721">
        <v>2508</v>
      </c>
      <c r="M988" s="581"/>
      <c r="N988" s="585" t="s">
        <v>1738</v>
      </c>
      <c r="O988" s="586" t="s">
        <v>4681</v>
      </c>
      <c r="P988" s="233">
        <f t="shared" si="140"/>
        <v>0</v>
      </c>
      <c r="Q988" s="233">
        <f t="shared" si="141"/>
        <v>2508</v>
      </c>
      <c r="R988" s="2">
        <f t="shared" si="142"/>
        <v>3.93</v>
      </c>
      <c r="S988" s="2">
        <f>(1/9)*cnst_fish!$C$7*(1/cnst_fish!$C$8)^(R988-1)</f>
        <v>120.03228743879681</v>
      </c>
      <c r="T988" s="682">
        <f t="shared" si="143"/>
        <v>25818.023546207976</v>
      </c>
      <c r="W988" s="818"/>
      <c r="X988" s="818"/>
      <c r="Y988" s="819"/>
      <c r="Z988" s="820"/>
      <c r="AA988" s="820"/>
      <c r="AB988" s="821"/>
      <c r="AC988" s="821"/>
      <c r="AD988" s="253"/>
      <c r="AE988" s="253"/>
    </row>
    <row r="989" spans="1:31" ht="14.5">
      <c r="A989" t="s">
        <v>1164</v>
      </c>
      <c r="B989" t="s">
        <v>4040</v>
      </c>
      <c r="C989">
        <v>3101</v>
      </c>
      <c r="D989" s="581"/>
      <c r="E989" s="581"/>
      <c r="F989" s="2">
        <f>(1/S989)*cnst_fish!$C$6</f>
        <v>3.2291695426024204E-2</v>
      </c>
      <c r="G989" s="2">
        <f t="shared" si="145"/>
        <v>1</v>
      </c>
      <c r="H989" s="2">
        <f t="shared" si="145"/>
        <v>0.36449057933102513</v>
      </c>
      <c r="I989" s="2">
        <f t="shared" si="138"/>
        <v>0</v>
      </c>
      <c r="J989" s="389">
        <f t="shared" si="139"/>
        <v>0</v>
      </c>
      <c r="L989" s="721">
        <v>31617</v>
      </c>
      <c r="M989" s="581"/>
      <c r="N989" s="585" t="s">
        <v>1738</v>
      </c>
      <c r="O989" s="586" t="s">
        <v>4699</v>
      </c>
      <c r="P989" s="233">
        <f t="shared" si="140"/>
        <v>0</v>
      </c>
      <c r="Q989" s="233">
        <f t="shared" si="141"/>
        <v>31617</v>
      </c>
      <c r="R989" s="2">
        <f t="shared" si="142"/>
        <v>3.97</v>
      </c>
      <c r="S989" s="2">
        <f>(1/9)*cnst_fish!$C$7*(1/cnst_fish!$C$8)^(R989-1)</f>
        <v>131.61278600983218</v>
      </c>
      <c r="T989" s="682">
        <f t="shared" si="143"/>
        <v>356874.99509306141</v>
      </c>
      <c r="W989" s="818"/>
      <c r="X989" s="818"/>
      <c r="Y989" s="819"/>
      <c r="Z989" s="820"/>
      <c r="AA989" s="820"/>
      <c r="AB989" s="821"/>
      <c r="AC989" s="821"/>
      <c r="AD989" s="253"/>
      <c r="AE989" s="253"/>
    </row>
    <row r="990" spans="1:31" ht="14.5">
      <c r="A990" t="s">
        <v>6446</v>
      </c>
      <c r="B990" t="s">
        <v>5546</v>
      </c>
      <c r="C990">
        <v>13017</v>
      </c>
      <c r="D990" s="581"/>
      <c r="E990" s="581"/>
      <c r="F990" s="2">
        <f>(1/S990)*cnst_fish!$C$6</f>
        <v>7.3976000504507963E-2</v>
      </c>
      <c r="G990" s="2">
        <f t="shared" si="145"/>
        <v>1</v>
      </c>
      <c r="H990" s="2">
        <f t="shared" si="145"/>
        <v>0.36449057933102513</v>
      </c>
      <c r="I990" s="2">
        <f t="shared" si="138"/>
        <v>0</v>
      </c>
      <c r="J990" s="389">
        <f t="shared" si="139"/>
        <v>0</v>
      </c>
      <c r="L990" s="721"/>
      <c r="M990" s="581"/>
      <c r="N990" s="585" t="s">
        <v>1738</v>
      </c>
      <c r="O990" s="586" t="s">
        <v>4681</v>
      </c>
      <c r="P990" s="233">
        <f t="shared" si="140"/>
        <v>0</v>
      </c>
      <c r="Q990" s="233">
        <f t="shared" si="141"/>
        <v>0</v>
      </c>
      <c r="R990" s="2">
        <f t="shared" si="142"/>
        <v>3.61</v>
      </c>
      <c r="S990" s="2">
        <f>(1/9)*cnst_fish!$C$7*(1/cnst_fish!$C$8)^(R990-1)</f>
        <v>57.451064818528707</v>
      </c>
      <c r="T990" s="682">
        <f t="shared" si="143"/>
        <v>0</v>
      </c>
      <c r="W990" s="818"/>
      <c r="X990" s="818"/>
      <c r="Y990" s="819"/>
      <c r="Z990" s="820"/>
      <c r="AA990" s="820"/>
      <c r="AB990" s="821"/>
      <c r="AC990" s="821"/>
      <c r="AD990" s="253"/>
      <c r="AE990" s="253"/>
    </row>
    <row r="991" spans="1:31" ht="14.5">
      <c r="A991" t="s">
        <v>8648</v>
      </c>
      <c r="B991" t="s">
        <v>8649</v>
      </c>
      <c r="C991">
        <v>13022</v>
      </c>
      <c r="D991" s="581"/>
      <c r="E991" s="581"/>
      <c r="F991" s="2">
        <f>(1/S991)*cnst_fish!$C$6</f>
        <v>3.0136363636363642E-2</v>
      </c>
      <c r="G991" s="2">
        <f t="shared" si="145"/>
        <v>1</v>
      </c>
      <c r="H991" s="2">
        <f t="shared" si="145"/>
        <v>0.36449057933102513</v>
      </c>
      <c r="I991" s="2">
        <f t="shared" si="138"/>
        <v>0</v>
      </c>
      <c r="J991" s="389">
        <f t="shared" si="139"/>
        <v>0</v>
      </c>
      <c r="L991" s="721">
        <v>177</v>
      </c>
      <c r="M991" s="581"/>
      <c r="N991" s="585" t="s">
        <v>1738</v>
      </c>
      <c r="O991" s="586" t="s">
        <v>4681</v>
      </c>
      <c r="P991" s="233">
        <f t="shared" si="140"/>
        <v>0</v>
      </c>
      <c r="Q991" s="233">
        <f t="shared" si="141"/>
        <v>177</v>
      </c>
      <c r="R991" s="2">
        <f t="shared" si="142"/>
        <v>4</v>
      </c>
      <c r="S991" s="2">
        <f>(1/9)*cnst_fish!$C$7*(1/cnst_fish!$C$8)^(R991-1)</f>
        <v>141.02564102564099</v>
      </c>
      <c r="T991" s="682">
        <f t="shared" si="143"/>
        <v>2140.7636740799571</v>
      </c>
      <c r="W991" s="818"/>
      <c r="X991" s="818"/>
      <c r="Y991" s="819"/>
      <c r="Z991" s="820"/>
      <c r="AA991" s="820"/>
      <c r="AB991" s="821"/>
      <c r="AC991" s="821"/>
      <c r="AD991" s="253"/>
      <c r="AE991" s="253"/>
    </row>
    <row r="992" spans="1:31" ht="14.5">
      <c r="A992" t="s">
        <v>6636</v>
      </c>
      <c r="B992" t="s">
        <v>6635</v>
      </c>
      <c r="C992">
        <v>18933</v>
      </c>
      <c r="D992" s="581"/>
      <c r="E992" s="581"/>
      <c r="F992" s="2">
        <f>(1/S992)*cnst_fish!$C$6</f>
        <v>7.5699122913220479E-2</v>
      </c>
      <c r="G992" s="2">
        <f t="shared" si="145"/>
        <v>1</v>
      </c>
      <c r="H992" s="2">
        <f t="shared" si="145"/>
        <v>0.36449057933102513</v>
      </c>
      <c r="I992" s="2">
        <f t="shared" si="138"/>
        <v>0</v>
      </c>
      <c r="J992" s="389">
        <f t="shared" si="139"/>
        <v>0</v>
      </c>
      <c r="L992" s="721">
        <v>28</v>
      </c>
      <c r="M992" s="581"/>
      <c r="N992" s="585" t="s">
        <v>1738</v>
      </c>
      <c r="O992" s="586" t="s">
        <v>4681</v>
      </c>
      <c r="P992" s="233">
        <f t="shared" si="140"/>
        <v>0</v>
      </c>
      <c r="Q992" s="233">
        <f t="shared" si="141"/>
        <v>28</v>
      </c>
      <c r="R992" s="2">
        <f t="shared" si="142"/>
        <v>3.6</v>
      </c>
      <c r="S992" s="2">
        <f>(1/9)*cnst_fish!$C$7*(1/cnst_fish!$C$8)^(R992-1)</f>
        <v>56.143318924211187</v>
      </c>
      <c r="T992" s="682">
        <f t="shared" si="143"/>
        <v>134.81974200636773</v>
      </c>
      <c r="W992" s="818"/>
      <c r="X992" s="818"/>
      <c r="Y992" s="819"/>
      <c r="Z992" s="820"/>
      <c r="AA992" s="820"/>
      <c r="AB992" s="821"/>
      <c r="AC992" s="821"/>
      <c r="AD992" s="253"/>
      <c r="AE992" s="253"/>
    </row>
    <row r="993" spans="1:31" ht="14.5">
      <c r="A993" t="s">
        <v>6577</v>
      </c>
      <c r="B993" t="s">
        <v>6576</v>
      </c>
      <c r="C993">
        <v>13026</v>
      </c>
      <c r="D993" s="581"/>
      <c r="E993" s="581"/>
      <c r="F993" s="2">
        <f>(1/S993)*cnst_fish!$C$6</f>
        <v>3.0136363636363641</v>
      </c>
      <c r="G993" s="2">
        <f t="shared" si="145"/>
        <v>1</v>
      </c>
      <c r="H993" s="2">
        <f t="shared" si="145"/>
        <v>0.36449057933102513</v>
      </c>
      <c r="I993" s="2">
        <f t="shared" si="138"/>
        <v>0</v>
      </c>
      <c r="J993" s="389">
        <f t="shared" si="139"/>
        <v>0</v>
      </c>
      <c r="L993" s="721">
        <v>48</v>
      </c>
      <c r="M993" s="581"/>
      <c r="N993" s="585" t="s">
        <v>1738</v>
      </c>
      <c r="O993" s="586" t="s">
        <v>4681</v>
      </c>
      <c r="P993" s="233">
        <f t="shared" si="140"/>
        <v>0</v>
      </c>
      <c r="Q993" s="233">
        <f t="shared" si="141"/>
        <v>48</v>
      </c>
      <c r="R993" s="2">
        <f t="shared" si="142"/>
        <v>2</v>
      </c>
      <c r="S993" s="2">
        <f>(1/9)*cnst_fish!$C$7*(1/cnst_fish!$C$8)^(R993-1)</f>
        <v>1.4102564102564099</v>
      </c>
      <c r="T993" s="682">
        <f t="shared" si="143"/>
        <v>5.8054608110642905</v>
      </c>
      <c r="W993" s="818"/>
      <c r="X993" s="818"/>
      <c r="Y993" s="819"/>
      <c r="Z993" s="820"/>
      <c r="AA993" s="820"/>
      <c r="AB993" s="821"/>
      <c r="AC993" s="821"/>
      <c r="AD993" s="253"/>
      <c r="AE993" s="253"/>
    </row>
    <row r="994" spans="1:31" ht="14.5">
      <c r="A994" t="s">
        <v>1163</v>
      </c>
      <c r="B994" t="s">
        <v>3730</v>
      </c>
      <c r="C994">
        <v>18539</v>
      </c>
      <c r="D994" s="581"/>
      <c r="E994" s="581"/>
      <c r="F994" s="2">
        <f>(1/S994)*cnst_fish!$C$6</f>
        <v>30.136363636363644</v>
      </c>
      <c r="G994" s="2">
        <f t="shared" si="145"/>
        <v>1</v>
      </c>
      <c r="H994" s="2">
        <f t="shared" si="145"/>
        <v>0.36449057933102513</v>
      </c>
      <c r="I994" s="2">
        <f t="shared" si="138"/>
        <v>0</v>
      </c>
      <c r="J994" s="389">
        <f t="shared" si="139"/>
        <v>0</v>
      </c>
      <c r="L994" s="721">
        <v>33452</v>
      </c>
      <c r="M994" s="581"/>
      <c r="N994" s="585" t="s">
        <v>1740</v>
      </c>
      <c r="O994" s="586" t="s">
        <v>4671</v>
      </c>
      <c r="P994" s="233">
        <f t="shared" si="140"/>
        <v>0</v>
      </c>
      <c r="Q994" s="233">
        <f t="shared" si="141"/>
        <v>33452</v>
      </c>
      <c r="R994" s="2">
        <f t="shared" si="142"/>
        <v>1</v>
      </c>
      <c r="S994" s="2">
        <f>(1/9)*cnst_fish!$C$7*(1/cnst_fish!$C$8)^(R994-1)</f>
        <v>0.141025641025641</v>
      </c>
      <c r="T994" s="682">
        <f t="shared" si="143"/>
        <v>404.59223969108882</v>
      </c>
      <c r="W994" s="818"/>
      <c r="X994" s="818"/>
      <c r="Y994" s="819"/>
      <c r="Z994" s="820"/>
      <c r="AA994" s="820"/>
      <c r="AB994" s="821"/>
      <c r="AC994" s="821"/>
      <c r="AD994" s="253"/>
      <c r="AE994" s="253"/>
    </row>
    <row r="995" spans="1:31" ht="14.5">
      <c r="A995" t="s">
        <v>4511</v>
      </c>
      <c r="B995" t="s">
        <v>5413</v>
      </c>
      <c r="C995">
        <v>3629</v>
      </c>
      <c r="D995" s="581"/>
      <c r="E995" s="581"/>
      <c r="F995" s="2">
        <f>(1/S995)*cnst_fish!$C$6</f>
        <v>30.136363636363644</v>
      </c>
      <c r="G995" s="2">
        <f t="shared" si="145"/>
        <v>1</v>
      </c>
      <c r="H995" s="2">
        <f t="shared" si="145"/>
        <v>0.36449057933102513</v>
      </c>
      <c r="I995" s="2">
        <f t="shared" si="138"/>
        <v>0</v>
      </c>
      <c r="J995" s="389">
        <f t="shared" si="139"/>
        <v>0</v>
      </c>
      <c r="L995" s="721">
        <v>19435</v>
      </c>
      <c r="M995" s="581"/>
      <c r="N995" s="585" t="s">
        <v>1740</v>
      </c>
      <c r="O995" s="586" t="s">
        <v>4671</v>
      </c>
      <c r="P995" s="233">
        <f t="shared" si="140"/>
        <v>0</v>
      </c>
      <c r="Q995" s="233">
        <f t="shared" si="141"/>
        <v>19435</v>
      </c>
      <c r="R995" s="2">
        <f t="shared" si="142"/>
        <v>1</v>
      </c>
      <c r="S995" s="2">
        <f>(1/9)*cnst_fish!$C$7*(1/cnst_fish!$C$8)^(R995-1)</f>
        <v>0.141025641025641</v>
      </c>
      <c r="T995" s="682">
        <f t="shared" si="143"/>
        <v>235.06068929798852</v>
      </c>
      <c r="W995" s="818"/>
      <c r="X995" s="818"/>
      <c r="Y995" s="819"/>
      <c r="Z995" s="820"/>
      <c r="AA995" s="820"/>
      <c r="AB995" s="821"/>
      <c r="AC995" s="821"/>
      <c r="AD995" s="253"/>
      <c r="AE995" s="253"/>
    </row>
    <row r="996" spans="1:31" ht="14.5">
      <c r="A996" t="s">
        <v>5154</v>
      </c>
      <c r="B996" t="s">
        <v>5414</v>
      </c>
      <c r="C996">
        <v>2776</v>
      </c>
      <c r="D996" s="581"/>
      <c r="E996" s="581"/>
      <c r="F996" s="2">
        <f>(1/S996)*cnst_fish!$C$6</f>
        <v>30.136363636363644</v>
      </c>
      <c r="G996" s="2">
        <f t="shared" si="145"/>
        <v>1</v>
      </c>
      <c r="H996" s="2">
        <f t="shared" si="145"/>
        <v>0.36449057933102513</v>
      </c>
      <c r="I996" s="2">
        <f t="shared" si="138"/>
        <v>0</v>
      </c>
      <c r="J996" s="389">
        <f t="shared" si="139"/>
        <v>0</v>
      </c>
      <c r="L996" s="721">
        <v>55891</v>
      </c>
      <c r="M996" s="581"/>
      <c r="N996" s="585" t="s">
        <v>1740</v>
      </c>
      <c r="O996" s="586" t="s">
        <v>4671</v>
      </c>
      <c r="P996" s="233">
        <f t="shared" si="140"/>
        <v>0</v>
      </c>
      <c r="Q996" s="233">
        <f t="shared" si="141"/>
        <v>55891</v>
      </c>
      <c r="R996" s="2">
        <f t="shared" si="142"/>
        <v>1</v>
      </c>
      <c r="S996" s="2">
        <f>(1/9)*cnst_fish!$C$7*(1/cnst_fish!$C$8)^(R996-1)</f>
        <v>0.141025641025641</v>
      </c>
      <c r="T996" s="682">
        <f t="shared" si="143"/>
        <v>675.98543789832138</v>
      </c>
      <c r="W996" s="818"/>
      <c r="X996" s="818"/>
      <c r="Y996" s="819"/>
      <c r="Z996" s="820"/>
      <c r="AA996" s="820"/>
      <c r="AB996" s="821"/>
      <c r="AC996" s="821"/>
      <c r="AD996" s="253"/>
      <c r="AE996" s="253"/>
    </row>
    <row r="997" spans="1:31" ht="14.5">
      <c r="A997" t="s">
        <v>1358</v>
      </c>
      <c r="B997" t="s">
        <v>2366</v>
      </c>
      <c r="C997">
        <v>2798</v>
      </c>
      <c r="D997" s="581">
        <v>4</v>
      </c>
      <c r="E997" s="581"/>
      <c r="F997" s="2">
        <f>(1/S997)*cnst_fish!$C$6</f>
        <v>9.5299549485983424E-3</v>
      </c>
      <c r="G997" s="2">
        <f t="shared" si="145"/>
        <v>1</v>
      </c>
      <c r="H997" s="2">
        <f t="shared" si="145"/>
        <v>0.36449057933102513</v>
      </c>
      <c r="I997" s="2">
        <f t="shared" si="138"/>
        <v>152.9873252484301</v>
      </c>
      <c r="J997" s="389">
        <f t="shared" si="139"/>
        <v>0</v>
      </c>
      <c r="L997" s="721">
        <v>69.069999999999993</v>
      </c>
      <c r="M997" s="581"/>
      <c r="N997" s="585" t="s">
        <v>1738</v>
      </c>
      <c r="O997" s="586" t="s">
        <v>4681</v>
      </c>
      <c r="P997" s="233">
        <f t="shared" si="140"/>
        <v>4</v>
      </c>
      <c r="Q997" s="233">
        <f t="shared" si="141"/>
        <v>69.069999999999993</v>
      </c>
      <c r="R997" s="2">
        <f t="shared" si="142"/>
        <v>4.5</v>
      </c>
      <c r="S997" s="2">
        <f>(1/9)*cnst_fish!$C$7*(1/cnst_fish!$C$8)^(R997-1)</f>
        <v>445.96223412630997</v>
      </c>
      <c r="T997" s="682">
        <f t="shared" si="143"/>
        <v>2641.7086387272666</v>
      </c>
      <c r="W997" s="818"/>
      <c r="X997" s="818"/>
      <c r="Y997" s="819"/>
      <c r="Z997" s="820"/>
      <c r="AA997" s="820"/>
      <c r="AB997" s="821"/>
      <c r="AC997" s="821"/>
      <c r="AD997" s="253"/>
      <c r="AE997" s="253"/>
    </row>
    <row r="998" spans="1:31" ht="14.5">
      <c r="A998" t="s">
        <v>1935</v>
      </c>
      <c r="B998" t="s">
        <v>1936</v>
      </c>
      <c r="C998">
        <v>2796</v>
      </c>
      <c r="D998" s="581"/>
      <c r="E998" s="581"/>
      <c r="F998" s="2">
        <f>(1/S998)*cnst_fish!$C$6</f>
        <v>9.3130266898023197E-3</v>
      </c>
      <c r="G998" s="2">
        <f t="shared" si="145"/>
        <v>1</v>
      </c>
      <c r="H998" s="2">
        <f t="shared" si="145"/>
        <v>0.36449057933102513</v>
      </c>
      <c r="I998" s="2">
        <f t="shared" si="138"/>
        <v>0</v>
      </c>
      <c r="J998" s="389">
        <f t="shared" si="139"/>
        <v>0</v>
      </c>
      <c r="L998" s="721">
        <v>268</v>
      </c>
      <c r="M998" s="581"/>
      <c r="N998" s="585" t="s">
        <v>3785</v>
      </c>
      <c r="O998" s="586" t="s">
        <v>4681</v>
      </c>
      <c r="P998" s="233">
        <f t="shared" si="140"/>
        <v>0</v>
      </c>
      <c r="Q998" s="233">
        <f t="shared" si="141"/>
        <v>268</v>
      </c>
      <c r="R998" s="2">
        <f t="shared" si="142"/>
        <v>4.51</v>
      </c>
      <c r="S998" s="2">
        <f>(1/9)*cnst_fish!$C$7*(1/cnst_fish!$C$8)^(R998-1)</f>
        <v>456.35002900332194</v>
      </c>
      <c r="T998" s="682">
        <f t="shared" si="143"/>
        <v>10488.907474911164</v>
      </c>
      <c r="W998" s="818"/>
      <c r="X998" s="818"/>
      <c r="Y998" s="819"/>
      <c r="Z998" s="820"/>
      <c r="AA998" s="820"/>
      <c r="AB998" s="821"/>
      <c r="AC998" s="821"/>
      <c r="AD998" s="253"/>
      <c r="AE998" s="253"/>
    </row>
    <row r="999" spans="1:31" ht="14.5">
      <c r="A999" t="s">
        <v>776</v>
      </c>
      <c r="B999" t="s">
        <v>635</v>
      </c>
      <c r="C999">
        <v>2142</v>
      </c>
      <c r="D999" s="581"/>
      <c r="E999" s="581"/>
      <c r="F999" s="2">
        <f>(1/S999)*cnst_fish!$C$6</f>
        <v>0.2037468239476744</v>
      </c>
      <c r="G999" s="2">
        <f t="shared" si="145"/>
        <v>1</v>
      </c>
      <c r="H999" s="2">
        <f t="shared" si="145"/>
        <v>0.36449057933102513</v>
      </c>
      <c r="I999" s="2">
        <f t="shared" si="138"/>
        <v>0</v>
      </c>
      <c r="J999" s="389">
        <f t="shared" si="139"/>
        <v>0</v>
      </c>
      <c r="L999" s="721">
        <v>5783</v>
      </c>
      <c r="M999" s="581"/>
      <c r="N999" s="585" t="s">
        <v>1738</v>
      </c>
      <c r="O999" s="586" t="s">
        <v>4681</v>
      </c>
      <c r="P999" s="233">
        <f t="shared" si="140"/>
        <v>0</v>
      </c>
      <c r="Q999" s="233">
        <f t="shared" si="141"/>
        <v>5783</v>
      </c>
      <c r="R999" s="2">
        <f t="shared" si="142"/>
        <v>3.17</v>
      </c>
      <c r="S999" s="2">
        <f>(1/9)*cnst_fish!$C$7*(1/cnst_fish!$C$8)^(R999-1)</f>
        <v>20.859220858782422</v>
      </c>
      <c r="T999" s="682">
        <f t="shared" si="143"/>
        <v>10345.432529601783</v>
      </c>
      <c r="W999" s="818"/>
      <c r="X999" s="818"/>
      <c r="Y999" s="819"/>
      <c r="Z999" s="820"/>
      <c r="AA999" s="820"/>
      <c r="AB999" s="821"/>
      <c r="AC999" s="821"/>
      <c r="AD999" s="253"/>
      <c r="AE999" s="253"/>
    </row>
    <row r="1000" spans="1:31" ht="14.5">
      <c r="A1000" t="s">
        <v>5491</v>
      </c>
      <c r="B1000" t="s">
        <v>5492</v>
      </c>
      <c r="C1000">
        <v>13036</v>
      </c>
      <c r="D1000" s="581"/>
      <c r="E1000" s="581"/>
      <c r="F1000" s="2">
        <f>(1/S1000)*cnst_fish!$C$6</f>
        <v>0.19457670629544385</v>
      </c>
      <c r="G1000" s="2">
        <f t="shared" si="145"/>
        <v>1</v>
      </c>
      <c r="H1000" s="2">
        <f t="shared" si="145"/>
        <v>0.36449057933102513</v>
      </c>
      <c r="I1000" s="2">
        <f t="shared" si="138"/>
        <v>0</v>
      </c>
      <c r="J1000" s="389">
        <f t="shared" si="139"/>
        <v>0</v>
      </c>
      <c r="L1000" s="721">
        <v>1</v>
      </c>
      <c r="M1000" s="581"/>
      <c r="N1000" s="585" t="s">
        <v>1738</v>
      </c>
      <c r="O1000" s="586" t="s">
        <v>4681</v>
      </c>
      <c r="P1000" s="233">
        <f t="shared" si="140"/>
        <v>0</v>
      </c>
      <c r="Q1000" s="233">
        <f t="shared" si="141"/>
        <v>1</v>
      </c>
      <c r="R1000" s="2">
        <f t="shared" si="142"/>
        <v>3.19</v>
      </c>
      <c r="S1000" s="2">
        <f>(1/9)*cnst_fish!$C$7*(1/cnst_fish!$C$8)^(R1000-1)</f>
        <v>21.84228565132987</v>
      </c>
      <c r="T1000" s="682">
        <f t="shared" si="143"/>
        <v>1.8732487884628148</v>
      </c>
      <c r="W1000" s="818"/>
      <c r="X1000" s="818"/>
      <c r="Y1000" s="819"/>
      <c r="Z1000" s="820"/>
      <c r="AA1000" s="820"/>
      <c r="AB1000" s="821"/>
      <c r="AC1000" s="821"/>
      <c r="AD1000" s="253"/>
      <c r="AE1000" s="253"/>
    </row>
    <row r="1001" spans="1:31" ht="14.5">
      <c r="A1001" t="s">
        <v>873</v>
      </c>
      <c r="B1001" t="s">
        <v>1510</v>
      </c>
      <c r="C1001">
        <v>2002</v>
      </c>
      <c r="D1001" s="581"/>
      <c r="E1001" s="581"/>
      <c r="F1001" s="2">
        <f>(1/S1001)*cnst_fish!$C$6</f>
        <v>9.5299549485983424E-3</v>
      </c>
      <c r="G1001" s="2">
        <f t="shared" si="145"/>
        <v>1</v>
      </c>
      <c r="H1001" s="2">
        <f t="shared" si="145"/>
        <v>0.36449057933102513</v>
      </c>
      <c r="I1001" s="2">
        <f t="shared" si="138"/>
        <v>0</v>
      </c>
      <c r="J1001" s="389">
        <f t="shared" si="139"/>
        <v>0</v>
      </c>
      <c r="L1001" s="721">
        <v>0</v>
      </c>
      <c r="M1001" s="581">
        <v>127</v>
      </c>
      <c r="N1001" s="585" t="s">
        <v>1738</v>
      </c>
      <c r="O1001" s="586" t="s">
        <v>4685</v>
      </c>
      <c r="P1001" s="233">
        <f t="shared" si="140"/>
        <v>0</v>
      </c>
      <c r="Q1001" s="233">
        <f t="shared" si="141"/>
        <v>127</v>
      </c>
      <c r="R1001" s="2">
        <f t="shared" si="142"/>
        <v>4.5</v>
      </c>
      <c r="S1001" s="2">
        <f>(1/9)*cnst_fish!$C$7*(1/cnst_fish!$C$8)^(R1001-1)</f>
        <v>445.96223412630997</v>
      </c>
      <c r="T1001" s="682">
        <f t="shared" si="143"/>
        <v>4857.3475766376559</v>
      </c>
      <c r="W1001" s="822"/>
      <c r="X1001" s="822"/>
      <c r="Y1001" s="819"/>
      <c r="Z1001" s="820"/>
      <c r="AA1001" s="820"/>
      <c r="AB1001" s="821"/>
      <c r="AC1001" s="821"/>
      <c r="AD1001" s="253"/>
      <c r="AE1001" s="253"/>
    </row>
    <row r="1002" spans="1:31" ht="14.5">
      <c r="A1002" t="s">
        <v>168</v>
      </c>
      <c r="B1002" t="s">
        <v>4041</v>
      </c>
      <c r="C1002">
        <v>2247</v>
      </c>
      <c r="D1002" s="581"/>
      <c r="E1002" s="581"/>
      <c r="F1002" s="2">
        <f>(1/S1002)*cnst_fish!$C$6</f>
        <v>1.8158954798513597E-2</v>
      </c>
      <c r="G1002" s="2">
        <f t="shared" si="145"/>
        <v>1</v>
      </c>
      <c r="H1002" s="2">
        <f t="shared" si="145"/>
        <v>0.36449057933102513</v>
      </c>
      <c r="I1002" s="2">
        <f t="shared" si="138"/>
        <v>0</v>
      </c>
      <c r="J1002" s="389">
        <f t="shared" si="139"/>
        <v>0</v>
      </c>
      <c r="L1002" s="721">
        <v>1387</v>
      </c>
      <c r="M1002" s="581"/>
      <c r="N1002" s="585" t="s">
        <v>1738</v>
      </c>
      <c r="O1002" s="586" t="s">
        <v>4699</v>
      </c>
      <c r="P1002" s="233">
        <f t="shared" si="140"/>
        <v>0</v>
      </c>
      <c r="Q1002" s="233">
        <f t="shared" si="141"/>
        <v>1387</v>
      </c>
      <c r="R1002" s="2">
        <f t="shared" si="142"/>
        <v>4.22</v>
      </c>
      <c r="S1002" s="2">
        <f>(1/9)*cnst_fish!$C$7*(1/cnst_fish!$C$8)^(R1002-1)</f>
        <v>234.0443074591432</v>
      </c>
      <c r="T1002" s="682">
        <f t="shared" si="143"/>
        <v>27840.172473666466</v>
      </c>
      <c r="W1002" s="818"/>
      <c r="X1002" s="818"/>
      <c r="Y1002" s="819"/>
      <c r="Z1002" s="820"/>
      <c r="AA1002" s="820"/>
      <c r="AB1002" s="821"/>
      <c r="AC1002" s="821"/>
      <c r="AD1002" s="253"/>
      <c r="AE1002" s="253"/>
    </row>
    <row r="1003" spans="1:31" ht="14.5">
      <c r="A1003" t="s">
        <v>5516</v>
      </c>
      <c r="B1003" t="s">
        <v>5517</v>
      </c>
      <c r="C1003">
        <v>13048</v>
      </c>
      <c r="D1003" s="581"/>
      <c r="E1003" s="581"/>
      <c r="F1003" s="2">
        <f>(1/S1003)*cnst_fish!$C$6</f>
        <v>1.2276960190187586E-2</v>
      </c>
      <c r="G1003" s="2">
        <f t="shared" si="145"/>
        <v>1</v>
      </c>
      <c r="H1003" s="2">
        <f t="shared" si="145"/>
        <v>0.36449057933102513</v>
      </c>
      <c r="I1003" s="2">
        <f t="shared" si="138"/>
        <v>0</v>
      </c>
      <c r="J1003" s="389">
        <f t="shared" si="139"/>
        <v>0</v>
      </c>
      <c r="L1003" s="721">
        <v>1</v>
      </c>
      <c r="M1003" s="581"/>
      <c r="N1003" s="585" t="s">
        <v>1738</v>
      </c>
      <c r="O1003" s="586" t="s">
        <v>4699</v>
      </c>
      <c r="P1003" s="233">
        <f t="shared" si="140"/>
        <v>0</v>
      </c>
      <c r="Q1003" s="233">
        <f t="shared" si="141"/>
        <v>1</v>
      </c>
      <c r="R1003" s="2">
        <f t="shared" si="142"/>
        <v>4.3899999999999997</v>
      </c>
      <c r="S1003" s="2">
        <f>(1/9)*cnst_fish!$C$7*(1/cnst_fish!$C$8)^(R1003-1)</f>
        <v>346.17689836583742</v>
      </c>
      <c r="T1003" s="682">
        <f t="shared" si="143"/>
        <v>29.688992526207411</v>
      </c>
      <c r="W1003" s="818"/>
      <c r="X1003" s="818"/>
      <c r="Y1003" s="819"/>
      <c r="Z1003" s="820"/>
      <c r="AA1003" s="820"/>
      <c r="AB1003" s="821"/>
      <c r="AC1003" s="821"/>
      <c r="AD1003" s="253"/>
      <c r="AE1003" s="253"/>
    </row>
    <row r="1004" spans="1:31" ht="14.5">
      <c r="A1004" t="s">
        <v>5157</v>
      </c>
      <c r="B1004" t="s">
        <v>3570</v>
      </c>
      <c r="C1004">
        <v>3163</v>
      </c>
      <c r="D1004" s="581"/>
      <c r="E1004" s="581"/>
      <c r="F1004" s="2">
        <f>(1/S1004)*cnst_fish!$C$6</f>
        <v>5.7423657091346926E-2</v>
      </c>
      <c r="G1004" s="2">
        <f t="shared" si="145"/>
        <v>1</v>
      </c>
      <c r="H1004" s="2">
        <f t="shared" si="145"/>
        <v>0.36449057933102513</v>
      </c>
      <c r="I1004" s="2">
        <f t="shared" si="138"/>
        <v>0</v>
      </c>
      <c r="J1004" s="389">
        <f t="shared" si="139"/>
        <v>0</v>
      </c>
      <c r="L1004" s="721">
        <v>69010</v>
      </c>
      <c r="M1004" s="581"/>
      <c r="N1004" s="585" t="s">
        <v>1738</v>
      </c>
      <c r="O1004" s="586" t="s">
        <v>4681</v>
      </c>
      <c r="P1004" s="233">
        <f t="shared" si="140"/>
        <v>0</v>
      </c>
      <c r="Q1004" s="233">
        <f t="shared" si="141"/>
        <v>69010</v>
      </c>
      <c r="R1004" s="2">
        <f t="shared" si="142"/>
        <v>3.72</v>
      </c>
      <c r="S1004" s="2">
        <f>(1/9)*cnst_fish!$C$7*(1/cnst_fish!$C$8)^(R1004-1)</f>
        <v>74.011308496762837</v>
      </c>
      <c r="T1004" s="682">
        <f t="shared" si="143"/>
        <v>438033.66336666816</v>
      </c>
      <c r="W1004" s="818"/>
      <c r="X1004" s="818"/>
      <c r="Y1004" s="819"/>
      <c r="Z1004" s="820"/>
      <c r="AA1004" s="820"/>
      <c r="AB1004" s="821"/>
      <c r="AC1004" s="821"/>
      <c r="AD1004" s="253"/>
      <c r="AE1004" s="253"/>
    </row>
    <row r="1005" spans="1:31" ht="14.5">
      <c r="A1005" t="s">
        <v>5407</v>
      </c>
      <c r="B1005" t="s">
        <v>3571</v>
      </c>
      <c r="C1005">
        <v>2362</v>
      </c>
      <c r="D1005" s="581"/>
      <c r="E1005" s="581"/>
      <c r="F1005" s="2">
        <f>(1/S1005)*cnst_fish!$C$6</f>
        <v>6.9038420626592392E-2</v>
      </c>
      <c r="G1005" s="2">
        <f t="shared" si="145"/>
        <v>1</v>
      </c>
      <c r="H1005" s="2">
        <f t="shared" si="145"/>
        <v>0.36449057933102513</v>
      </c>
      <c r="I1005" s="2">
        <f t="shared" si="138"/>
        <v>0</v>
      </c>
      <c r="J1005" s="389">
        <f t="shared" si="139"/>
        <v>0</v>
      </c>
      <c r="L1005" s="721">
        <v>306003</v>
      </c>
      <c r="M1005" s="581"/>
      <c r="N1005" s="585" t="s">
        <v>1738</v>
      </c>
      <c r="O1005" s="586" t="s">
        <v>4681</v>
      </c>
      <c r="P1005" s="233">
        <f t="shared" si="140"/>
        <v>0</v>
      </c>
      <c r="Q1005" s="233">
        <f t="shared" si="141"/>
        <v>306003</v>
      </c>
      <c r="R1005" s="2">
        <f t="shared" si="142"/>
        <v>3.64</v>
      </c>
      <c r="S1005" s="2">
        <f>(1/9)*cnst_fish!$C$7*(1/cnst_fish!$C$8)^(R1005-1)</f>
        <v>61.559925059510611</v>
      </c>
      <c r="T1005" s="682">
        <f t="shared" si="143"/>
        <v>1615552.7564903516</v>
      </c>
      <c r="W1005" s="818"/>
      <c r="X1005" s="818"/>
      <c r="Y1005" s="819"/>
      <c r="Z1005" s="820"/>
      <c r="AA1005" s="820"/>
      <c r="AB1005" s="821"/>
      <c r="AC1005" s="821"/>
      <c r="AD1005" s="253"/>
      <c r="AE1005" s="253"/>
    </row>
    <row r="1006" spans="1:31" ht="14.5">
      <c r="A1006" t="s">
        <v>6629</v>
      </c>
      <c r="B1006" t="s">
        <v>6628</v>
      </c>
      <c r="C1006">
        <v>13055</v>
      </c>
      <c r="D1006" s="581"/>
      <c r="E1006" s="581"/>
      <c r="F1006" s="2">
        <f>(1/S1006)*cnst_fish!$C$6</f>
        <v>3.0136363636363641</v>
      </c>
      <c r="G1006" s="2">
        <f t="shared" si="145"/>
        <v>1</v>
      </c>
      <c r="H1006" s="2">
        <f t="shared" si="145"/>
        <v>0.36449057933102513</v>
      </c>
      <c r="I1006" s="2">
        <f t="shared" si="138"/>
        <v>0</v>
      </c>
      <c r="J1006" s="389">
        <f t="shared" si="139"/>
        <v>0</v>
      </c>
      <c r="L1006" s="721">
        <v>220</v>
      </c>
      <c r="M1006" s="581"/>
      <c r="N1006" s="585" t="s">
        <v>1738</v>
      </c>
      <c r="O1006" s="586" t="s">
        <v>4681</v>
      </c>
      <c r="P1006" s="233">
        <f t="shared" si="140"/>
        <v>0</v>
      </c>
      <c r="Q1006" s="233">
        <f t="shared" si="141"/>
        <v>220</v>
      </c>
      <c r="R1006" s="2">
        <f t="shared" si="142"/>
        <v>2</v>
      </c>
      <c r="S1006" s="2">
        <f>(1/9)*cnst_fish!$C$7*(1/cnst_fish!$C$8)^(R1006-1)</f>
        <v>1.4102564102564099</v>
      </c>
      <c r="T1006" s="682">
        <f t="shared" si="143"/>
        <v>26.608362050711332</v>
      </c>
      <c r="W1006" s="818"/>
      <c r="X1006" s="818"/>
      <c r="Y1006" s="819"/>
      <c r="Z1006" s="820"/>
      <c r="AA1006" s="820"/>
      <c r="AB1006" s="821"/>
      <c r="AC1006" s="821"/>
      <c r="AD1006" s="253"/>
      <c r="AE1006" s="253"/>
    </row>
    <row r="1007" spans="1:31" ht="14.5">
      <c r="A1007" t="s">
        <v>9022</v>
      </c>
      <c r="B1007" t="s">
        <v>9023</v>
      </c>
      <c r="C1007">
        <v>13057</v>
      </c>
      <c r="D1007" s="581"/>
      <c r="E1007" s="581"/>
      <c r="F1007" s="869">
        <f>(1/S1007)*cnst_fish!$C$6</f>
        <v>9.5299549485983424E-3</v>
      </c>
      <c r="G1007" s="869">
        <f t="shared" si="145"/>
        <v>1</v>
      </c>
      <c r="H1007" s="869">
        <f t="shared" si="145"/>
        <v>0.36449057933102513</v>
      </c>
      <c r="I1007" s="869">
        <f t="shared" si="138"/>
        <v>0</v>
      </c>
      <c r="J1007" s="389">
        <f t="shared" si="139"/>
        <v>0</v>
      </c>
      <c r="L1007" s="721">
        <v>277</v>
      </c>
      <c r="M1007" s="581"/>
      <c r="N1007" s="877" t="s">
        <v>1738</v>
      </c>
      <c r="O1007" s="881" t="s">
        <v>4699</v>
      </c>
      <c r="P1007" s="871">
        <f t="shared" si="140"/>
        <v>0</v>
      </c>
      <c r="Q1007" s="871">
        <f t="shared" si="141"/>
        <v>277</v>
      </c>
      <c r="R1007" s="869">
        <f t="shared" si="142"/>
        <v>4.5</v>
      </c>
      <c r="S1007" s="869">
        <f>(1/9)*cnst_fish!$C$7*(1/cnst_fish!$C$8)^(R1007-1)</f>
        <v>445.96223412630997</v>
      </c>
      <c r="T1007" s="682">
        <f t="shared" si="143"/>
        <v>10594.372273453784</v>
      </c>
      <c r="W1007" s="818"/>
      <c r="X1007" s="818"/>
      <c r="Y1007" s="819"/>
      <c r="Z1007" s="820"/>
      <c r="AA1007" s="820"/>
      <c r="AB1007" s="821"/>
      <c r="AC1007" s="821"/>
      <c r="AD1007" s="253"/>
      <c r="AE1007" s="253"/>
    </row>
    <row r="1008" spans="1:31" ht="14.5">
      <c r="A1008" t="s">
        <v>4436</v>
      </c>
      <c r="B1008" t="s">
        <v>3572</v>
      </c>
      <c r="C1008">
        <v>2286</v>
      </c>
      <c r="D1008" s="581"/>
      <c r="E1008" s="581"/>
      <c r="F1008" s="2">
        <f>(1/S1008)*cnst_fish!$C$6</f>
        <v>0.13154999853419541</v>
      </c>
      <c r="G1008" s="2">
        <f t="shared" ref="G1008:H1027" si="146">G$7</f>
        <v>1</v>
      </c>
      <c r="H1008" s="2">
        <f t="shared" si="146"/>
        <v>0.36449057933102513</v>
      </c>
      <c r="I1008" s="2">
        <f t="shared" si="138"/>
        <v>0</v>
      </c>
      <c r="J1008" s="389">
        <f t="shared" si="139"/>
        <v>0</v>
      </c>
      <c r="L1008" s="721">
        <v>8018</v>
      </c>
      <c r="M1008" s="581"/>
      <c r="N1008" s="585" t="s">
        <v>2319</v>
      </c>
      <c r="O1008" s="586" t="s">
        <v>4681</v>
      </c>
      <c r="P1008" s="233">
        <f t="shared" si="140"/>
        <v>0</v>
      </c>
      <c r="Q1008" s="233">
        <f t="shared" si="141"/>
        <v>8018</v>
      </c>
      <c r="R1008" s="2">
        <f t="shared" si="142"/>
        <v>3.36</v>
      </c>
      <c r="S1008" s="2">
        <f>(1/9)*cnst_fish!$C$7*(1/cnst_fish!$C$8)^(R1008-1)</f>
        <v>32.307107923648097</v>
      </c>
      <c r="T1008" s="682">
        <f t="shared" si="143"/>
        <v>22215.777253060798</v>
      </c>
      <c r="W1008" s="818"/>
      <c r="X1008" s="818"/>
      <c r="Y1008" s="819"/>
      <c r="Z1008" s="820"/>
      <c r="AA1008" s="820"/>
      <c r="AB1008" s="821"/>
      <c r="AC1008" s="821"/>
      <c r="AD1008" s="253"/>
      <c r="AE1008" s="253"/>
    </row>
    <row r="1009" spans="1:31" ht="14.5">
      <c r="A1009" t="s">
        <v>6695</v>
      </c>
      <c r="B1009" t="s">
        <v>6694</v>
      </c>
      <c r="C1009">
        <v>13059</v>
      </c>
      <c r="D1009" s="581"/>
      <c r="E1009" s="581"/>
      <c r="F1009" s="2">
        <f>(1/S1009)*cnst_fish!$C$6</f>
        <v>3.0136363636363641</v>
      </c>
      <c r="G1009" s="2">
        <f t="shared" si="146"/>
        <v>1</v>
      </c>
      <c r="H1009" s="2">
        <f t="shared" si="146"/>
        <v>0.36449057933102513</v>
      </c>
      <c r="I1009" s="2">
        <f t="shared" si="138"/>
        <v>0</v>
      </c>
      <c r="J1009" s="389">
        <f t="shared" si="139"/>
        <v>0</v>
      </c>
      <c r="L1009" s="721"/>
      <c r="M1009" s="581">
        <v>5</v>
      </c>
      <c r="N1009" s="585" t="s">
        <v>1738</v>
      </c>
      <c r="O1009" s="586" t="s">
        <v>4685</v>
      </c>
      <c r="P1009" s="233">
        <f t="shared" si="140"/>
        <v>0</v>
      </c>
      <c r="Q1009" s="233">
        <f t="shared" si="141"/>
        <v>5</v>
      </c>
      <c r="R1009" s="2">
        <f t="shared" si="142"/>
        <v>2</v>
      </c>
      <c r="S1009" s="2">
        <f>(1/9)*cnst_fish!$C$7*(1/cnst_fish!$C$8)^(R1009-1)</f>
        <v>1.4102564102564099</v>
      </c>
      <c r="T1009" s="682">
        <f t="shared" si="143"/>
        <v>0.60473550115253027</v>
      </c>
      <c r="W1009" s="818"/>
      <c r="X1009" s="818"/>
      <c r="Y1009" s="819"/>
      <c r="Z1009" s="820"/>
      <c r="AA1009" s="820"/>
      <c r="AB1009" s="821"/>
      <c r="AC1009" s="821"/>
      <c r="AD1009" s="253"/>
      <c r="AE1009" s="253"/>
    </row>
    <row r="1010" spans="1:31" ht="14.5">
      <c r="A1010" t="s">
        <v>5459</v>
      </c>
      <c r="B1010" t="s">
        <v>1372</v>
      </c>
      <c r="C1010">
        <v>3068</v>
      </c>
      <c r="D1010" s="581"/>
      <c r="E1010" s="581"/>
      <c r="F1010" s="2">
        <f>(1/S1010)*cnst_fish!$C$6</f>
        <v>1.3461419163458574E-2</v>
      </c>
      <c r="G1010" s="2">
        <f t="shared" si="146"/>
        <v>1</v>
      </c>
      <c r="H1010" s="2">
        <f t="shared" si="146"/>
        <v>0.36449057933102513</v>
      </c>
      <c r="I1010" s="2">
        <f t="shared" si="138"/>
        <v>0</v>
      </c>
      <c r="J1010" s="389">
        <f t="shared" si="139"/>
        <v>0</v>
      </c>
      <c r="L1010" s="721">
        <v>92558</v>
      </c>
      <c r="M1010" s="581">
        <v>350</v>
      </c>
      <c r="N1010" s="585" t="s">
        <v>1738</v>
      </c>
      <c r="O1010" s="586" t="s">
        <v>4685</v>
      </c>
      <c r="P1010" s="233">
        <f t="shared" si="140"/>
        <v>0</v>
      </c>
      <c r="Q1010" s="233">
        <f t="shared" si="141"/>
        <v>92908</v>
      </c>
      <c r="R1010" s="2">
        <f t="shared" si="142"/>
        <v>4.3499999999999996</v>
      </c>
      <c r="S1010" s="2">
        <f>(1/9)*cnst_fish!$C$7*(1/cnst_fish!$C$8)^(R1010-1)</f>
        <v>315.71708364425297</v>
      </c>
      <c r="T1010" s="682">
        <f t="shared" si="143"/>
        <v>2515640.4635561733</v>
      </c>
      <c r="W1010" s="818"/>
      <c r="X1010" s="818"/>
      <c r="Y1010" s="819"/>
      <c r="Z1010" s="820"/>
      <c r="AA1010" s="820"/>
      <c r="AB1010" s="821"/>
      <c r="AC1010" s="821"/>
      <c r="AD1010" s="253"/>
      <c r="AE1010" s="253"/>
    </row>
    <row r="1011" spans="1:31" ht="14.5">
      <c r="A1011" t="s">
        <v>6252</v>
      </c>
      <c r="B1011" t="s">
        <v>6251</v>
      </c>
      <c r="C1011">
        <v>13061</v>
      </c>
      <c r="D1011" s="581"/>
      <c r="E1011" s="581"/>
      <c r="F1011" s="2">
        <f>(1/S1011)*cnst_fish!$C$6</f>
        <v>3.0136363636363641</v>
      </c>
      <c r="G1011" s="2">
        <f t="shared" si="146"/>
        <v>1</v>
      </c>
      <c r="H1011" s="2">
        <f t="shared" si="146"/>
        <v>0.36449057933102513</v>
      </c>
      <c r="I1011" s="2">
        <f t="shared" si="138"/>
        <v>0</v>
      </c>
      <c r="J1011" s="389">
        <f t="shared" si="139"/>
        <v>0</v>
      </c>
      <c r="L1011" s="721"/>
      <c r="M1011" s="581">
        <v>30</v>
      </c>
      <c r="N1011" s="585" t="s">
        <v>1738</v>
      </c>
      <c r="O1011" s="586" t="s">
        <v>4685</v>
      </c>
      <c r="P1011" s="233">
        <f t="shared" si="140"/>
        <v>0</v>
      </c>
      <c r="Q1011" s="233">
        <f t="shared" si="141"/>
        <v>30</v>
      </c>
      <c r="R1011" s="2">
        <f t="shared" si="142"/>
        <v>2</v>
      </c>
      <c r="S1011" s="2">
        <f>(1/9)*cnst_fish!$C$7*(1/cnst_fish!$C$8)^(R1011-1)</f>
        <v>1.4102564102564099</v>
      </c>
      <c r="T1011" s="682">
        <f t="shared" si="143"/>
        <v>3.6284130069151819</v>
      </c>
      <c r="W1011" s="818"/>
      <c r="X1011" s="818"/>
      <c r="Y1011" s="819"/>
      <c r="Z1011" s="820"/>
      <c r="AA1011" s="820"/>
      <c r="AB1011" s="821"/>
      <c r="AC1011" s="821"/>
      <c r="AD1011" s="253"/>
      <c r="AE1011" s="253"/>
    </row>
    <row r="1012" spans="1:31" ht="14.5">
      <c r="A1012" t="s">
        <v>6385</v>
      </c>
      <c r="B1012" t="s">
        <v>6384</v>
      </c>
      <c r="C1012">
        <v>13062</v>
      </c>
      <c r="D1012" s="581"/>
      <c r="E1012" s="581"/>
      <c r="F1012" s="2">
        <f>(1/S1012)*cnst_fish!$C$6</f>
        <v>3.0136363636363641</v>
      </c>
      <c r="G1012" s="2">
        <f t="shared" si="146"/>
        <v>1</v>
      </c>
      <c r="H1012" s="2">
        <f t="shared" si="146"/>
        <v>0.36449057933102513</v>
      </c>
      <c r="I1012" s="2">
        <f t="shared" si="138"/>
        <v>0</v>
      </c>
      <c r="J1012" s="389">
        <f t="shared" si="139"/>
        <v>0</v>
      </c>
      <c r="L1012" s="721"/>
      <c r="M1012" s="581">
        <v>90</v>
      </c>
      <c r="N1012" s="585" t="s">
        <v>1738</v>
      </c>
      <c r="O1012" s="586" t="s">
        <v>4685</v>
      </c>
      <c r="P1012" s="233">
        <f t="shared" si="140"/>
        <v>0</v>
      </c>
      <c r="Q1012" s="233">
        <f t="shared" si="141"/>
        <v>90</v>
      </c>
      <c r="R1012" s="2">
        <f t="shared" si="142"/>
        <v>2</v>
      </c>
      <c r="S1012" s="2">
        <f>(1/9)*cnst_fish!$C$7*(1/cnst_fish!$C$8)^(R1012-1)</f>
        <v>1.4102564102564099</v>
      </c>
      <c r="T1012" s="682">
        <f t="shared" si="143"/>
        <v>10.885239020745546</v>
      </c>
      <c r="W1012" s="818"/>
      <c r="X1012" s="818"/>
      <c r="Y1012" s="819"/>
      <c r="Z1012" s="820"/>
      <c r="AA1012" s="820"/>
      <c r="AB1012" s="821"/>
      <c r="AC1012" s="821"/>
      <c r="AD1012" s="253"/>
      <c r="AE1012" s="253"/>
    </row>
    <row r="1013" spans="1:31" ht="14.5">
      <c r="A1013" t="s">
        <v>911</v>
      </c>
      <c r="B1013" t="s">
        <v>312</v>
      </c>
      <c r="C1013">
        <v>2275</v>
      </c>
      <c r="D1013" s="581"/>
      <c r="E1013" s="581"/>
      <c r="F1013" s="2">
        <f>(1/S1013)*cnst_fish!$C$6</f>
        <v>9.979087888316248E-3</v>
      </c>
      <c r="G1013" s="2">
        <f t="shared" si="146"/>
        <v>1</v>
      </c>
      <c r="H1013" s="2">
        <f t="shared" si="146"/>
        <v>0.36449057933102513</v>
      </c>
      <c r="I1013" s="2">
        <f t="shared" si="138"/>
        <v>0</v>
      </c>
      <c r="J1013" s="389">
        <f t="shared" si="139"/>
        <v>0</v>
      </c>
      <c r="L1013" s="721"/>
      <c r="M1013" s="581">
        <v>210288</v>
      </c>
      <c r="N1013" s="585" t="s">
        <v>1738</v>
      </c>
      <c r="O1013" s="586" t="s">
        <v>4685</v>
      </c>
      <c r="P1013" s="233">
        <f t="shared" si="140"/>
        <v>0</v>
      </c>
      <c r="Q1013" s="233">
        <f t="shared" si="141"/>
        <v>210288</v>
      </c>
      <c r="R1013" s="2">
        <f t="shared" si="142"/>
        <v>4.4800000000000004</v>
      </c>
      <c r="S1013" s="2">
        <f>(1/9)*cnst_fish!$C$7*(1/cnst_fish!$C$8)^(R1013-1)</f>
        <v>425.89062723618264</v>
      </c>
      <c r="T1013" s="682">
        <f t="shared" si="143"/>
        <v>7680861.7986122658</v>
      </c>
      <c r="W1013" s="818"/>
      <c r="X1013" s="818"/>
      <c r="Y1013" s="819"/>
      <c r="Z1013" s="820"/>
      <c r="AA1013" s="820"/>
      <c r="AB1013" s="821"/>
      <c r="AC1013" s="821"/>
      <c r="AD1013" s="253"/>
      <c r="AE1013" s="253"/>
    </row>
    <row r="1014" spans="1:31" ht="14.5">
      <c r="A1014" t="s">
        <v>4413</v>
      </c>
      <c r="B1014" t="s">
        <v>313</v>
      </c>
      <c r="C1014">
        <v>3067</v>
      </c>
      <c r="D1014" s="581"/>
      <c r="E1014" s="581"/>
      <c r="F1014" s="2">
        <f>(1/S1014)*cnst_fish!$C$6</f>
        <v>1.5455777163012491E-2</v>
      </c>
      <c r="G1014" s="2">
        <f t="shared" si="146"/>
        <v>1</v>
      </c>
      <c r="H1014" s="2">
        <f t="shared" si="146"/>
        <v>0.36449057933102513</v>
      </c>
      <c r="I1014" s="2">
        <f t="shared" si="138"/>
        <v>0</v>
      </c>
      <c r="J1014" s="389">
        <f t="shared" si="139"/>
        <v>0</v>
      </c>
      <c r="L1014" s="721"/>
      <c r="M1014" s="581">
        <v>19753</v>
      </c>
      <c r="N1014" s="585" t="s">
        <v>1738</v>
      </c>
      <c r="O1014" s="586" t="s">
        <v>4685</v>
      </c>
      <c r="P1014" s="233">
        <f t="shared" si="140"/>
        <v>0</v>
      </c>
      <c r="Q1014" s="233">
        <f t="shared" si="141"/>
        <v>19753</v>
      </c>
      <c r="R1014" s="2">
        <f t="shared" si="142"/>
        <v>4.29</v>
      </c>
      <c r="S1014" s="2">
        <f>(1/9)*cnst_fish!$C$7*(1/cnst_fish!$C$8)^(R1014-1)</f>
        <v>274.97808458126286</v>
      </c>
      <c r="T1014" s="682">
        <f t="shared" si="143"/>
        <v>465831.14764074585</v>
      </c>
      <c r="W1014" s="818"/>
      <c r="X1014" s="818"/>
      <c r="Y1014" s="819"/>
      <c r="Z1014" s="820"/>
      <c r="AA1014" s="820"/>
      <c r="AB1014" s="821"/>
      <c r="AC1014" s="821"/>
      <c r="AD1014" s="253"/>
      <c r="AE1014" s="253"/>
    </row>
    <row r="1015" spans="1:31" ht="14.5">
      <c r="A1015" t="s">
        <v>6640</v>
      </c>
      <c r="B1015" t="s">
        <v>6639</v>
      </c>
      <c r="C1015">
        <v>19632</v>
      </c>
      <c r="D1015" s="581"/>
      <c r="E1015" s="581"/>
      <c r="F1015" s="2">
        <f>(1/S1015)*cnst_fish!$C$6</f>
        <v>3.0136363636363641</v>
      </c>
      <c r="G1015" s="2">
        <f t="shared" si="146"/>
        <v>1</v>
      </c>
      <c r="H1015" s="2">
        <f t="shared" si="146"/>
        <v>0.36449057933102513</v>
      </c>
      <c r="I1015" s="2">
        <f t="shared" si="138"/>
        <v>0</v>
      </c>
      <c r="J1015" s="389">
        <f t="shared" si="139"/>
        <v>0</v>
      </c>
      <c r="L1015" s="721"/>
      <c r="M1015" s="581">
        <v>6350</v>
      </c>
      <c r="N1015" s="585" t="s">
        <v>1738</v>
      </c>
      <c r="O1015" s="586" t="s">
        <v>4685</v>
      </c>
      <c r="P1015" s="233">
        <f t="shared" si="140"/>
        <v>0</v>
      </c>
      <c r="Q1015" s="233">
        <f t="shared" si="141"/>
        <v>6350</v>
      </c>
      <c r="R1015" s="2">
        <f t="shared" si="142"/>
        <v>2</v>
      </c>
      <c r="S1015" s="2">
        <f>(1/9)*cnst_fish!$C$7*(1/cnst_fish!$C$8)^(R1015-1)</f>
        <v>1.4102564102564099</v>
      </c>
      <c r="T1015" s="682">
        <f t="shared" si="143"/>
        <v>768.0140864637134</v>
      </c>
      <c r="W1015" s="822"/>
      <c r="X1015" s="822"/>
      <c r="Y1015" s="819"/>
      <c r="Z1015" s="820"/>
      <c r="AA1015" s="820"/>
      <c r="AB1015" s="821"/>
      <c r="AC1015" s="821"/>
      <c r="AD1015" s="253"/>
      <c r="AE1015" s="253"/>
    </row>
    <row r="1016" spans="1:31" ht="14.5">
      <c r="A1016" t="s">
        <v>4717</v>
      </c>
      <c r="B1016" t="s">
        <v>5231</v>
      </c>
      <c r="C1016">
        <v>3229</v>
      </c>
      <c r="D1016" s="581"/>
      <c r="E1016" s="581"/>
      <c r="F1016" s="2">
        <f>(1/S1016)*cnst_fish!$C$6</f>
        <v>6.7466914312309487E-2</v>
      </c>
      <c r="G1016" s="2">
        <f t="shared" si="146"/>
        <v>1</v>
      </c>
      <c r="H1016" s="2">
        <f t="shared" si="146"/>
        <v>0.36449057933102513</v>
      </c>
      <c r="I1016" s="2">
        <f t="shared" si="138"/>
        <v>0</v>
      </c>
      <c r="J1016" s="389">
        <f t="shared" si="139"/>
        <v>0</v>
      </c>
      <c r="L1016" s="721">
        <v>683</v>
      </c>
      <c r="M1016" s="581"/>
      <c r="N1016" s="585" t="s">
        <v>1738</v>
      </c>
      <c r="O1016" s="586" t="s">
        <v>4681</v>
      </c>
      <c r="P1016" s="233">
        <f t="shared" si="140"/>
        <v>0</v>
      </c>
      <c r="Q1016" s="233">
        <f t="shared" si="141"/>
        <v>683</v>
      </c>
      <c r="R1016" s="2">
        <f t="shared" si="142"/>
        <v>3.65</v>
      </c>
      <c r="S1016" s="2">
        <f>(1/9)*cnst_fish!$C$7*(1/cnst_fish!$C$8)^(R1016-1)</f>
        <v>62.993839918725584</v>
      </c>
      <c r="T1016" s="682">
        <f t="shared" si="143"/>
        <v>3689.913318559305</v>
      </c>
      <c r="W1016" s="818"/>
      <c r="X1016" s="818"/>
      <c r="Y1016" s="819"/>
      <c r="Z1016" s="820"/>
      <c r="AA1016" s="820"/>
      <c r="AB1016" s="821"/>
      <c r="AC1016" s="821"/>
      <c r="AD1016" s="253"/>
      <c r="AE1016" s="253"/>
    </row>
    <row r="1017" spans="1:31" ht="14.5">
      <c r="A1017" t="s">
        <v>427</v>
      </c>
      <c r="B1017" t="s">
        <v>8650</v>
      </c>
      <c r="C1017">
        <v>18993</v>
      </c>
      <c r="D1017" s="581"/>
      <c r="E1017" s="581"/>
      <c r="F1017" s="2">
        <f>(1/S1017)*cnst_fish!$C$6</f>
        <v>9.5299549485983348E-2</v>
      </c>
      <c r="G1017" s="2">
        <f t="shared" si="146"/>
        <v>1</v>
      </c>
      <c r="H1017" s="2">
        <f t="shared" si="146"/>
        <v>0.36449057933102513</v>
      </c>
      <c r="I1017" s="2">
        <f t="shared" si="138"/>
        <v>0</v>
      </c>
      <c r="J1017" s="389">
        <f t="shared" si="139"/>
        <v>0</v>
      </c>
      <c r="L1017" s="721"/>
      <c r="M1017" s="581"/>
      <c r="N1017" s="585" t="s">
        <v>1738</v>
      </c>
      <c r="O1017" s="586" t="s">
        <v>4681</v>
      </c>
      <c r="P1017" s="233">
        <f t="shared" si="140"/>
        <v>0</v>
      </c>
      <c r="Q1017" s="233">
        <f t="shared" si="141"/>
        <v>0</v>
      </c>
      <c r="R1017" s="2">
        <f t="shared" si="142"/>
        <v>3.5</v>
      </c>
      <c r="S1017" s="2">
        <f>(1/9)*cnst_fish!$C$7*(1/cnst_fish!$C$8)^(R1017-1)</f>
        <v>44.596223412631026</v>
      </c>
      <c r="T1017" s="682">
        <f t="shared" si="143"/>
        <v>0</v>
      </c>
      <c r="W1017" s="818"/>
      <c r="X1017" s="818"/>
      <c r="Y1017" s="819"/>
      <c r="Z1017" s="820"/>
      <c r="AA1017" s="820"/>
      <c r="AB1017" s="821"/>
      <c r="AC1017" s="821"/>
      <c r="AD1017" s="253"/>
      <c r="AE1017" s="253"/>
    </row>
    <row r="1018" spans="1:31" ht="14.5">
      <c r="A1018" t="s">
        <v>3690</v>
      </c>
      <c r="B1018" t="s">
        <v>3573</v>
      </c>
      <c r="C1018">
        <v>3141</v>
      </c>
      <c r="D1018" s="581"/>
      <c r="E1018" s="581"/>
      <c r="F1018" s="2">
        <f>(1/S1018)*cnst_fish!$C$6</f>
        <v>0.22340394999204924</v>
      </c>
      <c r="G1018" s="2">
        <f t="shared" si="146"/>
        <v>1</v>
      </c>
      <c r="H1018" s="2">
        <f t="shared" si="146"/>
        <v>0.36449057933102513</v>
      </c>
      <c r="I1018" s="2">
        <f t="shared" si="138"/>
        <v>0</v>
      </c>
      <c r="J1018" s="389">
        <f t="shared" si="139"/>
        <v>0</v>
      </c>
      <c r="L1018" s="721">
        <v>187600.02</v>
      </c>
      <c r="M1018" s="581"/>
      <c r="N1018" s="585" t="s">
        <v>1738</v>
      </c>
      <c r="O1018" s="586" t="s">
        <v>4681</v>
      </c>
      <c r="P1018" s="233">
        <f t="shared" si="140"/>
        <v>0</v>
      </c>
      <c r="Q1018" s="233">
        <f t="shared" si="141"/>
        <v>187600.02</v>
      </c>
      <c r="R1018" s="2">
        <f t="shared" si="142"/>
        <v>3.13</v>
      </c>
      <c r="S1018" s="2">
        <f>(1/9)*cnst_fish!$C$7*(1/cnst_fish!$C$8)^(R1018-1)</f>
        <v>19.023835523728447</v>
      </c>
      <c r="T1018" s="682">
        <f t="shared" si="143"/>
        <v>306075.34009468241</v>
      </c>
      <c r="W1018" s="818"/>
      <c r="X1018" s="818"/>
      <c r="Y1018" s="819"/>
      <c r="Z1018" s="820"/>
      <c r="AA1018" s="820"/>
      <c r="AB1018" s="821"/>
      <c r="AC1018" s="821"/>
      <c r="AD1018" s="253"/>
      <c r="AE1018" s="253"/>
    </row>
    <row r="1019" spans="1:31" ht="14.5">
      <c r="A1019" t="s">
        <v>71</v>
      </c>
      <c r="B1019" t="s">
        <v>3574</v>
      </c>
      <c r="C1019">
        <v>2337</v>
      </c>
      <c r="D1019" s="581"/>
      <c r="E1019" s="581"/>
      <c r="F1019" s="2">
        <f>(1/S1019)*cnst_fish!$C$6</f>
        <v>0.2133491159303107</v>
      </c>
      <c r="G1019" s="2">
        <f t="shared" si="146"/>
        <v>1</v>
      </c>
      <c r="H1019" s="2">
        <f t="shared" si="146"/>
        <v>0.36449057933102513</v>
      </c>
      <c r="I1019" s="2">
        <f t="shared" si="138"/>
        <v>0</v>
      </c>
      <c r="J1019" s="389">
        <f t="shared" si="139"/>
        <v>0</v>
      </c>
      <c r="L1019" s="721">
        <v>10019</v>
      </c>
      <c r="M1019" s="581"/>
      <c r="N1019" s="585" t="s">
        <v>1738</v>
      </c>
      <c r="O1019" s="586" t="s">
        <v>4681</v>
      </c>
      <c r="P1019" s="233">
        <f t="shared" si="140"/>
        <v>0</v>
      </c>
      <c r="Q1019" s="233">
        <f t="shared" si="141"/>
        <v>10019</v>
      </c>
      <c r="R1019" s="2">
        <f t="shared" si="142"/>
        <v>3.15</v>
      </c>
      <c r="S1019" s="2">
        <f>(1/9)*cnst_fish!$C$7*(1/cnst_fish!$C$8)^(R1019-1)</f>
        <v>19.920401270320887</v>
      </c>
      <c r="T1019" s="682">
        <f t="shared" si="143"/>
        <v>17116.692039681999</v>
      </c>
      <c r="W1019" s="818"/>
      <c r="X1019" s="818"/>
      <c r="Y1019" s="819"/>
      <c r="Z1019" s="820"/>
      <c r="AA1019" s="820"/>
      <c r="AB1019" s="821"/>
      <c r="AC1019" s="821"/>
      <c r="AD1019" s="253"/>
      <c r="AE1019" s="253"/>
    </row>
    <row r="1020" spans="1:31" ht="14.5">
      <c r="A1020" t="s">
        <v>1979</v>
      </c>
      <c r="B1020" t="s">
        <v>3575</v>
      </c>
      <c r="C1020">
        <v>3164</v>
      </c>
      <c r="D1020" s="581"/>
      <c r="E1020" s="581"/>
      <c r="F1020" s="2">
        <f>(1/S1020)*cnst_fish!$C$6</f>
        <v>3.460117504783787E-2</v>
      </c>
      <c r="G1020" s="2">
        <f t="shared" si="146"/>
        <v>1</v>
      </c>
      <c r="H1020" s="2">
        <f t="shared" si="146"/>
        <v>0.36449057933102513</v>
      </c>
      <c r="I1020" s="2">
        <f t="shared" si="138"/>
        <v>0</v>
      </c>
      <c r="J1020" s="389">
        <f t="shared" si="139"/>
        <v>0</v>
      </c>
      <c r="L1020" s="721">
        <v>421</v>
      </c>
      <c r="M1020" s="581"/>
      <c r="N1020" s="585" t="s">
        <v>1738</v>
      </c>
      <c r="O1020" s="586" t="s">
        <v>4681</v>
      </c>
      <c r="P1020" s="233">
        <f t="shared" si="140"/>
        <v>0</v>
      </c>
      <c r="Q1020" s="233">
        <f t="shared" si="141"/>
        <v>421</v>
      </c>
      <c r="R1020" s="2">
        <f t="shared" si="142"/>
        <v>3.94</v>
      </c>
      <c r="S1020" s="2">
        <f>(1/9)*cnst_fish!$C$7*(1/cnst_fish!$C$8)^(R1020-1)</f>
        <v>122.82819858354985</v>
      </c>
      <c r="T1020" s="682">
        <f t="shared" si="143"/>
        <v>4434.8359177458133</v>
      </c>
      <c r="W1020" s="818"/>
      <c r="X1020" s="818"/>
      <c r="Y1020" s="819"/>
      <c r="Z1020" s="820"/>
      <c r="AA1020" s="820"/>
      <c r="AB1020" s="821"/>
      <c r="AC1020" s="821"/>
      <c r="AD1020" s="253"/>
      <c r="AE1020" s="253"/>
    </row>
    <row r="1021" spans="1:31" ht="14.5">
      <c r="A1021" t="s">
        <v>6454</v>
      </c>
      <c r="B1021" t="s">
        <v>2300</v>
      </c>
      <c r="C1021">
        <v>3390</v>
      </c>
      <c r="D1021" s="581"/>
      <c r="E1021" s="581"/>
      <c r="F1021" s="2">
        <f>(1/S1021)*cnst_fish!$C$6</f>
        <v>0.75699122913220485</v>
      </c>
      <c r="G1021" s="2">
        <f t="shared" si="146"/>
        <v>1</v>
      </c>
      <c r="H1021" s="2">
        <f t="shared" si="146"/>
        <v>0.36449057933102513</v>
      </c>
      <c r="I1021" s="2">
        <f t="shared" si="138"/>
        <v>0</v>
      </c>
      <c r="J1021" s="389">
        <f t="shared" si="139"/>
        <v>0</v>
      </c>
      <c r="L1021" s="721">
        <v>0</v>
      </c>
      <c r="M1021" s="581"/>
      <c r="N1021" s="585" t="s">
        <v>1736</v>
      </c>
      <c r="O1021" s="586" t="s">
        <v>4691</v>
      </c>
      <c r="P1021" s="233">
        <f t="shared" si="140"/>
        <v>0</v>
      </c>
      <c r="Q1021" s="233">
        <f t="shared" si="141"/>
        <v>0</v>
      </c>
      <c r="R1021" s="2">
        <f t="shared" si="142"/>
        <v>2.6</v>
      </c>
      <c r="S1021" s="2">
        <f>(1/9)*cnst_fish!$C$7*(1/cnst_fish!$C$8)^(R1021-1)</f>
        <v>5.6143318924211183</v>
      </c>
      <c r="T1021" s="682">
        <f t="shared" si="143"/>
        <v>0</v>
      </c>
      <c r="W1021" s="818"/>
      <c r="X1021" s="818"/>
      <c r="Y1021" s="819"/>
      <c r="Z1021" s="820"/>
      <c r="AA1021" s="820"/>
      <c r="AB1021" s="821"/>
      <c r="AC1021" s="821"/>
      <c r="AD1021" s="253"/>
      <c r="AE1021" s="253"/>
    </row>
    <row r="1022" spans="1:31" ht="14.5">
      <c r="A1022" t="s">
        <v>2950</v>
      </c>
      <c r="B1022" t="s">
        <v>5232</v>
      </c>
      <c r="C1022">
        <v>3267</v>
      </c>
      <c r="D1022" s="581"/>
      <c r="E1022" s="581"/>
      <c r="F1022" s="2">
        <f>(1/S1022)*cnst_fish!$C$6</f>
        <v>1.3774975896121007E-2</v>
      </c>
      <c r="G1022" s="2">
        <f t="shared" si="146"/>
        <v>1</v>
      </c>
      <c r="H1022" s="2">
        <f t="shared" si="146"/>
        <v>0.36449057933102513</v>
      </c>
      <c r="I1022" s="2">
        <f t="shared" si="138"/>
        <v>0</v>
      </c>
      <c r="J1022" s="389">
        <f t="shared" si="139"/>
        <v>0</v>
      </c>
      <c r="L1022" s="721">
        <v>944</v>
      </c>
      <c r="M1022" s="581"/>
      <c r="N1022" s="585" t="s">
        <v>1738</v>
      </c>
      <c r="O1022" s="586" t="s">
        <v>4681</v>
      </c>
      <c r="P1022" s="233">
        <f t="shared" si="140"/>
        <v>0</v>
      </c>
      <c r="Q1022" s="233">
        <f t="shared" si="141"/>
        <v>944</v>
      </c>
      <c r="R1022" s="2">
        <f t="shared" si="142"/>
        <v>4.34</v>
      </c>
      <c r="S1022" s="2">
        <f>(1/9)*cnst_fish!$C$7*(1/cnst_fish!$C$8)^(R1022-1)</f>
        <v>308.53048542878304</v>
      </c>
      <c r="T1022" s="682">
        <f t="shared" si="143"/>
        <v>24978.563264519351</v>
      </c>
      <c r="W1022" s="818"/>
      <c r="X1022" s="818"/>
      <c r="Y1022" s="819"/>
      <c r="Z1022" s="820"/>
      <c r="AA1022" s="820"/>
      <c r="AB1022" s="821"/>
      <c r="AC1022" s="821"/>
      <c r="AD1022" s="253"/>
      <c r="AE1022" s="253"/>
    </row>
    <row r="1023" spans="1:31" ht="14.5">
      <c r="A1023" t="s">
        <v>3305</v>
      </c>
      <c r="B1023" t="s">
        <v>3576</v>
      </c>
      <c r="C1023">
        <v>13101</v>
      </c>
      <c r="D1023" s="581"/>
      <c r="E1023" s="581"/>
      <c r="F1023" s="2">
        <f>(1/S1023)*cnst_fish!$C$6</f>
        <v>7.7462381998898044E-2</v>
      </c>
      <c r="G1023" s="2">
        <f t="shared" si="146"/>
        <v>1</v>
      </c>
      <c r="H1023" s="2">
        <f t="shared" si="146"/>
        <v>0.36449057933102513</v>
      </c>
      <c r="I1023" s="2">
        <f t="shared" si="138"/>
        <v>0</v>
      </c>
      <c r="J1023" s="389">
        <f t="shared" si="139"/>
        <v>0</v>
      </c>
      <c r="L1023" s="721">
        <v>30</v>
      </c>
      <c r="M1023" s="581"/>
      <c r="N1023" s="585" t="s">
        <v>1738</v>
      </c>
      <c r="O1023" s="586" t="s">
        <v>4681</v>
      </c>
      <c r="P1023" s="233">
        <f t="shared" si="140"/>
        <v>0</v>
      </c>
      <c r="Q1023" s="233">
        <f t="shared" si="141"/>
        <v>30</v>
      </c>
      <c r="R1023" s="2">
        <f t="shared" si="142"/>
        <v>3.59</v>
      </c>
      <c r="S1023" s="2">
        <f>(1/9)*cnst_fish!$C$7*(1/cnst_fish!$C$8)^(R1023-1)</f>
        <v>54.865340960731871</v>
      </c>
      <c r="T1023" s="682">
        <f t="shared" si="143"/>
        <v>141.16164643744506</v>
      </c>
      <c r="W1023" s="818"/>
      <c r="X1023" s="818"/>
      <c r="Y1023" s="819"/>
      <c r="Z1023" s="820"/>
      <c r="AA1023" s="820"/>
      <c r="AB1023" s="821"/>
      <c r="AC1023" s="821"/>
      <c r="AD1023" s="253"/>
      <c r="AE1023" s="253"/>
    </row>
    <row r="1024" spans="1:31" ht="14.5">
      <c r="A1024" t="s">
        <v>160</v>
      </c>
      <c r="B1024" t="s">
        <v>3606</v>
      </c>
      <c r="C1024">
        <v>3362</v>
      </c>
      <c r="D1024" s="581"/>
      <c r="E1024" s="581"/>
      <c r="F1024" s="2">
        <f>(1/S1024)*cnst_fish!$C$6</f>
        <v>0.18581931192461937</v>
      </c>
      <c r="G1024" s="2">
        <f t="shared" si="146"/>
        <v>1</v>
      </c>
      <c r="H1024" s="2">
        <f t="shared" si="146"/>
        <v>0.36449057933102513</v>
      </c>
      <c r="I1024" s="2">
        <f t="shared" si="138"/>
        <v>0</v>
      </c>
      <c r="J1024" s="389">
        <f t="shared" si="139"/>
        <v>0</v>
      </c>
      <c r="L1024" s="721">
        <v>29142</v>
      </c>
      <c r="M1024" s="581"/>
      <c r="N1024" s="585" t="s">
        <v>1741</v>
      </c>
      <c r="O1024" s="586" t="s">
        <v>4681</v>
      </c>
      <c r="P1024" s="233">
        <f t="shared" si="140"/>
        <v>0</v>
      </c>
      <c r="Q1024" s="233">
        <f t="shared" si="141"/>
        <v>29142</v>
      </c>
      <c r="R1024" s="2">
        <f t="shared" si="142"/>
        <v>3.21</v>
      </c>
      <c r="S1024" s="2">
        <f>(1/9)*cnst_fish!$C$7*(1/cnst_fish!$C$8)^(R1024-1)</f>
        <v>22.87168086019004</v>
      </c>
      <c r="T1024" s="682">
        <f t="shared" si="143"/>
        <v>57162.973820362204</v>
      </c>
      <c r="W1024" s="818"/>
      <c r="X1024" s="818"/>
      <c r="Y1024" s="819"/>
      <c r="Z1024" s="820"/>
      <c r="AA1024" s="820"/>
      <c r="AB1024" s="821"/>
      <c r="AC1024" s="821"/>
      <c r="AD1024" s="253"/>
      <c r="AE1024" s="253"/>
    </row>
    <row r="1025" spans="1:31" ht="14.5">
      <c r="A1025" t="s">
        <v>3505</v>
      </c>
      <c r="B1025" t="s">
        <v>5233</v>
      </c>
      <c r="C1025">
        <v>3270</v>
      </c>
      <c r="D1025" s="581"/>
      <c r="E1025" s="581"/>
      <c r="F1025" s="2">
        <f>(1/S1025)*cnst_fish!$C$6</f>
        <v>4.2568745094767511E-2</v>
      </c>
      <c r="G1025" s="2">
        <f t="shared" si="146"/>
        <v>1</v>
      </c>
      <c r="H1025" s="2">
        <f t="shared" si="146"/>
        <v>0.36449057933102513</v>
      </c>
      <c r="I1025" s="2">
        <f t="shared" si="138"/>
        <v>0</v>
      </c>
      <c r="J1025" s="389">
        <f t="shared" si="139"/>
        <v>0</v>
      </c>
      <c r="L1025" s="721">
        <v>8556</v>
      </c>
      <c r="M1025" s="581"/>
      <c r="N1025" s="585" t="s">
        <v>1738</v>
      </c>
      <c r="O1025" s="586" t="s">
        <v>4681</v>
      </c>
      <c r="P1025" s="233">
        <f t="shared" si="140"/>
        <v>0</v>
      </c>
      <c r="Q1025" s="233">
        <f t="shared" si="141"/>
        <v>8556</v>
      </c>
      <c r="R1025" s="2">
        <f t="shared" si="142"/>
        <v>3.85</v>
      </c>
      <c r="S1025" s="2">
        <f>(1/9)*cnst_fish!$C$7*(1/cnst_fish!$C$8)^(R1025-1)</f>
        <v>99.838508054173388</v>
      </c>
      <c r="T1025" s="682">
        <f t="shared" si="143"/>
        <v>73259.885622975125</v>
      </c>
      <c r="W1025" s="818"/>
      <c r="X1025" s="818"/>
      <c r="Y1025" s="819"/>
      <c r="Z1025" s="820"/>
      <c r="AA1025" s="820"/>
      <c r="AB1025" s="821"/>
      <c r="AC1025" s="821"/>
      <c r="AD1025" s="253"/>
      <c r="AE1025" s="253"/>
    </row>
    <row r="1026" spans="1:31" ht="14.5">
      <c r="A1026" t="s">
        <v>3350</v>
      </c>
      <c r="B1026" t="s">
        <v>3607</v>
      </c>
      <c r="C1026">
        <v>2561</v>
      </c>
      <c r="D1026" s="581"/>
      <c r="E1026" s="581"/>
      <c r="F1026" s="2">
        <f>(1/S1026)*cnst_fish!$C$6</f>
        <v>6.1530557150722649E-2</v>
      </c>
      <c r="G1026" s="2">
        <f t="shared" si="146"/>
        <v>1</v>
      </c>
      <c r="H1026" s="2">
        <f t="shared" si="146"/>
        <v>0.36449057933102513</v>
      </c>
      <c r="I1026" s="2">
        <f t="shared" si="138"/>
        <v>0</v>
      </c>
      <c r="J1026" s="389">
        <f t="shared" si="139"/>
        <v>0</v>
      </c>
      <c r="L1026" s="721">
        <v>33</v>
      </c>
      <c r="M1026" s="581"/>
      <c r="N1026" s="585" t="s">
        <v>1738</v>
      </c>
      <c r="O1026" s="586" t="s">
        <v>4681</v>
      </c>
      <c r="P1026" s="233">
        <f t="shared" si="140"/>
        <v>0</v>
      </c>
      <c r="Q1026" s="233">
        <f t="shared" si="141"/>
        <v>33</v>
      </c>
      <c r="R1026" s="2">
        <f t="shared" si="142"/>
        <v>3.69</v>
      </c>
      <c r="S1026" s="2">
        <f>(1/9)*cnst_fish!$C$7*(1/cnst_fish!$C$8)^(R1026-1)</f>
        <v>69.071371962216759</v>
      </c>
      <c r="T1026" s="682">
        <f t="shared" si="143"/>
        <v>195.48318225788344</v>
      </c>
      <c r="W1026" s="818"/>
      <c r="X1026" s="818"/>
      <c r="Y1026" s="819"/>
      <c r="Z1026" s="820"/>
      <c r="AA1026" s="820"/>
      <c r="AB1026" s="821"/>
      <c r="AC1026" s="821"/>
      <c r="AD1026" s="253"/>
      <c r="AE1026" s="253"/>
    </row>
    <row r="1027" spans="1:31" ht="14.5">
      <c r="A1027" t="s">
        <v>4364</v>
      </c>
      <c r="B1027" t="s">
        <v>3608</v>
      </c>
      <c r="C1027">
        <v>2559</v>
      </c>
      <c r="D1027" s="581"/>
      <c r="E1027" s="581"/>
      <c r="F1027" s="2">
        <f>(1/S1027)*cnst_fish!$C$6</f>
        <v>3.304386563831508E-2</v>
      </c>
      <c r="G1027" s="2">
        <f t="shared" si="146"/>
        <v>1</v>
      </c>
      <c r="H1027" s="2">
        <f t="shared" si="146"/>
        <v>0.36449057933102513</v>
      </c>
      <c r="I1027" s="2">
        <f t="shared" si="138"/>
        <v>0</v>
      </c>
      <c r="J1027" s="389">
        <f t="shared" si="139"/>
        <v>0</v>
      </c>
      <c r="L1027" s="721">
        <v>4174</v>
      </c>
      <c r="M1027" s="581"/>
      <c r="N1027" s="585" t="s">
        <v>1738</v>
      </c>
      <c r="O1027" s="586" t="s">
        <v>4681</v>
      </c>
      <c r="P1027" s="233">
        <f t="shared" si="140"/>
        <v>0</v>
      </c>
      <c r="Q1027" s="233">
        <f t="shared" si="141"/>
        <v>4174</v>
      </c>
      <c r="R1027" s="2">
        <f t="shared" si="142"/>
        <v>3.96</v>
      </c>
      <c r="S1027" s="2">
        <f>(1/9)*cnst_fish!$C$7*(1/cnst_fish!$C$8)^(R1027-1)</f>
        <v>128.61691324250009</v>
      </c>
      <c r="T1027" s="682">
        <f t="shared" si="143"/>
        <v>46041.334714895507</v>
      </c>
      <c r="W1027" s="818"/>
      <c r="X1027" s="818"/>
      <c r="Y1027" s="819"/>
      <c r="Z1027" s="820"/>
      <c r="AA1027" s="820"/>
      <c r="AB1027" s="821"/>
      <c r="AC1027" s="821"/>
      <c r="AD1027" s="253"/>
      <c r="AE1027" s="253"/>
    </row>
    <row r="1028" spans="1:31" ht="14.5">
      <c r="A1028" t="s">
        <v>2016</v>
      </c>
      <c r="B1028" t="s">
        <v>3609</v>
      </c>
      <c r="C1028">
        <v>2560</v>
      </c>
      <c r="D1028" s="581"/>
      <c r="E1028" s="581"/>
      <c r="F1028" s="2">
        <f>(1/S1028)*cnst_fish!$C$6</f>
        <v>1.7341667202478851E-2</v>
      </c>
      <c r="G1028" s="2">
        <f t="shared" ref="G1028:H1047" si="147">G$7</f>
        <v>1</v>
      </c>
      <c r="H1028" s="2">
        <f t="shared" si="147"/>
        <v>0.36449057933102513</v>
      </c>
      <c r="I1028" s="2">
        <f t="shared" si="138"/>
        <v>0</v>
      </c>
      <c r="J1028" s="389">
        <f t="shared" si="139"/>
        <v>0</v>
      </c>
      <c r="L1028" s="721">
        <v>14123</v>
      </c>
      <c r="M1028" s="581"/>
      <c r="N1028" s="585" t="s">
        <v>1738</v>
      </c>
      <c r="O1028" s="586" t="s">
        <v>4681</v>
      </c>
      <c r="P1028" s="233">
        <f t="shared" si="140"/>
        <v>0</v>
      </c>
      <c r="Q1028" s="233">
        <f t="shared" si="141"/>
        <v>14123</v>
      </c>
      <c r="R1028" s="2">
        <f t="shared" si="142"/>
        <v>4.24</v>
      </c>
      <c r="S1028" s="2">
        <f>(1/9)*cnst_fish!$C$7*(1/cnst_fish!$C$8)^(R1028-1)</f>
        <v>245.0744758492711</v>
      </c>
      <c r="T1028" s="682">
        <f t="shared" si="143"/>
        <v>296839.99766505987</v>
      </c>
      <c r="W1028" s="818"/>
      <c r="X1028" s="818"/>
      <c r="Y1028" s="819"/>
      <c r="Z1028" s="820"/>
      <c r="AA1028" s="820"/>
      <c r="AB1028" s="821"/>
      <c r="AC1028" s="821"/>
      <c r="AD1028" s="253"/>
      <c r="AE1028" s="253"/>
    </row>
    <row r="1029" spans="1:31" ht="14.5">
      <c r="A1029" t="s">
        <v>3324</v>
      </c>
      <c r="B1029" t="s">
        <v>2937</v>
      </c>
      <c r="C1029">
        <v>13106</v>
      </c>
      <c r="D1029" s="581"/>
      <c r="E1029" s="581"/>
      <c r="F1029" s="2">
        <f>(1/S1029)*cnst_fish!$C$6</f>
        <v>2.3938164528281767E-2</v>
      </c>
      <c r="G1029" s="2">
        <f t="shared" si="147"/>
        <v>1</v>
      </c>
      <c r="H1029" s="2">
        <f t="shared" si="147"/>
        <v>0.36449057933102513</v>
      </c>
      <c r="I1029" s="2">
        <f t="shared" si="138"/>
        <v>0</v>
      </c>
      <c r="J1029" s="389">
        <f t="shared" si="139"/>
        <v>0</v>
      </c>
      <c r="L1029" s="721">
        <v>3978</v>
      </c>
      <c r="M1029" s="581"/>
      <c r="N1029" s="585" t="s">
        <v>1738</v>
      </c>
      <c r="O1029" s="586" t="s">
        <v>4681</v>
      </c>
      <c r="P1029" s="233">
        <f t="shared" si="140"/>
        <v>0</v>
      </c>
      <c r="Q1029" s="233">
        <f t="shared" si="141"/>
        <v>3978</v>
      </c>
      <c r="R1029" s="2">
        <f t="shared" si="142"/>
        <v>4.0999999999999996</v>
      </c>
      <c r="S1029" s="2">
        <f>(1/9)*cnst_fish!$C$7*(1/cnst_fish!$C$8)^(R1029-1)</f>
        <v>177.54076320174144</v>
      </c>
      <c r="T1029" s="682">
        <f t="shared" si="143"/>
        <v>60570.37175368148</v>
      </c>
      <c r="W1029" s="818"/>
      <c r="X1029" s="818"/>
      <c r="Y1029" s="819"/>
      <c r="Z1029" s="820"/>
      <c r="AA1029" s="820"/>
      <c r="AB1029" s="821"/>
      <c r="AC1029" s="821"/>
      <c r="AD1029" s="253"/>
      <c r="AE1029" s="253"/>
    </row>
    <row r="1030" spans="1:31" ht="14.5">
      <c r="A1030" t="s">
        <v>5526</v>
      </c>
      <c r="B1030" t="s">
        <v>5527</v>
      </c>
      <c r="C1030">
        <v>13108</v>
      </c>
      <c r="D1030" s="581"/>
      <c r="E1030" s="581"/>
      <c r="F1030" s="2">
        <f>(1/S1030)*cnst_fish!$C$6</f>
        <v>0.11457525898206007</v>
      </c>
      <c r="G1030" s="2">
        <f t="shared" si="147"/>
        <v>1</v>
      </c>
      <c r="H1030" s="2">
        <f t="shared" si="147"/>
        <v>0.36449057933102513</v>
      </c>
      <c r="I1030" s="2">
        <f t="shared" si="138"/>
        <v>0</v>
      </c>
      <c r="J1030" s="389">
        <f t="shared" si="139"/>
        <v>0</v>
      </c>
      <c r="L1030" s="721">
        <v>3</v>
      </c>
      <c r="M1030" s="581"/>
      <c r="N1030" s="585" t="s">
        <v>1738</v>
      </c>
      <c r="O1030" s="586" t="s">
        <v>4681</v>
      </c>
      <c r="P1030" s="233">
        <f t="shared" si="140"/>
        <v>0</v>
      </c>
      <c r="Q1030" s="233">
        <f t="shared" si="141"/>
        <v>3</v>
      </c>
      <c r="R1030" s="2">
        <f t="shared" si="142"/>
        <v>3.42</v>
      </c>
      <c r="S1030" s="2">
        <f>(1/9)*cnst_fish!$C$7*(1/cnst_fish!$C$8)^(R1030-1)</f>
        <v>37.093522962627169</v>
      </c>
      <c r="T1030" s="682">
        <f t="shared" si="143"/>
        <v>9.5436985934658782</v>
      </c>
      <c r="W1030" s="818"/>
      <c r="X1030" s="818"/>
      <c r="Y1030" s="819"/>
      <c r="Z1030" s="820"/>
      <c r="AA1030" s="820"/>
      <c r="AB1030" s="821"/>
      <c r="AC1030" s="821"/>
      <c r="AD1030" s="253"/>
      <c r="AE1030" s="253"/>
    </row>
    <row r="1031" spans="1:31" ht="14.5">
      <c r="A1031" t="s">
        <v>1879</v>
      </c>
      <c r="B1031" t="s">
        <v>1880</v>
      </c>
      <c r="C1031">
        <v>19140</v>
      </c>
      <c r="D1031" s="581"/>
      <c r="E1031" s="581"/>
      <c r="F1031" s="2">
        <f>(1/S1031)*cnst_fish!$C$6</f>
        <v>2.5066335465503211E-2</v>
      </c>
      <c r="G1031" s="2">
        <f t="shared" si="147"/>
        <v>1</v>
      </c>
      <c r="H1031" s="2">
        <f t="shared" si="147"/>
        <v>0.36449057933102513</v>
      </c>
      <c r="I1031" s="2">
        <f t="shared" ref="I1031:I1094" si="148">IF($F1031=0,0,D1031/$F1031*$H1031*$G1031)</f>
        <v>0</v>
      </c>
      <c r="J1031" s="389">
        <f t="shared" ref="J1031:J1094" si="149">IF($F1031=0,0,E1031/$F1031*$H1031*$G1031)</f>
        <v>0</v>
      </c>
      <c r="L1031" s="721"/>
      <c r="M1031" s="581">
        <v>312</v>
      </c>
      <c r="N1031" s="585" t="s">
        <v>1738</v>
      </c>
      <c r="O1031" s="586" t="s">
        <v>4685</v>
      </c>
      <c r="P1031" s="233">
        <f t="shared" ref="P1031:P1094" si="150">D1031+E1031</f>
        <v>0</v>
      </c>
      <c r="Q1031" s="233">
        <f t="shared" ref="Q1031:Q1094" si="151">L1031+M1031</f>
        <v>312</v>
      </c>
      <c r="R1031" s="2">
        <f t="shared" ref="R1031:R1094" si="152">VLOOKUP(B1031,constant_fish_trophic,3,FALSE)</f>
        <v>4.08</v>
      </c>
      <c r="S1031" s="2">
        <f>(1/9)*cnst_fish!$C$7*(1/cnst_fish!$C$8)^(R1031-1)</f>
        <v>169.55011257425062</v>
      </c>
      <c r="T1031" s="682">
        <f t="shared" ref="T1031:T1094" si="153">IF(F1031=0,0,Q1031/F1031*H1031*G1031)</f>
        <v>4536.8043888100447</v>
      </c>
      <c r="W1031" s="818"/>
      <c r="X1031" s="818"/>
      <c r="Y1031" s="819"/>
      <c r="Z1031" s="820"/>
      <c r="AA1031" s="820"/>
      <c r="AB1031" s="821"/>
      <c r="AC1031" s="821"/>
      <c r="AD1031" s="253"/>
      <c r="AE1031" s="253"/>
    </row>
    <row r="1032" spans="1:31" ht="14.5">
      <c r="A1032" t="s">
        <v>4973</v>
      </c>
      <c r="B1032" t="s">
        <v>8651</v>
      </c>
      <c r="C1032">
        <v>13119</v>
      </c>
      <c r="D1032" s="581"/>
      <c r="E1032" s="581"/>
      <c r="F1032" s="2">
        <f>(1/S1032)*cnst_fish!$C$6</f>
        <v>0.19014759972289441</v>
      </c>
      <c r="G1032" s="2">
        <f t="shared" si="147"/>
        <v>1</v>
      </c>
      <c r="H1032" s="2">
        <f t="shared" si="147"/>
        <v>0.36449057933102513</v>
      </c>
      <c r="I1032" s="2">
        <f t="shared" si="148"/>
        <v>0</v>
      </c>
      <c r="J1032" s="389">
        <f t="shared" si="149"/>
        <v>0</v>
      </c>
      <c r="L1032" s="721"/>
      <c r="M1032" s="581"/>
      <c r="N1032" s="585" t="s">
        <v>1738</v>
      </c>
      <c r="O1032" s="586" t="s">
        <v>4681</v>
      </c>
      <c r="P1032" s="233">
        <f t="shared" si="150"/>
        <v>0</v>
      </c>
      <c r="Q1032" s="233">
        <f t="shared" si="151"/>
        <v>0</v>
      </c>
      <c r="R1032" s="2">
        <f t="shared" si="152"/>
        <v>3.2</v>
      </c>
      <c r="S1032" s="2">
        <f>(1/9)*cnst_fish!$C$7*(1/cnst_fish!$C$8)^(R1032-1)</f>
        <v>22.351057842400341</v>
      </c>
      <c r="T1032" s="682">
        <f t="shared" si="153"/>
        <v>0</v>
      </c>
      <c r="W1032" s="818"/>
      <c r="X1032" s="818"/>
      <c r="Y1032" s="819"/>
      <c r="Z1032" s="820"/>
      <c r="AA1032" s="820"/>
      <c r="AB1032" s="821"/>
      <c r="AC1032" s="821"/>
      <c r="AD1032" s="253"/>
      <c r="AE1032" s="253"/>
    </row>
    <row r="1033" spans="1:31" ht="14.5">
      <c r="A1033" t="s">
        <v>6456</v>
      </c>
      <c r="B1033" t="s">
        <v>6455</v>
      </c>
      <c r="C1033">
        <v>13121</v>
      </c>
      <c r="D1033" s="581"/>
      <c r="E1033" s="581"/>
      <c r="F1033" s="2">
        <f>(1/S1033)*cnst_fish!$C$6</f>
        <v>1.5103960722494616</v>
      </c>
      <c r="G1033" s="2">
        <f t="shared" si="147"/>
        <v>1</v>
      </c>
      <c r="H1033" s="2">
        <f t="shared" si="147"/>
        <v>0.36449057933102513</v>
      </c>
      <c r="I1033" s="2">
        <f t="shared" si="148"/>
        <v>0</v>
      </c>
      <c r="J1033" s="389">
        <f t="shared" si="149"/>
        <v>0</v>
      </c>
      <c r="L1033" s="721"/>
      <c r="M1033" s="581">
        <v>1230</v>
      </c>
      <c r="N1033" s="585" t="s">
        <v>1738</v>
      </c>
      <c r="O1033" s="586" t="s">
        <v>4685</v>
      </c>
      <c r="P1033" s="233">
        <f t="shared" si="150"/>
        <v>0</v>
      </c>
      <c r="Q1033" s="233">
        <f t="shared" si="151"/>
        <v>1230</v>
      </c>
      <c r="R1033" s="2">
        <f t="shared" si="152"/>
        <v>2.2999999999999998</v>
      </c>
      <c r="S1033" s="2">
        <f>(1/9)*cnst_fish!$C$7*(1/cnst_fish!$C$8)^(R1033-1)</f>
        <v>2.8138314698279068</v>
      </c>
      <c r="T1033" s="682">
        <f t="shared" si="153"/>
        <v>296.82506516947194</v>
      </c>
      <c r="W1033" s="818"/>
      <c r="X1033" s="818"/>
      <c r="Y1033" s="819"/>
      <c r="Z1033" s="820"/>
      <c r="AA1033" s="820"/>
      <c r="AB1033" s="821"/>
      <c r="AC1033" s="821"/>
      <c r="AD1033" s="253"/>
      <c r="AE1033" s="253"/>
    </row>
    <row r="1034" spans="1:31" ht="14.5">
      <c r="A1034" t="s">
        <v>6769</v>
      </c>
      <c r="B1034" t="s">
        <v>8652</v>
      </c>
      <c r="C1034">
        <v>6799</v>
      </c>
      <c r="D1034" s="581"/>
      <c r="E1034" s="581"/>
      <c r="F1034" s="2">
        <f>(1/S1034)*cnst_fish!$C$6</f>
        <v>2.3938164528281742</v>
      </c>
      <c r="G1034" s="2">
        <f t="shared" si="147"/>
        <v>1</v>
      </c>
      <c r="H1034" s="2">
        <f t="shared" si="147"/>
        <v>0.36449057933102513</v>
      </c>
      <c r="I1034" s="2">
        <f t="shared" si="148"/>
        <v>0</v>
      </c>
      <c r="J1034" s="389">
        <f t="shared" si="149"/>
        <v>0</v>
      </c>
      <c r="L1034" s="721"/>
      <c r="M1034" s="581">
        <v>562.75</v>
      </c>
      <c r="N1034" s="585" t="s">
        <v>1738</v>
      </c>
      <c r="O1034" s="586" t="s">
        <v>4685</v>
      </c>
      <c r="P1034" s="233">
        <f t="shared" si="150"/>
        <v>0</v>
      </c>
      <c r="Q1034" s="233">
        <f t="shared" si="151"/>
        <v>562.75</v>
      </c>
      <c r="R1034" s="2">
        <f t="shared" si="152"/>
        <v>2.1</v>
      </c>
      <c r="S1034" s="2">
        <f>(1/9)*cnst_fish!$C$7*(1/cnst_fish!$C$8)^(R1034-1)</f>
        <v>1.7754076320174161</v>
      </c>
      <c r="T1034" s="682">
        <f t="shared" si="153"/>
        <v>85.686215948678452</v>
      </c>
      <c r="W1034" s="818"/>
      <c r="X1034" s="818"/>
      <c r="Y1034" s="819"/>
      <c r="Z1034" s="820"/>
      <c r="AA1034" s="820"/>
      <c r="AB1034" s="821"/>
      <c r="AC1034" s="821"/>
      <c r="AD1034" s="253"/>
      <c r="AE1034" s="253"/>
    </row>
    <row r="1035" spans="1:31" ht="14.5">
      <c r="A1035" t="s">
        <v>6458</v>
      </c>
      <c r="B1035" t="s">
        <v>6457</v>
      </c>
      <c r="C1035">
        <v>13125</v>
      </c>
      <c r="D1035" s="581"/>
      <c r="E1035" s="581"/>
      <c r="F1035" s="2">
        <f>(1/S1035)*cnst_fish!$C$6</f>
        <v>3.0136363636363641</v>
      </c>
      <c r="G1035" s="2">
        <f t="shared" si="147"/>
        <v>1</v>
      </c>
      <c r="H1035" s="2">
        <f t="shared" si="147"/>
        <v>0.36449057933102513</v>
      </c>
      <c r="I1035" s="2">
        <f t="shared" si="148"/>
        <v>0</v>
      </c>
      <c r="J1035" s="389">
        <f t="shared" si="149"/>
        <v>0</v>
      </c>
      <c r="L1035" s="721"/>
      <c r="M1035" s="581">
        <v>532</v>
      </c>
      <c r="N1035" s="585" t="s">
        <v>1738</v>
      </c>
      <c r="O1035" s="586" t="s">
        <v>4685</v>
      </c>
      <c r="P1035" s="233">
        <f t="shared" si="150"/>
        <v>0</v>
      </c>
      <c r="Q1035" s="233">
        <f t="shared" si="151"/>
        <v>532</v>
      </c>
      <c r="R1035" s="2">
        <f t="shared" si="152"/>
        <v>2</v>
      </c>
      <c r="S1035" s="2">
        <f>(1/9)*cnst_fish!$C$7*(1/cnst_fish!$C$8)^(R1035-1)</f>
        <v>1.4102564102564099</v>
      </c>
      <c r="T1035" s="682">
        <f t="shared" si="153"/>
        <v>64.343857322629219</v>
      </c>
      <c r="W1035" s="818"/>
      <c r="X1035" s="818"/>
      <c r="Y1035" s="819"/>
      <c r="Z1035" s="820"/>
      <c r="AA1035" s="820"/>
      <c r="AB1035" s="821"/>
      <c r="AC1035" s="821"/>
      <c r="AD1035" s="253"/>
      <c r="AE1035" s="253"/>
    </row>
    <row r="1036" spans="1:31" ht="14.5">
      <c r="A1036" t="s">
        <v>1047</v>
      </c>
      <c r="B1036" t="s">
        <v>4831</v>
      </c>
      <c r="C1036">
        <v>2969</v>
      </c>
      <c r="D1036" s="581"/>
      <c r="E1036" s="581"/>
      <c r="F1036" s="2">
        <f>(1/S1036)*cnst_fish!$C$6</f>
        <v>0.52370997702765276</v>
      </c>
      <c r="G1036" s="2">
        <f t="shared" si="147"/>
        <v>1</v>
      </c>
      <c r="H1036" s="2">
        <f t="shared" si="147"/>
        <v>0.36449057933102513</v>
      </c>
      <c r="I1036" s="2">
        <f t="shared" si="148"/>
        <v>0</v>
      </c>
      <c r="J1036" s="389">
        <f t="shared" si="149"/>
        <v>0</v>
      </c>
      <c r="L1036" s="721"/>
      <c r="M1036" s="581">
        <v>5806</v>
      </c>
      <c r="N1036" s="585" t="s">
        <v>5194</v>
      </c>
      <c r="O1036" s="586" t="s">
        <v>4685</v>
      </c>
      <c r="P1036" s="233">
        <f t="shared" si="150"/>
        <v>0</v>
      </c>
      <c r="Q1036" s="233">
        <f t="shared" si="151"/>
        <v>5806</v>
      </c>
      <c r="R1036" s="2">
        <f t="shared" si="152"/>
        <v>2.76</v>
      </c>
      <c r="S1036" s="2">
        <f>(1/9)*cnst_fish!$C$7*(1/cnst_fish!$C$8)^(R1036-1)</f>
        <v>8.1151786034727245</v>
      </c>
      <c r="T1036" s="682">
        <f t="shared" si="153"/>
        <v>4040.8477906163534</v>
      </c>
      <c r="W1036" s="818"/>
      <c r="X1036" s="818"/>
      <c r="Y1036" s="819"/>
      <c r="Z1036" s="820"/>
      <c r="AA1036" s="820"/>
      <c r="AB1036" s="821"/>
      <c r="AC1036" s="821"/>
      <c r="AD1036" s="253"/>
      <c r="AE1036" s="253"/>
    </row>
    <row r="1037" spans="1:31" ht="14.5">
      <c r="A1037" t="s">
        <v>6239</v>
      </c>
      <c r="B1037" t="s">
        <v>6238</v>
      </c>
      <c r="C1037">
        <v>13132</v>
      </c>
      <c r="D1037" s="581"/>
      <c r="E1037" s="581"/>
      <c r="F1037" s="2">
        <f>(1/S1037)*cnst_fish!$C$6</f>
        <v>4.7762917572805388E-2</v>
      </c>
      <c r="G1037" s="2">
        <f t="shared" si="147"/>
        <v>1</v>
      </c>
      <c r="H1037" s="2">
        <f t="shared" si="147"/>
        <v>0.36449057933102513</v>
      </c>
      <c r="I1037" s="2">
        <f t="shared" si="148"/>
        <v>0</v>
      </c>
      <c r="J1037" s="389">
        <f t="shared" si="149"/>
        <v>0</v>
      </c>
      <c r="L1037" s="721"/>
      <c r="M1037" s="581"/>
      <c r="N1037" s="585" t="s">
        <v>1738</v>
      </c>
      <c r="O1037" s="586" t="s">
        <v>4681</v>
      </c>
      <c r="P1037" s="233">
        <f t="shared" si="150"/>
        <v>0</v>
      </c>
      <c r="Q1037" s="233">
        <f t="shared" si="151"/>
        <v>0</v>
      </c>
      <c r="R1037" s="2">
        <f t="shared" si="152"/>
        <v>3.8</v>
      </c>
      <c r="S1037" s="2">
        <f>(1/9)*cnst_fish!$C$7*(1/cnst_fish!$C$8)^(R1037-1)</f>
        <v>88.981163965155432</v>
      </c>
      <c r="T1037" s="682">
        <f t="shared" si="153"/>
        <v>0</v>
      </c>
      <c r="W1037" s="818"/>
      <c r="X1037" s="818"/>
      <c r="Y1037" s="819"/>
      <c r="Z1037" s="820"/>
      <c r="AA1037" s="820"/>
      <c r="AB1037" s="821"/>
      <c r="AC1037" s="821"/>
      <c r="AD1037" s="253"/>
      <c r="AE1037" s="253"/>
    </row>
    <row r="1038" spans="1:31" ht="14.5">
      <c r="A1038" t="s">
        <v>6429</v>
      </c>
      <c r="B1038" t="s">
        <v>6428</v>
      </c>
      <c r="C1038">
        <v>14482</v>
      </c>
      <c r="D1038" s="581"/>
      <c r="E1038" s="581"/>
      <c r="F1038" s="2">
        <f>(1/S1038)*cnst_fish!$C$6</f>
        <v>3.7939434000887833E-2</v>
      </c>
      <c r="G1038" s="2">
        <f t="shared" si="147"/>
        <v>1</v>
      </c>
      <c r="H1038" s="2">
        <f t="shared" si="147"/>
        <v>0.36449057933102513</v>
      </c>
      <c r="I1038" s="2">
        <f t="shared" si="148"/>
        <v>0</v>
      </c>
      <c r="J1038" s="389">
        <f t="shared" si="149"/>
        <v>0</v>
      </c>
      <c r="L1038" s="721">
        <v>7567</v>
      </c>
      <c r="M1038" s="581"/>
      <c r="N1038" s="585" t="s">
        <v>1738</v>
      </c>
      <c r="O1038" s="586" t="s">
        <v>4681</v>
      </c>
      <c r="P1038" s="233">
        <f t="shared" si="150"/>
        <v>0</v>
      </c>
      <c r="Q1038" s="233">
        <f t="shared" si="151"/>
        <v>7567</v>
      </c>
      <c r="R1038" s="2">
        <f t="shared" si="152"/>
        <v>3.9</v>
      </c>
      <c r="S1038" s="2">
        <f>(1/9)*cnst_fish!$C$7*(1/cnst_fish!$C$8)^(R1038-1)</f>
        <v>112.02064848675771</v>
      </c>
      <c r="T1038" s="682">
        <f t="shared" si="153"/>
        <v>72697.452833200514</v>
      </c>
      <c r="W1038" s="818"/>
      <c r="X1038" s="818"/>
      <c r="Y1038" s="819"/>
      <c r="Z1038" s="820"/>
      <c r="AA1038" s="820"/>
      <c r="AB1038" s="821"/>
      <c r="AC1038" s="821"/>
      <c r="AD1038" s="253"/>
      <c r="AE1038" s="253"/>
    </row>
    <row r="1039" spans="1:31" ht="14.5">
      <c r="A1039" t="s">
        <v>2046</v>
      </c>
      <c r="B1039" t="s">
        <v>5415</v>
      </c>
      <c r="C1039">
        <v>2779</v>
      </c>
      <c r="D1039" s="581"/>
      <c r="E1039" s="581"/>
      <c r="F1039" s="2">
        <f>(1/S1039)*cnst_fish!$C$6</f>
        <v>30.136363636363644</v>
      </c>
      <c r="G1039" s="2">
        <f t="shared" si="147"/>
        <v>1</v>
      </c>
      <c r="H1039" s="2">
        <f t="shared" si="147"/>
        <v>0.36449057933102513</v>
      </c>
      <c r="I1039" s="2">
        <f t="shared" si="148"/>
        <v>0</v>
      </c>
      <c r="J1039" s="389">
        <f t="shared" si="149"/>
        <v>0</v>
      </c>
      <c r="L1039" s="721">
        <v>66436</v>
      </c>
      <c r="M1039" s="581"/>
      <c r="N1039" s="585" t="s">
        <v>1740</v>
      </c>
      <c r="O1039" s="586" t="s">
        <v>4671</v>
      </c>
      <c r="P1039" s="233">
        <f t="shared" si="150"/>
        <v>0</v>
      </c>
      <c r="Q1039" s="233">
        <f t="shared" si="151"/>
        <v>66436</v>
      </c>
      <c r="R1039" s="2">
        <f t="shared" si="152"/>
        <v>1</v>
      </c>
      <c r="S1039" s="2">
        <f>(1/9)*cnst_fish!$C$7*(1/cnst_fish!$C$8)^(R1039-1)</f>
        <v>0.141025641025641</v>
      </c>
      <c r="T1039" s="682">
        <f t="shared" si="153"/>
        <v>803.52415509138996</v>
      </c>
      <c r="W1039" s="818"/>
      <c r="X1039" s="818"/>
      <c r="Y1039" s="819"/>
      <c r="Z1039" s="820"/>
      <c r="AA1039" s="820"/>
      <c r="AB1039" s="821"/>
      <c r="AC1039" s="821"/>
      <c r="AD1039" s="253"/>
      <c r="AE1039" s="253"/>
    </row>
    <row r="1040" spans="1:31" ht="14.5">
      <c r="A1040" t="s">
        <v>6461</v>
      </c>
      <c r="B1040" t="s">
        <v>5416</v>
      </c>
      <c r="C1040">
        <v>2778</v>
      </c>
      <c r="D1040" s="581"/>
      <c r="E1040" s="581"/>
      <c r="F1040" s="2">
        <f>(1/S1040)*cnst_fish!$C$6</f>
        <v>30.136363636363644</v>
      </c>
      <c r="G1040" s="2">
        <f t="shared" si="147"/>
        <v>1</v>
      </c>
      <c r="H1040" s="2">
        <f t="shared" si="147"/>
        <v>0.36449057933102513</v>
      </c>
      <c r="I1040" s="2">
        <f t="shared" si="148"/>
        <v>0</v>
      </c>
      <c r="J1040" s="389">
        <f t="shared" si="149"/>
        <v>0</v>
      </c>
      <c r="L1040" s="721">
        <v>0</v>
      </c>
      <c r="M1040" s="581"/>
      <c r="N1040" s="585" t="s">
        <v>1740</v>
      </c>
      <c r="O1040" s="586" t="s">
        <v>4671</v>
      </c>
      <c r="P1040" s="233">
        <f t="shared" si="150"/>
        <v>0</v>
      </c>
      <c r="Q1040" s="233">
        <f t="shared" si="151"/>
        <v>0</v>
      </c>
      <c r="R1040" s="2">
        <f t="shared" si="152"/>
        <v>1</v>
      </c>
      <c r="S1040" s="2">
        <f>(1/9)*cnst_fish!$C$7*(1/cnst_fish!$C$8)^(R1040-1)</f>
        <v>0.141025641025641</v>
      </c>
      <c r="T1040" s="682">
        <f t="shared" si="153"/>
        <v>0</v>
      </c>
      <c r="W1040" s="818"/>
      <c r="X1040" s="818"/>
      <c r="Y1040" s="819"/>
      <c r="Z1040" s="820"/>
      <c r="AA1040" s="820"/>
      <c r="AB1040" s="821"/>
      <c r="AC1040" s="821"/>
      <c r="AD1040" s="253"/>
      <c r="AE1040" s="253"/>
    </row>
    <row r="1041" spans="1:31" ht="14.5">
      <c r="A1041" t="s">
        <v>6462</v>
      </c>
      <c r="B1041" t="s">
        <v>5417</v>
      </c>
      <c r="C1041">
        <v>18544</v>
      </c>
      <c r="D1041" s="581"/>
      <c r="E1041" s="581"/>
      <c r="F1041" s="2">
        <f>(1/S1041)*cnst_fish!$C$6</f>
        <v>30.136363636363644</v>
      </c>
      <c r="G1041" s="2">
        <f t="shared" si="147"/>
        <v>1</v>
      </c>
      <c r="H1041" s="2">
        <f t="shared" si="147"/>
        <v>0.36449057933102513</v>
      </c>
      <c r="I1041" s="2">
        <f t="shared" si="148"/>
        <v>0</v>
      </c>
      <c r="J1041" s="389">
        <f t="shared" si="149"/>
        <v>0</v>
      </c>
      <c r="L1041" s="721">
        <v>36562</v>
      </c>
      <c r="M1041" s="581"/>
      <c r="N1041" s="585" t="s">
        <v>1740</v>
      </c>
      <c r="O1041" s="586" t="s">
        <v>4671</v>
      </c>
      <c r="P1041" s="233">
        <f t="shared" si="150"/>
        <v>0</v>
      </c>
      <c r="Q1041" s="233">
        <f t="shared" si="151"/>
        <v>36562</v>
      </c>
      <c r="R1041" s="2">
        <f t="shared" si="152"/>
        <v>1</v>
      </c>
      <c r="S1041" s="2">
        <f>(1/9)*cnst_fish!$C$7*(1/cnst_fish!$C$8)^(R1041-1)</f>
        <v>0.141025641025641</v>
      </c>
      <c r="T1041" s="682">
        <f t="shared" si="153"/>
        <v>442.2067878627762</v>
      </c>
      <c r="W1041" s="818"/>
      <c r="X1041" s="818"/>
      <c r="Y1041" s="819"/>
      <c r="Z1041" s="820"/>
      <c r="AA1041" s="820"/>
      <c r="AB1041" s="821"/>
      <c r="AC1041" s="821"/>
      <c r="AD1041" s="253"/>
      <c r="AE1041" s="253"/>
    </row>
    <row r="1042" spans="1:31" ht="14.5">
      <c r="A1042" t="s">
        <v>5049</v>
      </c>
      <c r="B1042" t="s">
        <v>3577</v>
      </c>
      <c r="C1042">
        <v>2366</v>
      </c>
      <c r="D1042" s="581"/>
      <c r="E1042" s="581"/>
      <c r="F1042" s="2">
        <f>(1/S1042)*cnst_fish!$C$6</f>
        <v>7.9266712664847111E-2</v>
      </c>
      <c r="G1042" s="2">
        <f t="shared" si="147"/>
        <v>1</v>
      </c>
      <c r="H1042" s="2">
        <f t="shared" si="147"/>
        <v>0.36449057933102513</v>
      </c>
      <c r="I1042" s="2">
        <f t="shared" si="148"/>
        <v>0</v>
      </c>
      <c r="J1042" s="389">
        <f t="shared" si="149"/>
        <v>0</v>
      </c>
      <c r="L1042" s="721">
        <v>128199.9</v>
      </c>
      <c r="M1042" s="581"/>
      <c r="N1042" s="585" t="s">
        <v>1738</v>
      </c>
      <c r="O1042" s="586" t="s">
        <v>4681</v>
      </c>
      <c r="P1042" s="233">
        <f t="shared" si="150"/>
        <v>0</v>
      </c>
      <c r="Q1042" s="233">
        <f t="shared" si="151"/>
        <v>128199.9</v>
      </c>
      <c r="R1042" s="2">
        <f t="shared" si="152"/>
        <v>3.58</v>
      </c>
      <c r="S1042" s="2">
        <f>(1/9)*cnst_fish!$C$7*(1/cnst_fish!$C$8)^(R1042-1)</f>
        <v>53.616453327258682</v>
      </c>
      <c r="T1042" s="682">
        <f t="shared" si="153"/>
        <v>589499.10057140654</v>
      </c>
      <c r="W1042" s="818"/>
      <c r="X1042" s="818"/>
      <c r="Y1042" s="819"/>
      <c r="Z1042" s="820"/>
      <c r="AA1042" s="820"/>
      <c r="AB1042" s="821"/>
      <c r="AC1042" s="821"/>
      <c r="AD1042" s="253"/>
      <c r="AE1042" s="253"/>
    </row>
    <row r="1043" spans="1:31" ht="14.5">
      <c r="A1043" t="s">
        <v>121</v>
      </c>
      <c r="B1043" t="s">
        <v>3578</v>
      </c>
      <c r="C1043">
        <v>3171</v>
      </c>
      <c r="D1043" s="581"/>
      <c r="E1043" s="581"/>
      <c r="F1043" s="2">
        <f>(1/S1043)*cnst_fish!$C$6</f>
        <v>8.6914222116951781E-2</v>
      </c>
      <c r="G1043" s="2">
        <f t="shared" si="147"/>
        <v>1</v>
      </c>
      <c r="H1043" s="2">
        <f t="shared" si="147"/>
        <v>0.36449057933102513</v>
      </c>
      <c r="I1043" s="2">
        <f t="shared" si="148"/>
        <v>0</v>
      </c>
      <c r="J1043" s="389">
        <f t="shared" si="149"/>
        <v>0</v>
      </c>
      <c r="L1043" s="721">
        <v>727</v>
      </c>
      <c r="M1043" s="581"/>
      <c r="N1043" s="585" t="s">
        <v>1738</v>
      </c>
      <c r="O1043" s="586" t="s">
        <v>4681</v>
      </c>
      <c r="P1043" s="233">
        <f t="shared" si="150"/>
        <v>0</v>
      </c>
      <c r="Q1043" s="233">
        <f t="shared" si="151"/>
        <v>727</v>
      </c>
      <c r="R1043" s="2">
        <f t="shared" si="152"/>
        <v>3.54</v>
      </c>
      <c r="S1043" s="2">
        <f>(1/9)*cnst_fish!$C$7*(1/cnst_fish!$C$8)^(R1043-1)</f>
        <v>48.898786602280119</v>
      </c>
      <c r="T1043" s="682">
        <f t="shared" si="153"/>
        <v>3048.8065672047542</v>
      </c>
      <c r="W1043" s="818"/>
      <c r="X1043" s="818"/>
      <c r="Y1043" s="819"/>
      <c r="Z1043" s="820"/>
      <c r="AA1043" s="820"/>
      <c r="AB1043" s="821"/>
      <c r="AC1043" s="821"/>
      <c r="AD1043" s="253"/>
      <c r="AE1043" s="253"/>
    </row>
    <row r="1044" spans="1:31" ht="14.5">
      <c r="A1044" t="s">
        <v>693</v>
      </c>
      <c r="B1044" t="s">
        <v>3579</v>
      </c>
      <c r="C1044">
        <v>18953</v>
      </c>
      <c r="D1044" s="581"/>
      <c r="E1044" s="581"/>
      <c r="F1044" s="2">
        <f>(1/S1044)*cnst_fish!$C$6</f>
        <v>0.10211530705467774</v>
      </c>
      <c r="G1044" s="2">
        <f t="shared" si="147"/>
        <v>1</v>
      </c>
      <c r="H1044" s="2">
        <f t="shared" si="147"/>
        <v>0.36449057933102513</v>
      </c>
      <c r="I1044" s="2">
        <f t="shared" si="148"/>
        <v>0</v>
      </c>
      <c r="J1044" s="389">
        <f t="shared" si="149"/>
        <v>0</v>
      </c>
      <c r="L1044" s="721">
        <v>956</v>
      </c>
      <c r="M1044" s="581"/>
      <c r="N1044" s="585" t="s">
        <v>1738</v>
      </c>
      <c r="O1044" s="586" t="s">
        <v>4681</v>
      </c>
      <c r="P1044" s="233">
        <f t="shared" si="150"/>
        <v>0</v>
      </c>
      <c r="Q1044" s="233">
        <f t="shared" si="151"/>
        <v>956</v>
      </c>
      <c r="R1044" s="2">
        <f t="shared" si="152"/>
        <v>3.47</v>
      </c>
      <c r="S1044" s="2">
        <f>(1/9)*cnst_fish!$C$7*(1/cnst_fish!$C$8)^(R1044-1)</f>
        <v>41.619617299141382</v>
      </c>
      <c r="T1044" s="682">
        <f t="shared" si="153"/>
        <v>3412.3482942070632</v>
      </c>
      <c r="W1044" s="818"/>
      <c r="X1044" s="818"/>
      <c r="Y1044" s="819"/>
      <c r="Z1044" s="820"/>
      <c r="AA1044" s="820"/>
      <c r="AB1044" s="821"/>
      <c r="AC1044" s="821"/>
      <c r="AD1044" s="253"/>
      <c r="AE1044" s="253"/>
    </row>
    <row r="1045" spans="1:31" ht="14.5">
      <c r="A1045" t="s">
        <v>2445</v>
      </c>
      <c r="B1045" t="s">
        <v>3580</v>
      </c>
      <c r="C1045">
        <v>13164</v>
      </c>
      <c r="D1045" s="581"/>
      <c r="E1045" s="581"/>
      <c r="F1045" s="2">
        <f>(1/S1045)*cnst_fish!$C$6</f>
        <v>8.3002437741509269E-2</v>
      </c>
      <c r="G1045" s="2">
        <f t="shared" si="147"/>
        <v>1</v>
      </c>
      <c r="H1045" s="2">
        <f t="shared" si="147"/>
        <v>0.36449057933102513</v>
      </c>
      <c r="I1045" s="2">
        <f t="shared" si="148"/>
        <v>0</v>
      </c>
      <c r="J1045" s="389">
        <f t="shared" si="149"/>
        <v>0</v>
      </c>
      <c r="L1045" s="721">
        <v>50</v>
      </c>
      <c r="M1045" s="581"/>
      <c r="N1045" s="585" t="s">
        <v>1738</v>
      </c>
      <c r="O1045" s="586" t="s">
        <v>4681</v>
      </c>
      <c r="P1045" s="233">
        <f t="shared" si="150"/>
        <v>0</v>
      </c>
      <c r="Q1045" s="233">
        <f t="shared" si="151"/>
        <v>50</v>
      </c>
      <c r="R1045" s="2">
        <f t="shared" si="152"/>
        <v>3.56</v>
      </c>
      <c r="S1045" s="2">
        <f>(1/9)*cnst_fish!$C$7*(1/cnst_fish!$C$8)^(R1045-1)</f>
        <v>51.203315416296356</v>
      </c>
      <c r="T1045" s="682">
        <f t="shared" si="153"/>
        <v>219.56618940888316</v>
      </c>
      <c r="W1045" s="818"/>
      <c r="X1045" s="818"/>
      <c r="Y1045" s="819"/>
      <c r="Z1045" s="820"/>
      <c r="AA1045" s="820"/>
      <c r="AB1045" s="821"/>
      <c r="AC1045" s="821"/>
      <c r="AD1045" s="253"/>
      <c r="AE1045" s="253"/>
    </row>
    <row r="1046" spans="1:31" ht="14.5">
      <c r="A1046" t="s">
        <v>2131</v>
      </c>
      <c r="B1046" t="s">
        <v>3837</v>
      </c>
      <c r="C1046">
        <v>13166</v>
      </c>
      <c r="D1046" s="581"/>
      <c r="E1046" s="581"/>
      <c r="F1046" s="2">
        <f>(1/S1046)*cnst_fish!$C$6</f>
        <v>1.8581931192461935E-2</v>
      </c>
      <c r="G1046" s="2">
        <f t="shared" si="147"/>
        <v>1</v>
      </c>
      <c r="H1046" s="2">
        <f t="shared" si="147"/>
        <v>0.36449057933102513</v>
      </c>
      <c r="I1046" s="2">
        <f t="shared" si="148"/>
        <v>0</v>
      </c>
      <c r="J1046" s="389">
        <f t="shared" si="149"/>
        <v>0</v>
      </c>
      <c r="L1046" s="721">
        <v>4270</v>
      </c>
      <c r="M1046" s="581"/>
      <c r="N1046" s="585" t="s">
        <v>1738</v>
      </c>
      <c r="O1046" s="586" t="s">
        <v>4681</v>
      </c>
      <c r="P1046" s="233">
        <f t="shared" si="150"/>
        <v>0</v>
      </c>
      <c r="Q1046" s="233">
        <f t="shared" si="151"/>
        <v>4270</v>
      </c>
      <c r="R1046" s="2">
        <f t="shared" si="152"/>
        <v>4.21</v>
      </c>
      <c r="S1046" s="2">
        <f>(1/9)*cnst_fish!$C$7*(1/cnst_fish!$C$8)^(R1046-1)</f>
        <v>228.71680860190045</v>
      </c>
      <c r="T1046" s="682">
        <f t="shared" si="153"/>
        <v>83757.428526850112</v>
      </c>
      <c r="W1046" s="818"/>
      <c r="X1046" s="818"/>
      <c r="Y1046" s="819"/>
      <c r="Z1046" s="820"/>
      <c r="AA1046" s="820"/>
      <c r="AB1046" s="821"/>
      <c r="AC1046" s="821"/>
      <c r="AD1046" s="253"/>
      <c r="AE1046" s="253"/>
    </row>
    <row r="1047" spans="1:31" ht="14.5">
      <c r="A1047" t="s">
        <v>691</v>
      </c>
      <c r="B1047" t="s">
        <v>3838</v>
      </c>
      <c r="C1047">
        <v>13167</v>
      </c>
      <c r="D1047" s="581"/>
      <c r="E1047" s="581"/>
      <c r="F1047" s="2">
        <f>(1/S1047)*cnst_fish!$C$6</f>
        <v>0.11196720767792057</v>
      </c>
      <c r="G1047" s="2">
        <f t="shared" si="147"/>
        <v>1</v>
      </c>
      <c r="H1047" s="2">
        <f t="shared" si="147"/>
        <v>0.36449057933102513</v>
      </c>
      <c r="I1047" s="2">
        <f t="shared" si="148"/>
        <v>0</v>
      </c>
      <c r="J1047" s="389">
        <f t="shared" si="149"/>
        <v>0</v>
      </c>
      <c r="L1047" s="721">
        <v>724</v>
      </c>
      <c r="M1047" s="581"/>
      <c r="N1047" s="585" t="s">
        <v>1738</v>
      </c>
      <c r="O1047" s="586" t="s">
        <v>4681</v>
      </c>
      <c r="P1047" s="233">
        <f t="shared" si="150"/>
        <v>0</v>
      </c>
      <c r="Q1047" s="233">
        <f t="shared" si="151"/>
        <v>724</v>
      </c>
      <c r="R1047" s="2">
        <f t="shared" si="152"/>
        <v>3.43</v>
      </c>
      <c r="S1047" s="2">
        <f>(1/9)*cnst_fish!$C$7*(1/cnst_fish!$C$8)^(R1047-1)</f>
        <v>37.957542106661656</v>
      </c>
      <c r="T1047" s="682">
        <f t="shared" si="153"/>
        <v>2356.8613070601773</v>
      </c>
      <c r="W1047" s="818"/>
      <c r="X1047" s="818"/>
      <c r="Y1047" s="819"/>
      <c r="Z1047" s="820"/>
      <c r="AA1047" s="820"/>
      <c r="AB1047" s="821"/>
      <c r="AC1047" s="821"/>
      <c r="AD1047" s="253"/>
      <c r="AE1047" s="253"/>
    </row>
    <row r="1048" spans="1:31" ht="14.5">
      <c r="A1048" t="s">
        <v>1250</v>
      </c>
      <c r="B1048" t="s">
        <v>4750</v>
      </c>
      <c r="C1048">
        <v>13168</v>
      </c>
      <c r="D1048" s="581"/>
      <c r="E1048" s="581"/>
      <c r="F1048" s="2">
        <f>(1/S1048)*cnst_fish!$C$6</f>
        <v>4.8875458843134996E-2</v>
      </c>
      <c r="G1048" s="2">
        <f t="shared" ref="G1048:H1067" si="154">G$7</f>
        <v>1</v>
      </c>
      <c r="H1048" s="2">
        <f t="shared" si="154"/>
        <v>0.36449057933102513</v>
      </c>
      <c r="I1048" s="2">
        <f t="shared" si="148"/>
        <v>0</v>
      </c>
      <c r="J1048" s="389">
        <f t="shared" si="149"/>
        <v>0</v>
      </c>
      <c r="L1048" s="721">
        <v>151</v>
      </c>
      <c r="M1048" s="581"/>
      <c r="N1048" s="585" t="s">
        <v>1738</v>
      </c>
      <c r="O1048" s="586" t="s">
        <v>4681</v>
      </c>
      <c r="P1048" s="233">
        <f t="shared" si="150"/>
        <v>0</v>
      </c>
      <c r="Q1048" s="233">
        <f t="shared" si="151"/>
        <v>151</v>
      </c>
      <c r="R1048" s="2">
        <f t="shared" si="152"/>
        <v>3.79</v>
      </c>
      <c r="S1048" s="2">
        <f>(1/9)*cnst_fish!$C$7*(1/cnst_fish!$C$8)^(R1048-1)</f>
        <v>86.955705390721903</v>
      </c>
      <c r="T1048" s="682">
        <f t="shared" si="153"/>
        <v>1126.0882001257241</v>
      </c>
      <c r="W1048" s="818"/>
      <c r="X1048" s="818"/>
      <c r="Y1048" s="819"/>
      <c r="Z1048" s="820"/>
      <c r="AA1048" s="820"/>
      <c r="AB1048" s="821"/>
      <c r="AC1048" s="821"/>
      <c r="AD1048" s="253"/>
      <c r="AE1048" s="253"/>
    </row>
    <row r="1049" spans="1:31" ht="14.5">
      <c r="A1049" t="s">
        <v>4277</v>
      </c>
      <c r="B1049" t="s">
        <v>6710</v>
      </c>
      <c r="C1049">
        <v>13169</v>
      </c>
      <c r="D1049" s="581"/>
      <c r="E1049" s="581"/>
      <c r="F1049" s="2">
        <f>(1/S1049)*cnst_fish!$C$6</f>
        <v>9.5299549485983348E-2</v>
      </c>
      <c r="G1049" s="2">
        <f t="shared" si="154"/>
        <v>1</v>
      </c>
      <c r="H1049" s="2">
        <f t="shared" si="154"/>
        <v>0.36449057933102513</v>
      </c>
      <c r="I1049" s="2">
        <f t="shared" si="148"/>
        <v>0</v>
      </c>
      <c r="J1049" s="389">
        <f t="shared" si="149"/>
        <v>0</v>
      </c>
      <c r="L1049" s="721">
        <v>36</v>
      </c>
      <c r="M1049" s="581"/>
      <c r="N1049" s="585" t="s">
        <v>1738</v>
      </c>
      <c r="O1049" s="586" t="s">
        <v>4681</v>
      </c>
      <c r="P1049" s="233">
        <f t="shared" si="150"/>
        <v>0</v>
      </c>
      <c r="Q1049" s="233">
        <f t="shared" si="151"/>
        <v>36</v>
      </c>
      <c r="R1049" s="2">
        <f t="shared" si="152"/>
        <v>3.5</v>
      </c>
      <c r="S1049" s="2">
        <f>(1/9)*cnst_fish!$C$7*(1/cnst_fish!$C$8)^(R1049-1)</f>
        <v>44.596223412631026</v>
      </c>
      <c r="T1049" s="682">
        <f t="shared" si="153"/>
        <v>137.68859272358719</v>
      </c>
      <c r="W1049" s="818"/>
      <c r="X1049" s="818"/>
      <c r="Y1049" s="819"/>
      <c r="Z1049" s="820"/>
      <c r="AA1049" s="820"/>
      <c r="AB1049" s="821"/>
      <c r="AC1049" s="821"/>
      <c r="AD1049" s="253"/>
      <c r="AE1049" s="253"/>
    </row>
    <row r="1050" spans="1:31" ht="14.5">
      <c r="A1050" t="s">
        <v>4178</v>
      </c>
      <c r="B1050" t="s">
        <v>4751</v>
      </c>
      <c r="C1050">
        <v>13170</v>
      </c>
      <c r="D1050" s="581"/>
      <c r="E1050" s="581"/>
      <c r="F1050" s="2">
        <f>(1/S1050)*cnst_fish!$C$6</f>
        <v>0.14424170509541331</v>
      </c>
      <c r="G1050" s="2">
        <f t="shared" si="154"/>
        <v>1</v>
      </c>
      <c r="H1050" s="2">
        <f t="shared" si="154"/>
        <v>0.36449057933102513</v>
      </c>
      <c r="I1050" s="2">
        <f t="shared" si="148"/>
        <v>0</v>
      </c>
      <c r="J1050" s="389">
        <f t="shared" si="149"/>
        <v>0</v>
      </c>
      <c r="L1050" s="721">
        <v>16851</v>
      </c>
      <c r="M1050" s="581"/>
      <c r="N1050" s="585" t="s">
        <v>1738</v>
      </c>
      <c r="O1050" s="586" t="s">
        <v>4681</v>
      </c>
      <c r="P1050" s="233">
        <f t="shared" si="150"/>
        <v>0</v>
      </c>
      <c r="Q1050" s="233">
        <f t="shared" si="151"/>
        <v>16851</v>
      </c>
      <c r="R1050" s="2">
        <f t="shared" si="152"/>
        <v>3.32</v>
      </c>
      <c r="S1050" s="2">
        <f>(1/9)*cnst_fish!$C$7*(1/cnst_fish!$C$8)^(R1050-1)</f>
        <v>29.464432614608246</v>
      </c>
      <c r="T1050" s="682">
        <f t="shared" si="153"/>
        <v>42581.517933695119</v>
      </c>
      <c r="W1050" s="818"/>
      <c r="X1050" s="818"/>
      <c r="Y1050" s="819"/>
      <c r="Z1050" s="820"/>
      <c r="AA1050" s="820"/>
      <c r="AB1050" s="821"/>
      <c r="AC1050" s="821"/>
      <c r="AD1050" s="253"/>
      <c r="AE1050" s="253"/>
    </row>
    <row r="1051" spans="1:31" ht="14.5">
      <c r="A1051" t="s">
        <v>2537</v>
      </c>
      <c r="B1051" t="s">
        <v>4752</v>
      </c>
      <c r="C1051">
        <v>18909</v>
      </c>
      <c r="D1051" s="581"/>
      <c r="E1051" s="581"/>
      <c r="F1051" s="2">
        <f>(1/S1051)*cnst_fish!$C$6</f>
        <v>0.12276960190187568</v>
      </c>
      <c r="G1051" s="2">
        <f t="shared" si="154"/>
        <v>1</v>
      </c>
      <c r="H1051" s="2">
        <f t="shared" si="154"/>
        <v>0.36449057933102513</v>
      </c>
      <c r="I1051" s="2">
        <f t="shared" si="148"/>
        <v>0</v>
      </c>
      <c r="J1051" s="389">
        <f t="shared" si="149"/>
        <v>0</v>
      </c>
      <c r="L1051" s="721">
        <v>334</v>
      </c>
      <c r="M1051" s="581"/>
      <c r="N1051" s="585" t="s">
        <v>1738</v>
      </c>
      <c r="O1051" s="586" t="s">
        <v>4681</v>
      </c>
      <c r="P1051" s="233">
        <f t="shared" si="150"/>
        <v>0</v>
      </c>
      <c r="Q1051" s="233">
        <f t="shared" si="151"/>
        <v>334</v>
      </c>
      <c r="R1051" s="2">
        <f t="shared" si="152"/>
        <v>3.39</v>
      </c>
      <c r="S1051" s="2">
        <f>(1/9)*cnst_fish!$C$7*(1/cnst_fish!$C$8)^(R1051-1)</f>
        <v>34.617689836583793</v>
      </c>
      <c r="T1051" s="682">
        <f t="shared" si="153"/>
        <v>991.61235037532902</v>
      </c>
      <c r="W1051" s="818"/>
      <c r="X1051" s="818"/>
      <c r="Y1051" s="819"/>
      <c r="Z1051" s="820"/>
      <c r="AA1051" s="820"/>
      <c r="AB1051" s="821"/>
      <c r="AC1051" s="821"/>
      <c r="AD1051" s="253"/>
      <c r="AE1051" s="253"/>
    </row>
    <row r="1052" spans="1:31" ht="14.5">
      <c r="A1052" t="s">
        <v>2449</v>
      </c>
      <c r="B1052" t="s">
        <v>4753</v>
      </c>
      <c r="C1052">
        <v>18911</v>
      </c>
      <c r="D1052" s="581"/>
      <c r="E1052" s="581"/>
      <c r="F1052" s="2">
        <f>(1/S1052)*cnst_fish!$C$6</f>
        <v>6.4430402969999093E-2</v>
      </c>
      <c r="G1052" s="2">
        <f t="shared" si="154"/>
        <v>1</v>
      </c>
      <c r="H1052" s="2">
        <f t="shared" si="154"/>
        <v>0.36449057933102513</v>
      </c>
      <c r="I1052" s="2">
        <f t="shared" si="148"/>
        <v>0</v>
      </c>
      <c r="J1052" s="389">
        <f t="shared" si="149"/>
        <v>0</v>
      </c>
      <c r="L1052" s="721">
        <v>32</v>
      </c>
      <c r="M1052" s="581"/>
      <c r="N1052" s="585" t="s">
        <v>1738</v>
      </c>
      <c r="O1052" s="586" t="s">
        <v>4681</v>
      </c>
      <c r="P1052" s="233">
        <f t="shared" si="150"/>
        <v>0</v>
      </c>
      <c r="Q1052" s="233">
        <f t="shared" si="151"/>
        <v>32</v>
      </c>
      <c r="R1052" s="2">
        <f t="shared" si="152"/>
        <v>3.67</v>
      </c>
      <c r="S1052" s="2">
        <f>(1/9)*cnst_fish!$C$7*(1/cnst_fish!$C$8)^(R1052-1)</f>
        <v>65.962648130245896</v>
      </c>
      <c r="T1052" s="682">
        <f t="shared" si="153"/>
        <v>181.02786884669655</v>
      </c>
      <c r="W1052" s="818"/>
      <c r="X1052" s="818"/>
      <c r="Y1052" s="819"/>
      <c r="Z1052" s="820"/>
      <c r="AA1052" s="820"/>
      <c r="AB1052" s="821"/>
      <c r="AC1052" s="821"/>
      <c r="AD1052" s="253"/>
      <c r="AE1052" s="253"/>
    </row>
    <row r="1053" spans="1:31" ht="14.5">
      <c r="A1053" s="403" t="s">
        <v>9196</v>
      </c>
      <c r="B1053" s="403" t="s">
        <v>8933</v>
      </c>
      <c r="C1053" s="403">
        <v>13178</v>
      </c>
      <c r="D1053" s="581"/>
      <c r="E1053" s="581"/>
      <c r="F1053" s="869">
        <f>(1/S1053)*cnst_fish!$C$6</f>
        <v>0.28124890974018413</v>
      </c>
      <c r="G1053" s="869">
        <f t="shared" si="154"/>
        <v>1</v>
      </c>
      <c r="H1053" s="869">
        <f t="shared" si="154"/>
        <v>0.36449057933102513</v>
      </c>
      <c r="I1053" s="869">
        <f t="shared" si="148"/>
        <v>0</v>
      </c>
      <c r="J1053" s="389">
        <f t="shared" si="149"/>
        <v>0</v>
      </c>
      <c r="L1053" s="721"/>
      <c r="M1053" s="581"/>
      <c r="N1053" s="878" t="s">
        <v>4282</v>
      </c>
      <c r="O1053" s="882" t="s">
        <v>4685</v>
      </c>
      <c r="P1053" s="871">
        <f t="shared" si="150"/>
        <v>0</v>
      </c>
      <c r="Q1053" s="871">
        <f t="shared" si="151"/>
        <v>0</v>
      </c>
      <c r="R1053" s="869">
        <f t="shared" si="152"/>
        <v>3.03</v>
      </c>
      <c r="S1053" s="869">
        <f>(1/9)*cnst_fish!$C$7*(1/cnst_fish!$C$8)^(R1053-1)</f>
        <v>15.111169689248294</v>
      </c>
      <c r="T1053" s="682">
        <f t="shared" si="153"/>
        <v>0</v>
      </c>
      <c r="W1053" s="818"/>
      <c r="X1053" s="818"/>
      <c r="Y1053" s="819"/>
      <c r="Z1053" s="820"/>
      <c r="AA1053" s="820"/>
      <c r="AB1053" s="821"/>
      <c r="AC1053" s="821"/>
      <c r="AD1053" s="253"/>
      <c r="AE1053" s="253"/>
    </row>
    <row r="1054" spans="1:31" ht="14.5">
      <c r="A1054" t="s">
        <v>3471</v>
      </c>
      <c r="B1054" t="s">
        <v>2356</v>
      </c>
      <c r="C1054">
        <v>13179</v>
      </c>
      <c r="D1054" s="581"/>
      <c r="E1054" s="581"/>
      <c r="F1054" s="2">
        <f>(1/S1054)*cnst_fish!$C$6</f>
        <v>0.28124890974018413</v>
      </c>
      <c r="G1054" s="2">
        <f t="shared" si="154"/>
        <v>1</v>
      </c>
      <c r="H1054" s="2">
        <f t="shared" si="154"/>
        <v>0.36449057933102513</v>
      </c>
      <c r="I1054" s="2">
        <f t="shared" si="148"/>
        <v>0</v>
      </c>
      <c r="J1054" s="389">
        <f t="shared" si="149"/>
        <v>0</v>
      </c>
      <c r="L1054" s="721"/>
      <c r="M1054" s="581">
        <v>101</v>
      </c>
      <c r="N1054" s="585" t="s">
        <v>1738</v>
      </c>
      <c r="O1054" s="586" t="s">
        <v>4685</v>
      </c>
      <c r="P1054" s="233">
        <f t="shared" si="150"/>
        <v>0</v>
      </c>
      <c r="Q1054" s="233">
        <f t="shared" si="151"/>
        <v>101</v>
      </c>
      <c r="R1054" s="2">
        <f t="shared" si="152"/>
        <v>3.03</v>
      </c>
      <c r="S1054" s="2">
        <f>(1/9)*cnst_fish!$C$7*(1/cnst_fish!$C$8)^(R1054-1)</f>
        <v>15.111169689248294</v>
      </c>
      <c r="T1054" s="682">
        <f t="shared" si="153"/>
        <v>130.89312433758997</v>
      </c>
      <c r="W1054" s="818"/>
      <c r="X1054" s="818"/>
      <c r="Y1054" s="819"/>
      <c r="Z1054" s="820"/>
      <c r="AA1054" s="820"/>
      <c r="AB1054" s="821"/>
      <c r="AC1054" s="821"/>
      <c r="AD1054" s="253"/>
      <c r="AE1054" s="253"/>
    </row>
    <row r="1055" spans="1:31" ht="14.5">
      <c r="A1055" t="s">
        <v>1157</v>
      </c>
      <c r="B1055" t="s">
        <v>2357</v>
      </c>
      <c r="C1055">
        <v>2160</v>
      </c>
      <c r="D1055" s="581"/>
      <c r="E1055" s="581"/>
      <c r="F1055" s="2">
        <f>(1/S1055)*cnst_fish!$C$6</f>
        <v>4.8875458843134996E-2</v>
      </c>
      <c r="G1055" s="2">
        <f t="shared" si="154"/>
        <v>1</v>
      </c>
      <c r="H1055" s="2">
        <f t="shared" si="154"/>
        <v>0.36449057933102513</v>
      </c>
      <c r="I1055" s="2">
        <f t="shared" si="148"/>
        <v>0</v>
      </c>
      <c r="J1055" s="389">
        <f t="shared" si="149"/>
        <v>0</v>
      </c>
      <c r="L1055" s="721">
        <v>122.03</v>
      </c>
      <c r="M1055" s="581">
        <v>11261</v>
      </c>
      <c r="N1055" s="585" t="s">
        <v>1738</v>
      </c>
      <c r="O1055" s="586" t="s">
        <v>4685</v>
      </c>
      <c r="P1055" s="233">
        <f t="shared" si="150"/>
        <v>0</v>
      </c>
      <c r="Q1055" s="233">
        <f t="shared" si="151"/>
        <v>11383.03</v>
      </c>
      <c r="R1055" s="2">
        <f t="shared" si="152"/>
        <v>3.79</v>
      </c>
      <c r="S1055" s="2">
        <f>(1/9)*cnst_fish!$C$7*(1/cnst_fish!$C$8)^(R1055-1)</f>
        <v>86.955705390721903</v>
      </c>
      <c r="T1055" s="682">
        <f t="shared" si="153"/>
        <v>84889.375925014057</v>
      </c>
      <c r="W1055" s="818"/>
      <c r="X1055" s="818"/>
      <c r="Y1055" s="819"/>
      <c r="Z1055" s="820"/>
      <c r="AA1055" s="820"/>
      <c r="AB1055" s="821"/>
      <c r="AC1055" s="821"/>
      <c r="AD1055" s="253"/>
      <c r="AE1055" s="253"/>
    </row>
    <row r="1056" spans="1:31" ht="14.5">
      <c r="A1056" t="s">
        <v>4387</v>
      </c>
      <c r="B1056" t="s">
        <v>2358</v>
      </c>
      <c r="C1056">
        <v>2962</v>
      </c>
      <c r="D1056" s="581"/>
      <c r="E1056" s="581"/>
      <c r="F1056" s="2">
        <f>(1/S1056)*cnst_fish!$C$6</f>
        <v>0.8111307159107024</v>
      </c>
      <c r="G1056" s="2">
        <f t="shared" si="154"/>
        <v>1</v>
      </c>
      <c r="H1056" s="2">
        <f t="shared" si="154"/>
        <v>0.36449057933102513</v>
      </c>
      <c r="I1056" s="2">
        <f t="shared" si="148"/>
        <v>0</v>
      </c>
      <c r="J1056" s="389">
        <f t="shared" si="149"/>
        <v>0</v>
      </c>
      <c r="L1056" s="721"/>
      <c r="M1056" s="581">
        <v>5</v>
      </c>
      <c r="N1056" s="585" t="s">
        <v>1738</v>
      </c>
      <c r="O1056" s="586" t="s">
        <v>4685</v>
      </c>
      <c r="P1056" s="233">
        <f t="shared" si="150"/>
        <v>0</v>
      </c>
      <c r="Q1056" s="233">
        <f t="shared" si="151"/>
        <v>5</v>
      </c>
      <c r="R1056" s="2">
        <f t="shared" si="152"/>
        <v>2.57</v>
      </c>
      <c r="S1056" s="2">
        <f>(1/9)*cnst_fish!$C$7*(1/cnst_fish!$C$8)^(R1056-1)</f>
        <v>5.2395993847037152</v>
      </c>
      <c r="T1056" s="682">
        <f t="shared" si="153"/>
        <v>2.2468054296389881</v>
      </c>
      <c r="W1056" s="818"/>
      <c r="X1056" s="818"/>
      <c r="Y1056" s="819"/>
      <c r="Z1056" s="820"/>
      <c r="AA1056" s="820"/>
      <c r="AB1056" s="821"/>
      <c r="AC1056" s="821"/>
      <c r="AD1056" s="253"/>
      <c r="AE1056" s="253"/>
    </row>
    <row r="1057" spans="1:31" ht="14.5">
      <c r="A1057" t="s">
        <v>932</v>
      </c>
      <c r="B1057" t="s">
        <v>2359</v>
      </c>
      <c r="C1057">
        <v>2961</v>
      </c>
      <c r="D1057" s="581"/>
      <c r="E1057" s="581"/>
      <c r="F1057" s="2">
        <f>(1/S1057)*cnst_fish!$C$6</f>
        <v>0.14760152601876345</v>
      </c>
      <c r="G1057" s="2">
        <f t="shared" si="154"/>
        <v>1</v>
      </c>
      <c r="H1057" s="2">
        <f t="shared" si="154"/>
        <v>0.36449057933102513</v>
      </c>
      <c r="I1057" s="2">
        <f t="shared" si="148"/>
        <v>0</v>
      </c>
      <c r="J1057" s="389">
        <f t="shared" si="149"/>
        <v>0</v>
      </c>
      <c r="L1057" s="721"/>
      <c r="M1057" s="581">
        <v>10</v>
      </c>
      <c r="N1057" s="585" t="s">
        <v>1738</v>
      </c>
      <c r="O1057" s="586" t="s">
        <v>4685</v>
      </c>
      <c r="P1057" s="233">
        <f t="shared" si="150"/>
        <v>0</v>
      </c>
      <c r="Q1057" s="233">
        <f t="shared" si="151"/>
        <v>10</v>
      </c>
      <c r="R1057" s="2">
        <f t="shared" si="152"/>
        <v>3.31</v>
      </c>
      <c r="S1057" s="2">
        <f>(1/9)*cnst_fish!$C$7*(1/cnst_fish!$C$8)^(R1057-1)</f>
        <v>28.793740245339542</v>
      </c>
      <c r="T1057" s="682">
        <f t="shared" si="153"/>
        <v>24.694228383837324</v>
      </c>
      <c r="W1057" s="818"/>
      <c r="X1057" s="818"/>
      <c r="Y1057" s="819"/>
      <c r="Z1057" s="820"/>
      <c r="AA1057" s="820"/>
      <c r="AB1057" s="821"/>
      <c r="AC1057" s="821"/>
      <c r="AD1057" s="253"/>
      <c r="AE1057" s="253"/>
    </row>
    <row r="1058" spans="1:31" ht="14.5">
      <c r="A1058" t="s">
        <v>6582</v>
      </c>
      <c r="B1058" t="s">
        <v>6581</v>
      </c>
      <c r="C1058">
        <v>6815</v>
      </c>
      <c r="D1058" s="581"/>
      <c r="E1058" s="581"/>
      <c r="F1058" s="2">
        <f>(1/S1058)*cnst_fish!$C$6</f>
        <v>3.0136363636363641</v>
      </c>
      <c r="G1058" s="2">
        <f t="shared" si="154"/>
        <v>1</v>
      </c>
      <c r="H1058" s="2">
        <f t="shared" si="154"/>
        <v>0.36449057933102513</v>
      </c>
      <c r="I1058" s="2">
        <f t="shared" si="148"/>
        <v>0</v>
      </c>
      <c r="J1058" s="389">
        <f t="shared" si="149"/>
        <v>0</v>
      </c>
      <c r="L1058" s="721">
        <v>0</v>
      </c>
      <c r="M1058" s="581"/>
      <c r="N1058" s="585" t="s">
        <v>2311</v>
      </c>
      <c r="O1058" s="586" t="s">
        <v>4680</v>
      </c>
      <c r="P1058" s="233">
        <f t="shared" si="150"/>
        <v>0</v>
      </c>
      <c r="Q1058" s="233">
        <f t="shared" si="151"/>
        <v>0</v>
      </c>
      <c r="R1058" s="2">
        <f t="shared" si="152"/>
        <v>2</v>
      </c>
      <c r="S1058" s="2">
        <f>(1/9)*cnst_fish!$C$7*(1/cnst_fish!$C$8)^(R1058-1)</f>
        <v>1.4102564102564099</v>
      </c>
      <c r="T1058" s="682">
        <f t="shared" si="153"/>
        <v>0</v>
      </c>
      <c r="W1058" s="818"/>
      <c r="X1058" s="818"/>
      <c r="Y1058" s="819"/>
      <c r="Z1058" s="820"/>
      <c r="AA1058" s="820"/>
      <c r="AB1058" s="821"/>
      <c r="AC1058" s="821"/>
      <c r="AD1058" s="253"/>
      <c r="AE1058" s="253"/>
    </row>
    <row r="1059" spans="1:31" ht="14.5">
      <c r="A1059" t="s">
        <v>3284</v>
      </c>
      <c r="B1059" t="s">
        <v>2994</v>
      </c>
      <c r="C1059">
        <v>2322</v>
      </c>
      <c r="D1059" s="581"/>
      <c r="E1059" s="581"/>
      <c r="F1059" s="2">
        <f>(1/S1059)*cnst_fish!$C$6</f>
        <v>9.5299549485983424E-3</v>
      </c>
      <c r="G1059" s="2">
        <f t="shared" si="154"/>
        <v>1</v>
      </c>
      <c r="H1059" s="2">
        <f t="shared" si="154"/>
        <v>0.36449057933102513</v>
      </c>
      <c r="I1059" s="2">
        <f t="shared" si="148"/>
        <v>0</v>
      </c>
      <c r="J1059" s="389">
        <f t="shared" si="149"/>
        <v>0</v>
      </c>
      <c r="L1059" s="721">
        <v>1098</v>
      </c>
      <c r="M1059" s="581"/>
      <c r="N1059" s="585" t="s">
        <v>1738</v>
      </c>
      <c r="O1059" s="586" t="s">
        <v>4699</v>
      </c>
      <c r="P1059" s="233">
        <f t="shared" si="150"/>
        <v>0</v>
      </c>
      <c r="Q1059" s="233">
        <f t="shared" si="151"/>
        <v>1098</v>
      </c>
      <c r="R1059" s="2">
        <f t="shared" si="152"/>
        <v>4.5</v>
      </c>
      <c r="S1059" s="2">
        <f>(1/9)*cnst_fish!$C$7*(1/cnst_fish!$C$8)^(R1059-1)</f>
        <v>445.96223412630997</v>
      </c>
      <c r="T1059" s="682">
        <f t="shared" si="153"/>
        <v>41995.02078069406</v>
      </c>
      <c r="W1059" s="818"/>
      <c r="X1059" s="818"/>
      <c r="Y1059" s="819"/>
      <c r="Z1059" s="820"/>
      <c r="AA1059" s="820"/>
      <c r="AB1059" s="821"/>
      <c r="AC1059" s="821"/>
      <c r="AD1059" s="253"/>
      <c r="AE1059" s="253"/>
    </row>
    <row r="1060" spans="1:31" ht="14.5">
      <c r="A1060" t="s">
        <v>1964</v>
      </c>
      <c r="B1060" t="s">
        <v>1965</v>
      </c>
      <c r="C1060">
        <v>13193</v>
      </c>
      <c r="D1060" s="581"/>
      <c r="E1060" s="581"/>
      <c r="F1060" s="2">
        <f>(1/S1060)*cnst_fish!$C$6</f>
        <v>9.7519361156519699E-2</v>
      </c>
      <c r="G1060" s="2">
        <f t="shared" si="154"/>
        <v>1</v>
      </c>
      <c r="H1060" s="2">
        <f t="shared" si="154"/>
        <v>0.36449057933102513</v>
      </c>
      <c r="I1060" s="2">
        <f t="shared" si="148"/>
        <v>0</v>
      </c>
      <c r="J1060" s="389">
        <f t="shared" si="149"/>
        <v>0</v>
      </c>
      <c r="L1060" s="721">
        <v>0</v>
      </c>
      <c r="M1060" s="581"/>
      <c r="N1060" s="585" t="s">
        <v>1738</v>
      </c>
      <c r="O1060" s="586" t="s">
        <v>4699</v>
      </c>
      <c r="P1060" s="233">
        <f t="shared" si="150"/>
        <v>0</v>
      </c>
      <c r="Q1060" s="233">
        <f t="shared" si="151"/>
        <v>0</v>
      </c>
      <c r="R1060" s="2">
        <f t="shared" si="152"/>
        <v>3.49</v>
      </c>
      <c r="S1060" s="2">
        <f>(1/9)*cnst_fish!$C$7*(1/cnst_fish!$C$8)^(R1060-1)</f>
        <v>43.581089432884006</v>
      </c>
      <c r="T1060" s="682">
        <f t="shared" si="153"/>
        <v>0</v>
      </c>
      <c r="W1060" s="818"/>
      <c r="X1060" s="818"/>
      <c r="Y1060" s="819"/>
      <c r="Z1060" s="820"/>
      <c r="AA1060" s="820"/>
      <c r="AB1060" s="821"/>
      <c r="AC1060" s="821"/>
      <c r="AD1060" s="253"/>
      <c r="AE1060" s="253"/>
    </row>
    <row r="1061" spans="1:31" ht="14.5">
      <c r="A1061" t="s">
        <v>167</v>
      </c>
      <c r="B1061" t="s">
        <v>3610</v>
      </c>
      <c r="C1061">
        <v>3360</v>
      </c>
      <c r="D1061" s="581"/>
      <c r="E1061" s="581"/>
      <c r="F1061" s="2">
        <f>(1/S1061)*cnst_fish!$C$6</f>
        <v>0.17341667202478855</v>
      </c>
      <c r="G1061" s="2">
        <f t="shared" si="154"/>
        <v>1</v>
      </c>
      <c r="H1061" s="2">
        <f t="shared" si="154"/>
        <v>0.36449057933102513</v>
      </c>
      <c r="I1061" s="2">
        <f t="shared" si="148"/>
        <v>0</v>
      </c>
      <c r="J1061" s="389">
        <f t="shared" si="149"/>
        <v>0</v>
      </c>
      <c r="L1061" s="721">
        <v>127332</v>
      </c>
      <c r="M1061" s="581"/>
      <c r="N1061" s="585" t="s">
        <v>1741</v>
      </c>
      <c r="O1061" s="586" t="s">
        <v>4681</v>
      </c>
      <c r="P1061" s="233">
        <f t="shared" si="150"/>
        <v>0</v>
      </c>
      <c r="Q1061" s="233">
        <f t="shared" si="151"/>
        <v>127332</v>
      </c>
      <c r="R1061" s="2">
        <f t="shared" si="152"/>
        <v>3.24</v>
      </c>
      <c r="S1061" s="2">
        <f>(1/9)*cnst_fish!$C$7*(1/cnst_fish!$C$8)^(R1061-1)</f>
        <v>24.507447584927103</v>
      </c>
      <c r="T1061" s="682">
        <f t="shared" si="153"/>
        <v>267628.90733333852</v>
      </c>
      <c r="W1061" s="818"/>
      <c r="X1061" s="818"/>
      <c r="Y1061" s="819"/>
      <c r="Z1061" s="820"/>
      <c r="AA1061" s="820"/>
      <c r="AB1061" s="821"/>
      <c r="AC1061" s="821"/>
      <c r="AD1061" s="253"/>
      <c r="AE1061" s="253"/>
    </row>
    <row r="1062" spans="1:31" ht="14.5">
      <c r="A1062" t="s">
        <v>5008</v>
      </c>
      <c r="B1062" t="s">
        <v>1213</v>
      </c>
      <c r="C1062">
        <v>2548</v>
      </c>
      <c r="D1062" s="581"/>
      <c r="E1062" s="581"/>
      <c r="F1062" s="2">
        <f>(1/S1062)*cnst_fish!$C$6</f>
        <v>0.18158954798513588</v>
      </c>
      <c r="G1062" s="2">
        <f t="shared" si="154"/>
        <v>1</v>
      </c>
      <c r="H1062" s="2">
        <f t="shared" si="154"/>
        <v>0.36449057933102513</v>
      </c>
      <c r="I1062" s="2">
        <f t="shared" si="148"/>
        <v>0</v>
      </c>
      <c r="J1062" s="389">
        <f t="shared" si="149"/>
        <v>0</v>
      </c>
      <c r="L1062" s="721">
        <v>1164</v>
      </c>
      <c r="M1062" s="581"/>
      <c r="N1062" s="585" t="s">
        <v>1739</v>
      </c>
      <c r="O1062" s="586" t="s">
        <v>4681</v>
      </c>
      <c r="P1062" s="233">
        <f t="shared" si="150"/>
        <v>0</v>
      </c>
      <c r="Q1062" s="233">
        <f t="shared" si="151"/>
        <v>1164</v>
      </c>
      <c r="R1062" s="2">
        <f t="shared" si="152"/>
        <v>3.22</v>
      </c>
      <c r="S1062" s="2">
        <f>(1/9)*cnst_fish!$C$7*(1/cnst_fish!$C$8)^(R1062-1)</f>
        <v>23.404430745914333</v>
      </c>
      <c r="T1062" s="682">
        <f t="shared" si="153"/>
        <v>2336.4066877684054</v>
      </c>
      <c r="W1062" s="818"/>
      <c r="X1062" s="818"/>
      <c r="Y1062" s="819"/>
      <c r="Z1062" s="820"/>
      <c r="AA1062" s="820"/>
      <c r="AB1062" s="821"/>
      <c r="AC1062" s="821"/>
      <c r="AD1062" s="253"/>
      <c r="AE1062" s="253"/>
    </row>
    <row r="1063" spans="1:31" ht="14.5">
      <c r="A1063" t="s">
        <v>4626</v>
      </c>
      <c r="B1063" t="s">
        <v>1214</v>
      </c>
      <c r="C1063">
        <v>3361</v>
      </c>
      <c r="D1063" s="581"/>
      <c r="E1063" s="581"/>
      <c r="F1063" s="2">
        <f>(1/S1063)*cnst_fish!$C$6</f>
        <v>0.15455777163012493</v>
      </c>
      <c r="G1063" s="2">
        <f t="shared" si="154"/>
        <v>1</v>
      </c>
      <c r="H1063" s="2">
        <f t="shared" si="154"/>
        <v>0.36449057933102513</v>
      </c>
      <c r="I1063" s="2">
        <f t="shared" si="148"/>
        <v>0</v>
      </c>
      <c r="J1063" s="389">
        <f t="shared" si="149"/>
        <v>0</v>
      </c>
      <c r="L1063" s="721">
        <v>6804</v>
      </c>
      <c r="M1063" s="581"/>
      <c r="N1063" s="585" t="s">
        <v>1738</v>
      </c>
      <c r="O1063" s="586" t="s">
        <v>4681</v>
      </c>
      <c r="P1063" s="233">
        <f t="shared" si="150"/>
        <v>0</v>
      </c>
      <c r="Q1063" s="233">
        <f t="shared" si="151"/>
        <v>6804</v>
      </c>
      <c r="R1063" s="2">
        <f t="shared" si="152"/>
        <v>3.29</v>
      </c>
      <c r="S1063" s="2">
        <f>(1/9)*cnst_fish!$C$7*(1/cnst_fish!$C$8)^(R1063-1)</f>
        <v>27.497808458126283</v>
      </c>
      <c r="T1063" s="682">
        <f t="shared" si="153"/>
        <v>16045.740538387252</v>
      </c>
      <c r="W1063" s="818"/>
      <c r="X1063" s="818"/>
      <c r="Y1063" s="819"/>
      <c r="Z1063" s="820"/>
      <c r="AA1063" s="820"/>
      <c r="AB1063" s="821"/>
      <c r="AC1063" s="821"/>
      <c r="AD1063" s="253"/>
      <c r="AE1063" s="253"/>
    </row>
    <row r="1064" spans="1:31" ht="14.5">
      <c r="A1064" t="s">
        <v>6450</v>
      </c>
      <c r="B1064" t="s">
        <v>6449</v>
      </c>
      <c r="C1064">
        <v>2104</v>
      </c>
      <c r="D1064" s="581"/>
      <c r="E1064" s="581"/>
      <c r="F1064" s="2">
        <f>(1/S1064)*cnst_fish!$C$6</f>
        <v>0.30136363636363639</v>
      </c>
      <c r="G1064" s="2">
        <f t="shared" si="154"/>
        <v>1</v>
      </c>
      <c r="H1064" s="2">
        <f t="shared" si="154"/>
        <v>0.36449057933102513</v>
      </c>
      <c r="I1064" s="2">
        <f t="shared" si="148"/>
        <v>0</v>
      </c>
      <c r="J1064" s="389">
        <f t="shared" si="149"/>
        <v>0</v>
      </c>
      <c r="L1064" s="721"/>
      <c r="M1064" s="581">
        <v>16872</v>
      </c>
      <c r="N1064" s="585" t="s">
        <v>2321</v>
      </c>
      <c r="O1064" s="586" t="s">
        <v>4699</v>
      </c>
      <c r="P1064" s="233">
        <f t="shared" si="150"/>
        <v>0</v>
      </c>
      <c r="Q1064" s="233">
        <f t="shared" si="151"/>
        <v>16872</v>
      </c>
      <c r="R1064" s="2">
        <f t="shared" si="152"/>
        <v>3</v>
      </c>
      <c r="S1064" s="2">
        <f>(1/9)*cnst_fish!$C$7*(1/cnst_fish!$C$8)^(R1064-1)</f>
        <v>14.1025641025641</v>
      </c>
      <c r="T1064" s="682">
        <f t="shared" si="153"/>
        <v>20406.194750890983</v>
      </c>
      <c r="W1064" s="818"/>
      <c r="X1064" s="818"/>
      <c r="Y1064" s="819"/>
      <c r="Z1064" s="820"/>
      <c r="AA1064" s="820"/>
      <c r="AB1064" s="821"/>
      <c r="AC1064" s="821"/>
      <c r="AD1064" s="253"/>
      <c r="AE1064" s="253"/>
    </row>
    <row r="1065" spans="1:31" ht="14.5">
      <c r="A1065" t="s">
        <v>6464</v>
      </c>
      <c r="B1065" t="s">
        <v>6463</v>
      </c>
      <c r="C1065">
        <v>13199</v>
      </c>
      <c r="D1065" s="581"/>
      <c r="E1065" s="581"/>
      <c r="F1065" s="2">
        <f>(1/S1065)*cnst_fish!$C$6</f>
        <v>0.23938164528281752</v>
      </c>
      <c r="G1065" s="2">
        <f t="shared" si="154"/>
        <v>1</v>
      </c>
      <c r="H1065" s="2">
        <f t="shared" si="154"/>
        <v>0.36449057933102513</v>
      </c>
      <c r="I1065" s="2">
        <f t="shared" si="148"/>
        <v>0</v>
      </c>
      <c r="J1065" s="389">
        <f t="shared" si="149"/>
        <v>0</v>
      </c>
      <c r="L1065" s="721"/>
      <c r="M1065" s="581">
        <v>62</v>
      </c>
      <c r="N1065" s="585" t="s">
        <v>2321</v>
      </c>
      <c r="O1065" s="586" t="s">
        <v>4699</v>
      </c>
      <c r="P1065" s="233">
        <f t="shared" si="150"/>
        <v>0</v>
      </c>
      <c r="Q1065" s="233">
        <f t="shared" si="151"/>
        <v>62</v>
      </c>
      <c r="R1065" s="2">
        <f t="shared" si="152"/>
        <v>3.1</v>
      </c>
      <c r="S1065" s="2">
        <f>(1/9)*cnst_fish!$C$7*(1/cnst_fish!$C$8)^(R1065-1)</f>
        <v>17.754076320174157</v>
      </c>
      <c r="T1065" s="682">
        <f t="shared" si="153"/>
        <v>94.403294337060188</v>
      </c>
      <c r="W1065" s="818"/>
      <c r="X1065" s="818"/>
      <c r="Y1065" s="819"/>
      <c r="Z1065" s="820"/>
      <c r="AA1065" s="820"/>
      <c r="AB1065" s="821"/>
      <c r="AC1065" s="821"/>
      <c r="AD1065" s="253"/>
      <c r="AE1065" s="253"/>
    </row>
    <row r="1066" spans="1:31" ht="14.5">
      <c r="A1066" t="s">
        <v>921</v>
      </c>
      <c r="B1066" t="s">
        <v>5319</v>
      </c>
      <c r="C1066">
        <v>3616</v>
      </c>
      <c r="D1066" s="581"/>
      <c r="E1066" s="581"/>
      <c r="F1066" s="2">
        <f>(1/S1066)*cnst_fish!$C$6</f>
        <v>1.5103960722494616</v>
      </c>
      <c r="G1066" s="2">
        <f t="shared" si="154"/>
        <v>1</v>
      </c>
      <c r="H1066" s="2">
        <f t="shared" si="154"/>
        <v>0.36449057933102513</v>
      </c>
      <c r="I1066" s="2">
        <f t="shared" si="148"/>
        <v>0</v>
      </c>
      <c r="J1066" s="389">
        <f t="shared" si="149"/>
        <v>0</v>
      </c>
      <c r="L1066" s="721">
        <v>871</v>
      </c>
      <c r="M1066" s="581"/>
      <c r="N1066" s="585" t="s">
        <v>2311</v>
      </c>
      <c r="O1066" s="586" t="s">
        <v>4680</v>
      </c>
      <c r="P1066" s="233">
        <f t="shared" si="150"/>
        <v>0</v>
      </c>
      <c r="Q1066" s="233">
        <f t="shared" si="151"/>
        <v>871</v>
      </c>
      <c r="R1066" s="2">
        <f t="shared" si="152"/>
        <v>2.2999999999999998</v>
      </c>
      <c r="S1066" s="2">
        <f>(1/9)*cnst_fish!$C$7*(1/cnst_fish!$C$8)^(R1066-1)</f>
        <v>2.8138314698279068</v>
      </c>
      <c r="T1066" s="682">
        <f t="shared" si="153"/>
        <v>210.19075753057729</v>
      </c>
      <c r="W1066" s="818"/>
      <c r="X1066" s="818"/>
      <c r="Y1066" s="819"/>
      <c r="Z1066" s="820"/>
      <c r="AA1066" s="820"/>
      <c r="AB1066" s="821"/>
      <c r="AC1066" s="821"/>
      <c r="AD1066" s="253"/>
      <c r="AE1066" s="253"/>
    </row>
    <row r="1067" spans="1:31" ht="14.5">
      <c r="A1067" t="s">
        <v>8318</v>
      </c>
      <c r="B1067" t="s">
        <v>8319</v>
      </c>
      <c r="C1067">
        <v>19305</v>
      </c>
      <c r="D1067" s="581"/>
      <c r="E1067" s="581"/>
      <c r="F1067" s="2">
        <f>(1/S1067)*cnst_fish!$C$6</f>
        <v>0.11997502458044032</v>
      </c>
      <c r="G1067" s="2">
        <f t="shared" si="154"/>
        <v>1</v>
      </c>
      <c r="H1067" s="2">
        <f t="shared" si="154"/>
        <v>0.36449057933102513</v>
      </c>
      <c r="I1067" s="2">
        <f t="shared" si="148"/>
        <v>0</v>
      </c>
      <c r="J1067" s="389">
        <f t="shared" si="149"/>
        <v>0</v>
      </c>
      <c r="L1067" s="721">
        <v>0</v>
      </c>
      <c r="M1067" s="581"/>
      <c r="N1067" s="585" t="s">
        <v>1738</v>
      </c>
      <c r="O1067" s="586" t="s">
        <v>4681</v>
      </c>
      <c r="P1067" s="233">
        <f t="shared" si="150"/>
        <v>0</v>
      </c>
      <c r="Q1067" s="233">
        <f t="shared" si="151"/>
        <v>0</v>
      </c>
      <c r="R1067" s="2">
        <f t="shared" si="152"/>
        <v>3.4</v>
      </c>
      <c r="S1067" s="2">
        <f>(1/9)*cnst_fish!$C$7*(1/cnst_fish!$C$8)^(R1067-1)</f>
        <v>35.424039418724846</v>
      </c>
      <c r="T1067" s="682">
        <f t="shared" si="153"/>
        <v>0</v>
      </c>
      <c r="W1067" s="818"/>
      <c r="X1067" s="818"/>
      <c r="Y1067" s="819"/>
      <c r="Z1067" s="820"/>
      <c r="AA1067" s="820"/>
      <c r="AB1067" s="821"/>
      <c r="AC1067" s="821"/>
      <c r="AD1067" s="253"/>
      <c r="AE1067" s="253"/>
    </row>
    <row r="1068" spans="1:31" ht="14.5">
      <c r="A1068" t="s">
        <v>2590</v>
      </c>
      <c r="B1068" t="s">
        <v>5132</v>
      </c>
      <c r="C1068">
        <v>18570</v>
      </c>
      <c r="D1068" s="581"/>
      <c r="E1068" s="581"/>
      <c r="F1068" s="2">
        <f>(1/S1068)*cnst_fish!$C$6</f>
        <v>1.5103960722494616</v>
      </c>
      <c r="G1068" s="2">
        <f t="shared" ref="G1068:H1087" si="155">G$7</f>
        <v>1</v>
      </c>
      <c r="H1068" s="2">
        <f t="shared" si="155"/>
        <v>0.36449057933102513</v>
      </c>
      <c r="I1068" s="2">
        <f t="shared" si="148"/>
        <v>0</v>
      </c>
      <c r="J1068" s="389">
        <f t="shared" si="149"/>
        <v>0</v>
      </c>
      <c r="L1068" s="721">
        <v>3880</v>
      </c>
      <c r="M1068" s="581"/>
      <c r="N1068" s="585" t="s">
        <v>2311</v>
      </c>
      <c r="O1068" s="586" t="s">
        <v>4680</v>
      </c>
      <c r="P1068" s="233">
        <f t="shared" si="150"/>
        <v>0</v>
      </c>
      <c r="Q1068" s="233">
        <f t="shared" si="151"/>
        <v>3880</v>
      </c>
      <c r="R1068" s="2">
        <f t="shared" si="152"/>
        <v>2.2999999999999998</v>
      </c>
      <c r="S1068" s="2">
        <f>(1/9)*cnst_fish!$C$7*(1/cnst_fish!$C$8)^(R1068-1)</f>
        <v>2.8138314698279068</v>
      </c>
      <c r="T1068" s="682">
        <f t="shared" si="153"/>
        <v>936.32622183540752</v>
      </c>
      <c r="W1068" s="818"/>
      <c r="X1068" s="818"/>
      <c r="Y1068" s="819"/>
      <c r="Z1068" s="820"/>
      <c r="AA1068" s="820"/>
      <c r="AB1068" s="821"/>
      <c r="AC1068" s="821"/>
      <c r="AD1068" s="253"/>
      <c r="AE1068" s="253"/>
    </row>
    <row r="1069" spans="1:31" ht="14.5">
      <c r="A1069" t="s">
        <v>2476</v>
      </c>
      <c r="B1069" t="s">
        <v>5133</v>
      </c>
      <c r="C1069">
        <v>2641</v>
      </c>
      <c r="D1069" s="581"/>
      <c r="E1069" s="581"/>
      <c r="F1069" s="2">
        <f>(1/S1069)*cnst_fish!$C$6</f>
        <v>1.5103960722494616</v>
      </c>
      <c r="G1069" s="2">
        <f t="shared" si="155"/>
        <v>1</v>
      </c>
      <c r="H1069" s="2">
        <f t="shared" si="155"/>
        <v>0.36449057933102513</v>
      </c>
      <c r="I1069" s="2">
        <f t="shared" si="148"/>
        <v>0</v>
      </c>
      <c r="J1069" s="389">
        <f t="shared" si="149"/>
        <v>0</v>
      </c>
      <c r="L1069" s="721">
        <v>0</v>
      </c>
      <c r="M1069" s="581"/>
      <c r="N1069" s="585" t="s">
        <v>2311</v>
      </c>
      <c r="O1069" s="586" t="s">
        <v>4680</v>
      </c>
      <c r="P1069" s="233">
        <f t="shared" si="150"/>
        <v>0</v>
      </c>
      <c r="Q1069" s="233">
        <f t="shared" si="151"/>
        <v>0</v>
      </c>
      <c r="R1069" s="2">
        <f t="shared" si="152"/>
        <v>2.2999999999999998</v>
      </c>
      <c r="S1069" s="2">
        <f>(1/9)*cnst_fish!$C$7*(1/cnst_fish!$C$8)^(R1069-1)</f>
        <v>2.8138314698279068</v>
      </c>
      <c r="T1069" s="682">
        <f t="shared" si="153"/>
        <v>0</v>
      </c>
      <c r="W1069" s="818"/>
      <c r="X1069" s="818"/>
      <c r="Y1069" s="819"/>
      <c r="Z1069" s="820"/>
      <c r="AA1069" s="820"/>
      <c r="AB1069" s="821"/>
      <c r="AC1069" s="821"/>
      <c r="AD1069" s="253"/>
      <c r="AE1069" s="253"/>
    </row>
    <row r="1070" spans="1:31" ht="14.5">
      <c r="A1070" t="s">
        <v>1460</v>
      </c>
      <c r="B1070" t="s">
        <v>2665</v>
      </c>
      <c r="C1070">
        <v>3471</v>
      </c>
      <c r="D1070" s="581"/>
      <c r="E1070" s="581"/>
      <c r="F1070" s="2">
        <f>(1/S1070)*cnst_fish!$C$6</f>
        <v>1.5103960722494616</v>
      </c>
      <c r="G1070" s="2">
        <f t="shared" si="155"/>
        <v>1</v>
      </c>
      <c r="H1070" s="2">
        <f t="shared" si="155"/>
        <v>0.36449057933102513</v>
      </c>
      <c r="I1070" s="2">
        <f t="shared" si="148"/>
        <v>0</v>
      </c>
      <c r="J1070" s="389">
        <f t="shared" si="149"/>
        <v>0</v>
      </c>
      <c r="L1070" s="721">
        <v>7403</v>
      </c>
      <c r="M1070" s="581"/>
      <c r="N1070" s="585" t="s">
        <v>2311</v>
      </c>
      <c r="O1070" s="586" t="s">
        <v>4680</v>
      </c>
      <c r="P1070" s="233">
        <f t="shared" si="150"/>
        <v>0</v>
      </c>
      <c r="Q1070" s="233">
        <f t="shared" si="151"/>
        <v>7403</v>
      </c>
      <c r="R1070" s="2">
        <f t="shared" si="152"/>
        <v>2.2999999999999998</v>
      </c>
      <c r="S1070" s="2">
        <f>(1/9)*cnst_fish!$C$7*(1/cnst_fish!$C$8)^(R1070-1)</f>
        <v>2.8138314698279068</v>
      </c>
      <c r="T1070" s="682">
        <f t="shared" si="153"/>
        <v>1786.5007784143097</v>
      </c>
      <c r="W1070" s="818"/>
      <c r="X1070" s="818"/>
      <c r="Y1070" s="819"/>
      <c r="Z1070" s="820"/>
      <c r="AA1070" s="820"/>
      <c r="AB1070" s="821"/>
      <c r="AC1070" s="821"/>
      <c r="AD1070" s="253"/>
      <c r="AE1070" s="253"/>
    </row>
    <row r="1071" spans="1:31" ht="14.5">
      <c r="A1071" t="s">
        <v>5489</v>
      </c>
      <c r="B1071" t="s">
        <v>5490</v>
      </c>
      <c r="C1071">
        <v>3470</v>
      </c>
      <c r="D1071" s="581"/>
      <c r="E1071" s="581"/>
      <c r="F1071" s="2">
        <f>(1/S1071)*cnst_fish!$C$6</f>
        <v>3.0136363636363641</v>
      </c>
      <c r="G1071" s="2">
        <f t="shared" si="155"/>
        <v>1</v>
      </c>
      <c r="H1071" s="2">
        <f t="shared" si="155"/>
        <v>0.36449057933102513</v>
      </c>
      <c r="I1071" s="2">
        <f t="shared" si="148"/>
        <v>0</v>
      </c>
      <c r="J1071" s="389">
        <f t="shared" si="149"/>
        <v>0</v>
      </c>
      <c r="L1071" s="721">
        <v>0</v>
      </c>
      <c r="M1071" s="581"/>
      <c r="N1071" s="585" t="s">
        <v>2311</v>
      </c>
      <c r="O1071" s="586" t="s">
        <v>4680</v>
      </c>
      <c r="P1071" s="233">
        <f t="shared" si="150"/>
        <v>0</v>
      </c>
      <c r="Q1071" s="233">
        <f t="shared" si="151"/>
        <v>0</v>
      </c>
      <c r="R1071" s="2">
        <f t="shared" si="152"/>
        <v>2</v>
      </c>
      <c r="S1071" s="2">
        <f>(1/9)*cnst_fish!$C$7*(1/cnst_fish!$C$8)^(R1071-1)</f>
        <v>1.4102564102564099</v>
      </c>
      <c r="T1071" s="682">
        <f t="shared" si="153"/>
        <v>0</v>
      </c>
      <c r="W1071" s="818"/>
      <c r="X1071" s="818"/>
      <c r="Y1071" s="819"/>
      <c r="Z1071" s="820"/>
      <c r="AA1071" s="820"/>
      <c r="AB1071" s="821"/>
      <c r="AC1071" s="821"/>
      <c r="AD1071" s="253"/>
      <c r="AE1071" s="253"/>
    </row>
    <row r="1072" spans="1:31" ht="14.5">
      <c r="A1072" t="s">
        <v>2291</v>
      </c>
      <c r="B1072" t="s">
        <v>5134</v>
      </c>
      <c r="C1072">
        <v>3469</v>
      </c>
      <c r="D1072" s="581"/>
      <c r="E1072" s="581"/>
      <c r="F1072" s="2">
        <f>(1/S1072)*cnst_fish!$C$6</f>
        <v>1.5103960722494616</v>
      </c>
      <c r="G1072" s="2">
        <f t="shared" si="155"/>
        <v>1</v>
      </c>
      <c r="H1072" s="2">
        <f t="shared" si="155"/>
        <v>0.36449057933102513</v>
      </c>
      <c r="I1072" s="2">
        <f t="shared" si="148"/>
        <v>0</v>
      </c>
      <c r="J1072" s="389">
        <f t="shared" si="149"/>
        <v>0</v>
      </c>
      <c r="L1072" s="721">
        <v>0.01</v>
      </c>
      <c r="M1072" s="581"/>
      <c r="N1072" s="585" t="s">
        <v>2311</v>
      </c>
      <c r="O1072" s="586" t="s">
        <v>4680</v>
      </c>
      <c r="P1072" s="233">
        <f t="shared" si="150"/>
        <v>0</v>
      </c>
      <c r="Q1072" s="233">
        <f t="shared" si="151"/>
        <v>0.01</v>
      </c>
      <c r="R1072" s="2">
        <f t="shared" si="152"/>
        <v>2.2999999999999998</v>
      </c>
      <c r="S1072" s="2">
        <f>(1/9)*cnst_fish!$C$7*(1/cnst_fish!$C$8)^(R1072-1)</f>
        <v>2.8138314698279068</v>
      </c>
      <c r="T1072" s="682">
        <f t="shared" si="153"/>
        <v>2.4132119119469266E-3</v>
      </c>
      <c r="W1072" s="818"/>
      <c r="X1072" s="818"/>
      <c r="Y1072" s="819"/>
      <c r="Z1072" s="820"/>
      <c r="AA1072" s="820"/>
      <c r="AB1072" s="821"/>
      <c r="AC1072" s="821"/>
      <c r="AD1072" s="253"/>
      <c r="AE1072" s="253"/>
    </row>
    <row r="1073" spans="1:31" ht="14.5">
      <c r="A1073" t="s">
        <v>2477</v>
      </c>
      <c r="B1073" t="s">
        <v>5059</v>
      </c>
      <c r="C1073">
        <v>2391</v>
      </c>
      <c r="D1073" s="581"/>
      <c r="E1073" s="581"/>
      <c r="F1073" s="2">
        <f>(1/S1073)*cnst_fish!$C$6</f>
        <v>0.36231878188697486</v>
      </c>
      <c r="G1073" s="2">
        <f t="shared" si="155"/>
        <v>1</v>
      </c>
      <c r="H1073" s="2">
        <f t="shared" si="155"/>
        <v>0.36449057933102513</v>
      </c>
      <c r="I1073" s="2">
        <f t="shared" si="148"/>
        <v>0</v>
      </c>
      <c r="J1073" s="389">
        <f t="shared" si="149"/>
        <v>0</v>
      </c>
      <c r="L1073" s="721">
        <v>0</v>
      </c>
      <c r="M1073" s="581"/>
      <c r="N1073" s="585" t="s">
        <v>1738</v>
      </c>
      <c r="O1073" s="586" t="s">
        <v>4681</v>
      </c>
      <c r="P1073" s="233">
        <f t="shared" si="150"/>
        <v>0</v>
      </c>
      <c r="Q1073" s="233">
        <f t="shared" si="151"/>
        <v>0</v>
      </c>
      <c r="R1073" s="2">
        <f t="shared" si="152"/>
        <v>2.92</v>
      </c>
      <c r="S1073" s="2">
        <f>(1/9)*cnst_fish!$C$7*(1/cnst_fish!$C$8)^(R1073-1)</f>
        <v>11.730001900165874</v>
      </c>
      <c r="T1073" s="682">
        <f t="shared" si="153"/>
        <v>0</v>
      </c>
      <c r="W1073" s="818"/>
      <c r="X1073" s="818"/>
      <c r="Y1073" s="819"/>
      <c r="Z1073" s="820"/>
      <c r="AA1073" s="820"/>
      <c r="AB1073" s="821"/>
      <c r="AC1073" s="821"/>
      <c r="AD1073" s="253"/>
      <c r="AE1073" s="253"/>
    </row>
    <row r="1074" spans="1:31" ht="14.5">
      <c r="A1074" t="s">
        <v>2121</v>
      </c>
      <c r="B1074" t="s">
        <v>4354</v>
      </c>
      <c r="C1074">
        <v>2392</v>
      </c>
      <c r="D1074" s="581"/>
      <c r="E1074" s="581"/>
      <c r="F1074" s="2">
        <f>(1/S1074)*cnst_fish!$C$6</f>
        <v>0.11457525898206007</v>
      </c>
      <c r="G1074" s="2">
        <f t="shared" si="155"/>
        <v>1</v>
      </c>
      <c r="H1074" s="2">
        <f t="shared" si="155"/>
        <v>0.36449057933102513</v>
      </c>
      <c r="I1074" s="2">
        <f t="shared" si="148"/>
        <v>0</v>
      </c>
      <c r="J1074" s="389">
        <f t="shared" si="149"/>
        <v>0</v>
      </c>
      <c r="L1074" s="721">
        <v>1290</v>
      </c>
      <c r="M1074" s="581"/>
      <c r="N1074" s="585" t="s">
        <v>1738</v>
      </c>
      <c r="O1074" s="586" t="s">
        <v>4681</v>
      </c>
      <c r="P1074" s="233">
        <f t="shared" si="150"/>
        <v>0</v>
      </c>
      <c r="Q1074" s="233">
        <f t="shared" si="151"/>
        <v>1290</v>
      </c>
      <c r="R1074" s="2">
        <f t="shared" si="152"/>
        <v>3.42</v>
      </c>
      <c r="S1074" s="2">
        <f>(1/9)*cnst_fish!$C$7*(1/cnst_fish!$C$8)^(R1074-1)</f>
        <v>37.093522962627169</v>
      </c>
      <c r="T1074" s="682">
        <f t="shared" si="153"/>
        <v>4103.7903951903272</v>
      </c>
      <c r="W1074" s="818"/>
      <c r="X1074" s="818"/>
      <c r="Y1074" s="819"/>
      <c r="Z1074" s="820"/>
      <c r="AA1074" s="820"/>
      <c r="AB1074" s="821"/>
      <c r="AC1074" s="821"/>
      <c r="AD1074" s="253"/>
      <c r="AE1074" s="253"/>
    </row>
    <row r="1075" spans="1:31" ht="14.5">
      <c r="A1075" t="s">
        <v>1222</v>
      </c>
      <c r="B1075" t="s">
        <v>4355</v>
      </c>
      <c r="C1075">
        <v>2390</v>
      </c>
      <c r="D1075" s="581"/>
      <c r="E1075" s="581"/>
      <c r="F1075" s="2">
        <f>(1/S1075)*cnst_fish!$C$6</f>
        <v>0.17341667202478855</v>
      </c>
      <c r="G1075" s="2">
        <f t="shared" si="155"/>
        <v>1</v>
      </c>
      <c r="H1075" s="2">
        <f t="shared" si="155"/>
        <v>0.36449057933102513</v>
      </c>
      <c r="I1075" s="2">
        <f t="shared" si="148"/>
        <v>0</v>
      </c>
      <c r="J1075" s="389">
        <f t="shared" si="149"/>
        <v>0</v>
      </c>
      <c r="L1075" s="721">
        <v>0</v>
      </c>
      <c r="M1075" s="581"/>
      <c r="N1075" s="585" t="s">
        <v>1738</v>
      </c>
      <c r="O1075" s="586" t="s">
        <v>4681</v>
      </c>
      <c r="P1075" s="233">
        <f t="shared" si="150"/>
        <v>0</v>
      </c>
      <c r="Q1075" s="233">
        <f t="shared" si="151"/>
        <v>0</v>
      </c>
      <c r="R1075" s="2">
        <f t="shared" si="152"/>
        <v>3.24</v>
      </c>
      <c r="S1075" s="2">
        <f>(1/9)*cnst_fish!$C$7*(1/cnst_fish!$C$8)^(R1075-1)</f>
        <v>24.507447584927103</v>
      </c>
      <c r="T1075" s="682">
        <f t="shared" si="153"/>
        <v>0</v>
      </c>
      <c r="W1075" s="818"/>
      <c r="X1075" s="818"/>
      <c r="Y1075" s="819"/>
      <c r="Z1075" s="820"/>
      <c r="AA1075" s="820"/>
      <c r="AB1075" s="821"/>
      <c r="AC1075" s="821"/>
      <c r="AD1075" s="253"/>
      <c r="AE1075" s="253"/>
    </row>
    <row r="1076" spans="1:31" ht="14.5">
      <c r="A1076" t="s">
        <v>4234</v>
      </c>
      <c r="B1076" t="s">
        <v>8653</v>
      </c>
      <c r="C1076">
        <v>19044</v>
      </c>
      <c r="D1076" s="581"/>
      <c r="E1076" s="581"/>
      <c r="F1076" s="2">
        <f>(1/S1076)*cnst_fish!$C$6</f>
        <v>1.9014759972289439E-2</v>
      </c>
      <c r="G1076" s="2">
        <f t="shared" si="155"/>
        <v>1</v>
      </c>
      <c r="H1076" s="2">
        <f t="shared" si="155"/>
        <v>0.36449057933102513</v>
      </c>
      <c r="I1076" s="2">
        <f t="shared" si="148"/>
        <v>0</v>
      </c>
      <c r="J1076" s="389">
        <f t="shared" si="149"/>
        <v>0</v>
      </c>
      <c r="L1076" s="721"/>
      <c r="M1076" s="581"/>
      <c r="N1076" s="585" t="s">
        <v>1738</v>
      </c>
      <c r="O1076" s="586" t="s">
        <v>4685</v>
      </c>
      <c r="P1076" s="233">
        <f t="shared" si="150"/>
        <v>0</v>
      </c>
      <c r="Q1076" s="233">
        <f t="shared" si="151"/>
        <v>0</v>
      </c>
      <c r="R1076" s="2">
        <f t="shared" si="152"/>
        <v>4.2</v>
      </c>
      <c r="S1076" s="2">
        <f>(1/9)*cnst_fish!$C$7*(1/cnst_fish!$C$8)^(R1076-1)</f>
        <v>223.51057842400343</v>
      </c>
      <c r="T1076" s="682">
        <f t="shared" si="153"/>
        <v>0</v>
      </c>
      <c r="W1076" s="818"/>
      <c r="X1076" s="818"/>
      <c r="Y1076" s="819"/>
      <c r="Z1076" s="820"/>
      <c r="AA1076" s="820"/>
      <c r="AB1076" s="821"/>
      <c r="AC1076" s="821"/>
      <c r="AD1076" s="253"/>
      <c r="AE1076" s="253"/>
    </row>
    <row r="1077" spans="1:31" ht="14.5">
      <c r="A1077" t="s">
        <v>1527</v>
      </c>
      <c r="B1077" t="s">
        <v>374</v>
      </c>
      <c r="C1077">
        <v>3499</v>
      </c>
      <c r="D1077" s="581"/>
      <c r="E1077" s="581"/>
      <c r="F1077" s="2">
        <f>(1/S1077)*cnst_fish!$C$6</f>
        <v>2.3938164528281742</v>
      </c>
      <c r="G1077" s="2">
        <f t="shared" si="155"/>
        <v>1</v>
      </c>
      <c r="H1077" s="2">
        <f t="shared" si="155"/>
        <v>0.36449057933102513</v>
      </c>
      <c r="I1077" s="2">
        <f t="shared" si="148"/>
        <v>0</v>
      </c>
      <c r="J1077" s="389">
        <f t="shared" si="149"/>
        <v>0</v>
      </c>
      <c r="L1077" s="721">
        <v>50</v>
      </c>
      <c r="M1077" s="581"/>
      <c r="N1077" s="585" t="s">
        <v>1736</v>
      </c>
      <c r="O1077" s="586" t="s">
        <v>4691</v>
      </c>
      <c r="P1077" s="233">
        <f t="shared" si="150"/>
        <v>0</v>
      </c>
      <c r="Q1077" s="233">
        <f t="shared" si="151"/>
        <v>50</v>
      </c>
      <c r="R1077" s="2">
        <f t="shared" si="152"/>
        <v>2.1</v>
      </c>
      <c r="S1077" s="2">
        <f>(1/9)*cnst_fish!$C$7*(1/cnst_fish!$C$8)^(R1077-1)</f>
        <v>1.7754076320174161</v>
      </c>
      <c r="T1077" s="682">
        <f t="shared" si="153"/>
        <v>7.6131688981500183</v>
      </c>
      <c r="W1077" s="818"/>
      <c r="X1077" s="818"/>
      <c r="Y1077" s="819"/>
      <c r="Z1077" s="820"/>
      <c r="AA1077" s="820"/>
      <c r="AB1077" s="821"/>
      <c r="AC1077" s="821"/>
      <c r="AD1077" s="253"/>
      <c r="AE1077" s="253"/>
    </row>
    <row r="1078" spans="1:31" ht="14.5">
      <c r="A1078" t="s">
        <v>3161</v>
      </c>
      <c r="B1078" t="s">
        <v>375</v>
      </c>
      <c r="C1078">
        <v>2660</v>
      </c>
      <c r="D1078" s="581"/>
      <c r="E1078" s="581"/>
      <c r="F1078" s="2">
        <f>(1/S1078)*cnst_fish!$C$6</f>
        <v>2.3938164528281742</v>
      </c>
      <c r="G1078" s="2">
        <f t="shared" si="155"/>
        <v>1</v>
      </c>
      <c r="H1078" s="2">
        <f t="shared" si="155"/>
        <v>0.36449057933102513</v>
      </c>
      <c r="I1078" s="2">
        <f t="shared" si="148"/>
        <v>0</v>
      </c>
      <c r="J1078" s="389">
        <f t="shared" si="149"/>
        <v>0</v>
      </c>
      <c r="L1078" s="721">
        <v>518</v>
      </c>
      <c r="M1078" s="581"/>
      <c r="N1078" s="585" t="s">
        <v>1736</v>
      </c>
      <c r="O1078" s="586" t="s">
        <v>4691</v>
      </c>
      <c r="P1078" s="233">
        <f t="shared" si="150"/>
        <v>0</v>
      </c>
      <c r="Q1078" s="233">
        <f t="shared" si="151"/>
        <v>518</v>
      </c>
      <c r="R1078" s="2">
        <f t="shared" si="152"/>
        <v>2.1</v>
      </c>
      <c r="S1078" s="2">
        <f>(1/9)*cnst_fish!$C$7*(1/cnst_fish!$C$8)^(R1078-1)</f>
        <v>1.7754076320174161</v>
      </c>
      <c r="T1078" s="682">
        <f t="shared" si="153"/>
        <v>78.872429784834196</v>
      </c>
      <c r="W1078" s="818"/>
      <c r="X1078" s="818"/>
      <c r="Y1078" s="819"/>
      <c r="Z1078" s="820"/>
      <c r="AA1078" s="820"/>
      <c r="AB1078" s="821"/>
      <c r="AC1078" s="821"/>
      <c r="AD1078" s="253"/>
      <c r="AE1078" s="253"/>
    </row>
    <row r="1079" spans="1:31" ht="14.5">
      <c r="A1079" t="s">
        <v>6196</v>
      </c>
      <c r="B1079" t="s">
        <v>6195</v>
      </c>
      <c r="C1079">
        <v>19844</v>
      </c>
      <c r="D1079" s="581"/>
      <c r="E1079" s="581"/>
      <c r="F1079" s="2">
        <f>(1/S1079)*cnst_fish!$C$6</f>
        <v>0.75699122913220485</v>
      </c>
      <c r="G1079" s="2">
        <f t="shared" si="155"/>
        <v>1</v>
      </c>
      <c r="H1079" s="2">
        <f t="shared" si="155"/>
        <v>0.36449057933102513</v>
      </c>
      <c r="I1079" s="2">
        <f t="shared" si="148"/>
        <v>0</v>
      </c>
      <c r="J1079" s="389">
        <f t="shared" si="149"/>
        <v>0</v>
      </c>
      <c r="L1079" s="721"/>
      <c r="M1079" s="581">
        <v>5291</v>
      </c>
      <c r="N1079" s="585" t="s">
        <v>1738</v>
      </c>
      <c r="O1079" s="586" t="s">
        <v>4681</v>
      </c>
      <c r="P1079" s="233">
        <f t="shared" si="150"/>
        <v>0</v>
      </c>
      <c r="Q1079" s="233">
        <f t="shared" si="151"/>
        <v>5291</v>
      </c>
      <c r="R1079" s="2">
        <f t="shared" si="152"/>
        <v>2.6</v>
      </c>
      <c r="S1079" s="2">
        <f>(1/9)*cnst_fish!$C$7*(1/cnst_fish!$C$8)^(R1079-1)</f>
        <v>5.6143318924211183</v>
      </c>
      <c r="T1079" s="682">
        <f t="shared" si="153"/>
        <v>2547.6116248417557</v>
      </c>
      <c r="W1079" s="818"/>
      <c r="X1079" s="818"/>
      <c r="Y1079" s="819"/>
      <c r="Z1079" s="820"/>
      <c r="AA1079" s="820"/>
      <c r="AB1079" s="821"/>
      <c r="AC1079" s="821"/>
      <c r="AD1079" s="253"/>
      <c r="AE1079" s="253"/>
    </row>
    <row r="1080" spans="1:31" ht="14.5">
      <c r="A1080" t="s">
        <v>3533</v>
      </c>
      <c r="B1080" t="s">
        <v>4356</v>
      </c>
      <c r="C1080">
        <v>3055</v>
      </c>
      <c r="D1080" s="581"/>
      <c r="E1080" s="581"/>
      <c r="F1080" s="2">
        <f>(1/S1080)*cnst_fish!$C$6</f>
        <v>1.044938781136493</v>
      </c>
      <c r="G1080" s="2">
        <f t="shared" si="155"/>
        <v>1</v>
      </c>
      <c r="H1080" s="2">
        <f t="shared" si="155"/>
        <v>0.36449057933102513</v>
      </c>
      <c r="I1080" s="2">
        <f t="shared" si="148"/>
        <v>0</v>
      </c>
      <c r="J1080" s="389">
        <f t="shared" si="149"/>
        <v>0</v>
      </c>
      <c r="L1080" s="721">
        <v>2722</v>
      </c>
      <c r="M1080" s="581"/>
      <c r="N1080" s="585" t="s">
        <v>1738</v>
      </c>
      <c r="O1080" s="586" t="s">
        <v>4681</v>
      </c>
      <c r="P1080" s="233">
        <f t="shared" si="150"/>
        <v>0</v>
      </c>
      <c r="Q1080" s="233">
        <f t="shared" si="151"/>
        <v>2722</v>
      </c>
      <c r="R1080" s="2">
        <f t="shared" si="152"/>
        <v>2.46</v>
      </c>
      <c r="S1080" s="2">
        <f>(1/9)*cnst_fish!$C$7*(1/cnst_fish!$C$8)^(R1080-1)</f>
        <v>4.0672239146657265</v>
      </c>
      <c r="T1080" s="682">
        <f t="shared" si="153"/>
        <v>949.47510308687993</v>
      </c>
      <c r="W1080" s="818"/>
      <c r="X1080" s="818"/>
      <c r="Y1080" s="819"/>
      <c r="Z1080" s="820"/>
      <c r="AA1080" s="820"/>
      <c r="AB1080" s="821"/>
      <c r="AC1080" s="821"/>
      <c r="AD1080" s="253"/>
      <c r="AE1080" s="253"/>
    </row>
    <row r="1081" spans="1:31" ht="14.5">
      <c r="A1081" t="s">
        <v>4572</v>
      </c>
      <c r="B1081" t="s">
        <v>4357</v>
      </c>
      <c r="C1081">
        <v>18864</v>
      </c>
      <c r="D1081" s="581"/>
      <c r="E1081" s="581"/>
      <c r="F1081" s="2">
        <f>(1/S1081)*cnst_fish!$C$6</f>
        <v>0.83002437741509261</v>
      </c>
      <c r="G1081" s="2">
        <f t="shared" si="155"/>
        <v>1</v>
      </c>
      <c r="H1081" s="2">
        <f t="shared" si="155"/>
        <v>0.36449057933102513</v>
      </c>
      <c r="I1081" s="2">
        <f t="shared" si="148"/>
        <v>0</v>
      </c>
      <c r="J1081" s="389">
        <f t="shared" si="149"/>
        <v>0</v>
      </c>
      <c r="L1081" s="721">
        <v>1850</v>
      </c>
      <c r="M1081" s="581"/>
      <c r="N1081" s="585" t="s">
        <v>1738</v>
      </c>
      <c r="O1081" s="586" t="s">
        <v>4681</v>
      </c>
      <c r="P1081" s="233">
        <f t="shared" si="150"/>
        <v>0</v>
      </c>
      <c r="Q1081" s="233">
        <f t="shared" si="151"/>
        <v>1850</v>
      </c>
      <c r="R1081" s="2">
        <f t="shared" si="152"/>
        <v>2.56</v>
      </c>
      <c r="S1081" s="2">
        <f>(1/9)*cnst_fish!$C$7*(1/cnst_fish!$C$8)^(R1081-1)</f>
        <v>5.1203315416296364</v>
      </c>
      <c r="T1081" s="682">
        <f t="shared" si="153"/>
        <v>812.39490081286772</v>
      </c>
      <c r="W1081" s="818"/>
      <c r="X1081" s="818"/>
      <c r="Y1081" s="819"/>
      <c r="Z1081" s="820"/>
      <c r="AA1081" s="820"/>
      <c r="AB1081" s="821"/>
      <c r="AC1081" s="821"/>
      <c r="AD1081" s="253"/>
      <c r="AE1081" s="253"/>
    </row>
    <row r="1082" spans="1:31" ht="14.5">
      <c r="A1082" t="s">
        <v>4275</v>
      </c>
      <c r="B1082" t="s">
        <v>8320</v>
      </c>
      <c r="C1082">
        <v>3054</v>
      </c>
      <c r="D1082" s="581"/>
      <c r="E1082" s="581"/>
      <c r="F1082" s="2">
        <f>(1/S1082)*cnst_fish!$C$6</f>
        <v>1.5103960722494616</v>
      </c>
      <c r="G1082" s="2">
        <f t="shared" si="155"/>
        <v>1</v>
      </c>
      <c r="H1082" s="2">
        <f t="shared" si="155"/>
        <v>0.36449057933102513</v>
      </c>
      <c r="I1082" s="2">
        <f t="shared" si="148"/>
        <v>0</v>
      </c>
      <c r="J1082" s="389">
        <f t="shared" si="149"/>
        <v>0</v>
      </c>
      <c r="L1082" s="721">
        <v>429</v>
      </c>
      <c r="M1082" s="581">
        <v>20</v>
      </c>
      <c r="N1082" s="585" t="s">
        <v>1738</v>
      </c>
      <c r="O1082" s="586" t="s">
        <v>4681</v>
      </c>
      <c r="P1082" s="233">
        <f t="shared" si="150"/>
        <v>0</v>
      </c>
      <c r="Q1082" s="233">
        <f t="shared" si="151"/>
        <v>449</v>
      </c>
      <c r="R1082" s="2">
        <f t="shared" si="152"/>
        <v>2.2999999999999998</v>
      </c>
      <c r="S1082" s="2">
        <f>(1/9)*cnst_fish!$C$7*(1/cnst_fish!$C$8)^(R1082-1)</f>
        <v>2.8138314698279068</v>
      </c>
      <c r="T1082" s="682">
        <f t="shared" si="153"/>
        <v>108.35321484641699</v>
      </c>
      <c r="W1082" s="818"/>
      <c r="X1082" s="818"/>
      <c r="Y1082" s="819"/>
      <c r="Z1082" s="820"/>
      <c r="AA1082" s="820"/>
      <c r="AB1082" s="821"/>
      <c r="AC1082" s="821"/>
      <c r="AD1082" s="253"/>
      <c r="AE1082" s="253"/>
    </row>
    <row r="1083" spans="1:31" ht="14.5">
      <c r="A1083" t="s">
        <v>3537</v>
      </c>
      <c r="B1083" t="s">
        <v>2065</v>
      </c>
      <c r="C1083">
        <v>2261</v>
      </c>
      <c r="D1083" s="581"/>
      <c r="E1083" s="581"/>
      <c r="F1083" s="2">
        <f>(1/S1083)*cnst_fish!$C$6</f>
        <v>0.27484690295134895</v>
      </c>
      <c r="G1083" s="2">
        <f t="shared" si="155"/>
        <v>1</v>
      </c>
      <c r="H1083" s="2">
        <f t="shared" si="155"/>
        <v>0.36449057933102513</v>
      </c>
      <c r="I1083" s="2">
        <f t="shared" si="148"/>
        <v>0</v>
      </c>
      <c r="J1083" s="389">
        <f t="shared" si="149"/>
        <v>0</v>
      </c>
      <c r="L1083" s="721">
        <v>59</v>
      </c>
      <c r="M1083" s="581"/>
      <c r="N1083" s="585" t="s">
        <v>1738</v>
      </c>
      <c r="O1083" s="586" t="s">
        <v>4681</v>
      </c>
      <c r="P1083" s="233">
        <f t="shared" si="150"/>
        <v>0</v>
      </c>
      <c r="Q1083" s="233">
        <f t="shared" si="151"/>
        <v>59</v>
      </c>
      <c r="R1083" s="2">
        <f t="shared" si="152"/>
        <v>3.04</v>
      </c>
      <c r="S1083" s="2">
        <f>(1/9)*cnst_fish!$C$7*(1/cnst_fish!$C$8)^(R1083-1)</f>
        <v>15.463154048173134</v>
      </c>
      <c r="T1083" s="682">
        <f t="shared" si="153"/>
        <v>78.243356390801694</v>
      </c>
      <c r="W1083" s="818"/>
      <c r="X1083" s="818"/>
      <c r="Y1083" s="819"/>
      <c r="Z1083" s="820"/>
      <c r="AA1083" s="820"/>
      <c r="AB1083" s="821"/>
      <c r="AC1083" s="821"/>
      <c r="AD1083" s="253"/>
      <c r="AE1083" s="253"/>
    </row>
    <row r="1084" spans="1:31" ht="14.5">
      <c r="A1084" t="s">
        <v>6782</v>
      </c>
      <c r="B1084" t="s">
        <v>8654</v>
      </c>
      <c r="C1084">
        <v>2661</v>
      </c>
      <c r="D1084" s="581"/>
      <c r="E1084" s="581"/>
      <c r="F1084" s="2">
        <f>(1/S1084)*cnst_fish!$C$6</f>
        <v>3.0136363636363641</v>
      </c>
      <c r="G1084" s="2">
        <f t="shared" si="155"/>
        <v>1</v>
      </c>
      <c r="H1084" s="2">
        <f t="shared" si="155"/>
        <v>0.36449057933102513</v>
      </c>
      <c r="I1084" s="2">
        <f t="shared" si="148"/>
        <v>0</v>
      </c>
      <c r="J1084" s="389">
        <f t="shared" si="149"/>
        <v>0</v>
      </c>
      <c r="L1084" s="721"/>
      <c r="M1084" s="581"/>
      <c r="N1084" s="585" t="s">
        <v>1736</v>
      </c>
      <c r="O1084" s="586" t="s">
        <v>4680</v>
      </c>
      <c r="P1084" s="233">
        <f t="shared" si="150"/>
        <v>0</v>
      </c>
      <c r="Q1084" s="233">
        <f t="shared" si="151"/>
        <v>0</v>
      </c>
      <c r="R1084" s="2">
        <f t="shared" si="152"/>
        <v>2</v>
      </c>
      <c r="S1084" s="2">
        <f>(1/9)*cnst_fish!$C$7*(1/cnst_fish!$C$8)^(R1084-1)</f>
        <v>1.4102564102564099</v>
      </c>
      <c r="T1084" s="682">
        <f t="shared" si="153"/>
        <v>0</v>
      </c>
      <c r="W1084" s="818"/>
      <c r="X1084" s="818"/>
      <c r="Y1084" s="819"/>
      <c r="Z1084" s="820"/>
      <c r="AA1084" s="820"/>
      <c r="AB1084" s="821"/>
      <c r="AC1084" s="821"/>
      <c r="AD1084" s="253"/>
      <c r="AE1084" s="253"/>
    </row>
    <row r="1085" spans="1:31" ht="14.5">
      <c r="A1085" t="s">
        <v>6553</v>
      </c>
      <c r="B1085" t="s">
        <v>6552</v>
      </c>
      <c r="C1085">
        <v>19100</v>
      </c>
      <c r="D1085" s="581"/>
      <c r="E1085" s="581"/>
      <c r="F1085" s="2">
        <f>(1/S1085)*cnst_fish!$C$6</f>
        <v>3.0136363636363641</v>
      </c>
      <c r="G1085" s="2">
        <f t="shared" si="155"/>
        <v>1</v>
      </c>
      <c r="H1085" s="2">
        <f t="shared" si="155"/>
        <v>0.36449057933102513</v>
      </c>
      <c r="I1085" s="2">
        <f t="shared" si="148"/>
        <v>0</v>
      </c>
      <c r="J1085" s="389">
        <f t="shared" si="149"/>
        <v>0</v>
      </c>
      <c r="L1085" s="721">
        <v>189</v>
      </c>
      <c r="M1085" s="581"/>
      <c r="N1085" s="585" t="s">
        <v>1738</v>
      </c>
      <c r="O1085" s="586" t="s">
        <v>4681</v>
      </c>
      <c r="P1085" s="233">
        <f t="shared" si="150"/>
        <v>0</v>
      </c>
      <c r="Q1085" s="233">
        <f t="shared" si="151"/>
        <v>189</v>
      </c>
      <c r="R1085" s="2">
        <f t="shared" si="152"/>
        <v>2</v>
      </c>
      <c r="S1085" s="2">
        <f>(1/9)*cnst_fish!$C$7*(1/cnst_fish!$C$8)^(R1085-1)</f>
        <v>1.4102564102564099</v>
      </c>
      <c r="T1085" s="682">
        <f t="shared" si="153"/>
        <v>22.859001943565644</v>
      </c>
      <c r="W1085" s="818"/>
      <c r="X1085" s="818"/>
      <c r="Y1085" s="819"/>
      <c r="Z1085" s="820"/>
      <c r="AA1085" s="820"/>
      <c r="AB1085" s="821"/>
      <c r="AC1085" s="821"/>
      <c r="AD1085" s="253"/>
      <c r="AE1085" s="253"/>
    </row>
    <row r="1086" spans="1:31" ht="14.5">
      <c r="A1086" t="s">
        <v>5219</v>
      </c>
      <c r="B1086" t="s">
        <v>2239</v>
      </c>
      <c r="C1086">
        <v>13233</v>
      </c>
      <c r="D1086" s="581"/>
      <c r="E1086" s="581"/>
      <c r="F1086" s="2">
        <f>(1/S1086)*cnst_fish!$C$6</f>
        <v>2.7484690295134888E-2</v>
      </c>
      <c r="G1086" s="2">
        <f t="shared" si="155"/>
        <v>1</v>
      </c>
      <c r="H1086" s="2">
        <f t="shared" si="155"/>
        <v>0.36449057933102513</v>
      </c>
      <c r="I1086" s="2">
        <f t="shared" si="148"/>
        <v>0</v>
      </c>
      <c r="J1086" s="389">
        <f t="shared" si="149"/>
        <v>0</v>
      </c>
      <c r="L1086" s="721">
        <v>291</v>
      </c>
      <c r="M1086" s="581"/>
      <c r="N1086" s="585" t="s">
        <v>1738</v>
      </c>
      <c r="O1086" s="586" t="s">
        <v>4681</v>
      </c>
      <c r="P1086" s="233">
        <f t="shared" si="150"/>
        <v>0</v>
      </c>
      <c r="Q1086" s="233">
        <f t="shared" si="151"/>
        <v>291</v>
      </c>
      <c r="R1086" s="2">
        <f t="shared" si="152"/>
        <v>4.04</v>
      </c>
      <c r="S1086" s="2">
        <f>(1/9)*cnst_fish!$C$7*(1/cnst_fish!$C$8)^(R1086-1)</f>
        <v>154.63154048173138</v>
      </c>
      <c r="T1086" s="682">
        <f t="shared" si="153"/>
        <v>3859.1214762242885</v>
      </c>
      <c r="W1086" s="818"/>
      <c r="X1086" s="818"/>
      <c r="Y1086" s="819"/>
      <c r="Z1086" s="820"/>
      <c r="AA1086" s="820"/>
      <c r="AB1086" s="821"/>
      <c r="AC1086" s="821"/>
      <c r="AD1086" s="253"/>
      <c r="AE1086" s="253"/>
    </row>
    <row r="1087" spans="1:31" ht="14.5">
      <c r="A1087" t="s">
        <v>2126</v>
      </c>
      <c r="B1087" t="s">
        <v>4459</v>
      </c>
      <c r="C1087">
        <v>3575</v>
      </c>
      <c r="D1087" s="581">
        <v>0</v>
      </c>
      <c r="E1087" s="581"/>
      <c r="F1087" s="2">
        <f>(1/S1087)*cnst_fish!$C$6</f>
        <v>0.19014759972289441</v>
      </c>
      <c r="G1087" s="2">
        <f t="shared" si="155"/>
        <v>1</v>
      </c>
      <c r="H1087" s="2">
        <f t="shared" si="155"/>
        <v>0.36449057933102513</v>
      </c>
      <c r="I1087" s="2">
        <f t="shared" si="148"/>
        <v>0</v>
      </c>
      <c r="J1087" s="389">
        <f t="shared" si="149"/>
        <v>0</v>
      </c>
      <c r="L1087" s="721">
        <v>571017.79</v>
      </c>
      <c r="M1087" s="581"/>
      <c r="N1087" s="585" t="s">
        <v>5197</v>
      </c>
      <c r="O1087" s="586" t="s">
        <v>4675</v>
      </c>
      <c r="P1087" s="233">
        <f t="shared" si="150"/>
        <v>0</v>
      </c>
      <c r="Q1087" s="233">
        <f t="shared" si="151"/>
        <v>571017.79</v>
      </c>
      <c r="R1087" s="2">
        <f t="shared" si="152"/>
        <v>3.2</v>
      </c>
      <c r="S1087" s="2">
        <f>(1/9)*cnst_fish!$C$7*(1/cnst_fish!$C$8)^(R1087-1)</f>
        <v>22.351057842400341</v>
      </c>
      <c r="T1087" s="682">
        <f t="shared" si="153"/>
        <v>1094573.927773657</v>
      </c>
      <c r="W1087" s="818"/>
      <c r="X1087" s="818"/>
      <c r="Y1087" s="819"/>
      <c r="Z1087" s="820"/>
      <c r="AA1087" s="820"/>
      <c r="AB1087" s="821"/>
      <c r="AC1087" s="821"/>
      <c r="AD1087" s="253"/>
      <c r="AE1087" s="253"/>
    </row>
    <row r="1088" spans="1:31" ht="14.5">
      <c r="A1088" t="s">
        <v>6427</v>
      </c>
      <c r="B1088" t="s">
        <v>6426</v>
      </c>
      <c r="C1088">
        <v>17020</v>
      </c>
      <c r="D1088" s="581"/>
      <c r="E1088" s="581"/>
      <c r="F1088" s="2">
        <f>(1/S1088)*cnst_fish!$C$6</f>
        <v>3.0136363636363641</v>
      </c>
      <c r="G1088" s="2">
        <f t="shared" ref="G1088:H1107" si="156">G$7</f>
        <v>1</v>
      </c>
      <c r="H1088" s="2">
        <f t="shared" si="156"/>
        <v>0.36449057933102513</v>
      </c>
      <c r="I1088" s="2">
        <f t="shared" si="148"/>
        <v>0</v>
      </c>
      <c r="J1088" s="389">
        <f t="shared" si="149"/>
        <v>0</v>
      </c>
      <c r="L1088" s="721">
        <v>525</v>
      </c>
      <c r="M1088" s="581"/>
      <c r="N1088" s="585" t="s">
        <v>5197</v>
      </c>
      <c r="O1088" s="586" t="s">
        <v>4675</v>
      </c>
      <c r="P1088" s="233">
        <f t="shared" si="150"/>
        <v>0</v>
      </c>
      <c r="Q1088" s="233">
        <f t="shared" si="151"/>
        <v>525</v>
      </c>
      <c r="R1088" s="2">
        <f t="shared" si="152"/>
        <v>2</v>
      </c>
      <c r="S1088" s="2">
        <f>(1/9)*cnst_fish!$C$7*(1/cnst_fish!$C$8)^(R1088-1)</f>
        <v>1.4102564102564099</v>
      </c>
      <c r="T1088" s="682">
        <f t="shared" si="153"/>
        <v>63.497227621015675</v>
      </c>
      <c r="W1088" s="818"/>
      <c r="X1088" s="818"/>
      <c r="Y1088" s="819"/>
      <c r="Z1088" s="820"/>
      <c r="AA1088" s="820"/>
      <c r="AB1088" s="821"/>
      <c r="AC1088" s="821"/>
      <c r="AD1088" s="253"/>
      <c r="AE1088" s="253"/>
    </row>
    <row r="1089" spans="1:31" ht="14.5">
      <c r="A1089" t="s">
        <v>5433</v>
      </c>
      <c r="B1089" t="s">
        <v>5174</v>
      </c>
      <c r="C1089">
        <v>17029</v>
      </c>
      <c r="D1089" s="581"/>
      <c r="E1089" s="581"/>
      <c r="F1089" s="2">
        <f>(1/S1089)*cnst_fish!$C$6</f>
        <v>9.5299549485983348E-2</v>
      </c>
      <c r="G1089" s="2">
        <f t="shared" si="156"/>
        <v>1</v>
      </c>
      <c r="H1089" s="2">
        <f t="shared" si="156"/>
        <v>0.36449057933102513</v>
      </c>
      <c r="I1089" s="2">
        <f t="shared" si="148"/>
        <v>0</v>
      </c>
      <c r="J1089" s="389">
        <f t="shared" si="149"/>
        <v>0</v>
      </c>
      <c r="L1089" s="721">
        <v>571</v>
      </c>
      <c r="M1089" s="581"/>
      <c r="N1089" s="585" t="s">
        <v>5197</v>
      </c>
      <c r="O1089" s="586" t="s">
        <v>4675</v>
      </c>
      <c r="P1089" s="233">
        <f t="shared" si="150"/>
        <v>0</v>
      </c>
      <c r="Q1089" s="233">
        <f t="shared" si="151"/>
        <v>571</v>
      </c>
      <c r="R1089" s="2">
        <f t="shared" si="152"/>
        <v>3.5</v>
      </c>
      <c r="S1089" s="2">
        <f>(1/9)*cnst_fish!$C$7*(1/cnst_fish!$C$8)^(R1089-1)</f>
        <v>44.596223412631026</v>
      </c>
      <c r="T1089" s="682">
        <f t="shared" si="153"/>
        <v>2183.8940679213415</v>
      </c>
      <c r="W1089" s="818"/>
      <c r="X1089" s="818"/>
      <c r="Y1089" s="819"/>
      <c r="Z1089" s="820"/>
      <c r="AA1089" s="820"/>
      <c r="AB1089" s="821"/>
      <c r="AC1089" s="821"/>
      <c r="AD1089" s="253"/>
      <c r="AE1089" s="253"/>
    </row>
    <row r="1090" spans="1:31" ht="14.5">
      <c r="A1090" t="s">
        <v>3484</v>
      </c>
      <c r="B1090" t="s">
        <v>5175</v>
      </c>
      <c r="C1090">
        <v>2713</v>
      </c>
      <c r="D1090" s="581"/>
      <c r="E1090" s="581"/>
      <c r="F1090" s="2">
        <f>(1/S1090)*cnst_fish!$C$6</f>
        <v>0.19014759972289441</v>
      </c>
      <c r="G1090" s="2">
        <f t="shared" si="156"/>
        <v>1</v>
      </c>
      <c r="H1090" s="2">
        <f t="shared" si="156"/>
        <v>0.36449057933102513</v>
      </c>
      <c r="I1090" s="2">
        <f t="shared" si="148"/>
        <v>0</v>
      </c>
      <c r="J1090" s="389">
        <f t="shared" si="149"/>
        <v>0</v>
      </c>
      <c r="L1090" s="721">
        <v>81463.5</v>
      </c>
      <c r="M1090" s="581"/>
      <c r="N1090" s="585" t="s">
        <v>5197</v>
      </c>
      <c r="O1090" s="586" t="s">
        <v>4675</v>
      </c>
      <c r="P1090" s="233">
        <f t="shared" si="150"/>
        <v>0</v>
      </c>
      <c r="Q1090" s="233">
        <f t="shared" si="151"/>
        <v>81463.5</v>
      </c>
      <c r="R1090" s="2">
        <f t="shared" si="152"/>
        <v>3.2</v>
      </c>
      <c r="S1090" s="2">
        <f>(1/9)*cnst_fish!$C$7*(1/cnst_fish!$C$8)^(R1090-1)</f>
        <v>22.351057842400341</v>
      </c>
      <c r="T1090" s="682">
        <f t="shared" si="153"/>
        <v>156155.94597357343</v>
      </c>
      <c r="W1090" s="818"/>
      <c r="X1090" s="818"/>
      <c r="Y1090" s="819"/>
      <c r="Z1090" s="820"/>
      <c r="AA1090" s="820"/>
      <c r="AB1090" s="821"/>
      <c r="AC1090" s="821"/>
      <c r="AD1090" s="253"/>
      <c r="AE1090" s="253"/>
    </row>
    <row r="1091" spans="1:31" ht="14.5">
      <c r="A1091" t="s">
        <v>4092</v>
      </c>
      <c r="B1091" t="s">
        <v>5176</v>
      </c>
      <c r="C1091">
        <v>17033</v>
      </c>
      <c r="D1091" s="581"/>
      <c r="E1091" s="581"/>
      <c r="F1091" s="2">
        <f>(1/S1091)*cnst_fish!$C$6</f>
        <v>3.9727464439222634E-2</v>
      </c>
      <c r="G1091" s="2">
        <f t="shared" si="156"/>
        <v>1</v>
      </c>
      <c r="H1091" s="2">
        <f t="shared" si="156"/>
        <v>0.36449057933102513</v>
      </c>
      <c r="I1091" s="2">
        <f t="shared" si="148"/>
        <v>0</v>
      </c>
      <c r="J1091" s="389">
        <f t="shared" si="149"/>
        <v>0</v>
      </c>
      <c r="L1091" s="721">
        <v>37205</v>
      </c>
      <c r="M1091" s="581"/>
      <c r="N1091" s="585" t="s">
        <v>5197</v>
      </c>
      <c r="O1091" s="586" t="s">
        <v>4675</v>
      </c>
      <c r="P1091" s="233">
        <f t="shared" si="150"/>
        <v>0</v>
      </c>
      <c r="Q1091" s="233">
        <f t="shared" si="151"/>
        <v>37205</v>
      </c>
      <c r="R1091" s="2">
        <f t="shared" si="152"/>
        <v>3.88</v>
      </c>
      <c r="S1091" s="2">
        <f>(1/9)*cnst_fish!$C$7*(1/cnst_fish!$C$8)^(R1091-1)</f>
        <v>106.97888878616692</v>
      </c>
      <c r="T1091" s="682">
        <f t="shared" si="153"/>
        <v>341347.53363776824</v>
      </c>
      <c r="W1091" s="818"/>
      <c r="X1091" s="818"/>
      <c r="Y1091" s="819"/>
      <c r="Z1091" s="820"/>
      <c r="AA1091" s="820"/>
      <c r="AB1091" s="821"/>
      <c r="AC1091" s="821"/>
      <c r="AD1091" s="253"/>
      <c r="AE1091" s="253"/>
    </row>
    <row r="1092" spans="1:31" ht="14.5">
      <c r="A1092" t="s">
        <v>3538</v>
      </c>
      <c r="B1092" t="s">
        <v>3539</v>
      </c>
      <c r="C1092">
        <v>2714</v>
      </c>
      <c r="D1092" s="581"/>
      <c r="E1092" s="581"/>
      <c r="F1092" s="2">
        <f>(1/S1092)*cnst_fish!$C$6</f>
        <v>9.3130266898023228E-2</v>
      </c>
      <c r="G1092" s="2">
        <f t="shared" si="156"/>
        <v>1</v>
      </c>
      <c r="H1092" s="2">
        <f t="shared" si="156"/>
        <v>0.36449057933102513</v>
      </c>
      <c r="I1092" s="2">
        <f t="shared" si="148"/>
        <v>0</v>
      </c>
      <c r="J1092" s="389">
        <f t="shared" si="149"/>
        <v>0</v>
      </c>
      <c r="L1092" s="721">
        <v>11584</v>
      </c>
      <c r="M1092" s="581"/>
      <c r="N1092" s="585" t="s">
        <v>5197</v>
      </c>
      <c r="O1092" s="586" t="s">
        <v>4675</v>
      </c>
      <c r="P1092" s="233">
        <f t="shared" si="150"/>
        <v>0</v>
      </c>
      <c r="Q1092" s="233">
        <f t="shared" si="151"/>
        <v>11584</v>
      </c>
      <c r="R1092" s="2">
        <f t="shared" si="152"/>
        <v>3.51</v>
      </c>
      <c r="S1092" s="2">
        <f>(1/9)*cnst_fish!$C$7*(1/cnst_fish!$C$8)^(R1092-1)</f>
        <v>45.635002900332182</v>
      </c>
      <c r="T1092" s="682">
        <f t="shared" si="153"/>
        <v>45337.128428869735</v>
      </c>
      <c r="W1092" s="818"/>
      <c r="X1092" s="818"/>
      <c r="Y1092" s="819"/>
      <c r="Z1092" s="820"/>
      <c r="AA1092" s="820"/>
      <c r="AB1092" s="821"/>
      <c r="AC1092" s="821"/>
      <c r="AD1092" s="253"/>
      <c r="AE1092" s="253"/>
    </row>
    <row r="1093" spans="1:31" ht="14.5">
      <c r="A1093" t="s">
        <v>2815</v>
      </c>
      <c r="B1093" t="s">
        <v>6467</v>
      </c>
      <c r="C1093">
        <v>2715</v>
      </c>
      <c r="D1093" s="581"/>
      <c r="E1093" s="581"/>
      <c r="F1093" s="2">
        <f>(1/S1093)*cnst_fish!$C$6</f>
        <v>0.19014759972289441</v>
      </c>
      <c r="G1093" s="2">
        <f t="shared" si="156"/>
        <v>1</v>
      </c>
      <c r="H1093" s="2">
        <f t="shared" si="156"/>
        <v>0.36449057933102513</v>
      </c>
      <c r="I1093" s="2">
        <f t="shared" si="148"/>
        <v>0</v>
      </c>
      <c r="J1093" s="389">
        <f t="shared" si="149"/>
        <v>0</v>
      </c>
      <c r="L1093" s="721">
        <v>13698</v>
      </c>
      <c r="M1093" s="581"/>
      <c r="N1093" s="585" t="s">
        <v>5197</v>
      </c>
      <c r="O1093" s="586" t="s">
        <v>4675</v>
      </c>
      <c r="P1093" s="233">
        <f t="shared" si="150"/>
        <v>0</v>
      </c>
      <c r="Q1093" s="233">
        <f t="shared" si="151"/>
        <v>13698</v>
      </c>
      <c r="R1093" s="2">
        <f t="shared" si="152"/>
        <v>3.2</v>
      </c>
      <c r="S1093" s="2">
        <f>(1/9)*cnst_fish!$C$7*(1/cnst_fish!$C$8)^(R1093-1)</f>
        <v>22.351057842400341</v>
      </c>
      <c r="T1093" s="682">
        <f t="shared" si="153"/>
        <v>26257.454540327988</v>
      </c>
      <c r="W1093" s="818"/>
      <c r="X1093" s="818"/>
      <c r="Y1093" s="819"/>
      <c r="Z1093" s="820"/>
      <c r="AA1093" s="820"/>
      <c r="AB1093" s="821"/>
      <c r="AC1093" s="821"/>
      <c r="AD1093" s="253"/>
      <c r="AE1093" s="253"/>
    </row>
    <row r="1094" spans="1:31" ht="14.5">
      <c r="A1094" t="s">
        <v>948</v>
      </c>
      <c r="B1094" t="s">
        <v>4880</v>
      </c>
      <c r="C1094">
        <v>2712</v>
      </c>
      <c r="D1094" s="581"/>
      <c r="E1094" s="581"/>
      <c r="F1094" s="2">
        <f>(1/S1094)*cnst_fish!$C$6</f>
        <v>9.5299549485983348E-2</v>
      </c>
      <c r="G1094" s="2">
        <f t="shared" si="156"/>
        <v>1</v>
      </c>
      <c r="H1094" s="2">
        <f t="shared" si="156"/>
        <v>0.36449057933102513</v>
      </c>
      <c r="I1094" s="2">
        <f t="shared" si="148"/>
        <v>0</v>
      </c>
      <c r="J1094" s="389">
        <f t="shared" si="149"/>
        <v>0</v>
      </c>
      <c r="L1094" s="721">
        <v>364336.12</v>
      </c>
      <c r="M1094" s="581"/>
      <c r="N1094" s="585" t="s">
        <v>5197</v>
      </c>
      <c r="O1094" s="586" t="s">
        <v>4675</v>
      </c>
      <c r="P1094" s="233">
        <f t="shared" si="150"/>
        <v>0</v>
      </c>
      <c r="Q1094" s="233">
        <f t="shared" si="151"/>
        <v>364336.12</v>
      </c>
      <c r="R1094" s="2">
        <f t="shared" si="152"/>
        <v>3.5</v>
      </c>
      <c r="S1094" s="2">
        <f>(1/9)*cnst_fish!$C$7*(1/cnst_fish!$C$8)^(R1094-1)</f>
        <v>44.596223412631026</v>
      </c>
      <c r="T1094" s="682">
        <f t="shared" si="153"/>
        <v>1393470.2122547776</v>
      </c>
      <c r="W1094" s="818"/>
      <c r="X1094" s="818"/>
      <c r="Y1094" s="819"/>
      <c r="Z1094" s="820"/>
      <c r="AA1094" s="820"/>
      <c r="AB1094" s="821"/>
      <c r="AC1094" s="821"/>
      <c r="AD1094" s="253"/>
      <c r="AE1094" s="253"/>
    </row>
    <row r="1095" spans="1:31" ht="14.5">
      <c r="A1095" t="s">
        <v>6374</v>
      </c>
      <c r="B1095" t="s">
        <v>6373</v>
      </c>
      <c r="C1095">
        <v>17019</v>
      </c>
      <c r="D1095" s="581"/>
      <c r="E1095" s="581"/>
      <c r="F1095" s="2">
        <f>(1/S1095)*cnst_fish!$C$6</f>
        <v>3.0136363636363641</v>
      </c>
      <c r="G1095" s="2">
        <f t="shared" si="156"/>
        <v>1</v>
      </c>
      <c r="H1095" s="2">
        <f t="shared" si="156"/>
        <v>0.36449057933102513</v>
      </c>
      <c r="I1095" s="2">
        <f t="shared" ref="I1095:I1158" si="157">IF($F1095=0,0,D1095/$F1095*$H1095*$G1095)</f>
        <v>0</v>
      </c>
      <c r="J1095" s="389">
        <f t="shared" ref="J1095:J1158" si="158">IF($F1095=0,0,E1095/$F1095*$H1095*$G1095)</f>
        <v>0</v>
      </c>
      <c r="L1095" s="721">
        <v>1298</v>
      </c>
      <c r="M1095" s="581"/>
      <c r="N1095" s="585" t="s">
        <v>5197</v>
      </c>
      <c r="O1095" s="586" t="s">
        <v>4675</v>
      </c>
      <c r="P1095" s="233">
        <f t="shared" ref="P1095:P1158" si="159">D1095+E1095</f>
        <v>0</v>
      </c>
      <c r="Q1095" s="233">
        <f t="shared" ref="Q1095:Q1158" si="160">L1095+M1095</f>
        <v>1298</v>
      </c>
      <c r="R1095" s="2">
        <f t="shared" ref="R1095:R1158" si="161">VLOOKUP(B1095,constant_fish_trophic,3,FALSE)</f>
        <v>2</v>
      </c>
      <c r="S1095" s="2">
        <f>(1/9)*cnst_fish!$C$7*(1/cnst_fish!$C$8)^(R1095-1)</f>
        <v>1.4102564102564099</v>
      </c>
      <c r="T1095" s="682">
        <f t="shared" ref="T1095:T1158" si="162">IF(F1095=0,0,Q1095/F1095*H1095*G1095)</f>
        <v>156.98933609919686</v>
      </c>
      <c r="W1095" s="818"/>
      <c r="X1095" s="818"/>
      <c r="Y1095" s="819"/>
      <c r="Z1095" s="820"/>
      <c r="AA1095" s="820"/>
      <c r="AB1095" s="821"/>
      <c r="AC1095" s="821"/>
      <c r="AD1095" s="253"/>
      <c r="AE1095" s="253"/>
    </row>
    <row r="1096" spans="1:31" ht="14.5">
      <c r="A1096" t="s">
        <v>5127</v>
      </c>
      <c r="B1096" t="s">
        <v>2240</v>
      </c>
      <c r="C1096">
        <v>2570</v>
      </c>
      <c r="D1096" s="581"/>
      <c r="E1096" s="581"/>
      <c r="F1096" s="2">
        <f>(1/S1096)*cnst_fish!$C$6</f>
        <v>1.1196720767792065E-2</v>
      </c>
      <c r="G1096" s="2">
        <f t="shared" si="156"/>
        <v>1</v>
      </c>
      <c r="H1096" s="2">
        <f t="shared" si="156"/>
        <v>0.36449057933102513</v>
      </c>
      <c r="I1096" s="2">
        <f t="shared" si="157"/>
        <v>0</v>
      </c>
      <c r="J1096" s="389">
        <f t="shared" si="158"/>
        <v>0</v>
      </c>
      <c r="L1096" s="721">
        <v>13448</v>
      </c>
      <c r="M1096" s="581"/>
      <c r="N1096" s="585" t="s">
        <v>1738</v>
      </c>
      <c r="O1096" s="586" t="s">
        <v>4681</v>
      </c>
      <c r="P1096" s="233">
        <f t="shared" si="159"/>
        <v>0</v>
      </c>
      <c r="Q1096" s="233">
        <f t="shared" si="160"/>
        <v>13448</v>
      </c>
      <c r="R1096" s="2">
        <f t="shared" si="161"/>
        <v>4.43</v>
      </c>
      <c r="S1096" s="2">
        <f>(1/9)*cnst_fish!$C$7*(1/cnst_fish!$C$8)^(R1096-1)</f>
        <v>379.57542106661629</v>
      </c>
      <c r="T1096" s="682">
        <f t="shared" si="162"/>
        <v>437777.22178653651</v>
      </c>
      <c r="W1096" s="818"/>
      <c r="X1096" s="818"/>
      <c r="Y1096" s="819"/>
      <c r="Z1096" s="820"/>
      <c r="AA1096" s="820"/>
      <c r="AB1096" s="821"/>
      <c r="AC1096" s="821"/>
      <c r="AD1096" s="253"/>
      <c r="AE1096" s="253"/>
    </row>
    <row r="1097" spans="1:31" ht="14.5">
      <c r="A1097" t="s">
        <v>6201</v>
      </c>
      <c r="B1097" t="s">
        <v>6200</v>
      </c>
      <c r="C1097">
        <v>19543</v>
      </c>
      <c r="D1097" s="581"/>
      <c r="E1097" s="581"/>
      <c r="F1097" s="2">
        <f>(1/S1097)*cnst_fish!$C$6</f>
        <v>0.15103960722494611</v>
      </c>
      <c r="G1097" s="2">
        <f t="shared" si="156"/>
        <v>1</v>
      </c>
      <c r="H1097" s="2">
        <f t="shared" si="156"/>
        <v>0.36449057933102513</v>
      </c>
      <c r="I1097" s="2">
        <f t="shared" si="157"/>
        <v>0</v>
      </c>
      <c r="J1097" s="389">
        <f t="shared" si="158"/>
        <v>0</v>
      </c>
      <c r="L1097" s="721"/>
      <c r="M1097" s="581">
        <v>20</v>
      </c>
      <c r="N1097" s="585" t="s">
        <v>1738</v>
      </c>
      <c r="O1097" s="586" t="s">
        <v>4685</v>
      </c>
      <c r="P1097" s="233">
        <f t="shared" si="159"/>
        <v>0</v>
      </c>
      <c r="Q1097" s="233">
        <f t="shared" si="160"/>
        <v>20</v>
      </c>
      <c r="R1097" s="2">
        <f t="shared" si="161"/>
        <v>3.3</v>
      </c>
      <c r="S1097" s="2">
        <f>(1/9)*cnst_fish!$C$7*(1/cnst_fish!$C$8)^(R1097-1)</f>
        <v>28.138314698279075</v>
      </c>
      <c r="T1097" s="682">
        <f t="shared" si="162"/>
        <v>48.264238238938546</v>
      </c>
      <c r="W1097" s="818"/>
      <c r="X1097" s="818"/>
      <c r="Y1097" s="819"/>
      <c r="Z1097" s="820"/>
      <c r="AA1097" s="820"/>
      <c r="AB1097" s="821"/>
      <c r="AC1097" s="821"/>
      <c r="AD1097" s="253"/>
      <c r="AE1097" s="253"/>
    </row>
    <row r="1098" spans="1:31" ht="14.5">
      <c r="A1098" t="s">
        <v>6479</v>
      </c>
      <c r="B1098" t="s">
        <v>6478</v>
      </c>
      <c r="C1098">
        <v>13243</v>
      </c>
      <c r="D1098" s="581"/>
      <c r="E1098" s="581"/>
      <c r="F1098" s="2">
        <f>(1/S1098)*cnst_fish!$C$6</f>
        <v>3.0136363636363642E-2</v>
      </c>
      <c r="G1098" s="2">
        <f t="shared" si="156"/>
        <v>1</v>
      </c>
      <c r="H1098" s="2">
        <f t="shared" si="156"/>
        <v>0.36449057933102513</v>
      </c>
      <c r="I1098" s="2">
        <f t="shared" si="157"/>
        <v>0</v>
      </c>
      <c r="J1098" s="389">
        <f t="shared" si="158"/>
        <v>0</v>
      </c>
      <c r="L1098" s="721"/>
      <c r="M1098" s="581">
        <v>515</v>
      </c>
      <c r="N1098" s="585" t="s">
        <v>1738</v>
      </c>
      <c r="O1098" s="586" t="s">
        <v>4685</v>
      </c>
      <c r="P1098" s="233">
        <f t="shared" si="159"/>
        <v>0</v>
      </c>
      <c r="Q1098" s="233">
        <f t="shared" si="160"/>
        <v>515</v>
      </c>
      <c r="R1098" s="2">
        <f t="shared" si="161"/>
        <v>4</v>
      </c>
      <c r="S1098" s="2">
        <f>(1/9)*cnst_fish!$C$7*(1/cnst_fish!$C$8)^(R1098-1)</f>
        <v>141.02564102564099</v>
      </c>
      <c r="T1098" s="682">
        <f t="shared" si="162"/>
        <v>6228.7756618710619</v>
      </c>
      <c r="W1098" s="818"/>
      <c r="X1098" s="818"/>
      <c r="Y1098" s="819"/>
      <c r="Z1098" s="820"/>
      <c r="AA1098" s="820"/>
      <c r="AB1098" s="821"/>
      <c r="AC1098" s="821"/>
      <c r="AD1098" s="253"/>
      <c r="AE1098" s="253"/>
    </row>
    <row r="1099" spans="1:31" ht="14.5">
      <c r="A1099" t="s">
        <v>4487</v>
      </c>
      <c r="B1099" t="s">
        <v>2241</v>
      </c>
      <c r="C1099">
        <v>3380</v>
      </c>
      <c r="D1099" s="581"/>
      <c r="E1099" s="581"/>
      <c r="F1099" s="2">
        <f>(1/S1099)*cnst_fish!$C$6</f>
        <v>9.5299549485983424E-3</v>
      </c>
      <c r="G1099" s="2">
        <f t="shared" si="156"/>
        <v>1</v>
      </c>
      <c r="H1099" s="2">
        <f t="shared" si="156"/>
        <v>0.36449057933102513</v>
      </c>
      <c r="I1099" s="2">
        <f t="shared" si="157"/>
        <v>0</v>
      </c>
      <c r="J1099" s="389">
        <f t="shared" si="158"/>
        <v>0</v>
      </c>
      <c r="L1099" s="721">
        <v>10423</v>
      </c>
      <c r="M1099" s="581"/>
      <c r="N1099" s="585" t="s">
        <v>1738</v>
      </c>
      <c r="O1099" s="586" t="s">
        <v>4681</v>
      </c>
      <c r="P1099" s="233">
        <f t="shared" si="159"/>
        <v>0</v>
      </c>
      <c r="Q1099" s="233">
        <f t="shared" si="160"/>
        <v>10423</v>
      </c>
      <c r="R1099" s="2">
        <f t="shared" si="161"/>
        <v>4.5</v>
      </c>
      <c r="S1099" s="2">
        <f>(1/9)*cnst_fish!$C$7*(1/cnst_fish!$C$8)^(R1099-1)</f>
        <v>445.96223412630997</v>
      </c>
      <c r="T1099" s="682">
        <f t="shared" si="162"/>
        <v>398646.7227660967</v>
      </c>
      <c r="W1099" s="818"/>
      <c r="X1099" s="818"/>
      <c r="Y1099" s="819"/>
      <c r="Z1099" s="820"/>
      <c r="AA1099" s="820"/>
      <c r="AB1099" s="821"/>
      <c r="AC1099" s="821"/>
      <c r="AD1099" s="253"/>
      <c r="AE1099" s="253"/>
    </row>
    <row r="1100" spans="1:31" ht="14.5">
      <c r="A1100" t="s">
        <v>117</v>
      </c>
      <c r="B1100" t="s">
        <v>3437</v>
      </c>
      <c r="C1100">
        <v>2571</v>
      </c>
      <c r="D1100" s="581"/>
      <c r="E1100" s="581"/>
      <c r="F1100" s="2">
        <f>(1/S1100)*cnst_fish!$C$6</f>
        <v>9.979087888316248E-3</v>
      </c>
      <c r="G1100" s="2">
        <f t="shared" si="156"/>
        <v>1</v>
      </c>
      <c r="H1100" s="2">
        <f t="shared" si="156"/>
        <v>0.36449057933102513</v>
      </c>
      <c r="I1100" s="2">
        <f t="shared" si="157"/>
        <v>0</v>
      </c>
      <c r="J1100" s="389">
        <f t="shared" si="158"/>
        <v>0</v>
      </c>
      <c r="L1100" s="721">
        <v>194</v>
      </c>
      <c r="M1100" s="581"/>
      <c r="N1100" s="585" t="s">
        <v>1738</v>
      </c>
      <c r="O1100" s="586" t="s">
        <v>4681</v>
      </c>
      <c r="P1100" s="233">
        <f t="shared" si="159"/>
        <v>0</v>
      </c>
      <c r="Q1100" s="233">
        <f t="shared" si="160"/>
        <v>194</v>
      </c>
      <c r="R1100" s="2">
        <f t="shared" si="161"/>
        <v>4.4800000000000004</v>
      </c>
      <c r="S1100" s="2">
        <f>(1/9)*cnst_fish!$C$7*(1/cnst_fish!$C$8)^(R1100-1)</f>
        <v>425.89062723618264</v>
      </c>
      <c r="T1100" s="682">
        <f t="shared" si="162"/>
        <v>7085.935426323801</v>
      </c>
      <c r="W1100" s="818"/>
      <c r="X1100" s="818"/>
      <c r="Y1100" s="819"/>
      <c r="Z1100" s="820"/>
      <c r="AA1100" s="820"/>
      <c r="AB1100" s="821"/>
      <c r="AC1100" s="821"/>
      <c r="AD1100" s="253"/>
      <c r="AE1100" s="253"/>
    </row>
    <row r="1101" spans="1:31" ht="14.5">
      <c r="A1101" t="s">
        <v>3567</v>
      </c>
      <c r="B1101" t="s">
        <v>3568</v>
      </c>
      <c r="C1101">
        <v>19058</v>
      </c>
      <c r="D1101" s="581"/>
      <c r="E1101" s="581"/>
      <c r="F1101" s="2">
        <f>(1/S1101)*cnst_fish!$C$6</f>
        <v>9.5299549485983424E-3</v>
      </c>
      <c r="G1101" s="2">
        <f t="shared" si="156"/>
        <v>1</v>
      </c>
      <c r="H1101" s="2">
        <f t="shared" si="156"/>
        <v>0.36449057933102513</v>
      </c>
      <c r="I1101" s="2">
        <f t="shared" si="157"/>
        <v>0</v>
      </c>
      <c r="J1101" s="389">
        <f t="shared" si="158"/>
        <v>0</v>
      </c>
      <c r="L1101" s="721">
        <v>2460</v>
      </c>
      <c r="M1101" s="581"/>
      <c r="N1101" s="585" t="s">
        <v>1738</v>
      </c>
      <c r="O1101" s="586" t="s">
        <v>4681</v>
      </c>
      <c r="P1101" s="233">
        <f t="shared" si="159"/>
        <v>0</v>
      </c>
      <c r="Q1101" s="233">
        <f t="shared" si="160"/>
        <v>2460</v>
      </c>
      <c r="R1101" s="2">
        <f t="shared" si="161"/>
        <v>4.5</v>
      </c>
      <c r="S1101" s="2">
        <f>(1/9)*cnst_fish!$C$7*(1/cnst_fish!$C$8)^(R1101-1)</f>
        <v>445.96223412630997</v>
      </c>
      <c r="T1101" s="682">
        <f t="shared" si="162"/>
        <v>94087.205027784512</v>
      </c>
      <c r="W1101" s="818"/>
      <c r="X1101" s="818"/>
      <c r="Y1101" s="819"/>
      <c r="Z1101" s="820"/>
      <c r="AA1101" s="820"/>
      <c r="AB1101" s="821"/>
      <c r="AC1101" s="821"/>
      <c r="AD1101" s="253"/>
      <c r="AE1101" s="253"/>
    </row>
    <row r="1102" spans="1:31" ht="14.5">
      <c r="A1102" t="s">
        <v>940</v>
      </c>
      <c r="B1102" t="s">
        <v>3438</v>
      </c>
      <c r="C1102">
        <v>3379</v>
      </c>
      <c r="D1102" s="581"/>
      <c r="E1102" s="581"/>
      <c r="F1102" s="2">
        <f>(1/S1102)*cnst_fish!$C$6</f>
        <v>1.0692785320993655E-2</v>
      </c>
      <c r="G1102" s="2">
        <f t="shared" si="156"/>
        <v>1</v>
      </c>
      <c r="H1102" s="2">
        <f t="shared" si="156"/>
        <v>0.36449057933102513</v>
      </c>
      <c r="I1102" s="2">
        <f t="shared" si="157"/>
        <v>0</v>
      </c>
      <c r="J1102" s="389">
        <f t="shared" si="158"/>
        <v>0</v>
      </c>
      <c r="L1102" s="721">
        <v>31904</v>
      </c>
      <c r="M1102" s="581"/>
      <c r="N1102" s="585" t="s">
        <v>1738</v>
      </c>
      <c r="O1102" s="586" t="s">
        <v>4681</v>
      </c>
      <c r="P1102" s="233">
        <f t="shared" si="159"/>
        <v>0</v>
      </c>
      <c r="Q1102" s="233">
        <f t="shared" si="160"/>
        <v>31904</v>
      </c>
      <c r="R1102" s="2">
        <f t="shared" si="161"/>
        <v>4.45</v>
      </c>
      <c r="S1102" s="2">
        <f>(1/9)*cnst_fish!$C$7*(1/cnst_fish!$C$8)^(R1102-1)</f>
        <v>397.46425953729499</v>
      </c>
      <c r="T1102" s="682">
        <f t="shared" si="162"/>
        <v>1087528.374870281</v>
      </c>
      <c r="W1102" s="818"/>
      <c r="X1102" s="818"/>
      <c r="Y1102" s="819"/>
      <c r="Z1102" s="820"/>
      <c r="AA1102" s="820"/>
      <c r="AB1102" s="821"/>
      <c r="AC1102" s="821"/>
      <c r="AD1102" s="253"/>
      <c r="AE1102" s="253"/>
    </row>
    <row r="1103" spans="1:31" ht="14.5">
      <c r="A1103" t="s">
        <v>1942</v>
      </c>
      <c r="B1103" t="s">
        <v>1943</v>
      </c>
      <c r="C1103">
        <v>3378</v>
      </c>
      <c r="D1103" s="581"/>
      <c r="E1103" s="581"/>
      <c r="F1103" s="2">
        <f>(1/S1103)*cnst_fish!$C$6</f>
        <v>9.979087888316248E-3</v>
      </c>
      <c r="G1103" s="2">
        <f t="shared" si="156"/>
        <v>1</v>
      </c>
      <c r="H1103" s="2">
        <f t="shared" si="156"/>
        <v>0.36449057933102513</v>
      </c>
      <c r="I1103" s="2">
        <f t="shared" si="157"/>
        <v>0</v>
      </c>
      <c r="J1103" s="389">
        <f t="shared" si="158"/>
        <v>0</v>
      </c>
      <c r="L1103" s="721">
        <v>34650</v>
      </c>
      <c r="M1103" s="581"/>
      <c r="N1103" s="585" t="s">
        <v>1738</v>
      </c>
      <c r="O1103" s="586" t="s">
        <v>4681</v>
      </c>
      <c r="P1103" s="233">
        <f t="shared" si="159"/>
        <v>0</v>
      </c>
      <c r="Q1103" s="233">
        <f t="shared" si="160"/>
        <v>34650</v>
      </c>
      <c r="R1103" s="2">
        <f t="shared" si="161"/>
        <v>4.4800000000000004</v>
      </c>
      <c r="S1103" s="2">
        <f>(1/9)*cnst_fish!$C$7*(1/cnst_fish!$C$8)^(R1103-1)</f>
        <v>425.89062723618264</v>
      </c>
      <c r="T1103" s="682">
        <f t="shared" si="162"/>
        <v>1265606.507845978</v>
      </c>
      <c r="W1103" s="818"/>
      <c r="X1103" s="818"/>
      <c r="Y1103" s="819"/>
      <c r="Z1103" s="820"/>
      <c r="AA1103" s="820"/>
      <c r="AB1103" s="821"/>
      <c r="AC1103" s="821"/>
      <c r="AD1103" s="253"/>
      <c r="AE1103" s="253"/>
    </row>
    <row r="1104" spans="1:31" ht="14.5">
      <c r="A1104" t="s">
        <v>473</v>
      </c>
      <c r="B1104" t="s">
        <v>1071</v>
      </c>
      <c r="C1104">
        <v>3381</v>
      </c>
      <c r="D1104" s="581"/>
      <c r="E1104" s="581"/>
      <c r="F1104" s="2">
        <f>(1/S1104)*cnst_fish!$C$6</f>
        <v>9.5299549485983424E-3</v>
      </c>
      <c r="G1104" s="2">
        <f t="shared" si="156"/>
        <v>1</v>
      </c>
      <c r="H1104" s="2">
        <f t="shared" si="156"/>
        <v>0.36449057933102513</v>
      </c>
      <c r="I1104" s="2">
        <f t="shared" si="157"/>
        <v>0</v>
      </c>
      <c r="J1104" s="389">
        <f t="shared" si="158"/>
        <v>0</v>
      </c>
      <c r="L1104" s="721">
        <v>0</v>
      </c>
      <c r="M1104" s="581"/>
      <c r="N1104" s="585" t="s">
        <v>1738</v>
      </c>
      <c r="O1104" s="586" t="s">
        <v>4681</v>
      </c>
      <c r="P1104" s="233">
        <f t="shared" si="159"/>
        <v>0</v>
      </c>
      <c r="Q1104" s="233">
        <f t="shared" si="160"/>
        <v>0</v>
      </c>
      <c r="R1104" s="2">
        <f t="shared" si="161"/>
        <v>4.5</v>
      </c>
      <c r="S1104" s="2">
        <f>(1/9)*cnst_fish!$C$7*(1/cnst_fish!$C$8)^(R1104-1)</f>
        <v>445.96223412630997</v>
      </c>
      <c r="T1104" s="682">
        <f t="shared" si="162"/>
        <v>0</v>
      </c>
      <c r="W1104" s="818"/>
      <c r="X1104" s="818"/>
      <c r="Y1104" s="819"/>
      <c r="Z1104" s="820"/>
      <c r="AA1104" s="820"/>
      <c r="AB1104" s="821"/>
      <c r="AC1104" s="821"/>
      <c r="AD1104" s="253"/>
      <c r="AE1104" s="253"/>
    </row>
    <row r="1105" spans="1:31" ht="14.5">
      <c r="A1105" t="s">
        <v>1227</v>
      </c>
      <c r="B1105" t="s">
        <v>1072</v>
      </c>
      <c r="C1105">
        <v>2572</v>
      </c>
      <c r="D1105" s="581"/>
      <c r="E1105" s="581"/>
      <c r="F1105" s="2">
        <f>(1/S1105)*cnst_fish!$C$6</f>
        <v>1.0449387811364928E-2</v>
      </c>
      <c r="G1105" s="2">
        <f t="shared" si="156"/>
        <v>1</v>
      </c>
      <c r="H1105" s="2">
        <f t="shared" si="156"/>
        <v>0.36449057933102513</v>
      </c>
      <c r="I1105" s="2">
        <f t="shared" si="157"/>
        <v>0</v>
      </c>
      <c r="J1105" s="389">
        <f t="shared" si="158"/>
        <v>0</v>
      </c>
      <c r="L1105" s="721">
        <v>9450</v>
      </c>
      <c r="M1105" s="581"/>
      <c r="N1105" s="585" t="s">
        <v>1738</v>
      </c>
      <c r="O1105" s="586" t="s">
        <v>4681</v>
      </c>
      <c r="P1105" s="233">
        <f t="shared" si="159"/>
        <v>0</v>
      </c>
      <c r="Q1105" s="233">
        <f t="shared" si="160"/>
        <v>9450</v>
      </c>
      <c r="R1105" s="2">
        <f t="shared" si="161"/>
        <v>4.46</v>
      </c>
      <c r="S1105" s="2">
        <f>(1/9)*cnst_fish!$C$7*(1/cnst_fish!$C$8)^(R1105-1)</f>
        <v>406.72239146657279</v>
      </c>
      <c r="T1105" s="682">
        <f t="shared" si="162"/>
        <v>329630.40867637831</v>
      </c>
      <c r="W1105" s="818"/>
      <c r="X1105" s="818"/>
      <c r="Y1105" s="819"/>
      <c r="Z1105" s="820"/>
      <c r="AA1105" s="820"/>
      <c r="AB1105" s="821"/>
      <c r="AC1105" s="821"/>
      <c r="AD1105" s="253"/>
      <c r="AE1105" s="253"/>
    </row>
    <row r="1106" spans="1:31" ht="14.5">
      <c r="A1106" t="s">
        <v>1528</v>
      </c>
      <c r="B1106" t="s">
        <v>1073</v>
      </c>
      <c r="C1106">
        <v>2302</v>
      </c>
      <c r="D1106" s="581"/>
      <c r="E1106" s="581"/>
      <c r="F1106" s="2">
        <f>(1/S1106)*cnst_fish!$C$6</f>
        <v>0.10692785320993656</v>
      </c>
      <c r="G1106" s="2">
        <f t="shared" si="156"/>
        <v>1</v>
      </c>
      <c r="H1106" s="2">
        <f t="shared" si="156"/>
        <v>0.36449057933102513</v>
      </c>
      <c r="I1106" s="2">
        <f t="shared" si="157"/>
        <v>0</v>
      </c>
      <c r="J1106" s="389">
        <f t="shared" si="158"/>
        <v>0</v>
      </c>
      <c r="L1106" s="721">
        <v>773</v>
      </c>
      <c r="M1106" s="581"/>
      <c r="N1106" s="585" t="s">
        <v>1738</v>
      </c>
      <c r="O1106" s="586" t="s">
        <v>4681</v>
      </c>
      <c r="P1106" s="233">
        <f t="shared" si="159"/>
        <v>0</v>
      </c>
      <c r="Q1106" s="233">
        <f t="shared" si="160"/>
        <v>773</v>
      </c>
      <c r="R1106" s="2">
        <f t="shared" si="161"/>
        <v>3.45</v>
      </c>
      <c r="S1106" s="2">
        <f>(1/9)*cnst_fish!$C$7*(1/cnst_fish!$C$8)^(R1106-1)</f>
        <v>39.746425953729492</v>
      </c>
      <c r="T1106" s="682">
        <f t="shared" si="162"/>
        <v>2634.9656274283075</v>
      </c>
      <c r="W1106" s="818"/>
      <c r="X1106" s="818"/>
      <c r="Y1106" s="819"/>
      <c r="Z1106" s="820"/>
      <c r="AA1106" s="820"/>
      <c r="AB1106" s="821"/>
      <c r="AC1106" s="821"/>
      <c r="AD1106" s="253"/>
      <c r="AE1106" s="253"/>
    </row>
    <row r="1107" spans="1:31" ht="14.5">
      <c r="A1107" t="s">
        <v>6481</v>
      </c>
      <c r="B1107" t="s">
        <v>6480</v>
      </c>
      <c r="C1107">
        <v>13251</v>
      </c>
      <c r="D1107" s="581"/>
      <c r="E1107" s="581"/>
      <c r="F1107" s="2">
        <f>(1/S1107)*cnst_fish!$C$6</f>
        <v>3.0136363636363641</v>
      </c>
      <c r="G1107" s="2">
        <f t="shared" si="156"/>
        <v>1</v>
      </c>
      <c r="H1107" s="2">
        <f t="shared" si="156"/>
        <v>0.36449057933102513</v>
      </c>
      <c r="I1107" s="2">
        <f t="shared" si="157"/>
        <v>0</v>
      </c>
      <c r="J1107" s="389">
        <f t="shared" si="158"/>
        <v>0</v>
      </c>
      <c r="L1107" s="721"/>
      <c r="M1107" s="581">
        <v>530</v>
      </c>
      <c r="N1107" s="585" t="s">
        <v>1738</v>
      </c>
      <c r="O1107" s="586" t="s">
        <v>4685</v>
      </c>
      <c r="P1107" s="233">
        <f t="shared" si="159"/>
        <v>0</v>
      </c>
      <c r="Q1107" s="233">
        <f t="shared" si="160"/>
        <v>530</v>
      </c>
      <c r="R1107" s="2">
        <f t="shared" si="161"/>
        <v>2</v>
      </c>
      <c r="S1107" s="2">
        <f>(1/9)*cnst_fish!$C$7*(1/cnst_fish!$C$8)^(R1107-1)</f>
        <v>1.4102564102564099</v>
      </c>
      <c r="T1107" s="682">
        <f t="shared" si="162"/>
        <v>64.101963122168215</v>
      </c>
      <c r="W1107" s="818"/>
      <c r="X1107" s="818"/>
      <c r="Y1107" s="819"/>
      <c r="Z1107" s="820"/>
      <c r="AA1107" s="820"/>
      <c r="AB1107" s="821"/>
      <c r="AC1107" s="821"/>
      <c r="AD1107" s="253"/>
      <c r="AE1107" s="253"/>
    </row>
    <row r="1108" spans="1:31" ht="14.5">
      <c r="A1108" t="s">
        <v>2546</v>
      </c>
      <c r="B1108" t="s">
        <v>314</v>
      </c>
      <c r="C1108">
        <v>3012</v>
      </c>
      <c r="D1108" s="581"/>
      <c r="E1108" s="581">
        <v>2.75</v>
      </c>
      <c r="F1108" s="2">
        <f>(1/S1108)*cnst_fish!$C$6</f>
        <v>2.8124890974018386E-2</v>
      </c>
      <c r="G1108" s="2">
        <f t="shared" ref="G1108:H1127" si="163">G$7</f>
        <v>1</v>
      </c>
      <c r="H1108" s="2">
        <f t="shared" si="163"/>
        <v>0.36449057933102513</v>
      </c>
      <c r="I1108" s="2">
        <f t="shared" si="157"/>
        <v>0</v>
      </c>
      <c r="J1108" s="389">
        <f t="shared" si="158"/>
        <v>35.639217022611163</v>
      </c>
      <c r="L1108" s="721">
        <v>111.72</v>
      </c>
      <c r="M1108" s="581">
        <v>6181.75</v>
      </c>
      <c r="N1108" s="585" t="s">
        <v>1738</v>
      </c>
      <c r="O1108" s="586" t="s">
        <v>4685</v>
      </c>
      <c r="P1108" s="233">
        <f t="shared" si="159"/>
        <v>2.75</v>
      </c>
      <c r="Q1108" s="233">
        <f t="shared" si="160"/>
        <v>6293.47</v>
      </c>
      <c r="R1108" s="2">
        <f t="shared" si="161"/>
        <v>4.03</v>
      </c>
      <c r="S1108" s="2">
        <f>(1/9)*cnst_fish!$C$7*(1/cnst_fish!$C$8)^(R1108-1)</f>
        <v>151.11169689248311</v>
      </c>
      <c r="T1108" s="682">
        <f t="shared" si="162"/>
        <v>81561.579329197339</v>
      </c>
      <c r="W1108" s="818"/>
      <c r="X1108" s="818"/>
      <c r="Y1108" s="819"/>
      <c r="Z1108" s="820"/>
      <c r="AA1108" s="820"/>
      <c r="AB1108" s="821"/>
      <c r="AC1108" s="821"/>
      <c r="AD1108" s="253"/>
      <c r="AE1108" s="253"/>
    </row>
    <row r="1109" spans="1:31" ht="14.5">
      <c r="A1109" t="s">
        <v>602</v>
      </c>
      <c r="B1109" t="s">
        <v>3518</v>
      </c>
      <c r="C1109">
        <v>3621</v>
      </c>
      <c r="D1109" s="581"/>
      <c r="E1109" s="581"/>
      <c r="F1109" s="2">
        <f>(1/S1109)*cnst_fish!$C$6</f>
        <v>1.5103960722494616</v>
      </c>
      <c r="G1109" s="2">
        <f t="shared" si="163"/>
        <v>1</v>
      </c>
      <c r="H1109" s="2">
        <f t="shared" si="163"/>
        <v>0.36449057933102513</v>
      </c>
      <c r="I1109" s="2">
        <f t="shared" si="157"/>
        <v>0</v>
      </c>
      <c r="J1109" s="389">
        <f t="shared" si="158"/>
        <v>0</v>
      </c>
      <c r="L1109" s="721">
        <v>32271</v>
      </c>
      <c r="M1109" s="581"/>
      <c r="N1109" s="585" t="s">
        <v>1736</v>
      </c>
      <c r="O1109" s="586" t="s">
        <v>4691</v>
      </c>
      <c r="P1109" s="233">
        <f t="shared" si="159"/>
        <v>0</v>
      </c>
      <c r="Q1109" s="233">
        <f t="shared" si="160"/>
        <v>32271</v>
      </c>
      <c r="R1109" s="2">
        <f t="shared" si="161"/>
        <v>2.2999999999999998</v>
      </c>
      <c r="S1109" s="2">
        <f>(1/9)*cnst_fish!$C$7*(1/cnst_fish!$C$8)^(R1109-1)</f>
        <v>2.8138314698279068</v>
      </c>
      <c r="T1109" s="682">
        <f t="shared" si="162"/>
        <v>7787.6761610439262</v>
      </c>
      <c r="W1109" s="818"/>
      <c r="X1109" s="818"/>
      <c r="Y1109" s="819"/>
      <c r="Z1109" s="820"/>
      <c r="AA1109" s="820"/>
      <c r="AB1109" s="821"/>
      <c r="AC1109" s="821"/>
      <c r="AD1109" s="253"/>
      <c r="AE1109" s="253"/>
    </row>
    <row r="1110" spans="1:31" ht="14.5">
      <c r="A1110" t="s">
        <v>8655</v>
      </c>
      <c r="B1110" t="s">
        <v>8656</v>
      </c>
      <c r="C1110">
        <v>2077</v>
      </c>
      <c r="D1110" s="581"/>
      <c r="E1110" s="581"/>
      <c r="F1110" s="2">
        <f>(1/S1110)*cnst_fish!$C$6</f>
        <v>0.23393265378401026</v>
      </c>
      <c r="G1110" s="2">
        <f t="shared" si="163"/>
        <v>1</v>
      </c>
      <c r="H1110" s="2">
        <f t="shared" si="163"/>
        <v>0.36449057933102513</v>
      </c>
      <c r="I1110" s="2">
        <f t="shared" si="157"/>
        <v>0</v>
      </c>
      <c r="J1110" s="389">
        <f t="shared" si="158"/>
        <v>0</v>
      </c>
      <c r="L1110" s="721"/>
      <c r="M1110" s="581">
        <v>63320</v>
      </c>
      <c r="N1110" s="585" t="s">
        <v>1738</v>
      </c>
      <c r="O1110" s="586" t="s">
        <v>4685</v>
      </c>
      <c r="P1110" s="233">
        <f t="shared" si="159"/>
        <v>0</v>
      </c>
      <c r="Q1110" s="233">
        <f t="shared" si="160"/>
        <v>63320</v>
      </c>
      <c r="R1110" s="2">
        <f t="shared" si="161"/>
        <v>3.11</v>
      </c>
      <c r="S1110" s="2">
        <f>(1/9)*cnst_fish!$C$7*(1/cnst_fish!$C$8)^(R1110-1)</f>
        <v>18.16762188285189</v>
      </c>
      <c r="T1110" s="682">
        <f t="shared" si="162"/>
        <v>98658.922172318125</v>
      </c>
      <c r="W1110" s="818"/>
      <c r="X1110" s="818"/>
      <c r="Y1110" s="819"/>
      <c r="Z1110" s="820"/>
      <c r="AA1110" s="820"/>
      <c r="AB1110" s="821"/>
      <c r="AC1110" s="821"/>
      <c r="AD1110" s="253"/>
      <c r="AE1110" s="253"/>
    </row>
    <row r="1111" spans="1:31" ht="14.5">
      <c r="A1111" t="s">
        <v>4001</v>
      </c>
      <c r="B1111" t="s">
        <v>8657</v>
      </c>
      <c r="C1111">
        <v>10727</v>
      </c>
      <c r="D1111" s="581"/>
      <c r="E1111" s="581"/>
      <c r="F1111" s="2">
        <f>(1/S1111)*cnst_fish!$C$6</f>
        <v>0.47762917572805397</v>
      </c>
      <c r="G1111" s="2">
        <f t="shared" si="163"/>
        <v>1</v>
      </c>
      <c r="H1111" s="2">
        <f t="shared" si="163"/>
        <v>0.36449057933102513</v>
      </c>
      <c r="I1111" s="2">
        <f t="shared" si="157"/>
        <v>0</v>
      </c>
      <c r="J1111" s="389">
        <f t="shared" si="158"/>
        <v>0</v>
      </c>
      <c r="L1111" s="721"/>
      <c r="M1111" s="581"/>
      <c r="N1111" s="585" t="s">
        <v>1738</v>
      </c>
      <c r="O1111" s="586" t="s">
        <v>4685</v>
      </c>
      <c r="P1111" s="233">
        <f t="shared" si="159"/>
        <v>0</v>
      </c>
      <c r="Q1111" s="233">
        <f t="shared" si="160"/>
        <v>0</v>
      </c>
      <c r="R1111" s="2">
        <f t="shared" si="161"/>
        <v>2.8</v>
      </c>
      <c r="S1111" s="2">
        <f>(1/9)*cnst_fish!$C$7*(1/cnst_fish!$C$8)^(R1111-1)</f>
        <v>8.8981163965155421</v>
      </c>
      <c r="T1111" s="682">
        <f t="shared" si="162"/>
        <v>0</v>
      </c>
      <c r="W1111" s="818"/>
      <c r="X1111" s="818"/>
      <c r="Y1111" s="819"/>
      <c r="Z1111" s="820"/>
      <c r="AA1111" s="820"/>
      <c r="AB1111" s="821"/>
      <c r="AC1111" s="821"/>
      <c r="AD1111" s="253"/>
      <c r="AE1111" s="253"/>
    </row>
    <row r="1112" spans="1:31" ht="14.5">
      <c r="A1112" t="s">
        <v>6565</v>
      </c>
      <c r="B1112" t="s">
        <v>6564</v>
      </c>
      <c r="C1112">
        <v>13265</v>
      </c>
      <c r="D1112" s="581"/>
      <c r="E1112" s="581"/>
      <c r="F1112" s="2">
        <f>(1/S1112)*cnst_fish!$C$6</f>
        <v>1.5103960722494611E-2</v>
      </c>
      <c r="G1112" s="2">
        <f t="shared" si="163"/>
        <v>1</v>
      </c>
      <c r="H1112" s="2">
        <f t="shared" si="163"/>
        <v>0.36449057933102513</v>
      </c>
      <c r="I1112" s="2">
        <f t="shared" si="157"/>
        <v>0</v>
      </c>
      <c r="J1112" s="389">
        <f t="shared" si="158"/>
        <v>0</v>
      </c>
      <c r="L1112" s="721"/>
      <c r="M1112" s="581">
        <v>393.48</v>
      </c>
      <c r="N1112" s="585" t="s">
        <v>1738</v>
      </c>
      <c r="O1112" s="586" t="s">
        <v>4685</v>
      </c>
      <c r="P1112" s="233">
        <f t="shared" si="159"/>
        <v>0</v>
      </c>
      <c r="Q1112" s="233">
        <f t="shared" si="160"/>
        <v>393.48</v>
      </c>
      <c r="R1112" s="2">
        <f t="shared" si="161"/>
        <v>4.3</v>
      </c>
      <c r="S1112" s="2">
        <f>(1/9)*cnst_fish!$C$7*(1/cnst_fish!$C$8)^(R1112-1)</f>
        <v>281.38314698279078</v>
      </c>
      <c r="T1112" s="682">
        <f t="shared" si="162"/>
        <v>9495.5062311287711</v>
      </c>
      <c r="W1112" s="818"/>
      <c r="X1112" s="818"/>
      <c r="Y1112" s="819"/>
      <c r="Z1112" s="820"/>
      <c r="AA1112" s="820"/>
      <c r="AB1112" s="821"/>
      <c r="AC1112" s="821"/>
      <c r="AD1112" s="253"/>
      <c r="AE1112" s="253"/>
    </row>
    <row r="1113" spans="1:31" ht="14.5">
      <c r="A1113" t="s">
        <v>3521</v>
      </c>
      <c r="B1113" t="s">
        <v>2066</v>
      </c>
      <c r="C1113">
        <v>3133</v>
      </c>
      <c r="D1113" s="581"/>
      <c r="E1113" s="581"/>
      <c r="F1113" s="2">
        <f>(1/S1113)*cnst_fish!$C$6</f>
        <v>3.2291695426024204E-2</v>
      </c>
      <c r="G1113" s="2">
        <f t="shared" si="163"/>
        <v>1</v>
      </c>
      <c r="H1113" s="2">
        <f t="shared" si="163"/>
        <v>0.36449057933102513</v>
      </c>
      <c r="I1113" s="2">
        <f t="shared" si="157"/>
        <v>0</v>
      </c>
      <c r="J1113" s="389">
        <f t="shared" si="158"/>
        <v>0</v>
      </c>
      <c r="L1113" s="721">
        <v>81974.39</v>
      </c>
      <c r="M1113" s="581"/>
      <c r="N1113" s="585" t="s">
        <v>1738</v>
      </c>
      <c r="O1113" s="586" t="s">
        <v>4681</v>
      </c>
      <c r="P1113" s="233">
        <f t="shared" si="159"/>
        <v>0</v>
      </c>
      <c r="Q1113" s="233">
        <f t="shared" si="160"/>
        <v>81974.39</v>
      </c>
      <c r="R1113" s="2">
        <f t="shared" si="161"/>
        <v>3.97</v>
      </c>
      <c r="S1113" s="2">
        <f>(1/9)*cnst_fish!$C$7*(1/cnst_fish!$C$8)^(R1113-1)</f>
        <v>131.61278600983218</v>
      </c>
      <c r="T1113" s="682">
        <f t="shared" si="162"/>
        <v>925281.02062202932</v>
      </c>
      <c r="W1113" s="818"/>
      <c r="X1113" s="818"/>
      <c r="Y1113" s="819"/>
      <c r="Z1113" s="820"/>
      <c r="AA1113" s="820"/>
      <c r="AB1113" s="821"/>
      <c r="AC1113" s="821"/>
      <c r="AD1113" s="253"/>
      <c r="AE1113" s="253"/>
    </row>
    <row r="1114" spans="1:31" ht="14.5">
      <c r="A1114" t="s">
        <v>1948</v>
      </c>
      <c r="B1114" t="s">
        <v>1949</v>
      </c>
      <c r="C1114">
        <v>13275</v>
      </c>
      <c r="D1114" s="581"/>
      <c r="E1114" s="581"/>
      <c r="F1114" s="2">
        <f>(1/S1114)*cnst_fish!$C$6</f>
        <v>4.1599762155986937E-2</v>
      </c>
      <c r="G1114" s="2">
        <f t="shared" si="163"/>
        <v>1</v>
      </c>
      <c r="H1114" s="2">
        <f t="shared" si="163"/>
        <v>0.36449057933102513</v>
      </c>
      <c r="I1114" s="2">
        <f t="shared" si="157"/>
        <v>0</v>
      </c>
      <c r="J1114" s="389">
        <f t="shared" si="158"/>
        <v>0</v>
      </c>
      <c r="L1114" s="721">
        <v>276</v>
      </c>
      <c r="M1114" s="581"/>
      <c r="N1114" s="585" t="s">
        <v>1738</v>
      </c>
      <c r="O1114" s="586" t="s">
        <v>4681</v>
      </c>
      <c r="P1114" s="233">
        <f t="shared" si="159"/>
        <v>0</v>
      </c>
      <c r="Q1114" s="233">
        <f t="shared" si="160"/>
        <v>276</v>
      </c>
      <c r="R1114" s="2">
        <f t="shared" si="161"/>
        <v>3.86</v>
      </c>
      <c r="S1114" s="2">
        <f>(1/9)*cnst_fish!$C$7*(1/cnst_fish!$C$8)^(R1114-1)</f>
        <v>102.16404565160117</v>
      </c>
      <c r="T1114" s="682">
        <f t="shared" si="162"/>
        <v>2418.2686313961271</v>
      </c>
      <c r="W1114" s="818"/>
      <c r="X1114" s="818"/>
      <c r="Y1114" s="819"/>
      <c r="Z1114" s="820"/>
      <c r="AA1114" s="820"/>
      <c r="AB1114" s="821"/>
      <c r="AC1114" s="821"/>
      <c r="AD1114" s="253"/>
      <c r="AE1114" s="253"/>
    </row>
    <row r="1115" spans="1:31" ht="14.5">
      <c r="A1115" t="s">
        <v>527</v>
      </c>
      <c r="B1115" t="s">
        <v>2486</v>
      </c>
      <c r="C1115">
        <v>3134</v>
      </c>
      <c r="D1115" s="581"/>
      <c r="E1115" s="581"/>
      <c r="F1115" s="2">
        <f>(1/S1115)*cnst_fish!$C$6</f>
        <v>7.9266712664847111E-2</v>
      </c>
      <c r="G1115" s="2">
        <f t="shared" si="163"/>
        <v>1</v>
      </c>
      <c r="H1115" s="2">
        <f t="shared" si="163"/>
        <v>0.36449057933102513</v>
      </c>
      <c r="I1115" s="2">
        <f t="shared" si="157"/>
        <v>0</v>
      </c>
      <c r="J1115" s="389">
        <f t="shared" si="158"/>
        <v>0</v>
      </c>
      <c r="L1115" s="721">
        <v>14677</v>
      </c>
      <c r="M1115" s="581"/>
      <c r="N1115" s="585" t="s">
        <v>1738</v>
      </c>
      <c r="O1115" s="586" t="s">
        <v>4681</v>
      </c>
      <c r="P1115" s="233">
        <f t="shared" si="159"/>
        <v>0</v>
      </c>
      <c r="Q1115" s="233">
        <f t="shared" si="160"/>
        <v>14677</v>
      </c>
      <c r="R1115" s="2">
        <f t="shared" si="161"/>
        <v>3.58</v>
      </c>
      <c r="S1115" s="2">
        <f>(1/9)*cnst_fish!$C$7*(1/cnst_fish!$C$8)^(R1115-1)</f>
        <v>53.616453327258682</v>
      </c>
      <c r="T1115" s="682">
        <f t="shared" si="162"/>
        <v>67488.962932783354</v>
      </c>
      <c r="W1115" s="818"/>
      <c r="X1115" s="818"/>
      <c r="Y1115" s="819"/>
      <c r="Z1115" s="820"/>
      <c r="AA1115" s="820"/>
      <c r="AB1115" s="821"/>
      <c r="AC1115" s="821"/>
      <c r="AD1115" s="253"/>
      <c r="AE1115" s="253"/>
    </row>
    <row r="1116" spans="1:31" ht="14.5">
      <c r="A1116" t="s">
        <v>183</v>
      </c>
      <c r="B1116" t="s">
        <v>2487</v>
      </c>
      <c r="C1116">
        <v>3135</v>
      </c>
      <c r="D1116" s="581"/>
      <c r="E1116" s="581"/>
      <c r="F1116" s="2">
        <f>(1/S1116)*cnst_fish!$C$6</f>
        <v>2.7484690295134888E-2</v>
      </c>
      <c r="G1116" s="2">
        <f t="shared" si="163"/>
        <v>1</v>
      </c>
      <c r="H1116" s="2">
        <f t="shared" si="163"/>
        <v>0.36449057933102513</v>
      </c>
      <c r="I1116" s="2">
        <f t="shared" si="157"/>
        <v>0</v>
      </c>
      <c r="J1116" s="389">
        <f t="shared" si="158"/>
        <v>0</v>
      </c>
      <c r="L1116" s="721">
        <v>860</v>
      </c>
      <c r="M1116" s="581"/>
      <c r="N1116" s="585" t="s">
        <v>1738</v>
      </c>
      <c r="O1116" s="586" t="s">
        <v>4681</v>
      </c>
      <c r="P1116" s="233">
        <f t="shared" si="159"/>
        <v>0</v>
      </c>
      <c r="Q1116" s="233">
        <f t="shared" si="160"/>
        <v>860</v>
      </c>
      <c r="R1116" s="2">
        <f t="shared" si="161"/>
        <v>4.04</v>
      </c>
      <c r="S1116" s="2">
        <f>(1/9)*cnst_fish!$C$7*(1/cnst_fish!$C$8)^(R1116-1)</f>
        <v>154.63154048173138</v>
      </c>
      <c r="T1116" s="682">
        <f t="shared" si="162"/>
        <v>11404.963812896522</v>
      </c>
      <c r="W1116" s="818"/>
      <c r="X1116" s="818"/>
      <c r="Y1116" s="819"/>
      <c r="Z1116" s="820"/>
      <c r="AA1116" s="820"/>
      <c r="AB1116" s="821"/>
      <c r="AC1116" s="821"/>
      <c r="AD1116" s="253"/>
      <c r="AE1116" s="253"/>
    </row>
    <row r="1117" spans="1:31" ht="14.5">
      <c r="A1117" t="s">
        <v>3522</v>
      </c>
      <c r="B1117" t="s">
        <v>2488</v>
      </c>
      <c r="C1117">
        <v>13278</v>
      </c>
      <c r="D1117" s="581"/>
      <c r="E1117" s="581"/>
      <c r="F1117" s="2">
        <f>(1/S1117)*cnst_fish!$C$6</f>
        <v>2.3393265378400998E-2</v>
      </c>
      <c r="G1117" s="2">
        <f t="shared" si="163"/>
        <v>1</v>
      </c>
      <c r="H1117" s="2">
        <f t="shared" si="163"/>
        <v>0.36449057933102513</v>
      </c>
      <c r="I1117" s="2">
        <f t="shared" si="157"/>
        <v>0</v>
      </c>
      <c r="J1117" s="389">
        <f t="shared" si="158"/>
        <v>0</v>
      </c>
      <c r="L1117" s="721">
        <v>413</v>
      </c>
      <c r="M1117" s="581"/>
      <c r="N1117" s="585" t="s">
        <v>1738</v>
      </c>
      <c r="O1117" s="586" t="s">
        <v>4681</v>
      </c>
      <c r="P1117" s="233">
        <f t="shared" si="159"/>
        <v>0</v>
      </c>
      <c r="Q1117" s="233">
        <f t="shared" si="160"/>
        <v>413</v>
      </c>
      <c r="R1117" s="2">
        <f t="shared" si="161"/>
        <v>4.1100000000000003</v>
      </c>
      <c r="S1117" s="2">
        <f>(1/9)*cnst_fish!$C$7*(1/cnst_fish!$C$8)^(R1117-1)</f>
        <v>181.67621882851913</v>
      </c>
      <c r="T1117" s="682">
        <f t="shared" si="162"/>
        <v>6434.9549679670627</v>
      </c>
      <c r="W1117" s="818"/>
      <c r="X1117" s="818"/>
      <c r="Y1117" s="819"/>
      <c r="Z1117" s="820"/>
      <c r="AA1117" s="820"/>
      <c r="AB1117" s="821"/>
      <c r="AC1117" s="821"/>
      <c r="AD1117" s="253"/>
      <c r="AE1117" s="253"/>
    </row>
    <row r="1118" spans="1:31" ht="14.5">
      <c r="A1118" t="s">
        <v>6265</v>
      </c>
      <c r="B1118" t="s">
        <v>6264</v>
      </c>
      <c r="C1118">
        <v>13279</v>
      </c>
      <c r="D1118" s="581"/>
      <c r="E1118" s="581"/>
      <c r="F1118" s="2">
        <f>(1/S1118)*cnst_fish!$C$6</f>
        <v>3.0136363636363641</v>
      </c>
      <c r="G1118" s="2">
        <f t="shared" si="163"/>
        <v>1</v>
      </c>
      <c r="H1118" s="2">
        <f t="shared" si="163"/>
        <v>0.36449057933102513</v>
      </c>
      <c r="I1118" s="2">
        <f t="shared" si="157"/>
        <v>0</v>
      </c>
      <c r="J1118" s="389">
        <f t="shared" si="158"/>
        <v>0</v>
      </c>
      <c r="L1118" s="721">
        <v>10</v>
      </c>
      <c r="M1118" s="581"/>
      <c r="N1118" s="585" t="s">
        <v>1738</v>
      </c>
      <c r="O1118" s="586" t="s">
        <v>4681</v>
      </c>
      <c r="P1118" s="233">
        <f t="shared" si="159"/>
        <v>0</v>
      </c>
      <c r="Q1118" s="233">
        <f t="shared" si="160"/>
        <v>10</v>
      </c>
      <c r="R1118" s="2">
        <f t="shared" si="161"/>
        <v>2</v>
      </c>
      <c r="S1118" s="2">
        <f>(1/9)*cnst_fish!$C$7*(1/cnst_fish!$C$8)^(R1118-1)</f>
        <v>1.4102564102564099</v>
      </c>
      <c r="T1118" s="682">
        <f t="shared" si="162"/>
        <v>1.2094710023050605</v>
      </c>
      <c r="W1118" s="818"/>
      <c r="X1118" s="818"/>
      <c r="Y1118" s="819"/>
      <c r="Z1118" s="820"/>
      <c r="AA1118" s="820"/>
      <c r="AB1118" s="821"/>
      <c r="AC1118" s="821"/>
      <c r="AD1118" s="253"/>
      <c r="AE1118" s="253"/>
    </row>
    <row r="1119" spans="1:31" ht="14.5">
      <c r="A1119" t="s">
        <v>2097</v>
      </c>
      <c r="B1119" t="s">
        <v>1696</v>
      </c>
      <c r="C1119">
        <v>3136</v>
      </c>
      <c r="D1119" s="581"/>
      <c r="E1119" s="581"/>
      <c r="F1119" s="2">
        <f>(1/S1119)*cnst_fish!$C$6</f>
        <v>2.945037624971374E-2</v>
      </c>
      <c r="G1119" s="2">
        <f t="shared" si="163"/>
        <v>1</v>
      </c>
      <c r="H1119" s="2">
        <f t="shared" si="163"/>
        <v>0.36449057933102513</v>
      </c>
      <c r="I1119" s="2">
        <f t="shared" si="157"/>
        <v>0</v>
      </c>
      <c r="J1119" s="389">
        <f t="shared" si="158"/>
        <v>0</v>
      </c>
      <c r="L1119" s="721">
        <v>8671</v>
      </c>
      <c r="M1119" s="581"/>
      <c r="N1119" s="585" t="s">
        <v>1738</v>
      </c>
      <c r="O1119" s="586" t="s">
        <v>4681</v>
      </c>
      <c r="P1119" s="233">
        <f t="shared" si="159"/>
        <v>0</v>
      </c>
      <c r="Q1119" s="233">
        <f t="shared" si="160"/>
        <v>8671</v>
      </c>
      <c r="R1119" s="2">
        <f t="shared" si="161"/>
        <v>4.01</v>
      </c>
      <c r="S1119" s="2">
        <f>(1/9)*cnst_fish!$C$7*(1/cnst_fish!$C$8)^(R1119-1)</f>
        <v>144.31055019343972</v>
      </c>
      <c r="T1119" s="682">
        <f t="shared" si="162"/>
        <v>107316.04196092534</v>
      </c>
      <c r="W1119" s="818"/>
      <c r="X1119" s="818"/>
      <c r="Y1119" s="819"/>
      <c r="Z1119" s="820"/>
      <c r="AA1119" s="820"/>
      <c r="AB1119" s="821"/>
      <c r="AC1119" s="821"/>
      <c r="AD1119" s="253"/>
      <c r="AE1119" s="253"/>
    </row>
    <row r="1120" spans="1:31" ht="14.5">
      <c r="A1120" t="s">
        <v>4792</v>
      </c>
      <c r="B1120" t="s">
        <v>452</v>
      </c>
      <c r="C1120">
        <v>13281</v>
      </c>
      <c r="D1120" s="581"/>
      <c r="E1120" s="581"/>
      <c r="F1120" s="2">
        <f>(1/S1120)*cnst_fish!$C$6</f>
        <v>1.8158954798513597E-2</v>
      </c>
      <c r="G1120" s="2">
        <f t="shared" si="163"/>
        <v>1</v>
      </c>
      <c r="H1120" s="2">
        <f t="shared" si="163"/>
        <v>0.36449057933102513</v>
      </c>
      <c r="I1120" s="2">
        <f t="shared" si="157"/>
        <v>0</v>
      </c>
      <c r="J1120" s="389">
        <f t="shared" si="158"/>
        <v>0</v>
      </c>
      <c r="L1120" s="721">
        <v>554</v>
      </c>
      <c r="M1120" s="581"/>
      <c r="N1120" s="585" t="s">
        <v>1738</v>
      </c>
      <c r="O1120" s="586" t="s">
        <v>4681</v>
      </c>
      <c r="P1120" s="233">
        <f t="shared" si="159"/>
        <v>0</v>
      </c>
      <c r="Q1120" s="233">
        <f t="shared" si="160"/>
        <v>554</v>
      </c>
      <c r="R1120" s="2">
        <f t="shared" si="161"/>
        <v>4.22</v>
      </c>
      <c r="S1120" s="2">
        <f>(1/9)*cnst_fish!$C$7*(1/cnst_fish!$C$8)^(R1120-1)</f>
        <v>234.0443074591432</v>
      </c>
      <c r="T1120" s="682">
        <f t="shared" si="162"/>
        <v>11120.011211543781</v>
      </c>
      <c r="W1120" s="818"/>
      <c r="X1120" s="818"/>
      <c r="Y1120" s="819"/>
      <c r="Z1120" s="820"/>
      <c r="AA1120" s="820"/>
      <c r="AB1120" s="821"/>
      <c r="AC1120" s="821"/>
      <c r="AD1120" s="253"/>
      <c r="AE1120" s="253"/>
    </row>
    <row r="1121" spans="1:31" ht="14.5">
      <c r="A1121" t="s">
        <v>8658</v>
      </c>
      <c r="B1121" t="s">
        <v>8659</v>
      </c>
      <c r="C1121">
        <v>18871</v>
      </c>
      <c r="D1121" s="581"/>
      <c r="E1121" s="581"/>
      <c r="F1121" s="2">
        <f>(1/S1121)*cnst_fish!$C$6</f>
        <v>3.0136363636363642E-2</v>
      </c>
      <c r="G1121" s="2">
        <f t="shared" si="163"/>
        <v>1</v>
      </c>
      <c r="H1121" s="2">
        <f t="shared" si="163"/>
        <v>0.36449057933102513</v>
      </c>
      <c r="I1121" s="2">
        <f t="shared" si="157"/>
        <v>0</v>
      </c>
      <c r="J1121" s="389">
        <f t="shared" si="158"/>
        <v>0</v>
      </c>
      <c r="L1121" s="721">
        <v>200</v>
      </c>
      <c r="M1121" s="581"/>
      <c r="N1121" s="585" t="s">
        <v>1738</v>
      </c>
      <c r="O1121" s="586" t="s">
        <v>4681</v>
      </c>
      <c r="P1121" s="233">
        <f t="shared" si="159"/>
        <v>0</v>
      </c>
      <c r="Q1121" s="233">
        <f t="shared" si="160"/>
        <v>200</v>
      </c>
      <c r="R1121" s="2">
        <f t="shared" si="161"/>
        <v>4</v>
      </c>
      <c r="S1121" s="2">
        <f>(1/9)*cnst_fish!$C$7*(1/cnst_fish!$C$8)^(R1121-1)</f>
        <v>141.02564102564099</v>
      </c>
      <c r="T1121" s="682">
        <f t="shared" si="162"/>
        <v>2418.9420046101209</v>
      </c>
      <c r="W1121" s="818"/>
      <c r="X1121" s="818"/>
      <c r="Y1121" s="819"/>
      <c r="Z1121" s="820"/>
      <c r="AA1121" s="820"/>
      <c r="AB1121" s="821"/>
      <c r="AC1121" s="821"/>
      <c r="AD1121" s="253"/>
      <c r="AE1121" s="253"/>
    </row>
    <row r="1122" spans="1:31" ht="14.5">
      <c r="A1122" t="s">
        <v>2209</v>
      </c>
      <c r="B1122" t="s">
        <v>4372</v>
      </c>
      <c r="C1122">
        <v>13287</v>
      </c>
      <c r="D1122" s="581"/>
      <c r="E1122" s="581"/>
      <c r="F1122" s="2">
        <f>(1/S1122)*cnst_fish!$C$6</f>
        <v>7.2292101150450983E-2</v>
      </c>
      <c r="G1122" s="2">
        <f t="shared" si="163"/>
        <v>1</v>
      </c>
      <c r="H1122" s="2">
        <f t="shared" si="163"/>
        <v>0.36449057933102513</v>
      </c>
      <c r="I1122" s="2">
        <f t="shared" si="157"/>
        <v>0</v>
      </c>
      <c r="J1122" s="389">
        <f t="shared" si="158"/>
        <v>0</v>
      </c>
      <c r="L1122" s="721">
        <v>288</v>
      </c>
      <c r="M1122" s="581"/>
      <c r="N1122" s="585" t="s">
        <v>1738</v>
      </c>
      <c r="O1122" s="586" t="s">
        <v>4681</v>
      </c>
      <c r="P1122" s="233">
        <f t="shared" si="159"/>
        <v>0</v>
      </c>
      <c r="Q1122" s="233">
        <f t="shared" si="160"/>
        <v>288</v>
      </c>
      <c r="R1122" s="2">
        <f t="shared" si="161"/>
        <v>3.62</v>
      </c>
      <c r="S1122" s="2">
        <f>(1/9)*cnst_fish!$C$7*(1/cnst_fish!$C$8)^(R1122-1)</f>
        <v>58.789272027867845</v>
      </c>
      <c r="T1122" s="682">
        <f t="shared" si="162"/>
        <v>1452.0713214417392</v>
      </c>
      <c r="W1122" s="818"/>
      <c r="X1122" s="818"/>
      <c r="Y1122" s="819"/>
      <c r="Z1122" s="820"/>
      <c r="AA1122" s="820"/>
      <c r="AB1122" s="821"/>
      <c r="AC1122" s="821"/>
      <c r="AD1122" s="253"/>
      <c r="AE1122" s="253"/>
    </row>
    <row r="1123" spans="1:31" ht="14.5">
      <c r="A1123" t="s">
        <v>8660</v>
      </c>
      <c r="B1123" t="s">
        <v>8661</v>
      </c>
      <c r="C1123">
        <v>13288</v>
      </c>
      <c r="D1123" s="581"/>
      <c r="E1123" s="581"/>
      <c r="F1123" s="2">
        <f>(1/S1123)*cnst_fish!$C$6</f>
        <v>3.0136363636363642E-2</v>
      </c>
      <c r="G1123" s="2">
        <f t="shared" si="163"/>
        <v>1</v>
      </c>
      <c r="H1123" s="2">
        <f t="shared" si="163"/>
        <v>0.36449057933102513</v>
      </c>
      <c r="I1123" s="2">
        <f t="shared" si="157"/>
        <v>0</v>
      </c>
      <c r="J1123" s="389">
        <f t="shared" si="158"/>
        <v>0</v>
      </c>
      <c r="L1123" s="721">
        <v>622</v>
      </c>
      <c r="M1123" s="581"/>
      <c r="N1123" s="585" t="s">
        <v>1738</v>
      </c>
      <c r="O1123" s="586" t="s">
        <v>4681</v>
      </c>
      <c r="P1123" s="233">
        <f t="shared" si="159"/>
        <v>0</v>
      </c>
      <c r="Q1123" s="233">
        <f t="shared" si="160"/>
        <v>622</v>
      </c>
      <c r="R1123" s="2">
        <f t="shared" si="161"/>
        <v>4</v>
      </c>
      <c r="S1123" s="2">
        <f>(1/9)*cnst_fish!$C$7*(1/cnst_fish!$C$8)^(R1123-1)</f>
        <v>141.02564102564099</v>
      </c>
      <c r="T1123" s="682">
        <f t="shared" si="162"/>
        <v>7522.9096343374767</v>
      </c>
      <c r="W1123" s="822"/>
      <c r="X1123" s="822"/>
      <c r="Y1123" s="819"/>
      <c r="Z1123" s="820"/>
      <c r="AA1123" s="820"/>
      <c r="AB1123" s="821"/>
      <c r="AC1123" s="821"/>
      <c r="AD1123" s="253"/>
      <c r="AE1123" s="253"/>
    </row>
    <row r="1124" spans="1:31" ht="14.5">
      <c r="A1124" t="s">
        <v>1325</v>
      </c>
      <c r="B1124" t="s">
        <v>2249</v>
      </c>
      <c r="C1124">
        <v>13289</v>
      </c>
      <c r="D1124" s="581"/>
      <c r="E1124" s="581"/>
      <c r="F1124" s="2">
        <f>(1/S1124)*cnst_fish!$C$6</f>
        <v>1.6946922663690963E-2</v>
      </c>
      <c r="G1124" s="2">
        <f t="shared" si="163"/>
        <v>1</v>
      </c>
      <c r="H1124" s="2">
        <f t="shared" si="163"/>
        <v>0.36449057933102513</v>
      </c>
      <c r="I1124" s="2">
        <f t="shared" si="157"/>
        <v>0</v>
      </c>
      <c r="J1124" s="389">
        <f t="shared" si="158"/>
        <v>0</v>
      </c>
      <c r="L1124" s="721">
        <v>774</v>
      </c>
      <c r="M1124" s="581"/>
      <c r="N1124" s="585" t="s">
        <v>1738</v>
      </c>
      <c r="O1124" s="586" t="s">
        <v>4681</v>
      </c>
      <c r="P1124" s="233">
        <f t="shared" si="159"/>
        <v>0</v>
      </c>
      <c r="Q1124" s="233">
        <f t="shared" si="160"/>
        <v>774</v>
      </c>
      <c r="R1124" s="2">
        <f t="shared" si="161"/>
        <v>4.25</v>
      </c>
      <c r="S1124" s="2">
        <f>(1/9)*cnst_fish!$C$7*(1/cnst_fish!$C$8)^(R1124-1)</f>
        <v>250.78299372343801</v>
      </c>
      <c r="T1124" s="682">
        <f t="shared" si="162"/>
        <v>16647.016924591895</v>
      </c>
      <c r="W1124" s="818"/>
      <c r="X1124" s="818"/>
      <c r="Y1124" s="819"/>
      <c r="Z1124" s="820"/>
      <c r="AA1124" s="820"/>
      <c r="AB1124" s="821"/>
      <c r="AC1124" s="821"/>
      <c r="AD1124" s="253"/>
      <c r="AE1124" s="253"/>
    </row>
    <row r="1125" spans="1:31" ht="14.5">
      <c r="A1125" t="s">
        <v>4739</v>
      </c>
      <c r="B1125" t="s">
        <v>4740</v>
      </c>
      <c r="C1125">
        <v>13290</v>
      </c>
      <c r="D1125" s="581"/>
      <c r="E1125" s="581"/>
      <c r="F1125" s="2">
        <f>(1/S1125)*cnst_fish!$C$6</f>
        <v>3.460117504783787E-2</v>
      </c>
      <c r="G1125" s="2">
        <f t="shared" si="163"/>
        <v>1</v>
      </c>
      <c r="H1125" s="2">
        <f t="shared" si="163"/>
        <v>0.36449057933102513</v>
      </c>
      <c r="I1125" s="2">
        <f t="shared" si="157"/>
        <v>0</v>
      </c>
      <c r="J1125" s="389">
        <f t="shared" si="158"/>
        <v>0</v>
      </c>
      <c r="L1125" s="721">
        <v>1702</v>
      </c>
      <c r="M1125" s="581"/>
      <c r="N1125" s="585" t="s">
        <v>1738</v>
      </c>
      <c r="O1125" s="586" t="s">
        <v>4681</v>
      </c>
      <c r="P1125" s="233">
        <f t="shared" si="159"/>
        <v>0</v>
      </c>
      <c r="Q1125" s="233">
        <f t="shared" si="160"/>
        <v>1702</v>
      </c>
      <c r="R1125" s="2">
        <f t="shared" si="161"/>
        <v>3.94</v>
      </c>
      <c r="S1125" s="2">
        <f>(1/9)*cnst_fish!$C$7*(1/cnst_fish!$C$8)^(R1125-1)</f>
        <v>122.82819858354985</v>
      </c>
      <c r="T1125" s="682">
        <f t="shared" si="162"/>
        <v>17928.956608084023</v>
      </c>
      <c r="W1125" s="818"/>
      <c r="X1125" s="818"/>
      <c r="Y1125" s="819"/>
      <c r="Z1125" s="820"/>
      <c r="AA1125" s="820"/>
      <c r="AB1125" s="821"/>
      <c r="AC1125" s="821"/>
      <c r="AD1125" s="253"/>
      <c r="AE1125" s="253"/>
    </row>
    <row r="1126" spans="1:31" ht="14.5">
      <c r="A1126" t="s">
        <v>9024</v>
      </c>
      <c r="B1126" t="s">
        <v>9025</v>
      </c>
      <c r="C1126">
        <v>13291</v>
      </c>
      <c r="D1126" s="581"/>
      <c r="E1126" s="581"/>
      <c r="F1126" s="869">
        <f>(1/S1126)*cnst_fish!$C$6</f>
        <v>1.1997502458044018E-2</v>
      </c>
      <c r="G1126" s="869">
        <f t="shared" si="163"/>
        <v>1</v>
      </c>
      <c r="H1126" s="869">
        <f t="shared" si="163"/>
        <v>0.36449057933102513</v>
      </c>
      <c r="I1126" s="869">
        <f t="shared" si="157"/>
        <v>0</v>
      </c>
      <c r="J1126" s="389">
        <f t="shared" si="158"/>
        <v>0</v>
      </c>
      <c r="L1126" s="721"/>
      <c r="M1126" s="581"/>
      <c r="N1126" s="877" t="s">
        <v>1738</v>
      </c>
      <c r="O1126" s="881" t="s">
        <v>4685</v>
      </c>
      <c r="P1126" s="871">
        <f t="shared" si="159"/>
        <v>0</v>
      </c>
      <c r="Q1126" s="871">
        <f t="shared" si="160"/>
        <v>0</v>
      </c>
      <c r="R1126" s="869">
        <f t="shared" si="161"/>
        <v>4.4000000000000004</v>
      </c>
      <c r="S1126" s="869">
        <f>(1/9)*cnst_fish!$C$7*(1/cnst_fish!$C$8)^(R1126-1)</f>
        <v>354.24039418724885</v>
      </c>
      <c r="T1126" s="682">
        <f t="shared" si="162"/>
        <v>0</v>
      </c>
      <c r="W1126" s="818"/>
      <c r="X1126" s="818"/>
      <c r="Y1126" s="819"/>
      <c r="Z1126" s="820"/>
      <c r="AA1126" s="820"/>
      <c r="AB1126" s="821"/>
      <c r="AC1126" s="821"/>
      <c r="AD1126" s="253"/>
      <c r="AE1126" s="253"/>
    </row>
    <row r="1127" spans="1:31" ht="14.5">
      <c r="A1127" t="s">
        <v>4923</v>
      </c>
      <c r="B1127" t="s">
        <v>4373</v>
      </c>
      <c r="C1127">
        <v>13292</v>
      </c>
      <c r="D1127" s="581"/>
      <c r="E1127" s="581"/>
      <c r="F1127" s="2">
        <f>(1/S1127)*cnst_fish!$C$6</f>
        <v>1.9910898001319833E-2</v>
      </c>
      <c r="G1127" s="2">
        <f t="shared" si="163"/>
        <v>1</v>
      </c>
      <c r="H1127" s="2">
        <f t="shared" si="163"/>
        <v>0.36449057933102513</v>
      </c>
      <c r="I1127" s="2">
        <f t="shared" si="157"/>
        <v>0</v>
      </c>
      <c r="J1127" s="389">
        <f t="shared" si="158"/>
        <v>0</v>
      </c>
      <c r="L1127" s="721">
        <v>6562</v>
      </c>
      <c r="M1127" s="581"/>
      <c r="N1127" s="585" t="s">
        <v>1738</v>
      </c>
      <c r="O1127" s="586" t="s">
        <v>4681</v>
      </c>
      <c r="P1127" s="233">
        <f t="shared" si="159"/>
        <v>0</v>
      </c>
      <c r="Q1127" s="233">
        <f t="shared" si="160"/>
        <v>6562</v>
      </c>
      <c r="R1127" s="2">
        <f t="shared" si="161"/>
        <v>4.18</v>
      </c>
      <c r="S1127" s="2">
        <f>(1/9)*cnst_fish!$C$7*(1/cnst_fish!$C$8)^(R1127-1)</f>
        <v>213.4509452922857</v>
      </c>
      <c r="T1127" s="682">
        <f t="shared" si="162"/>
        <v>120124.52584567721</v>
      </c>
      <c r="W1127" s="818"/>
      <c r="X1127" s="818"/>
      <c r="Y1127" s="819"/>
      <c r="Z1127" s="820"/>
      <c r="AA1127" s="820"/>
      <c r="AB1127" s="821"/>
      <c r="AC1127" s="821"/>
      <c r="AD1127" s="253"/>
      <c r="AE1127" s="253"/>
    </row>
    <row r="1128" spans="1:31" ht="14.5">
      <c r="A1128" t="s">
        <v>229</v>
      </c>
      <c r="B1128" t="s">
        <v>134</v>
      </c>
      <c r="C1128">
        <v>18897</v>
      </c>
      <c r="D1128" s="581"/>
      <c r="E1128" s="581"/>
      <c r="F1128" s="2">
        <f>(1/S1128)*cnst_fish!$C$6</f>
        <v>7.5699122913220479E-2</v>
      </c>
      <c r="G1128" s="2">
        <f t="shared" ref="G1128:H1147" si="164">G$7</f>
        <v>1</v>
      </c>
      <c r="H1128" s="2">
        <f t="shared" si="164"/>
        <v>0.36449057933102513</v>
      </c>
      <c r="I1128" s="2">
        <f t="shared" si="157"/>
        <v>0</v>
      </c>
      <c r="J1128" s="389">
        <f t="shared" si="158"/>
        <v>0</v>
      </c>
      <c r="L1128" s="721">
        <v>17</v>
      </c>
      <c r="M1128" s="581"/>
      <c r="N1128" s="585" t="s">
        <v>1738</v>
      </c>
      <c r="O1128" s="586" t="s">
        <v>4681</v>
      </c>
      <c r="P1128" s="233">
        <f t="shared" si="159"/>
        <v>0</v>
      </c>
      <c r="Q1128" s="233">
        <f t="shared" si="160"/>
        <v>17</v>
      </c>
      <c r="R1128" s="2">
        <f t="shared" si="161"/>
        <v>3.6</v>
      </c>
      <c r="S1128" s="2">
        <f>(1/9)*cnst_fish!$C$7*(1/cnst_fish!$C$8)^(R1128-1)</f>
        <v>56.143318924211187</v>
      </c>
      <c r="T1128" s="682">
        <f t="shared" si="162"/>
        <v>81.854843361008975</v>
      </c>
      <c r="W1128" s="818"/>
      <c r="X1128" s="818"/>
      <c r="Y1128" s="819"/>
      <c r="Z1128" s="820"/>
      <c r="AA1128" s="820"/>
      <c r="AB1128" s="821"/>
      <c r="AC1128" s="821"/>
      <c r="AD1128" s="253"/>
      <c r="AE1128" s="253"/>
    </row>
    <row r="1129" spans="1:31" ht="14.5">
      <c r="A1129" t="s">
        <v>4573</v>
      </c>
      <c r="B1129" t="s">
        <v>135</v>
      </c>
      <c r="C1129">
        <v>13295</v>
      </c>
      <c r="D1129" s="581"/>
      <c r="E1129" s="581"/>
      <c r="F1129" s="2">
        <f>(1/S1129)*cnst_fish!$C$6</f>
        <v>1.0449387811364928E-2</v>
      </c>
      <c r="G1129" s="2">
        <f t="shared" si="164"/>
        <v>1</v>
      </c>
      <c r="H1129" s="2">
        <f t="shared" si="164"/>
        <v>0.36449057933102513</v>
      </c>
      <c r="I1129" s="2">
        <f t="shared" si="157"/>
        <v>0</v>
      </c>
      <c r="J1129" s="389">
        <f t="shared" si="158"/>
        <v>0</v>
      </c>
      <c r="L1129" s="721">
        <v>1996.63</v>
      </c>
      <c r="M1129" s="581"/>
      <c r="N1129" s="585" t="s">
        <v>1738</v>
      </c>
      <c r="O1129" s="586" t="s">
        <v>4681</v>
      </c>
      <c r="P1129" s="233">
        <f t="shared" si="159"/>
        <v>0</v>
      </c>
      <c r="Q1129" s="233">
        <f t="shared" si="160"/>
        <v>1996.63</v>
      </c>
      <c r="R1129" s="2">
        <f t="shared" si="161"/>
        <v>4.46</v>
      </c>
      <c r="S1129" s="2">
        <f>(1/9)*cnst_fish!$C$7*(1/cnst_fish!$C$8)^(R1129-1)</f>
        <v>406.72239146657279</v>
      </c>
      <c r="T1129" s="682">
        <f t="shared" si="162"/>
        <v>69645.498716985952</v>
      </c>
      <c r="W1129" s="818"/>
      <c r="X1129" s="818"/>
      <c r="Y1129" s="819"/>
      <c r="Z1129" s="820"/>
      <c r="AA1129" s="820"/>
      <c r="AB1129" s="821"/>
      <c r="AC1129" s="821"/>
      <c r="AD1129" s="253"/>
      <c r="AE1129" s="253"/>
    </row>
    <row r="1130" spans="1:31" ht="14.5">
      <c r="A1130" t="s">
        <v>4573</v>
      </c>
      <c r="B1130" t="s">
        <v>135</v>
      </c>
      <c r="C1130">
        <v>13295</v>
      </c>
      <c r="D1130" s="581"/>
      <c r="E1130" s="581"/>
      <c r="F1130" s="2">
        <f>(1/S1130)*cnst_fish!$C$6</f>
        <v>1.0449387811364928E-2</v>
      </c>
      <c r="G1130" s="2">
        <f t="shared" si="164"/>
        <v>1</v>
      </c>
      <c r="H1130" s="2">
        <f t="shared" si="164"/>
        <v>0.36449057933102513</v>
      </c>
      <c r="I1130" s="2">
        <f t="shared" si="157"/>
        <v>0</v>
      </c>
      <c r="J1130" s="389">
        <f t="shared" si="158"/>
        <v>0</v>
      </c>
      <c r="L1130" s="721">
        <v>1996.63</v>
      </c>
      <c r="M1130" s="581"/>
      <c r="N1130" s="585" t="s">
        <v>4282</v>
      </c>
      <c r="O1130" s="586"/>
      <c r="P1130" s="233">
        <f t="shared" si="159"/>
        <v>0</v>
      </c>
      <c r="Q1130" s="233">
        <f t="shared" si="160"/>
        <v>1996.63</v>
      </c>
      <c r="R1130" s="2">
        <f t="shared" si="161"/>
        <v>4.46</v>
      </c>
      <c r="S1130" s="2">
        <f>(1/9)*cnst_fish!$C$7*(1/cnst_fish!$C$8)^(R1130-1)</f>
        <v>406.72239146657279</v>
      </c>
      <c r="T1130" s="682">
        <f t="shared" si="162"/>
        <v>69645.498716985952</v>
      </c>
      <c r="W1130" s="818"/>
      <c r="X1130" s="818"/>
      <c r="Y1130" s="819"/>
      <c r="Z1130" s="820"/>
      <c r="AA1130" s="820"/>
      <c r="AB1130" s="821"/>
      <c r="AC1130" s="821"/>
      <c r="AD1130" s="253"/>
      <c r="AE1130" s="253"/>
    </row>
    <row r="1131" spans="1:31" ht="14.5">
      <c r="A1131" t="s">
        <v>1583</v>
      </c>
      <c r="B1131" t="s">
        <v>1584</v>
      </c>
      <c r="C1131">
        <v>19091</v>
      </c>
      <c r="D1131" s="581"/>
      <c r="E1131" s="581"/>
      <c r="F1131" s="2">
        <f>(1/S1131)*cnst_fish!$C$6</f>
        <v>2.8780003842373291E-2</v>
      </c>
      <c r="G1131" s="2">
        <f t="shared" si="164"/>
        <v>1</v>
      </c>
      <c r="H1131" s="2">
        <f t="shared" si="164"/>
        <v>0.36449057933102513</v>
      </c>
      <c r="I1131" s="2">
        <f t="shared" si="157"/>
        <v>0</v>
      </c>
      <c r="J1131" s="389">
        <f t="shared" si="158"/>
        <v>0</v>
      </c>
      <c r="L1131" s="721">
        <v>14969</v>
      </c>
      <c r="M1131" s="581"/>
      <c r="N1131" s="585" t="s">
        <v>1738</v>
      </c>
      <c r="O1131" s="586" t="s">
        <v>4681</v>
      </c>
      <c r="P1131" s="233">
        <f t="shared" si="159"/>
        <v>0</v>
      </c>
      <c r="Q1131" s="233">
        <f t="shared" si="160"/>
        <v>14969</v>
      </c>
      <c r="R1131" s="2">
        <f t="shared" si="161"/>
        <v>4.0199999999999996</v>
      </c>
      <c r="S1131" s="2">
        <f>(1/9)*cnst_fish!$C$7*(1/cnst_fish!$C$8)^(R1131-1)</f>
        <v>147.67197472512677</v>
      </c>
      <c r="T1131" s="682">
        <f t="shared" si="162"/>
        <v>189578.13598249303</v>
      </c>
      <c r="W1131" s="818"/>
      <c r="X1131" s="818"/>
      <c r="Y1131" s="819"/>
      <c r="Z1131" s="820"/>
      <c r="AA1131" s="820"/>
      <c r="AB1131" s="821"/>
      <c r="AC1131" s="821"/>
      <c r="AD1131" s="253"/>
      <c r="AE1131" s="253"/>
    </row>
    <row r="1132" spans="1:31" ht="14.5">
      <c r="A1132" t="s">
        <v>2466</v>
      </c>
      <c r="B1132" t="s">
        <v>1302</v>
      </c>
      <c r="C1132">
        <v>2333</v>
      </c>
      <c r="D1132" s="581"/>
      <c r="E1132" s="581"/>
      <c r="F1132" s="2">
        <f>(1/S1132)*cnst_fish!$C$6</f>
        <v>7.9266712664847111E-2</v>
      </c>
      <c r="G1132" s="2">
        <f t="shared" si="164"/>
        <v>1</v>
      </c>
      <c r="H1132" s="2">
        <f t="shared" si="164"/>
        <v>0.36449057933102513</v>
      </c>
      <c r="I1132" s="2">
        <f t="shared" si="157"/>
        <v>0</v>
      </c>
      <c r="J1132" s="389">
        <f t="shared" si="158"/>
        <v>0</v>
      </c>
      <c r="L1132" s="721">
        <v>8578</v>
      </c>
      <c r="M1132" s="581"/>
      <c r="N1132" s="585" t="s">
        <v>1738</v>
      </c>
      <c r="O1132" s="586" t="s">
        <v>4681</v>
      </c>
      <c r="P1132" s="233">
        <f t="shared" si="159"/>
        <v>0</v>
      </c>
      <c r="Q1132" s="233">
        <f t="shared" si="160"/>
        <v>8578</v>
      </c>
      <c r="R1132" s="2">
        <f t="shared" si="161"/>
        <v>3.58</v>
      </c>
      <c r="S1132" s="2">
        <f>(1/9)*cnst_fish!$C$7*(1/cnst_fish!$C$8)^(R1132-1)</f>
        <v>53.616453327258682</v>
      </c>
      <c r="T1132" s="682">
        <f t="shared" si="162"/>
        <v>39444.050149036972</v>
      </c>
      <c r="W1132" s="818"/>
      <c r="X1132" s="818"/>
      <c r="Y1132" s="819"/>
      <c r="Z1132" s="820"/>
      <c r="AA1132" s="820"/>
      <c r="AB1132" s="821"/>
      <c r="AC1132" s="821"/>
      <c r="AD1132" s="253"/>
      <c r="AE1132" s="253"/>
    </row>
    <row r="1133" spans="1:31" ht="14.5">
      <c r="A1133" t="s">
        <v>233</v>
      </c>
      <c r="B1133" t="s">
        <v>1303</v>
      </c>
      <c r="C1133">
        <v>18946</v>
      </c>
      <c r="D1133" s="581"/>
      <c r="E1133" s="581"/>
      <c r="F1133" s="2">
        <f>(1/S1133)*cnst_fish!$C$6</f>
        <v>8.1113071591070229E-2</v>
      </c>
      <c r="G1133" s="2">
        <f t="shared" si="164"/>
        <v>1</v>
      </c>
      <c r="H1133" s="2">
        <f t="shared" si="164"/>
        <v>0.36449057933102513</v>
      </c>
      <c r="I1133" s="2">
        <f t="shared" si="157"/>
        <v>0</v>
      </c>
      <c r="J1133" s="389">
        <f t="shared" si="158"/>
        <v>0</v>
      </c>
      <c r="L1133" s="721">
        <v>374</v>
      </c>
      <c r="M1133" s="581"/>
      <c r="N1133" s="585" t="s">
        <v>1738</v>
      </c>
      <c r="O1133" s="586" t="s">
        <v>4681</v>
      </c>
      <c r="P1133" s="233">
        <f t="shared" si="159"/>
        <v>0</v>
      </c>
      <c r="Q1133" s="233">
        <f t="shared" si="160"/>
        <v>374</v>
      </c>
      <c r="R1133" s="2">
        <f t="shared" si="161"/>
        <v>3.57</v>
      </c>
      <c r="S1133" s="2">
        <f>(1/9)*cnst_fish!$C$7*(1/cnst_fish!$C$8)^(R1133-1)</f>
        <v>52.395993847037154</v>
      </c>
      <c r="T1133" s="682">
        <f t="shared" si="162"/>
        <v>1680.6104613699633</v>
      </c>
      <c r="W1133" s="818"/>
      <c r="X1133" s="818"/>
      <c r="Y1133" s="819"/>
      <c r="Z1133" s="820"/>
      <c r="AA1133" s="820"/>
      <c r="AB1133" s="821"/>
      <c r="AC1133" s="821"/>
      <c r="AD1133" s="253"/>
      <c r="AE1133" s="253"/>
    </row>
    <row r="1134" spans="1:31" ht="14.5">
      <c r="A1134" t="s">
        <v>4248</v>
      </c>
      <c r="B1134" t="s">
        <v>8662</v>
      </c>
      <c r="C1134">
        <v>3137</v>
      </c>
      <c r="D1134" s="581"/>
      <c r="E1134" s="581"/>
      <c r="F1134" s="2">
        <f>(1/S1134)*cnst_fish!$C$6</f>
        <v>2.3938164528281767E-2</v>
      </c>
      <c r="G1134" s="2">
        <f t="shared" si="164"/>
        <v>1</v>
      </c>
      <c r="H1134" s="2">
        <f t="shared" si="164"/>
        <v>0.36449057933102513</v>
      </c>
      <c r="I1134" s="2">
        <f t="shared" si="157"/>
        <v>0</v>
      </c>
      <c r="J1134" s="389">
        <f t="shared" si="158"/>
        <v>0</v>
      </c>
      <c r="L1134" s="721"/>
      <c r="M1134" s="581"/>
      <c r="N1134" s="585" t="s">
        <v>1738</v>
      </c>
      <c r="O1134" s="586" t="s">
        <v>4681</v>
      </c>
      <c r="P1134" s="233">
        <f t="shared" si="159"/>
        <v>0</v>
      </c>
      <c r="Q1134" s="233">
        <f t="shared" si="160"/>
        <v>0</v>
      </c>
      <c r="R1134" s="2">
        <f t="shared" si="161"/>
        <v>4.0999999999999996</v>
      </c>
      <c r="S1134" s="2">
        <f>(1/9)*cnst_fish!$C$7*(1/cnst_fish!$C$8)^(R1134-1)</f>
        <v>177.54076320174144</v>
      </c>
      <c r="T1134" s="682">
        <f t="shared" si="162"/>
        <v>0</v>
      </c>
      <c r="W1134" s="818"/>
      <c r="X1134" s="818"/>
      <c r="Y1134" s="819"/>
      <c r="Z1134" s="820"/>
      <c r="AA1134" s="820"/>
      <c r="AB1134" s="821"/>
      <c r="AC1134" s="821"/>
      <c r="AD1134" s="253"/>
      <c r="AE1134" s="253"/>
    </row>
    <row r="1135" spans="1:31" ht="14.5">
      <c r="A1135" t="s">
        <v>8663</v>
      </c>
      <c r="B1135" t="s">
        <v>8664</v>
      </c>
      <c r="C1135">
        <v>13300</v>
      </c>
      <c r="D1135" s="581"/>
      <c r="E1135" s="581"/>
      <c r="F1135" s="2">
        <f>(1/S1135)*cnst_fish!$C$6</f>
        <v>2.3938164528281767E-2</v>
      </c>
      <c r="G1135" s="2">
        <f t="shared" si="164"/>
        <v>1</v>
      </c>
      <c r="H1135" s="2">
        <f t="shared" si="164"/>
        <v>0.36449057933102513</v>
      </c>
      <c r="I1135" s="2">
        <f t="shared" si="157"/>
        <v>0</v>
      </c>
      <c r="J1135" s="389">
        <f t="shared" si="158"/>
        <v>0</v>
      </c>
      <c r="L1135" s="721"/>
      <c r="M1135" s="581"/>
      <c r="N1135" s="585" t="s">
        <v>1738</v>
      </c>
      <c r="O1135" s="586" t="s">
        <v>4681</v>
      </c>
      <c r="P1135" s="233">
        <f t="shared" si="159"/>
        <v>0</v>
      </c>
      <c r="Q1135" s="233">
        <f t="shared" si="160"/>
        <v>0</v>
      </c>
      <c r="R1135" s="2">
        <f t="shared" si="161"/>
        <v>4.0999999999999996</v>
      </c>
      <c r="S1135" s="2">
        <f>(1/9)*cnst_fish!$C$7*(1/cnst_fish!$C$8)^(R1135-1)</f>
        <v>177.54076320174144</v>
      </c>
      <c r="T1135" s="682">
        <f t="shared" si="162"/>
        <v>0</v>
      </c>
      <c r="W1135" s="818"/>
      <c r="X1135" s="818"/>
      <c r="Y1135" s="819"/>
      <c r="Z1135" s="820"/>
      <c r="AA1135" s="820"/>
      <c r="AB1135" s="821"/>
      <c r="AC1135" s="821"/>
      <c r="AD1135" s="253"/>
      <c r="AE1135" s="253"/>
    </row>
    <row r="1136" spans="1:31" ht="14.5">
      <c r="A1136" t="s">
        <v>3705</v>
      </c>
      <c r="B1136" t="s">
        <v>5295</v>
      </c>
      <c r="C1136">
        <v>2332</v>
      </c>
      <c r="D1136" s="581"/>
      <c r="E1136" s="581"/>
      <c r="F1136" s="2">
        <f>(1/S1136)*cnst_fish!$C$6</f>
        <v>3.0136363636363642E-2</v>
      </c>
      <c r="G1136" s="2">
        <f t="shared" si="164"/>
        <v>1</v>
      </c>
      <c r="H1136" s="2">
        <f t="shared" si="164"/>
        <v>0.36449057933102513</v>
      </c>
      <c r="I1136" s="2">
        <f t="shared" si="157"/>
        <v>0</v>
      </c>
      <c r="J1136" s="389">
        <f t="shared" si="158"/>
        <v>0</v>
      </c>
      <c r="L1136" s="721">
        <v>327757.73</v>
      </c>
      <c r="M1136" s="581"/>
      <c r="N1136" s="585" t="s">
        <v>1738</v>
      </c>
      <c r="O1136" s="586" t="s">
        <v>4681</v>
      </c>
      <c r="P1136" s="233">
        <f t="shared" si="159"/>
        <v>0</v>
      </c>
      <c r="Q1136" s="233">
        <f t="shared" si="160"/>
        <v>327757.73</v>
      </c>
      <c r="R1136" s="2">
        <f t="shared" si="161"/>
        <v>4</v>
      </c>
      <c r="S1136" s="2">
        <f>(1/9)*cnst_fish!$C$7*(1/cnst_fish!$C$8)^(R1136-1)</f>
        <v>141.02564102564099</v>
      </c>
      <c r="T1136" s="682">
        <f t="shared" si="162"/>
        <v>3964134.702163314</v>
      </c>
      <c r="W1136" s="818"/>
      <c r="X1136" s="818"/>
      <c r="Y1136" s="819"/>
      <c r="Z1136" s="820"/>
      <c r="AA1136" s="820"/>
      <c r="AB1136" s="821"/>
      <c r="AC1136" s="821"/>
      <c r="AD1136" s="253"/>
      <c r="AE1136" s="253"/>
    </row>
    <row r="1137" spans="1:31" ht="14.5">
      <c r="A1137" t="s">
        <v>2458</v>
      </c>
      <c r="B1137" t="s">
        <v>5296</v>
      </c>
      <c r="C1137">
        <v>2334</v>
      </c>
      <c r="D1137" s="581"/>
      <c r="E1137" s="581"/>
      <c r="F1137" s="2">
        <f>(1/S1137)*cnst_fish!$C$6</f>
        <v>4.5613232168782068E-2</v>
      </c>
      <c r="G1137" s="2">
        <f t="shared" si="164"/>
        <v>1</v>
      </c>
      <c r="H1137" s="2">
        <f t="shared" si="164"/>
        <v>0.36449057933102513</v>
      </c>
      <c r="I1137" s="2">
        <f t="shared" si="157"/>
        <v>0</v>
      </c>
      <c r="J1137" s="389">
        <f t="shared" si="158"/>
        <v>0</v>
      </c>
      <c r="L1137" s="721">
        <v>3687</v>
      </c>
      <c r="M1137" s="581"/>
      <c r="N1137" s="585" t="s">
        <v>1738</v>
      </c>
      <c r="O1137" s="586" t="s">
        <v>4681</v>
      </c>
      <c r="P1137" s="233">
        <f t="shared" si="159"/>
        <v>0</v>
      </c>
      <c r="Q1137" s="233">
        <f t="shared" si="160"/>
        <v>3687</v>
      </c>
      <c r="R1137" s="2">
        <f t="shared" si="161"/>
        <v>3.82</v>
      </c>
      <c r="S1137" s="2">
        <f>(1/9)*cnst_fish!$C$7*(1/cnst_fish!$C$8)^(R1137-1)</f>
        <v>93.174717026712301</v>
      </c>
      <c r="T1137" s="682">
        <f t="shared" si="162"/>
        <v>29462.432327109804</v>
      </c>
      <c r="W1137" s="818"/>
      <c r="X1137" s="818"/>
      <c r="Y1137" s="819"/>
      <c r="Z1137" s="820"/>
      <c r="AA1137" s="820"/>
      <c r="AB1137" s="821"/>
      <c r="AC1137" s="821"/>
      <c r="AD1137" s="253"/>
      <c r="AE1137" s="253"/>
    </row>
    <row r="1138" spans="1:31" ht="14.5">
      <c r="A1138" t="s">
        <v>6288</v>
      </c>
      <c r="B1138" t="s">
        <v>6287</v>
      </c>
      <c r="C1138">
        <v>13301</v>
      </c>
      <c r="D1138" s="581"/>
      <c r="E1138" s="581"/>
      <c r="F1138" s="2">
        <f>(1/S1138)*cnst_fish!$C$6</f>
        <v>2.3938164528281767E-2</v>
      </c>
      <c r="G1138" s="2">
        <f t="shared" si="164"/>
        <v>1</v>
      </c>
      <c r="H1138" s="2">
        <f t="shared" si="164"/>
        <v>0.36449057933102513</v>
      </c>
      <c r="I1138" s="2">
        <f t="shared" si="157"/>
        <v>0</v>
      </c>
      <c r="J1138" s="389">
        <f t="shared" si="158"/>
        <v>0</v>
      </c>
      <c r="L1138" s="721"/>
      <c r="M1138" s="581"/>
      <c r="N1138" s="585" t="s">
        <v>1738</v>
      </c>
      <c r="O1138" s="586" t="s">
        <v>4681</v>
      </c>
      <c r="P1138" s="233">
        <f t="shared" si="159"/>
        <v>0</v>
      </c>
      <c r="Q1138" s="233">
        <f t="shared" si="160"/>
        <v>0</v>
      </c>
      <c r="R1138" s="2">
        <f t="shared" si="161"/>
        <v>4.0999999999999996</v>
      </c>
      <c r="S1138" s="2">
        <f>(1/9)*cnst_fish!$C$7*(1/cnst_fish!$C$8)^(R1138-1)</f>
        <v>177.54076320174144</v>
      </c>
      <c r="T1138" s="682">
        <f t="shared" si="162"/>
        <v>0</v>
      </c>
      <c r="W1138" s="818"/>
      <c r="X1138" s="818"/>
      <c r="Y1138" s="819"/>
      <c r="Z1138" s="820"/>
      <c r="AA1138" s="820"/>
      <c r="AB1138" s="821"/>
      <c r="AC1138" s="821"/>
      <c r="AD1138" s="253"/>
      <c r="AE1138" s="253"/>
    </row>
    <row r="1139" spans="1:31" ht="14.5">
      <c r="A1139" t="s">
        <v>3881</v>
      </c>
      <c r="B1139" t="s">
        <v>3882</v>
      </c>
      <c r="C1139">
        <v>13302</v>
      </c>
      <c r="D1139" s="581"/>
      <c r="E1139" s="581"/>
      <c r="F1139" s="2">
        <f>(1/S1139)*cnst_fish!$C$6</f>
        <v>0.24495756009854439</v>
      </c>
      <c r="G1139" s="2">
        <f t="shared" si="164"/>
        <v>1</v>
      </c>
      <c r="H1139" s="2">
        <f t="shared" si="164"/>
        <v>0.36449057933102513</v>
      </c>
      <c r="I1139" s="2">
        <f t="shared" si="157"/>
        <v>0</v>
      </c>
      <c r="J1139" s="389">
        <f t="shared" si="158"/>
        <v>0</v>
      </c>
      <c r="L1139" s="721">
        <v>75</v>
      </c>
      <c r="M1139" s="581"/>
      <c r="N1139" s="585" t="s">
        <v>1738</v>
      </c>
      <c r="O1139" s="586" t="s">
        <v>4681</v>
      </c>
      <c r="P1139" s="233">
        <f t="shared" si="159"/>
        <v>0</v>
      </c>
      <c r="Q1139" s="233">
        <f t="shared" si="160"/>
        <v>75</v>
      </c>
      <c r="R1139" s="2">
        <f t="shared" si="161"/>
        <v>3.09</v>
      </c>
      <c r="S1139" s="2">
        <f>(1/9)*cnst_fish!$C$7*(1/cnst_fish!$C$8)^(R1139-1)</f>
        <v>17.349944203764359</v>
      </c>
      <c r="T1139" s="682">
        <f t="shared" si="162"/>
        <v>111.59808025042999</v>
      </c>
      <c r="W1139" s="818"/>
      <c r="X1139" s="818"/>
      <c r="Y1139" s="819"/>
      <c r="Z1139" s="820"/>
      <c r="AA1139" s="820"/>
      <c r="AB1139" s="821"/>
      <c r="AC1139" s="821"/>
      <c r="AD1139" s="253"/>
      <c r="AE1139" s="253"/>
    </row>
    <row r="1140" spans="1:31" ht="14.5">
      <c r="A1140" t="s">
        <v>8875</v>
      </c>
      <c r="B1140" t="s">
        <v>8876</v>
      </c>
      <c r="C1140">
        <v>13284</v>
      </c>
      <c r="D1140" s="581"/>
      <c r="E1140" s="581"/>
      <c r="F1140" s="2">
        <f>(1/S1140)*cnst_fish!$C$6</f>
        <v>9.5299549485983424E-3</v>
      </c>
      <c r="G1140" s="2">
        <f t="shared" si="164"/>
        <v>1</v>
      </c>
      <c r="H1140" s="2">
        <f t="shared" si="164"/>
        <v>0.36449057933102513</v>
      </c>
      <c r="I1140" s="2">
        <f t="shared" si="157"/>
        <v>0</v>
      </c>
      <c r="J1140" s="389">
        <f t="shared" si="158"/>
        <v>0</v>
      </c>
      <c r="L1140" s="721"/>
      <c r="M1140" s="581"/>
      <c r="N1140" s="585" t="s">
        <v>4282</v>
      </c>
      <c r="O1140" s="586"/>
      <c r="P1140" s="233">
        <f t="shared" si="159"/>
        <v>0</v>
      </c>
      <c r="Q1140" s="233">
        <f t="shared" si="160"/>
        <v>0</v>
      </c>
      <c r="R1140" s="2">
        <f t="shared" si="161"/>
        <v>4.5</v>
      </c>
      <c r="S1140" s="2">
        <f>(1/9)*cnst_fish!$C$7*(1/cnst_fish!$C$8)^(R1140-1)</f>
        <v>445.96223412630997</v>
      </c>
      <c r="T1140" s="682">
        <f t="shared" si="162"/>
        <v>0</v>
      </c>
      <c r="W1140" s="818"/>
      <c r="X1140" s="818"/>
      <c r="Y1140" s="819"/>
      <c r="Z1140" s="820"/>
      <c r="AA1140" s="820"/>
      <c r="AB1140" s="821"/>
      <c r="AC1140" s="821"/>
      <c r="AD1140" s="253"/>
      <c r="AE1140" s="253"/>
    </row>
    <row r="1141" spans="1:31" ht="14.5">
      <c r="A1141" t="s">
        <v>28</v>
      </c>
      <c r="B1141" t="s">
        <v>240</v>
      </c>
      <c r="C1141">
        <v>2922</v>
      </c>
      <c r="D1141" s="581"/>
      <c r="E1141" s="581"/>
      <c r="F1141" s="2">
        <f>(1/S1141)*cnst_fish!$C$6</f>
        <v>6.9038420626592392E-2</v>
      </c>
      <c r="G1141" s="2">
        <f t="shared" si="164"/>
        <v>1</v>
      </c>
      <c r="H1141" s="2">
        <f t="shared" si="164"/>
        <v>0.36449057933102513</v>
      </c>
      <c r="I1141" s="2">
        <f t="shared" si="157"/>
        <v>0</v>
      </c>
      <c r="J1141" s="389">
        <f t="shared" si="158"/>
        <v>0</v>
      </c>
      <c r="L1141" s="721"/>
      <c r="M1141" s="581"/>
      <c r="N1141" s="585" t="s">
        <v>103</v>
      </c>
      <c r="O1141" s="586" t="s">
        <v>4685</v>
      </c>
      <c r="P1141" s="233">
        <f t="shared" si="159"/>
        <v>0</v>
      </c>
      <c r="Q1141" s="233">
        <f t="shared" si="160"/>
        <v>0</v>
      </c>
      <c r="R1141" s="2">
        <f t="shared" si="161"/>
        <v>3.64</v>
      </c>
      <c r="S1141" s="2">
        <f>(1/9)*cnst_fish!$C$7*(1/cnst_fish!$C$8)^(R1141-1)</f>
        <v>61.559925059510611</v>
      </c>
      <c r="T1141" s="682">
        <f t="shared" si="162"/>
        <v>0</v>
      </c>
      <c r="W1141" s="818"/>
      <c r="X1141" s="818"/>
      <c r="Y1141" s="819"/>
      <c r="Z1141" s="820"/>
      <c r="AA1141" s="820"/>
      <c r="AB1141" s="821"/>
      <c r="AC1141" s="821"/>
      <c r="AD1141" s="253"/>
      <c r="AE1141" s="253"/>
    </row>
    <row r="1142" spans="1:31" ht="14.5">
      <c r="A1142" t="s">
        <v>4764</v>
      </c>
      <c r="B1142" t="s">
        <v>1174</v>
      </c>
      <c r="C1142">
        <v>3255</v>
      </c>
      <c r="D1142" s="581"/>
      <c r="E1142" s="581"/>
      <c r="F1142" s="2">
        <f>(1/S1142)*cnst_fish!$C$6</f>
        <v>9.5299549485983348E-2</v>
      </c>
      <c r="G1142" s="2">
        <f t="shared" si="164"/>
        <v>1</v>
      </c>
      <c r="H1142" s="2">
        <f t="shared" si="164"/>
        <v>0.36449057933102513</v>
      </c>
      <c r="I1142" s="2">
        <f t="shared" si="157"/>
        <v>0</v>
      </c>
      <c r="J1142" s="389">
        <f t="shared" si="158"/>
        <v>0</v>
      </c>
      <c r="L1142" s="721">
        <v>174</v>
      </c>
      <c r="M1142" s="581"/>
      <c r="N1142" s="585" t="s">
        <v>1738</v>
      </c>
      <c r="O1142" s="586" t="s">
        <v>4681</v>
      </c>
      <c r="P1142" s="233">
        <f t="shared" si="159"/>
        <v>0</v>
      </c>
      <c r="Q1142" s="233">
        <f t="shared" si="160"/>
        <v>174</v>
      </c>
      <c r="R1142" s="2">
        <f t="shared" si="161"/>
        <v>3.5</v>
      </c>
      <c r="S1142" s="2">
        <f>(1/9)*cnst_fish!$C$7*(1/cnst_fish!$C$8)^(R1142-1)</f>
        <v>44.596223412631026</v>
      </c>
      <c r="T1142" s="682">
        <f t="shared" si="162"/>
        <v>665.49486483067142</v>
      </c>
      <c r="W1142" s="818"/>
      <c r="X1142" s="818"/>
      <c r="Y1142" s="819"/>
      <c r="Z1142" s="820"/>
      <c r="AA1142" s="820"/>
      <c r="AB1142" s="821"/>
      <c r="AC1142" s="821"/>
      <c r="AD1142" s="253"/>
      <c r="AE1142" s="253"/>
    </row>
    <row r="1143" spans="1:31" ht="14.5">
      <c r="A1143" t="s">
        <v>4224</v>
      </c>
      <c r="B1143" t="s">
        <v>8665</v>
      </c>
      <c r="C1143">
        <v>2292</v>
      </c>
      <c r="D1143" s="581"/>
      <c r="E1143" s="581"/>
      <c r="F1143" s="2">
        <f>(1/S1143)*cnst_fish!$C$6</f>
        <v>1.9014759972289439E-2</v>
      </c>
      <c r="G1143" s="2">
        <f t="shared" si="164"/>
        <v>1</v>
      </c>
      <c r="H1143" s="2">
        <f t="shared" si="164"/>
        <v>0.36449057933102513</v>
      </c>
      <c r="I1143" s="2">
        <f t="shared" si="157"/>
        <v>0</v>
      </c>
      <c r="J1143" s="389">
        <f t="shared" si="158"/>
        <v>0</v>
      </c>
      <c r="L1143" s="721"/>
      <c r="M1143" s="581"/>
      <c r="N1143" s="585" t="s">
        <v>5195</v>
      </c>
      <c r="O1143" s="586" t="s">
        <v>4681</v>
      </c>
      <c r="P1143" s="233">
        <f t="shared" si="159"/>
        <v>0</v>
      </c>
      <c r="Q1143" s="233">
        <f t="shared" si="160"/>
        <v>0</v>
      </c>
      <c r="R1143" s="2">
        <f t="shared" si="161"/>
        <v>4.2</v>
      </c>
      <c r="S1143" s="2">
        <f>(1/9)*cnst_fish!$C$7*(1/cnst_fish!$C$8)^(R1143-1)</f>
        <v>223.51057842400343</v>
      </c>
      <c r="T1143" s="682">
        <f t="shared" si="162"/>
        <v>0</v>
      </c>
      <c r="W1143" s="818"/>
      <c r="X1143" s="818"/>
      <c r="Y1143" s="819"/>
      <c r="Z1143" s="820"/>
      <c r="AA1143" s="820"/>
      <c r="AB1143" s="821"/>
      <c r="AC1143" s="821"/>
      <c r="AD1143" s="253"/>
      <c r="AE1143" s="253"/>
    </row>
    <row r="1144" spans="1:31" ht="14.5">
      <c r="A1144" t="s">
        <v>4194</v>
      </c>
      <c r="B1144" t="s">
        <v>8666</v>
      </c>
      <c r="C1144">
        <v>2294</v>
      </c>
      <c r="D1144" s="581"/>
      <c r="E1144" s="581"/>
      <c r="F1144" s="2">
        <f>(1/S1144)*cnst_fish!$C$6</f>
        <v>6.0129950673834844E-2</v>
      </c>
      <c r="G1144" s="2">
        <f t="shared" si="164"/>
        <v>1</v>
      </c>
      <c r="H1144" s="2">
        <f t="shared" si="164"/>
        <v>0.36449057933102513</v>
      </c>
      <c r="I1144" s="2">
        <f t="shared" si="157"/>
        <v>0</v>
      </c>
      <c r="J1144" s="389">
        <f t="shared" si="158"/>
        <v>0</v>
      </c>
      <c r="L1144" s="721"/>
      <c r="M1144" s="581"/>
      <c r="N1144" s="585" t="s">
        <v>1738</v>
      </c>
      <c r="O1144" s="586" t="s">
        <v>4681</v>
      </c>
      <c r="P1144" s="233">
        <f t="shared" si="159"/>
        <v>0</v>
      </c>
      <c r="Q1144" s="233">
        <f t="shared" si="160"/>
        <v>0</v>
      </c>
      <c r="R1144" s="2">
        <f t="shared" si="161"/>
        <v>3.7</v>
      </c>
      <c r="S1144" s="2">
        <f>(1/9)*cnst_fish!$C$7*(1/cnst_fish!$C$8)^(R1144-1)</f>
        <v>70.680250896153822</v>
      </c>
      <c r="T1144" s="682">
        <f t="shared" si="162"/>
        <v>0</v>
      </c>
      <c r="W1144" s="818"/>
      <c r="X1144" s="818"/>
      <c r="Y1144" s="819"/>
      <c r="Z1144" s="820"/>
      <c r="AA1144" s="820"/>
      <c r="AB1144" s="821"/>
      <c r="AC1144" s="821"/>
      <c r="AD1144" s="253"/>
      <c r="AE1144" s="253"/>
    </row>
    <row r="1145" spans="1:31" ht="14.5">
      <c r="A1145" t="s">
        <v>4220</v>
      </c>
      <c r="B1145" t="s">
        <v>8667</v>
      </c>
      <c r="C1145">
        <v>16448</v>
      </c>
      <c r="D1145" s="581"/>
      <c r="E1145" s="581"/>
      <c r="F1145" s="2">
        <f>(1/S1145)*cnst_fish!$C$6</f>
        <v>1.2855555498429809</v>
      </c>
      <c r="G1145" s="2">
        <f t="shared" si="164"/>
        <v>1</v>
      </c>
      <c r="H1145" s="2">
        <f t="shared" si="164"/>
        <v>0.36449057933102513</v>
      </c>
      <c r="I1145" s="2">
        <f t="shared" si="157"/>
        <v>0</v>
      </c>
      <c r="J1145" s="389">
        <f t="shared" si="158"/>
        <v>0</v>
      </c>
      <c r="L1145" s="721"/>
      <c r="M1145" s="581"/>
      <c r="N1145" s="585" t="s">
        <v>2322</v>
      </c>
      <c r="O1145" s="586" t="s">
        <v>4680</v>
      </c>
      <c r="P1145" s="233">
        <f t="shared" si="159"/>
        <v>0</v>
      </c>
      <c r="Q1145" s="233">
        <f t="shared" si="160"/>
        <v>0</v>
      </c>
      <c r="R1145" s="2">
        <f t="shared" si="161"/>
        <v>2.37</v>
      </c>
      <c r="S1145" s="2">
        <f>(1/9)*cnst_fish!$C$7*(1/cnst_fish!$C$8)^(R1145-1)</f>
        <v>3.3059637139127123</v>
      </c>
      <c r="T1145" s="682">
        <f t="shared" si="162"/>
        <v>0</v>
      </c>
      <c r="W1145" s="818"/>
      <c r="X1145" s="818"/>
      <c r="Y1145" s="819"/>
      <c r="Z1145" s="820"/>
      <c r="AA1145" s="820"/>
      <c r="AB1145" s="821"/>
      <c r="AC1145" s="821"/>
      <c r="AD1145" s="253"/>
      <c r="AE1145" s="253"/>
    </row>
    <row r="1146" spans="1:31" ht="14.5">
      <c r="A1146" t="s">
        <v>4221</v>
      </c>
      <c r="B1146" t="s">
        <v>8668</v>
      </c>
      <c r="C1146">
        <v>3433</v>
      </c>
      <c r="D1146" s="581"/>
      <c r="E1146" s="581"/>
      <c r="F1146" s="2">
        <f>(1/S1146)*cnst_fish!$C$6</f>
        <v>1.2855555498429809</v>
      </c>
      <c r="G1146" s="2">
        <f t="shared" si="164"/>
        <v>1</v>
      </c>
      <c r="H1146" s="2">
        <f t="shared" si="164"/>
        <v>0.36449057933102513</v>
      </c>
      <c r="I1146" s="2">
        <f t="shared" si="157"/>
        <v>0</v>
      </c>
      <c r="J1146" s="389">
        <f t="shared" si="158"/>
        <v>0</v>
      </c>
      <c r="L1146" s="721"/>
      <c r="M1146" s="581"/>
      <c r="N1146" s="585" t="s">
        <v>2322</v>
      </c>
      <c r="O1146" s="586" t="s">
        <v>4680</v>
      </c>
      <c r="P1146" s="233">
        <f t="shared" si="159"/>
        <v>0</v>
      </c>
      <c r="Q1146" s="233">
        <f t="shared" si="160"/>
        <v>0</v>
      </c>
      <c r="R1146" s="2">
        <f t="shared" si="161"/>
        <v>2.37</v>
      </c>
      <c r="S1146" s="2">
        <f>(1/9)*cnst_fish!$C$7*(1/cnst_fish!$C$8)^(R1146-1)</f>
        <v>3.3059637139127123</v>
      </c>
      <c r="T1146" s="682">
        <f t="shared" si="162"/>
        <v>0</v>
      </c>
      <c r="W1146" s="818"/>
      <c r="X1146" s="818"/>
      <c r="Y1146" s="819"/>
      <c r="Z1146" s="820"/>
      <c r="AA1146" s="820"/>
      <c r="AB1146" s="821"/>
      <c r="AC1146" s="821"/>
      <c r="AD1146" s="253"/>
      <c r="AE1146" s="253"/>
    </row>
    <row r="1147" spans="1:31" ht="14.5">
      <c r="A1147" t="s">
        <v>3706</v>
      </c>
      <c r="B1147" t="s">
        <v>5140</v>
      </c>
      <c r="C1147">
        <v>16456</v>
      </c>
      <c r="D1147" s="581"/>
      <c r="E1147" s="581"/>
      <c r="F1147" s="2">
        <f>(1/S1147)*cnst_fish!$C$6</f>
        <v>1.1690719251973822</v>
      </c>
      <c r="G1147" s="2">
        <f t="shared" si="164"/>
        <v>1</v>
      </c>
      <c r="H1147" s="2">
        <f t="shared" si="164"/>
        <v>0.36449057933102513</v>
      </c>
      <c r="I1147" s="2">
        <f t="shared" si="157"/>
        <v>0</v>
      </c>
      <c r="J1147" s="389">
        <f t="shared" si="158"/>
        <v>0</v>
      </c>
      <c r="L1147" s="721"/>
      <c r="M1147" s="581">
        <v>108336</v>
      </c>
      <c r="N1147" s="585" t="s">
        <v>2322</v>
      </c>
      <c r="O1147" s="586" t="s">
        <v>4680</v>
      </c>
      <c r="P1147" s="233">
        <f t="shared" si="159"/>
        <v>0</v>
      </c>
      <c r="Q1147" s="233">
        <f t="shared" si="160"/>
        <v>108336</v>
      </c>
      <c r="R1147" s="2">
        <f t="shared" si="161"/>
        <v>2.4112496163562103</v>
      </c>
      <c r="S1147" s="2">
        <f>(1/9)*cnst_fish!$C$7*(1/cnst_fish!$C$8)^(R1147-1)</f>
        <v>3.6353622975613278</v>
      </c>
      <c r="T1147" s="682">
        <f t="shared" si="162"/>
        <v>33776.751071786282</v>
      </c>
      <c r="W1147" s="818"/>
      <c r="X1147" s="818"/>
      <c r="Y1147" s="819"/>
      <c r="Z1147" s="820"/>
      <c r="AA1147" s="820"/>
      <c r="AB1147" s="821"/>
      <c r="AC1147" s="821"/>
      <c r="AD1147" s="253"/>
      <c r="AE1147" s="253"/>
    </row>
    <row r="1148" spans="1:31" ht="14.5">
      <c r="A1148" t="s">
        <v>2609</v>
      </c>
      <c r="B1148" t="s">
        <v>5141</v>
      </c>
      <c r="C1148">
        <v>2608</v>
      </c>
      <c r="D1148" s="581"/>
      <c r="E1148" s="581"/>
      <c r="F1148" s="2">
        <f>(1/S1148)*cnst_fish!$C$6</f>
        <v>1.9014759972289452</v>
      </c>
      <c r="G1148" s="2">
        <f t="shared" ref="G1148:H1167" si="165">G$7</f>
        <v>1</v>
      </c>
      <c r="H1148" s="2">
        <f t="shared" si="165"/>
        <v>0.36449057933102513</v>
      </c>
      <c r="I1148" s="2">
        <f t="shared" si="157"/>
        <v>0</v>
      </c>
      <c r="J1148" s="389">
        <f t="shared" si="158"/>
        <v>0</v>
      </c>
      <c r="L1148" s="721"/>
      <c r="M1148" s="581">
        <v>16769</v>
      </c>
      <c r="N1148" s="585" t="s">
        <v>2322</v>
      </c>
      <c r="O1148" s="586" t="s">
        <v>4680</v>
      </c>
      <c r="P1148" s="233">
        <f t="shared" si="159"/>
        <v>0</v>
      </c>
      <c r="Q1148" s="233">
        <f t="shared" si="160"/>
        <v>16769</v>
      </c>
      <c r="R1148" s="2">
        <f t="shared" si="161"/>
        <v>2.2000000000000002</v>
      </c>
      <c r="S1148" s="2">
        <f>(1/9)*cnst_fish!$C$7*(1/cnst_fish!$C$8)^(R1148-1)</f>
        <v>2.2351057842400328</v>
      </c>
      <c r="T1148" s="682">
        <f t="shared" si="162"/>
        <v>3214.4200261845508</v>
      </c>
      <c r="W1148" s="818"/>
      <c r="X1148" s="818"/>
      <c r="Y1148" s="819"/>
      <c r="Z1148" s="820"/>
      <c r="AA1148" s="820"/>
      <c r="AB1148" s="821"/>
      <c r="AC1148" s="821"/>
      <c r="AD1148" s="253"/>
      <c r="AE1148" s="253"/>
    </row>
    <row r="1149" spans="1:31" ht="14.5">
      <c r="A1149" t="s">
        <v>2603</v>
      </c>
      <c r="B1149" t="s">
        <v>5142</v>
      </c>
      <c r="C1149">
        <v>3431</v>
      </c>
      <c r="D1149" s="581"/>
      <c r="E1149" s="581"/>
      <c r="F1149" s="2">
        <f>(1/S1149)*cnst_fish!$C$6</f>
        <v>0.95299549485983426</v>
      </c>
      <c r="G1149" s="2">
        <f t="shared" si="165"/>
        <v>1</v>
      </c>
      <c r="H1149" s="2">
        <f t="shared" si="165"/>
        <v>0.36449057933102513</v>
      </c>
      <c r="I1149" s="2">
        <f t="shared" si="157"/>
        <v>0</v>
      </c>
      <c r="J1149" s="389">
        <f t="shared" si="158"/>
        <v>0</v>
      </c>
      <c r="L1149" s="721"/>
      <c r="M1149" s="581">
        <v>9687</v>
      </c>
      <c r="N1149" s="585" t="s">
        <v>2322</v>
      </c>
      <c r="O1149" s="586" t="s">
        <v>4680</v>
      </c>
      <c r="P1149" s="233">
        <f t="shared" si="159"/>
        <v>0</v>
      </c>
      <c r="Q1149" s="233">
        <f t="shared" si="160"/>
        <v>9687</v>
      </c>
      <c r="R1149" s="2">
        <f t="shared" si="161"/>
        <v>2.5</v>
      </c>
      <c r="S1149" s="2">
        <f>(1/9)*cnst_fish!$C$7*(1/cnst_fish!$C$8)^(R1149-1)</f>
        <v>4.4596223412630991</v>
      </c>
      <c r="T1149" s="682">
        <f t="shared" si="162"/>
        <v>3704.9705492038561</v>
      </c>
      <c r="W1149" s="818"/>
      <c r="X1149" s="818"/>
      <c r="Y1149" s="819"/>
      <c r="Z1149" s="820"/>
      <c r="AA1149" s="820"/>
      <c r="AB1149" s="821"/>
      <c r="AC1149" s="821"/>
      <c r="AD1149" s="253"/>
      <c r="AE1149" s="253"/>
    </row>
    <row r="1150" spans="1:31" ht="14.5">
      <c r="A1150" t="s">
        <v>2468</v>
      </c>
      <c r="B1150" t="s">
        <v>485</v>
      </c>
      <c r="C1150">
        <v>13329</v>
      </c>
      <c r="D1150" s="581"/>
      <c r="E1150" s="581"/>
      <c r="F1150" s="2">
        <f>(1/S1150)*cnst_fish!$C$6</f>
        <v>6.0129950673834844E-2</v>
      </c>
      <c r="G1150" s="2">
        <f t="shared" si="165"/>
        <v>1</v>
      </c>
      <c r="H1150" s="2">
        <f t="shared" si="165"/>
        <v>0.36449057933102513</v>
      </c>
      <c r="I1150" s="2">
        <f t="shared" si="157"/>
        <v>0</v>
      </c>
      <c r="J1150" s="389">
        <f t="shared" si="158"/>
        <v>0</v>
      </c>
      <c r="L1150" s="721"/>
      <c r="M1150" s="581">
        <v>953.28</v>
      </c>
      <c r="N1150" s="585" t="s">
        <v>1738</v>
      </c>
      <c r="O1150" s="586" t="s">
        <v>4685</v>
      </c>
      <c r="P1150" s="233">
        <f t="shared" si="159"/>
        <v>0</v>
      </c>
      <c r="Q1150" s="233">
        <f t="shared" si="160"/>
        <v>953.28</v>
      </c>
      <c r="R1150" s="2">
        <f t="shared" si="161"/>
        <v>3.7</v>
      </c>
      <c r="S1150" s="2">
        <f>(1/9)*cnst_fish!$C$7*(1/cnst_fish!$C$8)^(R1150-1)</f>
        <v>70.680250896153822</v>
      </c>
      <c r="T1150" s="682">
        <f t="shared" si="162"/>
        <v>5778.510967844104</v>
      </c>
      <c r="W1150" s="818"/>
      <c r="X1150" s="818"/>
      <c r="Y1150" s="819"/>
      <c r="Z1150" s="820"/>
      <c r="AA1150" s="820"/>
      <c r="AB1150" s="821"/>
      <c r="AC1150" s="821"/>
      <c r="AD1150" s="253"/>
      <c r="AE1150" s="253"/>
    </row>
    <row r="1151" spans="1:31" ht="14.5">
      <c r="A1151" t="s">
        <v>6760</v>
      </c>
      <c r="B1151" t="s">
        <v>8669</v>
      </c>
      <c r="C1151">
        <v>18545</v>
      </c>
      <c r="D1151" s="581"/>
      <c r="E1151" s="581"/>
      <c r="F1151" s="2">
        <f>(1/S1151)*cnst_fish!$C$6</f>
        <v>30.136363636363644</v>
      </c>
      <c r="G1151" s="2">
        <f t="shared" si="165"/>
        <v>1</v>
      </c>
      <c r="H1151" s="2">
        <f t="shared" si="165"/>
        <v>0.36449057933102513</v>
      </c>
      <c r="I1151" s="2">
        <f t="shared" si="157"/>
        <v>0</v>
      </c>
      <c r="J1151" s="389">
        <f t="shared" si="158"/>
        <v>0</v>
      </c>
      <c r="L1151" s="721">
        <v>35656</v>
      </c>
      <c r="M1151" s="581"/>
      <c r="N1151" s="585" t="s">
        <v>1740</v>
      </c>
      <c r="O1151" s="586" t="s">
        <v>4671</v>
      </c>
      <c r="P1151" s="233">
        <f t="shared" si="159"/>
        <v>0</v>
      </c>
      <c r="Q1151" s="233">
        <f t="shared" si="160"/>
        <v>35656</v>
      </c>
      <c r="R1151" s="2">
        <f t="shared" si="161"/>
        <v>1</v>
      </c>
      <c r="S1151" s="2">
        <f>(1/9)*cnst_fish!$C$7*(1/cnst_fish!$C$8)^(R1151-1)</f>
        <v>0.141025641025641</v>
      </c>
      <c r="T1151" s="682">
        <f t="shared" si="162"/>
        <v>431.24898058189234</v>
      </c>
      <c r="W1151" s="818"/>
      <c r="X1151" s="818"/>
      <c r="Y1151" s="819"/>
      <c r="Z1151" s="820"/>
      <c r="AA1151" s="820"/>
      <c r="AB1151" s="821"/>
      <c r="AC1151" s="821"/>
      <c r="AD1151" s="253"/>
      <c r="AE1151" s="253"/>
    </row>
    <row r="1152" spans="1:31" ht="14.5">
      <c r="A1152" t="s">
        <v>8670</v>
      </c>
      <c r="B1152" t="s">
        <v>5418</v>
      </c>
      <c r="C1152">
        <v>3631</v>
      </c>
      <c r="D1152" s="581"/>
      <c r="E1152" s="581"/>
      <c r="F1152" s="2">
        <f>(1/S1152)*cnst_fish!$C$6</f>
        <v>30.136363636363644</v>
      </c>
      <c r="G1152" s="2">
        <f t="shared" si="165"/>
        <v>1</v>
      </c>
      <c r="H1152" s="2">
        <f t="shared" si="165"/>
        <v>0.36449057933102513</v>
      </c>
      <c r="I1152" s="2">
        <f t="shared" si="157"/>
        <v>0</v>
      </c>
      <c r="J1152" s="389">
        <f t="shared" si="158"/>
        <v>0</v>
      </c>
      <c r="L1152" s="721">
        <v>35120</v>
      </c>
      <c r="M1152" s="581"/>
      <c r="N1152" s="585" t="s">
        <v>1740</v>
      </c>
      <c r="O1152" s="586" t="s">
        <v>4671</v>
      </c>
      <c r="P1152" s="233">
        <f t="shared" si="159"/>
        <v>0</v>
      </c>
      <c r="Q1152" s="233">
        <f t="shared" si="160"/>
        <v>35120</v>
      </c>
      <c r="R1152" s="2">
        <f t="shared" si="161"/>
        <v>1</v>
      </c>
      <c r="S1152" s="2">
        <f>(1/9)*cnst_fish!$C$7*(1/cnst_fish!$C$8)^(R1152-1)</f>
        <v>0.141025641025641</v>
      </c>
      <c r="T1152" s="682">
        <f t="shared" si="162"/>
        <v>424.76621600953717</v>
      </c>
      <c r="W1152" s="818"/>
      <c r="X1152" s="818"/>
      <c r="Y1152" s="819"/>
      <c r="Z1152" s="820"/>
      <c r="AA1152" s="820"/>
      <c r="AB1152" s="821"/>
      <c r="AC1152" s="821"/>
      <c r="AD1152" s="253"/>
      <c r="AE1152" s="253"/>
    </row>
    <row r="1153" spans="1:31" ht="14.5">
      <c r="A1153" t="s">
        <v>3415</v>
      </c>
      <c r="B1153" t="s">
        <v>3646</v>
      </c>
      <c r="C1153">
        <v>3156</v>
      </c>
      <c r="D1153" s="581"/>
      <c r="E1153" s="581"/>
      <c r="F1153" s="2">
        <f>(1/S1153)*cnst_fish!$C$6</f>
        <v>3.7939434000887833E-2</v>
      </c>
      <c r="G1153" s="2">
        <f t="shared" si="165"/>
        <v>1</v>
      </c>
      <c r="H1153" s="2">
        <f t="shared" si="165"/>
        <v>0.36449057933102513</v>
      </c>
      <c r="I1153" s="2">
        <f t="shared" si="157"/>
        <v>0</v>
      </c>
      <c r="J1153" s="389">
        <f t="shared" si="158"/>
        <v>0</v>
      </c>
      <c r="L1153" s="721">
        <v>13194</v>
      </c>
      <c r="M1153" s="581"/>
      <c r="N1153" s="585" t="s">
        <v>1738</v>
      </c>
      <c r="O1153" s="586" t="s">
        <v>4681</v>
      </c>
      <c r="P1153" s="233">
        <f t="shared" si="159"/>
        <v>0</v>
      </c>
      <c r="Q1153" s="233">
        <f t="shared" si="160"/>
        <v>13194</v>
      </c>
      <c r="R1153" s="2">
        <f t="shared" si="161"/>
        <v>3.9</v>
      </c>
      <c r="S1153" s="2">
        <f>(1/9)*cnst_fish!$C$7*(1/cnst_fish!$C$8)^(R1153-1)</f>
        <v>112.02064848675771</v>
      </c>
      <c r="T1153" s="682">
        <f t="shared" si="162"/>
        <v>126756.99652190402</v>
      </c>
      <c r="W1153" s="818"/>
      <c r="X1153" s="818"/>
      <c r="Y1153" s="819"/>
      <c r="Z1153" s="820"/>
      <c r="AA1153" s="820"/>
      <c r="AB1153" s="821"/>
      <c r="AC1153" s="821"/>
      <c r="AD1153" s="253"/>
      <c r="AE1153" s="253"/>
    </row>
    <row r="1154" spans="1:31" ht="14.5">
      <c r="A1154" t="s">
        <v>3990</v>
      </c>
      <c r="B1154" t="s">
        <v>1175</v>
      </c>
      <c r="C1154">
        <v>2246</v>
      </c>
      <c r="D1154" s="581"/>
      <c r="E1154" s="581"/>
      <c r="F1154" s="2">
        <f>(1/S1154)*cnst_fish!$C$6</f>
        <v>0.10211530705467774</v>
      </c>
      <c r="G1154" s="2">
        <f t="shared" si="165"/>
        <v>1</v>
      </c>
      <c r="H1154" s="2">
        <f t="shared" si="165"/>
        <v>0.36449057933102513</v>
      </c>
      <c r="I1154" s="2">
        <f t="shared" si="157"/>
        <v>0</v>
      </c>
      <c r="J1154" s="389">
        <f t="shared" si="158"/>
        <v>0</v>
      </c>
      <c r="L1154" s="721">
        <v>1</v>
      </c>
      <c r="M1154" s="581"/>
      <c r="N1154" s="585" t="s">
        <v>1738</v>
      </c>
      <c r="O1154" s="586" t="s">
        <v>4681</v>
      </c>
      <c r="P1154" s="233">
        <f t="shared" si="159"/>
        <v>0</v>
      </c>
      <c r="Q1154" s="233">
        <f t="shared" si="160"/>
        <v>1</v>
      </c>
      <c r="R1154" s="2">
        <f t="shared" si="161"/>
        <v>3.47</v>
      </c>
      <c r="S1154" s="2">
        <f>(1/9)*cnst_fish!$C$7*(1/cnst_fish!$C$8)^(R1154-1)</f>
        <v>41.619617299141382</v>
      </c>
      <c r="T1154" s="682">
        <f t="shared" si="162"/>
        <v>3.5694019813881415</v>
      </c>
      <c r="W1154" s="818"/>
      <c r="X1154" s="818"/>
      <c r="Y1154" s="819"/>
      <c r="Z1154" s="820"/>
      <c r="AA1154" s="820"/>
      <c r="AB1154" s="821"/>
      <c r="AC1154" s="821"/>
      <c r="AD1154" s="253"/>
      <c r="AE1154" s="253"/>
    </row>
    <row r="1155" spans="1:31" ht="14.5">
      <c r="A1155" t="s">
        <v>2863</v>
      </c>
      <c r="B1155" t="s">
        <v>2938</v>
      </c>
      <c r="C1155">
        <v>16070</v>
      </c>
      <c r="D1155" s="581"/>
      <c r="E1155" s="581"/>
      <c r="F1155" s="2">
        <f>(1/S1155)*cnst_fish!$C$6</f>
        <v>7.7462381998898044E-2</v>
      </c>
      <c r="G1155" s="2">
        <f t="shared" si="165"/>
        <v>1</v>
      </c>
      <c r="H1155" s="2">
        <f t="shared" si="165"/>
        <v>0.36449057933102513</v>
      </c>
      <c r="I1155" s="2">
        <f t="shared" si="157"/>
        <v>0</v>
      </c>
      <c r="J1155" s="389">
        <f t="shared" si="158"/>
        <v>0</v>
      </c>
      <c r="L1155" s="721">
        <v>24695</v>
      </c>
      <c r="M1155" s="581"/>
      <c r="N1155" s="585" t="s">
        <v>1738</v>
      </c>
      <c r="O1155" s="586" t="s">
        <v>4681</v>
      </c>
      <c r="P1155" s="233">
        <f t="shared" si="159"/>
        <v>0</v>
      </c>
      <c r="Q1155" s="233">
        <f t="shared" si="160"/>
        <v>24695</v>
      </c>
      <c r="R1155" s="2">
        <f t="shared" si="161"/>
        <v>3.59</v>
      </c>
      <c r="S1155" s="2">
        <f>(1/9)*cnst_fish!$C$7*(1/cnst_fish!$C$8)^(R1155-1)</f>
        <v>54.865340960731871</v>
      </c>
      <c r="T1155" s="682">
        <f t="shared" si="162"/>
        <v>116199.56195909019</v>
      </c>
      <c r="W1155" s="818"/>
      <c r="X1155" s="818"/>
      <c r="Y1155" s="819"/>
      <c r="Z1155" s="820"/>
      <c r="AA1155" s="820"/>
      <c r="AB1155" s="821"/>
      <c r="AC1155" s="821"/>
      <c r="AD1155" s="253"/>
      <c r="AE1155" s="253"/>
    </row>
    <row r="1156" spans="1:31" ht="14.5">
      <c r="A1156" t="s">
        <v>3992</v>
      </c>
      <c r="B1156" t="s">
        <v>2939</v>
      </c>
      <c r="C1156">
        <v>3034</v>
      </c>
      <c r="D1156" s="581"/>
      <c r="E1156" s="581"/>
      <c r="F1156" s="2">
        <f>(1/S1156)*cnst_fish!$C$6</f>
        <v>9.979087888316248E-3</v>
      </c>
      <c r="G1156" s="2">
        <f t="shared" si="165"/>
        <v>1</v>
      </c>
      <c r="H1156" s="2">
        <f t="shared" si="165"/>
        <v>0.36449057933102513</v>
      </c>
      <c r="I1156" s="2">
        <f t="shared" si="157"/>
        <v>0</v>
      </c>
      <c r="J1156" s="389">
        <f t="shared" si="158"/>
        <v>0</v>
      </c>
      <c r="L1156" s="721">
        <v>394</v>
      </c>
      <c r="M1156" s="581"/>
      <c r="N1156" s="585" t="s">
        <v>1738</v>
      </c>
      <c r="O1156" s="586" t="s">
        <v>4681</v>
      </c>
      <c r="P1156" s="233">
        <f t="shared" si="159"/>
        <v>0</v>
      </c>
      <c r="Q1156" s="233">
        <f t="shared" si="160"/>
        <v>394</v>
      </c>
      <c r="R1156" s="2">
        <f t="shared" si="161"/>
        <v>4.4800000000000004</v>
      </c>
      <c r="S1156" s="2">
        <f>(1/9)*cnst_fish!$C$7*(1/cnst_fish!$C$8)^(R1156-1)</f>
        <v>425.89062723618264</v>
      </c>
      <c r="T1156" s="682">
        <f t="shared" si="162"/>
        <v>14391.023494698853</v>
      </c>
      <c r="W1156" s="818"/>
      <c r="X1156" s="818"/>
      <c r="Y1156" s="819"/>
      <c r="Z1156" s="820"/>
      <c r="AA1156" s="820"/>
      <c r="AB1156" s="821"/>
      <c r="AC1156" s="821"/>
      <c r="AD1156" s="253"/>
      <c r="AE1156" s="253"/>
    </row>
    <row r="1157" spans="1:31" ht="14.5">
      <c r="A1157" t="s">
        <v>8671</v>
      </c>
      <c r="B1157" t="s">
        <v>8672</v>
      </c>
      <c r="C1157">
        <v>19845</v>
      </c>
      <c r="D1157" s="581"/>
      <c r="E1157" s="581"/>
      <c r="F1157" s="2">
        <f>(1/S1157)*cnst_fish!$C$6</f>
        <v>9.5299549485983348E-2</v>
      </c>
      <c r="G1157" s="2">
        <f t="shared" si="165"/>
        <v>1</v>
      </c>
      <c r="H1157" s="2">
        <f t="shared" si="165"/>
        <v>0.36449057933102513</v>
      </c>
      <c r="I1157" s="2">
        <f t="shared" si="157"/>
        <v>0</v>
      </c>
      <c r="J1157" s="389">
        <f t="shared" si="158"/>
        <v>0</v>
      </c>
      <c r="L1157" s="721">
        <v>4.93</v>
      </c>
      <c r="M1157" s="581"/>
      <c r="N1157" s="585" t="s">
        <v>1738</v>
      </c>
      <c r="O1157" s="586" t="s">
        <v>4681</v>
      </c>
      <c r="P1157" s="233">
        <f t="shared" si="159"/>
        <v>0</v>
      </c>
      <c r="Q1157" s="233">
        <f t="shared" si="160"/>
        <v>4.93</v>
      </c>
      <c r="R1157" s="2">
        <f t="shared" si="161"/>
        <v>3.5</v>
      </c>
      <c r="S1157" s="2">
        <f>(1/9)*cnst_fish!$C$7*(1/cnst_fish!$C$8)^(R1157-1)</f>
        <v>44.596223412631026</v>
      </c>
      <c r="T1157" s="682">
        <f t="shared" si="162"/>
        <v>18.855687836869023</v>
      </c>
      <c r="W1157" s="818"/>
      <c r="X1157" s="818"/>
      <c r="Y1157" s="819"/>
      <c r="Z1157" s="820"/>
      <c r="AA1157" s="820"/>
      <c r="AB1157" s="821"/>
      <c r="AC1157" s="821"/>
      <c r="AD1157" s="253"/>
      <c r="AE1157" s="253"/>
    </row>
    <row r="1158" spans="1:31" ht="14.5">
      <c r="A1158" t="s">
        <v>4173</v>
      </c>
      <c r="B1158" t="s">
        <v>2940</v>
      </c>
      <c r="C1158">
        <v>13341</v>
      </c>
      <c r="D1158" s="581"/>
      <c r="E1158" s="581"/>
      <c r="F1158" s="2">
        <f>(1/S1158)*cnst_fish!$C$6</f>
        <v>5.3590874947991168E-2</v>
      </c>
      <c r="G1158" s="2">
        <f t="shared" si="165"/>
        <v>1</v>
      </c>
      <c r="H1158" s="2">
        <f t="shared" si="165"/>
        <v>0.36449057933102513</v>
      </c>
      <c r="I1158" s="2">
        <f t="shared" si="157"/>
        <v>0</v>
      </c>
      <c r="J1158" s="389">
        <f t="shared" si="158"/>
        <v>0</v>
      </c>
      <c r="L1158" s="721">
        <v>341</v>
      </c>
      <c r="M1158" s="581"/>
      <c r="N1158" s="585" t="s">
        <v>1738</v>
      </c>
      <c r="O1158" s="586" t="s">
        <v>4681</v>
      </c>
      <c r="P1158" s="233">
        <f t="shared" si="159"/>
        <v>0</v>
      </c>
      <c r="Q1158" s="233">
        <f t="shared" si="160"/>
        <v>341</v>
      </c>
      <c r="R1158" s="2">
        <f t="shared" si="161"/>
        <v>3.75</v>
      </c>
      <c r="S1158" s="2">
        <f>(1/9)*cnst_fish!$C$7*(1/cnst_fish!$C$8)^(R1158-1)</f>
        <v>79.304545860177441</v>
      </c>
      <c r="T1158" s="682">
        <f t="shared" si="162"/>
        <v>2319.2621443949492</v>
      </c>
      <c r="W1158" s="818"/>
      <c r="X1158" s="818"/>
      <c r="Y1158" s="819"/>
      <c r="Z1158" s="820"/>
      <c r="AA1158" s="820"/>
      <c r="AB1158" s="821"/>
      <c r="AC1158" s="821"/>
      <c r="AD1158" s="253"/>
      <c r="AE1158" s="253"/>
    </row>
    <row r="1159" spans="1:31" ht="14.5">
      <c r="A1159" t="s">
        <v>3208</v>
      </c>
      <c r="B1159" t="s">
        <v>2941</v>
      </c>
      <c r="C1159">
        <v>13342</v>
      </c>
      <c r="D1159" s="581"/>
      <c r="E1159" s="581"/>
      <c r="F1159" s="2">
        <f>(1/S1159)*cnst_fish!$C$6</f>
        <v>5.8761225892708345E-2</v>
      </c>
      <c r="G1159" s="2">
        <f t="shared" si="165"/>
        <v>1</v>
      </c>
      <c r="H1159" s="2">
        <f t="shared" si="165"/>
        <v>0.36449057933102513</v>
      </c>
      <c r="I1159" s="2">
        <f t="shared" ref="I1159:I1222" si="166">IF($F1159=0,0,D1159/$F1159*$H1159*$G1159)</f>
        <v>0</v>
      </c>
      <c r="J1159" s="389">
        <f t="shared" ref="J1159:J1222" si="167">IF($F1159=0,0,E1159/$F1159*$H1159*$G1159)</f>
        <v>0</v>
      </c>
      <c r="L1159" s="721">
        <v>0</v>
      </c>
      <c r="M1159" s="581"/>
      <c r="N1159" s="585" t="s">
        <v>1738</v>
      </c>
      <c r="O1159" s="586" t="s">
        <v>4681</v>
      </c>
      <c r="P1159" s="233">
        <f t="shared" ref="P1159:P1222" si="168">D1159+E1159</f>
        <v>0</v>
      </c>
      <c r="Q1159" s="233">
        <f t="shared" ref="Q1159:Q1222" si="169">L1159+M1159</f>
        <v>0</v>
      </c>
      <c r="R1159" s="2">
        <f t="shared" ref="R1159:R1222" si="170">VLOOKUP(B1159,constant_fish_trophic,3,FALSE)</f>
        <v>3.71</v>
      </c>
      <c r="S1159" s="2">
        <f>(1/9)*cnst_fish!$C$7*(1/cnst_fish!$C$8)^(R1159-1)</f>
        <v>72.326605434679692</v>
      </c>
      <c r="T1159" s="682">
        <f t="shared" ref="T1159:T1222" si="171">IF(F1159=0,0,Q1159/F1159*H1159*G1159)</f>
        <v>0</v>
      </c>
      <c r="W1159" s="818"/>
      <c r="X1159" s="818"/>
      <c r="Y1159" s="819"/>
      <c r="Z1159" s="820"/>
      <c r="AA1159" s="820"/>
      <c r="AB1159" s="821"/>
      <c r="AC1159" s="821"/>
      <c r="AD1159" s="253"/>
      <c r="AE1159" s="253"/>
    </row>
    <row r="1160" spans="1:31" ht="14.5">
      <c r="A1160" t="s">
        <v>3412</v>
      </c>
      <c r="B1160" t="s">
        <v>1919</v>
      </c>
      <c r="C1160">
        <v>2244</v>
      </c>
      <c r="D1160" s="581"/>
      <c r="E1160" s="581"/>
      <c r="F1160" s="2">
        <f>(1/S1160)*cnst_fish!$C$6</f>
        <v>4.2568745094767511E-2</v>
      </c>
      <c r="G1160" s="2">
        <f t="shared" si="165"/>
        <v>1</v>
      </c>
      <c r="H1160" s="2">
        <f t="shared" si="165"/>
        <v>0.36449057933102513</v>
      </c>
      <c r="I1160" s="2">
        <f t="shared" si="166"/>
        <v>0</v>
      </c>
      <c r="J1160" s="389">
        <f t="shared" si="167"/>
        <v>0</v>
      </c>
      <c r="L1160" s="721">
        <v>1997.8400000000004</v>
      </c>
      <c r="M1160" s="581"/>
      <c r="N1160" s="585" t="s">
        <v>1738</v>
      </c>
      <c r="O1160" s="586" t="s">
        <v>4681</v>
      </c>
      <c r="P1160" s="233">
        <f t="shared" si="168"/>
        <v>0</v>
      </c>
      <c r="Q1160" s="233">
        <f t="shared" si="169"/>
        <v>1997.8400000000004</v>
      </c>
      <c r="R1160" s="2">
        <f t="shared" si="170"/>
        <v>3.85</v>
      </c>
      <c r="S1160" s="2">
        <f>(1/9)*cnst_fish!$C$7*(1/cnst_fish!$C$8)^(R1160-1)</f>
        <v>99.838508054173388</v>
      </c>
      <c r="T1160" s="682">
        <f t="shared" si="171"/>
        <v>17106.303166550333</v>
      </c>
      <c r="W1160" s="818"/>
      <c r="X1160" s="818"/>
      <c r="Y1160" s="819"/>
      <c r="Z1160" s="820"/>
      <c r="AA1160" s="820"/>
      <c r="AB1160" s="821"/>
      <c r="AC1160" s="821"/>
      <c r="AD1160" s="253"/>
      <c r="AE1160" s="253"/>
    </row>
    <row r="1161" spans="1:31" ht="14.5">
      <c r="A1161" t="s">
        <v>2956</v>
      </c>
      <c r="B1161" t="s">
        <v>597</v>
      </c>
      <c r="C1161">
        <v>13343</v>
      </c>
      <c r="D1161" s="581"/>
      <c r="E1161" s="581"/>
      <c r="F1161" s="2">
        <f>(1/S1161)*cnst_fish!$C$6</f>
        <v>0.10211530705467774</v>
      </c>
      <c r="G1161" s="2">
        <f t="shared" si="165"/>
        <v>1</v>
      </c>
      <c r="H1161" s="2">
        <f t="shared" si="165"/>
        <v>0.36449057933102513</v>
      </c>
      <c r="I1161" s="2">
        <f t="shared" si="166"/>
        <v>0</v>
      </c>
      <c r="J1161" s="389">
        <f t="shared" si="167"/>
        <v>0</v>
      </c>
      <c r="L1161" s="721">
        <v>10.930000000000001</v>
      </c>
      <c r="M1161" s="581"/>
      <c r="N1161" s="585" t="s">
        <v>1738</v>
      </c>
      <c r="O1161" s="586" t="s">
        <v>4681</v>
      </c>
      <c r="P1161" s="233">
        <f t="shared" si="168"/>
        <v>0</v>
      </c>
      <c r="Q1161" s="233">
        <f t="shared" si="169"/>
        <v>10.930000000000001</v>
      </c>
      <c r="R1161" s="2">
        <f t="shared" si="170"/>
        <v>3.47</v>
      </c>
      <c r="S1161" s="2">
        <f>(1/9)*cnst_fish!$C$7*(1/cnst_fish!$C$8)^(R1161-1)</f>
        <v>41.619617299141382</v>
      </c>
      <c r="T1161" s="682">
        <f t="shared" si="171"/>
        <v>39.013563656572387</v>
      </c>
      <c r="W1161" s="818"/>
      <c r="X1161" s="818"/>
      <c r="Y1161" s="819"/>
      <c r="Z1161" s="820"/>
      <c r="AA1161" s="820"/>
      <c r="AB1161" s="821"/>
      <c r="AC1161" s="821"/>
      <c r="AD1161" s="253"/>
      <c r="AE1161" s="253"/>
    </row>
    <row r="1162" spans="1:31" ht="14.5">
      <c r="A1162" t="s">
        <v>1890</v>
      </c>
      <c r="B1162" t="s">
        <v>1579</v>
      </c>
      <c r="C1162">
        <v>2458</v>
      </c>
      <c r="D1162" s="581"/>
      <c r="E1162" s="581"/>
      <c r="F1162" s="2">
        <f>(1/S1162)*cnst_fish!$C$6</f>
        <v>0.11457525898206007</v>
      </c>
      <c r="G1162" s="2">
        <f t="shared" si="165"/>
        <v>1</v>
      </c>
      <c r="H1162" s="2">
        <f t="shared" si="165"/>
        <v>0.36449057933102513</v>
      </c>
      <c r="I1162" s="2">
        <f t="shared" si="166"/>
        <v>0</v>
      </c>
      <c r="J1162" s="389">
        <f t="shared" si="167"/>
        <v>0</v>
      </c>
      <c r="L1162" s="721">
        <v>0</v>
      </c>
      <c r="M1162" s="581"/>
      <c r="N1162" s="585" t="s">
        <v>1738</v>
      </c>
      <c r="O1162" s="586" t="s">
        <v>4681</v>
      </c>
      <c r="P1162" s="233">
        <f t="shared" si="168"/>
        <v>0</v>
      </c>
      <c r="Q1162" s="233">
        <f t="shared" si="169"/>
        <v>0</v>
      </c>
      <c r="R1162" s="2">
        <f t="shared" si="170"/>
        <v>3.42</v>
      </c>
      <c r="S1162" s="2">
        <f>(1/9)*cnst_fish!$C$7*(1/cnst_fish!$C$8)^(R1162-1)</f>
        <v>37.093522962627169</v>
      </c>
      <c r="T1162" s="682">
        <f t="shared" si="171"/>
        <v>0</v>
      </c>
      <c r="W1162" s="818"/>
      <c r="X1162" s="818"/>
      <c r="Y1162" s="819"/>
      <c r="Z1162" s="820"/>
      <c r="AA1162" s="820"/>
      <c r="AB1162" s="821"/>
      <c r="AC1162" s="821"/>
      <c r="AD1162" s="253"/>
      <c r="AE1162" s="253"/>
    </row>
    <row r="1163" spans="1:31" ht="14.5">
      <c r="A1163" t="s">
        <v>3423</v>
      </c>
      <c r="B1163" t="s">
        <v>598</v>
      </c>
      <c r="C1163">
        <v>2243</v>
      </c>
      <c r="D1163" s="581"/>
      <c r="E1163" s="581"/>
      <c r="F1163" s="2">
        <f>(1/S1163)*cnst_fish!$C$6</f>
        <v>3.5407139951132149E-2</v>
      </c>
      <c r="G1163" s="2">
        <f t="shared" si="165"/>
        <v>1</v>
      </c>
      <c r="H1163" s="2">
        <f t="shared" si="165"/>
        <v>0.36449057933102513</v>
      </c>
      <c r="I1163" s="2">
        <f t="shared" si="166"/>
        <v>0</v>
      </c>
      <c r="J1163" s="389">
        <f t="shared" si="167"/>
        <v>0</v>
      </c>
      <c r="L1163" s="721">
        <v>61928.9</v>
      </c>
      <c r="M1163" s="581"/>
      <c r="N1163" s="585" t="s">
        <v>1738</v>
      </c>
      <c r="O1163" s="586" t="s">
        <v>4681</v>
      </c>
      <c r="P1163" s="233">
        <f t="shared" si="168"/>
        <v>0</v>
      </c>
      <c r="Q1163" s="233">
        <f t="shared" si="169"/>
        <v>61928.9</v>
      </c>
      <c r="R1163" s="2">
        <f t="shared" si="170"/>
        <v>3.93</v>
      </c>
      <c r="S1163" s="2">
        <f>(1/9)*cnst_fish!$C$7*(1/cnst_fish!$C$8)^(R1163-1)</f>
        <v>120.03228743879681</v>
      </c>
      <c r="T1163" s="682">
        <f t="shared" si="171"/>
        <v>637512.67878419429</v>
      </c>
      <c r="W1163" s="818"/>
      <c r="X1163" s="818"/>
      <c r="Y1163" s="819"/>
      <c r="Z1163" s="820"/>
      <c r="AA1163" s="820"/>
      <c r="AB1163" s="821"/>
      <c r="AC1163" s="821"/>
      <c r="AD1163" s="253"/>
      <c r="AE1163" s="253"/>
    </row>
    <row r="1164" spans="1:31" ht="14.5">
      <c r="A1164" t="s">
        <v>3210</v>
      </c>
      <c r="B1164" t="s">
        <v>599</v>
      </c>
      <c r="C1164">
        <v>3033</v>
      </c>
      <c r="D1164" s="581"/>
      <c r="E1164" s="581"/>
      <c r="F1164" s="2">
        <f>(1/S1164)*cnst_fish!$C$6</f>
        <v>1.0211530705467781E-2</v>
      </c>
      <c r="G1164" s="2">
        <f t="shared" si="165"/>
        <v>1</v>
      </c>
      <c r="H1164" s="2">
        <f t="shared" si="165"/>
        <v>0.36449057933102513</v>
      </c>
      <c r="I1164" s="2">
        <f t="shared" si="166"/>
        <v>0</v>
      </c>
      <c r="J1164" s="389">
        <f t="shared" si="167"/>
        <v>0</v>
      </c>
      <c r="L1164" s="721">
        <v>134324</v>
      </c>
      <c r="M1164" s="581"/>
      <c r="N1164" s="585" t="s">
        <v>1738</v>
      </c>
      <c r="O1164" s="586" t="s">
        <v>4681</v>
      </c>
      <c r="P1164" s="233">
        <f t="shared" si="168"/>
        <v>0</v>
      </c>
      <c r="Q1164" s="233">
        <f t="shared" si="169"/>
        <v>134324</v>
      </c>
      <c r="R1164" s="2">
        <f t="shared" si="170"/>
        <v>4.47</v>
      </c>
      <c r="S1164" s="2">
        <f>(1/9)*cnst_fish!$C$7*(1/cnst_fish!$C$8)^(R1164-1)</f>
        <v>416.19617299141356</v>
      </c>
      <c r="T1164" s="682">
        <f t="shared" si="171"/>
        <v>4794563.5174798025</v>
      </c>
      <c r="W1164" s="818"/>
      <c r="X1164" s="818"/>
      <c r="Y1164" s="819"/>
      <c r="Z1164" s="820"/>
      <c r="AA1164" s="820"/>
      <c r="AB1164" s="821"/>
      <c r="AC1164" s="821"/>
      <c r="AD1164" s="253"/>
      <c r="AE1164" s="253"/>
    </row>
    <row r="1165" spans="1:31" ht="14.5">
      <c r="A1165" t="s">
        <v>4260</v>
      </c>
      <c r="B1165" t="s">
        <v>8673</v>
      </c>
      <c r="C1165">
        <v>2695</v>
      </c>
      <c r="D1165" s="581"/>
      <c r="E1165" s="581"/>
      <c r="F1165" s="2">
        <f>(1/S1165)*cnst_fish!$C$6</f>
        <v>2.3938164528281742</v>
      </c>
      <c r="G1165" s="2">
        <f t="shared" si="165"/>
        <v>1</v>
      </c>
      <c r="H1165" s="2">
        <f t="shared" si="165"/>
        <v>0.36449057933102513</v>
      </c>
      <c r="I1165" s="2">
        <f t="shared" si="166"/>
        <v>0</v>
      </c>
      <c r="J1165" s="389">
        <f t="shared" si="167"/>
        <v>0</v>
      </c>
      <c r="L1165" s="721"/>
      <c r="M1165" s="581"/>
      <c r="N1165" s="585" t="s">
        <v>1736</v>
      </c>
      <c r="O1165" s="586" t="s">
        <v>4680</v>
      </c>
      <c r="P1165" s="233">
        <f t="shared" si="168"/>
        <v>0</v>
      </c>
      <c r="Q1165" s="233">
        <f t="shared" si="169"/>
        <v>0</v>
      </c>
      <c r="R1165" s="2">
        <f t="shared" si="170"/>
        <v>2.1</v>
      </c>
      <c r="S1165" s="2">
        <f>(1/9)*cnst_fish!$C$7*(1/cnst_fish!$C$8)^(R1165-1)</f>
        <v>1.7754076320174161</v>
      </c>
      <c r="T1165" s="682">
        <f t="shared" si="171"/>
        <v>0</v>
      </c>
      <c r="W1165" s="818"/>
      <c r="X1165" s="818"/>
      <c r="Y1165" s="819"/>
      <c r="Z1165" s="820"/>
      <c r="AA1165" s="820"/>
      <c r="AB1165" s="821"/>
      <c r="AC1165" s="821"/>
      <c r="AD1165" s="253"/>
      <c r="AE1165" s="253"/>
    </row>
    <row r="1166" spans="1:31" ht="14.5">
      <c r="A1166" t="s">
        <v>451</v>
      </c>
      <c r="B1166" t="s">
        <v>8674</v>
      </c>
      <c r="C1166">
        <v>3537</v>
      </c>
      <c r="D1166" s="581"/>
      <c r="E1166" s="581"/>
      <c r="F1166" s="2">
        <f>(1/S1166)*cnst_fish!$C$6</f>
        <v>2.3938164528281742</v>
      </c>
      <c r="G1166" s="2">
        <f t="shared" si="165"/>
        <v>1</v>
      </c>
      <c r="H1166" s="2">
        <f t="shared" si="165"/>
        <v>0.36449057933102513</v>
      </c>
      <c r="I1166" s="2">
        <f t="shared" si="166"/>
        <v>0</v>
      </c>
      <c r="J1166" s="389">
        <f t="shared" si="167"/>
        <v>0</v>
      </c>
      <c r="L1166" s="721"/>
      <c r="M1166" s="581"/>
      <c r="N1166" s="585" t="s">
        <v>1736</v>
      </c>
      <c r="O1166" s="586" t="s">
        <v>4691</v>
      </c>
      <c r="P1166" s="233">
        <f t="shared" si="168"/>
        <v>0</v>
      </c>
      <c r="Q1166" s="233">
        <f t="shared" si="169"/>
        <v>0</v>
      </c>
      <c r="R1166" s="2">
        <f t="shared" si="170"/>
        <v>2.1</v>
      </c>
      <c r="S1166" s="2">
        <f>(1/9)*cnst_fish!$C$7*(1/cnst_fish!$C$8)^(R1166-1)</f>
        <v>1.7754076320174161</v>
      </c>
      <c r="T1166" s="682">
        <f t="shared" si="171"/>
        <v>0</v>
      </c>
      <c r="W1166" s="818"/>
      <c r="X1166" s="818"/>
      <c r="Y1166" s="819"/>
      <c r="Z1166" s="820"/>
      <c r="AA1166" s="820"/>
      <c r="AB1166" s="821"/>
      <c r="AC1166" s="821"/>
      <c r="AD1166" s="253"/>
      <c r="AE1166" s="253"/>
    </row>
    <row r="1167" spans="1:31" ht="14.5">
      <c r="A1167" t="s">
        <v>6362</v>
      </c>
      <c r="B1167" t="s">
        <v>6361</v>
      </c>
      <c r="C1167">
        <v>13345</v>
      </c>
      <c r="D1167" s="581"/>
      <c r="E1167" s="581"/>
      <c r="F1167" s="2">
        <f>(1/S1167)*cnst_fish!$C$6</f>
        <v>2.3938164528281767E-2</v>
      </c>
      <c r="G1167" s="2">
        <f t="shared" si="165"/>
        <v>1</v>
      </c>
      <c r="H1167" s="2">
        <f t="shared" si="165"/>
        <v>0.36449057933102513</v>
      </c>
      <c r="I1167" s="2">
        <f t="shared" si="166"/>
        <v>0</v>
      </c>
      <c r="J1167" s="389">
        <f t="shared" si="167"/>
        <v>0</v>
      </c>
      <c r="L1167" s="721">
        <v>0</v>
      </c>
      <c r="M1167" s="581"/>
      <c r="N1167" s="585" t="s">
        <v>1738</v>
      </c>
      <c r="O1167" s="586" t="s">
        <v>4681</v>
      </c>
      <c r="P1167" s="233">
        <f t="shared" si="168"/>
        <v>0</v>
      </c>
      <c r="Q1167" s="233">
        <f t="shared" si="169"/>
        <v>0</v>
      </c>
      <c r="R1167" s="2">
        <f t="shared" si="170"/>
        <v>4.0999999999999996</v>
      </c>
      <c r="S1167" s="2">
        <f>(1/9)*cnst_fish!$C$7*(1/cnst_fish!$C$8)^(R1167-1)</f>
        <v>177.54076320174144</v>
      </c>
      <c r="T1167" s="682">
        <f t="shared" si="171"/>
        <v>0</v>
      </c>
      <c r="W1167" s="818"/>
      <c r="X1167" s="818"/>
      <c r="Y1167" s="819"/>
      <c r="Z1167" s="820"/>
      <c r="AA1167" s="820"/>
      <c r="AB1167" s="821"/>
      <c r="AC1167" s="821"/>
      <c r="AD1167" s="253"/>
      <c r="AE1167" s="253"/>
    </row>
    <row r="1168" spans="1:31" ht="14.5">
      <c r="A1168" t="s">
        <v>3365</v>
      </c>
      <c r="B1168" t="s">
        <v>2333</v>
      </c>
      <c r="C1168">
        <v>3476</v>
      </c>
      <c r="D1168" s="581"/>
      <c r="E1168" s="581"/>
      <c r="F1168" s="2">
        <f>(1/S1168)*cnst_fish!$C$6</f>
        <v>1.5103960722494616</v>
      </c>
      <c r="G1168" s="2">
        <f t="shared" ref="G1168:H1187" si="172">G$7</f>
        <v>1</v>
      </c>
      <c r="H1168" s="2">
        <f t="shared" si="172"/>
        <v>0.36449057933102513</v>
      </c>
      <c r="I1168" s="2">
        <f t="shared" si="166"/>
        <v>0</v>
      </c>
      <c r="J1168" s="389">
        <f t="shared" si="167"/>
        <v>0</v>
      </c>
      <c r="L1168" s="721">
        <v>8971</v>
      </c>
      <c r="M1168" s="581"/>
      <c r="N1168" s="585" t="s">
        <v>2311</v>
      </c>
      <c r="O1168" s="586" t="s">
        <v>4680</v>
      </c>
      <c r="P1168" s="233">
        <f t="shared" si="168"/>
        <v>0</v>
      </c>
      <c r="Q1168" s="233">
        <f t="shared" si="169"/>
        <v>8971</v>
      </c>
      <c r="R1168" s="2">
        <f t="shared" si="170"/>
        <v>2.2999999999999998</v>
      </c>
      <c r="S1168" s="2">
        <f>(1/9)*cnst_fish!$C$7*(1/cnst_fish!$C$8)^(R1168-1)</f>
        <v>2.8138314698279068</v>
      </c>
      <c r="T1168" s="682">
        <f t="shared" si="171"/>
        <v>2164.8924062075876</v>
      </c>
      <c r="W1168" s="818"/>
      <c r="X1168" s="818"/>
      <c r="Y1168" s="819"/>
      <c r="Z1168" s="820"/>
      <c r="AA1168" s="820"/>
      <c r="AB1168" s="821"/>
      <c r="AC1168" s="821"/>
      <c r="AD1168" s="253"/>
      <c r="AE1168" s="253"/>
    </row>
    <row r="1169" spans="1:31" ht="14.5">
      <c r="A1169" t="s">
        <v>3209</v>
      </c>
      <c r="B1169" t="s">
        <v>2410</v>
      </c>
      <c r="C1169">
        <v>2500</v>
      </c>
      <c r="D1169" s="581"/>
      <c r="E1169" s="581"/>
      <c r="F1169" s="2">
        <f>(1/S1169)*cnst_fish!$C$6</f>
        <v>9.5299549485983424E-3</v>
      </c>
      <c r="G1169" s="2">
        <f t="shared" si="172"/>
        <v>1</v>
      </c>
      <c r="H1169" s="2">
        <f t="shared" si="172"/>
        <v>0.36449057933102513</v>
      </c>
      <c r="I1169" s="2">
        <f t="shared" si="166"/>
        <v>0</v>
      </c>
      <c r="J1169" s="389">
        <f t="shared" si="167"/>
        <v>0</v>
      </c>
      <c r="L1169" s="721">
        <v>17942</v>
      </c>
      <c r="M1169" s="581"/>
      <c r="N1169" s="585" t="s">
        <v>1738</v>
      </c>
      <c r="O1169" s="586" t="s">
        <v>4699</v>
      </c>
      <c r="P1169" s="233">
        <f t="shared" si="168"/>
        <v>0</v>
      </c>
      <c r="Q1169" s="233">
        <f t="shared" si="169"/>
        <v>17942</v>
      </c>
      <c r="R1169" s="2">
        <f t="shared" si="170"/>
        <v>4.5</v>
      </c>
      <c r="S1169" s="2">
        <f>(1/9)*cnst_fish!$C$7*(1/cnst_fish!$C$8)^(R1169-1)</f>
        <v>445.96223412630997</v>
      </c>
      <c r="T1169" s="682">
        <f t="shared" si="171"/>
        <v>686224.64740183321</v>
      </c>
      <c r="W1169" s="818"/>
      <c r="X1169" s="818"/>
      <c r="Y1169" s="819"/>
      <c r="Z1169" s="820"/>
      <c r="AA1169" s="820"/>
      <c r="AB1169" s="821"/>
      <c r="AC1169" s="821"/>
      <c r="AD1169" s="253"/>
      <c r="AE1169" s="253"/>
    </row>
    <row r="1170" spans="1:31" ht="14.5">
      <c r="A1170" t="s">
        <v>3198</v>
      </c>
      <c r="B1170" t="s">
        <v>2411</v>
      </c>
      <c r="C1170">
        <v>3303</v>
      </c>
      <c r="D1170" s="581"/>
      <c r="E1170" s="581"/>
      <c r="F1170" s="2">
        <f>(1/S1170)*cnst_fish!$C$6</f>
        <v>9.5299549485983424E-3</v>
      </c>
      <c r="G1170" s="2">
        <f t="shared" si="172"/>
        <v>1</v>
      </c>
      <c r="H1170" s="2">
        <f t="shared" si="172"/>
        <v>0.36449057933102513</v>
      </c>
      <c r="I1170" s="2">
        <f t="shared" si="166"/>
        <v>0</v>
      </c>
      <c r="J1170" s="389">
        <f t="shared" si="167"/>
        <v>0</v>
      </c>
      <c r="L1170" s="721">
        <v>32318.04</v>
      </c>
      <c r="M1170" s="581"/>
      <c r="N1170" s="585" t="s">
        <v>1738</v>
      </c>
      <c r="O1170" s="586" t="s">
        <v>4699</v>
      </c>
      <c r="P1170" s="233">
        <f t="shared" si="168"/>
        <v>0</v>
      </c>
      <c r="Q1170" s="233">
        <f t="shared" si="169"/>
        <v>32318.04</v>
      </c>
      <c r="R1170" s="2">
        <f t="shared" si="170"/>
        <v>4.5</v>
      </c>
      <c r="S1170" s="2">
        <f>(1/9)*cnst_fish!$C$7*(1/cnst_fish!$C$8)^(R1170-1)</f>
        <v>445.96223412630997</v>
      </c>
      <c r="T1170" s="682">
        <f t="shared" si="171"/>
        <v>1236062.6242179435</v>
      </c>
      <c r="W1170" s="818"/>
      <c r="X1170" s="818"/>
      <c r="Y1170" s="819"/>
      <c r="Z1170" s="820"/>
      <c r="AA1170" s="820"/>
      <c r="AB1170" s="821"/>
      <c r="AC1170" s="821"/>
      <c r="AD1170" s="253"/>
      <c r="AE1170" s="253"/>
    </row>
    <row r="1171" spans="1:31" ht="14.5">
      <c r="A1171" t="s">
        <v>9106</v>
      </c>
      <c r="B1171" t="s">
        <v>9107</v>
      </c>
      <c r="C1171">
        <v>20264</v>
      </c>
      <c r="D1171" s="581"/>
      <c r="E1171" s="581"/>
      <c r="F1171" s="869">
        <f>(1/S1171)*cnst_fish!$C$6</f>
        <v>9.5299549485983424E-3</v>
      </c>
      <c r="G1171" s="869">
        <f t="shared" si="172"/>
        <v>1</v>
      </c>
      <c r="H1171" s="869">
        <f t="shared" si="172"/>
        <v>0.36449057933102513</v>
      </c>
      <c r="I1171" s="869">
        <f t="shared" si="166"/>
        <v>0</v>
      </c>
      <c r="J1171" s="389">
        <f t="shared" si="167"/>
        <v>0</v>
      </c>
      <c r="L1171" s="721">
        <v>18</v>
      </c>
      <c r="M1171" s="581"/>
      <c r="N1171" s="877" t="s">
        <v>1738</v>
      </c>
      <c r="O1171" s="882" t="s">
        <v>4699</v>
      </c>
      <c r="P1171" s="871">
        <f t="shared" si="168"/>
        <v>0</v>
      </c>
      <c r="Q1171" s="871">
        <f t="shared" si="169"/>
        <v>18</v>
      </c>
      <c r="R1171" s="869">
        <f t="shared" si="170"/>
        <v>4.5</v>
      </c>
      <c r="S1171" s="869">
        <f>(1/9)*cnst_fish!$C$7*(1/cnst_fish!$C$8)^(R1171-1)</f>
        <v>445.96223412630997</v>
      </c>
      <c r="T1171" s="682">
        <f t="shared" si="171"/>
        <v>688.44296361793545</v>
      </c>
      <c r="W1171" s="818"/>
      <c r="X1171" s="818"/>
      <c r="Y1171" s="819"/>
      <c r="Z1171" s="820"/>
      <c r="AA1171" s="820"/>
      <c r="AB1171" s="821"/>
      <c r="AC1171" s="821"/>
      <c r="AD1171" s="253"/>
      <c r="AE1171" s="253"/>
    </row>
    <row r="1172" spans="1:31" ht="14.5">
      <c r="A1172" t="s">
        <v>6613</v>
      </c>
      <c r="B1172" t="s">
        <v>6612</v>
      </c>
      <c r="C1172">
        <v>19219</v>
      </c>
      <c r="D1172" s="581"/>
      <c r="E1172" s="581"/>
      <c r="F1172" s="2">
        <f>(1/S1172)*cnst_fish!$C$6</f>
        <v>7.5699122913220479E-2</v>
      </c>
      <c r="G1172" s="2">
        <f t="shared" si="172"/>
        <v>1</v>
      </c>
      <c r="H1172" s="2">
        <f t="shared" si="172"/>
        <v>0.36449057933102513</v>
      </c>
      <c r="I1172" s="2">
        <f t="shared" si="166"/>
        <v>0</v>
      </c>
      <c r="J1172" s="389">
        <f t="shared" si="167"/>
        <v>0</v>
      </c>
      <c r="L1172" s="721">
        <v>8</v>
      </c>
      <c r="M1172" s="581"/>
      <c r="N1172" s="585" t="s">
        <v>1738</v>
      </c>
      <c r="O1172" s="586" t="s">
        <v>4681</v>
      </c>
      <c r="P1172" s="233">
        <f t="shared" si="168"/>
        <v>0</v>
      </c>
      <c r="Q1172" s="233">
        <f t="shared" si="169"/>
        <v>8</v>
      </c>
      <c r="R1172" s="2">
        <f t="shared" si="170"/>
        <v>3.6</v>
      </c>
      <c r="S1172" s="2">
        <f>(1/9)*cnst_fish!$C$7*(1/cnst_fish!$C$8)^(R1172-1)</f>
        <v>56.143318924211187</v>
      </c>
      <c r="T1172" s="682">
        <f t="shared" si="171"/>
        <v>38.519926287533636</v>
      </c>
      <c r="W1172" s="818"/>
      <c r="X1172" s="818"/>
      <c r="Y1172" s="819"/>
      <c r="Z1172" s="820"/>
      <c r="AA1172" s="820"/>
      <c r="AB1172" s="821"/>
      <c r="AC1172" s="821"/>
      <c r="AD1172" s="253"/>
      <c r="AE1172" s="253"/>
    </row>
    <row r="1173" spans="1:31" ht="14.5">
      <c r="A1173" t="s">
        <v>2381</v>
      </c>
      <c r="B1173" t="s">
        <v>3724</v>
      </c>
      <c r="C1173">
        <v>2747</v>
      </c>
      <c r="D1173" s="581"/>
      <c r="E1173" s="581"/>
      <c r="F1173" s="2">
        <f>(1/S1173)*cnst_fish!$C$6</f>
        <v>2.0849269714511572E-2</v>
      </c>
      <c r="G1173" s="2">
        <f t="shared" si="172"/>
        <v>1</v>
      </c>
      <c r="H1173" s="2">
        <f t="shared" si="172"/>
        <v>0.36449057933102513</v>
      </c>
      <c r="I1173" s="2">
        <f t="shared" si="166"/>
        <v>0</v>
      </c>
      <c r="J1173" s="389">
        <f t="shared" si="167"/>
        <v>0</v>
      </c>
      <c r="L1173" s="721"/>
      <c r="M1173" s="581"/>
      <c r="N1173" s="585" t="s">
        <v>1738</v>
      </c>
      <c r="O1173" s="586"/>
      <c r="P1173" s="233">
        <f t="shared" si="168"/>
        <v>0</v>
      </c>
      <c r="Q1173" s="233">
        <f t="shared" si="169"/>
        <v>0</v>
      </c>
      <c r="R1173" s="2">
        <f t="shared" si="170"/>
        <v>4.16</v>
      </c>
      <c r="S1173" s="2">
        <f>(1/9)*cnst_fish!$C$7*(1/cnst_fish!$C$8)^(R1173-1)</f>
        <v>203.84407023340017</v>
      </c>
      <c r="T1173" s="682">
        <f t="shared" si="171"/>
        <v>0</v>
      </c>
      <c r="W1173" s="818"/>
      <c r="X1173" s="818"/>
      <c r="Y1173" s="819"/>
      <c r="Z1173" s="820"/>
      <c r="AA1173" s="820"/>
      <c r="AB1173" s="821"/>
      <c r="AC1173" s="821"/>
      <c r="AD1173" s="253"/>
      <c r="AE1173" s="253"/>
    </row>
    <row r="1174" spans="1:31" ht="14.5">
      <c r="A1174" t="s">
        <v>8877</v>
      </c>
      <c r="B1174" t="s">
        <v>8878</v>
      </c>
      <c r="C1174">
        <v>10096</v>
      </c>
      <c r="D1174" s="581"/>
      <c r="E1174" s="581"/>
      <c r="F1174" s="2">
        <f>(1/S1174)*cnst_fish!$C$6</f>
        <v>2.0849269714511572E-2</v>
      </c>
      <c r="G1174" s="2">
        <f t="shared" si="172"/>
        <v>1</v>
      </c>
      <c r="H1174" s="2">
        <f t="shared" si="172"/>
        <v>0.36449057933102513</v>
      </c>
      <c r="I1174" s="2">
        <f t="shared" si="166"/>
        <v>0</v>
      </c>
      <c r="J1174" s="389">
        <f t="shared" si="167"/>
        <v>0</v>
      </c>
      <c r="L1174" s="721"/>
      <c r="M1174" s="581"/>
      <c r="N1174" s="585" t="s">
        <v>2310</v>
      </c>
      <c r="O1174" s="586" t="s">
        <v>4680</v>
      </c>
      <c r="P1174" s="233">
        <f t="shared" si="168"/>
        <v>0</v>
      </c>
      <c r="Q1174" s="233">
        <f t="shared" si="169"/>
        <v>0</v>
      </c>
      <c r="R1174" s="2">
        <f t="shared" si="170"/>
        <v>4.16</v>
      </c>
      <c r="S1174" s="2">
        <f>(1/9)*cnst_fish!$C$7*(1/cnst_fish!$C$8)^(R1174-1)</f>
        <v>203.84407023340017</v>
      </c>
      <c r="T1174" s="682">
        <f t="shared" si="171"/>
        <v>0</v>
      </c>
      <c r="W1174" s="818"/>
      <c r="X1174" s="818"/>
      <c r="Y1174" s="819"/>
      <c r="Z1174" s="820"/>
      <c r="AA1174" s="820"/>
      <c r="AB1174" s="821"/>
      <c r="AC1174" s="821"/>
      <c r="AD1174" s="253"/>
      <c r="AE1174" s="253"/>
    </row>
    <row r="1175" spans="1:31" ht="14.5">
      <c r="A1175" t="s">
        <v>6367</v>
      </c>
      <c r="B1175" t="s">
        <v>6366</v>
      </c>
      <c r="C1175">
        <v>13359</v>
      </c>
      <c r="D1175" s="581"/>
      <c r="E1175" s="581"/>
      <c r="F1175" s="2">
        <f>(1/S1175)*cnst_fish!$C$6</f>
        <v>0.37939434000887845</v>
      </c>
      <c r="G1175" s="2">
        <f t="shared" si="172"/>
        <v>1</v>
      </c>
      <c r="H1175" s="2">
        <f t="shared" si="172"/>
        <v>0.36449057933102513</v>
      </c>
      <c r="I1175" s="2">
        <f t="shared" si="166"/>
        <v>0</v>
      </c>
      <c r="J1175" s="389">
        <f t="shared" si="167"/>
        <v>0</v>
      </c>
      <c r="L1175" s="721"/>
      <c r="M1175" s="581">
        <v>109</v>
      </c>
      <c r="N1175" s="585" t="s">
        <v>1738</v>
      </c>
      <c r="O1175" s="586" t="s">
        <v>4685</v>
      </c>
      <c r="P1175" s="233">
        <f t="shared" si="168"/>
        <v>0</v>
      </c>
      <c r="Q1175" s="233">
        <f t="shared" si="169"/>
        <v>109</v>
      </c>
      <c r="R1175" s="2">
        <f t="shared" si="170"/>
        <v>2.9</v>
      </c>
      <c r="S1175" s="2">
        <f>(1/9)*cnst_fish!$C$7*(1/cnst_fish!$C$8)^(R1175-1)</f>
        <v>11.20206484867577</v>
      </c>
      <c r="T1175" s="682">
        <f t="shared" si="171"/>
        <v>104.71814931701934</v>
      </c>
      <c r="W1175" s="818"/>
      <c r="X1175" s="818"/>
      <c r="Y1175" s="819"/>
      <c r="Z1175" s="820"/>
      <c r="AA1175" s="820"/>
      <c r="AB1175" s="821"/>
      <c r="AC1175" s="821"/>
      <c r="AD1175" s="253"/>
      <c r="AE1175" s="253"/>
    </row>
    <row r="1176" spans="1:31" ht="14.5">
      <c r="A1176" t="s">
        <v>3318</v>
      </c>
      <c r="B1176" t="s">
        <v>2995</v>
      </c>
      <c r="C1176">
        <v>2126</v>
      </c>
      <c r="D1176" s="581">
        <v>28340</v>
      </c>
      <c r="E1176" s="581"/>
      <c r="F1176" s="2">
        <f>(1/S1176)*cnst_fish!$C$6</f>
        <v>0.2133491159303107</v>
      </c>
      <c r="G1176" s="2">
        <f t="shared" si="172"/>
        <v>1</v>
      </c>
      <c r="H1176" s="2">
        <f t="shared" si="172"/>
        <v>0.36449057933102513</v>
      </c>
      <c r="I1176" s="2">
        <f t="shared" si="166"/>
        <v>48416.713484837586</v>
      </c>
      <c r="J1176" s="389">
        <f t="shared" si="167"/>
        <v>0</v>
      </c>
      <c r="L1176" s="721">
        <v>522250</v>
      </c>
      <c r="M1176" s="581"/>
      <c r="N1176" s="585" t="s">
        <v>1738</v>
      </c>
      <c r="O1176" s="586" t="s">
        <v>4699</v>
      </c>
      <c r="P1176" s="233">
        <f t="shared" si="168"/>
        <v>28340</v>
      </c>
      <c r="Q1176" s="233">
        <f t="shared" si="169"/>
        <v>522250</v>
      </c>
      <c r="R1176" s="2">
        <f t="shared" si="170"/>
        <v>3.15</v>
      </c>
      <c r="S1176" s="2">
        <f>(1/9)*cnst_fish!$C$7*(1/cnst_fish!$C$8)^(R1176-1)</f>
        <v>19.920401270320887</v>
      </c>
      <c r="T1176" s="682">
        <f t="shared" si="171"/>
        <v>892224.01614172303</v>
      </c>
      <c r="W1176" s="818"/>
      <c r="X1176" s="818"/>
      <c r="Y1176" s="819"/>
      <c r="Z1176" s="820"/>
      <c r="AA1176" s="820"/>
      <c r="AB1176" s="821"/>
      <c r="AC1176" s="821"/>
      <c r="AD1176" s="253"/>
      <c r="AE1176" s="253"/>
    </row>
    <row r="1177" spans="1:31" ht="14.5">
      <c r="A1177" t="s">
        <v>2602</v>
      </c>
      <c r="B1177" t="s">
        <v>4353</v>
      </c>
      <c r="C1177">
        <v>3602</v>
      </c>
      <c r="D1177" s="581"/>
      <c r="E1177" s="581"/>
      <c r="F1177" s="2">
        <f>(1/S1177)*cnst_fish!$C$6</f>
        <v>9.5299549485983348E-2</v>
      </c>
      <c r="G1177" s="2">
        <f t="shared" si="172"/>
        <v>1</v>
      </c>
      <c r="H1177" s="2">
        <f t="shared" si="172"/>
        <v>0.36449057933102513</v>
      </c>
      <c r="I1177" s="2">
        <f t="shared" si="166"/>
        <v>0</v>
      </c>
      <c r="J1177" s="389">
        <f t="shared" si="167"/>
        <v>0</v>
      </c>
      <c r="L1177" s="721"/>
      <c r="M1177" s="581"/>
      <c r="N1177" s="585" t="s">
        <v>1738</v>
      </c>
      <c r="O1177" s="586"/>
      <c r="P1177" s="233">
        <f t="shared" si="168"/>
        <v>0</v>
      </c>
      <c r="Q1177" s="233">
        <f t="shared" si="169"/>
        <v>0</v>
      </c>
      <c r="R1177" s="2">
        <f t="shared" si="170"/>
        <v>3.5</v>
      </c>
      <c r="S1177" s="2">
        <f>(1/9)*cnst_fish!$C$7*(1/cnst_fish!$C$8)^(R1177-1)</f>
        <v>44.596223412631026</v>
      </c>
      <c r="T1177" s="682">
        <f t="shared" si="171"/>
        <v>0</v>
      </c>
      <c r="W1177" s="818"/>
      <c r="X1177" s="818"/>
      <c r="Y1177" s="819"/>
      <c r="Z1177" s="820"/>
      <c r="AA1177" s="820"/>
      <c r="AB1177" s="821"/>
      <c r="AC1177" s="821"/>
      <c r="AD1177" s="253"/>
      <c r="AE1177" s="253"/>
    </row>
    <row r="1178" spans="1:31" ht="14.5">
      <c r="A1178" t="s">
        <v>5468</v>
      </c>
      <c r="B1178" t="s">
        <v>5469</v>
      </c>
      <c r="C1178">
        <v>13364</v>
      </c>
      <c r="D1178" s="581"/>
      <c r="E1178" s="581"/>
      <c r="F1178" s="2">
        <f>(1/S1178)*cnst_fish!$C$6</f>
        <v>6.5931179849025079E-2</v>
      </c>
      <c r="G1178" s="2">
        <f t="shared" si="172"/>
        <v>1</v>
      </c>
      <c r="H1178" s="2">
        <f t="shared" si="172"/>
        <v>0.36449057933102513</v>
      </c>
      <c r="I1178" s="2">
        <f t="shared" si="166"/>
        <v>0</v>
      </c>
      <c r="J1178" s="389">
        <f t="shared" si="167"/>
        <v>0</v>
      </c>
      <c r="L1178" s="721">
        <v>0</v>
      </c>
      <c r="M1178" s="581"/>
      <c r="N1178" s="585" t="s">
        <v>1739</v>
      </c>
      <c r="O1178" s="586" t="s">
        <v>4681</v>
      </c>
      <c r="P1178" s="233">
        <f t="shared" si="168"/>
        <v>0</v>
      </c>
      <c r="Q1178" s="233">
        <f t="shared" si="169"/>
        <v>0</v>
      </c>
      <c r="R1178" s="2">
        <f t="shared" si="170"/>
        <v>3.66</v>
      </c>
      <c r="S1178" s="2">
        <f>(1/9)*cnst_fish!$C$7*(1/cnst_fish!$C$8)^(R1178-1)</f>
        <v>64.461154945687568</v>
      </c>
      <c r="T1178" s="682">
        <f t="shared" si="171"/>
        <v>0</v>
      </c>
      <c r="W1178" s="818"/>
      <c r="X1178" s="818"/>
      <c r="Y1178" s="819"/>
      <c r="Z1178" s="820"/>
      <c r="AA1178" s="820"/>
      <c r="AB1178" s="821"/>
      <c r="AC1178" s="821"/>
      <c r="AD1178" s="253"/>
      <c r="AE1178" s="253"/>
    </row>
    <row r="1179" spans="1:31" ht="14.5">
      <c r="A1179" t="s">
        <v>6395</v>
      </c>
      <c r="B1179" t="s">
        <v>6394</v>
      </c>
      <c r="C1179">
        <v>13369</v>
      </c>
      <c r="D1179" s="581"/>
      <c r="E1179" s="581"/>
      <c r="F1179" s="2">
        <f>(1/S1179)*cnst_fish!$C$6</f>
        <v>3.0136363636363641</v>
      </c>
      <c r="G1179" s="2">
        <f t="shared" si="172"/>
        <v>1</v>
      </c>
      <c r="H1179" s="2">
        <f t="shared" si="172"/>
        <v>0.36449057933102513</v>
      </c>
      <c r="I1179" s="2">
        <f t="shared" si="166"/>
        <v>0</v>
      </c>
      <c r="J1179" s="389">
        <f t="shared" si="167"/>
        <v>0</v>
      </c>
      <c r="L1179" s="721">
        <v>455</v>
      </c>
      <c r="M1179" s="581"/>
      <c r="N1179" s="585" t="s">
        <v>1738</v>
      </c>
      <c r="O1179" s="586" t="s">
        <v>4681</v>
      </c>
      <c r="P1179" s="233">
        <f t="shared" si="168"/>
        <v>0</v>
      </c>
      <c r="Q1179" s="233">
        <f t="shared" si="169"/>
        <v>455</v>
      </c>
      <c r="R1179" s="2">
        <f t="shared" si="170"/>
        <v>2</v>
      </c>
      <c r="S1179" s="2">
        <f>(1/9)*cnst_fish!$C$7*(1/cnst_fish!$C$8)^(R1179-1)</f>
        <v>1.4102564102564099</v>
      </c>
      <c r="T1179" s="682">
        <f t="shared" si="171"/>
        <v>55.030930604880261</v>
      </c>
      <c r="W1179" s="818"/>
      <c r="X1179" s="818"/>
      <c r="Y1179" s="819"/>
      <c r="Z1179" s="820"/>
      <c r="AA1179" s="820"/>
      <c r="AB1179" s="821"/>
      <c r="AC1179" s="821"/>
      <c r="AD1179" s="253"/>
      <c r="AE1179" s="253"/>
    </row>
    <row r="1180" spans="1:31" ht="14.5">
      <c r="A1180" t="s">
        <v>3431</v>
      </c>
      <c r="B1180" t="s">
        <v>283</v>
      </c>
      <c r="C1180">
        <v>2723</v>
      </c>
      <c r="D1180" s="581"/>
      <c r="E1180" s="581"/>
      <c r="F1180" s="2">
        <f>(1/S1180)*cnst_fish!$C$6</f>
        <v>1.315499985341953E-2</v>
      </c>
      <c r="G1180" s="2">
        <f t="shared" si="172"/>
        <v>1</v>
      </c>
      <c r="H1180" s="2">
        <f t="shared" si="172"/>
        <v>0.36449057933102513</v>
      </c>
      <c r="I1180" s="2">
        <f t="shared" si="166"/>
        <v>0</v>
      </c>
      <c r="J1180" s="389">
        <f t="shared" si="167"/>
        <v>0</v>
      </c>
      <c r="L1180" s="721">
        <v>0</v>
      </c>
      <c r="M1180" s="581"/>
      <c r="N1180" s="585" t="s">
        <v>5197</v>
      </c>
      <c r="O1180" s="586" t="s">
        <v>4675</v>
      </c>
      <c r="P1180" s="233">
        <f t="shared" si="168"/>
        <v>0</v>
      </c>
      <c r="Q1180" s="233">
        <f t="shared" si="169"/>
        <v>0</v>
      </c>
      <c r="R1180" s="2">
        <f t="shared" si="170"/>
        <v>4.3600000000000003</v>
      </c>
      <c r="S1180" s="2">
        <f>(1/9)*cnst_fish!$C$7*(1/cnst_fish!$C$8)^(R1180-1)</f>
        <v>323.07107923648124</v>
      </c>
      <c r="T1180" s="682">
        <f t="shared" si="171"/>
        <v>0</v>
      </c>
      <c r="W1180" s="818"/>
      <c r="X1180" s="818"/>
      <c r="Y1180" s="819"/>
      <c r="Z1180" s="820"/>
      <c r="AA1180" s="820"/>
      <c r="AB1180" s="821"/>
      <c r="AC1180" s="821"/>
      <c r="AD1180" s="253"/>
      <c r="AE1180" s="253"/>
    </row>
    <row r="1181" spans="1:31" ht="14.5">
      <c r="A1181" t="s">
        <v>8675</v>
      </c>
      <c r="B1181" t="s">
        <v>8676</v>
      </c>
      <c r="C1181">
        <v>19631</v>
      </c>
      <c r="D1181" s="581"/>
      <c r="E1181" s="581"/>
      <c r="F1181" s="2">
        <f>(1/S1181)*cnst_fish!$C$6</f>
        <v>6.0129950673834844E-2</v>
      </c>
      <c r="G1181" s="2">
        <f t="shared" si="172"/>
        <v>1</v>
      </c>
      <c r="H1181" s="2">
        <f t="shared" si="172"/>
        <v>0.36449057933102513</v>
      </c>
      <c r="I1181" s="2">
        <f t="shared" si="166"/>
        <v>0</v>
      </c>
      <c r="J1181" s="389">
        <f t="shared" si="167"/>
        <v>0</v>
      </c>
      <c r="L1181" s="721"/>
      <c r="M1181" s="581">
        <v>7</v>
      </c>
      <c r="N1181" s="585" t="s">
        <v>1738</v>
      </c>
      <c r="O1181" s="586" t="s">
        <v>4685</v>
      </c>
      <c r="P1181" s="233">
        <f t="shared" si="168"/>
        <v>0</v>
      </c>
      <c r="Q1181" s="233">
        <f t="shared" si="169"/>
        <v>7</v>
      </c>
      <c r="R1181" s="2">
        <f t="shared" si="170"/>
        <v>3.7</v>
      </c>
      <c r="S1181" s="2">
        <f>(1/9)*cnst_fish!$C$7*(1/cnst_fish!$C$8)^(R1181-1)</f>
        <v>70.680250896153822</v>
      </c>
      <c r="T1181" s="682">
        <f t="shared" si="171"/>
        <v>42.431999805837457</v>
      </c>
      <c r="W1181" s="818"/>
      <c r="X1181" s="818"/>
      <c r="Y1181" s="819"/>
      <c r="Z1181" s="820"/>
      <c r="AA1181" s="820"/>
      <c r="AB1181" s="821"/>
      <c r="AC1181" s="821"/>
      <c r="AD1181" s="253"/>
      <c r="AE1181" s="253"/>
    </row>
    <row r="1182" spans="1:31" ht="14.5">
      <c r="A1182" t="s">
        <v>4144</v>
      </c>
      <c r="B1182" t="s">
        <v>4145</v>
      </c>
      <c r="C1182">
        <v>19039</v>
      </c>
      <c r="D1182" s="581"/>
      <c r="E1182" s="581"/>
      <c r="F1182" s="2">
        <f>(1/S1182)*cnst_fish!$C$6</f>
        <v>0.54839166784473536</v>
      </c>
      <c r="G1182" s="2">
        <f t="shared" si="172"/>
        <v>1</v>
      </c>
      <c r="H1182" s="2">
        <f t="shared" si="172"/>
        <v>0.36449057933102513</v>
      </c>
      <c r="I1182" s="2">
        <f t="shared" si="166"/>
        <v>0</v>
      </c>
      <c r="J1182" s="389">
        <f t="shared" si="167"/>
        <v>0</v>
      </c>
      <c r="L1182" s="721"/>
      <c r="M1182" s="581">
        <v>108</v>
      </c>
      <c r="N1182" s="585" t="s">
        <v>3786</v>
      </c>
      <c r="O1182" s="586" t="s">
        <v>4685</v>
      </c>
      <c r="P1182" s="233">
        <f t="shared" si="168"/>
        <v>0</v>
      </c>
      <c r="Q1182" s="233">
        <f t="shared" si="169"/>
        <v>108</v>
      </c>
      <c r="R1182" s="2">
        <f t="shared" si="170"/>
        <v>2.74</v>
      </c>
      <c r="S1182" s="2">
        <f>(1/9)*cnst_fish!$C$7*(1/cnst_fish!$C$8)^(R1182-1)</f>
        <v>7.7499354005562511</v>
      </c>
      <c r="T1182" s="682">
        <f t="shared" si="171"/>
        <v>71.782605163315523</v>
      </c>
      <c r="W1182" s="818"/>
      <c r="X1182" s="818"/>
      <c r="Y1182" s="819"/>
      <c r="Z1182" s="820"/>
      <c r="AA1182" s="820"/>
      <c r="AB1182" s="821"/>
      <c r="AC1182" s="821"/>
      <c r="AD1182" s="253"/>
      <c r="AE1182" s="253"/>
    </row>
    <row r="1183" spans="1:31" ht="14.5">
      <c r="A1183" t="s">
        <v>963</v>
      </c>
      <c r="B1183" t="s">
        <v>1176</v>
      </c>
      <c r="C1183">
        <v>2138</v>
      </c>
      <c r="D1183" s="581"/>
      <c r="E1183" s="581"/>
      <c r="F1183" s="2">
        <f>(1/S1183)*cnst_fish!$C$6</f>
        <v>0.29450376249713744</v>
      </c>
      <c r="G1183" s="2">
        <f t="shared" si="172"/>
        <v>1</v>
      </c>
      <c r="H1183" s="2">
        <f t="shared" si="172"/>
        <v>0.36449057933102513</v>
      </c>
      <c r="I1183" s="2">
        <f t="shared" si="166"/>
        <v>0</v>
      </c>
      <c r="J1183" s="389">
        <f t="shared" si="167"/>
        <v>0</v>
      </c>
      <c r="L1183" s="721">
        <v>29</v>
      </c>
      <c r="M1183" s="581"/>
      <c r="N1183" s="585" t="s">
        <v>1738</v>
      </c>
      <c r="O1183" s="586" t="s">
        <v>4681</v>
      </c>
      <c r="P1183" s="233">
        <f t="shared" si="168"/>
        <v>0</v>
      </c>
      <c r="Q1183" s="233">
        <f t="shared" si="169"/>
        <v>29</v>
      </c>
      <c r="R1183" s="2">
        <f t="shared" si="170"/>
        <v>3.01</v>
      </c>
      <c r="S1183" s="2">
        <f>(1/9)*cnst_fish!$C$7*(1/cnst_fish!$C$8)^(R1183-1)</f>
        <v>14.431055019343969</v>
      </c>
      <c r="T1183" s="682">
        <f t="shared" si="171"/>
        <v>35.891652829740913</v>
      </c>
      <c r="W1183" s="818"/>
      <c r="X1183" s="818"/>
      <c r="Y1183" s="819"/>
      <c r="Z1183" s="820"/>
      <c r="AA1183" s="820"/>
      <c r="AB1183" s="821"/>
      <c r="AC1183" s="821"/>
      <c r="AD1183" s="253"/>
      <c r="AE1183" s="253"/>
    </row>
    <row r="1184" spans="1:31" ht="14.5">
      <c r="A1184" t="s">
        <v>6495</v>
      </c>
      <c r="B1184" t="s">
        <v>6494</v>
      </c>
      <c r="C1184">
        <v>18448</v>
      </c>
      <c r="D1184" s="581"/>
      <c r="E1184" s="581"/>
      <c r="F1184" s="2">
        <f>(1/S1184)*cnst_fish!$C$6</f>
        <v>3.0136363636363641</v>
      </c>
      <c r="G1184" s="2">
        <f t="shared" si="172"/>
        <v>1</v>
      </c>
      <c r="H1184" s="2">
        <f t="shared" si="172"/>
        <v>0.36449057933102513</v>
      </c>
      <c r="I1184" s="2">
        <f t="shared" si="166"/>
        <v>0</v>
      </c>
      <c r="J1184" s="389">
        <f t="shared" si="167"/>
        <v>0</v>
      </c>
      <c r="L1184" s="721">
        <v>1027</v>
      </c>
      <c r="M1184" s="581"/>
      <c r="N1184" s="585" t="s">
        <v>1740</v>
      </c>
      <c r="O1184" s="586" t="s">
        <v>4671</v>
      </c>
      <c r="P1184" s="233">
        <f t="shared" si="168"/>
        <v>0</v>
      </c>
      <c r="Q1184" s="233">
        <f t="shared" si="169"/>
        <v>1027</v>
      </c>
      <c r="R1184" s="2">
        <f t="shared" si="170"/>
        <v>2</v>
      </c>
      <c r="S1184" s="2">
        <f>(1/9)*cnst_fish!$C$7*(1/cnst_fish!$C$8)^(R1184-1)</f>
        <v>1.4102564102564099</v>
      </c>
      <c r="T1184" s="682">
        <f t="shared" si="171"/>
        <v>124.21267193672973</v>
      </c>
      <c r="W1184" s="818"/>
      <c r="X1184" s="818"/>
      <c r="Y1184" s="819"/>
      <c r="Z1184" s="820"/>
      <c r="AA1184" s="820"/>
      <c r="AB1184" s="821"/>
      <c r="AC1184" s="821"/>
      <c r="AD1184" s="253"/>
      <c r="AE1184" s="253"/>
    </row>
    <row r="1185" spans="1:31" ht="14.5">
      <c r="A1185" t="s">
        <v>3020</v>
      </c>
      <c r="B1185" t="s">
        <v>2996</v>
      </c>
      <c r="C1185">
        <v>3123</v>
      </c>
      <c r="D1185" s="581"/>
      <c r="E1185" s="581"/>
      <c r="F1185" s="2">
        <f>(1/S1185)*cnst_fish!$C$6</f>
        <v>1.2276960190187586E-2</v>
      </c>
      <c r="G1185" s="2">
        <f t="shared" si="172"/>
        <v>1</v>
      </c>
      <c r="H1185" s="2">
        <f t="shared" si="172"/>
        <v>0.36449057933102513</v>
      </c>
      <c r="I1185" s="2">
        <f t="shared" si="166"/>
        <v>0</v>
      </c>
      <c r="J1185" s="389">
        <f t="shared" si="167"/>
        <v>0</v>
      </c>
      <c r="L1185" s="721">
        <v>128008</v>
      </c>
      <c r="M1185" s="581"/>
      <c r="N1185" s="585" t="s">
        <v>1738</v>
      </c>
      <c r="O1185" s="586" t="s">
        <v>4699</v>
      </c>
      <c r="P1185" s="233">
        <f t="shared" si="168"/>
        <v>0</v>
      </c>
      <c r="Q1185" s="233">
        <f t="shared" si="169"/>
        <v>128008</v>
      </c>
      <c r="R1185" s="2">
        <f t="shared" si="170"/>
        <v>4.3899999999999997</v>
      </c>
      <c r="S1185" s="2">
        <f>(1/9)*cnst_fish!$C$7*(1/cnst_fish!$C$8)^(R1185-1)</f>
        <v>346.17689836583742</v>
      </c>
      <c r="T1185" s="682">
        <f t="shared" si="171"/>
        <v>3800428.5552947577</v>
      </c>
      <c r="W1185" s="818"/>
      <c r="X1185" s="818"/>
      <c r="Y1185" s="819"/>
      <c r="Z1185" s="820"/>
      <c r="AA1185" s="820"/>
      <c r="AB1185" s="821"/>
      <c r="AC1185" s="821"/>
      <c r="AD1185" s="253"/>
      <c r="AE1185" s="253"/>
    </row>
    <row r="1186" spans="1:31" ht="14.5">
      <c r="A1186" t="s">
        <v>2550</v>
      </c>
      <c r="B1186" t="s">
        <v>2360</v>
      </c>
      <c r="C1186">
        <v>2173</v>
      </c>
      <c r="D1186" s="581"/>
      <c r="E1186" s="581"/>
      <c r="F1186" s="2">
        <f>(1/S1186)*cnst_fish!$C$6</f>
        <v>0.57423657091346914</v>
      </c>
      <c r="G1186" s="2">
        <f t="shared" si="172"/>
        <v>1</v>
      </c>
      <c r="H1186" s="2">
        <f t="shared" si="172"/>
        <v>0.36449057933102513</v>
      </c>
      <c r="I1186" s="2">
        <f t="shared" si="166"/>
        <v>0</v>
      </c>
      <c r="J1186" s="389">
        <f t="shared" si="167"/>
        <v>0</v>
      </c>
      <c r="L1186" s="721"/>
      <c r="M1186" s="581"/>
      <c r="N1186" s="585" t="s">
        <v>1738</v>
      </c>
      <c r="O1186" s="586" t="s">
        <v>4685</v>
      </c>
      <c r="P1186" s="233">
        <f t="shared" si="168"/>
        <v>0</v>
      </c>
      <c r="Q1186" s="233">
        <f t="shared" si="169"/>
        <v>0</v>
      </c>
      <c r="R1186" s="2">
        <f t="shared" si="170"/>
        <v>2.72</v>
      </c>
      <c r="S1186" s="2">
        <f>(1/9)*cnst_fish!$C$7*(1/cnst_fish!$C$8)^(R1186-1)</f>
        <v>7.4011308496762851</v>
      </c>
      <c r="T1186" s="682">
        <f t="shared" si="171"/>
        <v>0</v>
      </c>
      <c r="W1186" s="818"/>
      <c r="X1186" s="818"/>
      <c r="Y1186" s="819"/>
      <c r="Z1186" s="820"/>
      <c r="AA1186" s="820"/>
      <c r="AB1186" s="821"/>
      <c r="AC1186" s="821"/>
      <c r="AD1186" s="253"/>
      <c r="AE1186" s="253"/>
    </row>
    <row r="1187" spans="1:31" ht="14.5">
      <c r="A1187" t="s">
        <v>2467</v>
      </c>
      <c r="B1187" t="s">
        <v>1511</v>
      </c>
      <c r="C1187">
        <v>2075</v>
      </c>
      <c r="D1187" s="581"/>
      <c r="E1187" s="581"/>
      <c r="F1187" s="2">
        <f>(1/S1187)*cnst_fish!$C$6</f>
        <v>9.5299549485983424E-3</v>
      </c>
      <c r="G1187" s="2">
        <f t="shared" si="172"/>
        <v>1</v>
      </c>
      <c r="H1187" s="2">
        <f t="shared" si="172"/>
        <v>0.36449057933102513</v>
      </c>
      <c r="I1187" s="2">
        <f t="shared" si="166"/>
        <v>0</v>
      </c>
      <c r="J1187" s="389">
        <f t="shared" si="167"/>
        <v>0</v>
      </c>
      <c r="L1187" s="721">
        <v>941</v>
      </c>
      <c r="M1187" s="581"/>
      <c r="N1187" s="585" t="s">
        <v>1738</v>
      </c>
      <c r="O1187" s="586" t="s">
        <v>4681</v>
      </c>
      <c r="P1187" s="233">
        <f t="shared" si="168"/>
        <v>0</v>
      </c>
      <c r="Q1187" s="233">
        <f t="shared" si="169"/>
        <v>941</v>
      </c>
      <c r="R1187" s="2">
        <f t="shared" si="170"/>
        <v>4.5</v>
      </c>
      <c r="S1187" s="2">
        <f>(1/9)*cnst_fish!$C$7*(1/cnst_fish!$C$8)^(R1187-1)</f>
        <v>445.96223412630997</v>
      </c>
      <c r="T1187" s="682">
        <f t="shared" si="171"/>
        <v>35990.268264693179</v>
      </c>
      <c r="W1187" s="818"/>
      <c r="X1187" s="818"/>
      <c r="Y1187" s="819"/>
      <c r="Z1187" s="820"/>
      <c r="AA1187" s="820"/>
      <c r="AB1187" s="821"/>
      <c r="AC1187" s="821"/>
      <c r="AD1187" s="253"/>
      <c r="AE1187" s="253"/>
    </row>
    <row r="1188" spans="1:31" ht="14.5">
      <c r="A1188" t="s">
        <v>5536</v>
      </c>
      <c r="B1188" t="s">
        <v>1512</v>
      </c>
      <c r="C1188">
        <v>2882</v>
      </c>
      <c r="D1188" s="581"/>
      <c r="E1188" s="581"/>
      <c r="F1188" s="2">
        <f>(1/S1188)*cnst_fish!$C$6</f>
        <v>0.15103960722494611</v>
      </c>
      <c r="G1188" s="2">
        <f t="shared" ref="G1188:H1207" si="173">G$7</f>
        <v>1</v>
      </c>
      <c r="H1188" s="2">
        <f t="shared" si="173"/>
        <v>0.36449057933102513</v>
      </c>
      <c r="I1188" s="2">
        <f t="shared" si="166"/>
        <v>0</v>
      </c>
      <c r="J1188" s="389">
        <f t="shared" si="167"/>
        <v>0</v>
      </c>
      <c r="L1188" s="721">
        <v>1627</v>
      </c>
      <c r="M1188" s="581"/>
      <c r="N1188" s="585" t="s">
        <v>1738</v>
      </c>
      <c r="O1188" s="586" t="s">
        <v>4681</v>
      </c>
      <c r="P1188" s="233">
        <f t="shared" si="168"/>
        <v>0</v>
      </c>
      <c r="Q1188" s="233">
        <f t="shared" si="169"/>
        <v>1627</v>
      </c>
      <c r="R1188" s="2">
        <f t="shared" si="170"/>
        <v>3.3</v>
      </c>
      <c r="S1188" s="2">
        <f>(1/9)*cnst_fish!$C$7*(1/cnst_fish!$C$8)^(R1188-1)</f>
        <v>28.138314698279075</v>
      </c>
      <c r="T1188" s="682">
        <f t="shared" si="171"/>
        <v>3926.2957807376506</v>
      </c>
      <c r="W1188" s="818"/>
      <c r="X1188" s="818"/>
      <c r="Y1188" s="819"/>
      <c r="Z1188" s="820"/>
      <c r="AA1188" s="820"/>
      <c r="AB1188" s="821"/>
      <c r="AC1188" s="821"/>
      <c r="AD1188" s="253"/>
      <c r="AE1188" s="253"/>
    </row>
    <row r="1189" spans="1:31" ht="14.5">
      <c r="A1189" t="s">
        <v>2524</v>
      </c>
      <c r="B1189" t="s">
        <v>2298</v>
      </c>
      <c r="C1189">
        <v>2581</v>
      </c>
      <c r="D1189" s="581"/>
      <c r="E1189" s="581"/>
      <c r="F1189" s="2">
        <f>(1/S1189)*cnst_fish!$C$6</f>
        <v>3.0136363636363642E-2</v>
      </c>
      <c r="G1189" s="2">
        <f t="shared" si="173"/>
        <v>1</v>
      </c>
      <c r="H1189" s="2">
        <f t="shared" si="173"/>
        <v>0.36449057933102513</v>
      </c>
      <c r="I1189" s="2">
        <f t="shared" si="166"/>
        <v>0</v>
      </c>
      <c r="J1189" s="389">
        <f t="shared" si="167"/>
        <v>0</v>
      </c>
      <c r="L1189" s="721">
        <v>0</v>
      </c>
      <c r="M1189" s="581"/>
      <c r="N1189" s="585" t="s">
        <v>2322</v>
      </c>
      <c r="O1189" s="586" t="s">
        <v>4680</v>
      </c>
      <c r="P1189" s="233">
        <f t="shared" si="168"/>
        <v>0</v>
      </c>
      <c r="Q1189" s="233">
        <f t="shared" si="169"/>
        <v>0</v>
      </c>
      <c r="R1189" s="2">
        <f t="shared" si="170"/>
        <v>4</v>
      </c>
      <c r="S1189" s="2">
        <f>(1/9)*cnst_fish!$C$7*(1/cnst_fish!$C$8)^(R1189-1)</f>
        <v>141.02564102564099</v>
      </c>
      <c r="T1189" s="682">
        <f t="shared" si="171"/>
        <v>0</v>
      </c>
      <c r="W1189" s="818"/>
      <c r="X1189" s="818"/>
      <c r="Y1189" s="819"/>
      <c r="Z1189" s="820"/>
      <c r="AA1189" s="820"/>
      <c r="AB1189" s="821"/>
      <c r="AC1189" s="821"/>
      <c r="AD1189" s="253"/>
      <c r="AE1189" s="253"/>
    </row>
    <row r="1190" spans="1:31" ht="14.5">
      <c r="A1190" t="s">
        <v>1486</v>
      </c>
      <c r="B1190" t="s">
        <v>600</v>
      </c>
      <c r="C1190">
        <v>2228</v>
      </c>
      <c r="D1190" s="581">
        <v>17294</v>
      </c>
      <c r="E1190" s="581"/>
      <c r="F1190" s="2">
        <f>(1/S1190)*cnst_fish!$C$6</f>
        <v>2.4495756009854434E-2</v>
      </c>
      <c r="G1190" s="2">
        <f t="shared" si="173"/>
        <v>1</v>
      </c>
      <c r="H1190" s="2">
        <f t="shared" si="173"/>
        <v>0.36449057933102513</v>
      </c>
      <c r="I1190" s="2">
        <f t="shared" si="166"/>
        <v>257330.29331345821</v>
      </c>
      <c r="J1190" s="389">
        <f t="shared" si="167"/>
        <v>0</v>
      </c>
      <c r="L1190" s="721">
        <v>316412</v>
      </c>
      <c r="M1190" s="581"/>
      <c r="N1190" s="585" t="s">
        <v>600</v>
      </c>
      <c r="O1190" s="586" t="s">
        <v>4681</v>
      </c>
      <c r="P1190" s="233">
        <f t="shared" si="168"/>
        <v>17294</v>
      </c>
      <c r="Q1190" s="233">
        <f t="shared" si="169"/>
        <v>316412</v>
      </c>
      <c r="R1190" s="2">
        <f t="shared" si="170"/>
        <v>4.09</v>
      </c>
      <c r="S1190" s="2">
        <f>(1/9)*cnst_fish!$C$7*(1/cnst_fish!$C$8)^(R1190-1)</f>
        <v>173.49944203764363</v>
      </c>
      <c r="T1190" s="682">
        <f t="shared" si="171"/>
        <v>4708129.5690932088</v>
      </c>
      <c r="W1190" s="818"/>
      <c r="X1190" s="818"/>
      <c r="Y1190" s="819"/>
      <c r="Z1190" s="820"/>
      <c r="AA1190" s="820"/>
      <c r="AB1190" s="821"/>
      <c r="AC1190" s="821"/>
      <c r="AD1190" s="253"/>
      <c r="AE1190" s="253"/>
    </row>
    <row r="1191" spans="1:31" ht="14.5">
      <c r="A1191" t="s">
        <v>440</v>
      </c>
      <c r="B1191" t="s">
        <v>8677</v>
      </c>
      <c r="C1191">
        <v>3406</v>
      </c>
      <c r="D1191" s="581"/>
      <c r="E1191" s="581"/>
      <c r="F1191" s="2">
        <f>(1/S1191)*cnst_fish!$C$6</f>
        <v>0.60129950673834842</v>
      </c>
      <c r="G1191" s="2">
        <f t="shared" si="173"/>
        <v>1</v>
      </c>
      <c r="H1191" s="2">
        <f t="shared" si="173"/>
        <v>0.36449057933102513</v>
      </c>
      <c r="I1191" s="2">
        <f t="shared" si="166"/>
        <v>0</v>
      </c>
      <c r="J1191" s="389">
        <f t="shared" si="167"/>
        <v>0</v>
      </c>
      <c r="L1191" s="721"/>
      <c r="M1191" s="581"/>
      <c r="N1191" s="585" t="s">
        <v>2322</v>
      </c>
      <c r="O1191" s="586" t="s">
        <v>4680</v>
      </c>
      <c r="P1191" s="233">
        <f t="shared" si="168"/>
        <v>0</v>
      </c>
      <c r="Q1191" s="233">
        <f t="shared" si="169"/>
        <v>0</v>
      </c>
      <c r="R1191" s="2">
        <f t="shared" si="170"/>
        <v>2.7</v>
      </c>
      <c r="S1191" s="2">
        <f>(1/9)*cnst_fish!$C$7*(1/cnst_fish!$C$8)^(R1191-1)</f>
        <v>7.0680250896153813</v>
      </c>
      <c r="T1191" s="682">
        <f t="shared" si="171"/>
        <v>0</v>
      </c>
      <c r="W1191" s="818"/>
      <c r="X1191" s="818"/>
      <c r="Y1191" s="819"/>
      <c r="Z1191" s="820"/>
      <c r="AA1191" s="820"/>
      <c r="AB1191" s="821"/>
      <c r="AC1191" s="821"/>
      <c r="AD1191" s="253"/>
      <c r="AE1191" s="253"/>
    </row>
    <row r="1192" spans="1:31" ht="14.5">
      <c r="A1192" t="s">
        <v>1989</v>
      </c>
      <c r="B1192" t="s">
        <v>1513</v>
      </c>
      <c r="C1192">
        <v>2328</v>
      </c>
      <c r="D1192" s="581"/>
      <c r="E1192" s="581"/>
      <c r="F1192" s="2">
        <f>(1/S1192)*cnst_fish!$C$6</f>
        <v>0.10692785320993656</v>
      </c>
      <c r="G1192" s="2">
        <f t="shared" si="173"/>
        <v>1</v>
      </c>
      <c r="H1192" s="2">
        <f t="shared" si="173"/>
        <v>0.36449057933102513</v>
      </c>
      <c r="I1192" s="2">
        <f t="shared" si="166"/>
        <v>0</v>
      </c>
      <c r="J1192" s="389">
        <f t="shared" si="167"/>
        <v>0</v>
      </c>
      <c r="L1192" s="721">
        <v>11237</v>
      </c>
      <c r="M1192" s="581"/>
      <c r="N1192" s="585" t="s">
        <v>1738</v>
      </c>
      <c r="O1192" s="586" t="s">
        <v>4681</v>
      </c>
      <c r="P1192" s="233">
        <f t="shared" si="168"/>
        <v>0</v>
      </c>
      <c r="Q1192" s="233">
        <f t="shared" si="169"/>
        <v>11237</v>
      </c>
      <c r="R1192" s="2">
        <f t="shared" si="170"/>
        <v>3.45</v>
      </c>
      <c r="S1192" s="2">
        <f>(1/9)*cnst_fish!$C$7*(1/cnst_fish!$C$8)^(R1192-1)</f>
        <v>39.746425953729492</v>
      </c>
      <c r="T1192" s="682">
        <f t="shared" si="171"/>
        <v>38304.151041930003</v>
      </c>
      <c r="W1192" s="818"/>
      <c r="X1192" s="818"/>
      <c r="Y1192" s="819"/>
      <c r="Z1192" s="820"/>
      <c r="AA1192" s="820"/>
      <c r="AB1192" s="821"/>
      <c r="AC1192" s="821"/>
      <c r="AD1192" s="253"/>
      <c r="AE1192" s="253"/>
    </row>
    <row r="1193" spans="1:31" ht="14.5">
      <c r="A1193" t="s">
        <v>3631</v>
      </c>
      <c r="B1193" t="s">
        <v>2997</v>
      </c>
      <c r="C1193">
        <v>2264</v>
      </c>
      <c r="D1193" s="581">
        <v>199</v>
      </c>
      <c r="E1193" s="581"/>
      <c r="F1193" s="2">
        <f>(1/S1193)*cnst_fish!$C$6</f>
        <v>0.19910898001319816</v>
      </c>
      <c r="G1193" s="2">
        <f t="shared" si="173"/>
        <v>1</v>
      </c>
      <c r="H1193" s="2">
        <f t="shared" si="173"/>
        <v>0.36449057933102513</v>
      </c>
      <c r="I1193" s="2">
        <f t="shared" si="166"/>
        <v>364.2910795990519</v>
      </c>
      <c r="J1193" s="389">
        <f t="shared" si="167"/>
        <v>0</v>
      </c>
      <c r="L1193" s="721">
        <v>213</v>
      </c>
      <c r="M1193" s="581"/>
      <c r="N1193" s="585" t="s">
        <v>1738</v>
      </c>
      <c r="O1193" s="586" t="s">
        <v>4699</v>
      </c>
      <c r="P1193" s="233">
        <f t="shared" si="168"/>
        <v>199</v>
      </c>
      <c r="Q1193" s="233">
        <f t="shared" si="169"/>
        <v>213</v>
      </c>
      <c r="R1193" s="2">
        <f t="shared" si="170"/>
        <v>3.18</v>
      </c>
      <c r="S1193" s="2">
        <f>(1/9)*cnst_fish!$C$7*(1/cnst_fish!$C$8)^(R1193-1)</f>
        <v>21.345094529228586</v>
      </c>
      <c r="T1193" s="682">
        <f t="shared" si="171"/>
        <v>389.9195977617992</v>
      </c>
      <c r="W1193" s="818"/>
      <c r="X1193" s="818"/>
      <c r="Y1193" s="819"/>
      <c r="Z1193" s="820"/>
      <c r="AA1193" s="820"/>
      <c r="AB1193" s="821"/>
      <c r="AC1193" s="821"/>
      <c r="AD1193" s="253"/>
      <c r="AE1193" s="253"/>
    </row>
    <row r="1194" spans="1:31" ht="14.5">
      <c r="A1194" t="s">
        <v>821</v>
      </c>
      <c r="B1194" t="s">
        <v>2334</v>
      </c>
      <c r="C1194">
        <v>2628</v>
      </c>
      <c r="D1194" s="581"/>
      <c r="E1194" s="581"/>
      <c r="F1194" s="2">
        <f>(1/S1194)*cnst_fish!$C$6</f>
        <v>0.75699122913220485</v>
      </c>
      <c r="G1194" s="2">
        <f t="shared" si="173"/>
        <v>1</v>
      </c>
      <c r="H1194" s="2">
        <f t="shared" si="173"/>
        <v>0.36449057933102513</v>
      </c>
      <c r="I1194" s="2">
        <f t="shared" si="166"/>
        <v>0</v>
      </c>
      <c r="J1194" s="389">
        <f t="shared" si="167"/>
        <v>0</v>
      </c>
      <c r="L1194" s="721">
        <v>1314</v>
      </c>
      <c r="M1194" s="581"/>
      <c r="N1194" s="585" t="s">
        <v>2311</v>
      </c>
      <c r="O1194" s="586" t="s">
        <v>4680</v>
      </c>
      <c r="P1194" s="233">
        <f t="shared" si="168"/>
        <v>0</v>
      </c>
      <c r="Q1194" s="233">
        <f t="shared" si="169"/>
        <v>1314</v>
      </c>
      <c r="R1194" s="2">
        <f t="shared" si="170"/>
        <v>2.6</v>
      </c>
      <c r="S1194" s="2">
        <f>(1/9)*cnst_fish!$C$7*(1/cnst_fish!$C$8)^(R1194-1)</f>
        <v>5.6143318924211183</v>
      </c>
      <c r="T1194" s="682">
        <f t="shared" si="171"/>
        <v>632.68978927273986</v>
      </c>
      <c r="W1194" s="818"/>
      <c r="X1194" s="818"/>
      <c r="Y1194" s="819"/>
      <c r="Z1194" s="820"/>
      <c r="AA1194" s="820"/>
      <c r="AB1194" s="821"/>
      <c r="AC1194" s="821"/>
      <c r="AD1194" s="253"/>
      <c r="AE1194" s="253"/>
    </row>
    <row r="1195" spans="1:31" ht="14.5">
      <c r="A1195" t="s">
        <v>6658</v>
      </c>
      <c r="B1195" t="s">
        <v>6657</v>
      </c>
      <c r="C1195">
        <v>3152</v>
      </c>
      <c r="D1195" s="581"/>
      <c r="E1195" s="581"/>
      <c r="F1195" s="2">
        <f>(1/S1195)*cnst_fish!$C$6</f>
        <v>9.5299549485983348E-2</v>
      </c>
      <c r="G1195" s="2">
        <f t="shared" si="173"/>
        <v>1</v>
      </c>
      <c r="H1195" s="2">
        <f t="shared" si="173"/>
        <v>0.36449057933102513</v>
      </c>
      <c r="I1195" s="2">
        <f t="shared" si="166"/>
        <v>0</v>
      </c>
      <c r="J1195" s="389">
        <f t="shared" si="167"/>
        <v>0</v>
      </c>
      <c r="L1195" s="721">
        <v>2</v>
      </c>
      <c r="M1195" s="581"/>
      <c r="N1195" s="585" t="s">
        <v>1738</v>
      </c>
      <c r="O1195" s="586" t="s">
        <v>4681</v>
      </c>
      <c r="P1195" s="233">
        <f t="shared" si="168"/>
        <v>0</v>
      </c>
      <c r="Q1195" s="233">
        <f t="shared" si="169"/>
        <v>2</v>
      </c>
      <c r="R1195" s="2">
        <f t="shared" si="170"/>
        <v>3.5</v>
      </c>
      <c r="S1195" s="2">
        <f>(1/9)*cnst_fish!$C$7*(1/cnst_fish!$C$8)^(R1195-1)</f>
        <v>44.596223412631026</v>
      </c>
      <c r="T1195" s="682">
        <f t="shared" si="171"/>
        <v>7.6493662624215109</v>
      </c>
      <c r="W1195" s="818"/>
      <c r="X1195" s="818"/>
      <c r="Y1195" s="819"/>
      <c r="Z1195" s="820"/>
      <c r="AA1195" s="820"/>
      <c r="AB1195" s="821"/>
      <c r="AC1195" s="821"/>
      <c r="AD1195" s="253"/>
      <c r="AE1195" s="253"/>
    </row>
    <row r="1196" spans="1:31" ht="14.5">
      <c r="A1196" t="s">
        <v>2096</v>
      </c>
      <c r="B1196" t="s">
        <v>1514</v>
      </c>
      <c r="C1196">
        <v>3153</v>
      </c>
      <c r="D1196" s="581"/>
      <c r="E1196" s="581"/>
      <c r="F1196" s="2">
        <f>(1/S1196)*cnst_fish!$C$6</f>
        <v>3.6231878188697476E-2</v>
      </c>
      <c r="G1196" s="2">
        <f t="shared" si="173"/>
        <v>1</v>
      </c>
      <c r="H1196" s="2">
        <f t="shared" si="173"/>
        <v>0.36449057933102513</v>
      </c>
      <c r="I1196" s="2">
        <f t="shared" si="166"/>
        <v>0</v>
      </c>
      <c r="J1196" s="389">
        <f t="shared" si="167"/>
        <v>0</v>
      </c>
      <c r="L1196" s="721">
        <v>671</v>
      </c>
      <c r="M1196" s="581"/>
      <c r="N1196" s="585" t="s">
        <v>1738</v>
      </c>
      <c r="O1196" s="586" t="s">
        <v>4681</v>
      </c>
      <c r="P1196" s="233">
        <f t="shared" si="168"/>
        <v>0</v>
      </c>
      <c r="Q1196" s="233">
        <f t="shared" si="169"/>
        <v>671</v>
      </c>
      <c r="R1196" s="2">
        <f t="shared" si="170"/>
        <v>3.92</v>
      </c>
      <c r="S1196" s="2">
        <f>(1/9)*cnst_fish!$C$7*(1/cnst_fish!$C$8)^(R1196-1)</f>
        <v>117.30001900165877</v>
      </c>
      <c r="T1196" s="682">
        <f t="shared" si="171"/>
        <v>6750.220826460285</v>
      </c>
      <c r="W1196" s="818"/>
      <c r="X1196" s="818"/>
      <c r="Y1196" s="819"/>
      <c r="Z1196" s="820"/>
      <c r="AA1196" s="820"/>
      <c r="AB1196" s="821"/>
      <c r="AC1196" s="821"/>
      <c r="AD1196" s="253"/>
      <c r="AE1196" s="253"/>
    </row>
    <row r="1197" spans="1:31" ht="14.5">
      <c r="A1197" t="s">
        <v>9026</v>
      </c>
      <c r="B1197" t="s">
        <v>9027</v>
      </c>
      <c r="C1197">
        <v>13423</v>
      </c>
      <c r="D1197" s="581"/>
      <c r="E1197" s="581"/>
      <c r="F1197" s="869">
        <f>(1/S1197)*cnst_fish!$C$6</f>
        <v>0.11997502458044032</v>
      </c>
      <c r="G1197" s="869">
        <f t="shared" si="173"/>
        <v>1</v>
      </c>
      <c r="H1197" s="869">
        <f t="shared" si="173"/>
        <v>0.36449057933102513</v>
      </c>
      <c r="I1197" s="869">
        <f t="shared" si="166"/>
        <v>0</v>
      </c>
      <c r="J1197" s="389">
        <f t="shared" si="167"/>
        <v>0</v>
      </c>
      <c r="L1197" s="721">
        <v>241</v>
      </c>
      <c r="M1197" s="581"/>
      <c r="N1197" s="877" t="s">
        <v>1738</v>
      </c>
      <c r="O1197" s="881" t="s">
        <v>4681</v>
      </c>
      <c r="P1197" s="871">
        <f t="shared" si="168"/>
        <v>0</v>
      </c>
      <c r="Q1197" s="871">
        <f t="shared" si="169"/>
        <v>241</v>
      </c>
      <c r="R1197" s="869">
        <f t="shared" si="170"/>
        <v>3.4</v>
      </c>
      <c r="S1197" s="869">
        <f>(1/9)*cnst_fish!$C$7*(1/cnst_fish!$C$8)^(R1197-1)</f>
        <v>35.424039418724846</v>
      </c>
      <c r="T1197" s="682">
        <f t="shared" si="171"/>
        <v>732.17096579864415</v>
      </c>
      <c r="W1197" s="818"/>
      <c r="X1197" s="818"/>
      <c r="Y1197" s="819"/>
      <c r="Z1197" s="820"/>
      <c r="AA1197" s="820"/>
      <c r="AB1197" s="821"/>
      <c r="AC1197" s="821"/>
      <c r="AD1197" s="253"/>
      <c r="AE1197" s="253"/>
    </row>
    <row r="1198" spans="1:31" ht="14.5">
      <c r="A1198" t="s">
        <v>4090</v>
      </c>
      <c r="B1198" t="s">
        <v>64</v>
      </c>
      <c r="C1198">
        <v>2354</v>
      </c>
      <c r="D1198" s="581"/>
      <c r="E1198" s="581"/>
      <c r="F1198" s="2">
        <f>(1/S1198)*cnst_fish!$C$6</f>
        <v>7.9266712664847111E-2</v>
      </c>
      <c r="G1198" s="2">
        <f t="shared" si="173"/>
        <v>1</v>
      </c>
      <c r="H1198" s="2">
        <f t="shared" si="173"/>
        <v>0.36449057933102513</v>
      </c>
      <c r="I1198" s="2">
        <f t="shared" si="166"/>
        <v>0</v>
      </c>
      <c r="J1198" s="389">
        <f t="shared" si="167"/>
        <v>0</v>
      </c>
      <c r="L1198" s="721">
        <v>1</v>
      </c>
      <c r="M1198" s="581"/>
      <c r="N1198" s="585" t="s">
        <v>1738</v>
      </c>
      <c r="O1198" s="586" t="s">
        <v>4681</v>
      </c>
      <c r="P1198" s="233">
        <f t="shared" si="168"/>
        <v>0</v>
      </c>
      <c r="Q1198" s="233">
        <f t="shared" si="169"/>
        <v>1</v>
      </c>
      <c r="R1198" s="2">
        <f t="shared" si="170"/>
        <v>3.58</v>
      </c>
      <c r="S1198" s="2">
        <f>(1/9)*cnst_fish!$C$7*(1/cnst_fish!$C$8)^(R1198-1)</f>
        <v>53.616453327258682</v>
      </c>
      <c r="T1198" s="682">
        <f t="shared" si="171"/>
        <v>4.5982805023358564</v>
      </c>
      <c r="W1198" s="818"/>
      <c r="X1198" s="818"/>
      <c r="Y1198" s="819"/>
      <c r="Z1198" s="820"/>
      <c r="AA1198" s="820"/>
      <c r="AB1198" s="821"/>
      <c r="AC1198" s="821"/>
      <c r="AD1198" s="253"/>
      <c r="AE1198" s="253"/>
    </row>
    <row r="1199" spans="1:31" ht="14.5">
      <c r="A1199" t="s">
        <v>2456</v>
      </c>
      <c r="B1199" t="s">
        <v>65</v>
      </c>
      <c r="C1199">
        <v>2353</v>
      </c>
      <c r="D1199" s="581"/>
      <c r="E1199" s="581"/>
      <c r="F1199" s="2">
        <f>(1/S1199)*cnst_fish!$C$6</f>
        <v>9.5299549485983348E-2</v>
      </c>
      <c r="G1199" s="2">
        <f t="shared" si="173"/>
        <v>1</v>
      </c>
      <c r="H1199" s="2">
        <f t="shared" si="173"/>
        <v>0.36449057933102513</v>
      </c>
      <c r="I1199" s="2">
        <f t="shared" si="166"/>
        <v>0</v>
      </c>
      <c r="J1199" s="389">
        <f t="shared" si="167"/>
        <v>0</v>
      </c>
      <c r="L1199" s="721">
        <v>1800</v>
      </c>
      <c r="M1199" s="581"/>
      <c r="N1199" s="585" t="s">
        <v>1738</v>
      </c>
      <c r="O1199" s="586" t="s">
        <v>4681</v>
      </c>
      <c r="P1199" s="233">
        <f t="shared" si="168"/>
        <v>0</v>
      </c>
      <c r="Q1199" s="233">
        <f t="shared" si="169"/>
        <v>1800</v>
      </c>
      <c r="R1199" s="2">
        <f t="shared" si="170"/>
        <v>3.5</v>
      </c>
      <c r="S1199" s="2">
        <f>(1/9)*cnst_fish!$C$7*(1/cnst_fish!$C$8)^(R1199-1)</f>
        <v>44.596223412631026</v>
      </c>
      <c r="T1199" s="682">
        <f t="shared" si="171"/>
        <v>6884.4296361793595</v>
      </c>
      <c r="W1199" s="818"/>
      <c r="X1199" s="818"/>
      <c r="Y1199" s="819"/>
      <c r="Z1199" s="820"/>
      <c r="AA1199" s="820"/>
      <c r="AB1199" s="821"/>
      <c r="AC1199" s="821"/>
      <c r="AD1199" s="253"/>
      <c r="AE1199" s="253"/>
    </row>
    <row r="1200" spans="1:31" ht="14.5">
      <c r="A1200" t="s">
        <v>3160</v>
      </c>
      <c r="B1200" t="s">
        <v>1078</v>
      </c>
      <c r="C1200">
        <v>3547</v>
      </c>
      <c r="D1200" s="581"/>
      <c r="E1200" s="581"/>
      <c r="F1200" s="2">
        <f>(1/S1200)*cnst_fish!$C$6</f>
        <v>2.3938164528281742</v>
      </c>
      <c r="G1200" s="2">
        <f t="shared" si="173"/>
        <v>1</v>
      </c>
      <c r="H1200" s="2">
        <f t="shared" si="173"/>
        <v>0.36449057933102513</v>
      </c>
      <c r="I1200" s="2">
        <f t="shared" si="166"/>
        <v>0</v>
      </c>
      <c r="J1200" s="389">
        <f t="shared" si="167"/>
        <v>0</v>
      </c>
      <c r="L1200" s="721">
        <v>8297</v>
      </c>
      <c r="M1200" s="581"/>
      <c r="N1200" s="585" t="s">
        <v>1736</v>
      </c>
      <c r="O1200" s="586" t="s">
        <v>4691</v>
      </c>
      <c r="P1200" s="233">
        <f t="shared" si="168"/>
        <v>0</v>
      </c>
      <c r="Q1200" s="233">
        <f t="shared" si="169"/>
        <v>8297</v>
      </c>
      <c r="R1200" s="2">
        <f t="shared" si="170"/>
        <v>2.1</v>
      </c>
      <c r="S1200" s="2">
        <f>(1/9)*cnst_fish!$C$7*(1/cnst_fish!$C$8)^(R1200-1)</f>
        <v>1.7754076320174161</v>
      </c>
      <c r="T1200" s="682">
        <f t="shared" si="171"/>
        <v>1263.329246959014</v>
      </c>
      <c r="W1200" s="818"/>
      <c r="X1200" s="818"/>
      <c r="Y1200" s="819"/>
      <c r="Z1200" s="820"/>
      <c r="AA1200" s="820"/>
      <c r="AB1200" s="821"/>
      <c r="AC1200" s="821"/>
      <c r="AD1200" s="253"/>
      <c r="AE1200" s="253"/>
    </row>
    <row r="1201" spans="1:31" ht="14.5">
      <c r="A1201" t="s">
        <v>5405</v>
      </c>
      <c r="B1201" t="s">
        <v>1079</v>
      </c>
      <c r="C1201">
        <v>3541</v>
      </c>
      <c r="D1201" s="581"/>
      <c r="E1201" s="581"/>
      <c r="F1201" s="2">
        <f>(1/S1201)*cnst_fish!$C$6</f>
        <v>2.3938164528281742</v>
      </c>
      <c r="G1201" s="2">
        <f t="shared" si="173"/>
        <v>1</v>
      </c>
      <c r="H1201" s="2">
        <f t="shared" si="173"/>
        <v>0.36449057933102513</v>
      </c>
      <c r="I1201" s="2">
        <f t="shared" si="166"/>
        <v>0</v>
      </c>
      <c r="J1201" s="389">
        <f t="shared" si="167"/>
        <v>0</v>
      </c>
      <c r="L1201" s="721">
        <v>28</v>
      </c>
      <c r="M1201" s="581"/>
      <c r="N1201" s="585" t="s">
        <v>1736</v>
      </c>
      <c r="O1201" s="586" t="s">
        <v>4691</v>
      </c>
      <c r="P1201" s="233">
        <f t="shared" si="168"/>
        <v>0</v>
      </c>
      <c r="Q1201" s="233">
        <f t="shared" si="169"/>
        <v>28</v>
      </c>
      <c r="R1201" s="2">
        <f t="shared" si="170"/>
        <v>2.1</v>
      </c>
      <c r="S1201" s="2">
        <f>(1/9)*cnst_fish!$C$7*(1/cnst_fish!$C$8)^(R1201-1)</f>
        <v>1.7754076320174161</v>
      </c>
      <c r="T1201" s="682">
        <f t="shared" si="171"/>
        <v>4.2633745829640102</v>
      </c>
      <c r="W1201" s="818"/>
      <c r="X1201" s="818"/>
      <c r="Y1201" s="819"/>
      <c r="Z1201" s="820"/>
      <c r="AA1201" s="820"/>
      <c r="AB1201" s="821"/>
      <c r="AC1201" s="821"/>
      <c r="AD1201" s="253"/>
      <c r="AE1201" s="253"/>
    </row>
    <row r="1202" spans="1:31" ht="14.5">
      <c r="A1202" t="s">
        <v>3116</v>
      </c>
      <c r="B1202" t="s">
        <v>1080</v>
      </c>
      <c r="C1202">
        <v>2698</v>
      </c>
      <c r="D1202" s="581"/>
      <c r="E1202" s="581"/>
      <c r="F1202" s="2">
        <f>(1/S1202)*cnst_fish!$C$6</f>
        <v>2.3938164528281742</v>
      </c>
      <c r="G1202" s="2">
        <f t="shared" si="173"/>
        <v>1</v>
      </c>
      <c r="H1202" s="2">
        <f t="shared" si="173"/>
        <v>0.36449057933102513</v>
      </c>
      <c r="I1202" s="2">
        <f t="shared" si="166"/>
        <v>0</v>
      </c>
      <c r="J1202" s="389">
        <f t="shared" si="167"/>
        <v>0</v>
      </c>
      <c r="L1202" s="721">
        <v>43.5</v>
      </c>
      <c r="M1202" s="581"/>
      <c r="N1202" s="585" t="s">
        <v>1736</v>
      </c>
      <c r="O1202" s="586" t="s">
        <v>4691</v>
      </c>
      <c r="P1202" s="233">
        <f t="shared" si="168"/>
        <v>0</v>
      </c>
      <c r="Q1202" s="233">
        <f t="shared" si="169"/>
        <v>43.5</v>
      </c>
      <c r="R1202" s="2">
        <f t="shared" si="170"/>
        <v>2.1</v>
      </c>
      <c r="S1202" s="2">
        <f>(1/9)*cnst_fish!$C$7*(1/cnst_fish!$C$8)^(R1202-1)</f>
        <v>1.7754076320174161</v>
      </c>
      <c r="T1202" s="682">
        <f t="shared" si="171"/>
        <v>6.6234569413905158</v>
      </c>
      <c r="W1202" s="818"/>
      <c r="X1202" s="818"/>
      <c r="Y1202" s="819"/>
      <c r="Z1202" s="820"/>
      <c r="AA1202" s="820"/>
      <c r="AB1202" s="821"/>
      <c r="AC1202" s="821"/>
      <c r="AD1202" s="253"/>
      <c r="AE1202" s="253"/>
    </row>
    <row r="1203" spans="1:31" ht="14.5">
      <c r="A1203" t="s">
        <v>3459</v>
      </c>
      <c r="B1203" t="s">
        <v>1438</v>
      </c>
      <c r="C1203">
        <v>3022</v>
      </c>
      <c r="D1203" s="581"/>
      <c r="E1203" s="581"/>
      <c r="F1203" s="2">
        <f>(1/S1203)*cnst_fish!$C$6</f>
        <v>1.2855555498429807E-2</v>
      </c>
      <c r="G1203" s="2">
        <f t="shared" si="173"/>
        <v>1</v>
      </c>
      <c r="H1203" s="2">
        <f t="shared" si="173"/>
        <v>0.36449057933102513</v>
      </c>
      <c r="I1203" s="2">
        <f t="shared" si="166"/>
        <v>0</v>
      </c>
      <c r="J1203" s="389">
        <f t="shared" si="167"/>
        <v>0</v>
      </c>
      <c r="L1203" s="721">
        <v>42801.21</v>
      </c>
      <c r="M1203" s="581"/>
      <c r="N1203" s="585" t="s">
        <v>1738</v>
      </c>
      <c r="O1203" s="586" t="s">
        <v>4681</v>
      </c>
      <c r="P1203" s="233">
        <f t="shared" si="168"/>
        <v>0</v>
      </c>
      <c r="Q1203" s="233">
        <f t="shared" si="169"/>
        <v>42801.21</v>
      </c>
      <c r="R1203" s="2">
        <f t="shared" si="170"/>
        <v>4.37</v>
      </c>
      <c r="S1203" s="2">
        <f>(1/9)*cnst_fish!$C$7*(1/cnst_fish!$C$8)^(R1203-1)</f>
        <v>330.59637139127125</v>
      </c>
      <c r="T1203" s="682">
        <f t="shared" si="171"/>
        <v>1213532.7665050605</v>
      </c>
      <c r="W1203" s="818"/>
      <c r="X1203" s="818"/>
      <c r="Y1203" s="819"/>
      <c r="Z1203" s="820"/>
      <c r="AA1203" s="820"/>
      <c r="AB1203" s="821"/>
      <c r="AC1203" s="821"/>
      <c r="AD1203" s="253"/>
      <c r="AE1203" s="253"/>
    </row>
    <row r="1204" spans="1:31" ht="14.5">
      <c r="A1204" t="s">
        <v>4091</v>
      </c>
      <c r="B1204" t="s">
        <v>1439</v>
      </c>
      <c r="C1204">
        <v>2242</v>
      </c>
      <c r="D1204" s="581"/>
      <c r="E1204" s="581"/>
      <c r="F1204" s="2">
        <f>(1/S1204)*cnst_fish!$C$6</f>
        <v>0.11196720767792057</v>
      </c>
      <c r="G1204" s="2">
        <f t="shared" si="173"/>
        <v>1</v>
      </c>
      <c r="H1204" s="2">
        <f t="shared" si="173"/>
        <v>0.36449057933102513</v>
      </c>
      <c r="I1204" s="2">
        <f t="shared" si="166"/>
        <v>0</v>
      </c>
      <c r="J1204" s="389">
        <f t="shared" si="167"/>
        <v>0</v>
      </c>
      <c r="L1204" s="721">
        <v>0</v>
      </c>
      <c r="M1204" s="581"/>
      <c r="N1204" s="585" t="s">
        <v>3788</v>
      </c>
      <c r="O1204" s="586" t="s">
        <v>4681</v>
      </c>
      <c r="P1204" s="233">
        <f t="shared" si="168"/>
        <v>0</v>
      </c>
      <c r="Q1204" s="233">
        <f t="shared" si="169"/>
        <v>0</v>
      </c>
      <c r="R1204" s="2">
        <f t="shared" si="170"/>
        <v>3.43</v>
      </c>
      <c r="S1204" s="2">
        <f>(1/9)*cnst_fish!$C$7*(1/cnst_fish!$C$8)^(R1204-1)</f>
        <v>37.957542106661656</v>
      </c>
      <c r="T1204" s="682">
        <f t="shared" si="171"/>
        <v>0</v>
      </c>
      <c r="W1204" s="818"/>
      <c r="X1204" s="818"/>
      <c r="Y1204" s="819"/>
      <c r="Z1204" s="820"/>
      <c r="AA1204" s="820"/>
      <c r="AB1204" s="821"/>
      <c r="AC1204" s="821"/>
      <c r="AD1204" s="253"/>
      <c r="AE1204" s="253"/>
    </row>
    <row r="1205" spans="1:31" ht="14.5">
      <c r="A1205" t="s">
        <v>2071</v>
      </c>
      <c r="B1205" t="s">
        <v>1440</v>
      </c>
      <c r="C1205">
        <v>13427</v>
      </c>
      <c r="D1205" s="581"/>
      <c r="E1205" s="581"/>
      <c r="F1205" s="2">
        <f>(1/S1205)*cnst_fish!$C$6</f>
        <v>2.945037624971374E-2</v>
      </c>
      <c r="G1205" s="2">
        <f t="shared" si="173"/>
        <v>1</v>
      </c>
      <c r="H1205" s="2">
        <f t="shared" si="173"/>
        <v>0.36449057933102513</v>
      </c>
      <c r="I1205" s="2">
        <f t="shared" si="166"/>
        <v>0</v>
      </c>
      <c r="J1205" s="389">
        <f t="shared" si="167"/>
        <v>0</v>
      </c>
      <c r="L1205" s="721"/>
      <c r="M1205" s="581"/>
      <c r="N1205" s="585" t="s">
        <v>3788</v>
      </c>
      <c r="O1205" s="586" t="s">
        <v>4681</v>
      </c>
      <c r="P1205" s="233">
        <f t="shared" si="168"/>
        <v>0</v>
      </c>
      <c r="Q1205" s="233">
        <f t="shared" si="169"/>
        <v>0</v>
      </c>
      <c r="R1205" s="2">
        <f t="shared" si="170"/>
        <v>4.01</v>
      </c>
      <c r="S1205" s="2">
        <f>(1/9)*cnst_fish!$C$7*(1/cnst_fish!$C$8)^(R1205-1)</f>
        <v>144.31055019343972</v>
      </c>
      <c r="T1205" s="682">
        <f t="shared" si="171"/>
        <v>0</v>
      </c>
      <c r="W1205" s="818"/>
      <c r="X1205" s="818"/>
      <c r="Y1205" s="819"/>
      <c r="Z1205" s="820"/>
      <c r="AA1205" s="820"/>
      <c r="AB1205" s="821"/>
      <c r="AC1205" s="821"/>
      <c r="AD1205" s="253"/>
      <c r="AE1205" s="253"/>
    </row>
    <row r="1206" spans="1:31" ht="14.5">
      <c r="A1206" t="s">
        <v>1459</v>
      </c>
      <c r="B1206" t="s">
        <v>1441</v>
      </c>
      <c r="C1206">
        <v>2239</v>
      </c>
      <c r="D1206" s="581"/>
      <c r="E1206" s="581"/>
      <c r="F1206" s="2">
        <f>(1/S1206)*cnst_fish!$C$6</f>
        <v>1.0692785320993655E-2</v>
      </c>
      <c r="G1206" s="2">
        <f t="shared" si="173"/>
        <v>1</v>
      </c>
      <c r="H1206" s="2">
        <f t="shared" si="173"/>
        <v>0.36449057933102513</v>
      </c>
      <c r="I1206" s="2">
        <f t="shared" si="166"/>
        <v>0</v>
      </c>
      <c r="J1206" s="389">
        <f t="shared" si="167"/>
        <v>0</v>
      </c>
      <c r="L1206" s="721">
        <v>24480.400000000001</v>
      </c>
      <c r="M1206" s="581"/>
      <c r="N1206" s="585" t="s">
        <v>3788</v>
      </c>
      <c r="O1206" s="586" t="s">
        <v>4681</v>
      </c>
      <c r="P1206" s="233">
        <f t="shared" si="168"/>
        <v>0</v>
      </c>
      <c r="Q1206" s="233">
        <f t="shared" si="169"/>
        <v>24480.400000000001</v>
      </c>
      <c r="R1206" s="2">
        <f t="shared" si="170"/>
        <v>4.45</v>
      </c>
      <c r="S1206" s="2">
        <f>(1/9)*cnst_fish!$C$7*(1/cnst_fish!$C$8)^(R1206-1)</f>
        <v>397.46425953729499</v>
      </c>
      <c r="T1206" s="682">
        <f t="shared" si="171"/>
        <v>834476.2295691584</v>
      </c>
      <c r="W1206" s="818"/>
      <c r="X1206" s="818"/>
      <c r="Y1206" s="819"/>
      <c r="Z1206" s="820"/>
      <c r="AA1206" s="820"/>
      <c r="AB1206" s="821"/>
      <c r="AC1206" s="821"/>
      <c r="AD1206" s="253"/>
      <c r="AE1206" s="253"/>
    </row>
    <row r="1207" spans="1:31" ht="14.5">
      <c r="A1207" t="s">
        <v>1092</v>
      </c>
      <c r="B1207" t="s">
        <v>1442</v>
      </c>
      <c r="C1207">
        <v>3026</v>
      </c>
      <c r="D1207" s="581">
        <v>6779</v>
      </c>
      <c r="E1207" s="581"/>
      <c r="F1207" s="2">
        <f>(1/S1207)*cnst_fish!$C$6</f>
        <v>1.6561163607618418E-2</v>
      </c>
      <c r="G1207" s="2">
        <f t="shared" si="173"/>
        <v>1</v>
      </c>
      <c r="H1207" s="2">
        <f t="shared" si="173"/>
        <v>0.36449057933102513</v>
      </c>
      <c r="I1207" s="2">
        <f t="shared" si="166"/>
        <v>149197.34481388563</v>
      </c>
      <c r="J1207" s="389">
        <f t="shared" si="167"/>
        <v>0</v>
      </c>
      <c r="L1207" s="721">
        <v>12831</v>
      </c>
      <c r="M1207" s="581"/>
      <c r="N1207" s="585" t="s">
        <v>3788</v>
      </c>
      <c r="O1207" s="586" t="s">
        <v>4681</v>
      </c>
      <c r="P1207" s="233">
        <f t="shared" si="168"/>
        <v>6779</v>
      </c>
      <c r="Q1207" s="233">
        <f t="shared" si="169"/>
        <v>12831</v>
      </c>
      <c r="R1207" s="2">
        <f t="shared" si="170"/>
        <v>4.26</v>
      </c>
      <c r="S1207" s="2">
        <f>(1/9)*cnst_fish!$C$7*(1/cnst_fish!$C$8)^(R1207-1)</f>
        <v>256.62448006038221</v>
      </c>
      <c r="T1207" s="682">
        <f t="shared" si="171"/>
        <v>282394.32531449577</v>
      </c>
      <c r="W1207" s="818"/>
      <c r="X1207" s="818"/>
      <c r="Y1207" s="819"/>
      <c r="Z1207" s="820"/>
      <c r="AA1207" s="820"/>
      <c r="AB1207" s="821"/>
      <c r="AC1207" s="821"/>
      <c r="AD1207" s="253"/>
      <c r="AE1207" s="253"/>
    </row>
    <row r="1208" spans="1:31" ht="14.5">
      <c r="A1208" t="s">
        <v>2122</v>
      </c>
      <c r="B1208" t="s">
        <v>1443</v>
      </c>
      <c r="C1208">
        <v>3029</v>
      </c>
      <c r="D1208" s="581"/>
      <c r="E1208" s="581"/>
      <c r="F1208" s="2">
        <f>(1/S1208)*cnst_fish!$C$6</f>
        <v>1.0692785320993655E-2</v>
      </c>
      <c r="G1208" s="2">
        <f t="shared" ref="G1208:H1227" si="174">G$7</f>
        <v>1</v>
      </c>
      <c r="H1208" s="2">
        <f t="shared" si="174"/>
        <v>0.36449057933102513</v>
      </c>
      <c r="I1208" s="2">
        <f t="shared" si="166"/>
        <v>0</v>
      </c>
      <c r="J1208" s="389">
        <f t="shared" si="167"/>
        <v>0</v>
      </c>
      <c r="L1208" s="721">
        <v>6819</v>
      </c>
      <c r="M1208" s="581"/>
      <c r="N1208" s="585" t="s">
        <v>3788</v>
      </c>
      <c r="O1208" s="586" t="s">
        <v>4681</v>
      </c>
      <c r="P1208" s="233">
        <f t="shared" si="168"/>
        <v>0</v>
      </c>
      <c r="Q1208" s="233">
        <f t="shared" si="169"/>
        <v>6819</v>
      </c>
      <c r="R1208" s="2">
        <f t="shared" si="170"/>
        <v>4.45</v>
      </c>
      <c r="S1208" s="2">
        <f>(1/9)*cnst_fish!$C$7*(1/cnst_fish!$C$8)^(R1208-1)</f>
        <v>397.46425953729499</v>
      </c>
      <c r="T1208" s="682">
        <f t="shared" si="171"/>
        <v>232442.82811686455</v>
      </c>
      <c r="W1208" s="818"/>
      <c r="X1208" s="818"/>
      <c r="Y1208" s="819"/>
      <c r="Z1208" s="820"/>
      <c r="AA1208" s="820"/>
      <c r="AB1208" s="821"/>
      <c r="AC1208" s="821"/>
      <c r="AD1208" s="253"/>
      <c r="AE1208" s="253"/>
    </row>
    <row r="1209" spans="1:31" ht="14.5">
      <c r="A1209" t="s">
        <v>3317</v>
      </c>
      <c r="B1209" t="s">
        <v>6508</v>
      </c>
      <c r="C1209">
        <v>3024</v>
      </c>
      <c r="D1209" s="581"/>
      <c r="E1209" s="581"/>
      <c r="F1209" s="2">
        <f>(1/S1209)*cnst_fish!$C$6</f>
        <v>1.5455777163012491E-2</v>
      </c>
      <c r="G1209" s="2">
        <f t="shared" si="174"/>
        <v>1</v>
      </c>
      <c r="H1209" s="2">
        <f t="shared" si="174"/>
        <v>0.36449057933102513</v>
      </c>
      <c r="I1209" s="2">
        <f t="shared" si="166"/>
        <v>0</v>
      </c>
      <c r="J1209" s="389">
        <f t="shared" si="167"/>
        <v>0</v>
      </c>
      <c r="L1209" s="721">
        <v>284914</v>
      </c>
      <c r="M1209" s="581"/>
      <c r="N1209" s="585" t="s">
        <v>3788</v>
      </c>
      <c r="O1209" s="586" t="s">
        <v>4681</v>
      </c>
      <c r="P1209" s="233">
        <f t="shared" si="168"/>
        <v>0</v>
      </c>
      <c r="Q1209" s="233">
        <f t="shared" si="169"/>
        <v>284914</v>
      </c>
      <c r="R1209" s="2">
        <f t="shared" si="170"/>
        <v>4.29</v>
      </c>
      <c r="S1209" s="2">
        <f>(1/9)*cnst_fish!$C$7*(1/cnst_fish!$C$8)^(R1209-1)</f>
        <v>274.97808458126286</v>
      </c>
      <c r="T1209" s="682">
        <f t="shared" si="171"/>
        <v>6719071.3106320798</v>
      </c>
      <c r="W1209" s="818"/>
      <c r="X1209" s="818"/>
      <c r="Y1209" s="819"/>
      <c r="Z1209" s="820"/>
      <c r="AA1209" s="820"/>
      <c r="AB1209" s="821"/>
      <c r="AC1209" s="821"/>
      <c r="AD1209" s="253"/>
      <c r="AE1209" s="253"/>
    </row>
    <row r="1210" spans="1:31" ht="14.5">
      <c r="A1210" t="s">
        <v>1395</v>
      </c>
      <c r="B1210" t="s">
        <v>1444</v>
      </c>
      <c r="C1210">
        <v>2240</v>
      </c>
      <c r="D1210" s="581"/>
      <c r="E1210" s="581"/>
      <c r="F1210" s="2">
        <f>(1/S1210)*cnst_fish!$C$6</f>
        <v>1.6561163607618418E-2</v>
      </c>
      <c r="G1210" s="2">
        <f t="shared" si="174"/>
        <v>1</v>
      </c>
      <c r="H1210" s="2">
        <f t="shared" si="174"/>
        <v>0.36449057933102513</v>
      </c>
      <c r="I1210" s="2">
        <f t="shared" si="166"/>
        <v>0</v>
      </c>
      <c r="J1210" s="389">
        <f t="shared" si="167"/>
        <v>0</v>
      </c>
      <c r="L1210" s="721">
        <v>101548</v>
      </c>
      <c r="M1210" s="581"/>
      <c r="N1210" s="585" t="s">
        <v>3788</v>
      </c>
      <c r="O1210" s="586" t="s">
        <v>4681</v>
      </c>
      <c r="P1210" s="233">
        <f t="shared" si="168"/>
        <v>0</v>
      </c>
      <c r="Q1210" s="233">
        <f t="shared" si="169"/>
        <v>101548</v>
      </c>
      <c r="R1210" s="2">
        <f t="shared" si="170"/>
        <v>4.26</v>
      </c>
      <c r="S1210" s="2">
        <f>(1/9)*cnst_fish!$C$7*(1/cnst_fish!$C$8)^(R1210-1)</f>
        <v>256.62448006038221</v>
      </c>
      <c r="T1210" s="682">
        <f t="shared" si="171"/>
        <v>2234944.9728810233</v>
      </c>
      <c r="W1210" s="818"/>
      <c r="X1210" s="818"/>
      <c r="Y1210" s="819"/>
      <c r="Z1210" s="820"/>
      <c r="AA1210" s="820"/>
      <c r="AB1210" s="821"/>
      <c r="AC1210" s="821"/>
      <c r="AD1210" s="253"/>
      <c r="AE1210" s="253"/>
    </row>
    <row r="1211" spans="1:31" ht="14.5">
      <c r="A1211" t="s">
        <v>3527</v>
      </c>
      <c r="B1211" t="s">
        <v>1445</v>
      </c>
      <c r="C1211">
        <v>3027</v>
      </c>
      <c r="D1211" s="581"/>
      <c r="E1211" s="581"/>
      <c r="F1211" s="2">
        <f>(1/S1211)*cnst_fish!$C$6</f>
        <v>1.7745606522761578E-2</v>
      </c>
      <c r="G1211" s="2">
        <f t="shared" si="174"/>
        <v>1</v>
      </c>
      <c r="H1211" s="2">
        <f t="shared" si="174"/>
        <v>0.36449057933102513</v>
      </c>
      <c r="I1211" s="2">
        <f t="shared" si="166"/>
        <v>0</v>
      </c>
      <c r="J1211" s="389">
        <f t="shared" si="167"/>
        <v>0</v>
      </c>
      <c r="L1211" s="721">
        <v>368475.9</v>
      </c>
      <c r="M1211" s="581"/>
      <c r="N1211" s="585" t="s">
        <v>3788</v>
      </c>
      <c r="O1211" s="586" t="s">
        <v>4681</v>
      </c>
      <c r="P1211" s="233">
        <f t="shared" si="168"/>
        <v>0</v>
      </c>
      <c r="Q1211" s="233">
        <f t="shared" si="169"/>
        <v>368475.9</v>
      </c>
      <c r="R1211" s="2">
        <f t="shared" si="170"/>
        <v>4.2300000000000004</v>
      </c>
      <c r="S1211" s="2">
        <f>(1/9)*cnst_fish!$C$7*(1/cnst_fish!$C$8)^(R1211-1)</f>
        <v>239.49589970614389</v>
      </c>
      <c r="T1211" s="682">
        <f t="shared" si="171"/>
        <v>7568408.2191415653</v>
      </c>
      <c r="W1211" s="818"/>
      <c r="X1211" s="818"/>
      <c r="Y1211" s="819"/>
      <c r="Z1211" s="820"/>
      <c r="AA1211" s="820"/>
      <c r="AB1211" s="821"/>
      <c r="AC1211" s="821"/>
      <c r="AD1211" s="253"/>
      <c r="AE1211" s="253"/>
    </row>
    <row r="1212" spans="1:31" ht="14.5">
      <c r="A1212" t="s">
        <v>3958</v>
      </c>
      <c r="B1212" t="s">
        <v>1446</v>
      </c>
      <c r="C1212">
        <v>2238</v>
      </c>
      <c r="D1212" s="581"/>
      <c r="E1212" s="581"/>
      <c r="F1212" s="2">
        <f>(1/S1212)*cnst_fish!$C$6</f>
        <v>1.1457525898206004E-2</v>
      </c>
      <c r="G1212" s="2">
        <f t="shared" si="174"/>
        <v>1</v>
      </c>
      <c r="H1212" s="2">
        <f t="shared" si="174"/>
        <v>0.36449057933102513</v>
      </c>
      <c r="I1212" s="2">
        <f t="shared" si="166"/>
        <v>0</v>
      </c>
      <c r="J1212" s="389">
        <f t="shared" si="167"/>
        <v>0</v>
      </c>
      <c r="L1212" s="721">
        <v>123452</v>
      </c>
      <c r="M1212" s="581"/>
      <c r="N1212" s="585" t="s">
        <v>3788</v>
      </c>
      <c r="O1212" s="586" t="s">
        <v>4681</v>
      </c>
      <c r="P1212" s="233">
        <f t="shared" si="168"/>
        <v>0</v>
      </c>
      <c r="Q1212" s="233">
        <f t="shared" si="169"/>
        <v>123452</v>
      </c>
      <c r="R1212" s="2">
        <f t="shared" si="170"/>
        <v>4.42</v>
      </c>
      <c r="S1212" s="2">
        <f>(1/9)*cnst_fish!$C$7*(1/cnst_fish!$C$8)^(R1212-1)</f>
        <v>370.93522962627179</v>
      </c>
      <c r="T1212" s="682">
        <f t="shared" si="171"/>
        <v>3927295.5958684995</v>
      </c>
      <c r="W1212" s="818"/>
      <c r="X1212" s="818"/>
      <c r="Y1212" s="819"/>
      <c r="Z1212" s="820"/>
      <c r="AA1212" s="820"/>
      <c r="AB1212" s="821"/>
      <c r="AC1212" s="821"/>
      <c r="AD1212" s="253"/>
      <c r="AE1212" s="253"/>
    </row>
    <row r="1213" spans="1:31" ht="14.5">
      <c r="A1213" t="s">
        <v>8321</v>
      </c>
      <c r="B1213" t="s">
        <v>8322</v>
      </c>
      <c r="C1213">
        <v>3030</v>
      </c>
      <c r="D1213" s="581"/>
      <c r="E1213" s="581"/>
      <c r="F1213" s="2">
        <f>(1/S1213)*cnst_fish!$C$6</f>
        <v>7.5699122913220583E-3</v>
      </c>
      <c r="G1213" s="2">
        <f t="shared" si="174"/>
        <v>1</v>
      </c>
      <c r="H1213" s="2">
        <f t="shared" si="174"/>
        <v>0.36449057933102513</v>
      </c>
      <c r="I1213" s="2">
        <f t="shared" si="166"/>
        <v>0</v>
      </c>
      <c r="J1213" s="389">
        <f t="shared" si="167"/>
        <v>0</v>
      </c>
      <c r="L1213" s="721">
        <v>492</v>
      </c>
      <c r="M1213" s="581"/>
      <c r="N1213" s="585" t="s">
        <v>3788</v>
      </c>
      <c r="O1213" s="586" t="s">
        <v>4681</v>
      </c>
      <c r="P1213" s="233">
        <f t="shared" si="168"/>
        <v>0</v>
      </c>
      <c r="Q1213" s="233">
        <f t="shared" si="169"/>
        <v>492</v>
      </c>
      <c r="R1213" s="2">
        <f t="shared" si="170"/>
        <v>4.5999999999999996</v>
      </c>
      <c r="S1213" s="2">
        <f>(1/9)*cnst_fish!$C$7*(1/cnst_fish!$C$8)^(R1213-1)</f>
        <v>561.4331892421111</v>
      </c>
      <c r="T1213" s="682">
        <f t="shared" si="171"/>
        <v>23689.754666833152</v>
      </c>
      <c r="W1213" s="818"/>
      <c r="X1213" s="818"/>
      <c r="Y1213" s="819"/>
      <c r="Z1213" s="820"/>
      <c r="AA1213" s="820"/>
      <c r="AB1213" s="821"/>
      <c r="AC1213" s="821"/>
      <c r="AD1213" s="253"/>
      <c r="AE1213" s="253"/>
    </row>
    <row r="1214" spans="1:31" ht="14.5">
      <c r="A1214" t="s">
        <v>3460</v>
      </c>
      <c r="B1214" t="s">
        <v>1447</v>
      </c>
      <c r="C1214">
        <v>2241</v>
      </c>
      <c r="D1214" s="581"/>
      <c r="E1214" s="581"/>
      <c r="F1214" s="2">
        <f>(1/S1214)*cnst_fish!$C$6</f>
        <v>9.5299549485983424E-3</v>
      </c>
      <c r="G1214" s="2">
        <f t="shared" si="174"/>
        <v>1</v>
      </c>
      <c r="H1214" s="2">
        <f t="shared" si="174"/>
        <v>0.36449057933102513</v>
      </c>
      <c r="I1214" s="2">
        <f t="shared" si="166"/>
        <v>0</v>
      </c>
      <c r="J1214" s="389">
        <f t="shared" si="167"/>
        <v>0</v>
      </c>
      <c r="L1214" s="721">
        <v>7073</v>
      </c>
      <c r="M1214" s="581"/>
      <c r="N1214" s="585" t="s">
        <v>3788</v>
      </c>
      <c r="O1214" s="586" t="s">
        <v>4681</v>
      </c>
      <c r="P1214" s="233">
        <f t="shared" si="168"/>
        <v>0</v>
      </c>
      <c r="Q1214" s="233">
        <f t="shared" si="169"/>
        <v>7073</v>
      </c>
      <c r="R1214" s="2">
        <f t="shared" si="170"/>
        <v>4.5</v>
      </c>
      <c r="S1214" s="2">
        <f>(1/9)*cnst_fish!$C$7*(1/cnst_fish!$C$8)^(R1214-1)</f>
        <v>445.96223412630997</v>
      </c>
      <c r="T1214" s="682">
        <f t="shared" si="171"/>
        <v>270519.83787053649</v>
      </c>
      <c r="W1214" s="818"/>
      <c r="X1214" s="818"/>
      <c r="Y1214" s="819"/>
      <c r="Z1214" s="820"/>
      <c r="AA1214" s="820"/>
      <c r="AB1214" s="821"/>
      <c r="AC1214" s="821"/>
      <c r="AD1214" s="253"/>
      <c r="AE1214" s="253"/>
    </row>
    <row r="1215" spans="1:31" ht="14.5">
      <c r="A1215" t="s">
        <v>1887</v>
      </c>
      <c r="B1215" t="s">
        <v>1448</v>
      </c>
      <c r="C1215">
        <v>3028</v>
      </c>
      <c r="D1215" s="581">
        <v>102241</v>
      </c>
      <c r="E1215" s="581"/>
      <c r="F1215" s="2">
        <f>(1/S1215)*cnst_fish!$C$6</f>
        <v>1.3461419163458574E-2</v>
      </c>
      <c r="G1215" s="2">
        <f t="shared" si="174"/>
        <v>1</v>
      </c>
      <c r="H1215" s="2">
        <f t="shared" si="174"/>
        <v>0.36449057933102513</v>
      </c>
      <c r="I1215" s="2">
        <f t="shared" si="166"/>
        <v>2768347.1459341147</v>
      </c>
      <c r="J1215" s="389">
        <f t="shared" si="167"/>
        <v>0</v>
      </c>
      <c r="L1215" s="721">
        <v>426651</v>
      </c>
      <c r="M1215" s="581"/>
      <c r="N1215" s="585" t="s">
        <v>3788</v>
      </c>
      <c r="O1215" s="586" t="s">
        <v>4681</v>
      </c>
      <c r="P1215" s="233">
        <f t="shared" si="168"/>
        <v>102241</v>
      </c>
      <c r="Q1215" s="233">
        <f t="shared" si="169"/>
        <v>426651</v>
      </c>
      <c r="R1215" s="2">
        <f t="shared" si="170"/>
        <v>4.3499999999999996</v>
      </c>
      <c r="S1215" s="2">
        <f>(1/9)*cnst_fish!$C$7*(1/cnst_fish!$C$8)^(R1215-1)</f>
        <v>315.71708364425297</v>
      </c>
      <c r="T1215" s="682">
        <f t="shared" si="171"/>
        <v>11552293.875841746</v>
      </c>
      <c r="W1215" s="818"/>
      <c r="X1215" s="818"/>
      <c r="Y1215" s="819"/>
      <c r="Z1215" s="820"/>
      <c r="AA1215" s="820"/>
      <c r="AB1215" s="821"/>
      <c r="AC1215" s="821"/>
      <c r="AD1215" s="253"/>
      <c r="AE1215" s="253"/>
    </row>
    <row r="1216" spans="1:31" ht="14.5">
      <c r="A1216" t="s">
        <v>1091</v>
      </c>
      <c r="B1216" t="s">
        <v>3912</v>
      </c>
      <c r="C1216">
        <v>3025</v>
      </c>
      <c r="D1216" s="581"/>
      <c r="E1216" s="581"/>
      <c r="F1216" s="2">
        <f>(1/S1216)*cnst_fish!$C$6</f>
        <v>9.5299549485983424E-3</v>
      </c>
      <c r="G1216" s="2">
        <f t="shared" si="174"/>
        <v>1</v>
      </c>
      <c r="H1216" s="2">
        <f t="shared" si="174"/>
        <v>0.36449057933102513</v>
      </c>
      <c r="I1216" s="2">
        <f t="shared" si="166"/>
        <v>0</v>
      </c>
      <c r="J1216" s="389">
        <f t="shared" si="167"/>
        <v>0</v>
      </c>
      <c r="L1216" s="721">
        <v>16909</v>
      </c>
      <c r="M1216" s="581"/>
      <c r="N1216" s="585" t="s">
        <v>3788</v>
      </c>
      <c r="O1216" s="586" t="s">
        <v>4681</v>
      </c>
      <c r="P1216" s="233">
        <f t="shared" si="168"/>
        <v>0</v>
      </c>
      <c r="Q1216" s="233">
        <f t="shared" si="169"/>
        <v>16909</v>
      </c>
      <c r="R1216" s="2">
        <f t="shared" si="170"/>
        <v>4.5</v>
      </c>
      <c r="S1216" s="2">
        <f>(1/9)*cnst_fish!$C$7*(1/cnst_fish!$C$8)^(R1216-1)</f>
        <v>445.96223412630997</v>
      </c>
      <c r="T1216" s="682">
        <f t="shared" si="171"/>
        <v>646715.67065642611</v>
      </c>
      <c r="W1216" s="818"/>
      <c r="X1216" s="818"/>
      <c r="Y1216" s="819"/>
      <c r="Z1216" s="820"/>
      <c r="AA1216" s="820"/>
      <c r="AB1216" s="821"/>
      <c r="AC1216" s="821"/>
      <c r="AD1216" s="253"/>
      <c r="AE1216" s="253"/>
    </row>
    <row r="1217" spans="1:31" ht="14.5">
      <c r="A1217" t="s">
        <v>118</v>
      </c>
      <c r="B1217" t="s">
        <v>3444</v>
      </c>
      <c r="C1217">
        <v>2237</v>
      </c>
      <c r="D1217" s="581"/>
      <c r="E1217" s="581"/>
      <c r="F1217" s="2">
        <f>(1/S1217)*cnst_fish!$C$6</f>
        <v>1.5455777163012491E-2</v>
      </c>
      <c r="G1217" s="2">
        <f t="shared" si="174"/>
        <v>1</v>
      </c>
      <c r="H1217" s="2">
        <f t="shared" si="174"/>
        <v>0.36449057933102513</v>
      </c>
      <c r="I1217" s="2">
        <f t="shared" si="166"/>
        <v>0</v>
      </c>
      <c r="J1217" s="389">
        <f t="shared" si="167"/>
        <v>0</v>
      </c>
      <c r="L1217" s="721">
        <v>4336.9799999999996</v>
      </c>
      <c r="M1217" s="581"/>
      <c r="N1217" s="585" t="s">
        <v>3788</v>
      </c>
      <c r="O1217" s="586" t="s">
        <v>4681</v>
      </c>
      <c r="P1217" s="233">
        <f t="shared" si="168"/>
        <v>0</v>
      </c>
      <c r="Q1217" s="233">
        <f t="shared" si="169"/>
        <v>4336.9799999999996</v>
      </c>
      <c r="R1217" s="2">
        <f t="shared" si="170"/>
        <v>4.29</v>
      </c>
      <c r="S1217" s="2">
        <f>(1/9)*cnst_fish!$C$7*(1/cnst_fish!$C$8)^(R1217-1)</f>
        <v>274.97808458126286</v>
      </c>
      <c r="T1217" s="682">
        <f t="shared" si="171"/>
        <v>102278.15373335501</v>
      </c>
      <c r="W1217" s="818"/>
      <c r="X1217" s="818"/>
      <c r="Y1217" s="819"/>
      <c r="Z1217" s="820"/>
      <c r="AA1217" s="820"/>
      <c r="AB1217" s="821"/>
      <c r="AC1217" s="821"/>
      <c r="AD1217" s="253"/>
      <c r="AE1217" s="253"/>
    </row>
    <row r="1218" spans="1:31" ht="14.5">
      <c r="A1218" t="s">
        <v>2292</v>
      </c>
      <c r="B1218" t="s">
        <v>154</v>
      </c>
      <c r="C1218">
        <v>3557</v>
      </c>
      <c r="D1218" s="581"/>
      <c r="E1218" s="581"/>
      <c r="F1218" s="2">
        <f>(1/S1218)*cnst_fish!$C$6</f>
        <v>2.3938164528281742</v>
      </c>
      <c r="G1218" s="2">
        <f t="shared" si="174"/>
        <v>1</v>
      </c>
      <c r="H1218" s="2">
        <f t="shared" si="174"/>
        <v>0.36449057933102513</v>
      </c>
      <c r="I1218" s="2">
        <f t="shared" si="166"/>
        <v>0</v>
      </c>
      <c r="J1218" s="389">
        <f t="shared" si="167"/>
        <v>0</v>
      </c>
      <c r="L1218" s="721">
        <v>1206.46</v>
      </c>
      <c r="M1218" s="581"/>
      <c r="N1218" s="585" t="s">
        <v>1736</v>
      </c>
      <c r="O1218" s="586" t="s">
        <v>4691</v>
      </c>
      <c r="P1218" s="233">
        <f t="shared" si="168"/>
        <v>0</v>
      </c>
      <c r="Q1218" s="233">
        <f t="shared" si="169"/>
        <v>1206.46</v>
      </c>
      <c r="R1218" s="2">
        <f t="shared" si="170"/>
        <v>2.1</v>
      </c>
      <c r="S1218" s="2">
        <f>(1/9)*cnst_fish!$C$7*(1/cnst_fish!$C$8)^(R1218-1)</f>
        <v>1.7754076320174161</v>
      </c>
      <c r="T1218" s="682">
        <f t="shared" si="171"/>
        <v>183.69967497724141</v>
      </c>
      <c r="W1218" s="818"/>
      <c r="X1218" s="818"/>
      <c r="Y1218" s="819"/>
      <c r="Z1218" s="820"/>
      <c r="AA1218" s="820"/>
      <c r="AB1218" s="821"/>
      <c r="AC1218" s="821"/>
      <c r="AD1218" s="253"/>
      <c r="AE1218" s="253"/>
    </row>
    <row r="1219" spans="1:31" ht="14.5">
      <c r="A1219" t="s">
        <v>6445</v>
      </c>
      <c r="B1219" t="s">
        <v>6444</v>
      </c>
      <c r="C1219">
        <v>13433</v>
      </c>
      <c r="D1219" s="581"/>
      <c r="E1219" s="581"/>
      <c r="F1219" s="2">
        <f>(1/S1219)*cnst_fish!$C$6</f>
        <v>3.0136363636363641</v>
      </c>
      <c r="G1219" s="2">
        <f t="shared" si="174"/>
        <v>1</v>
      </c>
      <c r="H1219" s="2">
        <f t="shared" si="174"/>
        <v>0.36449057933102513</v>
      </c>
      <c r="I1219" s="2">
        <f t="shared" si="166"/>
        <v>0</v>
      </c>
      <c r="J1219" s="389">
        <f t="shared" si="167"/>
        <v>0</v>
      </c>
      <c r="L1219" s="721">
        <v>1</v>
      </c>
      <c r="M1219" s="581"/>
      <c r="N1219" s="585" t="s">
        <v>1738</v>
      </c>
      <c r="O1219" s="586" t="s">
        <v>4681</v>
      </c>
      <c r="P1219" s="233">
        <f t="shared" si="168"/>
        <v>0</v>
      </c>
      <c r="Q1219" s="233">
        <f t="shared" si="169"/>
        <v>1</v>
      </c>
      <c r="R1219" s="2">
        <f t="shared" si="170"/>
        <v>2</v>
      </c>
      <c r="S1219" s="2">
        <f>(1/9)*cnst_fish!$C$7*(1/cnst_fish!$C$8)^(R1219-1)</f>
        <v>1.4102564102564099</v>
      </c>
      <c r="T1219" s="682">
        <f t="shared" si="171"/>
        <v>0.12094710023050605</v>
      </c>
      <c r="W1219" s="818"/>
      <c r="X1219" s="818"/>
      <c r="Y1219" s="819"/>
      <c r="Z1219" s="820"/>
      <c r="AA1219" s="820"/>
      <c r="AB1219" s="821"/>
      <c r="AC1219" s="821"/>
      <c r="AD1219" s="253"/>
      <c r="AE1219" s="253"/>
    </row>
    <row r="1220" spans="1:31" ht="14.5">
      <c r="A1220" t="s">
        <v>4856</v>
      </c>
      <c r="B1220" t="s">
        <v>5163</v>
      </c>
      <c r="C1220">
        <v>2646</v>
      </c>
      <c r="D1220" s="581"/>
      <c r="E1220" s="581"/>
      <c r="F1220" s="2">
        <f>(1/S1220)*cnst_fish!$C$6</f>
        <v>0.75699122913220485</v>
      </c>
      <c r="G1220" s="2">
        <f t="shared" si="174"/>
        <v>1</v>
      </c>
      <c r="H1220" s="2">
        <f t="shared" si="174"/>
        <v>0.36449057933102513</v>
      </c>
      <c r="I1220" s="2">
        <f t="shared" si="166"/>
        <v>0</v>
      </c>
      <c r="J1220" s="389">
        <f t="shared" si="167"/>
        <v>0</v>
      </c>
      <c r="L1220" s="721">
        <v>0</v>
      </c>
      <c r="M1220" s="581"/>
      <c r="N1220" s="585" t="s">
        <v>3790</v>
      </c>
      <c r="O1220" s="586" t="s">
        <v>4680</v>
      </c>
      <c r="P1220" s="233">
        <f t="shared" si="168"/>
        <v>0</v>
      </c>
      <c r="Q1220" s="233">
        <f t="shared" si="169"/>
        <v>0</v>
      </c>
      <c r="R1220" s="2">
        <f t="shared" si="170"/>
        <v>2.6</v>
      </c>
      <c r="S1220" s="2">
        <f>(1/9)*cnst_fish!$C$7*(1/cnst_fish!$C$8)^(R1220-1)</f>
        <v>5.6143318924211183</v>
      </c>
      <c r="T1220" s="682">
        <f t="shared" si="171"/>
        <v>0</v>
      </c>
      <c r="W1220" s="818"/>
      <c r="X1220" s="818"/>
      <c r="Y1220" s="819"/>
      <c r="Z1220" s="820"/>
      <c r="AA1220" s="820"/>
      <c r="AB1220" s="821"/>
      <c r="AC1220" s="821"/>
      <c r="AD1220" s="253"/>
      <c r="AE1220" s="253"/>
    </row>
    <row r="1221" spans="1:31" ht="14.5">
      <c r="A1221" t="s">
        <v>3292</v>
      </c>
      <c r="B1221" t="s">
        <v>5164</v>
      </c>
      <c r="C1221">
        <v>3481</v>
      </c>
      <c r="D1221" s="581"/>
      <c r="E1221" s="581"/>
      <c r="F1221" s="2">
        <f>(1/S1221)*cnst_fish!$C$6</f>
        <v>0.75699122913220485</v>
      </c>
      <c r="G1221" s="2">
        <f t="shared" si="174"/>
        <v>1</v>
      </c>
      <c r="H1221" s="2">
        <f t="shared" si="174"/>
        <v>0.36449057933102513</v>
      </c>
      <c r="I1221" s="2">
        <f t="shared" si="166"/>
        <v>0</v>
      </c>
      <c r="J1221" s="389">
        <f t="shared" si="167"/>
        <v>0</v>
      </c>
      <c r="L1221" s="721">
        <v>1057</v>
      </c>
      <c r="M1221" s="581"/>
      <c r="N1221" s="585" t="s">
        <v>3790</v>
      </c>
      <c r="O1221" s="586" t="s">
        <v>4680</v>
      </c>
      <c r="P1221" s="233">
        <f t="shared" si="168"/>
        <v>0</v>
      </c>
      <c r="Q1221" s="233">
        <f t="shared" si="169"/>
        <v>1057</v>
      </c>
      <c r="R1221" s="2">
        <f t="shared" si="170"/>
        <v>2.6</v>
      </c>
      <c r="S1221" s="2">
        <f>(1/9)*cnst_fish!$C$7*(1/cnst_fish!$C$8)^(R1221-1)</f>
        <v>5.6143318924211183</v>
      </c>
      <c r="T1221" s="682">
        <f t="shared" si="171"/>
        <v>508.94452607403809</v>
      </c>
      <c r="W1221" s="818"/>
      <c r="X1221" s="818"/>
      <c r="Y1221" s="819"/>
      <c r="Z1221" s="820"/>
      <c r="AA1221" s="820"/>
      <c r="AB1221" s="821"/>
      <c r="AC1221" s="821"/>
      <c r="AD1221" s="253"/>
      <c r="AE1221" s="253"/>
    </row>
    <row r="1222" spans="1:31" ht="14.5">
      <c r="A1222" t="s">
        <v>2102</v>
      </c>
      <c r="B1222" t="s">
        <v>5165</v>
      </c>
      <c r="C1222">
        <v>3480</v>
      </c>
      <c r="D1222" s="581"/>
      <c r="E1222" s="581"/>
      <c r="F1222" s="2">
        <f>(1/S1222)*cnst_fish!$C$6</f>
        <v>0.75699122913220485</v>
      </c>
      <c r="G1222" s="2">
        <f t="shared" si="174"/>
        <v>1</v>
      </c>
      <c r="H1222" s="2">
        <f t="shared" si="174"/>
        <v>0.36449057933102513</v>
      </c>
      <c r="I1222" s="2">
        <f t="shared" si="166"/>
        <v>0</v>
      </c>
      <c r="J1222" s="389">
        <f t="shared" si="167"/>
        <v>0</v>
      </c>
      <c r="L1222" s="721">
        <v>255</v>
      </c>
      <c r="M1222" s="581"/>
      <c r="N1222" s="585" t="s">
        <v>3790</v>
      </c>
      <c r="O1222" s="586" t="s">
        <v>4680</v>
      </c>
      <c r="P1222" s="233">
        <f t="shared" si="168"/>
        <v>0</v>
      </c>
      <c r="Q1222" s="233">
        <f t="shared" si="169"/>
        <v>255</v>
      </c>
      <c r="R1222" s="2">
        <f t="shared" si="170"/>
        <v>2.6</v>
      </c>
      <c r="S1222" s="2">
        <f>(1/9)*cnst_fish!$C$7*(1/cnst_fish!$C$8)^(R1222-1)</f>
        <v>5.6143318924211183</v>
      </c>
      <c r="T1222" s="682">
        <f t="shared" si="171"/>
        <v>122.78226504151344</v>
      </c>
      <c r="W1222" s="818"/>
      <c r="X1222" s="818"/>
      <c r="Y1222" s="819"/>
      <c r="Z1222" s="820"/>
      <c r="AA1222" s="820"/>
      <c r="AB1222" s="821"/>
      <c r="AC1222" s="821"/>
      <c r="AD1222" s="253"/>
      <c r="AE1222" s="253"/>
    </row>
    <row r="1223" spans="1:31" ht="14.5">
      <c r="A1223" t="s">
        <v>6509</v>
      </c>
      <c r="B1223" t="s">
        <v>5166</v>
      </c>
      <c r="C1223">
        <v>18779</v>
      </c>
      <c r="D1223" s="581"/>
      <c r="E1223" s="581"/>
      <c r="F1223" s="2">
        <f>(1/S1223)*cnst_fish!$C$6</f>
        <v>0.3314045734418738</v>
      </c>
      <c r="G1223" s="2">
        <f t="shared" si="174"/>
        <v>1</v>
      </c>
      <c r="H1223" s="2">
        <f t="shared" si="174"/>
        <v>0.36449057933102513</v>
      </c>
      <c r="I1223" s="2">
        <f t="shared" ref="I1223:I1286" si="175">IF($F1223=0,0,D1223/$F1223*$H1223*$G1223)</f>
        <v>0</v>
      </c>
      <c r="J1223" s="389">
        <f t="shared" ref="J1223:J1286" si="176">IF($F1223=0,0,E1223/$F1223*$H1223*$G1223)</f>
        <v>0</v>
      </c>
      <c r="L1223" s="721">
        <v>81</v>
      </c>
      <c r="M1223" s="581"/>
      <c r="N1223" s="585" t="s">
        <v>3790</v>
      </c>
      <c r="O1223" s="586" t="s">
        <v>4680</v>
      </c>
      <c r="P1223" s="233">
        <f t="shared" ref="P1223:P1286" si="177">D1223+E1223</f>
        <v>0</v>
      </c>
      <c r="Q1223" s="233">
        <f t="shared" ref="Q1223:Q1286" si="178">L1223+M1223</f>
        <v>81</v>
      </c>
      <c r="R1223" s="2">
        <f t="shared" ref="R1223:R1286" si="179">VLOOKUP(B1223,constant_fish_trophic,3,FALSE)</f>
        <v>2.9587323501170402</v>
      </c>
      <c r="S1223" s="2">
        <f>(1/9)*cnst_fish!$C$7*(1/cnst_fish!$C$8)^(R1223-1)</f>
        <v>12.824204433453367</v>
      </c>
      <c r="T1223" s="682">
        <f t="shared" ref="T1223:T1286" si="180">IF(F1223=0,0,Q1223/F1223*H1223*G1223)</f>
        <v>89.086691288499395</v>
      </c>
      <c r="W1223" s="818"/>
      <c r="X1223" s="818"/>
      <c r="Y1223" s="819"/>
      <c r="Z1223" s="820"/>
      <c r="AA1223" s="820"/>
      <c r="AB1223" s="821"/>
      <c r="AC1223" s="821"/>
      <c r="AD1223" s="253"/>
      <c r="AE1223" s="253"/>
    </row>
    <row r="1224" spans="1:31" ht="14.5">
      <c r="A1224" t="s">
        <v>719</v>
      </c>
      <c r="B1224" t="s">
        <v>2350</v>
      </c>
      <c r="C1224">
        <v>2594</v>
      </c>
      <c r="D1224" s="581"/>
      <c r="E1224" s="581"/>
      <c r="F1224" s="2">
        <f>(1/S1224)*cnst_fish!$C$6</f>
        <v>0.60129950673834842</v>
      </c>
      <c r="G1224" s="2">
        <f t="shared" si="174"/>
        <v>1</v>
      </c>
      <c r="H1224" s="2">
        <f t="shared" si="174"/>
        <v>0.36449057933102513</v>
      </c>
      <c r="I1224" s="2">
        <f t="shared" si="175"/>
        <v>0</v>
      </c>
      <c r="J1224" s="389">
        <f t="shared" si="176"/>
        <v>0</v>
      </c>
      <c r="L1224" s="721">
        <v>1581</v>
      </c>
      <c r="M1224" s="581"/>
      <c r="N1224" s="585" t="s">
        <v>2322</v>
      </c>
      <c r="O1224" s="586" t="s">
        <v>4680</v>
      </c>
      <c r="P1224" s="233">
        <f t="shared" si="177"/>
        <v>0</v>
      </c>
      <c r="Q1224" s="233">
        <f t="shared" si="178"/>
        <v>1581</v>
      </c>
      <c r="R1224" s="2">
        <f t="shared" si="179"/>
        <v>2.7</v>
      </c>
      <c r="S1224" s="2">
        <f>(1/9)*cnst_fish!$C$7*(1/cnst_fish!$C$8)^(R1224-1)</f>
        <v>7.0680250896153813</v>
      </c>
      <c r="T1224" s="682">
        <f t="shared" si="180"/>
        <v>958.35702418612891</v>
      </c>
      <c r="W1224" s="818"/>
      <c r="X1224" s="818"/>
      <c r="Y1224" s="819"/>
      <c r="Z1224" s="820"/>
      <c r="AA1224" s="820"/>
      <c r="AB1224" s="821"/>
      <c r="AC1224" s="821"/>
      <c r="AD1224" s="253"/>
      <c r="AE1224" s="253"/>
    </row>
    <row r="1225" spans="1:31" ht="14.5">
      <c r="A1225" t="s">
        <v>4198</v>
      </c>
      <c r="B1225" t="s">
        <v>8678</v>
      </c>
      <c r="C1225">
        <v>2597</v>
      </c>
      <c r="D1225" s="581"/>
      <c r="E1225" s="581"/>
      <c r="F1225" s="2">
        <f>(1/S1225)*cnst_fish!$C$6</f>
        <v>0.75699122913220485</v>
      </c>
      <c r="G1225" s="2">
        <f t="shared" si="174"/>
        <v>1</v>
      </c>
      <c r="H1225" s="2">
        <f t="shared" si="174"/>
        <v>0.36449057933102513</v>
      </c>
      <c r="I1225" s="2">
        <f t="shared" si="175"/>
        <v>0</v>
      </c>
      <c r="J1225" s="389">
        <f t="shared" si="176"/>
        <v>0</v>
      </c>
      <c r="L1225" s="721"/>
      <c r="M1225" s="581"/>
      <c r="N1225" s="585" t="s">
        <v>2322</v>
      </c>
      <c r="O1225" s="586" t="s">
        <v>4680</v>
      </c>
      <c r="P1225" s="233">
        <f t="shared" si="177"/>
        <v>0</v>
      </c>
      <c r="Q1225" s="233">
        <f t="shared" si="178"/>
        <v>0</v>
      </c>
      <c r="R1225" s="2">
        <f t="shared" si="179"/>
        <v>2.6</v>
      </c>
      <c r="S1225" s="2">
        <f>(1/9)*cnst_fish!$C$7*(1/cnst_fish!$C$8)^(R1225-1)</f>
        <v>5.6143318924211183</v>
      </c>
      <c r="T1225" s="682">
        <f t="shared" si="180"/>
        <v>0</v>
      </c>
      <c r="W1225" s="818"/>
      <c r="X1225" s="818"/>
      <c r="Y1225" s="819"/>
      <c r="Z1225" s="820"/>
      <c r="AA1225" s="820"/>
      <c r="AB1225" s="821"/>
      <c r="AC1225" s="821"/>
      <c r="AD1225" s="253"/>
      <c r="AE1225" s="253"/>
    </row>
    <row r="1226" spans="1:31" ht="14.5">
      <c r="A1226" t="s">
        <v>5537</v>
      </c>
      <c r="B1226" t="s">
        <v>508</v>
      </c>
      <c r="C1226">
        <v>2595</v>
      </c>
      <c r="D1226" s="581"/>
      <c r="E1226" s="581"/>
      <c r="F1226" s="2">
        <f>(1/S1226)*cnst_fish!$C$6</f>
        <v>0.60129950673834842</v>
      </c>
      <c r="G1226" s="2">
        <f t="shared" si="174"/>
        <v>1</v>
      </c>
      <c r="H1226" s="2">
        <f t="shared" si="174"/>
        <v>0.36449057933102513</v>
      </c>
      <c r="I1226" s="2">
        <f t="shared" si="175"/>
        <v>0</v>
      </c>
      <c r="J1226" s="389">
        <f t="shared" si="176"/>
        <v>0</v>
      </c>
      <c r="L1226" s="721">
        <v>1149</v>
      </c>
      <c r="M1226" s="581"/>
      <c r="N1226" s="585" t="s">
        <v>2322</v>
      </c>
      <c r="O1226" s="586" t="s">
        <v>4680</v>
      </c>
      <c r="P1226" s="233">
        <f t="shared" si="177"/>
        <v>0</v>
      </c>
      <c r="Q1226" s="233">
        <f t="shared" si="178"/>
        <v>1149</v>
      </c>
      <c r="R1226" s="2">
        <f t="shared" si="179"/>
        <v>2.7</v>
      </c>
      <c r="S1226" s="2">
        <f>(1/9)*cnst_fish!$C$7*(1/cnst_fish!$C$8)^(R1226-1)</f>
        <v>7.0680250896153813</v>
      </c>
      <c r="T1226" s="682">
        <f t="shared" si="180"/>
        <v>696.49096824153196</v>
      </c>
      <c r="W1226" s="818"/>
      <c r="X1226" s="818"/>
      <c r="Y1226" s="819"/>
      <c r="Z1226" s="820"/>
      <c r="AA1226" s="820"/>
      <c r="AB1226" s="821"/>
      <c r="AC1226" s="821"/>
      <c r="AD1226" s="253"/>
      <c r="AE1226" s="253"/>
    </row>
    <row r="1227" spans="1:31" ht="14.5">
      <c r="A1227" t="s">
        <v>3063</v>
      </c>
      <c r="B1227" t="s">
        <v>1317</v>
      </c>
      <c r="C1227">
        <v>3416</v>
      </c>
      <c r="D1227" s="581"/>
      <c r="E1227" s="581"/>
      <c r="F1227" s="2">
        <f>(1/S1227)*cnst_fish!$C$6</f>
        <v>0.60129950673834842</v>
      </c>
      <c r="G1227" s="2">
        <f t="shared" si="174"/>
        <v>1</v>
      </c>
      <c r="H1227" s="2">
        <f t="shared" si="174"/>
        <v>0.36449057933102513</v>
      </c>
      <c r="I1227" s="2">
        <f t="shared" si="175"/>
        <v>0</v>
      </c>
      <c r="J1227" s="389">
        <f t="shared" si="176"/>
        <v>0</v>
      </c>
      <c r="L1227" s="721">
        <v>1730</v>
      </c>
      <c r="M1227" s="581"/>
      <c r="N1227" s="585" t="s">
        <v>2322</v>
      </c>
      <c r="O1227" s="586" t="s">
        <v>4680</v>
      </c>
      <c r="P1227" s="233">
        <f t="shared" si="177"/>
        <v>0</v>
      </c>
      <c r="Q1227" s="233">
        <f t="shared" si="178"/>
        <v>1730</v>
      </c>
      <c r="R1227" s="2">
        <f t="shared" si="179"/>
        <v>2.7</v>
      </c>
      <c r="S1227" s="2">
        <f>(1/9)*cnst_fish!$C$7*(1/cnst_fish!$C$8)^(R1227-1)</f>
        <v>7.0680250896153813</v>
      </c>
      <c r="T1227" s="682">
        <f t="shared" si="180"/>
        <v>1048.676566629983</v>
      </c>
      <c r="W1227" s="818"/>
      <c r="X1227" s="818"/>
      <c r="Y1227" s="819"/>
      <c r="Z1227" s="820"/>
      <c r="AA1227" s="820"/>
      <c r="AB1227" s="821"/>
      <c r="AC1227" s="821"/>
      <c r="AD1227" s="253"/>
      <c r="AE1227" s="253"/>
    </row>
    <row r="1228" spans="1:31" ht="14.5">
      <c r="A1228" t="s">
        <v>816</v>
      </c>
      <c r="B1228" t="s">
        <v>1318</v>
      </c>
      <c r="C1228">
        <v>3415</v>
      </c>
      <c r="D1228" s="581"/>
      <c r="E1228" s="581"/>
      <c r="F1228" s="2">
        <f>(1/S1228)*cnst_fish!$C$6</f>
        <v>0.75699122913220485</v>
      </c>
      <c r="G1228" s="2">
        <f t="shared" ref="G1228:H1247" si="181">G$7</f>
        <v>1</v>
      </c>
      <c r="H1228" s="2">
        <f t="shared" si="181"/>
        <v>0.36449057933102513</v>
      </c>
      <c r="I1228" s="2">
        <f t="shared" si="175"/>
        <v>0</v>
      </c>
      <c r="J1228" s="389">
        <f t="shared" si="176"/>
        <v>0</v>
      </c>
      <c r="L1228" s="721">
        <v>85008</v>
      </c>
      <c r="M1228" s="581"/>
      <c r="N1228" s="585" t="s">
        <v>2322</v>
      </c>
      <c r="O1228" s="586" t="s">
        <v>4680</v>
      </c>
      <c r="P1228" s="233">
        <f t="shared" si="177"/>
        <v>0</v>
      </c>
      <c r="Q1228" s="233">
        <f t="shared" si="178"/>
        <v>85008</v>
      </c>
      <c r="R1228" s="2">
        <f t="shared" si="179"/>
        <v>2.6</v>
      </c>
      <c r="S1228" s="2">
        <f>(1/9)*cnst_fish!$C$7*(1/cnst_fish!$C$8)^(R1228-1)</f>
        <v>5.6143318924211183</v>
      </c>
      <c r="T1228" s="682">
        <f t="shared" si="180"/>
        <v>40931.273673133233</v>
      </c>
      <c r="W1228" s="818"/>
      <c r="X1228" s="818"/>
      <c r="Y1228" s="819"/>
      <c r="Z1228" s="820"/>
      <c r="AA1228" s="820"/>
      <c r="AB1228" s="821"/>
      <c r="AC1228" s="821"/>
      <c r="AD1228" s="253"/>
      <c r="AE1228" s="253"/>
    </row>
    <row r="1229" spans="1:31" ht="14.5">
      <c r="A1229" t="s">
        <v>442</v>
      </c>
      <c r="B1229" t="s">
        <v>8679</v>
      </c>
      <c r="C1229">
        <v>2593</v>
      </c>
      <c r="D1229" s="581"/>
      <c r="E1229" s="581"/>
      <c r="F1229" s="2">
        <f>(1/S1229)*cnst_fish!$C$6</f>
        <v>0.83002437741509261</v>
      </c>
      <c r="G1229" s="2">
        <f t="shared" si="181"/>
        <v>1</v>
      </c>
      <c r="H1229" s="2">
        <f t="shared" si="181"/>
        <v>0.36449057933102513</v>
      </c>
      <c r="I1229" s="2">
        <f t="shared" si="175"/>
        <v>0</v>
      </c>
      <c r="J1229" s="389">
        <f t="shared" si="176"/>
        <v>0</v>
      </c>
      <c r="L1229" s="721"/>
      <c r="M1229" s="581"/>
      <c r="N1229" s="585" t="s">
        <v>2322</v>
      </c>
      <c r="O1229" s="586" t="s">
        <v>4680</v>
      </c>
      <c r="P1229" s="233">
        <f t="shared" si="177"/>
        <v>0</v>
      </c>
      <c r="Q1229" s="233">
        <f t="shared" si="178"/>
        <v>0</v>
      </c>
      <c r="R1229" s="2">
        <f t="shared" si="179"/>
        <v>2.56</v>
      </c>
      <c r="S1229" s="2">
        <f>(1/9)*cnst_fish!$C$7*(1/cnst_fish!$C$8)^(R1229-1)</f>
        <v>5.1203315416296364</v>
      </c>
      <c r="T1229" s="682">
        <f t="shared" si="180"/>
        <v>0</v>
      </c>
      <c r="W1229" s="818"/>
      <c r="X1229" s="818"/>
      <c r="Y1229" s="819"/>
      <c r="Z1229" s="820"/>
      <c r="AA1229" s="820"/>
      <c r="AB1229" s="821"/>
      <c r="AC1229" s="821"/>
      <c r="AD1229" s="253"/>
      <c r="AE1229" s="253"/>
    </row>
    <row r="1230" spans="1:31" ht="14.5">
      <c r="A1230" t="s">
        <v>6511</v>
      </c>
      <c r="B1230" t="s">
        <v>6510</v>
      </c>
      <c r="C1230">
        <v>13439</v>
      </c>
      <c r="D1230" s="581"/>
      <c r="E1230" s="581"/>
      <c r="F1230" s="2">
        <f>(1/S1230)*cnst_fish!$C$6</f>
        <v>3.0136363636363641</v>
      </c>
      <c r="G1230" s="2">
        <f t="shared" si="181"/>
        <v>1</v>
      </c>
      <c r="H1230" s="2">
        <f t="shared" si="181"/>
        <v>0.36449057933102513</v>
      </c>
      <c r="I1230" s="2">
        <f t="shared" si="175"/>
        <v>0</v>
      </c>
      <c r="J1230" s="389">
        <f t="shared" si="176"/>
        <v>0</v>
      </c>
      <c r="L1230" s="721"/>
      <c r="M1230" s="581"/>
      <c r="N1230" s="585" t="s">
        <v>1738</v>
      </c>
      <c r="O1230" s="586" t="s">
        <v>4685</v>
      </c>
      <c r="P1230" s="233">
        <f t="shared" si="177"/>
        <v>0</v>
      </c>
      <c r="Q1230" s="233">
        <f t="shared" si="178"/>
        <v>0</v>
      </c>
      <c r="R1230" s="2">
        <f t="shared" si="179"/>
        <v>2</v>
      </c>
      <c r="S1230" s="2">
        <f>(1/9)*cnst_fish!$C$7*(1/cnst_fish!$C$8)^(R1230-1)</f>
        <v>1.4102564102564099</v>
      </c>
      <c r="T1230" s="682">
        <f t="shared" si="180"/>
        <v>0</v>
      </c>
      <c r="W1230" s="818"/>
      <c r="X1230" s="818"/>
      <c r="Y1230" s="819"/>
      <c r="Z1230" s="820"/>
      <c r="AA1230" s="820"/>
      <c r="AB1230" s="821"/>
      <c r="AC1230" s="821"/>
      <c r="AD1230" s="253"/>
      <c r="AE1230" s="253"/>
    </row>
    <row r="1231" spans="1:31" ht="14.5">
      <c r="A1231" t="s">
        <v>6514</v>
      </c>
      <c r="B1231" t="s">
        <v>1215</v>
      </c>
      <c r="C1231">
        <v>2556</v>
      </c>
      <c r="D1231" s="581"/>
      <c r="E1231" s="581"/>
      <c r="F1231" s="2">
        <f>(1/S1231)*cnst_fish!$C$6</f>
        <v>0.18581931192461937</v>
      </c>
      <c r="G1231" s="2">
        <f t="shared" si="181"/>
        <v>1</v>
      </c>
      <c r="H1231" s="2">
        <f t="shared" si="181"/>
        <v>0.36449057933102513</v>
      </c>
      <c r="I1231" s="2">
        <f t="shared" si="175"/>
        <v>0</v>
      </c>
      <c r="J1231" s="389">
        <f t="shared" si="176"/>
        <v>0</v>
      </c>
      <c r="L1231" s="721">
        <v>324</v>
      </c>
      <c r="M1231" s="581"/>
      <c r="N1231" s="585" t="s">
        <v>1741</v>
      </c>
      <c r="O1231" s="586" t="s">
        <v>4681</v>
      </c>
      <c r="P1231" s="233">
        <f t="shared" si="177"/>
        <v>0</v>
      </c>
      <c r="Q1231" s="233">
        <f t="shared" si="178"/>
        <v>324</v>
      </c>
      <c r="R1231" s="2">
        <f t="shared" si="179"/>
        <v>3.21</v>
      </c>
      <c r="S1231" s="2">
        <f>(1/9)*cnst_fish!$C$7*(1/cnst_fish!$C$8)^(R1231-1)</f>
        <v>22.87168086019004</v>
      </c>
      <c r="T1231" s="682">
        <f t="shared" si="180"/>
        <v>635.53646001638026</v>
      </c>
      <c r="W1231" s="818"/>
      <c r="X1231" s="818"/>
      <c r="Y1231" s="819"/>
      <c r="Z1231" s="820"/>
      <c r="AA1231" s="820"/>
      <c r="AB1231" s="821"/>
      <c r="AC1231" s="821"/>
      <c r="AD1231" s="253"/>
      <c r="AE1231" s="253"/>
    </row>
    <row r="1232" spans="1:31" ht="14.5">
      <c r="A1232" t="s">
        <v>2847</v>
      </c>
      <c r="B1232" t="s">
        <v>5315</v>
      </c>
      <c r="C1232">
        <v>3624</v>
      </c>
      <c r="D1232" s="581"/>
      <c r="E1232" s="581"/>
      <c r="F1232" s="2">
        <f>(1/S1232)*cnst_fish!$C$6</f>
        <v>0.30136363636363639</v>
      </c>
      <c r="G1232" s="2">
        <f t="shared" si="181"/>
        <v>1</v>
      </c>
      <c r="H1232" s="2">
        <f t="shared" si="181"/>
        <v>0.36449057933102513</v>
      </c>
      <c r="I1232" s="2">
        <f t="shared" si="175"/>
        <v>0</v>
      </c>
      <c r="J1232" s="389">
        <f t="shared" si="176"/>
        <v>0</v>
      </c>
      <c r="L1232" s="721">
        <v>14</v>
      </c>
      <c r="M1232" s="581"/>
      <c r="N1232" s="585" t="s">
        <v>1738</v>
      </c>
      <c r="O1232" s="586"/>
      <c r="P1232" s="233">
        <f t="shared" si="177"/>
        <v>0</v>
      </c>
      <c r="Q1232" s="233">
        <f t="shared" si="178"/>
        <v>14</v>
      </c>
      <c r="R1232" s="2">
        <f t="shared" si="179"/>
        <v>3</v>
      </c>
      <c r="S1232" s="2">
        <f>(1/9)*cnst_fish!$C$7*(1/cnst_fish!$C$8)^(R1232-1)</f>
        <v>14.1025641025641</v>
      </c>
      <c r="T1232" s="682">
        <f t="shared" si="180"/>
        <v>16.932594032270849</v>
      </c>
      <c r="W1232" s="818"/>
      <c r="X1232" s="818"/>
      <c r="Y1232" s="819"/>
      <c r="Z1232" s="820"/>
      <c r="AA1232" s="820"/>
      <c r="AB1232" s="821"/>
      <c r="AC1232" s="821"/>
      <c r="AD1232" s="253"/>
      <c r="AE1232" s="253"/>
    </row>
    <row r="1233" spans="1:31" ht="14.5">
      <c r="A1233" t="s">
        <v>1822</v>
      </c>
      <c r="B1233" t="s">
        <v>3445</v>
      </c>
      <c r="C1233">
        <v>2230</v>
      </c>
      <c r="D1233" s="581"/>
      <c r="E1233" s="581"/>
      <c r="F1233" s="2">
        <f>(1/S1233)*cnst_fish!$C$6</f>
        <v>7.9266712664847111E-2</v>
      </c>
      <c r="G1233" s="2">
        <f t="shared" si="181"/>
        <v>1</v>
      </c>
      <c r="H1233" s="2">
        <f t="shared" si="181"/>
        <v>0.36449057933102513</v>
      </c>
      <c r="I1233" s="2">
        <f t="shared" si="175"/>
        <v>0</v>
      </c>
      <c r="J1233" s="389">
        <f t="shared" si="176"/>
        <v>0</v>
      </c>
      <c r="L1233" s="721"/>
      <c r="M1233" s="581"/>
      <c r="N1233" s="585" t="s">
        <v>5195</v>
      </c>
      <c r="O1233" s="586" t="s">
        <v>4681</v>
      </c>
      <c r="P1233" s="233">
        <f t="shared" si="177"/>
        <v>0</v>
      </c>
      <c r="Q1233" s="233">
        <f t="shared" si="178"/>
        <v>0</v>
      </c>
      <c r="R1233" s="2">
        <f t="shared" si="179"/>
        <v>3.58</v>
      </c>
      <c r="S1233" s="2">
        <f>(1/9)*cnst_fish!$C$7*(1/cnst_fish!$C$8)^(R1233-1)</f>
        <v>53.616453327258682</v>
      </c>
      <c r="T1233" s="682">
        <f t="shared" si="180"/>
        <v>0</v>
      </c>
      <c r="W1233" s="818"/>
      <c r="X1233" s="818"/>
      <c r="Y1233" s="819"/>
      <c r="Z1233" s="820"/>
      <c r="AA1233" s="820"/>
      <c r="AB1233" s="821"/>
      <c r="AC1233" s="821"/>
      <c r="AD1233" s="253"/>
      <c r="AE1233" s="253"/>
    </row>
    <row r="1234" spans="1:31" ht="14.5">
      <c r="A1234" t="s">
        <v>4416</v>
      </c>
      <c r="B1234" t="s">
        <v>3446</v>
      </c>
      <c r="C1234">
        <v>3015</v>
      </c>
      <c r="D1234" s="581"/>
      <c r="E1234" s="581">
        <v>0</v>
      </c>
      <c r="F1234" s="2">
        <f>(1/S1234)*cnst_fish!$C$6</f>
        <v>0.16561163607618423</v>
      </c>
      <c r="G1234" s="2">
        <f t="shared" si="181"/>
        <v>1</v>
      </c>
      <c r="H1234" s="2">
        <f t="shared" si="181"/>
        <v>0.36449057933102513</v>
      </c>
      <c r="I1234" s="2">
        <f t="shared" si="175"/>
        <v>0</v>
      </c>
      <c r="J1234" s="389">
        <f t="shared" si="176"/>
        <v>0</v>
      </c>
      <c r="L1234" s="721"/>
      <c r="M1234" s="581">
        <v>0</v>
      </c>
      <c r="N1234" s="585" t="s">
        <v>5195</v>
      </c>
      <c r="O1234" s="586" t="s">
        <v>4681</v>
      </c>
      <c r="P1234" s="233">
        <f t="shared" si="177"/>
        <v>0</v>
      </c>
      <c r="Q1234" s="233">
        <f t="shared" si="178"/>
        <v>0</v>
      </c>
      <c r="R1234" s="2">
        <f t="shared" si="179"/>
        <v>3.26</v>
      </c>
      <c r="S1234" s="2">
        <f>(1/9)*cnst_fish!$C$7*(1/cnst_fish!$C$8)^(R1234-1)</f>
        <v>25.662448006038215</v>
      </c>
      <c r="T1234" s="682">
        <f t="shared" si="180"/>
        <v>0</v>
      </c>
      <c r="W1234" s="818"/>
      <c r="X1234" s="818"/>
      <c r="Y1234" s="819"/>
      <c r="Z1234" s="820"/>
      <c r="AA1234" s="820"/>
      <c r="AB1234" s="821"/>
      <c r="AC1234" s="821"/>
      <c r="AD1234" s="253"/>
      <c r="AE1234" s="253"/>
    </row>
    <row r="1235" spans="1:31" ht="14.5">
      <c r="A1235" t="s">
        <v>3721</v>
      </c>
      <c r="B1235" t="s">
        <v>3447</v>
      </c>
      <c r="C1235">
        <v>2236</v>
      </c>
      <c r="D1235" s="581"/>
      <c r="E1235" s="581"/>
      <c r="F1235" s="2">
        <f>(1/S1235)*cnst_fish!$C$6</f>
        <v>4.8875458843134996E-2</v>
      </c>
      <c r="G1235" s="2">
        <f t="shared" si="181"/>
        <v>1</v>
      </c>
      <c r="H1235" s="2">
        <f t="shared" si="181"/>
        <v>0.36449057933102513</v>
      </c>
      <c r="I1235" s="2">
        <f t="shared" si="175"/>
        <v>0</v>
      </c>
      <c r="J1235" s="389">
        <f t="shared" si="176"/>
        <v>0</v>
      </c>
      <c r="L1235" s="721">
        <v>34240.699999999997</v>
      </c>
      <c r="M1235" s="581"/>
      <c r="N1235" s="585" t="s">
        <v>1738</v>
      </c>
      <c r="O1235" s="586" t="s">
        <v>4681</v>
      </c>
      <c r="P1235" s="233">
        <f t="shared" si="177"/>
        <v>0</v>
      </c>
      <c r="Q1235" s="233">
        <f t="shared" si="178"/>
        <v>34240.699999999997</v>
      </c>
      <c r="R1235" s="2">
        <f t="shared" si="179"/>
        <v>3.79</v>
      </c>
      <c r="S1235" s="2">
        <f>(1/9)*cnst_fish!$C$7*(1/cnst_fish!$C$8)^(R1235-1)</f>
        <v>86.955705390721903</v>
      </c>
      <c r="T1235" s="682">
        <f t="shared" si="180"/>
        <v>255351.31280824426</v>
      </c>
      <c r="W1235" s="818"/>
      <c r="X1235" s="818"/>
      <c r="Y1235" s="819"/>
      <c r="Z1235" s="820"/>
      <c r="AA1235" s="820"/>
      <c r="AB1235" s="821"/>
      <c r="AC1235" s="821"/>
      <c r="AD1235" s="253"/>
      <c r="AE1235" s="253"/>
    </row>
    <row r="1236" spans="1:31" ht="14.5">
      <c r="A1236" t="s">
        <v>943</v>
      </c>
      <c r="B1236" t="s">
        <v>3448</v>
      </c>
      <c r="C1236">
        <v>3021</v>
      </c>
      <c r="D1236" s="581"/>
      <c r="E1236" s="581"/>
      <c r="F1236" s="2">
        <f>(1/S1236)*cnst_fish!$C$6</f>
        <v>2.945037624971374E-2</v>
      </c>
      <c r="G1236" s="2">
        <f t="shared" si="181"/>
        <v>1</v>
      </c>
      <c r="H1236" s="2">
        <f t="shared" si="181"/>
        <v>0.36449057933102513</v>
      </c>
      <c r="I1236" s="2">
        <f t="shared" si="175"/>
        <v>0</v>
      </c>
      <c r="J1236" s="389">
        <f t="shared" si="176"/>
        <v>0</v>
      </c>
      <c r="L1236" s="721">
        <v>1711552</v>
      </c>
      <c r="M1236" s="581"/>
      <c r="N1236" s="585" t="s">
        <v>1738</v>
      </c>
      <c r="O1236" s="586" t="s">
        <v>4681</v>
      </c>
      <c r="P1236" s="233">
        <f t="shared" si="177"/>
        <v>0</v>
      </c>
      <c r="Q1236" s="233">
        <f t="shared" si="178"/>
        <v>1711552</v>
      </c>
      <c r="R1236" s="2">
        <f t="shared" si="179"/>
        <v>4.01</v>
      </c>
      <c r="S1236" s="2">
        <f>(1/9)*cnst_fish!$C$7*(1/cnst_fish!$C$8)^(R1236-1)</f>
        <v>144.31055019343972</v>
      </c>
      <c r="T1236" s="682">
        <f t="shared" si="180"/>
        <v>21182906.960016806</v>
      </c>
      <c r="W1236" s="818"/>
      <c r="X1236" s="818"/>
      <c r="Y1236" s="819"/>
      <c r="Z1236" s="820"/>
      <c r="AA1236" s="820"/>
      <c r="AB1236" s="821"/>
      <c r="AC1236" s="821"/>
      <c r="AD1236" s="253"/>
      <c r="AE1236" s="253"/>
    </row>
    <row r="1237" spans="1:31" ht="14.5">
      <c r="A1237" t="s">
        <v>2955</v>
      </c>
      <c r="B1237" t="s">
        <v>66</v>
      </c>
      <c r="C1237">
        <v>2351</v>
      </c>
      <c r="D1237" s="581"/>
      <c r="E1237" s="581"/>
      <c r="F1237" s="2">
        <f>(1/S1237)*cnst_fish!$C$6</f>
        <v>0.16561163607618423</v>
      </c>
      <c r="G1237" s="2">
        <f t="shared" si="181"/>
        <v>1</v>
      </c>
      <c r="H1237" s="2">
        <f t="shared" si="181"/>
        <v>0.36449057933102513</v>
      </c>
      <c r="I1237" s="2">
        <f t="shared" si="175"/>
        <v>0</v>
      </c>
      <c r="J1237" s="389">
        <f t="shared" si="176"/>
        <v>0</v>
      </c>
      <c r="L1237" s="721">
        <v>88243</v>
      </c>
      <c r="M1237" s="581"/>
      <c r="N1237" s="585" t="s">
        <v>1738</v>
      </c>
      <c r="O1237" s="586" t="s">
        <v>4681</v>
      </c>
      <c r="P1237" s="233">
        <f t="shared" si="177"/>
        <v>0</v>
      </c>
      <c r="Q1237" s="233">
        <f t="shared" si="178"/>
        <v>88243</v>
      </c>
      <c r="R1237" s="2">
        <f t="shared" si="179"/>
        <v>3.26</v>
      </c>
      <c r="S1237" s="2">
        <f>(1/9)*cnst_fish!$C$7*(1/cnst_fish!$C$8)^(R1237-1)</f>
        <v>25.662448006038215</v>
      </c>
      <c r="T1237" s="682">
        <f t="shared" si="180"/>
        <v>194211.84980692886</v>
      </c>
      <c r="W1237" s="818"/>
      <c r="X1237" s="818"/>
      <c r="Y1237" s="819"/>
      <c r="Z1237" s="820"/>
      <c r="AA1237" s="820"/>
      <c r="AB1237" s="821"/>
      <c r="AC1237" s="821"/>
      <c r="AD1237" s="253"/>
      <c r="AE1237" s="253"/>
    </row>
    <row r="1238" spans="1:31" ht="14.5">
      <c r="A1238" t="s">
        <v>3823</v>
      </c>
      <c r="B1238" t="s">
        <v>973</v>
      </c>
      <c r="C1238">
        <v>2350</v>
      </c>
      <c r="D1238" s="581"/>
      <c r="E1238" s="581"/>
      <c r="F1238" s="2">
        <f>(1/S1238)*cnst_fish!$C$6</f>
        <v>0.11724405960509449</v>
      </c>
      <c r="G1238" s="2">
        <f t="shared" si="181"/>
        <v>1</v>
      </c>
      <c r="H1238" s="2">
        <f t="shared" si="181"/>
        <v>0.36449057933102513</v>
      </c>
      <c r="I1238" s="2">
        <f t="shared" si="175"/>
        <v>0</v>
      </c>
      <c r="J1238" s="389">
        <f t="shared" si="176"/>
        <v>0</v>
      </c>
      <c r="L1238" s="721">
        <v>153</v>
      </c>
      <c r="M1238" s="581"/>
      <c r="N1238" s="585" t="s">
        <v>1738</v>
      </c>
      <c r="O1238" s="586" t="s">
        <v>4681</v>
      </c>
      <c r="P1238" s="233">
        <f t="shared" si="177"/>
        <v>0</v>
      </c>
      <c r="Q1238" s="233">
        <f t="shared" si="178"/>
        <v>153</v>
      </c>
      <c r="R1238" s="2">
        <f t="shared" si="179"/>
        <v>3.41</v>
      </c>
      <c r="S1238" s="2">
        <f>(1/9)*cnst_fish!$C$7*(1/cnst_fish!$C$8)^(R1238-1)</f>
        <v>36.24917129545836</v>
      </c>
      <c r="T1238" s="682">
        <f t="shared" si="180"/>
        <v>475.64933204704261</v>
      </c>
      <c r="W1238" s="818"/>
      <c r="X1238" s="818"/>
      <c r="Y1238" s="819"/>
      <c r="Z1238" s="820"/>
      <c r="AA1238" s="820"/>
      <c r="AB1238" s="821"/>
      <c r="AC1238" s="821"/>
      <c r="AD1238" s="253"/>
      <c r="AE1238" s="253"/>
    </row>
    <row r="1239" spans="1:31" ht="14.5">
      <c r="A1239" t="s">
        <v>2399</v>
      </c>
      <c r="B1239" t="s">
        <v>974</v>
      </c>
      <c r="C1239">
        <v>2352</v>
      </c>
      <c r="D1239" s="581"/>
      <c r="E1239" s="581"/>
      <c r="F1239" s="2">
        <f>(1/S1239)*cnst_fish!$C$6</f>
        <v>0.14760152601876345</v>
      </c>
      <c r="G1239" s="2">
        <f t="shared" si="181"/>
        <v>1</v>
      </c>
      <c r="H1239" s="2">
        <f t="shared" si="181"/>
        <v>0.36449057933102513</v>
      </c>
      <c r="I1239" s="2">
        <f t="shared" si="175"/>
        <v>0</v>
      </c>
      <c r="J1239" s="389">
        <f t="shared" si="176"/>
        <v>0</v>
      </c>
      <c r="L1239" s="721">
        <v>1970</v>
      </c>
      <c r="M1239" s="581"/>
      <c r="N1239" s="585" t="s">
        <v>1738</v>
      </c>
      <c r="O1239" s="586" t="s">
        <v>4681</v>
      </c>
      <c r="P1239" s="233">
        <f t="shared" si="177"/>
        <v>0</v>
      </c>
      <c r="Q1239" s="233">
        <f t="shared" si="178"/>
        <v>1970</v>
      </c>
      <c r="R1239" s="2">
        <f t="shared" si="179"/>
        <v>3.31</v>
      </c>
      <c r="S1239" s="2">
        <f>(1/9)*cnst_fish!$C$7*(1/cnst_fish!$C$8)^(R1239-1)</f>
        <v>28.793740245339542</v>
      </c>
      <c r="T1239" s="682">
        <f t="shared" si="180"/>
        <v>4864.7629916159522</v>
      </c>
      <c r="W1239" s="818"/>
      <c r="X1239" s="818"/>
      <c r="Y1239" s="819"/>
      <c r="Z1239" s="820"/>
      <c r="AA1239" s="820"/>
      <c r="AB1239" s="821"/>
      <c r="AC1239" s="821"/>
      <c r="AD1239" s="253"/>
      <c r="AE1239" s="253"/>
    </row>
    <row r="1240" spans="1:31" ht="14.5">
      <c r="A1240" t="s">
        <v>2518</v>
      </c>
      <c r="B1240" t="s">
        <v>315</v>
      </c>
      <c r="C1240">
        <v>3089</v>
      </c>
      <c r="D1240" s="581"/>
      <c r="E1240" s="581"/>
      <c r="F1240" s="2">
        <f>(1/S1240)*cnst_fish!$C$6</f>
        <v>4.3560298545661361E-2</v>
      </c>
      <c r="G1240" s="2">
        <f t="shared" si="181"/>
        <v>1</v>
      </c>
      <c r="H1240" s="2">
        <f t="shared" si="181"/>
        <v>0.36449057933102513</v>
      </c>
      <c r="I1240" s="2">
        <f t="shared" si="175"/>
        <v>0</v>
      </c>
      <c r="J1240" s="389">
        <f t="shared" si="176"/>
        <v>0</v>
      </c>
      <c r="L1240" s="721"/>
      <c r="M1240" s="581">
        <v>1494</v>
      </c>
      <c r="N1240" s="585" t="s">
        <v>2319</v>
      </c>
      <c r="O1240" s="586" t="s">
        <v>4685</v>
      </c>
      <c r="P1240" s="233">
        <f t="shared" si="177"/>
        <v>0</v>
      </c>
      <c r="Q1240" s="233">
        <f t="shared" si="178"/>
        <v>1494</v>
      </c>
      <c r="R1240" s="2">
        <f t="shared" si="179"/>
        <v>3.84</v>
      </c>
      <c r="S1240" s="2">
        <f>(1/9)*cnst_fish!$C$7*(1/cnst_fish!$C$8)^(R1240-1)</f>
        <v>97.565906155234643</v>
      </c>
      <c r="T1240" s="682">
        <f t="shared" si="180"/>
        <v>12501.037497475761</v>
      </c>
      <c r="W1240" s="818"/>
      <c r="X1240" s="818"/>
      <c r="Y1240" s="819"/>
      <c r="Z1240" s="820"/>
      <c r="AA1240" s="820"/>
      <c r="AB1240" s="821"/>
      <c r="AC1240" s="821"/>
      <c r="AD1240" s="253"/>
      <c r="AE1240" s="253"/>
    </row>
    <row r="1241" spans="1:31" ht="14.5">
      <c r="A1241" t="s">
        <v>193</v>
      </c>
      <c r="B1241" t="s">
        <v>1216</v>
      </c>
      <c r="C1241">
        <v>3363</v>
      </c>
      <c r="D1241" s="581"/>
      <c r="E1241" s="581"/>
      <c r="F1241" s="2">
        <f>(1/S1241)*cnst_fish!$C$6</f>
        <v>0.16946922663690964</v>
      </c>
      <c r="G1241" s="2">
        <f t="shared" si="181"/>
        <v>1</v>
      </c>
      <c r="H1241" s="2">
        <f t="shared" si="181"/>
        <v>0.36449057933102513</v>
      </c>
      <c r="I1241" s="2">
        <f t="shared" si="175"/>
        <v>0</v>
      </c>
      <c r="J1241" s="389">
        <f t="shared" si="176"/>
        <v>0</v>
      </c>
      <c r="L1241" s="721">
        <v>7278</v>
      </c>
      <c r="M1241" s="581"/>
      <c r="N1241" s="585" t="s">
        <v>1741</v>
      </c>
      <c r="O1241" s="586" t="s">
        <v>4681</v>
      </c>
      <c r="P1241" s="233">
        <f t="shared" si="177"/>
        <v>0</v>
      </c>
      <c r="Q1241" s="233">
        <f t="shared" si="178"/>
        <v>7278</v>
      </c>
      <c r="R1241" s="2">
        <f t="shared" si="179"/>
        <v>3.25</v>
      </c>
      <c r="S1241" s="2">
        <f>(1/9)*cnst_fish!$C$7*(1/cnst_fish!$C$8)^(R1241-1)</f>
        <v>25.078299372343796</v>
      </c>
      <c r="T1241" s="682">
        <f t="shared" si="180"/>
        <v>15653.357774829436</v>
      </c>
      <c r="W1241" s="818"/>
      <c r="X1241" s="818"/>
      <c r="Y1241" s="819"/>
      <c r="Z1241" s="820"/>
      <c r="AA1241" s="820"/>
      <c r="AB1241" s="821"/>
      <c r="AC1241" s="821"/>
      <c r="AD1241" s="253"/>
      <c r="AE1241" s="253"/>
    </row>
    <row r="1242" spans="1:31" ht="14.5">
      <c r="A1242" t="s">
        <v>62</v>
      </c>
      <c r="B1242" t="s">
        <v>2911</v>
      </c>
      <c r="C1242">
        <v>2549</v>
      </c>
      <c r="D1242" s="581"/>
      <c r="E1242" s="581"/>
      <c r="F1242" s="2">
        <f>(1/S1242)*cnst_fish!$C$6</f>
        <v>0.16184185499703521</v>
      </c>
      <c r="G1242" s="2">
        <f t="shared" si="181"/>
        <v>1</v>
      </c>
      <c r="H1242" s="2">
        <f t="shared" si="181"/>
        <v>0.36449057933102513</v>
      </c>
      <c r="I1242" s="2">
        <f t="shared" si="175"/>
        <v>0</v>
      </c>
      <c r="J1242" s="389">
        <f t="shared" si="176"/>
        <v>0</v>
      </c>
      <c r="L1242" s="721">
        <v>6199</v>
      </c>
      <c r="M1242" s="581"/>
      <c r="N1242" s="585" t="s">
        <v>1741</v>
      </c>
      <c r="O1242" s="586" t="s">
        <v>4681</v>
      </c>
      <c r="P1242" s="233">
        <f t="shared" si="177"/>
        <v>0</v>
      </c>
      <c r="Q1242" s="233">
        <f t="shared" si="178"/>
        <v>6199</v>
      </c>
      <c r="R1242" s="2">
        <f t="shared" si="179"/>
        <v>3.27</v>
      </c>
      <c r="S1242" s="2">
        <f>(1/9)*cnst_fish!$C$7*(1/cnst_fish!$C$8)^(R1242-1)</f>
        <v>26.260203209348141</v>
      </c>
      <c r="T1242" s="682">
        <f t="shared" si="180"/>
        <v>13961.018312070239</v>
      </c>
      <c r="W1242" s="818"/>
      <c r="X1242" s="818"/>
      <c r="Y1242" s="819"/>
      <c r="Z1242" s="820"/>
      <c r="AA1242" s="820"/>
      <c r="AB1242" s="821"/>
      <c r="AC1242" s="821"/>
      <c r="AD1242" s="253"/>
      <c r="AE1242" s="253"/>
    </row>
    <row r="1243" spans="1:31" ht="14.5">
      <c r="A1243" t="s">
        <v>503</v>
      </c>
      <c r="B1243" t="s">
        <v>975</v>
      </c>
      <c r="C1243">
        <v>13477</v>
      </c>
      <c r="D1243" s="581"/>
      <c r="E1243" s="581"/>
      <c r="F1243" s="2">
        <f>(1/S1243)*cnst_fish!$C$6</f>
        <v>9.5299549485983348E-2</v>
      </c>
      <c r="G1243" s="2">
        <f t="shared" si="181"/>
        <v>1</v>
      </c>
      <c r="H1243" s="2">
        <f t="shared" si="181"/>
        <v>0.36449057933102513</v>
      </c>
      <c r="I1243" s="2">
        <f t="shared" si="175"/>
        <v>0</v>
      </c>
      <c r="J1243" s="389">
        <f t="shared" si="176"/>
        <v>0</v>
      </c>
      <c r="L1243" s="721">
        <v>61014</v>
      </c>
      <c r="M1243" s="581"/>
      <c r="N1243" s="585" t="s">
        <v>1738</v>
      </c>
      <c r="O1243" s="586" t="s">
        <v>4681</v>
      </c>
      <c r="P1243" s="233">
        <f t="shared" si="177"/>
        <v>0</v>
      </c>
      <c r="Q1243" s="233">
        <f t="shared" si="178"/>
        <v>61014</v>
      </c>
      <c r="R1243" s="2">
        <f t="shared" si="179"/>
        <v>3.5</v>
      </c>
      <c r="S1243" s="2">
        <f>(1/9)*cnst_fish!$C$7*(1/cnst_fish!$C$8)^(R1243-1)</f>
        <v>44.596223412631026</v>
      </c>
      <c r="T1243" s="682">
        <f t="shared" si="180"/>
        <v>233359.21656769305</v>
      </c>
      <c r="W1243" s="818"/>
      <c r="X1243" s="818"/>
      <c r="Y1243" s="819"/>
      <c r="Z1243" s="820"/>
      <c r="AA1243" s="820"/>
      <c r="AB1243" s="821"/>
      <c r="AC1243" s="821"/>
      <c r="AD1243" s="253"/>
      <c r="AE1243" s="253"/>
    </row>
    <row r="1244" spans="1:31" ht="14.5">
      <c r="A1244" t="s">
        <v>4238</v>
      </c>
      <c r="B1244" t="s">
        <v>6578</v>
      </c>
      <c r="C1244">
        <v>2179</v>
      </c>
      <c r="D1244" s="581"/>
      <c r="E1244" s="581"/>
      <c r="F1244" s="2">
        <f>(1/S1244)*cnst_fish!$C$6</f>
        <v>3.0136363636363641</v>
      </c>
      <c r="G1244" s="2">
        <f t="shared" si="181"/>
        <v>1</v>
      </c>
      <c r="H1244" s="2">
        <f t="shared" si="181"/>
        <v>0.36449057933102513</v>
      </c>
      <c r="I1244" s="2">
        <f t="shared" si="175"/>
        <v>0</v>
      </c>
      <c r="J1244" s="389">
        <f t="shared" si="176"/>
        <v>0</v>
      </c>
      <c r="L1244" s="721"/>
      <c r="M1244" s="581"/>
      <c r="N1244" s="585" t="s">
        <v>1738</v>
      </c>
      <c r="O1244" s="586" t="s">
        <v>4685</v>
      </c>
      <c r="P1244" s="233">
        <f t="shared" si="177"/>
        <v>0</v>
      </c>
      <c r="Q1244" s="233">
        <f t="shared" si="178"/>
        <v>0</v>
      </c>
      <c r="R1244" s="2">
        <f t="shared" si="179"/>
        <v>2</v>
      </c>
      <c r="S1244" s="2">
        <f>(1/9)*cnst_fish!$C$7*(1/cnst_fish!$C$8)^(R1244-1)</f>
        <v>1.4102564102564099</v>
      </c>
      <c r="T1244" s="682">
        <f t="shared" si="180"/>
        <v>0</v>
      </c>
      <c r="W1244" s="818"/>
      <c r="X1244" s="818"/>
      <c r="Y1244" s="819"/>
      <c r="Z1244" s="820"/>
      <c r="AA1244" s="820"/>
      <c r="AB1244" s="821"/>
      <c r="AC1244" s="821"/>
      <c r="AD1244" s="253"/>
      <c r="AE1244" s="253"/>
    </row>
    <row r="1245" spans="1:31" ht="14.5">
      <c r="A1245" t="s">
        <v>2404</v>
      </c>
      <c r="B1245" t="s">
        <v>2405</v>
      </c>
      <c r="C1245">
        <v>19042</v>
      </c>
      <c r="D1245" s="581"/>
      <c r="E1245" s="581"/>
      <c r="F1245" s="2">
        <f>(1/S1245)*cnst_fish!$C$6</f>
        <v>0.11997502458044032</v>
      </c>
      <c r="G1245" s="2">
        <f t="shared" si="181"/>
        <v>1</v>
      </c>
      <c r="H1245" s="2">
        <f t="shared" si="181"/>
        <v>0.36449057933102513</v>
      </c>
      <c r="I1245" s="2">
        <f t="shared" si="175"/>
        <v>0</v>
      </c>
      <c r="J1245" s="389">
        <f t="shared" si="176"/>
        <v>0</v>
      </c>
      <c r="L1245" s="721"/>
      <c r="M1245" s="581">
        <v>0</v>
      </c>
      <c r="N1245" s="585" t="s">
        <v>1738</v>
      </c>
      <c r="O1245" s="586" t="s">
        <v>4685</v>
      </c>
      <c r="P1245" s="233">
        <f t="shared" si="177"/>
        <v>0</v>
      </c>
      <c r="Q1245" s="233">
        <f t="shared" si="178"/>
        <v>0</v>
      </c>
      <c r="R1245" s="2">
        <f t="shared" si="179"/>
        <v>3.4</v>
      </c>
      <c r="S1245" s="2">
        <f>(1/9)*cnst_fish!$C$7*(1/cnst_fish!$C$8)^(R1245-1)</f>
        <v>35.424039418724846</v>
      </c>
      <c r="T1245" s="682">
        <f t="shared" si="180"/>
        <v>0</v>
      </c>
      <c r="W1245" s="822"/>
      <c r="X1245" s="822"/>
      <c r="Y1245" s="819"/>
      <c r="Z1245" s="820"/>
      <c r="AA1245" s="820"/>
      <c r="AB1245" s="821"/>
      <c r="AC1245" s="821"/>
      <c r="AD1245" s="253"/>
      <c r="AE1245" s="253"/>
    </row>
    <row r="1246" spans="1:31" ht="14.5">
      <c r="A1246" t="s">
        <v>3327</v>
      </c>
      <c r="B1246" t="s">
        <v>2335</v>
      </c>
      <c r="C1246">
        <v>16194</v>
      </c>
      <c r="D1246" s="581"/>
      <c r="E1246" s="581"/>
      <c r="F1246" s="2">
        <f>(1/S1246)*cnst_fish!$C$6</f>
        <v>0.95032600050805482</v>
      </c>
      <c r="G1246" s="2">
        <f t="shared" si="181"/>
        <v>1</v>
      </c>
      <c r="H1246" s="2">
        <f t="shared" si="181"/>
        <v>0.36449057933102513</v>
      </c>
      <c r="I1246" s="2">
        <f t="shared" si="175"/>
        <v>0</v>
      </c>
      <c r="J1246" s="389">
        <f t="shared" si="176"/>
        <v>0</v>
      </c>
      <c r="L1246" s="721">
        <v>4</v>
      </c>
      <c r="M1246" s="581"/>
      <c r="N1246" s="585" t="s">
        <v>2311</v>
      </c>
      <c r="O1246" s="586" t="s">
        <v>4680</v>
      </c>
      <c r="P1246" s="233">
        <f t="shared" si="177"/>
        <v>0</v>
      </c>
      <c r="Q1246" s="233">
        <f t="shared" si="178"/>
        <v>4</v>
      </c>
      <c r="R1246" s="2">
        <f t="shared" si="179"/>
        <v>2.501218236046268</v>
      </c>
      <c r="S1246" s="2">
        <f>(1/9)*cnst_fish!$C$7*(1/cnst_fish!$C$8)^(R1246-1)</f>
        <v>4.4721495547084924</v>
      </c>
      <c r="T1246" s="682">
        <f t="shared" si="180"/>
        <v>1.5341707125182915</v>
      </c>
      <c r="W1246" s="818"/>
      <c r="X1246" s="818"/>
      <c r="Y1246" s="819"/>
      <c r="Z1246" s="820"/>
      <c r="AA1246" s="820"/>
      <c r="AB1246" s="821"/>
      <c r="AC1246" s="821"/>
      <c r="AD1246" s="253"/>
      <c r="AE1246" s="253"/>
    </row>
    <row r="1247" spans="1:31" ht="14.5">
      <c r="A1247" t="s">
        <v>9028</v>
      </c>
      <c r="B1247" t="s">
        <v>9029</v>
      </c>
      <c r="C1247">
        <v>13502</v>
      </c>
      <c r="D1247" s="581"/>
      <c r="E1247" s="581"/>
      <c r="F1247" s="869">
        <f>(1/S1247)*cnst_fish!$C$6</f>
        <v>0.11997502458044032</v>
      </c>
      <c r="G1247" s="869">
        <f t="shared" si="181"/>
        <v>1</v>
      </c>
      <c r="H1247" s="869">
        <f t="shared" si="181"/>
        <v>0.36449057933102513</v>
      </c>
      <c r="I1247" s="869">
        <f t="shared" si="175"/>
        <v>0</v>
      </c>
      <c r="J1247" s="389">
        <f t="shared" si="176"/>
        <v>0</v>
      </c>
      <c r="L1247" s="721">
        <v>642</v>
      </c>
      <c r="M1247" s="581"/>
      <c r="N1247" s="877" t="s">
        <v>1738</v>
      </c>
      <c r="O1247" s="881" t="s">
        <v>4681</v>
      </c>
      <c r="P1247" s="871">
        <f t="shared" si="177"/>
        <v>0</v>
      </c>
      <c r="Q1247" s="871">
        <f t="shared" si="178"/>
        <v>642</v>
      </c>
      <c r="R1247" s="869">
        <f t="shared" si="179"/>
        <v>3.4</v>
      </c>
      <c r="S1247" s="869">
        <f>(1/9)*cnst_fish!$C$7*(1/cnst_fish!$C$8)^(R1247-1)</f>
        <v>35.424039418724846</v>
      </c>
      <c r="T1247" s="682">
        <f t="shared" si="180"/>
        <v>1950.4305395963881</v>
      </c>
      <c r="W1247" s="818"/>
      <c r="X1247" s="818"/>
      <c r="Y1247" s="819"/>
      <c r="Z1247" s="820"/>
      <c r="AA1247" s="820"/>
      <c r="AB1247" s="821"/>
      <c r="AC1247" s="821"/>
      <c r="AD1247" s="253"/>
      <c r="AE1247" s="253"/>
    </row>
    <row r="1248" spans="1:31" ht="14.5">
      <c r="A1248" t="s">
        <v>398</v>
      </c>
      <c r="B1248" t="s">
        <v>1491</v>
      </c>
      <c r="C1248">
        <v>13504</v>
      </c>
      <c r="D1248" s="581"/>
      <c r="E1248" s="581"/>
      <c r="F1248" s="2">
        <f>(1/S1248)*cnst_fish!$C$6</f>
        <v>5.8761225892708345E-2</v>
      </c>
      <c r="G1248" s="2">
        <f t="shared" ref="G1248:H1267" si="182">G$7</f>
        <v>1</v>
      </c>
      <c r="H1248" s="2">
        <f t="shared" si="182"/>
        <v>0.36449057933102513</v>
      </c>
      <c r="I1248" s="2">
        <f t="shared" si="175"/>
        <v>0</v>
      </c>
      <c r="J1248" s="389">
        <f t="shared" si="176"/>
        <v>0</v>
      </c>
      <c r="L1248" s="721">
        <v>0</v>
      </c>
      <c r="M1248" s="581"/>
      <c r="N1248" s="585" t="s">
        <v>1738</v>
      </c>
      <c r="O1248" s="586" t="s">
        <v>4681</v>
      </c>
      <c r="P1248" s="233">
        <f t="shared" si="177"/>
        <v>0</v>
      </c>
      <c r="Q1248" s="233">
        <f t="shared" si="178"/>
        <v>0</v>
      </c>
      <c r="R1248" s="2">
        <f t="shared" si="179"/>
        <v>3.71</v>
      </c>
      <c r="S1248" s="2">
        <f>(1/9)*cnst_fish!$C$7*(1/cnst_fish!$C$8)^(R1248-1)</f>
        <v>72.326605434679692</v>
      </c>
      <c r="T1248" s="682">
        <f t="shared" si="180"/>
        <v>0</v>
      </c>
      <c r="W1248" s="818"/>
      <c r="X1248" s="818"/>
      <c r="Y1248" s="819"/>
      <c r="Z1248" s="820"/>
      <c r="AA1248" s="820"/>
      <c r="AB1248" s="821"/>
      <c r="AC1248" s="821"/>
      <c r="AD1248" s="253"/>
      <c r="AE1248" s="253"/>
    </row>
    <row r="1249" spans="1:31" ht="14.5">
      <c r="A1249" t="s">
        <v>9086</v>
      </c>
      <c r="B1249" t="s">
        <v>9087</v>
      </c>
      <c r="C1249">
        <v>18767</v>
      </c>
      <c r="D1249" s="581"/>
      <c r="E1249" s="581"/>
      <c r="F1249" s="869">
        <f>(1/S1249)*cnst_fish!$C$6</f>
        <v>5.8761225892708345E-2</v>
      </c>
      <c r="G1249" s="869">
        <f t="shared" si="182"/>
        <v>1</v>
      </c>
      <c r="H1249" s="869">
        <f t="shared" si="182"/>
        <v>0.36449057933102513</v>
      </c>
      <c r="I1249" s="869">
        <f t="shared" si="175"/>
        <v>0</v>
      </c>
      <c r="J1249" s="389">
        <f t="shared" si="176"/>
        <v>0</v>
      </c>
      <c r="L1249" s="721">
        <v>49</v>
      </c>
      <c r="M1249" s="581"/>
      <c r="N1249" s="877" t="s">
        <v>1738</v>
      </c>
      <c r="O1249" s="882" t="s">
        <v>4681</v>
      </c>
      <c r="P1249" s="871">
        <f t="shared" si="177"/>
        <v>0</v>
      </c>
      <c r="Q1249" s="871">
        <f t="shared" si="178"/>
        <v>49</v>
      </c>
      <c r="R1249" s="869">
        <f t="shared" si="179"/>
        <v>3.71</v>
      </c>
      <c r="S1249" s="869">
        <f>(1/9)*cnst_fish!$C$7*(1/cnst_fish!$C$8)^(R1249-1)</f>
        <v>72.326605434679692</v>
      </c>
      <c r="T1249" s="682">
        <f t="shared" si="180"/>
        <v>303.9425763484025</v>
      </c>
      <c r="W1249" s="818"/>
      <c r="X1249" s="818"/>
      <c r="Y1249" s="819"/>
      <c r="Z1249" s="820"/>
      <c r="AA1249" s="820"/>
      <c r="AB1249" s="821"/>
      <c r="AC1249" s="821"/>
      <c r="AD1249" s="253"/>
      <c r="AE1249" s="253"/>
    </row>
    <row r="1250" spans="1:31" ht="14.5">
      <c r="A1250" t="s">
        <v>1937</v>
      </c>
      <c r="B1250" t="s">
        <v>2367</v>
      </c>
      <c r="C1250">
        <v>2063</v>
      </c>
      <c r="D1250" s="581"/>
      <c r="E1250" s="581"/>
      <c r="F1250" s="2">
        <f>(1/S1250)*cnst_fish!$C$6</f>
        <v>8.6914222116951781E-2</v>
      </c>
      <c r="G1250" s="2">
        <f t="shared" si="182"/>
        <v>1</v>
      </c>
      <c r="H1250" s="2">
        <f t="shared" si="182"/>
        <v>0.36449057933102513</v>
      </c>
      <c r="I1250" s="2">
        <f t="shared" si="175"/>
        <v>0</v>
      </c>
      <c r="J1250" s="389">
        <f t="shared" si="176"/>
        <v>0</v>
      </c>
      <c r="L1250" s="721">
        <v>7217</v>
      </c>
      <c r="M1250" s="581"/>
      <c r="N1250" s="585" t="s">
        <v>1738</v>
      </c>
      <c r="O1250" s="586" t="s">
        <v>4681</v>
      </c>
      <c r="P1250" s="233">
        <f t="shared" si="177"/>
        <v>0</v>
      </c>
      <c r="Q1250" s="233">
        <f t="shared" si="178"/>
        <v>7217</v>
      </c>
      <c r="R1250" s="2">
        <f t="shared" si="179"/>
        <v>3.54</v>
      </c>
      <c r="S1250" s="2">
        <f>(1/9)*cnst_fish!$C$7*(1/cnst_fish!$C$8)^(R1250-1)</f>
        <v>48.898786602280119</v>
      </c>
      <c r="T1250" s="682">
        <f t="shared" si="180"/>
        <v>30265.800544039492</v>
      </c>
      <c r="W1250" s="818"/>
      <c r="X1250" s="818"/>
      <c r="Y1250" s="819"/>
      <c r="Z1250" s="820"/>
      <c r="AA1250" s="820"/>
      <c r="AB1250" s="821"/>
      <c r="AC1250" s="821"/>
      <c r="AD1250" s="253"/>
      <c r="AE1250" s="253"/>
    </row>
    <row r="1251" spans="1:31" ht="14.5">
      <c r="A1251" t="s">
        <v>3844</v>
      </c>
      <c r="B1251" t="s">
        <v>4185</v>
      </c>
      <c r="C1251">
        <v>3530</v>
      </c>
      <c r="D1251" s="581"/>
      <c r="E1251" s="581"/>
      <c r="F1251" s="2">
        <f>(1/S1251)*cnst_fish!$C$6</f>
        <v>2.3938164528281742</v>
      </c>
      <c r="G1251" s="2">
        <f t="shared" si="182"/>
        <v>1</v>
      </c>
      <c r="H1251" s="2">
        <f t="shared" si="182"/>
        <v>0.36449057933102513</v>
      </c>
      <c r="I1251" s="2">
        <f t="shared" si="175"/>
        <v>0</v>
      </c>
      <c r="J1251" s="389">
        <f t="shared" si="176"/>
        <v>0</v>
      </c>
      <c r="L1251" s="721">
        <v>0</v>
      </c>
      <c r="M1251" s="581"/>
      <c r="N1251" s="585" t="s">
        <v>2314</v>
      </c>
      <c r="O1251" s="586" t="s">
        <v>4691</v>
      </c>
      <c r="P1251" s="233">
        <f t="shared" si="177"/>
        <v>0</v>
      </c>
      <c r="Q1251" s="233">
        <f t="shared" si="178"/>
        <v>0</v>
      </c>
      <c r="R1251" s="2">
        <f t="shared" si="179"/>
        <v>2.1</v>
      </c>
      <c r="S1251" s="2">
        <f>(1/9)*cnst_fish!$C$7*(1/cnst_fish!$C$8)^(R1251-1)</f>
        <v>1.7754076320174161</v>
      </c>
      <c r="T1251" s="682">
        <f t="shared" si="180"/>
        <v>0</v>
      </c>
      <c r="W1251" s="818"/>
      <c r="X1251" s="818"/>
      <c r="Y1251" s="819"/>
      <c r="Z1251" s="820"/>
      <c r="AA1251" s="820"/>
      <c r="AB1251" s="821"/>
      <c r="AC1251" s="821"/>
      <c r="AD1251" s="253"/>
      <c r="AE1251" s="253"/>
    </row>
    <row r="1252" spans="1:31" ht="14.5">
      <c r="A1252" t="s">
        <v>4512</v>
      </c>
      <c r="B1252" t="s">
        <v>2998</v>
      </c>
      <c r="C1252">
        <v>2569</v>
      </c>
      <c r="D1252" s="581"/>
      <c r="E1252" s="581"/>
      <c r="F1252" s="2">
        <f>(1/S1252)*cnst_fish!$C$6</f>
        <v>3.0136363636363642E-2</v>
      </c>
      <c r="G1252" s="2">
        <f t="shared" si="182"/>
        <v>1</v>
      </c>
      <c r="H1252" s="2">
        <f t="shared" si="182"/>
        <v>0.36449057933102513</v>
      </c>
      <c r="I1252" s="2">
        <f t="shared" si="175"/>
        <v>0</v>
      </c>
      <c r="J1252" s="389">
        <f t="shared" si="176"/>
        <v>0</v>
      </c>
      <c r="L1252" s="721">
        <v>274</v>
      </c>
      <c r="M1252" s="581"/>
      <c r="N1252" s="585" t="s">
        <v>1738</v>
      </c>
      <c r="O1252" s="586" t="s">
        <v>4699</v>
      </c>
      <c r="P1252" s="233">
        <f t="shared" si="177"/>
        <v>0</v>
      </c>
      <c r="Q1252" s="233">
        <f t="shared" si="178"/>
        <v>274</v>
      </c>
      <c r="R1252" s="2">
        <f t="shared" si="179"/>
        <v>4</v>
      </c>
      <c r="S1252" s="2">
        <f>(1/9)*cnst_fish!$C$7*(1/cnst_fish!$C$8)^(R1252-1)</f>
        <v>141.02564102564099</v>
      </c>
      <c r="T1252" s="682">
        <f t="shared" si="180"/>
        <v>3313.9505463158662</v>
      </c>
      <c r="W1252" s="818"/>
      <c r="X1252" s="818"/>
      <c r="Y1252" s="819"/>
      <c r="Z1252" s="820"/>
      <c r="AA1252" s="820"/>
      <c r="AB1252" s="821"/>
      <c r="AC1252" s="821"/>
      <c r="AD1252" s="253"/>
      <c r="AE1252" s="253"/>
    </row>
    <row r="1253" spans="1:31" ht="14.5">
      <c r="A1253" t="s">
        <v>5484</v>
      </c>
      <c r="B1253" t="s">
        <v>2987</v>
      </c>
      <c r="C1253">
        <v>3573</v>
      </c>
      <c r="D1253" s="581"/>
      <c r="E1253" s="581"/>
      <c r="F1253" s="2">
        <f>(1/S1253)*cnst_fish!$C$6</f>
        <v>1.9014759972289452</v>
      </c>
      <c r="G1253" s="2">
        <f t="shared" si="182"/>
        <v>1</v>
      </c>
      <c r="H1253" s="2">
        <f t="shared" si="182"/>
        <v>0.36449057933102513</v>
      </c>
      <c r="I1253" s="2">
        <f t="shared" si="175"/>
        <v>0</v>
      </c>
      <c r="J1253" s="389">
        <f t="shared" si="176"/>
        <v>0</v>
      </c>
      <c r="L1253" s="721"/>
      <c r="M1253" s="581">
        <v>275039.88</v>
      </c>
      <c r="N1253" s="585" t="s">
        <v>1736</v>
      </c>
      <c r="O1253" s="586" t="s">
        <v>4691</v>
      </c>
      <c r="P1253" s="233">
        <f t="shared" si="177"/>
        <v>0</v>
      </c>
      <c r="Q1253" s="233">
        <f t="shared" si="178"/>
        <v>275039.88</v>
      </c>
      <c r="R1253" s="2">
        <f t="shared" si="179"/>
        <v>2.2000000000000002</v>
      </c>
      <c r="S1253" s="2">
        <f>(1/9)*cnst_fish!$C$7*(1/cnst_fish!$C$8)^(R1253-1)</f>
        <v>2.2351057842400328</v>
      </c>
      <c r="T1253" s="682">
        <f t="shared" si="180"/>
        <v>52721.90937273515</v>
      </c>
      <c r="W1253" s="818"/>
      <c r="X1253" s="818"/>
      <c r="Y1253" s="819"/>
      <c r="Z1253" s="820"/>
      <c r="AA1253" s="820"/>
      <c r="AB1253" s="821"/>
      <c r="AC1253" s="821"/>
      <c r="AD1253" s="253"/>
      <c r="AE1253" s="253"/>
    </row>
    <row r="1254" spans="1:31" ht="14.5">
      <c r="A1254" t="s">
        <v>5495</v>
      </c>
      <c r="B1254" t="s">
        <v>2987</v>
      </c>
      <c r="C1254">
        <v>3574</v>
      </c>
      <c r="D1254" s="581"/>
      <c r="E1254" s="581"/>
      <c r="F1254" s="2">
        <f>(1/S1254)*cnst_fish!$C$6</f>
        <v>1.9014759972289452</v>
      </c>
      <c r="G1254" s="2">
        <f t="shared" si="182"/>
        <v>1</v>
      </c>
      <c r="H1254" s="2">
        <f t="shared" si="182"/>
        <v>0.36449057933102513</v>
      </c>
      <c r="I1254" s="2">
        <f t="shared" si="175"/>
        <v>0</v>
      </c>
      <c r="J1254" s="389">
        <f t="shared" si="176"/>
        <v>0</v>
      </c>
      <c r="L1254" s="721">
        <v>664361.91999999993</v>
      </c>
      <c r="M1254" s="581"/>
      <c r="N1254" s="585" t="s">
        <v>1736</v>
      </c>
      <c r="O1254" s="586" t="s">
        <v>4691</v>
      </c>
      <c r="P1254" s="233">
        <f t="shared" si="177"/>
        <v>0</v>
      </c>
      <c r="Q1254" s="233">
        <f t="shared" si="178"/>
        <v>664361.91999999993</v>
      </c>
      <c r="R1254" s="2">
        <f t="shared" si="179"/>
        <v>2.2000000000000002</v>
      </c>
      <c r="S1254" s="2">
        <f>(1/9)*cnst_fish!$C$7*(1/cnst_fish!$C$8)^(R1254-1)</f>
        <v>2.2351057842400328</v>
      </c>
      <c r="T1254" s="682">
        <f t="shared" si="180"/>
        <v>127350.364379654</v>
      </c>
      <c r="W1254" s="818"/>
      <c r="X1254" s="818"/>
      <c r="Y1254" s="819"/>
      <c r="Z1254" s="820"/>
      <c r="AA1254" s="820"/>
      <c r="AB1254" s="821"/>
      <c r="AC1254" s="821"/>
      <c r="AD1254" s="253"/>
      <c r="AE1254" s="253"/>
    </row>
    <row r="1255" spans="1:31" ht="14.5">
      <c r="A1255" t="s">
        <v>4133</v>
      </c>
      <c r="B1255" t="s">
        <v>5031</v>
      </c>
      <c r="C1255">
        <v>2221</v>
      </c>
      <c r="D1255" s="581"/>
      <c r="E1255" s="581"/>
      <c r="F1255" s="2">
        <f>(1/S1255)*cnst_fish!$C$6</f>
        <v>9.979087888316248E-3</v>
      </c>
      <c r="G1255" s="2">
        <f t="shared" si="182"/>
        <v>1</v>
      </c>
      <c r="H1255" s="2">
        <f t="shared" si="182"/>
        <v>0.36449057933102513</v>
      </c>
      <c r="I1255" s="2">
        <f t="shared" si="175"/>
        <v>0</v>
      </c>
      <c r="J1255" s="389">
        <f t="shared" si="176"/>
        <v>0</v>
      </c>
      <c r="L1255" s="721">
        <v>4414</v>
      </c>
      <c r="M1255" s="581"/>
      <c r="N1255" s="585" t="s">
        <v>1738</v>
      </c>
      <c r="O1255" s="586" t="s">
        <v>4681</v>
      </c>
      <c r="P1255" s="233">
        <f t="shared" si="177"/>
        <v>0</v>
      </c>
      <c r="Q1255" s="233">
        <f t="shared" si="178"/>
        <v>4414</v>
      </c>
      <c r="R1255" s="2">
        <f t="shared" si="179"/>
        <v>4.4800000000000004</v>
      </c>
      <c r="S1255" s="2">
        <f>(1/9)*cnst_fish!$C$7*(1/cnst_fish!$C$8)^(R1255-1)</f>
        <v>425.89062723618264</v>
      </c>
      <c r="T1255" s="682">
        <f t="shared" si="180"/>
        <v>161223.2936690374</v>
      </c>
      <c r="W1255" s="818"/>
      <c r="X1255" s="818"/>
      <c r="Y1255" s="819"/>
      <c r="Z1255" s="820"/>
      <c r="AA1255" s="820"/>
      <c r="AB1255" s="821"/>
      <c r="AC1255" s="821"/>
      <c r="AD1255" s="253"/>
      <c r="AE1255" s="253"/>
    </row>
    <row r="1256" spans="1:31" ht="14.5">
      <c r="A1256" t="s">
        <v>6667</v>
      </c>
      <c r="B1256" t="s">
        <v>6666</v>
      </c>
      <c r="C1256">
        <v>19251</v>
      </c>
      <c r="D1256" s="581"/>
      <c r="E1256" s="581"/>
      <c r="F1256" s="2">
        <f>(1/S1256)*cnst_fish!$C$6</f>
        <v>3.0136363636363641</v>
      </c>
      <c r="G1256" s="2">
        <f t="shared" si="182"/>
        <v>1</v>
      </c>
      <c r="H1256" s="2">
        <f t="shared" si="182"/>
        <v>0.36449057933102513</v>
      </c>
      <c r="I1256" s="2">
        <f t="shared" si="175"/>
        <v>0</v>
      </c>
      <c r="J1256" s="389">
        <f t="shared" si="176"/>
        <v>0</v>
      </c>
      <c r="L1256" s="721">
        <v>7</v>
      </c>
      <c r="M1256" s="581"/>
      <c r="N1256" s="585" t="s">
        <v>1738</v>
      </c>
      <c r="O1256" s="586" t="s">
        <v>4681</v>
      </c>
      <c r="P1256" s="233">
        <f t="shared" si="177"/>
        <v>0</v>
      </c>
      <c r="Q1256" s="233">
        <f t="shared" si="178"/>
        <v>7</v>
      </c>
      <c r="R1256" s="2">
        <f t="shared" si="179"/>
        <v>2</v>
      </c>
      <c r="S1256" s="2">
        <f>(1/9)*cnst_fish!$C$7*(1/cnst_fish!$C$8)^(R1256-1)</f>
        <v>1.4102564102564099</v>
      </c>
      <c r="T1256" s="682">
        <f t="shared" si="180"/>
        <v>0.84662970161354245</v>
      </c>
      <c r="W1256" s="818"/>
      <c r="X1256" s="818"/>
      <c r="Y1256" s="819"/>
      <c r="Z1256" s="820"/>
      <c r="AA1256" s="820"/>
      <c r="AB1256" s="821"/>
      <c r="AC1256" s="821"/>
      <c r="AD1256" s="253"/>
      <c r="AE1256" s="253"/>
    </row>
    <row r="1257" spans="1:31" ht="14.5">
      <c r="A1257" t="s">
        <v>194</v>
      </c>
      <c r="B1257" t="s">
        <v>5032</v>
      </c>
      <c r="C1257">
        <v>2220</v>
      </c>
      <c r="D1257" s="581"/>
      <c r="E1257" s="581"/>
      <c r="F1257" s="2">
        <f>(1/S1257)*cnst_fish!$C$6</f>
        <v>1.6946922663690963E-2</v>
      </c>
      <c r="G1257" s="2">
        <f t="shared" si="182"/>
        <v>1</v>
      </c>
      <c r="H1257" s="2">
        <f t="shared" si="182"/>
        <v>0.36449057933102513</v>
      </c>
      <c r="I1257" s="2">
        <f t="shared" si="175"/>
        <v>0</v>
      </c>
      <c r="J1257" s="389">
        <f t="shared" si="176"/>
        <v>0</v>
      </c>
      <c r="L1257" s="721">
        <v>45361</v>
      </c>
      <c r="M1257" s="581"/>
      <c r="N1257" s="585" t="s">
        <v>1738</v>
      </c>
      <c r="O1257" s="586" t="s">
        <v>4681</v>
      </c>
      <c r="P1257" s="233">
        <f t="shared" si="177"/>
        <v>0</v>
      </c>
      <c r="Q1257" s="233">
        <f t="shared" si="178"/>
        <v>45361</v>
      </c>
      <c r="R1257" s="2">
        <f t="shared" si="179"/>
        <v>4.25</v>
      </c>
      <c r="S1257" s="2">
        <f>(1/9)*cnst_fish!$C$7*(1/cnst_fish!$C$8)^(R1257-1)</f>
        <v>250.78299372343801</v>
      </c>
      <c r="T1257" s="682">
        <f t="shared" si="180"/>
        <v>975614.12754058524</v>
      </c>
      <c r="W1257" s="818"/>
      <c r="X1257" s="818"/>
      <c r="Y1257" s="819"/>
      <c r="Z1257" s="820"/>
      <c r="AA1257" s="820"/>
      <c r="AB1257" s="821"/>
      <c r="AC1257" s="821"/>
      <c r="AD1257" s="253"/>
      <c r="AE1257" s="253"/>
    </row>
    <row r="1258" spans="1:31" ht="14.5">
      <c r="A1258" t="s">
        <v>4569</v>
      </c>
      <c r="B1258" t="s">
        <v>5033</v>
      </c>
      <c r="C1258">
        <v>3013</v>
      </c>
      <c r="D1258" s="581"/>
      <c r="E1258" s="581"/>
      <c r="F1258" s="2">
        <f>(1/S1258)*cnst_fish!$C$6</f>
        <v>1.315499985341953E-2</v>
      </c>
      <c r="G1258" s="2">
        <f t="shared" si="182"/>
        <v>1</v>
      </c>
      <c r="H1258" s="2">
        <f t="shared" si="182"/>
        <v>0.36449057933102513</v>
      </c>
      <c r="I1258" s="2">
        <f t="shared" si="175"/>
        <v>0</v>
      </c>
      <c r="J1258" s="389">
        <f t="shared" si="176"/>
        <v>0</v>
      </c>
      <c r="L1258" s="721">
        <v>11</v>
      </c>
      <c r="M1258" s="581"/>
      <c r="N1258" s="585" t="s">
        <v>1738</v>
      </c>
      <c r="O1258" s="586" t="s">
        <v>4681</v>
      </c>
      <c r="P1258" s="233">
        <f t="shared" si="177"/>
        <v>0</v>
      </c>
      <c r="Q1258" s="233">
        <f t="shared" si="178"/>
        <v>11</v>
      </c>
      <c r="R1258" s="2">
        <f t="shared" si="179"/>
        <v>4.3600000000000003</v>
      </c>
      <c r="S1258" s="2">
        <f>(1/9)*cnst_fish!$C$7*(1/cnst_fish!$C$8)^(R1258-1)</f>
        <v>323.07107923648124</v>
      </c>
      <c r="T1258" s="682">
        <f t="shared" si="180"/>
        <v>304.78117957554127</v>
      </c>
      <c r="W1258" s="818"/>
      <c r="X1258" s="818"/>
      <c r="Y1258" s="819"/>
      <c r="Z1258" s="820"/>
      <c r="AA1258" s="820"/>
      <c r="AB1258" s="821"/>
      <c r="AC1258" s="821"/>
      <c r="AD1258" s="253"/>
      <c r="AE1258" s="253"/>
    </row>
    <row r="1259" spans="1:31" ht="14.5">
      <c r="A1259" t="s">
        <v>2484</v>
      </c>
      <c r="B1259" t="s">
        <v>976</v>
      </c>
      <c r="C1259">
        <v>18785</v>
      </c>
      <c r="D1259" s="581"/>
      <c r="E1259" s="581"/>
      <c r="F1259" s="2">
        <f>(1/S1259)*cnst_fish!$C$6</f>
        <v>0.34601175047837884</v>
      </c>
      <c r="G1259" s="2">
        <f t="shared" si="182"/>
        <v>1</v>
      </c>
      <c r="H1259" s="2">
        <f t="shared" si="182"/>
        <v>0.36449057933102513</v>
      </c>
      <c r="I1259" s="2">
        <f t="shared" si="175"/>
        <v>0</v>
      </c>
      <c r="J1259" s="389">
        <f t="shared" si="176"/>
        <v>0</v>
      </c>
      <c r="L1259" s="721">
        <v>156</v>
      </c>
      <c r="M1259" s="581"/>
      <c r="N1259" s="585" t="s">
        <v>1738</v>
      </c>
      <c r="O1259" s="586" t="s">
        <v>4681</v>
      </c>
      <c r="P1259" s="233">
        <f t="shared" si="177"/>
        <v>0</v>
      </c>
      <c r="Q1259" s="233">
        <f t="shared" si="178"/>
        <v>156</v>
      </c>
      <c r="R1259" s="2">
        <f t="shared" si="179"/>
        <v>2.94</v>
      </c>
      <c r="S1259" s="2">
        <f>(1/9)*cnst_fish!$C$7*(1/cnst_fish!$C$8)^(R1259-1)</f>
        <v>12.282819858354982</v>
      </c>
      <c r="T1259" s="682">
        <f t="shared" si="180"/>
        <v>164.33121215400155</v>
      </c>
      <c r="W1259" s="818"/>
      <c r="X1259" s="818"/>
      <c r="Y1259" s="819"/>
      <c r="Z1259" s="820"/>
      <c r="AA1259" s="820"/>
      <c r="AB1259" s="821"/>
      <c r="AC1259" s="821"/>
      <c r="AD1259" s="253"/>
      <c r="AE1259" s="253"/>
    </row>
    <row r="1260" spans="1:31" ht="14.5">
      <c r="A1260" t="s">
        <v>4962</v>
      </c>
      <c r="B1260" t="s">
        <v>1707</v>
      </c>
      <c r="C1260">
        <v>2272</v>
      </c>
      <c r="D1260" s="581"/>
      <c r="E1260" s="581"/>
      <c r="F1260" s="2">
        <f>(1/S1260)*cnst_fish!$C$6</f>
        <v>0.39727464439222648</v>
      </c>
      <c r="G1260" s="2">
        <f t="shared" si="182"/>
        <v>1</v>
      </c>
      <c r="H1260" s="2">
        <f t="shared" si="182"/>
        <v>0.36449057933102513</v>
      </c>
      <c r="I1260" s="2">
        <f t="shared" si="175"/>
        <v>0</v>
      </c>
      <c r="J1260" s="389">
        <f t="shared" si="176"/>
        <v>0</v>
      </c>
      <c r="L1260" s="721"/>
      <c r="M1260" s="581">
        <v>817</v>
      </c>
      <c r="N1260" s="585" t="s">
        <v>1738</v>
      </c>
      <c r="O1260" s="586" t="s">
        <v>4685</v>
      </c>
      <c r="P1260" s="233">
        <f t="shared" si="177"/>
        <v>0</v>
      </c>
      <c r="Q1260" s="233">
        <f t="shared" si="178"/>
        <v>817</v>
      </c>
      <c r="R1260" s="2">
        <f t="shared" si="179"/>
        <v>2.88</v>
      </c>
      <c r="S1260" s="2">
        <f>(1/9)*cnst_fish!$C$7*(1/cnst_fish!$C$8)^(R1260-1)</f>
        <v>10.697888878616689</v>
      </c>
      <c r="T1260" s="682">
        <f t="shared" si="180"/>
        <v>749.57918285729488</v>
      </c>
      <c r="W1260" s="818"/>
      <c r="X1260" s="818"/>
      <c r="Y1260" s="819"/>
      <c r="Z1260" s="820"/>
      <c r="AA1260" s="820"/>
      <c r="AB1260" s="821"/>
      <c r="AC1260" s="821"/>
      <c r="AD1260" s="253"/>
      <c r="AE1260" s="253"/>
    </row>
    <row r="1261" spans="1:31" ht="14.5">
      <c r="A1261" t="s">
        <v>4199</v>
      </c>
      <c r="B1261" t="s">
        <v>6408</v>
      </c>
      <c r="C1261">
        <v>3627</v>
      </c>
      <c r="D1261" s="581"/>
      <c r="E1261" s="581"/>
      <c r="F1261" s="2">
        <f>(1/S1261)*cnst_fish!$C$6</f>
        <v>3.0136363636363641</v>
      </c>
      <c r="G1261" s="2">
        <f t="shared" si="182"/>
        <v>1</v>
      </c>
      <c r="H1261" s="2">
        <f t="shared" si="182"/>
        <v>0.36449057933102513</v>
      </c>
      <c r="I1261" s="2">
        <f t="shared" si="175"/>
        <v>0</v>
      </c>
      <c r="J1261" s="389">
        <f t="shared" si="176"/>
        <v>0</v>
      </c>
      <c r="L1261" s="721">
        <v>872</v>
      </c>
      <c r="M1261" s="581"/>
      <c r="N1261" s="585" t="s">
        <v>1740</v>
      </c>
      <c r="O1261" s="586" t="s">
        <v>4671</v>
      </c>
      <c r="P1261" s="233">
        <f t="shared" si="177"/>
        <v>0</v>
      </c>
      <c r="Q1261" s="233">
        <f t="shared" si="178"/>
        <v>872</v>
      </c>
      <c r="R1261" s="2">
        <f t="shared" si="179"/>
        <v>2</v>
      </c>
      <c r="S1261" s="2">
        <f>(1/9)*cnst_fish!$C$7*(1/cnst_fish!$C$8)^(R1261-1)</f>
        <v>1.4102564102564099</v>
      </c>
      <c r="T1261" s="682">
        <f t="shared" si="180"/>
        <v>105.46587140100128</v>
      </c>
      <c r="W1261" s="818"/>
      <c r="X1261" s="818"/>
      <c r="Y1261" s="819"/>
      <c r="Z1261" s="820"/>
      <c r="AA1261" s="820"/>
      <c r="AB1261" s="821"/>
      <c r="AC1261" s="821"/>
      <c r="AD1261" s="253"/>
      <c r="AE1261" s="253"/>
    </row>
    <row r="1262" spans="1:31" ht="14.5">
      <c r="A1262" t="s">
        <v>2210</v>
      </c>
      <c r="B1262" t="s">
        <v>1720</v>
      </c>
      <c r="C1262">
        <v>13526</v>
      </c>
      <c r="D1262" s="581"/>
      <c r="E1262" s="581"/>
      <c r="F1262" s="2">
        <f>(1/S1262)*cnst_fish!$C$6</f>
        <v>0.19457670629544385</v>
      </c>
      <c r="G1262" s="2">
        <f t="shared" si="182"/>
        <v>1</v>
      </c>
      <c r="H1262" s="2">
        <f t="shared" si="182"/>
        <v>0.36449057933102513</v>
      </c>
      <c r="I1262" s="2">
        <f t="shared" si="175"/>
        <v>0</v>
      </c>
      <c r="J1262" s="389">
        <f t="shared" si="176"/>
        <v>0</v>
      </c>
      <c r="L1262" s="721">
        <v>57</v>
      </c>
      <c r="M1262" s="581"/>
      <c r="N1262" s="585" t="s">
        <v>1738</v>
      </c>
      <c r="O1262" s="586" t="s">
        <v>4681</v>
      </c>
      <c r="P1262" s="233">
        <f t="shared" si="177"/>
        <v>0</v>
      </c>
      <c r="Q1262" s="233">
        <f t="shared" si="178"/>
        <v>57</v>
      </c>
      <c r="R1262" s="2">
        <f t="shared" si="179"/>
        <v>3.19</v>
      </c>
      <c r="S1262" s="2">
        <f>(1/9)*cnst_fish!$C$7*(1/cnst_fish!$C$8)^(R1262-1)</f>
        <v>21.84228565132987</v>
      </c>
      <c r="T1262" s="682">
        <f t="shared" si="180"/>
        <v>106.77518094238044</v>
      </c>
      <c r="W1262" s="818"/>
      <c r="X1262" s="818"/>
      <c r="Y1262" s="819"/>
      <c r="Z1262" s="820"/>
      <c r="AA1262" s="820"/>
      <c r="AB1262" s="821"/>
      <c r="AC1262" s="821"/>
      <c r="AD1262" s="253"/>
      <c r="AE1262" s="253"/>
    </row>
    <row r="1263" spans="1:31" ht="14.5">
      <c r="A1263" t="s">
        <v>369</v>
      </c>
      <c r="B1263" t="s">
        <v>4327</v>
      </c>
      <c r="C1263">
        <v>13530</v>
      </c>
      <c r="D1263" s="581"/>
      <c r="E1263" s="581"/>
      <c r="F1263" s="2">
        <f>(1/S1263)*cnst_fish!$C$6</f>
        <v>5.3590874947991168E-2</v>
      </c>
      <c r="G1263" s="2">
        <f t="shared" si="182"/>
        <v>1</v>
      </c>
      <c r="H1263" s="2">
        <f t="shared" si="182"/>
        <v>0.36449057933102513</v>
      </c>
      <c r="I1263" s="2">
        <f t="shared" si="175"/>
        <v>0</v>
      </c>
      <c r="J1263" s="389">
        <f t="shared" si="176"/>
        <v>0</v>
      </c>
      <c r="L1263" s="721">
        <v>1399</v>
      </c>
      <c r="M1263" s="581"/>
      <c r="N1263" s="585" t="s">
        <v>1738</v>
      </c>
      <c r="O1263" s="586" t="s">
        <v>4681</v>
      </c>
      <c r="P1263" s="233">
        <f t="shared" si="177"/>
        <v>0</v>
      </c>
      <c r="Q1263" s="233">
        <f t="shared" si="178"/>
        <v>1399</v>
      </c>
      <c r="R1263" s="2">
        <f t="shared" si="179"/>
        <v>3.75</v>
      </c>
      <c r="S1263" s="2">
        <f>(1/9)*cnst_fish!$C$7*(1/cnst_fish!$C$8)^(R1263-1)</f>
        <v>79.304545860177441</v>
      </c>
      <c r="T1263" s="682">
        <f t="shared" si="180"/>
        <v>9515.0960117552313</v>
      </c>
      <c r="W1263" s="818"/>
      <c r="X1263" s="818"/>
      <c r="Y1263" s="819"/>
      <c r="Z1263" s="820"/>
      <c r="AA1263" s="820"/>
      <c r="AB1263" s="821"/>
      <c r="AC1263" s="821"/>
      <c r="AD1263" s="253"/>
      <c r="AE1263" s="253"/>
    </row>
    <row r="1264" spans="1:31" ht="14.5">
      <c r="A1264" t="s">
        <v>3007</v>
      </c>
      <c r="B1264" t="s">
        <v>750</v>
      </c>
      <c r="C1264">
        <v>2215</v>
      </c>
      <c r="D1264" s="581"/>
      <c r="E1264" s="581"/>
      <c r="F1264" s="2">
        <f>(1/S1264)*cnst_fish!$C$6</f>
        <v>8.8938714421809756E-2</v>
      </c>
      <c r="G1264" s="2">
        <f t="shared" si="182"/>
        <v>1</v>
      </c>
      <c r="H1264" s="2">
        <f t="shared" si="182"/>
        <v>0.36449057933102513</v>
      </c>
      <c r="I1264" s="2">
        <f t="shared" si="175"/>
        <v>0</v>
      </c>
      <c r="J1264" s="389">
        <f t="shared" si="176"/>
        <v>0</v>
      </c>
      <c r="L1264" s="721">
        <v>6688</v>
      </c>
      <c r="M1264" s="581"/>
      <c r="N1264" s="585" t="s">
        <v>1738</v>
      </c>
      <c r="O1264" s="586" t="s">
        <v>4681</v>
      </c>
      <c r="P1264" s="233">
        <f t="shared" si="177"/>
        <v>0</v>
      </c>
      <c r="Q1264" s="233">
        <f t="shared" si="178"/>
        <v>6688</v>
      </c>
      <c r="R1264" s="2">
        <f t="shared" si="179"/>
        <v>3.53</v>
      </c>
      <c r="S1264" s="2">
        <f>(1/9)*cnst_fish!$C$7*(1/cnst_fish!$C$8)^(R1264-1)</f>
        <v>47.785714327323419</v>
      </c>
      <c r="T1264" s="682">
        <f t="shared" si="180"/>
        <v>27408.907475371765</v>
      </c>
      <c r="W1264" s="818"/>
      <c r="X1264" s="818"/>
      <c r="Y1264" s="819"/>
      <c r="Z1264" s="820"/>
      <c r="AA1264" s="820"/>
      <c r="AB1264" s="821"/>
      <c r="AC1264" s="821"/>
      <c r="AD1264" s="253"/>
      <c r="AE1264" s="253"/>
    </row>
    <row r="1265" spans="1:31" ht="14.5">
      <c r="A1265" t="s">
        <v>2353</v>
      </c>
      <c r="B1265" t="s">
        <v>1708</v>
      </c>
      <c r="C1265">
        <v>18781</v>
      </c>
      <c r="D1265" s="581"/>
      <c r="E1265" s="581"/>
      <c r="F1265" s="2">
        <f>(1/S1265)*cnst_fish!$C$6</f>
        <v>0.23393265378401026</v>
      </c>
      <c r="G1265" s="2">
        <f t="shared" si="182"/>
        <v>1</v>
      </c>
      <c r="H1265" s="2">
        <f t="shared" si="182"/>
        <v>0.36449057933102513</v>
      </c>
      <c r="I1265" s="2">
        <f t="shared" si="175"/>
        <v>0</v>
      </c>
      <c r="J1265" s="389">
        <f t="shared" si="176"/>
        <v>0</v>
      </c>
      <c r="L1265" s="721"/>
      <c r="M1265" s="581">
        <v>39676</v>
      </c>
      <c r="N1265" s="585" t="s">
        <v>1738</v>
      </c>
      <c r="O1265" s="586" t="s">
        <v>4685</v>
      </c>
      <c r="P1265" s="233">
        <f t="shared" si="177"/>
        <v>0</v>
      </c>
      <c r="Q1265" s="233">
        <f t="shared" si="178"/>
        <v>39676</v>
      </c>
      <c r="R1265" s="2">
        <f t="shared" si="179"/>
        <v>3.11</v>
      </c>
      <c r="S1265" s="2">
        <f>(1/9)*cnst_fish!$C$7*(1/cnst_fish!$C$8)^(R1265-1)</f>
        <v>18.16762188285189</v>
      </c>
      <c r="T1265" s="682">
        <f t="shared" si="180"/>
        <v>61819.194505825872</v>
      </c>
      <c r="W1265" s="818"/>
      <c r="X1265" s="818"/>
      <c r="Y1265" s="819"/>
      <c r="Z1265" s="820"/>
      <c r="AA1265" s="820"/>
      <c r="AB1265" s="821"/>
      <c r="AC1265" s="821"/>
      <c r="AD1265" s="253"/>
      <c r="AE1265" s="253"/>
    </row>
    <row r="1266" spans="1:31" ht="14.5">
      <c r="A1266" t="s">
        <v>938</v>
      </c>
      <c r="B1266" t="s">
        <v>1373</v>
      </c>
      <c r="C1266">
        <v>3086</v>
      </c>
      <c r="D1266" s="581"/>
      <c r="E1266" s="581"/>
      <c r="F1266" s="2">
        <f>(1/S1266)*cnst_fish!$C$6</f>
        <v>0.27484690295134895</v>
      </c>
      <c r="G1266" s="2">
        <f t="shared" si="182"/>
        <v>1</v>
      </c>
      <c r="H1266" s="2">
        <f t="shared" si="182"/>
        <v>0.36449057933102513</v>
      </c>
      <c r="I1266" s="2">
        <f t="shared" si="175"/>
        <v>0</v>
      </c>
      <c r="J1266" s="389">
        <f t="shared" si="176"/>
        <v>0</v>
      </c>
      <c r="L1266" s="721"/>
      <c r="M1266" s="581">
        <v>1391</v>
      </c>
      <c r="N1266" s="585" t="s">
        <v>1738</v>
      </c>
      <c r="O1266" s="586" t="s">
        <v>4685</v>
      </c>
      <c r="P1266" s="233">
        <f t="shared" si="177"/>
        <v>0</v>
      </c>
      <c r="Q1266" s="233">
        <f t="shared" si="178"/>
        <v>1391</v>
      </c>
      <c r="R1266" s="2">
        <f t="shared" si="179"/>
        <v>3.04</v>
      </c>
      <c r="S1266" s="2">
        <f>(1/9)*cnst_fish!$C$7*(1/cnst_fish!$C$8)^(R1266-1)</f>
        <v>15.463154048173134</v>
      </c>
      <c r="T1266" s="682">
        <f t="shared" si="180"/>
        <v>1844.6865888068671</v>
      </c>
      <c r="W1266" s="818"/>
      <c r="X1266" s="818"/>
      <c r="Y1266" s="819"/>
      <c r="Z1266" s="820"/>
      <c r="AA1266" s="820"/>
      <c r="AB1266" s="821"/>
      <c r="AC1266" s="821"/>
      <c r="AD1266" s="253"/>
      <c r="AE1266" s="253"/>
    </row>
    <row r="1267" spans="1:31" ht="14.5">
      <c r="A1267" t="s">
        <v>937</v>
      </c>
      <c r="B1267" t="s">
        <v>1374</v>
      </c>
      <c r="C1267">
        <v>13535</v>
      </c>
      <c r="D1267" s="581"/>
      <c r="E1267" s="581">
        <v>2053.96</v>
      </c>
      <c r="F1267" s="2">
        <f>(1/S1267)*cnst_fish!$C$6</f>
        <v>2.7484690295134888E-2</v>
      </c>
      <c r="G1267" s="2">
        <f t="shared" si="182"/>
        <v>1</v>
      </c>
      <c r="H1267" s="2">
        <f t="shared" si="182"/>
        <v>0.36449057933102513</v>
      </c>
      <c r="I1267" s="2">
        <f t="shared" si="175"/>
        <v>0</v>
      </c>
      <c r="J1267" s="389">
        <f t="shared" si="176"/>
        <v>27238.766829229004</v>
      </c>
      <c r="L1267" s="721"/>
      <c r="M1267" s="581">
        <v>2230.96</v>
      </c>
      <c r="N1267" s="585" t="s">
        <v>1738</v>
      </c>
      <c r="O1267" s="586" t="s">
        <v>4685</v>
      </c>
      <c r="P1267" s="233">
        <f t="shared" si="177"/>
        <v>2053.96</v>
      </c>
      <c r="Q1267" s="233">
        <f t="shared" si="178"/>
        <v>2230.96</v>
      </c>
      <c r="R1267" s="2">
        <f t="shared" si="179"/>
        <v>4.04</v>
      </c>
      <c r="S1267" s="2">
        <f>(1/9)*cnst_fish!$C$7*(1/cnst_fish!$C$8)^(R1267-1)</f>
        <v>154.63154048173138</v>
      </c>
      <c r="T1267" s="682">
        <f t="shared" si="180"/>
        <v>29586.067520953053</v>
      </c>
      <c r="W1267" s="818"/>
      <c r="X1267" s="818"/>
      <c r="Y1267" s="819"/>
      <c r="Z1267" s="820"/>
      <c r="AA1267" s="820"/>
      <c r="AB1267" s="821"/>
      <c r="AC1267" s="821"/>
      <c r="AD1267" s="253"/>
      <c r="AE1267" s="253"/>
    </row>
    <row r="1268" spans="1:31" ht="14.5">
      <c r="A1268" t="s">
        <v>4268</v>
      </c>
      <c r="B1268" t="s">
        <v>8680</v>
      </c>
      <c r="C1268">
        <v>3085</v>
      </c>
      <c r="D1268" s="581"/>
      <c r="E1268" s="581"/>
      <c r="F1268" s="2">
        <f>(1/S1268)*cnst_fish!$C$6</f>
        <v>1.6184185499703532E-2</v>
      </c>
      <c r="G1268" s="2">
        <f t="shared" ref="G1268:H1287" si="183">G$7</f>
        <v>1</v>
      </c>
      <c r="H1268" s="2">
        <f t="shared" si="183"/>
        <v>0.36449057933102513</v>
      </c>
      <c r="I1268" s="2">
        <f t="shared" si="175"/>
        <v>0</v>
      </c>
      <c r="J1268" s="389">
        <f t="shared" si="176"/>
        <v>0</v>
      </c>
      <c r="L1268" s="721"/>
      <c r="M1268" s="581"/>
      <c r="N1268" s="585" t="s">
        <v>2319</v>
      </c>
      <c r="O1268" s="586" t="s">
        <v>4685</v>
      </c>
      <c r="P1268" s="233">
        <f t="shared" si="177"/>
        <v>0</v>
      </c>
      <c r="Q1268" s="233">
        <f t="shared" si="178"/>
        <v>0</v>
      </c>
      <c r="R1268" s="2">
        <f t="shared" si="179"/>
        <v>4.2699999999999996</v>
      </c>
      <c r="S1268" s="2">
        <f>(1/9)*cnst_fish!$C$7*(1/cnst_fish!$C$8)^(R1268-1)</f>
        <v>262.60203209348123</v>
      </c>
      <c r="T1268" s="682">
        <f t="shared" si="180"/>
        <v>0</v>
      </c>
      <c r="W1268" s="818"/>
      <c r="X1268" s="818"/>
      <c r="Y1268" s="819"/>
      <c r="Z1268" s="820"/>
      <c r="AA1268" s="820"/>
      <c r="AB1268" s="821"/>
      <c r="AC1268" s="821"/>
      <c r="AD1268" s="253"/>
      <c r="AE1268" s="253"/>
    </row>
    <row r="1269" spans="1:31" ht="14.5">
      <c r="A1269" t="s">
        <v>2247</v>
      </c>
      <c r="B1269" t="s">
        <v>529</v>
      </c>
      <c r="C1269">
        <v>2289</v>
      </c>
      <c r="D1269" s="581"/>
      <c r="E1269" s="581"/>
      <c r="F1269" s="2">
        <f>(1/S1269)*cnst_fish!$C$6</f>
        <v>9.5299549485983424E-3</v>
      </c>
      <c r="G1269" s="2">
        <f t="shared" si="183"/>
        <v>1</v>
      </c>
      <c r="H1269" s="2">
        <f t="shared" si="183"/>
        <v>0.36449057933102513</v>
      </c>
      <c r="I1269" s="2">
        <f t="shared" si="175"/>
        <v>0</v>
      </c>
      <c r="J1269" s="389">
        <f t="shared" si="176"/>
        <v>0</v>
      </c>
      <c r="L1269" s="721">
        <v>2048</v>
      </c>
      <c r="M1269" s="581"/>
      <c r="N1269" s="585" t="s">
        <v>1738</v>
      </c>
      <c r="O1269" s="586" t="s">
        <v>4685</v>
      </c>
      <c r="P1269" s="233">
        <f t="shared" si="177"/>
        <v>0</v>
      </c>
      <c r="Q1269" s="233">
        <f t="shared" si="178"/>
        <v>2048</v>
      </c>
      <c r="R1269" s="2">
        <f t="shared" si="179"/>
        <v>4.5</v>
      </c>
      <c r="S1269" s="2">
        <f>(1/9)*cnst_fish!$C$7*(1/cnst_fish!$C$8)^(R1269-1)</f>
        <v>445.96223412630997</v>
      </c>
      <c r="T1269" s="682">
        <f t="shared" si="180"/>
        <v>78329.510527196209</v>
      </c>
      <c r="W1269" s="818"/>
      <c r="X1269" s="818"/>
      <c r="Y1269" s="819"/>
      <c r="Z1269" s="820"/>
      <c r="AA1269" s="820"/>
      <c r="AB1269" s="821"/>
      <c r="AC1269" s="821"/>
      <c r="AD1269" s="253"/>
      <c r="AE1269" s="253"/>
    </row>
    <row r="1270" spans="1:31" ht="14.5">
      <c r="A1270" t="s">
        <v>3008</v>
      </c>
      <c r="B1270" t="s">
        <v>3009</v>
      </c>
      <c r="C1270">
        <v>16949</v>
      </c>
      <c r="D1270" s="581"/>
      <c r="E1270" s="581"/>
      <c r="F1270" s="2">
        <f>(1/S1270)*cnst_fish!$C$6</f>
        <v>9.7519361156519751E-3</v>
      </c>
      <c r="G1270" s="2">
        <f t="shared" si="183"/>
        <v>1</v>
      </c>
      <c r="H1270" s="2">
        <f t="shared" si="183"/>
        <v>0.36449057933102513</v>
      </c>
      <c r="I1270" s="2">
        <f t="shared" si="175"/>
        <v>0</v>
      </c>
      <c r="J1270" s="389">
        <f t="shared" si="176"/>
        <v>0</v>
      </c>
      <c r="L1270" s="721">
        <v>3</v>
      </c>
      <c r="M1270" s="581"/>
      <c r="N1270" s="585" t="s">
        <v>5197</v>
      </c>
      <c r="O1270" s="586" t="s">
        <v>4675</v>
      </c>
      <c r="P1270" s="233">
        <f t="shared" si="177"/>
        <v>0</v>
      </c>
      <c r="Q1270" s="233">
        <f t="shared" si="178"/>
        <v>3</v>
      </c>
      <c r="R1270" s="2">
        <f t="shared" si="179"/>
        <v>4.49</v>
      </c>
      <c r="S1270" s="2">
        <f>(1/9)*cnst_fish!$C$7*(1/cnst_fish!$C$8)^(R1270-1)</f>
        <v>435.81089432883982</v>
      </c>
      <c r="T1270" s="682">
        <f t="shared" si="180"/>
        <v>112.12868142542897</v>
      </c>
      <c r="W1270" s="818"/>
      <c r="X1270" s="818"/>
      <c r="Y1270" s="819"/>
      <c r="Z1270" s="820"/>
      <c r="AA1270" s="820"/>
      <c r="AB1270" s="821"/>
      <c r="AC1270" s="821"/>
      <c r="AD1270" s="253"/>
      <c r="AE1270" s="253"/>
    </row>
    <row r="1271" spans="1:31" ht="14.5">
      <c r="A1271" t="s">
        <v>3865</v>
      </c>
      <c r="B1271" t="s">
        <v>3866</v>
      </c>
      <c r="C1271">
        <v>16953</v>
      </c>
      <c r="D1271" s="581"/>
      <c r="E1271" s="581"/>
      <c r="F1271" s="2">
        <f>(1/S1271)*cnst_fish!$C$6</f>
        <v>0.14481532779905856</v>
      </c>
      <c r="G1271" s="2">
        <f t="shared" si="183"/>
        <v>1</v>
      </c>
      <c r="H1271" s="2">
        <f t="shared" si="183"/>
        <v>0.36449057933102513</v>
      </c>
      <c r="I1271" s="2">
        <f t="shared" si="175"/>
        <v>0</v>
      </c>
      <c r="J1271" s="389">
        <f t="shared" si="176"/>
        <v>0</v>
      </c>
      <c r="L1271" s="721"/>
      <c r="M1271" s="581"/>
      <c r="N1271" s="585" t="s">
        <v>5197</v>
      </c>
      <c r="O1271" s="586" t="s">
        <v>4675</v>
      </c>
      <c r="P1271" s="233">
        <f t="shared" si="177"/>
        <v>0</v>
      </c>
      <c r="Q1271" s="233">
        <f t="shared" si="178"/>
        <v>0</v>
      </c>
      <c r="R1271" s="2">
        <f t="shared" si="179"/>
        <v>3.3182763159269002</v>
      </c>
      <c r="S1271" s="2">
        <f>(1/9)*cnst_fish!$C$7*(1/cnst_fish!$C$8)^(R1271-1)</f>
        <v>29.347722127157517</v>
      </c>
      <c r="T1271" s="682">
        <f t="shared" si="180"/>
        <v>0</v>
      </c>
      <c r="W1271" s="818"/>
      <c r="X1271" s="818"/>
      <c r="Y1271" s="819"/>
      <c r="Z1271" s="820"/>
      <c r="AA1271" s="820"/>
      <c r="AB1271" s="821"/>
      <c r="AC1271" s="821"/>
      <c r="AD1271" s="253"/>
      <c r="AE1271" s="253"/>
    </row>
    <row r="1272" spans="1:31" ht="14.5">
      <c r="A1272" t="s">
        <v>8988</v>
      </c>
      <c r="B1272" t="s">
        <v>8989</v>
      </c>
      <c r="C1272">
        <v>3053</v>
      </c>
      <c r="D1272" s="581"/>
      <c r="E1272" s="581"/>
      <c r="F1272" s="869">
        <f>(1/S1272)*cnst_fish!$C$6</f>
        <v>3.0136363636363641</v>
      </c>
      <c r="G1272" s="869">
        <f t="shared" si="183"/>
        <v>1</v>
      </c>
      <c r="H1272" s="869">
        <f t="shared" si="183"/>
        <v>0.36449057933102513</v>
      </c>
      <c r="I1272" s="869">
        <f t="shared" si="175"/>
        <v>0</v>
      </c>
      <c r="J1272" s="389">
        <f t="shared" si="176"/>
        <v>0</v>
      </c>
      <c r="L1272" s="721">
        <v>35930.959999999999</v>
      </c>
      <c r="M1272" s="581"/>
      <c r="N1272" s="877" t="s">
        <v>1738</v>
      </c>
      <c r="O1272" s="881" t="s">
        <v>4681</v>
      </c>
      <c r="P1272" s="871">
        <f t="shared" si="177"/>
        <v>0</v>
      </c>
      <c r="Q1272" s="871">
        <f t="shared" si="178"/>
        <v>35930.959999999999</v>
      </c>
      <c r="R1272" s="869">
        <f t="shared" si="179"/>
        <v>2</v>
      </c>
      <c r="S1272" s="869">
        <f>(1/9)*cnst_fish!$C$7*(1/cnst_fish!$C$8)^(R1272-1)</f>
        <v>1.4102564102564099</v>
      </c>
      <c r="T1272" s="682">
        <f t="shared" si="180"/>
        <v>4345.7454204983042</v>
      </c>
      <c r="W1272" s="818"/>
      <c r="X1272" s="818"/>
      <c r="Y1272" s="819"/>
      <c r="Z1272" s="820"/>
      <c r="AA1272" s="820"/>
      <c r="AB1272" s="821"/>
      <c r="AC1272" s="821"/>
      <c r="AD1272" s="253"/>
      <c r="AE1272" s="253"/>
    </row>
    <row r="1273" spans="1:31" ht="14.5">
      <c r="A1273" t="s">
        <v>2544</v>
      </c>
      <c r="B1273" t="s">
        <v>1721</v>
      </c>
      <c r="C1273">
        <v>3050</v>
      </c>
      <c r="D1273" s="581"/>
      <c r="E1273" s="581"/>
      <c r="F1273" s="2">
        <f>(1/S1273)*cnst_fish!$C$6</f>
        <v>2.2340394999204931</v>
      </c>
      <c r="G1273" s="2">
        <f t="shared" si="183"/>
        <v>1</v>
      </c>
      <c r="H1273" s="2">
        <f t="shared" si="183"/>
        <v>0.36449057933102513</v>
      </c>
      <c r="I1273" s="2">
        <f t="shared" si="175"/>
        <v>0</v>
      </c>
      <c r="J1273" s="389">
        <f t="shared" si="176"/>
        <v>0</v>
      </c>
      <c r="L1273" s="721">
        <v>130001.59</v>
      </c>
      <c r="M1273" s="581">
        <v>233</v>
      </c>
      <c r="N1273" s="585" t="s">
        <v>1738</v>
      </c>
      <c r="O1273" s="586" t="s">
        <v>4681</v>
      </c>
      <c r="P1273" s="233">
        <f t="shared" si="177"/>
        <v>0</v>
      </c>
      <c r="Q1273" s="233">
        <f t="shared" si="178"/>
        <v>130234.59</v>
      </c>
      <c r="R1273" s="2">
        <f t="shared" si="179"/>
        <v>2.13</v>
      </c>
      <c r="S1273" s="2">
        <f>(1/9)*cnst_fish!$C$7*(1/cnst_fish!$C$8)^(R1273-1)</f>
        <v>1.9023835523728443</v>
      </c>
      <c r="T1273" s="682">
        <f t="shared" si="180"/>
        <v>21248.183463062272</v>
      </c>
      <c r="W1273" s="818"/>
      <c r="X1273" s="818"/>
      <c r="Y1273" s="819"/>
      <c r="Z1273" s="820"/>
      <c r="AA1273" s="820"/>
      <c r="AB1273" s="821"/>
      <c r="AC1273" s="821"/>
      <c r="AD1273" s="253"/>
      <c r="AE1273" s="253"/>
    </row>
    <row r="1274" spans="1:31" ht="14.5">
      <c r="A1274" t="s">
        <v>33</v>
      </c>
      <c r="B1274" t="s">
        <v>34</v>
      </c>
      <c r="C1274">
        <v>3051</v>
      </c>
      <c r="D1274" s="581"/>
      <c r="E1274" s="581"/>
      <c r="F1274" s="2">
        <f>(1/S1274)*cnst_fish!$C$6</f>
        <v>2.9450376249713766</v>
      </c>
      <c r="G1274" s="2">
        <f t="shared" si="183"/>
        <v>1</v>
      </c>
      <c r="H1274" s="2">
        <f t="shared" si="183"/>
        <v>0.36449057933102513</v>
      </c>
      <c r="I1274" s="2">
        <f t="shared" si="175"/>
        <v>0</v>
      </c>
      <c r="J1274" s="389">
        <f t="shared" si="176"/>
        <v>0</v>
      </c>
      <c r="L1274" s="721">
        <v>8073</v>
      </c>
      <c r="M1274" s="581"/>
      <c r="N1274" s="585" t="s">
        <v>1738</v>
      </c>
      <c r="O1274" s="586" t="s">
        <v>4681</v>
      </c>
      <c r="P1274" s="233">
        <f t="shared" si="177"/>
        <v>0</v>
      </c>
      <c r="Q1274" s="233">
        <f t="shared" si="178"/>
        <v>8073</v>
      </c>
      <c r="R1274" s="2">
        <f t="shared" si="179"/>
        <v>2.0099999999999998</v>
      </c>
      <c r="S1274" s="2">
        <f>(1/9)*cnst_fish!$C$7*(1/cnst_fish!$C$8)^(R1274-1)</f>
        <v>1.4431055019343959</v>
      </c>
      <c r="T1274" s="682">
        <f t="shared" si="180"/>
        <v>999.14935618792481</v>
      </c>
      <c r="W1274" s="818"/>
      <c r="X1274" s="818"/>
      <c r="Y1274" s="819"/>
      <c r="Z1274" s="820"/>
      <c r="AA1274" s="820"/>
      <c r="AB1274" s="821"/>
      <c r="AC1274" s="821"/>
      <c r="AD1274" s="253"/>
      <c r="AE1274" s="253"/>
    </row>
    <row r="1275" spans="1:31" ht="14.5">
      <c r="A1275" t="s">
        <v>1585</v>
      </c>
      <c r="B1275" t="s">
        <v>1586</v>
      </c>
      <c r="C1275">
        <v>3052</v>
      </c>
      <c r="D1275" s="581"/>
      <c r="E1275" s="581"/>
      <c r="F1275" s="2">
        <f>(1/S1275)*cnst_fish!$C$6</f>
        <v>2.9450376249713766</v>
      </c>
      <c r="G1275" s="2">
        <f t="shared" si="183"/>
        <v>1</v>
      </c>
      <c r="H1275" s="2">
        <f t="shared" si="183"/>
        <v>0.36449057933102513</v>
      </c>
      <c r="I1275" s="2">
        <f t="shared" si="175"/>
        <v>0</v>
      </c>
      <c r="J1275" s="389">
        <f t="shared" si="176"/>
        <v>0</v>
      </c>
      <c r="L1275" s="721">
        <v>56</v>
      </c>
      <c r="M1275" s="581"/>
      <c r="N1275" s="585" t="s">
        <v>1738</v>
      </c>
      <c r="O1275" s="586" t="s">
        <v>4681</v>
      </c>
      <c r="P1275" s="233">
        <f t="shared" si="177"/>
        <v>0</v>
      </c>
      <c r="Q1275" s="233">
        <f t="shared" si="178"/>
        <v>56</v>
      </c>
      <c r="R1275" s="2">
        <f t="shared" si="179"/>
        <v>2.0099999999999998</v>
      </c>
      <c r="S1275" s="2">
        <f>(1/9)*cnst_fish!$C$7*(1/cnst_fish!$C$8)^(R1275-1)</f>
        <v>1.4431055019343959</v>
      </c>
      <c r="T1275" s="682">
        <f t="shared" si="180"/>
        <v>6.9308019257430677</v>
      </c>
      <c r="W1275" s="818"/>
      <c r="X1275" s="818"/>
      <c r="Y1275" s="819"/>
      <c r="Z1275" s="820"/>
      <c r="AA1275" s="820"/>
      <c r="AB1275" s="821"/>
      <c r="AC1275" s="821"/>
      <c r="AD1275" s="253"/>
      <c r="AE1275" s="253"/>
    </row>
    <row r="1276" spans="1:31" ht="14.5">
      <c r="A1276" t="s">
        <v>2655</v>
      </c>
      <c r="B1276" t="s">
        <v>1722</v>
      </c>
      <c r="C1276">
        <v>2257</v>
      </c>
      <c r="D1276" s="581"/>
      <c r="E1276" s="581"/>
      <c r="F1276" s="2">
        <f>(1/S1276)*cnst_fish!$C$6</f>
        <v>3.0136363636363641</v>
      </c>
      <c r="G1276" s="2">
        <f t="shared" si="183"/>
        <v>1</v>
      </c>
      <c r="H1276" s="2">
        <f t="shared" si="183"/>
        <v>0.36449057933102513</v>
      </c>
      <c r="I1276" s="2">
        <f t="shared" si="175"/>
        <v>0</v>
      </c>
      <c r="J1276" s="389">
        <f t="shared" si="176"/>
        <v>0</v>
      </c>
      <c r="L1276" s="721">
        <v>2557</v>
      </c>
      <c r="M1276" s="581"/>
      <c r="N1276" s="585" t="s">
        <v>1738</v>
      </c>
      <c r="O1276" s="586" t="s">
        <v>4681</v>
      </c>
      <c r="P1276" s="233">
        <f t="shared" si="177"/>
        <v>0</v>
      </c>
      <c r="Q1276" s="233">
        <f t="shared" si="178"/>
        <v>2557</v>
      </c>
      <c r="R1276" s="2">
        <f t="shared" si="179"/>
        <v>2</v>
      </c>
      <c r="S1276" s="2">
        <f>(1/9)*cnst_fish!$C$7*(1/cnst_fish!$C$8)^(R1276-1)</f>
        <v>1.4102564102564099</v>
      </c>
      <c r="T1276" s="682">
        <f t="shared" si="180"/>
        <v>309.26173528940399</v>
      </c>
      <c r="W1276" s="818"/>
      <c r="X1276" s="818"/>
      <c r="Y1276" s="819"/>
      <c r="Z1276" s="820"/>
      <c r="AA1276" s="820"/>
      <c r="AB1276" s="821"/>
      <c r="AC1276" s="821"/>
      <c r="AD1276" s="253"/>
      <c r="AE1276" s="253"/>
    </row>
    <row r="1277" spans="1:31" ht="14.5">
      <c r="A1277" t="s">
        <v>3846</v>
      </c>
      <c r="B1277" t="s">
        <v>1723</v>
      </c>
      <c r="C1277">
        <v>2258</v>
      </c>
      <c r="D1277" s="581"/>
      <c r="E1277" s="581"/>
      <c r="F1277" s="2">
        <f>(1/S1277)*cnst_fish!$C$6</f>
        <v>0.97519361156519724</v>
      </c>
      <c r="G1277" s="2">
        <f t="shared" si="183"/>
        <v>1</v>
      </c>
      <c r="H1277" s="2">
        <f t="shared" si="183"/>
        <v>0.36449057933102513</v>
      </c>
      <c r="I1277" s="2">
        <f t="shared" si="175"/>
        <v>0</v>
      </c>
      <c r="J1277" s="389">
        <f t="shared" si="176"/>
        <v>0</v>
      </c>
      <c r="L1277" s="721">
        <v>477</v>
      </c>
      <c r="M1277" s="581">
        <v>1710</v>
      </c>
      <c r="N1277" s="585" t="s">
        <v>1738</v>
      </c>
      <c r="O1277" s="586" t="s">
        <v>4681</v>
      </c>
      <c r="P1277" s="233">
        <f t="shared" si="177"/>
        <v>0</v>
      </c>
      <c r="Q1277" s="233">
        <f t="shared" si="178"/>
        <v>2187</v>
      </c>
      <c r="R1277" s="2">
        <f t="shared" si="179"/>
        <v>2.4900000000000002</v>
      </c>
      <c r="S1277" s="2">
        <f>(1/9)*cnst_fish!$C$7*(1/cnst_fish!$C$8)^(R1277-1)</f>
        <v>4.3581089432883999</v>
      </c>
      <c r="T1277" s="682">
        <f t="shared" si="180"/>
        <v>817.41808759137734</v>
      </c>
      <c r="W1277" s="818"/>
      <c r="X1277" s="818"/>
      <c r="Y1277" s="819"/>
      <c r="Z1277" s="820"/>
      <c r="AA1277" s="820"/>
      <c r="AB1277" s="821"/>
      <c r="AC1277" s="821"/>
      <c r="AD1277" s="253"/>
      <c r="AE1277" s="253"/>
    </row>
    <row r="1278" spans="1:31" ht="14.5">
      <c r="A1278" t="s">
        <v>1870</v>
      </c>
      <c r="B1278" t="s">
        <v>1724</v>
      </c>
      <c r="C1278">
        <v>2256</v>
      </c>
      <c r="D1278" s="581"/>
      <c r="E1278" s="581"/>
      <c r="F1278" s="2">
        <f>(1/S1278)*cnst_fish!$C$6</f>
        <v>1.1196720767792059</v>
      </c>
      <c r="G1278" s="2">
        <f t="shared" si="183"/>
        <v>1</v>
      </c>
      <c r="H1278" s="2">
        <f t="shared" si="183"/>
        <v>0.36449057933102513</v>
      </c>
      <c r="I1278" s="2">
        <f t="shared" si="175"/>
        <v>0</v>
      </c>
      <c r="J1278" s="389">
        <f t="shared" si="176"/>
        <v>0</v>
      </c>
      <c r="L1278" s="721">
        <v>233712.46000000002</v>
      </c>
      <c r="M1278" s="581">
        <v>52261.030000000006</v>
      </c>
      <c r="N1278" s="585" t="s">
        <v>1738</v>
      </c>
      <c r="O1278" s="586" t="s">
        <v>4681</v>
      </c>
      <c r="P1278" s="233">
        <f t="shared" si="177"/>
        <v>0</v>
      </c>
      <c r="Q1278" s="233">
        <f t="shared" si="178"/>
        <v>285973.49000000005</v>
      </c>
      <c r="R1278" s="2">
        <f t="shared" si="179"/>
        <v>2.4300000000000002</v>
      </c>
      <c r="S1278" s="2">
        <f>(1/9)*cnst_fish!$C$7*(1/cnst_fish!$C$8)^(R1278-1)</f>
        <v>3.7957542106661646</v>
      </c>
      <c r="T1278" s="682">
        <f t="shared" si="180"/>
        <v>93093.902406900626</v>
      </c>
      <c r="W1278" s="818"/>
      <c r="X1278" s="818"/>
      <c r="Y1278" s="819"/>
      <c r="Z1278" s="820"/>
      <c r="AA1278" s="820"/>
      <c r="AB1278" s="821"/>
      <c r="AC1278" s="821"/>
      <c r="AD1278" s="253"/>
      <c r="AE1278" s="253"/>
    </row>
    <row r="1279" spans="1:31" ht="14.5">
      <c r="A1279" t="s">
        <v>1643</v>
      </c>
      <c r="B1279" t="s">
        <v>155</v>
      </c>
      <c r="C1279">
        <v>3539</v>
      </c>
      <c r="D1279" s="581"/>
      <c r="E1279" s="581"/>
      <c r="F1279" s="2">
        <f>(1/S1279)*cnst_fish!$C$6</f>
        <v>2.3938164528281742</v>
      </c>
      <c r="G1279" s="2">
        <f t="shared" si="183"/>
        <v>1</v>
      </c>
      <c r="H1279" s="2">
        <f t="shared" si="183"/>
        <v>0.36449057933102513</v>
      </c>
      <c r="I1279" s="2">
        <f t="shared" si="175"/>
        <v>0</v>
      </c>
      <c r="J1279" s="389">
        <f t="shared" si="176"/>
        <v>0</v>
      </c>
      <c r="L1279" s="721">
        <v>1174</v>
      </c>
      <c r="M1279" s="581"/>
      <c r="N1279" s="585" t="s">
        <v>1736</v>
      </c>
      <c r="O1279" s="586" t="s">
        <v>4691</v>
      </c>
      <c r="P1279" s="233">
        <f t="shared" si="177"/>
        <v>0</v>
      </c>
      <c r="Q1279" s="233">
        <f t="shared" si="178"/>
        <v>1174</v>
      </c>
      <c r="R1279" s="2">
        <f t="shared" si="179"/>
        <v>2.1</v>
      </c>
      <c r="S1279" s="2">
        <f>(1/9)*cnst_fish!$C$7*(1/cnst_fish!$C$8)^(R1279-1)</f>
        <v>1.7754076320174161</v>
      </c>
      <c r="T1279" s="682">
        <f t="shared" si="180"/>
        <v>178.75720572856241</v>
      </c>
      <c r="W1279" s="818"/>
      <c r="X1279" s="818"/>
      <c r="Y1279" s="819"/>
      <c r="Z1279" s="820"/>
      <c r="AA1279" s="820"/>
      <c r="AB1279" s="821"/>
      <c r="AC1279" s="821"/>
      <c r="AD1279" s="253"/>
      <c r="AE1279" s="253"/>
    </row>
    <row r="1280" spans="1:31" ht="14.5">
      <c r="A1280" t="s">
        <v>3956</v>
      </c>
      <c r="B1280" t="s">
        <v>1725</v>
      </c>
      <c r="C1280">
        <v>3206</v>
      </c>
      <c r="D1280" s="581"/>
      <c r="E1280" s="581"/>
      <c r="F1280" s="2">
        <f>(1/S1280)*cnst_fish!$C$6</f>
        <v>9.9790878883162681E-2</v>
      </c>
      <c r="G1280" s="2">
        <f t="shared" si="183"/>
        <v>1</v>
      </c>
      <c r="H1280" s="2">
        <f t="shared" si="183"/>
        <v>0.36449057933102513</v>
      </c>
      <c r="I1280" s="2">
        <f t="shared" si="175"/>
        <v>0</v>
      </c>
      <c r="J1280" s="389">
        <f t="shared" si="176"/>
        <v>0</v>
      </c>
      <c r="L1280" s="721">
        <v>37389</v>
      </c>
      <c r="M1280" s="581"/>
      <c r="N1280" s="585" t="s">
        <v>1738</v>
      </c>
      <c r="O1280" s="586" t="s">
        <v>4681</v>
      </c>
      <c r="P1280" s="233">
        <f t="shared" si="177"/>
        <v>0</v>
      </c>
      <c r="Q1280" s="233">
        <f t="shared" si="178"/>
        <v>37389</v>
      </c>
      <c r="R1280" s="2">
        <f t="shared" si="179"/>
        <v>3.48</v>
      </c>
      <c r="S1280" s="2">
        <f>(1/9)*cnst_fish!$C$7*(1/cnst_fish!$C$8)^(R1280-1)</f>
        <v>42.589062723618177</v>
      </c>
      <c r="T1280" s="682">
        <f t="shared" si="180"/>
        <v>136564.96889423716</v>
      </c>
      <c r="W1280" s="818"/>
      <c r="X1280" s="818"/>
      <c r="Y1280" s="819"/>
      <c r="Z1280" s="820"/>
      <c r="AA1280" s="820"/>
      <c r="AB1280" s="821"/>
      <c r="AC1280" s="821"/>
      <c r="AD1280" s="253"/>
      <c r="AE1280" s="253"/>
    </row>
    <row r="1281" spans="1:31" ht="14.5">
      <c r="A1281" t="s">
        <v>4530</v>
      </c>
      <c r="B1281" t="s">
        <v>1726</v>
      </c>
      <c r="C1281">
        <v>13544</v>
      </c>
      <c r="D1281" s="581"/>
      <c r="E1281" s="581"/>
      <c r="F1281" s="2">
        <f>(1/S1281)*cnst_fish!$C$6</f>
        <v>0.16184185499703521</v>
      </c>
      <c r="G1281" s="2">
        <f t="shared" si="183"/>
        <v>1</v>
      </c>
      <c r="H1281" s="2">
        <f t="shared" si="183"/>
        <v>0.36449057933102513</v>
      </c>
      <c r="I1281" s="2">
        <f t="shared" si="175"/>
        <v>0</v>
      </c>
      <c r="J1281" s="389">
        <f t="shared" si="176"/>
        <v>0</v>
      </c>
      <c r="L1281" s="721">
        <v>184</v>
      </c>
      <c r="M1281" s="581"/>
      <c r="N1281" s="585" t="s">
        <v>1738</v>
      </c>
      <c r="O1281" s="586" t="s">
        <v>4681</v>
      </c>
      <c r="P1281" s="233">
        <f t="shared" si="177"/>
        <v>0</v>
      </c>
      <c r="Q1281" s="233">
        <f t="shared" si="178"/>
        <v>184</v>
      </c>
      <c r="R1281" s="2">
        <f t="shared" si="179"/>
        <v>3.27</v>
      </c>
      <c r="S1281" s="2">
        <f>(1/9)*cnst_fish!$C$7*(1/cnst_fish!$C$8)^(R1281-1)</f>
        <v>26.260203209348141</v>
      </c>
      <c r="T1281" s="682">
        <f t="shared" si="180"/>
        <v>414.39383278285595</v>
      </c>
      <c r="W1281" s="818"/>
      <c r="X1281" s="818"/>
      <c r="Y1281" s="819"/>
      <c r="Z1281" s="820"/>
      <c r="AA1281" s="820"/>
      <c r="AB1281" s="821"/>
      <c r="AC1281" s="821"/>
      <c r="AD1281" s="253"/>
      <c r="AE1281" s="253"/>
    </row>
    <row r="1282" spans="1:31" ht="14.5">
      <c r="A1282" t="s">
        <v>3526</v>
      </c>
      <c r="B1282" t="s">
        <v>2129</v>
      </c>
      <c r="C1282">
        <v>18766</v>
      </c>
      <c r="D1282" s="581"/>
      <c r="E1282" s="581"/>
      <c r="F1282" s="2">
        <f>(1/S1282)*cnst_fish!$C$6</f>
        <v>0.10692785320993656</v>
      </c>
      <c r="G1282" s="2">
        <f t="shared" si="183"/>
        <v>1</v>
      </c>
      <c r="H1282" s="2">
        <f t="shared" si="183"/>
        <v>0.36449057933102513</v>
      </c>
      <c r="I1282" s="2">
        <f t="shared" si="175"/>
        <v>0</v>
      </c>
      <c r="J1282" s="389">
        <f t="shared" si="176"/>
        <v>0</v>
      </c>
      <c r="L1282" s="721">
        <v>173</v>
      </c>
      <c r="M1282" s="581"/>
      <c r="N1282" s="585" t="s">
        <v>1738</v>
      </c>
      <c r="O1282" s="586" t="s">
        <v>4681</v>
      </c>
      <c r="P1282" s="233">
        <f t="shared" si="177"/>
        <v>0</v>
      </c>
      <c r="Q1282" s="233">
        <f t="shared" si="178"/>
        <v>173</v>
      </c>
      <c r="R1282" s="2">
        <f t="shared" si="179"/>
        <v>3.45</v>
      </c>
      <c r="S1282" s="2">
        <f>(1/9)*cnst_fish!$C$7*(1/cnst_fish!$C$8)^(R1282-1)</f>
        <v>39.746425953729492</v>
      </c>
      <c r="T1282" s="682">
        <f t="shared" si="180"/>
        <v>589.71417017476995</v>
      </c>
      <c r="W1282" s="818"/>
      <c r="X1282" s="818"/>
      <c r="Y1282" s="819"/>
      <c r="Z1282" s="820"/>
      <c r="AA1282" s="820"/>
      <c r="AB1282" s="821"/>
      <c r="AC1282" s="821"/>
      <c r="AD1282" s="253"/>
      <c r="AE1282" s="253"/>
    </row>
    <row r="1283" spans="1:31" ht="14.5">
      <c r="A1283" t="s">
        <v>481</v>
      </c>
      <c r="B1283" t="s">
        <v>2130</v>
      </c>
      <c r="C1283">
        <v>3208</v>
      </c>
      <c r="D1283" s="581"/>
      <c r="E1283" s="581"/>
      <c r="F1283" s="2">
        <f>(1/S1283)*cnst_fish!$C$6</f>
        <v>0.2133491159303107</v>
      </c>
      <c r="G1283" s="2">
        <f t="shared" si="183"/>
        <v>1</v>
      </c>
      <c r="H1283" s="2">
        <f t="shared" si="183"/>
        <v>0.36449057933102513</v>
      </c>
      <c r="I1283" s="2">
        <f t="shared" si="175"/>
        <v>0</v>
      </c>
      <c r="J1283" s="389">
        <f t="shared" si="176"/>
        <v>0</v>
      </c>
      <c r="L1283" s="721">
        <v>16092</v>
      </c>
      <c r="M1283" s="581"/>
      <c r="N1283" s="585" t="s">
        <v>1738</v>
      </c>
      <c r="O1283" s="586" t="s">
        <v>4681</v>
      </c>
      <c r="P1283" s="233">
        <f t="shared" si="177"/>
        <v>0</v>
      </c>
      <c r="Q1283" s="233">
        <f t="shared" si="178"/>
        <v>16092</v>
      </c>
      <c r="R1283" s="2">
        <f t="shared" si="179"/>
        <v>3.15</v>
      </c>
      <c r="S1283" s="2">
        <f>(1/9)*cnst_fish!$C$7*(1/cnst_fish!$C$8)^(R1283-1)</f>
        <v>19.920401270320887</v>
      </c>
      <c r="T1283" s="682">
        <f t="shared" si="180"/>
        <v>27491.94613260432</v>
      </c>
      <c r="W1283" s="818"/>
      <c r="X1283" s="818"/>
      <c r="Y1283" s="819"/>
      <c r="Z1283" s="820"/>
      <c r="AA1283" s="820"/>
      <c r="AB1283" s="821"/>
      <c r="AC1283" s="821"/>
      <c r="AD1283" s="253"/>
      <c r="AE1283" s="253"/>
    </row>
    <row r="1284" spans="1:31" ht="14.5">
      <c r="A1284" t="s">
        <v>4083</v>
      </c>
      <c r="B1284" t="s">
        <v>5017</v>
      </c>
      <c r="C1284">
        <v>2401</v>
      </c>
      <c r="D1284" s="581"/>
      <c r="E1284" s="581"/>
      <c r="F1284" s="2">
        <f>(1/S1284)*cnst_fish!$C$6</f>
        <v>0.13774975896121011</v>
      </c>
      <c r="G1284" s="2">
        <f t="shared" si="183"/>
        <v>1</v>
      </c>
      <c r="H1284" s="2">
        <f t="shared" si="183"/>
        <v>0.36449057933102513</v>
      </c>
      <c r="I1284" s="2">
        <f t="shared" si="175"/>
        <v>0</v>
      </c>
      <c r="J1284" s="389">
        <f t="shared" si="176"/>
        <v>0</v>
      </c>
      <c r="L1284" s="721">
        <v>12167.6</v>
      </c>
      <c r="M1284" s="581"/>
      <c r="N1284" s="585" t="s">
        <v>1738</v>
      </c>
      <c r="O1284" s="586" t="s">
        <v>4681</v>
      </c>
      <c r="P1284" s="233">
        <f t="shared" si="177"/>
        <v>0</v>
      </c>
      <c r="Q1284" s="233">
        <f t="shared" si="178"/>
        <v>12167.6</v>
      </c>
      <c r="R1284" s="2">
        <f t="shared" si="179"/>
        <v>3.34</v>
      </c>
      <c r="S1284" s="2">
        <f>(1/9)*cnst_fish!$C$7*(1/cnst_fish!$C$8)^(R1284-1)</f>
        <v>30.853048542878295</v>
      </c>
      <c r="T1284" s="682">
        <f t="shared" si="180"/>
        <v>32195.886268788727</v>
      </c>
      <c r="W1284" s="818"/>
      <c r="X1284" s="818"/>
      <c r="Y1284" s="819"/>
      <c r="Z1284" s="820"/>
      <c r="AA1284" s="820"/>
      <c r="AB1284" s="821"/>
      <c r="AC1284" s="821"/>
      <c r="AD1284" s="253"/>
      <c r="AE1284" s="253"/>
    </row>
    <row r="1285" spans="1:31" ht="14.5">
      <c r="A1285" t="s">
        <v>3060</v>
      </c>
      <c r="B1285" t="s">
        <v>5018</v>
      </c>
      <c r="C1285">
        <v>3207</v>
      </c>
      <c r="D1285" s="581"/>
      <c r="E1285" s="581"/>
      <c r="F1285" s="2">
        <f>(1/S1285)*cnst_fish!$C$6</f>
        <v>0.11457525898206007</v>
      </c>
      <c r="G1285" s="2">
        <f t="shared" si="183"/>
        <v>1</v>
      </c>
      <c r="H1285" s="2">
        <f t="shared" si="183"/>
        <v>0.36449057933102513</v>
      </c>
      <c r="I1285" s="2">
        <f t="shared" si="175"/>
        <v>0</v>
      </c>
      <c r="J1285" s="389">
        <f t="shared" si="176"/>
        <v>0</v>
      </c>
      <c r="L1285" s="721">
        <v>11405</v>
      </c>
      <c r="M1285" s="581"/>
      <c r="N1285" s="585" t="s">
        <v>1738</v>
      </c>
      <c r="O1285" s="586" t="s">
        <v>4681</v>
      </c>
      <c r="P1285" s="233">
        <f t="shared" si="177"/>
        <v>0</v>
      </c>
      <c r="Q1285" s="233">
        <f t="shared" si="178"/>
        <v>11405</v>
      </c>
      <c r="R1285" s="2">
        <f t="shared" si="179"/>
        <v>3.42</v>
      </c>
      <c r="S1285" s="2">
        <f>(1/9)*cnst_fish!$C$7*(1/cnst_fish!$C$8)^(R1285-1)</f>
        <v>37.093522962627169</v>
      </c>
      <c r="T1285" s="682">
        <f t="shared" si="180"/>
        <v>36281.960819492779</v>
      </c>
      <c r="W1285" s="818"/>
      <c r="X1285" s="818"/>
      <c r="Y1285" s="819"/>
      <c r="Z1285" s="820"/>
      <c r="AA1285" s="820"/>
      <c r="AB1285" s="821"/>
      <c r="AC1285" s="821"/>
      <c r="AD1285" s="253"/>
      <c r="AE1285" s="253"/>
    </row>
    <row r="1286" spans="1:31" ht="14.5">
      <c r="A1286" t="s">
        <v>3010</v>
      </c>
      <c r="B1286" t="s">
        <v>3011</v>
      </c>
      <c r="C1286">
        <v>16910</v>
      </c>
      <c r="D1286" s="581"/>
      <c r="E1286" s="581"/>
      <c r="F1286" s="2">
        <f>(1/S1286)*cnst_fish!$C$6</f>
        <v>2.4296179854146147</v>
      </c>
      <c r="G1286" s="2">
        <f t="shared" si="183"/>
        <v>1</v>
      </c>
      <c r="H1286" s="2">
        <f t="shared" si="183"/>
        <v>0.36449057933102513</v>
      </c>
      <c r="I1286" s="2">
        <f t="shared" si="175"/>
        <v>0</v>
      </c>
      <c r="J1286" s="389">
        <f t="shared" si="176"/>
        <v>0</v>
      </c>
      <c r="L1286" s="721">
        <v>377</v>
      </c>
      <c r="M1286" s="581"/>
      <c r="N1286" s="585" t="s">
        <v>3790</v>
      </c>
      <c r="O1286" s="586" t="s">
        <v>4680</v>
      </c>
      <c r="P1286" s="233">
        <f t="shared" si="177"/>
        <v>0</v>
      </c>
      <c r="Q1286" s="233">
        <f t="shared" si="178"/>
        <v>377</v>
      </c>
      <c r="R1286" s="2">
        <f t="shared" si="179"/>
        <v>2.0935528537656198</v>
      </c>
      <c r="S1286" s="2">
        <f>(1/9)*cnst_fish!$C$7*(1/cnst_fish!$C$8)^(R1286-1)</f>
        <v>1.7492461882952093</v>
      </c>
      <c r="T1286" s="682">
        <f t="shared" si="180"/>
        <v>56.557429699939817</v>
      </c>
      <c r="W1286" s="818"/>
      <c r="X1286" s="818"/>
      <c r="Y1286" s="819"/>
      <c r="Z1286" s="820"/>
      <c r="AA1286" s="820"/>
      <c r="AB1286" s="821"/>
      <c r="AC1286" s="821"/>
      <c r="AD1286" s="253"/>
      <c r="AE1286" s="253"/>
    </row>
    <row r="1287" spans="1:31" ht="14.5">
      <c r="A1287" t="s">
        <v>6501</v>
      </c>
      <c r="B1287" t="s">
        <v>6500</v>
      </c>
      <c r="C1287">
        <v>13548</v>
      </c>
      <c r="D1287" s="581"/>
      <c r="E1287" s="581"/>
      <c r="F1287" s="2">
        <f>(1/S1287)*cnst_fish!$C$6</f>
        <v>1.9014759972289439E-2</v>
      </c>
      <c r="G1287" s="2">
        <f t="shared" si="183"/>
        <v>1</v>
      </c>
      <c r="H1287" s="2">
        <f t="shared" si="183"/>
        <v>0.36449057933102513</v>
      </c>
      <c r="I1287" s="2">
        <f t="shared" ref="I1287:I1350" si="184">IF($F1287=0,0,D1287/$F1287*$H1287*$G1287)</f>
        <v>0</v>
      </c>
      <c r="J1287" s="389">
        <f t="shared" ref="J1287:J1350" si="185">IF($F1287=0,0,E1287/$F1287*$H1287*$G1287)</f>
        <v>0</v>
      </c>
      <c r="L1287" s="721">
        <v>188</v>
      </c>
      <c r="M1287" s="581"/>
      <c r="N1287" s="585" t="s">
        <v>3786</v>
      </c>
      <c r="O1287" s="586" t="s">
        <v>4681</v>
      </c>
      <c r="P1287" s="233">
        <f t="shared" ref="P1287:P1350" si="186">D1287+E1287</f>
        <v>0</v>
      </c>
      <c r="Q1287" s="233">
        <f t="shared" ref="Q1287:Q1350" si="187">L1287+M1287</f>
        <v>188</v>
      </c>
      <c r="R1287" s="2">
        <f t="shared" ref="R1287:R1350" si="188">VLOOKUP(B1287,constant_fish_trophic,3,FALSE)</f>
        <v>4.2</v>
      </c>
      <c r="S1287" s="2">
        <f>(1/9)*cnst_fish!$C$7*(1/cnst_fish!$C$8)^(R1287-1)</f>
        <v>223.51057842400343</v>
      </c>
      <c r="T1287" s="682">
        <f t="shared" ref="T1287:T1350" si="189">IF(F1287=0,0,Q1287/F1287*H1287*G1287)</f>
        <v>3603.7388331009356</v>
      </c>
      <c r="W1287" s="818"/>
      <c r="X1287" s="818"/>
      <c r="Y1287" s="819"/>
      <c r="Z1287" s="820"/>
      <c r="AA1287" s="820"/>
      <c r="AB1287" s="821"/>
      <c r="AC1287" s="821"/>
      <c r="AD1287" s="253"/>
      <c r="AE1287" s="253"/>
    </row>
    <row r="1288" spans="1:31" ht="14.5">
      <c r="A1288" t="s">
        <v>8990</v>
      </c>
      <c r="B1288" t="s">
        <v>8991</v>
      </c>
      <c r="C1288">
        <v>6338</v>
      </c>
      <c r="D1288" s="581"/>
      <c r="E1288" s="581"/>
      <c r="F1288" s="869">
        <f>(1/S1288)*cnst_fish!$C$6</f>
        <v>1.9014759972289439E-2</v>
      </c>
      <c r="G1288" s="869">
        <f t="shared" ref="G1288:H1307" si="190">G$7</f>
        <v>1</v>
      </c>
      <c r="H1288" s="869">
        <f t="shared" si="190"/>
        <v>0.36449057933102513</v>
      </c>
      <c r="I1288" s="869">
        <f t="shared" si="184"/>
        <v>0</v>
      </c>
      <c r="J1288" s="389">
        <f t="shared" si="185"/>
        <v>0</v>
      </c>
      <c r="L1288" s="721">
        <v>2</v>
      </c>
      <c r="M1288" s="581"/>
      <c r="N1288" s="877" t="s">
        <v>3786</v>
      </c>
      <c r="O1288" s="881" t="s">
        <v>4681</v>
      </c>
      <c r="P1288" s="871">
        <f t="shared" si="186"/>
        <v>0</v>
      </c>
      <c r="Q1288" s="871">
        <f t="shared" si="187"/>
        <v>2</v>
      </c>
      <c r="R1288" s="869">
        <f t="shared" si="188"/>
        <v>4.2</v>
      </c>
      <c r="S1288" s="869">
        <f>(1/9)*cnst_fish!$C$7*(1/cnst_fish!$C$8)^(R1288-1)</f>
        <v>223.51057842400343</v>
      </c>
      <c r="T1288" s="682">
        <f t="shared" si="189"/>
        <v>38.337647160648253</v>
      </c>
      <c r="W1288" s="818"/>
      <c r="X1288" s="818"/>
      <c r="Y1288" s="819"/>
      <c r="Z1288" s="820"/>
      <c r="AA1288" s="820"/>
      <c r="AB1288" s="821"/>
      <c r="AC1288" s="821"/>
      <c r="AD1288" s="253"/>
      <c r="AE1288" s="253"/>
    </row>
    <row r="1289" spans="1:31" ht="14.5">
      <c r="A1289" t="s">
        <v>25</v>
      </c>
      <c r="B1289" t="s">
        <v>288</v>
      </c>
      <c r="C1289">
        <v>2205</v>
      </c>
      <c r="D1289" s="581"/>
      <c r="E1289" s="581"/>
      <c r="F1289" s="2">
        <f>(1/S1289)*cnst_fish!$C$6</f>
        <v>2.5650205424007942E-2</v>
      </c>
      <c r="G1289" s="2">
        <f t="shared" si="190"/>
        <v>1</v>
      </c>
      <c r="H1289" s="2">
        <f t="shared" si="190"/>
        <v>0.36449057933102513</v>
      </c>
      <c r="I1289" s="2">
        <f t="shared" si="184"/>
        <v>0</v>
      </c>
      <c r="J1289" s="389">
        <f t="shared" si="185"/>
        <v>0</v>
      </c>
      <c r="L1289" s="721">
        <v>341083</v>
      </c>
      <c r="M1289" s="581"/>
      <c r="N1289" s="585" t="s">
        <v>3786</v>
      </c>
      <c r="O1289" s="586" t="s">
        <v>4681</v>
      </c>
      <c r="P1289" s="233">
        <f t="shared" si="186"/>
        <v>0</v>
      </c>
      <c r="Q1289" s="233">
        <f t="shared" si="187"/>
        <v>341083</v>
      </c>
      <c r="R1289" s="2">
        <f t="shared" si="188"/>
        <v>4.07</v>
      </c>
      <c r="S1289" s="2">
        <f>(1/9)*cnst_fish!$C$7*(1/cnst_fish!$C$8)^(R1289-1)</f>
        <v>165.6906808248057</v>
      </c>
      <c r="T1289" s="682">
        <f t="shared" si="189"/>
        <v>4846804.8584750211</v>
      </c>
      <c r="W1289" s="818"/>
      <c r="X1289" s="818"/>
      <c r="Y1289" s="819"/>
      <c r="Z1289" s="820"/>
      <c r="AA1289" s="820"/>
      <c r="AB1289" s="821"/>
      <c r="AC1289" s="821"/>
      <c r="AD1289" s="253"/>
      <c r="AE1289" s="253"/>
    </row>
    <row r="1290" spans="1:31" ht="14.5">
      <c r="A1290" t="s">
        <v>4138</v>
      </c>
      <c r="B1290" t="s">
        <v>2757</v>
      </c>
      <c r="C1290">
        <v>2991</v>
      </c>
      <c r="D1290" s="581"/>
      <c r="E1290" s="581"/>
      <c r="F1290" s="2">
        <f>(1/S1290)*cnst_fish!$C$6</f>
        <v>2.5650205424007942E-2</v>
      </c>
      <c r="G1290" s="2">
        <f t="shared" si="190"/>
        <v>1</v>
      </c>
      <c r="H1290" s="2">
        <f t="shared" si="190"/>
        <v>0.36449057933102513</v>
      </c>
      <c r="I1290" s="2">
        <f t="shared" si="184"/>
        <v>0</v>
      </c>
      <c r="J1290" s="389">
        <f t="shared" si="185"/>
        <v>0</v>
      </c>
      <c r="L1290" s="721">
        <v>16423</v>
      </c>
      <c r="M1290" s="581">
        <v>1087.75</v>
      </c>
      <c r="N1290" s="585" t="s">
        <v>3786</v>
      </c>
      <c r="O1290" s="586" t="s">
        <v>4681</v>
      </c>
      <c r="P1290" s="233">
        <f t="shared" si="186"/>
        <v>0</v>
      </c>
      <c r="Q1290" s="233">
        <f t="shared" si="187"/>
        <v>17510.75</v>
      </c>
      <c r="R1290" s="2">
        <f t="shared" si="188"/>
        <v>4.07</v>
      </c>
      <c r="S1290" s="2">
        <f>(1/9)*cnst_fish!$C$7*(1/cnst_fish!$C$8)^(R1290-1)</f>
        <v>165.6906808248057</v>
      </c>
      <c r="T1290" s="682">
        <f t="shared" si="189"/>
        <v>248828.54957749724</v>
      </c>
      <c r="W1290" s="818"/>
      <c r="X1290" s="818"/>
      <c r="Y1290" s="819"/>
      <c r="Z1290" s="820"/>
      <c r="AA1290" s="820"/>
      <c r="AB1290" s="821"/>
      <c r="AC1290" s="821"/>
      <c r="AD1290" s="253"/>
      <c r="AE1290" s="253"/>
    </row>
    <row r="1291" spans="1:31" ht="14.5">
      <c r="A1291" t="s">
        <v>6519</v>
      </c>
      <c r="B1291" t="s">
        <v>515</v>
      </c>
      <c r="C1291">
        <v>2990</v>
      </c>
      <c r="D1291" s="581"/>
      <c r="E1291" s="581"/>
      <c r="F1291" s="2">
        <f>(1/S1291)*cnst_fish!$C$6</f>
        <v>3.2291695426024204E-2</v>
      </c>
      <c r="G1291" s="2">
        <f t="shared" si="190"/>
        <v>1</v>
      </c>
      <c r="H1291" s="2">
        <f t="shared" si="190"/>
        <v>0.36449057933102513</v>
      </c>
      <c r="I1291" s="2">
        <f t="shared" si="184"/>
        <v>0</v>
      </c>
      <c r="J1291" s="389">
        <f t="shared" si="185"/>
        <v>0</v>
      </c>
      <c r="L1291" s="721">
        <v>345</v>
      </c>
      <c r="M1291" s="581"/>
      <c r="N1291" s="585" t="s">
        <v>3786</v>
      </c>
      <c r="O1291" s="586" t="s">
        <v>4681</v>
      </c>
      <c r="P1291" s="233">
        <f t="shared" si="186"/>
        <v>0</v>
      </c>
      <c r="Q1291" s="233">
        <f t="shared" si="187"/>
        <v>345</v>
      </c>
      <c r="R1291" s="2">
        <f t="shared" si="188"/>
        <v>3.97</v>
      </c>
      <c r="S1291" s="2">
        <f>(1/9)*cnst_fish!$C$7*(1/cnst_fish!$C$8)^(R1291-1)</f>
        <v>131.61278600983218</v>
      </c>
      <c r="T1291" s="682">
        <f t="shared" si="189"/>
        <v>3894.1668503370397</v>
      </c>
      <c r="W1291" s="818"/>
      <c r="X1291" s="818"/>
      <c r="Y1291" s="819"/>
      <c r="Z1291" s="820"/>
      <c r="AA1291" s="820"/>
      <c r="AB1291" s="821"/>
      <c r="AC1291" s="821"/>
      <c r="AD1291" s="253"/>
      <c r="AE1291" s="253"/>
    </row>
    <row r="1292" spans="1:31" ht="14.5">
      <c r="A1292" t="s">
        <v>5531</v>
      </c>
      <c r="B1292" t="s">
        <v>751</v>
      </c>
      <c r="C1292">
        <v>3007</v>
      </c>
      <c r="D1292" s="581"/>
      <c r="E1292" s="581"/>
      <c r="F1292" s="2">
        <f>(1/S1292)*cnst_fish!$C$6</f>
        <v>0.11997502458044032</v>
      </c>
      <c r="G1292" s="2">
        <f t="shared" si="190"/>
        <v>1</v>
      </c>
      <c r="H1292" s="2">
        <f t="shared" si="190"/>
        <v>0.36449057933102513</v>
      </c>
      <c r="I1292" s="2">
        <f t="shared" si="184"/>
        <v>0</v>
      </c>
      <c r="J1292" s="389">
        <f t="shared" si="185"/>
        <v>0</v>
      </c>
      <c r="L1292" s="721">
        <v>0.64</v>
      </c>
      <c r="M1292" s="581"/>
      <c r="N1292" s="585" t="s">
        <v>1738</v>
      </c>
      <c r="O1292" s="586" t="s">
        <v>4681</v>
      </c>
      <c r="P1292" s="233">
        <f t="shared" si="186"/>
        <v>0</v>
      </c>
      <c r="Q1292" s="233">
        <f t="shared" si="187"/>
        <v>0.64</v>
      </c>
      <c r="R1292" s="2">
        <f t="shared" si="188"/>
        <v>3.4</v>
      </c>
      <c r="S1292" s="2">
        <f>(1/9)*cnst_fish!$C$7*(1/cnst_fish!$C$8)^(R1292-1)</f>
        <v>35.424039418724846</v>
      </c>
      <c r="T1292" s="682">
        <f t="shared" si="189"/>
        <v>1.9443544319963995</v>
      </c>
      <c r="W1292" s="818"/>
      <c r="X1292" s="818"/>
      <c r="Y1292" s="819"/>
      <c r="Z1292" s="820"/>
      <c r="AA1292" s="820"/>
      <c r="AB1292" s="821"/>
      <c r="AC1292" s="821"/>
      <c r="AD1292" s="253"/>
      <c r="AE1292" s="253"/>
    </row>
    <row r="1293" spans="1:31" ht="14.5">
      <c r="A1293" t="s">
        <v>1522</v>
      </c>
      <c r="B1293" t="s">
        <v>752</v>
      </c>
      <c r="C1293">
        <v>3006</v>
      </c>
      <c r="D1293" s="581"/>
      <c r="E1293" s="581"/>
      <c r="F1293" s="2">
        <f>(1/S1293)*cnst_fish!$C$6</f>
        <v>0.11997502458044032</v>
      </c>
      <c r="G1293" s="2">
        <f t="shared" si="190"/>
        <v>1</v>
      </c>
      <c r="H1293" s="2">
        <f t="shared" si="190"/>
        <v>0.36449057933102513</v>
      </c>
      <c r="I1293" s="2">
        <f t="shared" si="184"/>
        <v>0</v>
      </c>
      <c r="J1293" s="389">
        <f t="shared" si="185"/>
        <v>0</v>
      </c>
      <c r="L1293" s="721">
        <v>9.9400000000000013</v>
      </c>
      <c r="M1293" s="581"/>
      <c r="N1293" s="585" t="s">
        <v>1738</v>
      </c>
      <c r="O1293" s="586" t="s">
        <v>4681</v>
      </c>
      <c r="P1293" s="233">
        <f t="shared" si="186"/>
        <v>0</v>
      </c>
      <c r="Q1293" s="233">
        <f t="shared" si="187"/>
        <v>9.9400000000000013</v>
      </c>
      <c r="R1293" s="2">
        <f t="shared" si="188"/>
        <v>3.4</v>
      </c>
      <c r="S1293" s="2">
        <f>(1/9)*cnst_fish!$C$7*(1/cnst_fish!$C$8)^(R1293-1)</f>
        <v>35.424039418724846</v>
      </c>
      <c r="T1293" s="682">
        <f t="shared" si="189"/>
        <v>30.198254771944082</v>
      </c>
      <c r="W1293" s="818"/>
      <c r="X1293" s="818"/>
      <c r="Y1293" s="819"/>
      <c r="Z1293" s="820"/>
      <c r="AA1293" s="820"/>
      <c r="AB1293" s="821"/>
      <c r="AC1293" s="821"/>
      <c r="AD1293" s="253"/>
      <c r="AE1293" s="253"/>
    </row>
    <row r="1294" spans="1:31" ht="14.5">
      <c r="A1294" t="s">
        <v>1113</v>
      </c>
      <c r="B1294" t="s">
        <v>376</v>
      </c>
      <c r="C1294">
        <v>3495</v>
      </c>
      <c r="D1294" s="581"/>
      <c r="E1294" s="581"/>
      <c r="F1294" s="2">
        <f>(1/S1294)*cnst_fish!$C$6</f>
        <v>2.3938164528281742</v>
      </c>
      <c r="G1294" s="2">
        <f t="shared" si="190"/>
        <v>1</v>
      </c>
      <c r="H1294" s="2">
        <f t="shared" si="190"/>
        <v>0.36449057933102513</v>
      </c>
      <c r="I1294" s="2">
        <f t="shared" si="184"/>
        <v>0</v>
      </c>
      <c r="J1294" s="389">
        <f t="shared" si="185"/>
        <v>0</v>
      </c>
      <c r="L1294" s="721">
        <v>3013</v>
      </c>
      <c r="M1294" s="581"/>
      <c r="N1294" s="585" t="s">
        <v>1736</v>
      </c>
      <c r="O1294" s="586" t="s">
        <v>4691</v>
      </c>
      <c r="P1294" s="233">
        <f t="shared" si="186"/>
        <v>0</v>
      </c>
      <c r="Q1294" s="233">
        <f t="shared" si="187"/>
        <v>3013</v>
      </c>
      <c r="R1294" s="2">
        <f t="shared" si="188"/>
        <v>2.1</v>
      </c>
      <c r="S1294" s="2">
        <f>(1/9)*cnst_fish!$C$7*(1/cnst_fish!$C$8)^(R1294-1)</f>
        <v>1.7754076320174161</v>
      </c>
      <c r="T1294" s="682">
        <f t="shared" si="189"/>
        <v>458.76955780252013</v>
      </c>
      <c r="W1294" s="818"/>
      <c r="X1294" s="818"/>
      <c r="Y1294" s="819"/>
      <c r="Z1294" s="820"/>
      <c r="AA1294" s="820"/>
      <c r="AB1294" s="821"/>
      <c r="AC1294" s="821"/>
      <c r="AD1294" s="253"/>
      <c r="AE1294" s="253"/>
    </row>
    <row r="1295" spans="1:31" ht="14.5">
      <c r="A1295" t="s">
        <v>6413</v>
      </c>
      <c r="B1295" t="s">
        <v>6412</v>
      </c>
      <c r="C1295">
        <v>3649</v>
      </c>
      <c r="D1295" s="581"/>
      <c r="E1295" s="581"/>
      <c r="F1295" s="2">
        <f>(1/S1295)*cnst_fish!$C$6</f>
        <v>3.0136363636363641</v>
      </c>
      <c r="G1295" s="2">
        <f t="shared" si="190"/>
        <v>1</v>
      </c>
      <c r="H1295" s="2">
        <f t="shared" si="190"/>
        <v>0.36449057933102513</v>
      </c>
      <c r="I1295" s="2">
        <f t="shared" si="184"/>
        <v>0</v>
      </c>
      <c r="J1295" s="389">
        <f t="shared" si="185"/>
        <v>0</v>
      </c>
      <c r="L1295" s="721">
        <v>2504</v>
      </c>
      <c r="M1295" s="581"/>
      <c r="N1295" s="585" t="s">
        <v>1738</v>
      </c>
      <c r="O1295" s="586" t="s">
        <v>4681</v>
      </c>
      <c r="P1295" s="233">
        <f t="shared" si="186"/>
        <v>0</v>
      </c>
      <c r="Q1295" s="233">
        <f t="shared" si="187"/>
        <v>2504</v>
      </c>
      <c r="R1295" s="2">
        <f t="shared" si="188"/>
        <v>2</v>
      </c>
      <c r="S1295" s="2">
        <f>(1/9)*cnst_fish!$C$7*(1/cnst_fish!$C$8)^(R1295-1)</f>
        <v>1.4102564102564099</v>
      </c>
      <c r="T1295" s="682">
        <f t="shared" si="189"/>
        <v>302.8515389771872</v>
      </c>
      <c r="W1295" s="818"/>
      <c r="X1295" s="818"/>
      <c r="Y1295" s="819"/>
      <c r="Z1295" s="820"/>
      <c r="AA1295" s="820"/>
      <c r="AB1295" s="821"/>
      <c r="AC1295" s="821"/>
      <c r="AD1295" s="253"/>
      <c r="AE1295" s="253"/>
    </row>
    <row r="1296" spans="1:31" ht="14.5">
      <c r="A1296" t="s">
        <v>4741</v>
      </c>
      <c r="B1296" t="s">
        <v>3242</v>
      </c>
      <c r="C1296">
        <v>2031</v>
      </c>
      <c r="D1296" s="581"/>
      <c r="E1296" s="581"/>
      <c r="F1296" s="2">
        <f>(1/S1296)*cnst_fish!$C$6</f>
        <v>5.8761225892708345E-2</v>
      </c>
      <c r="G1296" s="2">
        <f t="shared" si="190"/>
        <v>1</v>
      </c>
      <c r="H1296" s="2">
        <f t="shared" si="190"/>
        <v>0.36449057933102513</v>
      </c>
      <c r="I1296" s="2">
        <f t="shared" si="184"/>
        <v>0</v>
      </c>
      <c r="J1296" s="389">
        <f t="shared" si="185"/>
        <v>0</v>
      </c>
      <c r="L1296" s="721">
        <v>20</v>
      </c>
      <c r="M1296" s="581"/>
      <c r="N1296" s="585" t="s">
        <v>1738</v>
      </c>
      <c r="O1296" s="586" t="s">
        <v>4681</v>
      </c>
      <c r="P1296" s="233">
        <f t="shared" si="186"/>
        <v>0</v>
      </c>
      <c r="Q1296" s="233">
        <f t="shared" si="187"/>
        <v>20</v>
      </c>
      <c r="R1296" s="2">
        <f t="shared" si="188"/>
        <v>3.71</v>
      </c>
      <c r="S1296" s="2">
        <f>(1/9)*cnst_fish!$C$7*(1/cnst_fish!$C$8)^(R1296-1)</f>
        <v>72.326605434679692</v>
      </c>
      <c r="T1296" s="682">
        <f t="shared" si="189"/>
        <v>124.05819442791937</v>
      </c>
      <c r="W1296" s="818"/>
      <c r="X1296" s="818"/>
      <c r="Y1296" s="819"/>
      <c r="Z1296" s="820"/>
      <c r="AA1296" s="820"/>
      <c r="AB1296" s="821"/>
      <c r="AC1296" s="821"/>
      <c r="AD1296" s="253"/>
      <c r="AE1296" s="253"/>
    </row>
    <row r="1297" spans="1:31" ht="14.5">
      <c r="A1297" t="s">
        <v>63</v>
      </c>
      <c r="B1297" t="s">
        <v>2368</v>
      </c>
      <c r="C1297">
        <v>13557</v>
      </c>
      <c r="D1297" s="581"/>
      <c r="E1297" s="581"/>
      <c r="F1297" s="2">
        <f>(1/S1297)*cnst_fish!$C$6</f>
        <v>6.4430402969999093E-2</v>
      </c>
      <c r="G1297" s="2">
        <f t="shared" si="190"/>
        <v>1</v>
      </c>
      <c r="H1297" s="2">
        <f t="shared" si="190"/>
        <v>0.36449057933102513</v>
      </c>
      <c r="I1297" s="2">
        <f t="shared" si="184"/>
        <v>0</v>
      </c>
      <c r="J1297" s="389">
        <f t="shared" si="185"/>
        <v>0</v>
      </c>
      <c r="L1297" s="721">
        <v>575</v>
      </c>
      <c r="M1297" s="581"/>
      <c r="N1297" s="585" t="s">
        <v>1738</v>
      </c>
      <c r="O1297" s="586" t="s">
        <v>4681</v>
      </c>
      <c r="P1297" s="233">
        <f t="shared" si="186"/>
        <v>0</v>
      </c>
      <c r="Q1297" s="233">
        <f t="shared" si="187"/>
        <v>575</v>
      </c>
      <c r="R1297" s="2">
        <f t="shared" si="188"/>
        <v>3.67</v>
      </c>
      <c r="S1297" s="2">
        <f>(1/9)*cnst_fish!$C$7*(1/cnst_fish!$C$8)^(R1297-1)</f>
        <v>65.962648130245896</v>
      </c>
      <c r="T1297" s="682">
        <f t="shared" si="189"/>
        <v>3252.8445183390791</v>
      </c>
      <c r="W1297" s="818"/>
      <c r="X1297" s="818"/>
      <c r="Y1297" s="819"/>
      <c r="Z1297" s="820"/>
      <c r="AA1297" s="820"/>
      <c r="AB1297" s="821"/>
      <c r="AC1297" s="821"/>
      <c r="AD1297" s="253"/>
      <c r="AE1297" s="253"/>
    </row>
    <row r="1298" spans="1:31" ht="14.5">
      <c r="A1298" t="s">
        <v>51</v>
      </c>
      <c r="B1298" t="s">
        <v>2369</v>
      </c>
      <c r="C1298">
        <v>2030</v>
      </c>
      <c r="D1298" s="581"/>
      <c r="E1298" s="581"/>
      <c r="F1298" s="2">
        <f>(1/S1298)*cnst_fish!$C$6</f>
        <v>7.3976000504507963E-2</v>
      </c>
      <c r="G1298" s="2">
        <f t="shared" si="190"/>
        <v>1</v>
      </c>
      <c r="H1298" s="2">
        <f t="shared" si="190"/>
        <v>0.36449057933102513</v>
      </c>
      <c r="I1298" s="2">
        <f t="shared" si="184"/>
        <v>0</v>
      </c>
      <c r="J1298" s="389">
        <f t="shared" si="185"/>
        <v>0</v>
      </c>
      <c r="L1298" s="721"/>
      <c r="M1298" s="581"/>
      <c r="N1298" s="585" t="s">
        <v>1738</v>
      </c>
      <c r="O1298" s="586" t="s">
        <v>4681</v>
      </c>
      <c r="P1298" s="233">
        <f t="shared" si="186"/>
        <v>0</v>
      </c>
      <c r="Q1298" s="233">
        <f t="shared" si="187"/>
        <v>0</v>
      </c>
      <c r="R1298" s="2">
        <f t="shared" si="188"/>
        <v>3.61</v>
      </c>
      <c r="S1298" s="2">
        <f>(1/9)*cnst_fish!$C$7*(1/cnst_fish!$C$8)^(R1298-1)</f>
        <v>57.451064818528707</v>
      </c>
      <c r="T1298" s="682">
        <f t="shared" si="189"/>
        <v>0</v>
      </c>
      <c r="W1298" s="818"/>
      <c r="X1298" s="818"/>
      <c r="Y1298" s="819"/>
      <c r="Z1298" s="820"/>
      <c r="AA1298" s="820"/>
      <c r="AB1298" s="821"/>
      <c r="AC1298" s="821"/>
      <c r="AD1298" s="253"/>
      <c r="AE1298" s="253"/>
    </row>
    <row r="1299" spans="1:31" ht="14.5">
      <c r="A1299" t="s">
        <v>5532</v>
      </c>
      <c r="B1299" t="s">
        <v>2370</v>
      </c>
      <c r="C1299">
        <v>13562</v>
      </c>
      <c r="D1299" s="581"/>
      <c r="E1299" s="581"/>
      <c r="F1299" s="2">
        <f>(1/S1299)*cnst_fish!$C$6</f>
        <v>9.3130266898023228E-2</v>
      </c>
      <c r="G1299" s="2">
        <f t="shared" si="190"/>
        <v>1</v>
      </c>
      <c r="H1299" s="2">
        <f t="shared" si="190"/>
        <v>0.36449057933102513</v>
      </c>
      <c r="I1299" s="2">
        <f t="shared" si="184"/>
        <v>0</v>
      </c>
      <c r="J1299" s="389">
        <f t="shared" si="185"/>
        <v>0</v>
      </c>
      <c r="L1299" s="721">
        <v>1369</v>
      </c>
      <c r="M1299" s="581"/>
      <c r="N1299" s="585" t="s">
        <v>1738</v>
      </c>
      <c r="O1299" s="586" t="s">
        <v>4681</v>
      </c>
      <c r="P1299" s="233">
        <f t="shared" si="186"/>
        <v>0</v>
      </c>
      <c r="Q1299" s="233">
        <f t="shared" si="187"/>
        <v>1369</v>
      </c>
      <c r="R1299" s="2">
        <f t="shared" si="188"/>
        <v>3.51</v>
      </c>
      <c r="S1299" s="2">
        <f>(1/9)*cnst_fish!$C$7*(1/cnst_fish!$C$8)^(R1299-1)</f>
        <v>45.635002900332182</v>
      </c>
      <c r="T1299" s="682">
        <f t="shared" si="189"/>
        <v>5357.9531093855894</v>
      </c>
      <c r="W1299" s="818"/>
      <c r="X1299" s="818"/>
      <c r="Y1299" s="819"/>
      <c r="Z1299" s="820"/>
      <c r="AA1299" s="820"/>
      <c r="AB1299" s="821"/>
      <c r="AC1299" s="821"/>
      <c r="AD1299" s="253"/>
      <c r="AE1299" s="253"/>
    </row>
    <row r="1300" spans="1:31" ht="14.5">
      <c r="A1300" t="s">
        <v>2475</v>
      </c>
      <c r="B1300" t="s">
        <v>2371</v>
      </c>
      <c r="C1300">
        <v>2827</v>
      </c>
      <c r="D1300" s="581"/>
      <c r="E1300" s="581"/>
      <c r="F1300" s="2">
        <f>(1/S1300)*cnst_fish!$C$6</f>
        <v>4.4574948243432784E-2</v>
      </c>
      <c r="G1300" s="2">
        <f t="shared" si="190"/>
        <v>1</v>
      </c>
      <c r="H1300" s="2">
        <f t="shared" si="190"/>
        <v>0.36449057933102513</v>
      </c>
      <c r="I1300" s="2">
        <f t="shared" si="184"/>
        <v>0</v>
      </c>
      <c r="J1300" s="389">
        <f t="shared" si="185"/>
        <v>0</v>
      </c>
      <c r="L1300" s="721">
        <v>3213.42</v>
      </c>
      <c r="M1300" s="581"/>
      <c r="N1300" s="585" t="s">
        <v>1738</v>
      </c>
      <c r="O1300" s="586" t="s">
        <v>4681</v>
      </c>
      <c r="P1300" s="233">
        <f t="shared" si="186"/>
        <v>0</v>
      </c>
      <c r="Q1300" s="233">
        <f t="shared" si="187"/>
        <v>3213.42</v>
      </c>
      <c r="R1300" s="2">
        <f t="shared" si="188"/>
        <v>3.83</v>
      </c>
      <c r="S1300" s="2">
        <f>(1/9)*cnst_fish!$C$7*(1/cnst_fish!$C$8)^(R1300-1)</f>
        <v>95.345034991176945</v>
      </c>
      <c r="T1300" s="682">
        <f t="shared" si="189"/>
        <v>26276.223834011173</v>
      </c>
      <c r="W1300" s="818"/>
      <c r="X1300" s="818"/>
      <c r="Y1300" s="819"/>
      <c r="Z1300" s="820"/>
      <c r="AA1300" s="820"/>
      <c r="AB1300" s="821"/>
      <c r="AC1300" s="821"/>
      <c r="AD1300" s="253"/>
      <c r="AE1300" s="253"/>
    </row>
    <row r="1301" spans="1:31" ht="14.5">
      <c r="A1301" t="s">
        <v>3420</v>
      </c>
      <c r="B1301" t="s">
        <v>2372</v>
      </c>
      <c r="C1301">
        <v>2826</v>
      </c>
      <c r="D1301" s="581"/>
      <c r="E1301" s="581"/>
      <c r="F1301" s="2">
        <f>(1/S1301)*cnst_fish!$C$6</f>
        <v>7.7462381998898044E-2</v>
      </c>
      <c r="G1301" s="2">
        <f t="shared" si="190"/>
        <v>1</v>
      </c>
      <c r="H1301" s="2">
        <f t="shared" si="190"/>
        <v>0.36449057933102513</v>
      </c>
      <c r="I1301" s="2">
        <f t="shared" si="184"/>
        <v>0</v>
      </c>
      <c r="J1301" s="389">
        <f t="shared" si="185"/>
        <v>0</v>
      </c>
      <c r="L1301" s="721">
        <v>2711</v>
      </c>
      <c r="M1301" s="581"/>
      <c r="N1301" s="585" t="s">
        <v>1738</v>
      </c>
      <c r="O1301" s="586" t="s">
        <v>4681</v>
      </c>
      <c r="P1301" s="233">
        <f t="shared" si="186"/>
        <v>0</v>
      </c>
      <c r="Q1301" s="233">
        <f t="shared" si="187"/>
        <v>2711</v>
      </c>
      <c r="R1301" s="2">
        <f t="shared" si="188"/>
        <v>3.59</v>
      </c>
      <c r="S1301" s="2">
        <f>(1/9)*cnst_fish!$C$7*(1/cnst_fish!$C$8)^(R1301-1)</f>
        <v>54.865340960731871</v>
      </c>
      <c r="T1301" s="682">
        <f t="shared" si="189"/>
        <v>12756.307449730451</v>
      </c>
      <c r="W1301" s="818"/>
      <c r="X1301" s="818"/>
      <c r="Y1301" s="819"/>
      <c r="Z1301" s="820"/>
      <c r="AA1301" s="820"/>
      <c r="AB1301" s="821"/>
      <c r="AC1301" s="821"/>
      <c r="AD1301" s="253"/>
      <c r="AE1301" s="253"/>
    </row>
    <row r="1302" spans="1:31" ht="14.5">
      <c r="A1302" t="s">
        <v>4082</v>
      </c>
      <c r="B1302" t="s">
        <v>2132</v>
      </c>
      <c r="C1302">
        <v>2029</v>
      </c>
      <c r="D1302" s="581"/>
      <c r="E1302" s="581"/>
      <c r="F1302" s="2">
        <f>(1/S1302)*cnst_fish!$C$6</f>
        <v>5.6116535073067304E-2</v>
      </c>
      <c r="G1302" s="2">
        <f t="shared" si="190"/>
        <v>1</v>
      </c>
      <c r="H1302" s="2">
        <f t="shared" si="190"/>
        <v>0.36449057933102513</v>
      </c>
      <c r="I1302" s="2">
        <f t="shared" si="184"/>
        <v>0</v>
      </c>
      <c r="J1302" s="389">
        <f t="shared" si="185"/>
        <v>0</v>
      </c>
      <c r="L1302" s="721">
        <v>9802</v>
      </c>
      <c r="M1302" s="581"/>
      <c r="N1302" s="585" t="s">
        <v>1738</v>
      </c>
      <c r="O1302" s="586" t="s">
        <v>4681</v>
      </c>
      <c r="P1302" s="233">
        <f t="shared" si="186"/>
        <v>0</v>
      </c>
      <c r="Q1302" s="233">
        <f t="shared" si="187"/>
        <v>9802</v>
      </c>
      <c r="R1302" s="2">
        <f t="shared" si="188"/>
        <v>3.73</v>
      </c>
      <c r="S1302" s="2">
        <f>(1/9)*cnst_fish!$C$7*(1/cnst_fish!$C$8)^(R1302-1)</f>
        <v>75.735253334266432</v>
      </c>
      <c r="T1302" s="682">
        <f t="shared" si="189"/>
        <v>63666.380220210995</v>
      </c>
      <c r="W1302" s="818"/>
      <c r="X1302" s="818"/>
      <c r="Y1302" s="819"/>
      <c r="Z1302" s="820"/>
      <c r="AA1302" s="820"/>
      <c r="AB1302" s="821"/>
      <c r="AC1302" s="821"/>
      <c r="AD1302" s="253"/>
      <c r="AE1302" s="253"/>
    </row>
    <row r="1303" spans="1:31" ht="14.5">
      <c r="A1303" t="s">
        <v>2692</v>
      </c>
      <c r="B1303" t="s">
        <v>3933</v>
      </c>
      <c r="C1303">
        <v>3553</v>
      </c>
      <c r="D1303" s="581"/>
      <c r="E1303" s="581"/>
      <c r="F1303" s="2">
        <f>(1/S1303)*cnst_fish!$C$6</f>
        <v>2.3938164528281742</v>
      </c>
      <c r="G1303" s="2">
        <f t="shared" si="190"/>
        <v>1</v>
      </c>
      <c r="H1303" s="2">
        <f t="shared" si="190"/>
        <v>0.36449057933102513</v>
      </c>
      <c r="I1303" s="2">
        <f t="shared" si="184"/>
        <v>0</v>
      </c>
      <c r="J1303" s="389">
        <f t="shared" si="185"/>
        <v>0</v>
      </c>
      <c r="L1303" s="721">
        <v>6091</v>
      </c>
      <c r="M1303" s="581"/>
      <c r="N1303" s="585" t="s">
        <v>1736</v>
      </c>
      <c r="O1303" s="586" t="s">
        <v>4691</v>
      </c>
      <c r="P1303" s="233">
        <f t="shared" si="186"/>
        <v>0</v>
      </c>
      <c r="Q1303" s="233">
        <f t="shared" si="187"/>
        <v>6091</v>
      </c>
      <c r="R1303" s="2">
        <f t="shared" si="188"/>
        <v>2.1</v>
      </c>
      <c r="S1303" s="2">
        <f>(1/9)*cnst_fish!$C$7*(1/cnst_fish!$C$8)^(R1303-1)</f>
        <v>1.7754076320174161</v>
      </c>
      <c r="T1303" s="682">
        <f t="shared" si="189"/>
        <v>927.43623517263518</v>
      </c>
      <c r="W1303" s="818"/>
      <c r="X1303" s="818"/>
      <c r="Y1303" s="819"/>
      <c r="Z1303" s="820"/>
      <c r="AA1303" s="820"/>
      <c r="AB1303" s="821"/>
      <c r="AC1303" s="821"/>
      <c r="AD1303" s="253"/>
      <c r="AE1303" s="253"/>
    </row>
    <row r="1304" spans="1:31" ht="14.5">
      <c r="A1304" t="s">
        <v>1612</v>
      </c>
      <c r="B1304" t="s">
        <v>516</v>
      </c>
      <c r="C1304">
        <v>13573</v>
      </c>
      <c r="D1304" s="581"/>
      <c r="E1304" s="581"/>
      <c r="F1304" s="2">
        <f>(1/S1304)*cnst_fish!$C$6</f>
        <v>9.5299549485983424E-3</v>
      </c>
      <c r="G1304" s="2">
        <f t="shared" si="190"/>
        <v>1</v>
      </c>
      <c r="H1304" s="2">
        <f t="shared" si="190"/>
        <v>0.36449057933102513</v>
      </c>
      <c r="I1304" s="2">
        <f t="shared" si="184"/>
        <v>0</v>
      </c>
      <c r="J1304" s="389">
        <f t="shared" si="185"/>
        <v>0</v>
      </c>
      <c r="L1304" s="721">
        <v>16</v>
      </c>
      <c r="M1304" s="581"/>
      <c r="N1304" s="585" t="s">
        <v>1738</v>
      </c>
      <c r="O1304" s="586" t="s">
        <v>4681</v>
      </c>
      <c r="P1304" s="233">
        <f t="shared" si="186"/>
        <v>0</v>
      </c>
      <c r="Q1304" s="233">
        <f t="shared" si="187"/>
        <v>16</v>
      </c>
      <c r="R1304" s="2">
        <f t="shared" si="188"/>
        <v>4.5</v>
      </c>
      <c r="S1304" s="2">
        <f>(1/9)*cnst_fish!$C$7*(1/cnst_fish!$C$8)^(R1304-1)</f>
        <v>445.96223412630997</v>
      </c>
      <c r="T1304" s="682">
        <f t="shared" si="189"/>
        <v>611.94930099372039</v>
      </c>
      <c r="W1304" s="818"/>
      <c r="X1304" s="818"/>
      <c r="Y1304" s="819"/>
      <c r="Z1304" s="820"/>
      <c r="AA1304" s="820"/>
      <c r="AB1304" s="821"/>
      <c r="AC1304" s="821"/>
      <c r="AD1304" s="253"/>
      <c r="AE1304" s="253"/>
    </row>
    <row r="1305" spans="1:31" ht="14.5">
      <c r="A1305" s="403" t="s">
        <v>8952</v>
      </c>
      <c r="B1305" s="403" t="s">
        <v>8953</v>
      </c>
      <c r="C1305" s="403">
        <v>13576</v>
      </c>
      <c r="D1305" s="581"/>
      <c r="E1305" s="581"/>
      <c r="F1305" s="869">
        <f>(1/S1305)*cnst_fish!$C$6</f>
        <v>9.5299549485983424E-3</v>
      </c>
      <c r="G1305" s="869">
        <f t="shared" si="190"/>
        <v>1</v>
      </c>
      <c r="H1305" s="869">
        <f t="shared" si="190"/>
        <v>0.36449057933102513</v>
      </c>
      <c r="I1305" s="869">
        <f t="shared" si="184"/>
        <v>0</v>
      </c>
      <c r="J1305" s="389">
        <f t="shared" si="185"/>
        <v>0</v>
      </c>
      <c r="L1305" s="721">
        <v>1</v>
      </c>
      <c r="M1305" s="581"/>
      <c r="N1305" s="877" t="s">
        <v>1738</v>
      </c>
      <c r="O1305" s="881" t="s">
        <v>4681</v>
      </c>
      <c r="P1305" s="871">
        <f t="shared" si="186"/>
        <v>0</v>
      </c>
      <c r="Q1305" s="871">
        <f t="shared" si="187"/>
        <v>1</v>
      </c>
      <c r="R1305" s="869">
        <f t="shared" si="188"/>
        <v>4.5</v>
      </c>
      <c r="S1305" s="869">
        <f>(1/9)*cnst_fish!$C$7*(1/cnst_fish!$C$8)^(R1305-1)</f>
        <v>445.96223412630997</v>
      </c>
      <c r="T1305" s="682">
        <f t="shared" si="189"/>
        <v>38.246831312107524</v>
      </c>
      <c r="W1305" s="818"/>
      <c r="X1305" s="818"/>
      <c r="Y1305" s="819"/>
      <c r="Z1305" s="820"/>
      <c r="AA1305" s="820"/>
      <c r="AB1305" s="821"/>
      <c r="AC1305" s="821"/>
      <c r="AD1305" s="253"/>
      <c r="AE1305" s="253"/>
    </row>
    <row r="1306" spans="1:31" ht="14.5">
      <c r="A1306" t="s">
        <v>3636</v>
      </c>
      <c r="B1306" t="s">
        <v>517</v>
      </c>
      <c r="C1306">
        <v>13578</v>
      </c>
      <c r="D1306" s="581"/>
      <c r="E1306" s="581"/>
      <c r="F1306" s="2">
        <f>(1/S1306)*cnst_fish!$C$6</f>
        <v>6.7466914312309487E-2</v>
      </c>
      <c r="G1306" s="2">
        <f t="shared" si="190"/>
        <v>1</v>
      </c>
      <c r="H1306" s="2">
        <f t="shared" si="190"/>
        <v>0.36449057933102513</v>
      </c>
      <c r="I1306" s="2">
        <f t="shared" si="184"/>
        <v>0</v>
      </c>
      <c r="J1306" s="389">
        <f t="shared" si="185"/>
        <v>0</v>
      </c>
      <c r="L1306" s="721">
        <v>388</v>
      </c>
      <c r="M1306" s="581"/>
      <c r="N1306" s="585" t="s">
        <v>1738</v>
      </c>
      <c r="O1306" s="586" t="s">
        <v>4681</v>
      </c>
      <c r="P1306" s="233">
        <f t="shared" si="186"/>
        <v>0</v>
      </c>
      <c r="Q1306" s="233">
        <f t="shared" si="187"/>
        <v>388</v>
      </c>
      <c r="R1306" s="2">
        <f t="shared" si="188"/>
        <v>3.65</v>
      </c>
      <c r="S1306" s="2">
        <f>(1/9)*cnst_fish!$C$7*(1/cnst_fish!$C$8)^(R1306-1)</f>
        <v>62.993839918725584</v>
      </c>
      <c r="T1306" s="682">
        <f t="shared" si="189"/>
        <v>2096.1733054187562</v>
      </c>
      <c r="W1306" s="818"/>
      <c r="X1306" s="818"/>
      <c r="Y1306" s="819"/>
      <c r="Z1306" s="820"/>
      <c r="AA1306" s="820"/>
      <c r="AB1306" s="821"/>
      <c r="AC1306" s="821"/>
      <c r="AD1306" s="253"/>
      <c r="AE1306" s="253"/>
    </row>
    <row r="1307" spans="1:31" ht="14.5">
      <c r="A1307" t="s">
        <v>1192</v>
      </c>
      <c r="B1307" t="s">
        <v>514</v>
      </c>
      <c r="C1307">
        <v>13579</v>
      </c>
      <c r="D1307" s="581"/>
      <c r="E1307" s="581"/>
      <c r="F1307" s="2">
        <f>(1/S1307)*cnst_fish!$C$6</f>
        <v>1.0211530705467781E-2</v>
      </c>
      <c r="G1307" s="2">
        <f t="shared" si="190"/>
        <v>1</v>
      </c>
      <c r="H1307" s="2">
        <f t="shared" si="190"/>
        <v>0.36449057933102513</v>
      </c>
      <c r="I1307" s="2">
        <f t="shared" si="184"/>
        <v>0</v>
      </c>
      <c r="J1307" s="389">
        <f t="shared" si="185"/>
        <v>0</v>
      </c>
      <c r="L1307" s="721">
        <v>113</v>
      </c>
      <c r="M1307" s="581"/>
      <c r="N1307" s="585" t="s">
        <v>1738</v>
      </c>
      <c r="O1307" s="586" t="s">
        <v>4681</v>
      </c>
      <c r="P1307" s="233">
        <f t="shared" si="186"/>
        <v>0</v>
      </c>
      <c r="Q1307" s="233">
        <f t="shared" si="187"/>
        <v>113</v>
      </c>
      <c r="R1307" s="2">
        <f t="shared" si="188"/>
        <v>4.47</v>
      </c>
      <c r="S1307" s="2">
        <f>(1/9)*cnst_fish!$C$7*(1/cnst_fish!$C$8)^(R1307-1)</f>
        <v>416.19617299141356</v>
      </c>
      <c r="T1307" s="682">
        <f t="shared" si="189"/>
        <v>4033.424238968596</v>
      </c>
      <c r="W1307" s="818"/>
      <c r="X1307" s="818"/>
      <c r="Y1307" s="819"/>
      <c r="Z1307" s="820"/>
      <c r="AA1307" s="820"/>
      <c r="AB1307" s="821"/>
      <c r="AC1307" s="821"/>
      <c r="AD1307" s="253"/>
      <c r="AE1307" s="253"/>
    </row>
    <row r="1308" spans="1:31" ht="14.5">
      <c r="A1308" t="s">
        <v>8681</v>
      </c>
      <c r="B1308" t="s">
        <v>8682</v>
      </c>
      <c r="C1308">
        <v>13581</v>
      </c>
      <c r="D1308" s="581"/>
      <c r="E1308" s="581"/>
      <c r="F1308" s="2">
        <f>(1/S1308)*cnst_fish!$C$6</f>
        <v>2.3938164528281767E-2</v>
      </c>
      <c r="G1308" s="2">
        <f t="shared" ref="G1308:H1327" si="191">G$7</f>
        <v>1</v>
      </c>
      <c r="H1308" s="2">
        <f t="shared" si="191"/>
        <v>0.36449057933102513</v>
      </c>
      <c r="I1308" s="2">
        <f t="shared" si="184"/>
        <v>0</v>
      </c>
      <c r="J1308" s="389">
        <f t="shared" si="185"/>
        <v>0</v>
      </c>
      <c r="L1308" s="721">
        <v>27</v>
      </c>
      <c r="M1308" s="581"/>
      <c r="N1308" s="585" t="s">
        <v>1738</v>
      </c>
      <c r="O1308" s="586" t="s">
        <v>4681</v>
      </c>
      <c r="P1308" s="233">
        <f t="shared" si="186"/>
        <v>0</v>
      </c>
      <c r="Q1308" s="233">
        <f t="shared" si="187"/>
        <v>27</v>
      </c>
      <c r="R1308" s="2">
        <f t="shared" si="188"/>
        <v>4.0999999999999996</v>
      </c>
      <c r="S1308" s="2">
        <f>(1/9)*cnst_fish!$C$7*(1/cnst_fish!$C$8)^(R1308-1)</f>
        <v>177.54076320174144</v>
      </c>
      <c r="T1308" s="682">
        <f t="shared" si="189"/>
        <v>411.11112050010053</v>
      </c>
      <c r="W1308" s="822"/>
      <c r="X1308" s="822"/>
      <c r="Y1308" s="819"/>
      <c r="Z1308" s="820"/>
      <c r="AA1308" s="820"/>
      <c r="AB1308" s="821"/>
      <c r="AC1308" s="821"/>
      <c r="AD1308" s="253"/>
      <c r="AE1308" s="253"/>
    </row>
    <row r="1309" spans="1:31" ht="14.5">
      <c r="A1309" t="s">
        <v>3810</v>
      </c>
      <c r="B1309" t="s">
        <v>2397</v>
      </c>
      <c r="C1309">
        <v>2277</v>
      </c>
      <c r="D1309" s="581"/>
      <c r="E1309" s="581"/>
      <c r="F1309" s="2">
        <f>(1/S1309)*cnst_fish!$C$6</f>
        <v>1.4760152601876367E-2</v>
      </c>
      <c r="G1309" s="2">
        <f t="shared" si="191"/>
        <v>1</v>
      </c>
      <c r="H1309" s="2">
        <f t="shared" si="191"/>
        <v>0.36449057933102513</v>
      </c>
      <c r="I1309" s="2">
        <f t="shared" si="184"/>
        <v>0</v>
      </c>
      <c r="J1309" s="389">
        <f t="shared" si="185"/>
        <v>0</v>
      </c>
      <c r="L1309" s="721">
        <v>3326</v>
      </c>
      <c r="M1309" s="581"/>
      <c r="N1309" s="585" t="s">
        <v>1738</v>
      </c>
      <c r="O1309" s="586" t="s">
        <v>4681</v>
      </c>
      <c r="P1309" s="233">
        <f t="shared" si="186"/>
        <v>0</v>
      </c>
      <c r="Q1309" s="233">
        <f t="shared" si="187"/>
        <v>3326</v>
      </c>
      <c r="R1309" s="2">
        <f t="shared" si="188"/>
        <v>4.3099999999999996</v>
      </c>
      <c r="S1309" s="2">
        <f>(1/9)*cnst_fish!$C$7*(1/cnst_fish!$C$8)^(R1309-1)</f>
        <v>287.93740245339495</v>
      </c>
      <c r="T1309" s="682">
        <f t="shared" si="189"/>
        <v>82133.003604642814</v>
      </c>
      <c r="W1309" s="818"/>
      <c r="X1309" s="818"/>
      <c r="Y1309" s="819"/>
      <c r="Z1309" s="820"/>
      <c r="AA1309" s="820"/>
      <c r="AB1309" s="821"/>
      <c r="AC1309" s="821"/>
      <c r="AD1309" s="253"/>
      <c r="AE1309" s="253"/>
    </row>
    <row r="1310" spans="1:31" ht="14.5">
      <c r="A1310" t="s">
        <v>1999</v>
      </c>
      <c r="B1310" t="s">
        <v>2622</v>
      </c>
      <c r="C1310">
        <v>13583</v>
      </c>
      <c r="D1310" s="581"/>
      <c r="E1310" s="581"/>
      <c r="F1310" s="2">
        <f>(1/S1310)*cnst_fish!$C$6</f>
        <v>9.7519361156519751E-3</v>
      </c>
      <c r="G1310" s="2">
        <f t="shared" si="191"/>
        <v>1</v>
      </c>
      <c r="H1310" s="2">
        <f t="shared" si="191"/>
        <v>0.36449057933102513</v>
      </c>
      <c r="I1310" s="2">
        <f t="shared" si="184"/>
        <v>0</v>
      </c>
      <c r="J1310" s="389">
        <f t="shared" si="185"/>
        <v>0</v>
      </c>
      <c r="L1310" s="721">
        <v>125</v>
      </c>
      <c r="M1310" s="581"/>
      <c r="N1310" s="585" t="s">
        <v>1738</v>
      </c>
      <c r="O1310" s="586" t="s">
        <v>4681</v>
      </c>
      <c r="P1310" s="233">
        <f t="shared" si="186"/>
        <v>0</v>
      </c>
      <c r="Q1310" s="233">
        <f t="shared" si="187"/>
        <v>125</v>
      </c>
      <c r="R1310" s="2">
        <f t="shared" si="188"/>
        <v>4.49</v>
      </c>
      <c r="S1310" s="2">
        <f>(1/9)*cnst_fish!$C$7*(1/cnst_fish!$C$8)^(R1310-1)</f>
        <v>435.81089432883982</v>
      </c>
      <c r="T1310" s="682">
        <f t="shared" si="189"/>
        <v>4672.0283927262062</v>
      </c>
      <c r="W1310" s="818"/>
      <c r="X1310" s="818"/>
      <c r="Y1310" s="819"/>
      <c r="Z1310" s="820"/>
      <c r="AA1310" s="820"/>
      <c r="AB1310" s="821"/>
      <c r="AC1310" s="821"/>
      <c r="AD1310" s="253"/>
      <c r="AE1310" s="253"/>
    </row>
    <row r="1311" spans="1:31" ht="14.5">
      <c r="A1311" t="s">
        <v>2652</v>
      </c>
      <c r="B1311" t="s">
        <v>2376</v>
      </c>
      <c r="C1311">
        <v>3070</v>
      </c>
      <c r="D1311" s="581"/>
      <c r="E1311" s="581"/>
      <c r="F1311" s="2">
        <f>(1/S1311)*cnst_fish!$C$6</f>
        <v>7.926671266484709E-3</v>
      </c>
      <c r="G1311" s="2">
        <f t="shared" si="191"/>
        <v>1</v>
      </c>
      <c r="H1311" s="2">
        <f t="shared" si="191"/>
        <v>0.36449057933102513</v>
      </c>
      <c r="I1311" s="2">
        <f t="shared" si="184"/>
        <v>0</v>
      </c>
      <c r="J1311" s="389">
        <f t="shared" si="185"/>
        <v>0</v>
      </c>
      <c r="L1311" s="721">
        <v>18</v>
      </c>
      <c r="M1311" s="581"/>
      <c r="N1311" s="585" t="s">
        <v>1738</v>
      </c>
      <c r="O1311" s="586" t="s">
        <v>4681</v>
      </c>
      <c r="P1311" s="233">
        <f t="shared" si="186"/>
        <v>0</v>
      </c>
      <c r="Q1311" s="233">
        <f t="shared" si="187"/>
        <v>18</v>
      </c>
      <c r="R1311" s="2">
        <f t="shared" si="188"/>
        <v>4.58</v>
      </c>
      <c r="S1311" s="2">
        <f>(1/9)*cnst_fish!$C$7*(1/cnst_fish!$C$8)^(R1311-1)</f>
        <v>536.16453327258694</v>
      </c>
      <c r="T1311" s="682">
        <f t="shared" si="189"/>
        <v>827.69049042045424</v>
      </c>
      <c r="W1311" s="818"/>
      <c r="X1311" s="818"/>
      <c r="Y1311" s="819"/>
      <c r="Z1311" s="820"/>
      <c r="AA1311" s="820"/>
      <c r="AB1311" s="821"/>
      <c r="AC1311" s="821"/>
      <c r="AD1311" s="253"/>
      <c r="AE1311" s="253"/>
    </row>
    <row r="1312" spans="1:31" ht="14.5">
      <c r="A1312" t="s">
        <v>2869</v>
      </c>
      <c r="B1312" t="s">
        <v>2758</v>
      </c>
      <c r="C1312">
        <v>2947</v>
      </c>
      <c r="D1312" s="581"/>
      <c r="E1312" s="581"/>
      <c r="F1312" s="2">
        <f>(1/S1312)*cnst_fish!$C$6</f>
        <v>0.19014759972289441</v>
      </c>
      <c r="G1312" s="2">
        <f t="shared" si="191"/>
        <v>1</v>
      </c>
      <c r="H1312" s="2">
        <f t="shared" si="191"/>
        <v>0.36449057933102513</v>
      </c>
      <c r="I1312" s="2">
        <f t="shared" si="184"/>
        <v>0</v>
      </c>
      <c r="J1312" s="389">
        <f t="shared" si="185"/>
        <v>0</v>
      </c>
      <c r="L1312" s="721">
        <v>400.04</v>
      </c>
      <c r="M1312" s="581"/>
      <c r="N1312" s="585" t="s">
        <v>1738</v>
      </c>
      <c r="O1312" s="586" t="s">
        <v>4681</v>
      </c>
      <c r="P1312" s="233">
        <f t="shared" si="186"/>
        <v>0</v>
      </c>
      <c r="Q1312" s="233">
        <f t="shared" si="187"/>
        <v>400.04</v>
      </c>
      <c r="R1312" s="2">
        <f t="shared" si="188"/>
        <v>3.2</v>
      </c>
      <c r="S1312" s="2">
        <f>(1/9)*cnst_fish!$C$7*(1/cnst_fish!$C$8)^(R1312-1)</f>
        <v>22.351057842400341</v>
      </c>
      <c r="T1312" s="682">
        <f t="shared" si="189"/>
        <v>766.82961850728634</v>
      </c>
      <c r="W1312" s="818"/>
      <c r="X1312" s="818"/>
      <c r="Y1312" s="819"/>
      <c r="Z1312" s="820"/>
      <c r="AA1312" s="820"/>
      <c r="AB1312" s="821"/>
      <c r="AC1312" s="821"/>
      <c r="AD1312" s="253"/>
      <c r="AE1312" s="253"/>
    </row>
    <row r="1313" spans="1:31" ht="14.5">
      <c r="A1313" t="s">
        <v>3803</v>
      </c>
      <c r="B1313" t="s">
        <v>2133</v>
      </c>
      <c r="C1313">
        <v>2866</v>
      </c>
      <c r="D1313" s="581"/>
      <c r="E1313" s="581"/>
      <c r="F1313" s="2">
        <f>(1/S1313)*cnst_fish!$C$6</f>
        <v>8.6914222116951781E-2</v>
      </c>
      <c r="G1313" s="2">
        <f t="shared" si="191"/>
        <v>1</v>
      </c>
      <c r="H1313" s="2">
        <f t="shared" si="191"/>
        <v>0.36449057933102513</v>
      </c>
      <c r="I1313" s="2">
        <f t="shared" si="184"/>
        <v>0</v>
      </c>
      <c r="J1313" s="389">
        <f t="shared" si="185"/>
        <v>0</v>
      </c>
      <c r="L1313" s="721">
        <v>4717.37</v>
      </c>
      <c r="M1313" s="581"/>
      <c r="N1313" s="585" t="s">
        <v>1738</v>
      </c>
      <c r="O1313" s="586" t="s">
        <v>4681</v>
      </c>
      <c r="P1313" s="233">
        <f t="shared" si="186"/>
        <v>0</v>
      </c>
      <c r="Q1313" s="233">
        <f t="shared" si="187"/>
        <v>4717.37</v>
      </c>
      <c r="R1313" s="2">
        <f t="shared" si="188"/>
        <v>3.54</v>
      </c>
      <c r="S1313" s="2">
        <f>(1/9)*cnst_fish!$C$7*(1/cnst_fish!$C$8)^(R1313-1)</f>
        <v>48.898786602280119</v>
      </c>
      <c r="T1313" s="682">
        <f t="shared" si="189"/>
        <v>19783.1480549308</v>
      </c>
      <c r="W1313" s="818"/>
      <c r="X1313" s="818"/>
      <c r="Y1313" s="819"/>
      <c r="Z1313" s="820"/>
      <c r="AA1313" s="820"/>
      <c r="AB1313" s="821"/>
      <c r="AC1313" s="821"/>
      <c r="AD1313" s="253"/>
      <c r="AE1313" s="253"/>
    </row>
    <row r="1314" spans="1:31" ht="14.5">
      <c r="A1314" t="s">
        <v>2816</v>
      </c>
      <c r="B1314" t="s">
        <v>2134</v>
      </c>
      <c r="C1314">
        <v>13590</v>
      </c>
      <c r="D1314" s="581"/>
      <c r="E1314" s="581"/>
      <c r="F1314" s="2">
        <f>(1/S1314)*cnst_fish!$C$6</f>
        <v>7.3976000504507963E-2</v>
      </c>
      <c r="G1314" s="2">
        <f t="shared" si="191"/>
        <v>1</v>
      </c>
      <c r="H1314" s="2">
        <f t="shared" si="191"/>
        <v>0.36449057933102513</v>
      </c>
      <c r="I1314" s="2">
        <f t="shared" si="184"/>
        <v>0</v>
      </c>
      <c r="J1314" s="389">
        <f t="shared" si="185"/>
        <v>0</v>
      </c>
      <c r="L1314" s="721">
        <v>33</v>
      </c>
      <c r="M1314" s="581"/>
      <c r="N1314" s="585" t="s">
        <v>1738</v>
      </c>
      <c r="O1314" s="586" t="s">
        <v>4681</v>
      </c>
      <c r="P1314" s="233">
        <f t="shared" si="186"/>
        <v>0</v>
      </c>
      <c r="Q1314" s="233">
        <f t="shared" si="187"/>
        <v>33</v>
      </c>
      <c r="R1314" s="2">
        <f t="shared" si="188"/>
        <v>3.61</v>
      </c>
      <c r="S1314" s="2">
        <f>(1/9)*cnst_fish!$C$7*(1/cnst_fish!$C$8)^(R1314-1)</f>
        <v>57.451064818528707</v>
      </c>
      <c r="T1314" s="682">
        <f t="shared" si="189"/>
        <v>162.59582886196793</v>
      </c>
      <c r="W1314" s="818"/>
      <c r="X1314" s="818"/>
      <c r="Y1314" s="819"/>
      <c r="Z1314" s="820"/>
      <c r="AA1314" s="820"/>
      <c r="AB1314" s="821"/>
      <c r="AC1314" s="821"/>
      <c r="AD1314" s="253"/>
      <c r="AE1314" s="253"/>
    </row>
    <row r="1315" spans="1:31" ht="14.5">
      <c r="A1315" t="s">
        <v>3294</v>
      </c>
      <c r="B1315" t="s">
        <v>2361</v>
      </c>
      <c r="C1315">
        <v>2970</v>
      </c>
      <c r="D1315" s="581"/>
      <c r="E1315" s="581"/>
      <c r="F1315" s="2">
        <f>(1/S1315)*cnst_fish!$C$6</f>
        <v>0.19457670629544385</v>
      </c>
      <c r="G1315" s="2">
        <f t="shared" si="191"/>
        <v>1</v>
      </c>
      <c r="H1315" s="2">
        <f t="shared" si="191"/>
        <v>0.36449057933102513</v>
      </c>
      <c r="I1315" s="2">
        <f t="shared" si="184"/>
        <v>0</v>
      </c>
      <c r="J1315" s="389">
        <f t="shared" si="185"/>
        <v>0</v>
      </c>
      <c r="L1315" s="721"/>
      <c r="M1315" s="581">
        <v>743</v>
      </c>
      <c r="N1315" s="585" t="s">
        <v>5194</v>
      </c>
      <c r="O1315" s="586" t="s">
        <v>4685</v>
      </c>
      <c r="P1315" s="233">
        <f t="shared" si="186"/>
        <v>0</v>
      </c>
      <c r="Q1315" s="233">
        <f t="shared" si="187"/>
        <v>743</v>
      </c>
      <c r="R1315" s="2">
        <f t="shared" si="188"/>
        <v>3.19</v>
      </c>
      <c r="S1315" s="2">
        <f>(1/9)*cnst_fish!$C$7*(1/cnst_fish!$C$8)^(R1315-1)</f>
        <v>21.84228565132987</v>
      </c>
      <c r="T1315" s="682">
        <f t="shared" si="189"/>
        <v>1391.8238498278713</v>
      </c>
      <c r="W1315" s="818"/>
      <c r="X1315" s="818"/>
      <c r="Y1315" s="819"/>
      <c r="Z1315" s="820"/>
      <c r="AA1315" s="820"/>
      <c r="AB1315" s="821"/>
      <c r="AC1315" s="821"/>
      <c r="AD1315" s="253"/>
      <c r="AE1315" s="253"/>
    </row>
    <row r="1316" spans="1:31" ht="14.5">
      <c r="A1316" t="s">
        <v>8879</v>
      </c>
      <c r="B1316" t="s">
        <v>8880</v>
      </c>
      <c r="C1316">
        <v>13604</v>
      </c>
      <c r="D1316" s="581"/>
      <c r="E1316" s="581"/>
      <c r="F1316" s="2">
        <f>(1/S1316)*cnst_fish!$C$6</f>
        <v>0.47762917572805397</v>
      </c>
      <c r="G1316" s="2">
        <f t="shared" si="191"/>
        <v>1</v>
      </c>
      <c r="H1316" s="2">
        <f t="shared" si="191"/>
        <v>0.36449057933102513</v>
      </c>
      <c r="I1316" s="2">
        <f t="shared" si="184"/>
        <v>0</v>
      </c>
      <c r="J1316" s="389">
        <f t="shared" si="185"/>
        <v>0</v>
      </c>
      <c r="L1316" s="721"/>
      <c r="M1316" s="581">
        <v>2466</v>
      </c>
      <c r="N1316" s="585" t="s">
        <v>4282</v>
      </c>
      <c r="O1316" s="586" t="s">
        <v>4685</v>
      </c>
      <c r="P1316" s="233">
        <f t="shared" si="186"/>
        <v>0</v>
      </c>
      <c r="Q1316" s="233">
        <f t="shared" si="187"/>
        <v>2466</v>
      </c>
      <c r="R1316" s="2">
        <f t="shared" si="188"/>
        <v>2.8</v>
      </c>
      <c r="S1316" s="2">
        <f>(1/9)*cnst_fish!$C$7*(1/cnst_fish!$C$8)^(R1316-1)</f>
        <v>8.8981163965155421</v>
      </c>
      <c r="T1316" s="682">
        <f t="shared" si="189"/>
        <v>1881.8652927979294</v>
      </c>
      <c r="W1316" s="818"/>
      <c r="X1316" s="818"/>
      <c r="Y1316" s="819"/>
      <c r="Z1316" s="820"/>
      <c r="AA1316" s="820"/>
      <c r="AB1316" s="821"/>
      <c r="AC1316" s="821"/>
      <c r="AD1316" s="253"/>
      <c r="AE1316" s="253"/>
    </row>
    <row r="1317" spans="1:31" ht="14.5">
      <c r="A1317" t="s">
        <v>6631</v>
      </c>
      <c r="B1317" t="s">
        <v>6630</v>
      </c>
      <c r="C1317">
        <v>6515</v>
      </c>
      <c r="D1317" s="581"/>
      <c r="E1317" s="581"/>
      <c r="F1317" s="2">
        <f>(1/S1317)*cnst_fish!$C$6</f>
        <v>3.7939434000887833E-2</v>
      </c>
      <c r="G1317" s="2">
        <f t="shared" si="191"/>
        <v>1</v>
      </c>
      <c r="H1317" s="2">
        <f t="shared" si="191"/>
        <v>0.36449057933102513</v>
      </c>
      <c r="I1317" s="2">
        <f t="shared" si="184"/>
        <v>0</v>
      </c>
      <c r="J1317" s="389">
        <f t="shared" si="185"/>
        <v>0</v>
      </c>
      <c r="L1317" s="721">
        <v>5</v>
      </c>
      <c r="M1317" s="581"/>
      <c r="N1317" s="585" t="s">
        <v>1738</v>
      </c>
      <c r="O1317" s="586" t="s">
        <v>4681</v>
      </c>
      <c r="P1317" s="233">
        <f t="shared" si="186"/>
        <v>0</v>
      </c>
      <c r="Q1317" s="233">
        <f t="shared" si="187"/>
        <v>5</v>
      </c>
      <c r="R1317" s="2">
        <f t="shared" si="188"/>
        <v>3.9</v>
      </c>
      <c r="S1317" s="2">
        <f>(1/9)*cnst_fish!$C$7*(1/cnst_fish!$C$8)^(R1317-1)</f>
        <v>112.02064848675771</v>
      </c>
      <c r="T1317" s="682">
        <f t="shared" si="189"/>
        <v>48.035848310559345</v>
      </c>
      <c r="W1317" s="818"/>
      <c r="X1317" s="818"/>
      <c r="Y1317" s="819"/>
      <c r="Z1317" s="820"/>
      <c r="AA1317" s="820"/>
      <c r="AB1317" s="821"/>
      <c r="AC1317" s="821"/>
      <c r="AD1317" s="253"/>
      <c r="AE1317" s="253"/>
    </row>
    <row r="1318" spans="1:31" ht="14.5">
      <c r="A1318" t="s">
        <v>3357</v>
      </c>
      <c r="B1318" t="s">
        <v>2377</v>
      </c>
      <c r="C1318">
        <v>3343</v>
      </c>
      <c r="D1318" s="581"/>
      <c r="E1318" s="581"/>
      <c r="F1318" s="2">
        <f>(1/S1318)*cnst_fish!$C$6</f>
        <v>4.2568745094767511E-2</v>
      </c>
      <c r="G1318" s="2">
        <f t="shared" si="191"/>
        <v>1</v>
      </c>
      <c r="H1318" s="2">
        <f t="shared" si="191"/>
        <v>0.36449057933102513</v>
      </c>
      <c r="I1318" s="2">
        <f t="shared" si="184"/>
        <v>0</v>
      </c>
      <c r="J1318" s="389">
        <f t="shared" si="185"/>
        <v>0</v>
      </c>
      <c r="L1318" s="721">
        <v>94</v>
      </c>
      <c r="M1318" s="581"/>
      <c r="N1318" s="585" t="s">
        <v>1738</v>
      </c>
      <c r="O1318" s="586" t="s">
        <v>4681</v>
      </c>
      <c r="P1318" s="233">
        <f t="shared" si="186"/>
        <v>0</v>
      </c>
      <c r="Q1318" s="233">
        <f t="shared" si="187"/>
        <v>94</v>
      </c>
      <c r="R1318" s="2">
        <f t="shared" si="188"/>
        <v>3.85</v>
      </c>
      <c r="S1318" s="2">
        <f>(1/9)*cnst_fish!$C$7*(1/cnst_fish!$C$8)^(R1318-1)</f>
        <v>99.838508054173388</v>
      </c>
      <c r="T1318" s="682">
        <f t="shared" si="189"/>
        <v>804.86550357172302</v>
      </c>
      <c r="W1318" s="818"/>
      <c r="X1318" s="818"/>
      <c r="Y1318" s="819"/>
      <c r="Z1318" s="820"/>
      <c r="AA1318" s="820"/>
      <c r="AB1318" s="821"/>
      <c r="AC1318" s="821"/>
      <c r="AD1318" s="253"/>
      <c r="AE1318" s="253"/>
    </row>
    <row r="1319" spans="1:31" ht="14.5">
      <c r="A1319" t="s">
        <v>6520</v>
      </c>
      <c r="B1319" t="s">
        <v>40</v>
      </c>
      <c r="C1319">
        <v>19129</v>
      </c>
      <c r="D1319" s="581"/>
      <c r="E1319" s="581"/>
      <c r="F1319" s="2">
        <f>(1/S1319)*cnst_fish!$C$6</f>
        <v>0.35407139951132155</v>
      </c>
      <c r="G1319" s="2">
        <f t="shared" si="191"/>
        <v>1</v>
      </c>
      <c r="H1319" s="2">
        <f t="shared" si="191"/>
        <v>0.36449057933102513</v>
      </c>
      <c r="I1319" s="2">
        <f t="shared" si="184"/>
        <v>0</v>
      </c>
      <c r="J1319" s="389">
        <f t="shared" si="185"/>
        <v>0</v>
      </c>
      <c r="L1319" s="721"/>
      <c r="M1319" s="581">
        <v>839.07</v>
      </c>
      <c r="N1319" s="585" t="s">
        <v>5194</v>
      </c>
      <c r="O1319" s="586" t="s">
        <v>4685</v>
      </c>
      <c r="P1319" s="233">
        <f t="shared" si="186"/>
        <v>0</v>
      </c>
      <c r="Q1319" s="233">
        <f t="shared" si="187"/>
        <v>839.07</v>
      </c>
      <c r="R1319" s="2">
        <f t="shared" si="188"/>
        <v>2.93</v>
      </c>
      <c r="S1319" s="2">
        <f>(1/9)*cnst_fish!$C$7*(1/cnst_fish!$C$8)^(R1319-1)</f>
        <v>12.003228743879678</v>
      </c>
      <c r="T1319" s="682">
        <f t="shared" si="189"/>
        <v>863.76112507642449</v>
      </c>
      <c r="W1319" s="818"/>
      <c r="X1319" s="818"/>
      <c r="Y1319" s="819"/>
      <c r="Z1319" s="820"/>
      <c r="AA1319" s="820"/>
      <c r="AB1319" s="821"/>
      <c r="AC1319" s="821"/>
      <c r="AD1319" s="253"/>
      <c r="AE1319" s="253"/>
    </row>
    <row r="1320" spans="1:31" ht="14.5">
      <c r="A1320" t="s">
        <v>6521</v>
      </c>
      <c r="B1320" t="s">
        <v>41</v>
      </c>
      <c r="C1320">
        <v>19130</v>
      </c>
      <c r="D1320" s="581"/>
      <c r="E1320" s="581"/>
      <c r="F1320" s="2">
        <f>(1/S1320)*cnst_fish!$C$6</f>
        <v>0.13774975896121011</v>
      </c>
      <c r="G1320" s="2">
        <f t="shared" si="191"/>
        <v>1</v>
      </c>
      <c r="H1320" s="2">
        <f t="shared" si="191"/>
        <v>0.36449057933102513</v>
      </c>
      <c r="I1320" s="2">
        <f t="shared" si="184"/>
        <v>0</v>
      </c>
      <c r="J1320" s="389">
        <f t="shared" si="185"/>
        <v>0</v>
      </c>
      <c r="L1320" s="721"/>
      <c r="M1320" s="581">
        <v>5005.33</v>
      </c>
      <c r="N1320" s="585" t="s">
        <v>1738</v>
      </c>
      <c r="O1320" s="586" t="s">
        <v>4685</v>
      </c>
      <c r="P1320" s="233">
        <f t="shared" si="186"/>
        <v>0</v>
      </c>
      <c r="Q1320" s="233">
        <f t="shared" si="187"/>
        <v>5005.33</v>
      </c>
      <c r="R1320" s="2">
        <f t="shared" si="188"/>
        <v>3.34</v>
      </c>
      <c r="S1320" s="2">
        <f>(1/9)*cnst_fish!$C$7*(1/cnst_fish!$C$8)^(R1320-1)</f>
        <v>30.853048542878295</v>
      </c>
      <c r="T1320" s="682">
        <f t="shared" si="189"/>
        <v>13244.274583135235</v>
      </c>
      <c r="W1320" s="818"/>
      <c r="X1320" s="818"/>
      <c r="Y1320" s="819"/>
      <c r="Z1320" s="820"/>
      <c r="AA1320" s="820"/>
      <c r="AB1320" s="821"/>
      <c r="AC1320" s="821"/>
      <c r="AD1320" s="253"/>
      <c r="AE1320" s="253"/>
    </row>
    <row r="1321" spans="1:31" ht="14.5">
      <c r="A1321" t="s">
        <v>4071</v>
      </c>
      <c r="B1321" t="s">
        <v>4186</v>
      </c>
      <c r="C1321">
        <v>2686</v>
      </c>
      <c r="D1321" s="581"/>
      <c r="E1321" s="581"/>
      <c r="F1321" s="2">
        <f>(1/S1321)*cnst_fish!$C$6</f>
        <v>2.3938164528281742</v>
      </c>
      <c r="G1321" s="2">
        <f t="shared" si="191"/>
        <v>1</v>
      </c>
      <c r="H1321" s="2">
        <f t="shared" si="191"/>
        <v>0.36449057933102513</v>
      </c>
      <c r="I1321" s="2">
        <f t="shared" si="184"/>
        <v>0</v>
      </c>
      <c r="J1321" s="389">
        <f t="shared" si="185"/>
        <v>0</v>
      </c>
      <c r="L1321" s="721">
        <v>15224</v>
      </c>
      <c r="M1321" s="581"/>
      <c r="N1321" s="585" t="s">
        <v>2314</v>
      </c>
      <c r="O1321" s="586" t="s">
        <v>4691</v>
      </c>
      <c r="P1321" s="233">
        <f t="shared" si="186"/>
        <v>0</v>
      </c>
      <c r="Q1321" s="233">
        <f t="shared" si="187"/>
        <v>15224</v>
      </c>
      <c r="R1321" s="2">
        <f t="shared" si="188"/>
        <v>2.1</v>
      </c>
      <c r="S1321" s="2">
        <f>(1/9)*cnst_fish!$C$7*(1/cnst_fish!$C$8)^(R1321-1)</f>
        <v>1.7754076320174161</v>
      </c>
      <c r="T1321" s="682">
        <f t="shared" si="189"/>
        <v>2318.0576661087175</v>
      </c>
      <c r="W1321" s="818"/>
      <c r="X1321" s="818"/>
      <c r="Y1321" s="819"/>
      <c r="Z1321" s="820"/>
      <c r="AA1321" s="820"/>
      <c r="AB1321" s="821"/>
      <c r="AC1321" s="821"/>
      <c r="AD1321" s="253"/>
      <c r="AE1321" s="253"/>
    </row>
    <row r="1322" spans="1:31" ht="14.5">
      <c r="A1322" s="403" t="s">
        <v>8940</v>
      </c>
      <c r="B1322" s="403" t="s">
        <v>8941</v>
      </c>
      <c r="C1322" s="403">
        <v>3526</v>
      </c>
      <c r="D1322" s="581"/>
      <c r="E1322" s="581"/>
      <c r="F1322" s="869">
        <f>(1/S1322)*cnst_fish!$C$6</f>
        <v>1.9910898001319817</v>
      </c>
      <c r="G1322" s="869">
        <f t="shared" si="191"/>
        <v>1</v>
      </c>
      <c r="H1322" s="869">
        <f t="shared" si="191"/>
        <v>0.36449057933102513</v>
      </c>
      <c r="I1322" s="869">
        <f t="shared" si="184"/>
        <v>0</v>
      </c>
      <c r="J1322" s="389">
        <f t="shared" si="185"/>
        <v>0</v>
      </c>
      <c r="L1322" s="721"/>
      <c r="M1322" s="581"/>
      <c r="N1322" s="877" t="s">
        <v>2314</v>
      </c>
      <c r="O1322" s="881" t="s">
        <v>4691</v>
      </c>
      <c r="P1322" s="871">
        <f t="shared" si="186"/>
        <v>0</v>
      </c>
      <c r="Q1322" s="871">
        <f t="shared" si="187"/>
        <v>0</v>
      </c>
      <c r="R1322" s="869">
        <f t="shared" si="188"/>
        <v>2.1800000000000002</v>
      </c>
      <c r="S1322" s="869">
        <f>(1/9)*cnst_fish!$C$7*(1/cnst_fish!$C$8)^(R1322-1)</f>
        <v>2.1345094529228588</v>
      </c>
      <c r="T1322" s="682">
        <f t="shared" si="189"/>
        <v>0</v>
      </c>
      <c r="W1322" s="818"/>
      <c r="X1322" s="818"/>
      <c r="Y1322" s="819"/>
      <c r="Z1322" s="820"/>
      <c r="AA1322" s="820"/>
      <c r="AB1322" s="821"/>
      <c r="AC1322" s="821"/>
      <c r="AD1322" s="253"/>
      <c r="AE1322" s="253"/>
    </row>
    <row r="1323" spans="1:31" ht="14.5">
      <c r="A1323" t="s">
        <v>2895</v>
      </c>
      <c r="B1323" t="s">
        <v>4187</v>
      </c>
      <c r="C1323">
        <v>3527</v>
      </c>
      <c r="D1323" s="581"/>
      <c r="E1323" s="581"/>
      <c r="F1323" s="2">
        <f>(1/S1323)*cnst_fish!$C$6</f>
        <v>2.3938164528281742</v>
      </c>
      <c r="G1323" s="2">
        <f t="shared" si="191"/>
        <v>1</v>
      </c>
      <c r="H1323" s="2">
        <f t="shared" si="191"/>
        <v>0.36449057933102513</v>
      </c>
      <c r="I1323" s="2">
        <f t="shared" si="184"/>
        <v>0</v>
      </c>
      <c r="J1323" s="389">
        <f t="shared" si="185"/>
        <v>0</v>
      </c>
      <c r="L1323" s="721">
        <v>1431</v>
      </c>
      <c r="M1323" s="581"/>
      <c r="N1323" s="585" t="s">
        <v>2314</v>
      </c>
      <c r="O1323" s="586" t="s">
        <v>4691</v>
      </c>
      <c r="P1323" s="233">
        <f t="shared" si="186"/>
        <v>0</v>
      </c>
      <c r="Q1323" s="233">
        <f t="shared" si="187"/>
        <v>1431</v>
      </c>
      <c r="R1323" s="2">
        <f t="shared" si="188"/>
        <v>2.1</v>
      </c>
      <c r="S1323" s="2">
        <f>(1/9)*cnst_fish!$C$7*(1/cnst_fish!$C$8)^(R1323-1)</f>
        <v>1.7754076320174161</v>
      </c>
      <c r="T1323" s="682">
        <f t="shared" si="189"/>
        <v>217.88889386505352</v>
      </c>
      <c r="W1323" s="818"/>
      <c r="X1323" s="818"/>
      <c r="Y1323" s="819"/>
      <c r="Z1323" s="820"/>
      <c r="AA1323" s="820"/>
      <c r="AB1323" s="821"/>
      <c r="AC1323" s="821"/>
      <c r="AD1323" s="253"/>
      <c r="AE1323" s="253"/>
    </row>
    <row r="1324" spans="1:31" ht="14.5">
      <c r="A1324" t="s">
        <v>2917</v>
      </c>
      <c r="B1324" t="s">
        <v>4188</v>
      </c>
      <c r="C1324">
        <v>2687</v>
      </c>
      <c r="D1324" s="581"/>
      <c r="E1324" s="581"/>
      <c r="F1324" s="2">
        <f>(1/S1324)*cnst_fish!$C$6</f>
        <v>2.3938164528281742</v>
      </c>
      <c r="G1324" s="2">
        <f t="shared" si="191"/>
        <v>1</v>
      </c>
      <c r="H1324" s="2">
        <f t="shared" si="191"/>
        <v>0.36449057933102513</v>
      </c>
      <c r="I1324" s="2">
        <f t="shared" si="184"/>
        <v>0</v>
      </c>
      <c r="J1324" s="389">
        <f t="shared" si="185"/>
        <v>0</v>
      </c>
      <c r="L1324" s="721">
        <v>1009</v>
      </c>
      <c r="M1324" s="581"/>
      <c r="N1324" s="585" t="s">
        <v>2314</v>
      </c>
      <c r="O1324" s="586" t="s">
        <v>4691</v>
      </c>
      <c r="P1324" s="233">
        <f t="shared" si="186"/>
        <v>0</v>
      </c>
      <c r="Q1324" s="233">
        <f t="shared" si="187"/>
        <v>1009</v>
      </c>
      <c r="R1324" s="2">
        <f t="shared" si="188"/>
        <v>2.1</v>
      </c>
      <c r="S1324" s="2">
        <f>(1/9)*cnst_fish!$C$7*(1/cnst_fish!$C$8)^(R1324-1)</f>
        <v>1.7754076320174161</v>
      </c>
      <c r="T1324" s="682">
        <f t="shared" si="189"/>
        <v>153.63374836466738</v>
      </c>
      <c r="W1324" s="818"/>
      <c r="X1324" s="818"/>
      <c r="Y1324" s="819"/>
      <c r="Z1324" s="820"/>
      <c r="AA1324" s="820"/>
      <c r="AB1324" s="821"/>
      <c r="AC1324" s="821"/>
      <c r="AD1324" s="253"/>
      <c r="AE1324" s="253"/>
    </row>
    <row r="1325" spans="1:31" ht="14.5">
      <c r="A1325" t="s">
        <v>3405</v>
      </c>
      <c r="B1325" t="s">
        <v>4189</v>
      </c>
      <c r="C1325">
        <v>2688</v>
      </c>
      <c r="D1325" s="581"/>
      <c r="E1325" s="581"/>
      <c r="F1325" s="2">
        <f>(1/S1325)*cnst_fish!$C$6</f>
        <v>2.3938164528281742</v>
      </c>
      <c r="G1325" s="2">
        <f t="shared" si="191"/>
        <v>1</v>
      </c>
      <c r="H1325" s="2">
        <f t="shared" si="191"/>
        <v>0.36449057933102513</v>
      </c>
      <c r="I1325" s="2">
        <f t="shared" si="184"/>
        <v>0</v>
      </c>
      <c r="J1325" s="389">
        <f t="shared" si="185"/>
        <v>0</v>
      </c>
      <c r="L1325" s="721">
        <v>47716</v>
      </c>
      <c r="M1325" s="581"/>
      <c r="N1325" s="585" t="s">
        <v>2314</v>
      </c>
      <c r="O1325" s="586" t="s">
        <v>4691</v>
      </c>
      <c r="P1325" s="233">
        <f t="shared" si="186"/>
        <v>0</v>
      </c>
      <c r="Q1325" s="233">
        <f t="shared" si="187"/>
        <v>47716</v>
      </c>
      <c r="R1325" s="2">
        <f t="shared" si="188"/>
        <v>2.1</v>
      </c>
      <c r="S1325" s="2">
        <f>(1/9)*cnst_fish!$C$7*(1/cnst_fish!$C$8)^(R1325-1)</f>
        <v>1.7754076320174161</v>
      </c>
      <c r="T1325" s="682">
        <f t="shared" si="189"/>
        <v>7265.3993428825252</v>
      </c>
      <c r="W1325" s="818"/>
      <c r="X1325" s="818"/>
      <c r="Y1325" s="819"/>
      <c r="Z1325" s="820"/>
      <c r="AA1325" s="820"/>
      <c r="AB1325" s="821"/>
      <c r="AC1325" s="821"/>
      <c r="AD1325" s="253"/>
      <c r="AE1325" s="253"/>
    </row>
    <row r="1326" spans="1:31" ht="14.5">
      <c r="A1326" t="s">
        <v>4339</v>
      </c>
      <c r="B1326" t="s">
        <v>4190</v>
      </c>
      <c r="C1326">
        <v>3529</v>
      </c>
      <c r="D1326" s="581"/>
      <c r="E1326" s="581"/>
      <c r="F1326" s="2">
        <f>(1/S1326)*cnst_fish!$C$6</f>
        <v>2.3938164528281742</v>
      </c>
      <c r="G1326" s="2">
        <f t="shared" si="191"/>
        <v>1</v>
      </c>
      <c r="H1326" s="2">
        <f t="shared" si="191"/>
        <v>0.36449057933102513</v>
      </c>
      <c r="I1326" s="2">
        <f t="shared" si="184"/>
        <v>0</v>
      </c>
      <c r="J1326" s="389">
        <f t="shared" si="185"/>
        <v>0</v>
      </c>
      <c r="L1326" s="721">
        <v>2060</v>
      </c>
      <c r="M1326" s="581"/>
      <c r="N1326" s="585" t="s">
        <v>2314</v>
      </c>
      <c r="O1326" s="586" t="s">
        <v>4691</v>
      </c>
      <c r="P1326" s="233">
        <f t="shared" si="186"/>
        <v>0</v>
      </c>
      <c r="Q1326" s="233">
        <f t="shared" si="187"/>
        <v>2060</v>
      </c>
      <c r="R1326" s="2">
        <f t="shared" si="188"/>
        <v>2.1</v>
      </c>
      <c r="S1326" s="2">
        <f>(1/9)*cnst_fish!$C$7*(1/cnst_fish!$C$8)^(R1326-1)</f>
        <v>1.7754076320174161</v>
      </c>
      <c r="T1326" s="682">
        <f t="shared" si="189"/>
        <v>313.66255860378078</v>
      </c>
      <c r="W1326" s="818"/>
      <c r="X1326" s="818"/>
      <c r="Y1326" s="819"/>
      <c r="Z1326" s="820"/>
      <c r="AA1326" s="820"/>
      <c r="AB1326" s="821"/>
      <c r="AC1326" s="821"/>
      <c r="AD1326" s="253"/>
      <c r="AE1326" s="253"/>
    </row>
    <row r="1327" spans="1:31" ht="14.5">
      <c r="A1327" t="s">
        <v>2223</v>
      </c>
      <c r="B1327" t="s">
        <v>4191</v>
      </c>
      <c r="C1327">
        <v>2689</v>
      </c>
      <c r="D1327" s="581"/>
      <c r="E1327" s="581"/>
      <c r="F1327" s="2">
        <f>(1/S1327)*cnst_fish!$C$6</f>
        <v>2.3938164528281742</v>
      </c>
      <c r="G1327" s="2">
        <f t="shared" si="191"/>
        <v>1</v>
      </c>
      <c r="H1327" s="2">
        <f t="shared" si="191"/>
        <v>0.36449057933102513</v>
      </c>
      <c r="I1327" s="2">
        <f t="shared" si="184"/>
        <v>0</v>
      </c>
      <c r="J1327" s="389">
        <f t="shared" si="185"/>
        <v>0</v>
      </c>
      <c r="L1327" s="721"/>
      <c r="M1327" s="581"/>
      <c r="N1327" s="585" t="s">
        <v>2314</v>
      </c>
      <c r="O1327" s="586" t="s">
        <v>4691</v>
      </c>
      <c r="P1327" s="233">
        <f t="shared" si="186"/>
        <v>0</v>
      </c>
      <c r="Q1327" s="233">
        <f t="shared" si="187"/>
        <v>0</v>
      </c>
      <c r="R1327" s="2">
        <f t="shared" si="188"/>
        <v>2.1</v>
      </c>
      <c r="S1327" s="2">
        <f>(1/9)*cnst_fish!$C$7*(1/cnst_fish!$C$8)^(R1327-1)</f>
        <v>1.7754076320174161</v>
      </c>
      <c r="T1327" s="682">
        <f t="shared" si="189"/>
        <v>0</v>
      </c>
      <c r="W1327" s="818"/>
      <c r="X1327" s="818"/>
      <c r="Y1327" s="819"/>
      <c r="Z1327" s="820"/>
      <c r="AA1327" s="820"/>
      <c r="AB1327" s="821"/>
      <c r="AC1327" s="821"/>
      <c r="AD1327" s="253"/>
      <c r="AE1327" s="253"/>
    </row>
    <row r="1328" spans="1:31" ht="14.5">
      <c r="A1328" t="s">
        <v>3406</v>
      </c>
      <c r="B1328" t="s">
        <v>960</v>
      </c>
      <c r="C1328">
        <v>3528</v>
      </c>
      <c r="D1328" s="581"/>
      <c r="E1328" s="581"/>
      <c r="F1328" s="2">
        <f>(1/S1328)*cnst_fish!$C$6</f>
        <v>2.3938164528281742</v>
      </c>
      <c r="G1328" s="2">
        <f t="shared" ref="G1328:H1347" si="192">G$7</f>
        <v>1</v>
      </c>
      <c r="H1328" s="2">
        <f t="shared" si="192"/>
        <v>0.36449057933102513</v>
      </c>
      <c r="I1328" s="2">
        <f t="shared" si="184"/>
        <v>0</v>
      </c>
      <c r="J1328" s="389">
        <f t="shared" si="185"/>
        <v>0</v>
      </c>
      <c r="L1328" s="721">
        <v>5</v>
      </c>
      <c r="M1328" s="581"/>
      <c r="N1328" s="585" t="s">
        <v>2314</v>
      </c>
      <c r="O1328" s="586" t="s">
        <v>4691</v>
      </c>
      <c r="P1328" s="233">
        <f t="shared" si="186"/>
        <v>0</v>
      </c>
      <c r="Q1328" s="233">
        <f t="shared" si="187"/>
        <v>5</v>
      </c>
      <c r="R1328" s="2">
        <f t="shared" si="188"/>
        <v>2.1</v>
      </c>
      <c r="S1328" s="2">
        <f>(1/9)*cnst_fish!$C$7*(1/cnst_fish!$C$8)^(R1328-1)</f>
        <v>1.7754076320174161</v>
      </c>
      <c r="T1328" s="682">
        <f t="shared" si="189"/>
        <v>0.76131688981500178</v>
      </c>
      <c r="W1328" s="818"/>
      <c r="X1328" s="818"/>
      <c r="Y1328" s="819"/>
      <c r="Z1328" s="820"/>
      <c r="AA1328" s="820"/>
      <c r="AB1328" s="821"/>
      <c r="AC1328" s="821"/>
      <c r="AD1328" s="253"/>
      <c r="AE1328" s="253"/>
    </row>
    <row r="1329" spans="1:31" ht="14.5">
      <c r="A1329" t="s">
        <v>8683</v>
      </c>
      <c r="B1329" t="s">
        <v>8684</v>
      </c>
      <c r="C1329">
        <v>13620</v>
      </c>
      <c r="D1329" s="581"/>
      <c r="E1329" s="581"/>
      <c r="F1329" s="2">
        <f>(1/S1329)*cnst_fish!$C$6</f>
        <v>9.5299549485983424E-3</v>
      </c>
      <c r="G1329" s="2">
        <f t="shared" si="192"/>
        <v>1</v>
      </c>
      <c r="H1329" s="2">
        <f t="shared" si="192"/>
        <v>0.36449057933102513</v>
      </c>
      <c r="I1329" s="2">
        <f t="shared" si="184"/>
        <v>0</v>
      </c>
      <c r="J1329" s="389">
        <f t="shared" si="185"/>
        <v>0</v>
      </c>
      <c r="L1329" s="721">
        <v>10</v>
      </c>
      <c r="M1329" s="581"/>
      <c r="N1329" s="585" t="s">
        <v>1738</v>
      </c>
      <c r="O1329" s="586" t="s">
        <v>4685</v>
      </c>
      <c r="P1329" s="233">
        <f t="shared" si="186"/>
        <v>0</v>
      </c>
      <c r="Q1329" s="233">
        <f t="shared" si="187"/>
        <v>10</v>
      </c>
      <c r="R1329" s="2">
        <f t="shared" si="188"/>
        <v>4.5</v>
      </c>
      <c r="S1329" s="2">
        <f>(1/9)*cnst_fish!$C$7*(1/cnst_fish!$C$8)^(R1329-1)</f>
        <v>445.96223412630997</v>
      </c>
      <c r="T1329" s="682">
        <f t="shared" si="189"/>
        <v>382.4683131210752</v>
      </c>
      <c r="W1329" s="818"/>
      <c r="X1329" s="818"/>
      <c r="Y1329" s="819"/>
      <c r="Z1329" s="820"/>
      <c r="AA1329" s="820"/>
      <c r="AB1329" s="821"/>
      <c r="AC1329" s="821"/>
      <c r="AD1329" s="253"/>
      <c r="AE1329" s="253"/>
    </row>
    <row r="1330" spans="1:31" ht="14.5">
      <c r="A1330" t="s">
        <v>2864</v>
      </c>
      <c r="B1330" t="s">
        <v>2378</v>
      </c>
      <c r="C1330">
        <v>16073</v>
      </c>
      <c r="D1330" s="581"/>
      <c r="E1330" s="581"/>
      <c r="F1330" s="2">
        <f>(1/S1330)*cnst_fish!$C$6</f>
        <v>2.8780003842373291E-2</v>
      </c>
      <c r="G1330" s="2">
        <f t="shared" si="192"/>
        <v>1</v>
      </c>
      <c r="H1330" s="2">
        <f t="shared" si="192"/>
        <v>0.36449057933102513</v>
      </c>
      <c r="I1330" s="2">
        <f t="shared" si="184"/>
        <v>0</v>
      </c>
      <c r="J1330" s="389">
        <f t="shared" si="185"/>
        <v>0</v>
      </c>
      <c r="L1330" s="721">
        <v>1820</v>
      </c>
      <c r="M1330" s="581"/>
      <c r="N1330" s="585" t="s">
        <v>1738</v>
      </c>
      <c r="O1330" s="586" t="s">
        <v>4681</v>
      </c>
      <c r="P1330" s="233">
        <f t="shared" si="186"/>
        <v>0</v>
      </c>
      <c r="Q1330" s="233">
        <f t="shared" si="187"/>
        <v>1820</v>
      </c>
      <c r="R1330" s="2">
        <f t="shared" si="188"/>
        <v>4.0199999999999996</v>
      </c>
      <c r="S1330" s="2">
        <f>(1/9)*cnst_fish!$C$7*(1/cnst_fish!$C$8)^(R1330-1)</f>
        <v>147.67197472512677</v>
      </c>
      <c r="T1330" s="682">
        <f t="shared" si="189"/>
        <v>23049.783384871222</v>
      </c>
      <c r="W1330" s="818"/>
      <c r="X1330" s="818"/>
      <c r="Y1330" s="819"/>
      <c r="Z1330" s="820"/>
      <c r="AA1330" s="820"/>
      <c r="AB1330" s="821"/>
      <c r="AC1330" s="821"/>
      <c r="AD1330" s="253"/>
      <c r="AE1330" s="253"/>
    </row>
    <row r="1331" spans="1:31" ht="14.5">
      <c r="A1331" t="s">
        <v>3759</v>
      </c>
      <c r="B1331" t="s">
        <v>1396</v>
      </c>
      <c r="C1331">
        <v>13661</v>
      </c>
      <c r="D1331" s="581"/>
      <c r="E1331" s="581"/>
      <c r="F1331" s="2">
        <f>(1/S1331)*cnst_fish!$C$6</f>
        <v>2.0374682394767456</v>
      </c>
      <c r="G1331" s="2">
        <f t="shared" si="192"/>
        <v>1</v>
      </c>
      <c r="H1331" s="2">
        <f t="shared" si="192"/>
        <v>0.36449057933102513</v>
      </c>
      <c r="I1331" s="2">
        <f t="shared" si="184"/>
        <v>0</v>
      </c>
      <c r="J1331" s="389">
        <f t="shared" si="185"/>
        <v>0</v>
      </c>
      <c r="L1331" s="721">
        <v>217</v>
      </c>
      <c r="M1331" s="581"/>
      <c r="N1331" s="585" t="s">
        <v>1738</v>
      </c>
      <c r="O1331" s="586" t="s">
        <v>4681</v>
      </c>
      <c r="P1331" s="233">
        <f t="shared" si="186"/>
        <v>0</v>
      </c>
      <c r="Q1331" s="233">
        <f t="shared" si="187"/>
        <v>217</v>
      </c>
      <c r="R1331" s="2">
        <f t="shared" si="188"/>
        <v>2.17</v>
      </c>
      <c r="S1331" s="2">
        <f>(1/9)*cnst_fish!$C$7*(1/cnst_fish!$C$8)^(R1331-1)</f>
        <v>2.0859220858782406</v>
      </c>
      <c r="T1331" s="682">
        <f t="shared" si="189"/>
        <v>38.819969893197047</v>
      </c>
      <c r="W1331" s="818"/>
      <c r="X1331" s="818"/>
      <c r="Y1331" s="819"/>
      <c r="Z1331" s="820"/>
      <c r="AA1331" s="820"/>
      <c r="AB1331" s="821"/>
      <c r="AC1331" s="821"/>
      <c r="AD1331" s="253"/>
      <c r="AE1331" s="253"/>
    </row>
    <row r="1332" spans="1:31" ht="14.5">
      <c r="A1332" t="s">
        <v>8881</v>
      </c>
      <c r="B1332" t="s">
        <v>8882</v>
      </c>
      <c r="C1332">
        <v>17811</v>
      </c>
      <c r="D1332" s="581"/>
      <c r="E1332" s="581"/>
      <c r="F1332" s="2">
        <f>(1/S1332)*cnst_fish!$C$6</f>
        <v>2.3938164528281742</v>
      </c>
      <c r="G1332" s="2">
        <f t="shared" si="192"/>
        <v>1</v>
      </c>
      <c r="H1332" s="2">
        <f t="shared" si="192"/>
        <v>0.36449057933102513</v>
      </c>
      <c r="I1332" s="2">
        <f t="shared" si="184"/>
        <v>0</v>
      </c>
      <c r="J1332" s="389">
        <f t="shared" si="185"/>
        <v>0</v>
      </c>
      <c r="L1332" s="721">
        <v>1690</v>
      </c>
      <c r="M1332" s="581"/>
      <c r="N1332" s="585" t="s">
        <v>1736</v>
      </c>
      <c r="O1332" s="586" t="s">
        <v>4691</v>
      </c>
      <c r="P1332" s="233">
        <f t="shared" si="186"/>
        <v>0</v>
      </c>
      <c r="Q1332" s="233">
        <f t="shared" si="187"/>
        <v>1690</v>
      </c>
      <c r="R1332" s="2">
        <f t="shared" si="188"/>
        <v>2.1</v>
      </c>
      <c r="S1332" s="2">
        <f>(1/9)*cnst_fish!$C$7*(1/cnst_fish!$C$8)^(R1332-1)</f>
        <v>1.7754076320174161</v>
      </c>
      <c r="T1332" s="682">
        <f t="shared" si="189"/>
        <v>257.32510875747062</v>
      </c>
      <c r="W1332" s="818"/>
      <c r="X1332" s="818"/>
      <c r="Y1332" s="819"/>
      <c r="Z1332" s="820"/>
      <c r="AA1332" s="820"/>
      <c r="AB1332" s="821"/>
      <c r="AC1332" s="821"/>
      <c r="AD1332" s="253"/>
      <c r="AE1332" s="253"/>
    </row>
    <row r="1333" spans="1:31" ht="14.5">
      <c r="A1333" t="s">
        <v>3666</v>
      </c>
      <c r="B1333" t="s">
        <v>1319</v>
      </c>
      <c r="C1333">
        <v>3397</v>
      </c>
      <c r="D1333" s="581">
        <v>2013</v>
      </c>
      <c r="E1333" s="581"/>
      <c r="F1333" s="2">
        <f>(1/S1333)*cnst_fish!$C$6</f>
        <v>1.9014759972289452</v>
      </c>
      <c r="G1333" s="2">
        <f t="shared" si="192"/>
        <v>1</v>
      </c>
      <c r="H1333" s="2">
        <f t="shared" si="192"/>
        <v>0.36449057933102513</v>
      </c>
      <c r="I1333" s="2">
        <f t="shared" si="184"/>
        <v>385.86841867192442</v>
      </c>
      <c r="J1333" s="389">
        <f t="shared" si="185"/>
        <v>0</v>
      </c>
      <c r="L1333" s="721">
        <v>850315.32</v>
      </c>
      <c r="M1333" s="581">
        <v>61834.509999999995</v>
      </c>
      <c r="N1333" s="585" t="s">
        <v>2322</v>
      </c>
      <c r="O1333" s="586" t="s">
        <v>4680</v>
      </c>
      <c r="P1333" s="233">
        <f t="shared" si="186"/>
        <v>2013</v>
      </c>
      <c r="Q1333" s="233">
        <f t="shared" si="187"/>
        <v>912149.83</v>
      </c>
      <c r="R1333" s="2">
        <f t="shared" si="188"/>
        <v>2.2000000000000002</v>
      </c>
      <c r="S1333" s="2">
        <f>(1/9)*cnst_fish!$C$7*(1/cnst_fish!$C$8)^(R1333-1)</f>
        <v>2.2351057842400328</v>
      </c>
      <c r="T1333" s="682">
        <f t="shared" si="189"/>
        <v>174848.3917009263</v>
      </c>
      <c r="W1333" s="818"/>
      <c r="X1333" s="818"/>
      <c r="Y1333" s="819"/>
      <c r="Z1333" s="820"/>
      <c r="AA1333" s="820"/>
      <c r="AB1333" s="821"/>
      <c r="AC1333" s="821"/>
      <c r="AD1333" s="253"/>
      <c r="AE1333" s="253"/>
    </row>
    <row r="1334" spans="1:31" ht="14.5">
      <c r="A1334" t="s">
        <v>3849</v>
      </c>
      <c r="B1334" t="s">
        <v>3850</v>
      </c>
      <c r="C1334">
        <v>13664</v>
      </c>
      <c r="D1334" s="581"/>
      <c r="E1334" s="581"/>
      <c r="F1334" s="2">
        <f>(1/S1334)*cnst_fish!$C$6</f>
        <v>3.1556646698079359E-2</v>
      </c>
      <c r="G1334" s="2">
        <f t="shared" si="192"/>
        <v>1</v>
      </c>
      <c r="H1334" s="2">
        <f t="shared" si="192"/>
        <v>0.36449057933102513</v>
      </c>
      <c r="I1334" s="2">
        <f t="shared" si="184"/>
        <v>0</v>
      </c>
      <c r="J1334" s="389">
        <f t="shared" si="185"/>
        <v>0</v>
      </c>
      <c r="L1334" s="721">
        <v>200</v>
      </c>
      <c r="M1334" s="581"/>
      <c r="N1334" s="585" t="s">
        <v>1738</v>
      </c>
      <c r="O1334" s="586" t="s">
        <v>4699</v>
      </c>
      <c r="P1334" s="233">
        <f t="shared" si="186"/>
        <v>0</v>
      </c>
      <c r="Q1334" s="233">
        <f t="shared" si="187"/>
        <v>200</v>
      </c>
      <c r="R1334" s="2">
        <f t="shared" si="188"/>
        <v>3.98</v>
      </c>
      <c r="S1334" s="2">
        <f>(1/9)*cnst_fish!$C$7*(1/cnst_fish!$C$8)^(R1334-1)</f>
        <v>134.67844161840773</v>
      </c>
      <c r="T1334" s="682">
        <f t="shared" si="189"/>
        <v>2310.0716804184981</v>
      </c>
      <c r="W1334" s="818"/>
      <c r="X1334" s="818"/>
      <c r="Y1334" s="819"/>
      <c r="Z1334" s="820"/>
      <c r="AA1334" s="820"/>
      <c r="AB1334" s="821"/>
      <c r="AC1334" s="821"/>
      <c r="AD1334" s="253"/>
      <c r="AE1334" s="253"/>
    </row>
    <row r="1335" spans="1:31" ht="14.5">
      <c r="A1335" t="s">
        <v>554</v>
      </c>
      <c r="B1335" t="s">
        <v>555</v>
      </c>
      <c r="C1335">
        <v>2638</v>
      </c>
      <c r="D1335" s="581"/>
      <c r="E1335" s="581"/>
      <c r="F1335" s="2">
        <f>(1/S1335)*cnst_fish!$C$6</f>
        <v>0.75699122913220485</v>
      </c>
      <c r="G1335" s="2">
        <f t="shared" si="192"/>
        <v>1</v>
      </c>
      <c r="H1335" s="2">
        <f t="shared" si="192"/>
        <v>0.36449057933102513</v>
      </c>
      <c r="I1335" s="2">
        <f t="shared" si="184"/>
        <v>0</v>
      </c>
      <c r="J1335" s="389">
        <f t="shared" si="185"/>
        <v>0</v>
      </c>
      <c r="L1335" s="721">
        <v>599</v>
      </c>
      <c r="M1335" s="581"/>
      <c r="N1335" s="585" t="s">
        <v>2311</v>
      </c>
      <c r="O1335" s="586" t="s">
        <v>4680</v>
      </c>
      <c r="P1335" s="233">
        <f t="shared" si="186"/>
        <v>0</v>
      </c>
      <c r="Q1335" s="233">
        <f t="shared" si="187"/>
        <v>599</v>
      </c>
      <c r="R1335" s="2">
        <f t="shared" si="188"/>
        <v>2.6</v>
      </c>
      <c r="S1335" s="2">
        <f>(1/9)*cnst_fish!$C$7*(1/cnst_fish!$C$8)^(R1335-1)</f>
        <v>5.6143318924211183</v>
      </c>
      <c r="T1335" s="682">
        <f t="shared" si="189"/>
        <v>288.41794807790808</v>
      </c>
      <c r="W1335" s="818"/>
      <c r="X1335" s="818"/>
      <c r="Y1335" s="819"/>
      <c r="Z1335" s="820"/>
      <c r="AA1335" s="820"/>
      <c r="AB1335" s="821"/>
      <c r="AC1335" s="821"/>
      <c r="AD1335" s="253"/>
      <c r="AE1335" s="253"/>
    </row>
    <row r="1336" spans="1:31" ht="14.5">
      <c r="A1336" t="s">
        <v>923</v>
      </c>
      <c r="B1336" t="s">
        <v>2135</v>
      </c>
      <c r="C1336">
        <v>2026</v>
      </c>
      <c r="D1336" s="581"/>
      <c r="E1336" s="581"/>
      <c r="F1336" s="2">
        <f>(1/S1336)*cnst_fish!$C$6</f>
        <v>1.2855555498429807E-2</v>
      </c>
      <c r="G1336" s="2">
        <f t="shared" si="192"/>
        <v>1</v>
      </c>
      <c r="H1336" s="2">
        <f t="shared" si="192"/>
        <v>0.36449057933102513</v>
      </c>
      <c r="I1336" s="2">
        <f t="shared" si="184"/>
        <v>0</v>
      </c>
      <c r="J1336" s="389">
        <f t="shared" si="185"/>
        <v>0</v>
      </c>
      <c r="L1336" s="721">
        <v>27</v>
      </c>
      <c r="M1336" s="581"/>
      <c r="N1336" s="585" t="s">
        <v>3785</v>
      </c>
      <c r="O1336" s="586" t="s">
        <v>4681</v>
      </c>
      <c r="P1336" s="233">
        <f t="shared" si="186"/>
        <v>0</v>
      </c>
      <c r="Q1336" s="233">
        <f t="shared" si="187"/>
        <v>27</v>
      </c>
      <c r="R1336" s="2">
        <f t="shared" si="188"/>
        <v>4.37</v>
      </c>
      <c r="S1336" s="2">
        <f>(1/9)*cnst_fish!$C$7*(1/cnst_fish!$C$8)^(R1336-1)</f>
        <v>330.59637139127125</v>
      </c>
      <c r="T1336" s="682">
        <f t="shared" si="189"/>
        <v>765.52472922229606</v>
      </c>
      <c r="W1336" s="818"/>
      <c r="X1336" s="818"/>
      <c r="Y1336" s="819"/>
      <c r="Z1336" s="820"/>
      <c r="AA1336" s="820"/>
      <c r="AB1336" s="821"/>
      <c r="AC1336" s="821"/>
      <c r="AD1336" s="253"/>
      <c r="AE1336" s="253"/>
    </row>
    <row r="1337" spans="1:31" ht="14.5">
      <c r="A1337" t="s">
        <v>163</v>
      </c>
      <c r="B1337" t="s">
        <v>2759</v>
      </c>
      <c r="C1337">
        <v>2428</v>
      </c>
      <c r="D1337" s="581"/>
      <c r="E1337" s="581"/>
      <c r="F1337" s="2">
        <f>(1/S1337)*cnst_fish!$C$6</f>
        <v>0.11724405960509449</v>
      </c>
      <c r="G1337" s="2">
        <f t="shared" si="192"/>
        <v>1</v>
      </c>
      <c r="H1337" s="2">
        <f t="shared" si="192"/>
        <v>0.36449057933102513</v>
      </c>
      <c r="I1337" s="2">
        <f t="shared" si="184"/>
        <v>0</v>
      </c>
      <c r="J1337" s="389">
        <f t="shared" si="185"/>
        <v>0</v>
      </c>
      <c r="L1337" s="721">
        <v>0</v>
      </c>
      <c r="M1337" s="581"/>
      <c r="N1337" s="585" t="s">
        <v>1738</v>
      </c>
      <c r="O1337" s="586" t="s">
        <v>4681</v>
      </c>
      <c r="P1337" s="233">
        <f t="shared" si="186"/>
        <v>0</v>
      </c>
      <c r="Q1337" s="233">
        <f t="shared" si="187"/>
        <v>0</v>
      </c>
      <c r="R1337" s="2">
        <f t="shared" si="188"/>
        <v>3.41</v>
      </c>
      <c r="S1337" s="2">
        <f>(1/9)*cnst_fish!$C$7*(1/cnst_fish!$C$8)^(R1337-1)</f>
        <v>36.24917129545836</v>
      </c>
      <c r="T1337" s="682">
        <f t="shared" si="189"/>
        <v>0</v>
      </c>
      <c r="W1337" s="818"/>
      <c r="X1337" s="818"/>
      <c r="Y1337" s="819"/>
      <c r="Z1337" s="820"/>
      <c r="AA1337" s="820"/>
      <c r="AB1337" s="821"/>
      <c r="AC1337" s="821"/>
      <c r="AD1337" s="253"/>
      <c r="AE1337" s="253"/>
    </row>
    <row r="1338" spans="1:31" ht="14.5">
      <c r="A1338" t="s">
        <v>3310</v>
      </c>
      <c r="B1338" t="s">
        <v>2760</v>
      </c>
      <c r="C1338">
        <v>2429</v>
      </c>
      <c r="D1338" s="581"/>
      <c r="E1338" s="581"/>
      <c r="F1338" s="2">
        <f>(1/S1338)*cnst_fish!$C$6</f>
        <v>0.12562927329128742</v>
      </c>
      <c r="G1338" s="2">
        <f t="shared" si="192"/>
        <v>1</v>
      </c>
      <c r="H1338" s="2">
        <f t="shared" si="192"/>
        <v>0.36449057933102513</v>
      </c>
      <c r="I1338" s="2">
        <f t="shared" si="184"/>
        <v>0</v>
      </c>
      <c r="J1338" s="389">
        <f t="shared" si="185"/>
        <v>0</v>
      </c>
      <c r="L1338" s="721">
        <v>5884</v>
      </c>
      <c r="M1338" s="581"/>
      <c r="N1338" s="585" t="s">
        <v>1738</v>
      </c>
      <c r="O1338" s="586" t="s">
        <v>4681</v>
      </c>
      <c r="P1338" s="233">
        <f t="shared" si="186"/>
        <v>0</v>
      </c>
      <c r="Q1338" s="233">
        <f t="shared" si="187"/>
        <v>5884</v>
      </c>
      <c r="R1338" s="2">
        <f t="shared" si="188"/>
        <v>3.38</v>
      </c>
      <c r="S1338" s="2">
        <f>(1/9)*cnst_fish!$C$7*(1/cnst_fish!$C$8)^(R1338-1)</f>
        <v>33.829695011813328</v>
      </c>
      <c r="T1338" s="682">
        <f t="shared" si="189"/>
        <v>17071.360142401518</v>
      </c>
      <c r="W1338" s="818"/>
      <c r="X1338" s="818"/>
      <c r="Y1338" s="819"/>
      <c r="Z1338" s="820"/>
      <c r="AA1338" s="820"/>
      <c r="AB1338" s="821"/>
      <c r="AC1338" s="821"/>
      <c r="AD1338" s="253"/>
      <c r="AE1338" s="253"/>
    </row>
    <row r="1339" spans="1:31" ht="14.5">
      <c r="A1339" t="s">
        <v>3953</v>
      </c>
      <c r="B1339" t="s">
        <v>1503</v>
      </c>
      <c r="C1339">
        <v>13689</v>
      </c>
      <c r="D1339" s="581"/>
      <c r="E1339" s="581"/>
      <c r="F1339" s="2">
        <f>(1/S1339)*cnst_fish!$C$6</f>
        <v>0.64430402969999101</v>
      </c>
      <c r="G1339" s="2">
        <f t="shared" si="192"/>
        <v>1</v>
      </c>
      <c r="H1339" s="2">
        <f t="shared" si="192"/>
        <v>0.36449057933102513</v>
      </c>
      <c r="I1339" s="2">
        <f t="shared" si="184"/>
        <v>0</v>
      </c>
      <c r="J1339" s="389">
        <f t="shared" si="185"/>
        <v>0</v>
      </c>
      <c r="L1339" s="721">
        <v>325</v>
      </c>
      <c r="M1339" s="581"/>
      <c r="N1339" s="585" t="s">
        <v>1738</v>
      </c>
      <c r="O1339" s="586" t="s">
        <v>4685</v>
      </c>
      <c r="P1339" s="233">
        <f t="shared" si="186"/>
        <v>0</v>
      </c>
      <c r="Q1339" s="233">
        <f t="shared" si="187"/>
        <v>325</v>
      </c>
      <c r="R1339" s="2">
        <f t="shared" si="188"/>
        <v>2.67</v>
      </c>
      <c r="S1339" s="2">
        <f>(1/9)*cnst_fish!$C$7*(1/cnst_fish!$C$8)^(R1339-1)</f>
        <v>6.5962648130245887</v>
      </c>
      <c r="T1339" s="682">
        <f t="shared" si="189"/>
        <v>183.85642929742616</v>
      </c>
      <c r="W1339" s="818"/>
      <c r="X1339" s="818"/>
      <c r="Y1339" s="819"/>
      <c r="Z1339" s="820"/>
      <c r="AA1339" s="820"/>
      <c r="AB1339" s="821"/>
      <c r="AC1339" s="821"/>
      <c r="AD1339" s="253"/>
      <c r="AE1339" s="253"/>
    </row>
    <row r="1340" spans="1:31" ht="14.5">
      <c r="A1340" t="s">
        <v>4484</v>
      </c>
      <c r="B1340" t="s">
        <v>4485</v>
      </c>
      <c r="C1340">
        <v>16476</v>
      </c>
      <c r="D1340" s="581"/>
      <c r="E1340" s="581"/>
      <c r="F1340" s="2">
        <f>(1/S1340)*cnst_fish!$C$6</f>
        <v>1.0179208487545861</v>
      </c>
      <c r="G1340" s="2">
        <f t="shared" si="192"/>
        <v>1</v>
      </c>
      <c r="H1340" s="2">
        <f t="shared" si="192"/>
        <v>0.36449057933102513</v>
      </c>
      <c r="I1340" s="2">
        <f t="shared" si="184"/>
        <v>0</v>
      </c>
      <c r="J1340" s="389">
        <f t="shared" si="185"/>
        <v>0</v>
      </c>
      <c r="L1340" s="721">
        <v>0</v>
      </c>
      <c r="M1340" s="581"/>
      <c r="N1340" s="585" t="s">
        <v>2322</v>
      </c>
      <c r="O1340" s="586" t="s">
        <v>4680</v>
      </c>
      <c r="P1340" s="233">
        <f t="shared" si="186"/>
        <v>0</v>
      </c>
      <c r="Q1340" s="233">
        <f t="shared" si="187"/>
        <v>0</v>
      </c>
      <c r="R1340" s="2">
        <f t="shared" si="188"/>
        <v>2.4713768380352099</v>
      </c>
      <c r="S1340" s="2">
        <f>(1/9)*cnst_fish!$C$7*(1/cnst_fish!$C$8)^(R1340-1)</f>
        <v>4.1751772794513675</v>
      </c>
      <c r="T1340" s="682">
        <f t="shared" si="189"/>
        <v>0</v>
      </c>
      <c r="W1340" s="818"/>
      <c r="X1340" s="818"/>
      <c r="Y1340" s="819"/>
      <c r="Z1340" s="820"/>
      <c r="AA1340" s="820"/>
      <c r="AB1340" s="821"/>
      <c r="AC1340" s="821"/>
      <c r="AD1340" s="253"/>
      <c r="AE1340" s="253"/>
    </row>
    <row r="1341" spans="1:31" ht="14.5">
      <c r="A1341" t="s">
        <v>5266</v>
      </c>
      <c r="B1341" t="s">
        <v>3200</v>
      </c>
      <c r="C1341">
        <v>16475</v>
      </c>
      <c r="D1341" s="581"/>
      <c r="E1341" s="581"/>
      <c r="F1341" s="2">
        <f>(1/S1341)*cnst_fish!$C$6</f>
        <v>1.0179208487545861</v>
      </c>
      <c r="G1341" s="2">
        <f t="shared" si="192"/>
        <v>1</v>
      </c>
      <c r="H1341" s="2">
        <f t="shared" si="192"/>
        <v>0.36449057933102513</v>
      </c>
      <c r="I1341" s="2">
        <f t="shared" si="184"/>
        <v>0</v>
      </c>
      <c r="J1341" s="389">
        <f t="shared" si="185"/>
        <v>0</v>
      </c>
      <c r="L1341" s="721">
        <v>1574</v>
      </c>
      <c r="M1341" s="581"/>
      <c r="N1341" s="585" t="s">
        <v>2322</v>
      </c>
      <c r="O1341" s="586" t="s">
        <v>4680</v>
      </c>
      <c r="P1341" s="233">
        <f t="shared" si="186"/>
        <v>0</v>
      </c>
      <c r="Q1341" s="233">
        <f t="shared" si="187"/>
        <v>1574</v>
      </c>
      <c r="R1341" s="2">
        <f t="shared" si="188"/>
        <v>2.4713768380352099</v>
      </c>
      <c r="S1341" s="2">
        <f>(1/9)*cnst_fish!$C$7*(1/cnst_fish!$C$8)^(R1341-1)</f>
        <v>4.1751772794513675</v>
      </c>
      <c r="T1341" s="682">
        <f t="shared" si="189"/>
        <v>563.60784099172201</v>
      </c>
      <c r="W1341" s="818"/>
      <c r="X1341" s="818"/>
      <c r="Y1341" s="819"/>
      <c r="Z1341" s="820"/>
      <c r="AA1341" s="820"/>
      <c r="AB1341" s="821"/>
      <c r="AC1341" s="821"/>
      <c r="AD1341" s="253"/>
      <c r="AE1341" s="253"/>
    </row>
    <row r="1342" spans="1:31" ht="14.5">
      <c r="A1342" t="s">
        <v>4182</v>
      </c>
      <c r="B1342" t="s">
        <v>1010</v>
      </c>
      <c r="C1342">
        <v>2335</v>
      </c>
      <c r="D1342" s="581"/>
      <c r="E1342" s="581"/>
      <c r="F1342" s="2">
        <f>(1/S1342)*cnst_fish!$C$6</f>
        <v>6.1530557150722649E-2</v>
      </c>
      <c r="G1342" s="2">
        <f t="shared" si="192"/>
        <v>1</v>
      </c>
      <c r="H1342" s="2">
        <f t="shared" si="192"/>
        <v>0.36449057933102513</v>
      </c>
      <c r="I1342" s="2">
        <f t="shared" si="184"/>
        <v>0</v>
      </c>
      <c r="J1342" s="389">
        <f t="shared" si="185"/>
        <v>0</v>
      </c>
      <c r="L1342" s="721">
        <v>188579</v>
      </c>
      <c r="M1342" s="581"/>
      <c r="N1342" s="585" t="s">
        <v>1738</v>
      </c>
      <c r="O1342" s="586" t="s">
        <v>4681</v>
      </c>
      <c r="P1342" s="233">
        <f t="shared" si="186"/>
        <v>0</v>
      </c>
      <c r="Q1342" s="233">
        <f t="shared" si="187"/>
        <v>188579</v>
      </c>
      <c r="R1342" s="2">
        <f t="shared" si="188"/>
        <v>3.69</v>
      </c>
      <c r="S1342" s="2">
        <f>(1/9)*cnst_fish!$C$7*(1/cnst_fish!$C$8)^(R1342-1)</f>
        <v>69.071371962216759</v>
      </c>
      <c r="T1342" s="682">
        <f t="shared" si="189"/>
        <v>1117091.606879073</v>
      </c>
      <c r="W1342" s="818"/>
      <c r="X1342" s="818"/>
      <c r="Y1342" s="819"/>
      <c r="Z1342" s="820"/>
      <c r="AA1342" s="820"/>
      <c r="AB1342" s="821"/>
      <c r="AC1342" s="821"/>
      <c r="AD1342" s="253"/>
      <c r="AE1342" s="253"/>
    </row>
    <row r="1343" spans="1:31" ht="14.5">
      <c r="A1343" t="s">
        <v>4570</v>
      </c>
      <c r="B1343" t="s">
        <v>1011</v>
      </c>
      <c r="C1343">
        <v>13703</v>
      </c>
      <c r="D1343" s="581"/>
      <c r="E1343" s="581"/>
      <c r="F1343" s="2">
        <f>(1/S1343)*cnst_fish!$C$6</f>
        <v>5.1178888253733429E-2</v>
      </c>
      <c r="G1343" s="2">
        <f t="shared" si="192"/>
        <v>1</v>
      </c>
      <c r="H1343" s="2">
        <f t="shared" si="192"/>
        <v>0.36449057933102513</v>
      </c>
      <c r="I1343" s="2">
        <f t="shared" si="184"/>
        <v>0</v>
      </c>
      <c r="J1343" s="389">
        <f t="shared" si="185"/>
        <v>0</v>
      </c>
      <c r="L1343" s="721">
        <v>7552</v>
      </c>
      <c r="M1343" s="581"/>
      <c r="N1343" s="585" t="s">
        <v>1738</v>
      </c>
      <c r="O1343" s="586" t="s">
        <v>4681</v>
      </c>
      <c r="P1343" s="233">
        <f t="shared" si="186"/>
        <v>0</v>
      </c>
      <c r="Q1343" s="233">
        <f t="shared" si="187"/>
        <v>7552</v>
      </c>
      <c r="R1343" s="2">
        <f t="shared" si="188"/>
        <v>3.77</v>
      </c>
      <c r="S1343" s="2">
        <f>(1/9)*cnst_fish!$C$7*(1/cnst_fish!$C$8)^(R1343-1)</f>
        <v>83.042053960403649</v>
      </c>
      <c r="T1343" s="682">
        <f t="shared" si="189"/>
        <v>53784.537902835371</v>
      </c>
      <c r="W1343" s="818"/>
      <c r="X1343" s="818"/>
      <c r="Y1343" s="819"/>
      <c r="Z1343" s="820"/>
      <c r="AA1343" s="820"/>
      <c r="AB1343" s="821"/>
      <c r="AC1343" s="821"/>
      <c r="AD1343" s="253"/>
      <c r="AE1343" s="253"/>
    </row>
    <row r="1344" spans="1:31" ht="14.5">
      <c r="A1344" t="s">
        <v>2541</v>
      </c>
      <c r="B1344" t="s">
        <v>1012</v>
      </c>
      <c r="C1344">
        <v>18950</v>
      </c>
      <c r="D1344" s="581"/>
      <c r="E1344" s="581"/>
      <c r="F1344" s="2">
        <f>(1/S1344)*cnst_fish!$C$6</f>
        <v>7.5699122913220479E-2</v>
      </c>
      <c r="G1344" s="2">
        <f t="shared" si="192"/>
        <v>1</v>
      </c>
      <c r="H1344" s="2">
        <f t="shared" si="192"/>
        <v>0.36449057933102513</v>
      </c>
      <c r="I1344" s="2">
        <f t="shared" si="184"/>
        <v>0</v>
      </c>
      <c r="J1344" s="389">
        <f t="shared" si="185"/>
        <v>0</v>
      </c>
      <c r="L1344" s="721">
        <v>723</v>
      </c>
      <c r="M1344" s="581"/>
      <c r="N1344" s="585" t="s">
        <v>1738</v>
      </c>
      <c r="O1344" s="586" t="s">
        <v>4681</v>
      </c>
      <c r="P1344" s="233">
        <f t="shared" si="186"/>
        <v>0</v>
      </c>
      <c r="Q1344" s="233">
        <f t="shared" si="187"/>
        <v>723</v>
      </c>
      <c r="R1344" s="2">
        <f t="shared" si="188"/>
        <v>3.6</v>
      </c>
      <c r="S1344" s="2">
        <f>(1/9)*cnst_fish!$C$7*(1/cnst_fish!$C$8)^(R1344-1)</f>
        <v>56.143318924211187</v>
      </c>
      <c r="T1344" s="682">
        <f t="shared" si="189"/>
        <v>3481.2383382358526</v>
      </c>
      <c r="W1344" s="818"/>
      <c r="X1344" s="818"/>
      <c r="Y1344" s="819"/>
      <c r="Z1344" s="820"/>
      <c r="AA1344" s="820"/>
      <c r="AB1344" s="821"/>
      <c r="AC1344" s="821"/>
      <c r="AD1344" s="253"/>
      <c r="AE1344" s="253"/>
    </row>
    <row r="1345" spans="1:31" ht="14.5">
      <c r="A1345" t="s">
        <v>2217</v>
      </c>
      <c r="B1345" t="s">
        <v>1013</v>
      </c>
      <c r="C1345">
        <v>3139</v>
      </c>
      <c r="D1345" s="581"/>
      <c r="E1345" s="581"/>
      <c r="F1345" s="2">
        <f>(1/S1345)*cnst_fish!$C$6</f>
        <v>5.1178888253733429E-2</v>
      </c>
      <c r="G1345" s="2">
        <f t="shared" si="192"/>
        <v>1</v>
      </c>
      <c r="H1345" s="2">
        <f t="shared" si="192"/>
        <v>0.36449057933102513</v>
      </c>
      <c r="I1345" s="2">
        <f t="shared" si="184"/>
        <v>0</v>
      </c>
      <c r="J1345" s="389">
        <f t="shared" si="185"/>
        <v>0</v>
      </c>
      <c r="L1345" s="721">
        <v>573265.53</v>
      </c>
      <c r="M1345" s="581"/>
      <c r="N1345" s="585" t="s">
        <v>1738</v>
      </c>
      <c r="O1345" s="586" t="s">
        <v>4681</v>
      </c>
      <c r="P1345" s="233">
        <f t="shared" si="186"/>
        <v>0</v>
      </c>
      <c r="Q1345" s="233">
        <f t="shared" si="187"/>
        <v>573265.53</v>
      </c>
      <c r="R1345" s="2">
        <f t="shared" si="188"/>
        <v>3.77</v>
      </c>
      <c r="S1345" s="2">
        <f>(1/9)*cnst_fish!$C$7*(1/cnst_fish!$C$8)^(R1345-1)</f>
        <v>83.042053960403649</v>
      </c>
      <c r="T1345" s="682">
        <f t="shared" si="189"/>
        <v>4082735.914548995</v>
      </c>
      <c r="W1345" s="818"/>
      <c r="X1345" s="818"/>
      <c r="Y1345" s="819"/>
      <c r="Z1345" s="820"/>
      <c r="AA1345" s="820"/>
      <c r="AB1345" s="821"/>
      <c r="AC1345" s="821"/>
      <c r="AD1345" s="253"/>
      <c r="AE1345" s="253"/>
    </row>
    <row r="1346" spans="1:31" ht="14.5">
      <c r="A1346" t="s">
        <v>4369</v>
      </c>
      <c r="B1346" t="s">
        <v>1014</v>
      </c>
      <c r="C1346">
        <v>3140</v>
      </c>
      <c r="D1346" s="581"/>
      <c r="E1346" s="581"/>
      <c r="F1346" s="2">
        <f>(1/S1346)*cnst_fish!$C$6</f>
        <v>3.0838329721915438E-2</v>
      </c>
      <c r="G1346" s="2">
        <f t="shared" si="192"/>
        <v>1</v>
      </c>
      <c r="H1346" s="2">
        <f t="shared" si="192"/>
        <v>0.36449057933102513</v>
      </c>
      <c r="I1346" s="2">
        <f t="shared" si="184"/>
        <v>0</v>
      </c>
      <c r="J1346" s="389">
        <f t="shared" si="185"/>
        <v>0</v>
      </c>
      <c r="L1346" s="721">
        <v>16</v>
      </c>
      <c r="M1346" s="581"/>
      <c r="N1346" s="585" t="s">
        <v>1738</v>
      </c>
      <c r="O1346" s="586" t="s">
        <v>4681</v>
      </c>
      <c r="P1346" s="233">
        <f t="shared" si="186"/>
        <v>0</v>
      </c>
      <c r="Q1346" s="233">
        <f t="shared" si="187"/>
        <v>16</v>
      </c>
      <c r="R1346" s="2">
        <f t="shared" si="188"/>
        <v>3.99</v>
      </c>
      <c r="S1346" s="2">
        <f>(1/9)*cnst_fish!$C$7*(1/cnst_fish!$C$8)^(R1346-1)</f>
        <v>137.81550551940927</v>
      </c>
      <c r="T1346" s="682">
        <f t="shared" si="189"/>
        <v>189.11041297907792</v>
      </c>
      <c r="W1346" s="818"/>
      <c r="X1346" s="818"/>
      <c r="Y1346" s="819"/>
      <c r="Z1346" s="820"/>
      <c r="AA1346" s="820"/>
      <c r="AB1346" s="821"/>
      <c r="AC1346" s="821"/>
      <c r="AD1346" s="253"/>
      <c r="AE1346" s="253"/>
    </row>
    <row r="1347" spans="1:31" ht="14.5">
      <c r="A1347" t="s">
        <v>701</v>
      </c>
      <c r="B1347" t="s">
        <v>2761</v>
      </c>
      <c r="C1347">
        <v>18840</v>
      </c>
      <c r="D1347" s="581"/>
      <c r="E1347" s="581"/>
      <c r="F1347" s="2">
        <f>(1/S1347)*cnst_fish!$C$6</f>
        <v>7.9266712664847111E-2</v>
      </c>
      <c r="G1347" s="2">
        <f t="shared" si="192"/>
        <v>1</v>
      </c>
      <c r="H1347" s="2">
        <f t="shared" si="192"/>
        <v>0.36449057933102513</v>
      </c>
      <c r="I1347" s="2">
        <f t="shared" si="184"/>
        <v>0</v>
      </c>
      <c r="J1347" s="389">
        <f t="shared" si="185"/>
        <v>0</v>
      </c>
      <c r="L1347" s="721">
        <v>0</v>
      </c>
      <c r="M1347" s="581"/>
      <c r="N1347" s="585" t="s">
        <v>1738</v>
      </c>
      <c r="O1347" s="586" t="s">
        <v>4681</v>
      </c>
      <c r="P1347" s="233">
        <f t="shared" si="186"/>
        <v>0</v>
      </c>
      <c r="Q1347" s="233">
        <f t="shared" si="187"/>
        <v>0</v>
      </c>
      <c r="R1347" s="2">
        <f t="shared" si="188"/>
        <v>3.58</v>
      </c>
      <c r="S1347" s="2">
        <f>(1/9)*cnst_fish!$C$7*(1/cnst_fish!$C$8)^(R1347-1)</f>
        <v>53.616453327258682</v>
      </c>
      <c r="T1347" s="682">
        <f t="shared" si="189"/>
        <v>0</v>
      </c>
      <c r="W1347" s="818"/>
      <c r="X1347" s="818"/>
      <c r="Y1347" s="819"/>
      <c r="Z1347" s="820"/>
      <c r="AA1347" s="820"/>
      <c r="AB1347" s="821"/>
      <c r="AC1347" s="821"/>
      <c r="AD1347" s="253"/>
      <c r="AE1347" s="253"/>
    </row>
    <row r="1348" spans="1:31" ht="14.5">
      <c r="A1348" t="s">
        <v>8323</v>
      </c>
      <c r="B1348" t="s">
        <v>8324</v>
      </c>
      <c r="C1348">
        <v>18824</v>
      </c>
      <c r="D1348" s="581"/>
      <c r="E1348" s="581"/>
      <c r="F1348" s="2">
        <f>(1/S1348)*cnst_fish!$C$6</f>
        <v>0.15103960722494611</v>
      </c>
      <c r="G1348" s="2">
        <f t="shared" ref="G1348:H1367" si="193">G$7</f>
        <v>1</v>
      </c>
      <c r="H1348" s="2">
        <f t="shared" si="193"/>
        <v>0.36449057933102513</v>
      </c>
      <c r="I1348" s="2">
        <f t="shared" si="184"/>
        <v>0</v>
      </c>
      <c r="J1348" s="389">
        <f t="shared" si="185"/>
        <v>0</v>
      </c>
      <c r="L1348" s="721">
        <v>1429</v>
      </c>
      <c r="M1348" s="581"/>
      <c r="N1348" s="585" t="s">
        <v>1738</v>
      </c>
      <c r="O1348" s="586" t="s">
        <v>4685</v>
      </c>
      <c r="P1348" s="233">
        <f t="shared" si="186"/>
        <v>0</v>
      </c>
      <c r="Q1348" s="233">
        <f t="shared" si="187"/>
        <v>1429</v>
      </c>
      <c r="R1348" s="2">
        <f t="shared" si="188"/>
        <v>3.3</v>
      </c>
      <c r="S1348" s="2">
        <f>(1/9)*cnst_fish!$C$7*(1/cnst_fish!$C$8)^(R1348-1)</f>
        <v>28.138314698279075</v>
      </c>
      <c r="T1348" s="682">
        <f t="shared" si="189"/>
        <v>3448.4798221721589</v>
      </c>
      <c r="W1348" s="818"/>
      <c r="X1348" s="818"/>
      <c r="Y1348" s="819"/>
      <c r="Z1348" s="820"/>
      <c r="AA1348" s="820"/>
      <c r="AB1348" s="821"/>
      <c r="AC1348" s="821"/>
      <c r="AD1348" s="253"/>
      <c r="AE1348" s="253"/>
    </row>
    <row r="1349" spans="1:31" ht="14.5">
      <c r="A1349" t="s">
        <v>8685</v>
      </c>
      <c r="B1349" t="s">
        <v>8686</v>
      </c>
      <c r="C1349">
        <v>10195</v>
      </c>
      <c r="D1349" s="581"/>
      <c r="E1349" s="581"/>
      <c r="F1349" s="2">
        <f>(1/S1349)*cnst_fish!$C$6</f>
        <v>0.30136363636363639</v>
      </c>
      <c r="G1349" s="2">
        <f t="shared" si="193"/>
        <v>1</v>
      </c>
      <c r="H1349" s="2">
        <f t="shared" si="193"/>
        <v>0.36449057933102513</v>
      </c>
      <c r="I1349" s="2">
        <f t="shared" si="184"/>
        <v>0</v>
      </c>
      <c r="J1349" s="389">
        <f t="shared" si="185"/>
        <v>0</v>
      </c>
      <c r="L1349" s="721"/>
      <c r="M1349" s="581">
        <v>0</v>
      </c>
      <c r="N1349" s="585" t="s">
        <v>1738</v>
      </c>
      <c r="O1349" s="586" t="s">
        <v>4685</v>
      </c>
      <c r="P1349" s="233">
        <f t="shared" si="186"/>
        <v>0</v>
      </c>
      <c r="Q1349" s="233">
        <f t="shared" si="187"/>
        <v>0</v>
      </c>
      <c r="R1349" s="2">
        <f t="shared" si="188"/>
        <v>3</v>
      </c>
      <c r="S1349" s="2">
        <f>(1/9)*cnst_fish!$C$7*(1/cnst_fish!$C$8)^(R1349-1)</f>
        <v>14.1025641025641</v>
      </c>
      <c r="T1349" s="682">
        <f t="shared" si="189"/>
        <v>0</v>
      </c>
      <c r="W1349" s="818"/>
      <c r="X1349" s="818"/>
      <c r="Y1349" s="819"/>
      <c r="Z1349" s="820"/>
      <c r="AA1349" s="820"/>
      <c r="AB1349" s="821"/>
      <c r="AC1349" s="821"/>
      <c r="AD1349" s="253"/>
      <c r="AE1349" s="253"/>
    </row>
    <row r="1350" spans="1:31" ht="14.5">
      <c r="A1350" t="s">
        <v>6522</v>
      </c>
      <c r="B1350" t="s">
        <v>5547</v>
      </c>
      <c r="C1350">
        <v>13747</v>
      </c>
      <c r="D1350" s="581"/>
      <c r="E1350" s="581"/>
      <c r="F1350" s="2">
        <f>(1/S1350)*cnst_fish!$C$6</f>
        <v>0.11457525898206007</v>
      </c>
      <c r="G1350" s="2">
        <f t="shared" si="193"/>
        <v>1</v>
      </c>
      <c r="H1350" s="2">
        <f t="shared" si="193"/>
        <v>0.36449057933102513</v>
      </c>
      <c r="I1350" s="2">
        <f t="shared" si="184"/>
        <v>0</v>
      </c>
      <c r="J1350" s="389">
        <f t="shared" si="185"/>
        <v>0</v>
      </c>
      <c r="L1350" s="721"/>
      <c r="M1350" s="581"/>
      <c r="N1350" s="585" t="s">
        <v>1738</v>
      </c>
      <c r="O1350" s="586" t="s">
        <v>4681</v>
      </c>
      <c r="P1350" s="233">
        <f t="shared" si="186"/>
        <v>0</v>
      </c>
      <c r="Q1350" s="233">
        <f t="shared" si="187"/>
        <v>0</v>
      </c>
      <c r="R1350" s="2">
        <f t="shared" si="188"/>
        <v>3.42</v>
      </c>
      <c r="S1350" s="2">
        <f>(1/9)*cnst_fish!$C$7*(1/cnst_fish!$C$8)^(R1350-1)</f>
        <v>37.093522962627169</v>
      </c>
      <c r="T1350" s="682">
        <f t="shared" si="189"/>
        <v>0</v>
      </c>
      <c r="W1350" s="818"/>
      <c r="X1350" s="818"/>
      <c r="Y1350" s="819"/>
      <c r="Z1350" s="820"/>
      <c r="AA1350" s="820"/>
      <c r="AB1350" s="821"/>
      <c r="AC1350" s="821"/>
      <c r="AD1350" s="253"/>
      <c r="AE1350" s="253"/>
    </row>
    <row r="1351" spans="1:31" ht="14.5">
      <c r="A1351" t="s">
        <v>2017</v>
      </c>
      <c r="B1351" t="s">
        <v>5112</v>
      </c>
      <c r="C1351">
        <v>2647</v>
      </c>
      <c r="D1351" s="581"/>
      <c r="E1351" s="581"/>
      <c r="F1351" s="2">
        <f>(1/S1351)*cnst_fish!$C$6</f>
        <v>0.75699122913220485</v>
      </c>
      <c r="G1351" s="2">
        <f t="shared" si="193"/>
        <v>1</v>
      </c>
      <c r="H1351" s="2">
        <f t="shared" si="193"/>
        <v>0.36449057933102513</v>
      </c>
      <c r="I1351" s="2">
        <f t="shared" ref="I1351:I1414" si="194">IF($F1351=0,0,D1351/$F1351*$H1351*$G1351)</f>
        <v>0</v>
      </c>
      <c r="J1351" s="389">
        <f t="shared" ref="J1351:J1414" si="195">IF($F1351=0,0,E1351/$F1351*$H1351*$G1351)</f>
        <v>0</v>
      </c>
      <c r="L1351" s="721">
        <v>49217</v>
      </c>
      <c r="M1351" s="581"/>
      <c r="N1351" s="585" t="s">
        <v>3790</v>
      </c>
      <c r="O1351" s="586" t="s">
        <v>4680</v>
      </c>
      <c r="P1351" s="233">
        <f t="shared" ref="P1351:P1414" si="196">D1351+E1351</f>
        <v>0</v>
      </c>
      <c r="Q1351" s="233">
        <f t="shared" ref="Q1351:Q1414" si="197">L1351+M1351</f>
        <v>49217</v>
      </c>
      <c r="R1351" s="2">
        <f t="shared" ref="R1351:R1414" si="198">VLOOKUP(B1351,constant_fish_trophic,3,FALSE)</f>
        <v>2.6</v>
      </c>
      <c r="S1351" s="2">
        <f>(1/9)*cnst_fish!$C$7*(1/cnst_fish!$C$8)^(R1351-1)</f>
        <v>5.6143318924211183</v>
      </c>
      <c r="T1351" s="682">
        <f t="shared" ref="T1351:T1414" si="199">IF(F1351=0,0,Q1351/F1351*H1351*G1351)</f>
        <v>23697.940151169285</v>
      </c>
      <c r="W1351" s="818"/>
      <c r="X1351" s="818"/>
      <c r="Y1351" s="819"/>
      <c r="Z1351" s="820"/>
      <c r="AA1351" s="820"/>
      <c r="AB1351" s="821"/>
      <c r="AC1351" s="821"/>
      <c r="AD1351" s="253"/>
      <c r="AE1351" s="253"/>
    </row>
    <row r="1352" spans="1:31" ht="14.5">
      <c r="A1352" t="s">
        <v>1526</v>
      </c>
      <c r="B1352" t="s">
        <v>753</v>
      </c>
      <c r="C1352">
        <v>13776</v>
      </c>
      <c r="D1352" s="581"/>
      <c r="E1352" s="581"/>
      <c r="F1352" s="2">
        <f>(1/S1352)*cnst_fish!$C$6</f>
        <v>0.15103960722494611</v>
      </c>
      <c r="G1352" s="2">
        <f t="shared" si="193"/>
        <v>1</v>
      </c>
      <c r="H1352" s="2">
        <f t="shared" si="193"/>
        <v>0.36449057933102513</v>
      </c>
      <c r="I1352" s="2">
        <f t="shared" si="194"/>
        <v>0</v>
      </c>
      <c r="J1352" s="389">
        <f t="shared" si="195"/>
        <v>0</v>
      </c>
      <c r="L1352" s="721">
        <v>0</v>
      </c>
      <c r="M1352" s="581"/>
      <c r="N1352" s="585" t="s">
        <v>1738</v>
      </c>
      <c r="O1352" s="586" t="s">
        <v>4681</v>
      </c>
      <c r="P1352" s="233">
        <f t="shared" si="196"/>
        <v>0</v>
      </c>
      <c r="Q1352" s="233">
        <f t="shared" si="197"/>
        <v>0</v>
      </c>
      <c r="R1352" s="2">
        <f t="shared" si="198"/>
        <v>3.3</v>
      </c>
      <c r="S1352" s="2">
        <f>(1/9)*cnst_fish!$C$7*(1/cnst_fish!$C$8)^(R1352-1)</f>
        <v>28.138314698279075</v>
      </c>
      <c r="T1352" s="682">
        <f t="shared" si="199"/>
        <v>0</v>
      </c>
      <c r="W1352" s="818"/>
      <c r="X1352" s="818"/>
      <c r="Y1352" s="819"/>
      <c r="Z1352" s="820"/>
      <c r="AA1352" s="820"/>
      <c r="AB1352" s="821"/>
      <c r="AC1352" s="821"/>
      <c r="AD1352" s="253"/>
      <c r="AE1352" s="253"/>
    </row>
    <row r="1353" spans="1:31" ht="14.5">
      <c r="A1353" t="s">
        <v>2865</v>
      </c>
      <c r="B1353" t="s">
        <v>1015</v>
      </c>
      <c r="C1353">
        <v>2361</v>
      </c>
      <c r="D1353" s="581"/>
      <c r="E1353" s="581"/>
      <c r="F1353" s="2">
        <f>(1/S1353)*cnst_fish!$C$6</f>
        <v>9.5299549485983348E-2</v>
      </c>
      <c r="G1353" s="2">
        <f t="shared" si="193"/>
        <v>1</v>
      </c>
      <c r="H1353" s="2">
        <f t="shared" si="193"/>
        <v>0.36449057933102513</v>
      </c>
      <c r="I1353" s="2">
        <f t="shared" si="194"/>
        <v>0</v>
      </c>
      <c r="J1353" s="389">
        <f t="shared" si="195"/>
        <v>0</v>
      </c>
      <c r="L1353" s="721">
        <v>0</v>
      </c>
      <c r="M1353" s="581"/>
      <c r="N1353" s="585" t="s">
        <v>1738</v>
      </c>
      <c r="O1353" s="586" t="s">
        <v>4681</v>
      </c>
      <c r="P1353" s="233">
        <f t="shared" si="196"/>
        <v>0</v>
      </c>
      <c r="Q1353" s="233">
        <f t="shared" si="197"/>
        <v>0</v>
      </c>
      <c r="R1353" s="2">
        <f t="shared" si="198"/>
        <v>3.5</v>
      </c>
      <c r="S1353" s="2">
        <f>(1/9)*cnst_fish!$C$7*(1/cnst_fish!$C$8)^(R1353-1)</f>
        <v>44.596223412631026</v>
      </c>
      <c r="T1353" s="682">
        <f t="shared" si="199"/>
        <v>0</v>
      </c>
      <c r="W1353" s="818"/>
      <c r="X1353" s="818"/>
      <c r="Y1353" s="819"/>
      <c r="Z1353" s="820"/>
      <c r="AA1353" s="820"/>
      <c r="AB1353" s="821"/>
      <c r="AC1353" s="821"/>
      <c r="AD1353" s="253"/>
      <c r="AE1353" s="253"/>
    </row>
    <row r="1354" spans="1:31" ht="14.5">
      <c r="A1354" t="s">
        <v>6776</v>
      </c>
      <c r="B1354" t="s">
        <v>8687</v>
      </c>
      <c r="C1354">
        <v>17518</v>
      </c>
      <c r="D1354" s="581"/>
      <c r="E1354" s="581"/>
      <c r="F1354" s="2">
        <f>(1/S1354)*cnst_fish!$C$6</f>
        <v>2.3938164528281742</v>
      </c>
      <c r="G1354" s="2">
        <f t="shared" si="193"/>
        <v>1</v>
      </c>
      <c r="H1354" s="2">
        <f t="shared" si="193"/>
        <v>0.36449057933102513</v>
      </c>
      <c r="I1354" s="2">
        <f t="shared" si="194"/>
        <v>0</v>
      </c>
      <c r="J1354" s="389">
        <f t="shared" si="195"/>
        <v>0</v>
      </c>
      <c r="L1354" s="721"/>
      <c r="M1354" s="581"/>
      <c r="N1354" s="585" t="s">
        <v>2318</v>
      </c>
      <c r="O1354" s="586" t="s">
        <v>4691</v>
      </c>
      <c r="P1354" s="233">
        <f t="shared" si="196"/>
        <v>0</v>
      </c>
      <c r="Q1354" s="233">
        <f t="shared" si="197"/>
        <v>0</v>
      </c>
      <c r="R1354" s="2">
        <f t="shared" si="198"/>
        <v>2.1</v>
      </c>
      <c r="S1354" s="2">
        <f>(1/9)*cnst_fish!$C$7*(1/cnst_fish!$C$8)^(R1354-1)</f>
        <v>1.7754076320174161</v>
      </c>
      <c r="T1354" s="682">
        <f t="shared" si="199"/>
        <v>0</v>
      </c>
      <c r="W1354" s="818"/>
      <c r="X1354" s="818"/>
      <c r="Y1354" s="819"/>
      <c r="Z1354" s="820"/>
      <c r="AA1354" s="820"/>
      <c r="AB1354" s="821"/>
      <c r="AC1354" s="821"/>
      <c r="AD1354" s="253"/>
      <c r="AE1354" s="253"/>
    </row>
    <row r="1355" spans="1:31" ht="14.5">
      <c r="A1355" t="s">
        <v>1523</v>
      </c>
      <c r="B1355" t="s">
        <v>1764</v>
      </c>
      <c r="C1355">
        <v>2536</v>
      </c>
      <c r="D1355" s="581"/>
      <c r="E1355" s="581"/>
      <c r="F1355" s="2">
        <f>(1/S1355)*cnst_fish!$C$6</f>
        <v>0.53590874947991185</v>
      </c>
      <c r="G1355" s="2">
        <f t="shared" si="193"/>
        <v>1</v>
      </c>
      <c r="H1355" s="2">
        <f t="shared" si="193"/>
        <v>0.36449057933102513</v>
      </c>
      <c r="I1355" s="2">
        <f t="shared" si="194"/>
        <v>0</v>
      </c>
      <c r="J1355" s="389">
        <f t="shared" si="195"/>
        <v>0</v>
      </c>
      <c r="L1355" s="721">
        <v>15263</v>
      </c>
      <c r="M1355" s="581"/>
      <c r="N1355" s="585" t="s">
        <v>1738</v>
      </c>
      <c r="O1355" s="586" t="s">
        <v>4681</v>
      </c>
      <c r="P1355" s="233">
        <f t="shared" si="196"/>
        <v>0</v>
      </c>
      <c r="Q1355" s="233">
        <f t="shared" si="197"/>
        <v>15263</v>
      </c>
      <c r="R1355" s="2">
        <f t="shared" si="198"/>
        <v>2.75</v>
      </c>
      <c r="S1355" s="2">
        <f>(1/9)*cnst_fish!$C$7*(1/cnst_fish!$C$8)^(R1355-1)</f>
        <v>7.9304545860177429</v>
      </c>
      <c r="T1355" s="682">
        <f t="shared" si="199"/>
        <v>10380.908536627596</v>
      </c>
      <c r="W1355" s="818"/>
      <c r="X1355" s="818"/>
      <c r="Y1355" s="819"/>
      <c r="Z1355" s="820"/>
      <c r="AA1355" s="820"/>
      <c r="AB1355" s="821"/>
      <c r="AC1355" s="821"/>
      <c r="AD1355" s="253"/>
      <c r="AE1355" s="253"/>
    </row>
    <row r="1356" spans="1:31" ht="14.5">
      <c r="A1356" t="s">
        <v>8688</v>
      </c>
      <c r="B1356" t="s">
        <v>2504</v>
      </c>
      <c r="C1356">
        <v>18611</v>
      </c>
      <c r="D1356" s="581"/>
      <c r="E1356" s="581"/>
      <c r="F1356" s="2">
        <f>(1/S1356)*cnst_fish!$C$6</f>
        <v>9.1010363210297068E-2</v>
      </c>
      <c r="G1356" s="2">
        <f t="shared" si="193"/>
        <v>1</v>
      </c>
      <c r="H1356" s="2">
        <f t="shared" si="193"/>
        <v>0.36449057933102513</v>
      </c>
      <c r="I1356" s="2">
        <f t="shared" si="194"/>
        <v>0</v>
      </c>
      <c r="J1356" s="389">
        <f t="shared" si="195"/>
        <v>0</v>
      </c>
      <c r="L1356" s="721">
        <v>0</v>
      </c>
      <c r="M1356" s="581"/>
      <c r="N1356" s="585" t="s">
        <v>1738</v>
      </c>
      <c r="O1356" s="586" t="s">
        <v>4681</v>
      </c>
      <c r="P1356" s="233">
        <f t="shared" si="196"/>
        <v>0</v>
      </c>
      <c r="Q1356" s="233">
        <f t="shared" si="197"/>
        <v>0</v>
      </c>
      <c r="R1356" s="2">
        <f t="shared" si="198"/>
        <v>3.52</v>
      </c>
      <c r="S1356" s="2">
        <f>(1/9)*cnst_fish!$C$7*(1/cnst_fish!$C$8)^(R1356-1)</f>
        <v>46.69797867062185</v>
      </c>
      <c r="T1356" s="682">
        <f t="shared" si="199"/>
        <v>0</v>
      </c>
      <c r="W1356" s="818"/>
      <c r="X1356" s="818"/>
      <c r="Y1356" s="819"/>
      <c r="Z1356" s="820"/>
      <c r="AA1356" s="820"/>
      <c r="AB1356" s="821"/>
      <c r="AC1356" s="821"/>
      <c r="AD1356" s="253"/>
      <c r="AE1356" s="253"/>
    </row>
    <row r="1357" spans="1:31" ht="14.5">
      <c r="A1357" t="s">
        <v>6349</v>
      </c>
      <c r="B1357" t="s">
        <v>6348</v>
      </c>
      <c r="C1357">
        <v>19220</v>
      </c>
      <c r="D1357" s="581"/>
      <c r="E1357" s="581"/>
      <c r="F1357" s="2">
        <f>(1/S1357)*cnst_fish!$C$6</f>
        <v>9.5299549485983348E-2</v>
      </c>
      <c r="G1357" s="2">
        <f t="shared" si="193"/>
        <v>1</v>
      </c>
      <c r="H1357" s="2">
        <f t="shared" si="193"/>
        <v>0.36449057933102513</v>
      </c>
      <c r="I1357" s="2">
        <f t="shared" si="194"/>
        <v>0</v>
      </c>
      <c r="J1357" s="389">
        <f t="shared" si="195"/>
        <v>0</v>
      </c>
      <c r="L1357" s="721">
        <v>9</v>
      </c>
      <c r="M1357" s="581"/>
      <c r="N1357" s="585" t="s">
        <v>1738</v>
      </c>
      <c r="O1357" s="586" t="s">
        <v>4681</v>
      </c>
      <c r="P1357" s="233">
        <f t="shared" si="196"/>
        <v>0</v>
      </c>
      <c r="Q1357" s="233">
        <f t="shared" si="197"/>
        <v>9</v>
      </c>
      <c r="R1357" s="2">
        <f t="shared" si="198"/>
        <v>3.5</v>
      </c>
      <c r="S1357" s="2">
        <f>(1/9)*cnst_fish!$C$7*(1/cnst_fish!$C$8)^(R1357-1)</f>
        <v>44.596223412631026</v>
      </c>
      <c r="T1357" s="682">
        <f t="shared" si="199"/>
        <v>34.422148180896798</v>
      </c>
      <c r="W1357" s="818"/>
      <c r="X1357" s="818"/>
      <c r="Y1357" s="819"/>
      <c r="Z1357" s="820"/>
      <c r="AA1357" s="820"/>
      <c r="AB1357" s="821"/>
      <c r="AC1357" s="821"/>
      <c r="AD1357" s="253"/>
      <c r="AE1357" s="253"/>
    </row>
    <row r="1358" spans="1:31" ht="14.5">
      <c r="A1358" t="s">
        <v>6748</v>
      </c>
      <c r="B1358" t="s">
        <v>8689</v>
      </c>
      <c r="C1358">
        <v>13817</v>
      </c>
      <c r="D1358" s="581"/>
      <c r="E1358" s="581"/>
      <c r="F1358" s="2">
        <f>(1/S1358)*cnst_fish!$C$6</f>
        <v>9.5299549485983348E-2</v>
      </c>
      <c r="G1358" s="2">
        <f t="shared" si="193"/>
        <v>1</v>
      </c>
      <c r="H1358" s="2">
        <f t="shared" si="193"/>
        <v>0.36449057933102513</v>
      </c>
      <c r="I1358" s="2">
        <f t="shared" si="194"/>
        <v>0</v>
      </c>
      <c r="J1358" s="389">
        <f t="shared" si="195"/>
        <v>0</v>
      </c>
      <c r="L1358" s="721"/>
      <c r="M1358" s="581"/>
      <c r="N1358" s="585" t="s">
        <v>1738</v>
      </c>
      <c r="O1358" s="586" t="s">
        <v>4685</v>
      </c>
      <c r="P1358" s="233">
        <f t="shared" si="196"/>
        <v>0</v>
      </c>
      <c r="Q1358" s="233">
        <f t="shared" si="197"/>
        <v>0</v>
      </c>
      <c r="R1358" s="2">
        <f t="shared" si="198"/>
        <v>3.5</v>
      </c>
      <c r="S1358" s="2">
        <f>(1/9)*cnst_fish!$C$7*(1/cnst_fish!$C$8)^(R1358-1)</f>
        <v>44.596223412631026</v>
      </c>
      <c r="T1358" s="682">
        <f t="shared" si="199"/>
        <v>0</v>
      </c>
      <c r="W1358" s="818"/>
      <c r="X1358" s="818"/>
      <c r="Y1358" s="819"/>
      <c r="Z1358" s="820"/>
      <c r="AA1358" s="820"/>
      <c r="AB1358" s="821"/>
      <c r="AC1358" s="821"/>
      <c r="AD1358" s="253"/>
      <c r="AE1358" s="253"/>
    </row>
    <row r="1359" spans="1:31" ht="14.5">
      <c r="A1359" t="s">
        <v>2040</v>
      </c>
      <c r="B1359" t="s">
        <v>3187</v>
      </c>
      <c r="C1359">
        <v>2139</v>
      </c>
      <c r="D1359" s="581"/>
      <c r="E1359" s="581"/>
      <c r="F1359" s="2">
        <f>(1/S1359)*cnst_fish!$C$6</f>
        <v>9.5299549485983348E-2</v>
      </c>
      <c r="G1359" s="2">
        <f t="shared" si="193"/>
        <v>1</v>
      </c>
      <c r="H1359" s="2">
        <f t="shared" si="193"/>
        <v>0.36449057933102513</v>
      </c>
      <c r="I1359" s="2">
        <f t="shared" si="194"/>
        <v>0</v>
      </c>
      <c r="J1359" s="389">
        <f t="shared" si="195"/>
        <v>0</v>
      </c>
      <c r="L1359" s="721"/>
      <c r="M1359" s="581">
        <v>776</v>
      </c>
      <c r="N1359" s="585" t="s">
        <v>1738</v>
      </c>
      <c r="O1359" s="586" t="s">
        <v>4685</v>
      </c>
      <c r="P1359" s="233">
        <f t="shared" si="196"/>
        <v>0</v>
      </c>
      <c r="Q1359" s="233">
        <f t="shared" si="197"/>
        <v>776</v>
      </c>
      <c r="R1359" s="2">
        <f t="shared" si="198"/>
        <v>3.5</v>
      </c>
      <c r="S1359" s="2">
        <f>(1/9)*cnst_fish!$C$7*(1/cnst_fish!$C$8)^(R1359-1)</f>
        <v>44.596223412631026</v>
      </c>
      <c r="T1359" s="682">
        <f t="shared" si="199"/>
        <v>2967.9541098195464</v>
      </c>
      <c r="W1359" s="818"/>
      <c r="X1359" s="818"/>
      <c r="Y1359" s="819"/>
      <c r="Z1359" s="820"/>
      <c r="AA1359" s="820"/>
      <c r="AB1359" s="821"/>
      <c r="AC1359" s="821"/>
      <c r="AD1359" s="253"/>
      <c r="AE1359" s="253"/>
    </row>
    <row r="1360" spans="1:31" ht="14.5">
      <c r="A1360" t="s">
        <v>4663</v>
      </c>
      <c r="B1360" t="s">
        <v>2136</v>
      </c>
      <c r="C1360">
        <v>2004</v>
      </c>
      <c r="D1360" s="581"/>
      <c r="E1360" s="581"/>
      <c r="F1360" s="2">
        <f>(1/S1360)*cnst_fish!$C$6</f>
        <v>7.5699122913220583E-3</v>
      </c>
      <c r="G1360" s="2">
        <f t="shared" si="193"/>
        <v>1</v>
      </c>
      <c r="H1360" s="2">
        <f t="shared" si="193"/>
        <v>0.36449057933102513</v>
      </c>
      <c r="I1360" s="2">
        <f t="shared" si="194"/>
        <v>0</v>
      </c>
      <c r="J1360" s="389">
        <f t="shared" si="195"/>
        <v>0</v>
      </c>
      <c r="L1360" s="721">
        <v>4</v>
      </c>
      <c r="M1360" s="581"/>
      <c r="N1360" s="585" t="s">
        <v>3785</v>
      </c>
      <c r="O1360" s="586" t="s">
        <v>4681</v>
      </c>
      <c r="P1360" s="233">
        <f t="shared" si="196"/>
        <v>0</v>
      </c>
      <c r="Q1360" s="233">
        <f t="shared" si="197"/>
        <v>4</v>
      </c>
      <c r="R1360" s="2">
        <f t="shared" si="198"/>
        <v>4.5999999999999996</v>
      </c>
      <c r="S1360" s="2">
        <f>(1/9)*cnst_fish!$C$7*(1/cnst_fish!$C$8)^(R1360-1)</f>
        <v>561.4331892421111</v>
      </c>
      <c r="T1360" s="682">
        <f t="shared" si="199"/>
        <v>192.59963143766791</v>
      </c>
      <c r="W1360" s="818"/>
      <c r="X1360" s="818"/>
      <c r="Y1360" s="819"/>
      <c r="Z1360" s="820"/>
      <c r="AA1360" s="820"/>
      <c r="AB1360" s="821"/>
      <c r="AC1360" s="821"/>
      <c r="AD1360" s="253"/>
      <c r="AE1360" s="253"/>
    </row>
    <row r="1361" spans="1:31" ht="14.5">
      <c r="A1361" t="s">
        <v>5520</v>
      </c>
      <c r="B1361" t="s">
        <v>5521</v>
      </c>
      <c r="C1361">
        <v>2443</v>
      </c>
      <c r="D1361" s="581"/>
      <c r="E1361" s="581"/>
      <c r="F1361" s="2">
        <f>(1/S1361)*cnst_fish!$C$6</f>
        <v>0.15455777163012493</v>
      </c>
      <c r="G1361" s="2">
        <f t="shared" si="193"/>
        <v>1</v>
      </c>
      <c r="H1361" s="2">
        <f t="shared" si="193"/>
        <v>0.36449057933102513</v>
      </c>
      <c r="I1361" s="2">
        <f t="shared" si="194"/>
        <v>0</v>
      </c>
      <c r="J1361" s="389">
        <f t="shared" si="195"/>
        <v>0</v>
      </c>
      <c r="L1361" s="721">
        <v>1.85</v>
      </c>
      <c r="M1361" s="581"/>
      <c r="N1361" s="585" t="s">
        <v>1738</v>
      </c>
      <c r="O1361" s="586" t="s">
        <v>4681</v>
      </c>
      <c r="P1361" s="233">
        <f t="shared" si="196"/>
        <v>0</v>
      </c>
      <c r="Q1361" s="233">
        <f t="shared" si="197"/>
        <v>1.85</v>
      </c>
      <c r="R1361" s="2">
        <f t="shared" si="198"/>
        <v>3.29</v>
      </c>
      <c r="S1361" s="2">
        <f>(1/9)*cnst_fish!$C$7*(1/cnst_fish!$C$8)^(R1361-1)</f>
        <v>27.497808458126283</v>
      </c>
      <c r="T1361" s="682">
        <f t="shared" si="199"/>
        <v>4.3628189294556758</v>
      </c>
      <c r="W1361" s="818"/>
      <c r="X1361" s="818"/>
      <c r="Y1361" s="819"/>
      <c r="Z1361" s="820"/>
      <c r="AA1361" s="820"/>
      <c r="AB1361" s="821"/>
      <c r="AC1361" s="821"/>
      <c r="AD1361" s="253"/>
      <c r="AE1361" s="253"/>
    </row>
    <row r="1362" spans="1:31" ht="14.5">
      <c r="A1362" t="s">
        <v>3563</v>
      </c>
      <c r="B1362" t="s">
        <v>3564</v>
      </c>
      <c r="C1362">
        <v>3236</v>
      </c>
      <c r="D1362" s="581"/>
      <c r="E1362" s="581"/>
      <c r="F1362" s="2">
        <f>(1/S1362)*cnst_fish!$C$6</f>
        <v>0.53590874947991185</v>
      </c>
      <c r="G1362" s="2">
        <f t="shared" si="193"/>
        <v>1</v>
      </c>
      <c r="H1362" s="2">
        <f t="shared" si="193"/>
        <v>0.36449057933102513</v>
      </c>
      <c r="I1362" s="2">
        <f t="shared" si="194"/>
        <v>0</v>
      </c>
      <c r="J1362" s="389">
        <f t="shared" si="195"/>
        <v>0</v>
      </c>
      <c r="L1362" s="721">
        <v>0</v>
      </c>
      <c r="M1362" s="581"/>
      <c r="N1362" s="585" t="s">
        <v>1738</v>
      </c>
      <c r="O1362" s="586" t="s">
        <v>4681</v>
      </c>
      <c r="P1362" s="233">
        <f t="shared" si="196"/>
        <v>0</v>
      </c>
      <c r="Q1362" s="233">
        <f t="shared" si="197"/>
        <v>0</v>
      </c>
      <c r="R1362" s="2">
        <f t="shared" si="198"/>
        <v>2.75</v>
      </c>
      <c r="S1362" s="2">
        <f>(1/9)*cnst_fish!$C$7*(1/cnst_fish!$C$8)^(R1362-1)</f>
        <v>7.9304545860177429</v>
      </c>
      <c r="T1362" s="682">
        <f t="shared" si="199"/>
        <v>0</v>
      </c>
      <c r="W1362" s="818"/>
      <c r="X1362" s="818"/>
      <c r="Y1362" s="819"/>
      <c r="Z1362" s="820"/>
      <c r="AA1362" s="820"/>
      <c r="AB1362" s="821"/>
      <c r="AC1362" s="821"/>
      <c r="AD1362" s="253"/>
      <c r="AE1362" s="253"/>
    </row>
    <row r="1363" spans="1:31" ht="14.5">
      <c r="A1363" t="s">
        <v>3413</v>
      </c>
      <c r="B1363" t="s">
        <v>1765</v>
      </c>
      <c r="C1363">
        <v>2441</v>
      </c>
      <c r="D1363" s="581"/>
      <c r="E1363" s="581"/>
      <c r="F1363" s="2">
        <f>(1/S1363)*cnst_fish!$C$6</f>
        <v>0.2133491159303107</v>
      </c>
      <c r="G1363" s="2">
        <f t="shared" si="193"/>
        <v>1</v>
      </c>
      <c r="H1363" s="2">
        <f t="shared" si="193"/>
        <v>0.36449057933102513</v>
      </c>
      <c r="I1363" s="2">
        <f t="shared" si="194"/>
        <v>0</v>
      </c>
      <c r="J1363" s="389">
        <f t="shared" si="195"/>
        <v>0</v>
      </c>
      <c r="L1363" s="721">
        <v>0.03</v>
      </c>
      <c r="M1363" s="581"/>
      <c r="N1363" s="585" t="s">
        <v>1738</v>
      </c>
      <c r="O1363" s="586" t="s">
        <v>4681</v>
      </c>
      <c r="P1363" s="233">
        <f t="shared" si="196"/>
        <v>0</v>
      </c>
      <c r="Q1363" s="233">
        <f t="shared" si="197"/>
        <v>0.03</v>
      </c>
      <c r="R1363" s="2">
        <f t="shared" si="198"/>
        <v>3.15</v>
      </c>
      <c r="S1363" s="2">
        <f>(1/9)*cnst_fish!$C$7*(1/cnst_fish!$C$8)^(R1363-1)</f>
        <v>19.920401270320887</v>
      </c>
      <c r="T1363" s="682">
        <f t="shared" si="199"/>
        <v>5.1252695996652352E-2</v>
      </c>
      <c r="W1363" s="818"/>
      <c r="X1363" s="818"/>
      <c r="Y1363" s="819"/>
      <c r="Z1363" s="820"/>
      <c r="AA1363" s="820"/>
      <c r="AB1363" s="821"/>
      <c r="AC1363" s="821"/>
      <c r="AD1363" s="253"/>
      <c r="AE1363" s="253"/>
    </row>
    <row r="1364" spans="1:31" ht="14.5">
      <c r="A1364" t="s">
        <v>703</v>
      </c>
      <c r="B1364" t="s">
        <v>1766</v>
      </c>
      <c r="C1364">
        <v>3237</v>
      </c>
      <c r="D1364" s="581"/>
      <c r="E1364" s="581"/>
      <c r="F1364" s="2">
        <f>(1/S1364)*cnst_fish!$C$6</f>
        <v>0.24495756009854439</v>
      </c>
      <c r="G1364" s="2">
        <f t="shared" si="193"/>
        <v>1</v>
      </c>
      <c r="H1364" s="2">
        <f t="shared" si="193"/>
        <v>0.36449057933102513</v>
      </c>
      <c r="I1364" s="2">
        <f t="shared" si="194"/>
        <v>0</v>
      </c>
      <c r="J1364" s="389">
        <f t="shared" si="195"/>
        <v>0</v>
      </c>
      <c r="L1364" s="721">
        <v>0</v>
      </c>
      <c r="M1364" s="581"/>
      <c r="N1364" s="585" t="s">
        <v>1738</v>
      </c>
      <c r="O1364" s="586" t="s">
        <v>4681</v>
      </c>
      <c r="P1364" s="233">
        <f t="shared" si="196"/>
        <v>0</v>
      </c>
      <c r="Q1364" s="233">
        <f t="shared" si="197"/>
        <v>0</v>
      </c>
      <c r="R1364" s="2">
        <f t="shared" si="198"/>
        <v>3.09</v>
      </c>
      <c r="S1364" s="2">
        <f>(1/9)*cnst_fish!$C$7*(1/cnst_fish!$C$8)^(R1364-1)</f>
        <v>17.349944203764359</v>
      </c>
      <c r="T1364" s="682">
        <f t="shared" si="199"/>
        <v>0</v>
      </c>
      <c r="W1364" s="818"/>
      <c r="X1364" s="818"/>
      <c r="Y1364" s="819"/>
      <c r="Z1364" s="820"/>
      <c r="AA1364" s="820"/>
      <c r="AB1364" s="821"/>
      <c r="AC1364" s="821"/>
      <c r="AD1364" s="253"/>
      <c r="AE1364" s="253"/>
    </row>
    <row r="1365" spans="1:31" ht="14.5">
      <c r="A1365" t="s">
        <v>4768</v>
      </c>
      <c r="B1365" t="s">
        <v>1767</v>
      </c>
      <c r="C1365">
        <v>3235</v>
      </c>
      <c r="D1365" s="581"/>
      <c r="E1365" s="581"/>
      <c r="F1365" s="2">
        <f>(1/S1365)*cnst_fish!$C$6</f>
        <v>0.23938164528281752</v>
      </c>
      <c r="G1365" s="2">
        <f t="shared" si="193"/>
        <v>1</v>
      </c>
      <c r="H1365" s="2">
        <f t="shared" si="193"/>
        <v>0.36449057933102513</v>
      </c>
      <c r="I1365" s="2">
        <f t="shared" si="194"/>
        <v>0</v>
      </c>
      <c r="J1365" s="389">
        <f t="shared" si="195"/>
        <v>0</v>
      </c>
      <c r="L1365" s="721">
        <v>0</v>
      </c>
      <c r="M1365" s="581"/>
      <c r="N1365" s="585" t="s">
        <v>1738</v>
      </c>
      <c r="O1365" s="586" t="s">
        <v>4681</v>
      </c>
      <c r="P1365" s="233">
        <f t="shared" si="196"/>
        <v>0</v>
      </c>
      <c r="Q1365" s="233">
        <f t="shared" si="197"/>
        <v>0</v>
      </c>
      <c r="R1365" s="2">
        <f t="shared" si="198"/>
        <v>3.1</v>
      </c>
      <c r="S1365" s="2">
        <f>(1/9)*cnst_fish!$C$7*(1/cnst_fish!$C$8)^(R1365-1)</f>
        <v>17.754076320174157</v>
      </c>
      <c r="T1365" s="682">
        <f t="shared" si="199"/>
        <v>0</v>
      </c>
      <c r="W1365" s="818"/>
      <c r="X1365" s="818"/>
      <c r="Y1365" s="819"/>
      <c r="Z1365" s="820"/>
      <c r="AA1365" s="820"/>
      <c r="AB1365" s="821"/>
      <c r="AC1365" s="821"/>
      <c r="AD1365" s="253"/>
      <c r="AE1365" s="253"/>
    </row>
    <row r="1366" spans="1:31" ht="14.5">
      <c r="A1366" t="s">
        <v>3419</v>
      </c>
      <c r="B1366" t="s">
        <v>1768</v>
      </c>
      <c r="C1366">
        <v>2440</v>
      </c>
      <c r="D1366" s="581"/>
      <c r="E1366" s="581"/>
      <c r="F1366" s="2">
        <f>(1/S1366)*cnst_fish!$C$6</f>
        <v>7.3976000504507963E-2</v>
      </c>
      <c r="G1366" s="2">
        <f t="shared" si="193"/>
        <v>1</v>
      </c>
      <c r="H1366" s="2">
        <f t="shared" si="193"/>
        <v>0.36449057933102513</v>
      </c>
      <c r="I1366" s="2">
        <f t="shared" si="194"/>
        <v>0</v>
      </c>
      <c r="J1366" s="389">
        <f t="shared" si="195"/>
        <v>0</v>
      </c>
      <c r="L1366" s="721">
        <v>17.13</v>
      </c>
      <c r="M1366" s="581"/>
      <c r="N1366" s="585" t="s">
        <v>1738</v>
      </c>
      <c r="O1366" s="586" t="s">
        <v>4681</v>
      </c>
      <c r="P1366" s="233">
        <f t="shared" si="196"/>
        <v>0</v>
      </c>
      <c r="Q1366" s="233">
        <f t="shared" si="197"/>
        <v>17.13</v>
      </c>
      <c r="R1366" s="2">
        <f t="shared" si="198"/>
        <v>3.61</v>
      </c>
      <c r="S1366" s="2">
        <f>(1/9)*cnst_fish!$C$7*(1/cnst_fish!$C$8)^(R1366-1)</f>
        <v>57.451064818528707</v>
      </c>
      <c r="T1366" s="682">
        <f t="shared" si="199"/>
        <v>84.402016618348796</v>
      </c>
      <c r="W1366" s="818"/>
      <c r="X1366" s="818"/>
      <c r="Y1366" s="819"/>
      <c r="Z1366" s="820"/>
      <c r="AA1366" s="820"/>
      <c r="AB1366" s="821"/>
      <c r="AC1366" s="821"/>
      <c r="AD1366" s="253"/>
      <c r="AE1366" s="253"/>
    </row>
    <row r="1367" spans="1:31" ht="14.5">
      <c r="A1367" t="s">
        <v>5368</v>
      </c>
      <c r="B1367" t="s">
        <v>1769</v>
      </c>
      <c r="C1367">
        <v>2442</v>
      </c>
      <c r="D1367" s="581"/>
      <c r="E1367" s="581"/>
      <c r="F1367" s="2">
        <f>(1/S1367)*cnst_fish!$C$6</f>
        <v>0.24495756009854439</v>
      </c>
      <c r="G1367" s="2">
        <f t="shared" si="193"/>
        <v>1</v>
      </c>
      <c r="H1367" s="2">
        <f t="shared" si="193"/>
        <v>0.36449057933102513</v>
      </c>
      <c r="I1367" s="2">
        <f t="shared" si="194"/>
        <v>0</v>
      </c>
      <c r="J1367" s="389">
        <f t="shared" si="195"/>
        <v>0</v>
      </c>
      <c r="L1367" s="721">
        <v>8.86</v>
      </c>
      <c r="M1367" s="581"/>
      <c r="N1367" s="585" t="s">
        <v>1738</v>
      </c>
      <c r="O1367" s="586" t="s">
        <v>4681</v>
      </c>
      <c r="P1367" s="233">
        <f t="shared" si="196"/>
        <v>0</v>
      </c>
      <c r="Q1367" s="233">
        <f t="shared" si="197"/>
        <v>8.86</v>
      </c>
      <c r="R1367" s="2">
        <f t="shared" si="198"/>
        <v>3.09</v>
      </c>
      <c r="S1367" s="2">
        <f>(1/9)*cnst_fish!$C$7*(1/cnst_fish!$C$8)^(R1367-1)</f>
        <v>17.349944203764359</v>
      </c>
      <c r="T1367" s="682">
        <f t="shared" si="199"/>
        <v>13.18345321358413</v>
      </c>
      <c r="W1367" s="822"/>
      <c r="X1367" s="822"/>
      <c r="Y1367" s="819"/>
      <c r="Z1367" s="820"/>
      <c r="AA1367" s="820"/>
      <c r="AB1367" s="821"/>
      <c r="AC1367" s="821"/>
      <c r="AD1367" s="253"/>
      <c r="AE1367" s="253"/>
    </row>
    <row r="1368" spans="1:31" ht="14.5">
      <c r="A1368" t="s">
        <v>1859</v>
      </c>
      <c r="B1368" t="s">
        <v>1770</v>
      </c>
      <c r="C1368">
        <v>2435</v>
      </c>
      <c r="D1368" s="581"/>
      <c r="E1368" s="581"/>
      <c r="F1368" s="2">
        <f>(1/S1368)*cnst_fish!$C$6</f>
        <v>0.10941852286935322</v>
      </c>
      <c r="G1368" s="2">
        <f t="shared" ref="G1368:H1387" si="200">G$7</f>
        <v>1</v>
      </c>
      <c r="H1368" s="2">
        <f t="shared" si="200"/>
        <v>0.36449057933102513</v>
      </c>
      <c r="I1368" s="2">
        <f t="shared" si="194"/>
        <v>0</v>
      </c>
      <c r="J1368" s="389">
        <f t="shared" si="195"/>
        <v>0</v>
      </c>
      <c r="L1368" s="721">
        <v>4375.21</v>
      </c>
      <c r="M1368" s="581"/>
      <c r="N1368" s="585" t="s">
        <v>1738</v>
      </c>
      <c r="O1368" s="586" t="s">
        <v>4681</v>
      </c>
      <c r="P1368" s="233">
        <f t="shared" si="196"/>
        <v>0</v>
      </c>
      <c r="Q1368" s="233">
        <f t="shared" si="197"/>
        <v>4375.21</v>
      </c>
      <c r="R1368" s="2">
        <f t="shared" si="198"/>
        <v>3.44</v>
      </c>
      <c r="S1368" s="2">
        <f>(1/9)*cnst_fish!$C$7*(1/cnst_fish!$C$8)^(R1368-1)</f>
        <v>38.841686841948523</v>
      </c>
      <c r="T1368" s="682">
        <f t="shared" si="199"/>
        <v>14574.523451564128</v>
      </c>
      <c r="W1368" s="818"/>
      <c r="X1368" s="818"/>
      <c r="Y1368" s="819"/>
      <c r="Z1368" s="820"/>
      <c r="AA1368" s="820"/>
      <c r="AB1368" s="821"/>
      <c r="AC1368" s="821"/>
      <c r="AD1368" s="253"/>
      <c r="AE1368" s="253"/>
    </row>
    <row r="1369" spans="1:31" ht="14.5">
      <c r="A1369" t="s">
        <v>5501</v>
      </c>
      <c r="B1369" t="s">
        <v>5502</v>
      </c>
      <c r="C1369">
        <v>2444</v>
      </c>
      <c r="D1369" s="581"/>
      <c r="E1369" s="581"/>
      <c r="F1369" s="2">
        <f>(1/S1369)*cnst_fish!$C$6</f>
        <v>0.16184185499703521</v>
      </c>
      <c r="G1369" s="2">
        <f t="shared" si="200"/>
        <v>1</v>
      </c>
      <c r="H1369" s="2">
        <f t="shared" si="200"/>
        <v>0.36449057933102513</v>
      </c>
      <c r="I1369" s="2">
        <f t="shared" si="194"/>
        <v>0</v>
      </c>
      <c r="J1369" s="389">
        <f t="shared" si="195"/>
        <v>0</v>
      </c>
      <c r="L1369" s="721">
        <v>0.04</v>
      </c>
      <c r="M1369" s="581"/>
      <c r="N1369" s="585" t="s">
        <v>1738</v>
      </c>
      <c r="O1369" s="586" t="s">
        <v>4681</v>
      </c>
      <c r="P1369" s="233">
        <f t="shared" si="196"/>
        <v>0</v>
      </c>
      <c r="Q1369" s="233">
        <f t="shared" si="197"/>
        <v>0.04</v>
      </c>
      <c r="R1369" s="2">
        <f t="shared" si="198"/>
        <v>3.27</v>
      </c>
      <c r="S1369" s="2">
        <f>(1/9)*cnst_fish!$C$7*(1/cnst_fish!$C$8)^(R1369-1)</f>
        <v>26.260203209348141</v>
      </c>
      <c r="T1369" s="682">
        <f t="shared" si="199"/>
        <v>9.0085615822359993E-2</v>
      </c>
      <c r="W1369" s="822"/>
      <c r="X1369" s="822"/>
      <c r="Y1369" s="819"/>
      <c r="Z1369" s="820"/>
      <c r="AA1369" s="820"/>
      <c r="AB1369" s="821"/>
      <c r="AC1369" s="821"/>
      <c r="AD1369" s="253"/>
      <c r="AE1369" s="253"/>
    </row>
    <row r="1370" spans="1:31" ht="14.5">
      <c r="A1370" t="s">
        <v>5518</v>
      </c>
      <c r="B1370" t="s">
        <v>5519</v>
      </c>
      <c r="C1370">
        <v>2445</v>
      </c>
      <c r="D1370" s="581"/>
      <c r="E1370" s="581"/>
      <c r="F1370" s="2">
        <f>(1/S1370)*cnst_fish!$C$6</f>
        <v>0.18158954798513588</v>
      </c>
      <c r="G1370" s="2">
        <f t="shared" si="200"/>
        <v>1</v>
      </c>
      <c r="H1370" s="2">
        <f t="shared" si="200"/>
        <v>0.36449057933102513</v>
      </c>
      <c r="I1370" s="2">
        <f t="shared" si="194"/>
        <v>0</v>
      </c>
      <c r="J1370" s="389">
        <f t="shared" si="195"/>
        <v>0</v>
      </c>
      <c r="L1370" s="721">
        <v>0.05</v>
      </c>
      <c r="M1370" s="581"/>
      <c r="N1370" s="585" t="s">
        <v>1738</v>
      </c>
      <c r="O1370" s="586" t="s">
        <v>4681</v>
      </c>
      <c r="P1370" s="233">
        <f t="shared" si="196"/>
        <v>0</v>
      </c>
      <c r="Q1370" s="233">
        <f t="shared" si="197"/>
        <v>0.05</v>
      </c>
      <c r="R1370" s="2">
        <f t="shared" si="198"/>
        <v>3.22</v>
      </c>
      <c r="S1370" s="2">
        <f>(1/9)*cnst_fish!$C$7*(1/cnst_fish!$C$8)^(R1370-1)</f>
        <v>23.404430745914333</v>
      </c>
      <c r="T1370" s="682">
        <f t="shared" si="199"/>
        <v>0.10036111201754319</v>
      </c>
      <c r="W1370" s="818"/>
      <c r="X1370" s="818"/>
      <c r="Y1370" s="819"/>
      <c r="Z1370" s="820"/>
      <c r="AA1370" s="820"/>
      <c r="AB1370" s="821"/>
      <c r="AC1370" s="821"/>
      <c r="AD1370" s="253"/>
      <c r="AE1370" s="253"/>
    </row>
    <row r="1371" spans="1:31" ht="14.5">
      <c r="A1371" t="s">
        <v>5522</v>
      </c>
      <c r="B1371" t="s">
        <v>5523</v>
      </c>
      <c r="C1371">
        <v>3240</v>
      </c>
      <c r="D1371" s="581"/>
      <c r="E1371" s="581"/>
      <c r="F1371" s="2">
        <f>(1/S1371)*cnst_fish!$C$6</f>
        <v>0.10211530705467774</v>
      </c>
      <c r="G1371" s="2">
        <f t="shared" si="200"/>
        <v>1</v>
      </c>
      <c r="H1371" s="2">
        <f t="shared" si="200"/>
        <v>0.36449057933102513</v>
      </c>
      <c r="I1371" s="2">
        <f t="shared" si="194"/>
        <v>0</v>
      </c>
      <c r="J1371" s="389">
        <f t="shared" si="195"/>
        <v>0</v>
      </c>
      <c r="L1371" s="721">
        <v>0</v>
      </c>
      <c r="M1371" s="581"/>
      <c r="N1371" s="585" t="s">
        <v>1738</v>
      </c>
      <c r="O1371" s="586" t="s">
        <v>4681</v>
      </c>
      <c r="P1371" s="233">
        <f t="shared" si="196"/>
        <v>0</v>
      </c>
      <c r="Q1371" s="233">
        <f t="shared" si="197"/>
        <v>0</v>
      </c>
      <c r="R1371" s="2">
        <f t="shared" si="198"/>
        <v>3.47</v>
      </c>
      <c r="S1371" s="2">
        <f>(1/9)*cnst_fish!$C$7*(1/cnst_fish!$C$8)^(R1371-1)</f>
        <v>41.619617299141382</v>
      </c>
      <c r="T1371" s="682">
        <f t="shared" si="199"/>
        <v>0</v>
      </c>
      <c r="W1371" s="818"/>
      <c r="X1371" s="818"/>
      <c r="Y1371" s="819"/>
      <c r="Z1371" s="820"/>
      <c r="AA1371" s="820"/>
      <c r="AB1371" s="821"/>
      <c r="AC1371" s="821"/>
      <c r="AD1371" s="253"/>
      <c r="AE1371" s="253"/>
    </row>
    <row r="1372" spans="1:31" ht="14.5">
      <c r="A1372" t="s">
        <v>6531</v>
      </c>
      <c r="B1372" t="s">
        <v>333</v>
      </c>
      <c r="C1372">
        <v>16090</v>
      </c>
      <c r="D1372" s="581"/>
      <c r="E1372" s="581"/>
      <c r="F1372" s="2">
        <f>(1/S1372)*cnst_fish!$C$6</f>
        <v>0.16561163607618423</v>
      </c>
      <c r="G1372" s="2">
        <f t="shared" si="200"/>
        <v>1</v>
      </c>
      <c r="H1372" s="2">
        <f t="shared" si="200"/>
        <v>0.36449057933102513</v>
      </c>
      <c r="I1372" s="2">
        <f t="shared" si="194"/>
        <v>0</v>
      </c>
      <c r="J1372" s="389">
        <f t="shared" si="195"/>
        <v>0</v>
      </c>
      <c r="L1372" s="721">
        <v>0</v>
      </c>
      <c r="M1372" s="581"/>
      <c r="N1372" s="585" t="s">
        <v>1738</v>
      </c>
      <c r="O1372" s="586" t="s">
        <v>4681</v>
      </c>
      <c r="P1372" s="233">
        <f t="shared" si="196"/>
        <v>0</v>
      </c>
      <c r="Q1372" s="233">
        <f t="shared" si="197"/>
        <v>0</v>
      </c>
      <c r="R1372" s="2">
        <f t="shared" si="198"/>
        <v>3.26</v>
      </c>
      <c r="S1372" s="2">
        <f>(1/9)*cnst_fish!$C$7*(1/cnst_fish!$C$8)^(R1372-1)</f>
        <v>25.662448006038215</v>
      </c>
      <c r="T1372" s="682">
        <f t="shared" si="199"/>
        <v>0</v>
      </c>
      <c r="W1372" s="818"/>
      <c r="X1372" s="818"/>
      <c r="Y1372" s="819"/>
      <c r="Z1372" s="820"/>
      <c r="AA1372" s="820"/>
      <c r="AB1372" s="821"/>
      <c r="AC1372" s="821"/>
      <c r="AD1372" s="253"/>
      <c r="AE1372" s="253"/>
    </row>
    <row r="1373" spans="1:31" ht="14.5">
      <c r="A1373" t="s">
        <v>164</v>
      </c>
      <c r="B1373" t="s">
        <v>6532</v>
      </c>
      <c r="C1373">
        <v>3568</v>
      </c>
      <c r="D1373" s="581"/>
      <c r="E1373" s="581"/>
      <c r="F1373" s="2">
        <f>(1/S1373)*cnst_fish!$C$6</f>
        <v>0.19014759972289441</v>
      </c>
      <c r="G1373" s="2">
        <f t="shared" si="200"/>
        <v>1</v>
      </c>
      <c r="H1373" s="2">
        <f t="shared" si="200"/>
        <v>0.36449057933102513</v>
      </c>
      <c r="I1373" s="2">
        <f t="shared" si="194"/>
        <v>0</v>
      </c>
      <c r="J1373" s="389">
        <f t="shared" si="195"/>
        <v>0</v>
      </c>
      <c r="L1373" s="721">
        <v>22813</v>
      </c>
      <c r="M1373" s="581"/>
      <c r="N1373" s="585" t="s">
        <v>5197</v>
      </c>
      <c r="O1373" s="586" t="s">
        <v>4675</v>
      </c>
      <c r="P1373" s="233">
        <f t="shared" si="196"/>
        <v>0</v>
      </c>
      <c r="Q1373" s="233">
        <f t="shared" si="197"/>
        <v>22813</v>
      </c>
      <c r="R1373" s="2">
        <f t="shared" si="198"/>
        <v>3.2</v>
      </c>
      <c r="S1373" s="2">
        <f>(1/9)*cnst_fish!$C$7*(1/cnst_fish!$C$8)^(R1373-1)</f>
        <v>22.351057842400341</v>
      </c>
      <c r="T1373" s="682">
        <f t="shared" si="199"/>
        <v>43729.837233793427</v>
      </c>
      <c r="W1373" s="818"/>
      <c r="X1373" s="818"/>
      <c r="Y1373" s="819"/>
      <c r="Z1373" s="820"/>
      <c r="AA1373" s="820"/>
      <c r="AB1373" s="821"/>
      <c r="AC1373" s="821"/>
      <c r="AD1373" s="253"/>
      <c r="AE1373" s="253"/>
    </row>
    <row r="1374" spans="1:31" ht="14.5">
      <c r="A1374" t="s">
        <v>872</v>
      </c>
      <c r="B1374" t="s">
        <v>2493</v>
      </c>
      <c r="C1374">
        <v>2377</v>
      </c>
      <c r="D1374" s="581"/>
      <c r="E1374" s="581"/>
      <c r="F1374" s="2">
        <f>(1/S1374)*cnst_fish!$C$6</f>
        <v>0.28124890974018413</v>
      </c>
      <c r="G1374" s="2">
        <f t="shared" si="200"/>
        <v>1</v>
      </c>
      <c r="H1374" s="2">
        <f t="shared" si="200"/>
        <v>0.36449057933102513</v>
      </c>
      <c r="I1374" s="2">
        <f t="shared" si="194"/>
        <v>0</v>
      </c>
      <c r="J1374" s="389">
        <f t="shared" si="195"/>
        <v>0</v>
      </c>
      <c r="L1374" s="721">
        <v>1384</v>
      </c>
      <c r="M1374" s="581">
        <v>12</v>
      </c>
      <c r="N1374" s="585" t="s">
        <v>1738</v>
      </c>
      <c r="O1374" s="586" t="s">
        <v>4681</v>
      </c>
      <c r="P1374" s="233">
        <f t="shared" si="196"/>
        <v>0</v>
      </c>
      <c r="Q1374" s="233">
        <f t="shared" si="197"/>
        <v>1396</v>
      </c>
      <c r="R1374" s="2">
        <f t="shared" si="198"/>
        <v>3.03</v>
      </c>
      <c r="S1374" s="2">
        <f>(1/9)*cnst_fish!$C$7*(1/cnst_fish!$C$8)^(R1374-1)</f>
        <v>15.111169689248294</v>
      </c>
      <c r="T1374" s="682">
        <f t="shared" si="199"/>
        <v>1809.1762532205505</v>
      </c>
      <c r="W1374" s="818"/>
      <c r="X1374" s="818"/>
      <c r="Y1374" s="819"/>
      <c r="Z1374" s="820"/>
      <c r="AA1374" s="820"/>
      <c r="AB1374" s="821"/>
      <c r="AC1374" s="821"/>
      <c r="AD1374" s="253"/>
      <c r="AE1374" s="253"/>
    </row>
    <row r="1375" spans="1:31" ht="14.5">
      <c r="A1375" t="s">
        <v>1052</v>
      </c>
      <c r="B1375" t="s">
        <v>2437</v>
      </c>
      <c r="C1375">
        <v>3569</v>
      </c>
      <c r="D1375" s="581"/>
      <c r="E1375" s="581"/>
      <c r="F1375" s="2">
        <f>(1/S1375)*cnst_fish!$C$6</f>
        <v>0.19014759972289441</v>
      </c>
      <c r="G1375" s="2">
        <f t="shared" si="200"/>
        <v>1</v>
      </c>
      <c r="H1375" s="2">
        <f t="shared" si="200"/>
        <v>0.36449057933102513</v>
      </c>
      <c r="I1375" s="2">
        <f t="shared" si="194"/>
        <v>0</v>
      </c>
      <c r="J1375" s="389">
        <f t="shared" si="195"/>
        <v>0</v>
      </c>
      <c r="L1375" s="721">
        <v>301465.34999999998</v>
      </c>
      <c r="M1375" s="581"/>
      <c r="N1375" s="585" t="s">
        <v>2315</v>
      </c>
      <c r="O1375" s="586" t="s">
        <v>4675</v>
      </c>
      <c r="P1375" s="233">
        <f t="shared" si="196"/>
        <v>0</v>
      </c>
      <c r="Q1375" s="233">
        <f t="shared" si="197"/>
        <v>301465.34999999998</v>
      </c>
      <c r="R1375" s="2">
        <f t="shared" si="198"/>
        <v>3.2</v>
      </c>
      <c r="S1375" s="2">
        <f>(1/9)*cnst_fish!$C$7*(1/cnst_fish!$C$8)^(R1375-1)</f>
        <v>22.351057842400341</v>
      </c>
      <c r="T1375" s="682">
        <f t="shared" si="199"/>
        <v>577873.61097306653</v>
      </c>
      <c r="W1375" s="818"/>
      <c r="X1375" s="818"/>
      <c r="Y1375" s="819"/>
      <c r="Z1375" s="820"/>
      <c r="AA1375" s="820"/>
      <c r="AB1375" s="821"/>
      <c r="AC1375" s="821"/>
      <c r="AD1375" s="253"/>
      <c r="AE1375" s="253"/>
    </row>
    <row r="1376" spans="1:31" ht="14.5">
      <c r="A1376" t="s">
        <v>4227</v>
      </c>
      <c r="B1376" t="s">
        <v>8690</v>
      </c>
      <c r="C1376">
        <v>3570</v>
      </c>
      <c r="D1376" s="581"/>
      <c r="E1376" s="581"/>
      <c r="F1376" s="2">
        <f>(1/S1376)*cnst_fish!$C$6</f>
        <v>0.19457670629544385</v>
      </c>
      <c r="G1376" s="2">
        <f t="shared" si="200"/>
        <v>1</v>
      </c>
      <c r="H1376" s="2">
        <f t="shared" si="200"/>
        <v>0.36449057933102513</v>
      </c>
      <c r="I1376" s="2">
        <f t="shared" si="194"/>
        <v>0</v>
      </c>
      <c r="J1376" s="389">
        <f t="shared" si="195"/>
        <v>0</v>
      </c>
      <c r="L1376" s="721"/>
      <c r="M1376" s="581"/>
      <c r="N1376" s="585" t="s">
        <v>2315</v>
      </c>
      <c r="O1376" s="586" t="s">
        <v>4675</v>
      </c>
      <c r="P1376" s="233">
        <f t="shared" si="196"/>
        <v>0</v>
      </c>
      <c r="Q1376" s="233">
        <f t="shared" si="197"/>
        <v>0</v>
      </c>
      <c r="R1376" s="2">
        <f t="shared" si="198"/>
        <v>3.19</v>
      </c>
      <c r="S1376" s="2">
        <f>(1/9)*cnst_fish!$C$7*(1/cnst_fish!$C$8)^(R1376-1)</f>
        <v>21.84228565132987</v>
      </c>
      <c r="T1376" s="682">
        <f t="shared" si="199"/>
        <v>0</v>
      </c>
      <c r="W1376" s="818"/>
      <c r="X1376" s="818"/>
      <c r="Y1376" s="819"/>
      <c r="Z1376" s="820"/>
      <c r="AA1376" s="820"/>
      <c r="AB1376" s="821"/>
      <c r="AC1376" s="821"/>
      <c r="AD1376" s="253"/>
      <c r="AE1376" s="253"/>
    </row>
    <row r="1377" spans="1:31" ht="14.5">
      <c r="A1377" t="s">
        <v>1939</v>
      </c>
      <c r="B1377" t="s">
        <v>1940</v>
      </c>
      <c r="C1377">
        <v>16924</v>
      </c>
      <c r="D1377" s="581"/>
      <c r="E1377" s="581"/>
      <c r="F1377" s="2">
        <f>(1/S1377)*cnst_fish!$C$6</f>
        <v>9.5299549485983348E-2</v>
      </c>
      <c r="G1377" s="2">
        <f t="shared" si="200"/>
        <v>1</v>
      </c>
      <c r="H1377" s="2">
        <f t="shared" si="200"/>
        <v>0.36449057933102513</v>
      </c>
      <c r="I1377" s="2">
        <f t="shared" si="194"/>
        <v>0</v>
      </c>
      <c r="J1377" s="389">
        <f t="shared" si="195"/>
        <v>0</v>
      </c>
      <c r="L1377" s="721">
        <v>28809</v>
      </c>
      <c r="M1377" s="581"/>
      <c r="N1377" s="585" t="s">
        <v>2315</v>
      </c>
      <c r="O1377" s="586" t="s">
        <v>4675</v>
      </c>
      <c r="P1377" s="233">
        <f t="shared" si="196"/>
        <v>0</v>
      </c>
      <c r="Q1377" s="233">
        <f t="shared" si="197"/>
        <v>28809</v>
      </c>
      <c r="R1377" s="2">
        <f t="shared" si="198"/>
        <v>3.5</v>
      </c>
      <c r="S1377" s="2">
        <f>(1/9)*cnst_fish!$C$7*(1/cnst_fish!$C$8)^(R1377-1)</f>
        <v>44.596223412631026</v>
      </c>
      <c r="T1377" s="682">
        <f t="shared" si="199"/>
        <v>110185.29632705064</v>
      </c>
      <c r="W1377" s="818"/>
      <c r="X1377" s="818"/>
      <c r="Y1377" s="819"/>
      <c r="Z1377" s="820"/>
      <c r="AA1377" s="820"/>
      <c r="AB1377" s="821"/>
      <c r="AC1377" s="821"/>
      <c r="AD1377" s="253"/>
      <c r="AE1377" s="253"/>
    </row>
    <row r="1378" spans="1:31" ht="14.5">
      <c r="A1378" t="s">
        <v>946</v>
      </c>
      <c r="B1378" t="s">
        <v>2438</v>
      </c>
      <c r="C1378">
        <v>3571</v>
      </c>
      <c r="D1378" s="581"/>
      <c r="E1378" s="581"/>
      <c r="F1378" s="2">
        <f>(1/S1378)*cnst_fish!$C$6</f>
        <v>8.4935812883106004E-2</v>
      </c>
      <c r="G1378" s="2">
        <f t="shared" si="200"/>
        <v>1</v>
      </c>
      <c r="H1378" s="2">
        <f t="shared" si="200"/>
        <v>0.36449057933102513</v>
      </c>
      <c r="I1378" s="2">
        <f t="shared" si="194"/>
        <v>0</v>
      </c>
      <c r="J1378" s="389">
        <f t="shared" si="195"/>
        <v>0</v>
      </c>
      <c r="L1378" s="721">
        <v>39827</v>
      </c>
      <c r="M1378" s="581"/>
      <c r="N1378" s="585" t="s">
        <v>2315</v>
      </c>
      <c r="O1378" s="586" t="s">
        <v>4675</v>
      </c>
      <c r="P1378" s="233">
        <f t="shared" si="196"/>
        <v>0</v>
      </c>
      <c r="Q1378" s="233">
        <f t="shared" si="197"/>
        <v>39827</v>
      </c>
      <c r="R1378" s="2">
        <f t="shared" si="198"/>
        <v>3.55</v>
      </c>
      <c r="S1378" s="2">
        <f>(1/9)*cnst_fish!$C$7*(1/cnst_fish!$C$8)^(R1378-1)</f>
        <v>50.037785661145278</v>
      </c>
      <c r="T1378" s="682">
        <f t="shared" si="199"/>
        <v>170912.1960485072</v>
      </c>
      <c r="W1378" s="818"/>
      <c r="X1378" s="818"/>
      <c r="Y1378" s="819"/>
      <c r="Z1378" s="820"/>
      <c r="AA1378" s="820"/>
      <c r="AB1378" s="821"/>
      <c r="AC1378" s="821"/>
      <c r="AD1378" s="253"/>
      <c r="AE1378" s="253"/>
    </row>
    <row r="1379" spans="1:31" ht="14.5">
      <c r="A1379" t="s">
        <v>278</v>
      </c>
      <c r="B1379" t="s">
        <v>2494</v>
      </c>
      <c r="C1379">
        <v>3138</v>
      </c>
      <c r="D1379" s="581"/>
      <c r="E1379" s="581"/>
      <c r="F1379" s="2">
        <f>(1/S1379)*cnst_fish!$C$6</f>
        <v>3.0838329721915438E-2</v>
      </c>
      <c r="G1379" s="2">
        <f t="shared" si="200"/>
        <v>1</v>
      </c>
      <c r="H1379" s="2">
        <f t="shared" si="200"/>
        <v>0.36449057933102513</v>
      </c>
      <c r="I1379" s="2">
        <f t="shared" si="194"/>
        <v>0</v>
      </c>
      <c r="J1379" s="389">
        <f t="shared" si="195"/>
        <v>0</v>
      </c>
      <c r="L1379" s="721">
        <v>10158</v>
      </c>
      <c r="M1379" s="581"/>
      <c r="N1379" s="585" t="s">
        <v>1738</v>
      </c>
      <c r="O1379" s="586" t="s">
        <v>4681</v>
      </c>
      <c r="P1379" s="233">
        <f t="shared" si="196"/>
        <v>0</v>
      </c>
      <c r="Q1379" s="233">
        <f t="shared" si="197"/>
        <v>10158</v>
      </c>
      <c r="R1379" s="2">
        <f t="shared" si="198"/>
        <v>3.99</v>
      </c>
      <c r="S1379" s="2">
        <f>(1/9)*cnst_fish!$C$7*(1/cnst_fish!$C$8)^(R1379-1)</f>
        <v>137.81550551940927</v>
      </c>
      <c r="T1379" s="682">
        <f t="shared" si="199"/>
        <v>120061.4734400921</v>
      </c>
      <c r="W1379" s="818"/>
      <c r="X1379" s="818"/>
      <c r="Y1379" s="819"/>
      <c r="Z1379" s="820"/>
      <c r="AA1379" s="820"/>
      <c r="AB1379" s="821"/>
      <c r="AC1379" s="821"/>
      <c r="AD1379" s="253"/>
      <c r="AE1379" s="253"/>
    </row>
    <row r="1380" spans="1:31" ht="14.5">
      <c r="A1380" t="s">
        <v>4960</v>
      </c>
      <c r="B1380" t="s">
        <v>6214</v>
      </c>
      <c r="C1380">
        <v>3059</v>
      </c>
      <c r="D1380" s="581"/>
      <c r="E1380" s="581"/>
      <c r="F1380" s="2">
        <f>(1/S1380)*cnst_fish!$C$6</f>
        <v>3.0136363636363641</v>
      </c>
      <c r="G1380" s="2">
        <f t="shared" si="200"/>
        <v>1</v>
      </c>
      <c r="H1380" s="2">
        <f t="shared" si="200"/>
        <v>0.36449057933102513</v>
      </c>
      <c r="I1380" s="2">
        <f t="shared" si="194"/>
        <v>0</v>
      </c>
      <c r="J1380" s="389">
        <f t="shared" si="195"/>
        <v>0</v>
      </c>
      <c r="L1380" s="721"/>
      <c r="M1380" s="581">
        <v>924</v>
      </c>
      <c r="N1380" s="585" t="s">
        <v>1738</v>
      </c>
      <c r="O1380" s="586" t="s">
        <v>4685</v>
      </c>
      <c r="P1380" s="233">
        <f t="shared" si="196"/>
        <v>0</v>
      </c>
      <c r="Q1380" s="233">
        <f t="shared" si="197"/>
        <v>924</v>
      </c>
      <c r="R1380" s="2">
        <f t="shared" si="198"/>
        <v>2</v>
      </c>
      <c r="S1380" s="2">
        <f>(1/9)*cnst_fish!$C$7*(1/cnst_fish!$C$8)^(R1380-1)</f>
        <v>1.4102564102564099</v>
      </c>
      <c r="T1380" s="682">
        <f t="shared" si="199"/>
        <v>111.7551206129876</v>
      </c>
      <c r="W1380" s="818"/>
      <c r="X1380" s="818"/>
      <c r="Y1380" s="819"/>
      <c r="Z1380" s="820"/>
      <c r="AA1380" s="820"/>
      <c r="AB1380" s="821"/>
      <c r="AC1380" s="821"/>
      <c r="AD1380" s="253"/>
      <c r="AE1380" s="253"/>
    </row>
    <row r="1381" spans="1:31" ht="14.5">
      <c r="A1381" t="s">
        <v>3628</v>
      </c>
      <c r="B1381" t="s">
        <v>2999</v>
      </c>
      <c r="C1381">
        <v>13865</v>
      </c>
      <c r="D1381" s="581"/>
      <c r="E1381" s="581"/>
      <c r="F1381" s="2">
        <f>(1/S1381)*cnst_fish!$C$6</f>
        <v>3.0136363636363642E-2</v>
      </c>
      <c r="G1381" s="2">
        <f t="shared" si="200"/>
        <v>1</v>
      </c>
      <c r="H1381" s="2">
        <f t="shared" si="200"/>
        <v>0.36449057933102513</v>
      </c>
      <c r="I1381" s="2">
        <f t="shared" si="194"/>
        <v>0</v>
      </c>
      <c r="J1381" s="389">
        <f t="shared" si="195"/>
        <v>0</v>
      </c>
      <c r="L1381" s="721">
        <v>338</v>
      </c>
      <c r="M1381" s="581"/>
      <c r="N1381" s="585" t="s">
        <v>1738</v>
      </c>
      <c r="O1381" s="586" t="s">
        <v>4699</v>
      </c>
      <c r="P1381" s="233">
        <f t="shared" si="196"/>
        <v>0</v>
      </c>
      <c r="Q1381" s="233">
        <f t="shared" si="197"/>
        <v>338</v>
      </c>
      <c r="R1381" s="2">
        <f t="shared" si="198"/>
        <v>4</v>
      </c>
      <c r="S1381" s="2">
        <f>(1/9)*cnst_fish!$C$7*(1/cnst_fish!$C$8)^(R1381-1)</f>
        <v>141.02564102564099</v>
      </c>
      <c r="T1381" s="682">
        <f t="shared" si="199"/>
        <v>4088.0119877911047</v>
      </c>
      <c r="W1381" s="818"/>
      <c r="X1381" s="818"/>
      <c r="Y1381" s="819"/>
      <c r="Z1381" s="820"/>
      <c r="AA1381" s="820"/>
      <c r="AB1381" s="821"/>
      <c r="AC1381" s="821"/>
      <c r="AD1381" s="253"/>
      <c r="AE1381" s="253"/>
    </row>
    <row r="1382" spans="1:31" ht="14.5">
      <c r="A1382" t="s">
        <v>6536</v>
      </c>
      <c r="B1382" t="s">
        <v>6535</v>
      </c>
      <c r="C1382">
        <v>19252</v>
      </c>
      <c r="D1382" s="581"/>
      <c r="E1382" s="581"/>
      <c r="F1382" s="2">
        <f>(1/S1382)*cnst_fish!$C$6</f>
        <v>0.15103960722494611</v>
      </c>
      <c r="G1382" s="2">
        <f t="shared" si="200"/>
        <v>1</v>
      </c>
      <c r="H1382" s="2">
        <f t="shared" si="200"/>
        <v>0.36449057933102513</v>
      </c>
      <c r="I1382" s="2">
        <f t="shared" si="194"/>
        <v>0</v>
      </c>
      <c r="J1382" s="389">
        <f t="shared" si="195"/>
        <v>0</v>
      </c>
      <c r="L1382" s="721">
        <v>0</v>
      </c>
      <c r="M1382" s="581"/>
      <c r="N1382" s="585" t="s">
        <v>1738</v>
      </c>
      <c r="O1382" s="586" t="s">
        <v>4699</v>
      </c>
      <c r="P1382" s="233">
        <f t="shared" si="196"/>
        <v>0</v>
      </c>
      <c r="Q1382" s="233">
        <f t="shared" si="197"/>
        <v>0</v>
      </c>
      <c r="R1382" s="2">
        <f t="shared" si="198"/>
        <v>3.3</v>
      </c>
      <c r="S1382" s="2">
        <f>(1/9)*cnst_fish!$C$7*(1/cnst_fish!$C$8)^(R1382-1)</f>
        <v>28.138314698279075</v>
      </c>
      <c r="T1382" s="682">
        <f t="shared" si="199"/>
        <v>0</v>
      </c>
      <c r="W1382" s="818"/>
      <c r="X1382" s="818"/>
      <c r="Y1382" s="819"/>
      <c r="Z1382" s="820"/>
      <c r="AA1382" s="820"/>
      <c r="AB1382" s="821"/>
      <c r="AC1382" s="821"/>
      <c r="AD1382" s="253"/>
      <c r="AE1382" s="253"/>
    </row>
    <row r="1383" spans="1:31" ht="14.5">
      <c r="A1383" t="s">
        <v>9030</v>
      </c>
      <c r="B1383" t="s">
        <v>9031</v>
      </c>
      <c r="C1383">
        <v>13875</v>
      </c>
      <c r="D1383" s="581"/>
      <c r="E1383" s="581"/>
      <c r="F1383" s="869">
        <f>(1/S1383)*cnst_fish!$C$6</f>
        <v>0.19014759972289441</v>
      </c>
      <c r="G1383" s="869">
        <f t="shared" si="200"/>
        <v>1</v>
      </c>
      <c r="H1383" s="869">
        <f t="shared" si="200"/>
        <v>0.36449057933102513</v>
      </c>
      <c r="I1383" s="869">
        <f t="shared" si="194"/>
        <v>0</v>
      </c>
      <c r="J1383" s="389">
        <f t="shared" si="195"/>
        <v>0</v>
      </c>
      <c r="L1383" s="721">
        <v>72140</v>
      </c>
      <c r="M1383" s="581"/>
      <c r="N1383" s="877" t="s">
        <v>1738</v>
      </c>
      <c r="O1383" s="881" t="s">
        <v>4681</v>
      </c>
      <c r="P1383" s="871">
        <f t="shared" si="196"/>
        <v>0</v>
      </c>
      <c r="Q1383" s="871">
        <f t="shared" si="197"/>
        <v>72140</v>
      </c>
      <c r="R1383" s="869">
        <f t="shared" si="198"/>
        <v>3.2</v>
      </c>
      <c r="S1383" s="869">
        <f>(1/9)*cnst_fish!$C$7*(1/cnst_fish!$C$8)^(R1383-1)</f>
        <v>22.351057842400341</v>
      </c>
      <c r="T1383" s="682">
        <f t="shared" si="199"/>
        <v>138283.89330845824</v>
      </c>
      <c r="W1383" s="818"/>
      <c r="X1383" s="818"/>
      <c r="Y1383" s="819"/>
      <c r="Z1383" s="820"/>
      <c r="AA1383" s="820"/>
      <c r="AB1383" s="821"/>
      <c r="AC1383" s="821"/>
      <c r="AD1383" s="253"/>
      <c r="AE1383" s="253"/>
    </row>
    <row r="1384" spans="1:31" ht="14.5">
      <c r="A1384" t="s">
        <v>9032</v>
      </c>
      <c r="B1384" t="s">
        <v>9033</v>
      </c>
      <c r="C1384">
        <v>13883</v>
      </c>
      <c r="D1384" s="581"/>
      <c r="E1384" s="581"/>
      <c r="F1384" s="869">
        <f>(1/S1384)*cnst_fish!$C$6</f>
        <v>2.3938164528281767E-2</v>
      </c>
      <c r="G1384" s="869">
        <f t="shared" si="200"/>
        <v>1</v>
      </c>
      <c r="H1384" s="869">
        <f t="shared" si="200"/>
        <v>0.36449057933102513</v>
      </c>
      <c r="I1384" s="869">
        <f t="shared" si="194"/>
        <v>0</v>
      </c>
      <c r="J1384" s="389">
        <f t="shared" si="195"/>
        <v>0</v>
      </c>
      <c r="L1384" s="721">
        <v>1</v>
      </c>
      <c r="M1384" s="581"/>
      <c r="N1384" s="877" t="s">
        <v>1738</v>
      </c>
      <c r="O1384" s="881" t="s">
        <v>4681</v>
      </c>
      <c r="P1384" s="871">
        <f t="shared" si="196"/>
        <v>0</v>
      </c>
      <c r="Q1384" s="871">
        <f t="shared" si="197"/>
        <v>1</v>
      </c>
      <c r="R1384" s="869">
        <f t="shared" si="198"/>
        <v>4.0999999999999996</v>
      </c>
      <c r="S1384" s="869">
        <f>(1/9)*cnst_fish!$C$7*(1/cnst_fish!$C$8)^(R1384-1)</f>
        <v>177.54076320174144</v>
      </c>
      <c r="T1384" s="682">
        <f t="shared" si="199"/>
        <v>15.226337796300021</v>
      </c>
      <c r="W1384" s="818"/>
      <c r="X1384" s="818"/>
      <c r="Y1384" s="819"/>
      <c r="Z1384" s="820"/>
      <c r="AA1384" s="820"/>
      <c r="AB1384" s="821"/>
      <c r="AC1384" s="821"/>
      <c r="AD1384" s="253"/>
      <c r="AE1384" s="253"/>
    </row>
    <row r="1385" spans="1:31" ht="14.5">
      <c r="A1385" t="s">
        <v>8883</v>
      </c>
      <c r="B1385" t="s">
        <v>8884</v>
      </c>
      <c r="C1385">
        <v>13884</v>
      </c>
      <c r="D1385" s="581"/>
      <c r="E1385" s="581"/>
      <c r="F1385" s="2">
        <f>(1/S1385)*cnst_fish!$C$6</f>
        <v>1.5103960722494611E-2</v>
      </c>
      <c r="G1385" s="2">
        <f t="shared" si="200"/>
        <v>1</v>
      </c>
      <c r="H1385" s="2">
        <f t="shared" si="200"/>
        <v>0.36449057933102513</v>
      </c>
      <c r="I1385" s="2">
        <f t="shared" si="194"/>
        <v>0</v>
      </c>
      <c r="J1385" s="389">
        <f t="shared" si="195"/>
        <v>0</v>
      </c>
      <c r="L1385" s="721">
        <v>295</v>
      </c>
      <c r="M1385" s="581"/>
      <c r="N1385" s="585" t="s">
        <v>4282</v>
      </c>
      <c r="O1385" s="586" t="s">
        <v>4699</v>
      </c>
      <c r="P1385" s="233">
        <f t="shared" si="196"/>
        <v>0</v>
      </c>
      <c r="Q1385" s="233">
        <f t="shared" si="197"/>
        <v>295</v>
      </c>
      <c r="R1385" s="2">
        <f t="shared" si="198"/>
        <v>4.3</v>
      </c>
      <c r="S1385" s="2">
        <f>(1/9)*cnst_fish!$C$7*(1/cnst_fish!$C$8)^(R1385-1)</f>
        <v>281.38314698279078</v>
      </c>
      <c r="T1385" s="682">
        <f t="shared" si="199"/>
        <v>7118.9751402434358</v>
      </c>
      <c r="W1385" s="818"/>
      <c r="X1385" s="818"/>
      <c r="Y1385" s="819"/>
      <c r="Z1385" s="820"/>
      <c r="AA1385" s="820"/>
      <c r="AB1385" s="821"/>
      <c r="AC1385" s="821"/>
      <c r="AD1385" s="253"/>
      <c r="AE1385" s="253"/>
    </row>
    <row r="1386" spans="1:31" ht="14.5">
      <c r="A1386" t="s">
        <v>3879</v>
      </c>
      <c r="B1386" t="s">
        <v>3880</v>
      </c>
      <c r="C1386">
        <v>13885</v>
      </c>
      <c r="D1386" s="581"/>
      <c r="E1386" s="581"/>
      <c r="F1386" s="2">
        <f>(1/S1386)*cnst_fish!$C$6</f>
        <v>1.9014759972289439E-2</v>
      </c>
      <c r="G1386" s="2">
        <f t="shared" si="200"/>
        <v>1</v>
      </c>
      <c r="H1386" s="2">
        <f t="shared" si="200"/>
        <v>0.36449057933102513</v>
      </c>
      <c r="I1386" s="2">
        <f t="shared" si="194"/>
        <v>0</v>
      </c>
      <c r="J1386" s="389">
        <f t="shared" si="195"/>
        <v>0</v>
      </c>
      <c r="L1386" s="721">
        <v>3162</v>
      </c>
      <c r="M1386" s="581"/>
      <c r="N1386" s="585" t="s">
        <v>1738</v>
      </c>
      <c r="O1386" s="586" t="s">
        <v>4699</v>
      </c>
      <c r="P1386" s="233">
        <f t="shared" si="196"/>
        <v>0</v>
      </c>
      <c r="Q1386" s="233">
        <f t="shared" si="197"/>
        <v>3162</v>
      </c>
      <c r="R1386" s="2">
        <f t="shared" si="198"/>
        <v>4.2</v>
      </c>
      <c r="S1386" s="2">
        <f>(1/9)*cnst_fish!$C$7*(1/cnst_fish!$C$8)^(R1386-1)</f>
        <v>223.51057842400343</v>
      </c>
      <c r="T1386" s="682">
        <f t="shared" si="199"/>
        <v>60611.820160984884</v>
      </c>
      <c r="W1386" s="818"/>
      <c r="X1386" s="818"/>
      <c r="Y1386" s="819"/>
      <c r="Z1386" s="820"/>
      <c r="AA1386" s="820"/>
      <c r="AB1386" s="821"/>
      <c r="AC1386" s="821"/>
      <c r="AD1386" s="253"/>
      <c r="AE1386" s="253"/>
    </row>
    <row r="1387" spans="1:31" ht="14.5">
      <c r="A1387" t="s">
        <v>4862</v>
      </c>
      <c r="B1387" t="s">
        <v>2439</v>
      </c>
      <c r="C1387">
        <v>2719</v>
      </c>
      <c r="D1387" s="581"/>
      <c r="E1387" s="581"/>
      <c r="F1387" s="2">
        <f>(1/S1387)*cnst_fish!$C$6</f>
        <v>0.19014759972289441</v>
      </c>
      <c r="G1387" s="2">
        <f t="shared" si="200"/>
        <v>1</v>
      </c>
      <c r="H1387" s="2">
        <f t="shared" si="200"/>
        <v>0.36449057933102513</v>
      </c>
      <c r="I1387" s="2">
        <f t="shared" si="194"/>
        <v>0</v>
      </c>
      <c r="J1387" s="389">
        <f t="shared" si="195"/>
        <v>0</v>
      </c>
      <c r="L1387" s="721">
        <v>4954</v>
      </c>
      <c r="M1387" s="581"/>
      <c r="N1387" s="585" t="s">
        <v>5197</v>
      </c>
      <c r="O1387" s="586" t="s">
        <v>4675</v>
      </c>
      <c r="P1387" s="233">
        <f t="shared" si="196"/>
        <v>0</v>
      </c>
      <c r="Q1387" s="233">
        <f t="shared" si="197"/>
        <v>4954</v>
      </c>
      <c r="R1387" s="2">
        <f t="shared" si="198"/>
        <v>3.2</v>
      </c>
      <c r="S1387" s="2">
        <f>(1/9)*cnst_fish!$C$7*(1/cnst_fish!$C$8)^(R1387-1)</f>
        <v>22.351057842400341</v>
      </c>
      <c r="T1387" s="682">
        <f t="shared" si="199"/>
        <v>9496.2352016925724</v>
      </c>
      <c r="W1387" s="818"/>
      <c r="X1387" s="818"/>
      <c r="Y1387" s="819"/>
      <c r="Z1387" s="820"/>
      <c r="AA1387" s="820"/>
      <c r="AB1387" s="821"/>
      <c r="AC1387" s="821"/>
      <c r="AD1387" s="253"/>
      <c r="AE1387" s="253"/>
    </row>
    <row r="1388" spans="1:31" ht="14.5">
      <c r="A1388" t="s">
        <v>4140</v>
      </c>
      <c r="B1388" t="s">
        <v>4141</v>
      </c>
      <c r="C1388">
        <v>13896</v>
      </c>
      <c r="D1388" s="581"/>
      <c r="E1388" s="581"/>
      <c r="F1388" s="2">
        <f>(1/S1388)*cnst_fish!$C$6</f>
        <v>7.3976000504507963E-2</v>
      </c>
      <c r="G1388" s="2">
        <f t="shared" ref="G1388:H1407" si="201">G$7</f>
        <v>1</v>
      </c>
      <c r="H1388" s="2">
        <f t="shared" si="201"/>
        <v>0.36449057933102513</v>
      </c>
      <c r="I1388" s="2">
        <f t="shared" si="194"/>
        <v>0</v>
      </c>
      <c r="J1388" s="389">
        <f t="shared" si="195"/>
        <v>0</v>
      </c>
      <c r="L1388" s="721"/>
      <c r="M1388" s="581">
        <v>166</v>
      </c>
      <c r="N1388" s="585" t="s">
        <v>1738</v>
      </c>
      <c r="O1388" s="586" t="s">
        <v>4685</v>
      </c>
      <c r="P1388" s="233">
        <f t="shared" si="196"/>
        <v>0</v>
      </c>
      <c r="Q1388" s="233">
        <f t="shared" si="197"/>
        <v>166</v>
      </c>
      <c r="R1388" s="2">
        <f t="shared" si="198"/>
        <v>3.61</v>
      </c>
      <c r="S1388" s="2">
        <f>(1/9)*cnst_fish!$C$7*(1/cnst_fish!$C$8)^(R1388-1)</f>
        <v>57.451064818528707</v>
      </c>
      <c r="T1388" s="682">
        <f t="shared" si="199"/>
        <v>817.90629063899019</v>
      </c>
      <c r="W1388" s="818"/>
      <c r="X1388" s="818"/>
      <c r="Y1388" s="819"/>
      <c r="Z1388" s="820"/>
      <c r="AA1388" s="820"/>
      <c r="AB1388" s="821"/>
      <c r="AC1388" s="821"/>
      <c r="AD1388" s="253"/>
      <c r="AE1388" s="253"/>
    </row>
    <row r="1389" spans="1:31" ht="14.5">
      <c r="A1389" t="s">
        <v>4195</v>
      </c>
      <c r="B1389" t="s">
        <v>8691</v>
      </c>
      <c r="C1389">
        <v>16074</v>
      </c>
      <c r="D1389" s="581"/>
      <c r="E1389" s="581"/>
      <c r="F1389" s="2">
        <f>(1/S1389)*cnst_fish!$C$6</f>
        <v>0.15103960722494611</v>
      </c>
      <c r="G1389" s="2">
        <f t="shared" si="201"/>
        <v>1</v>
      </c>
      <c r="H1389" s="2">
        <f t="shared" si="201"/>
        <v>0.36449057933102513</v>
      </c>
      <c r="I1389" s="2">
        <f t="shared" si="194"/>
        <v>0</v>
      </c>
      <c r="J1389" s="389">
        <f t="shared" si="195"/>
        <v>0</v>
      </c>
      <c r="L1389" s="721"/>
      <c r="M1389" s="581"/>
      <c r="N1389" s="585" t="s">
        <v>2323</v>
      </c>
      <c r="O1389" s="586" t="s">
        <v>4685</v>
      </c>
      <c r="P1389" s="233">
        <f t="shared" si="196"/>
        <v>0</v>
      </c>
      <c r="Q1389" s="233">
        <f t="shared" si="197"/>
        <v>0</v>
      </c>
      <c r="R1389" s="2">
        <f t="shared" si="198"/>
        <v>3.3</v>
      </c>
      <c r="S1389" s="2">
        <f>(1/9)*cnst_fish!$C$7*(1/cnst_fish!$C$8)^(R1389-1)</f>
        <v>28.138314698279075</v>
      </c>
      <c r="T1389" s="682">
        <f t="shared" si="199"/>
        <v>0</v>
      </c>
      <c r="W1389" s="818"/>
      <c r="X1389" s="818"/>
      <c r="Y1389" s="819"/>
      <c r="Z1389" s="820"/>
      <c r="AA1389" s="820"/>
      <c r="AB1389" s="821"/>
      <c r="AC1389" s="821"/>
      <c r="AD1389" s="253"/>
      <c r="AE1389" s="253"/>
    </row>
    <row r="1390" spans="1:31" ht="14.5">
      <c r="A1390" t="s">
        <v>6539</v>
      </c>
      <c r="B1390" t="s">
        <v>1996</v>
      </c>
      <c r="C1390">
        <v>2116</v>
      </c>
      <c r="D1390" s="581"/>
      <c r="E1390" s="581"/>
      <c r="F1390" s="2">
        <f>(1/S1390)*cnst_fish!$C$6</f>
        <v>1.9457670629544368E-2</v>
      </c>
      <c r="G1390" s="2">
        <f t="shared" si="201"/>
        <v>1</v>
      </c>
      <c r="H1390" s="2">
        <f t="shared" si="201"/>
        <v>0.36449057933102513</v>
      </c>
      <c r="I1390" s="2">
        <f t="shared" si="194"/>
        <v>0</v>
      </c>
      <c r="J1390" s="389">
        <f t="shared" si="195"/>
        <v>0</v>
      </c>
      <c r="L1390" s="721">
        <v>575725</v>
      </c>
      <c r="M1390" s="581">
        <v>8086</v>
      </c>
      <c r="N1390" s="585" t="s">
        <v>3791</v>
      </c>
      <c r="O1390" s="586" t="s">
        <v>4685</v>
      </c>
      <c r="P1390" s="233">
        <f t="shared" si="196"/>
        <v>0</v>
      </c>
      <c r="Q1390" s="233">
        <f t="shared" si="197"/>
        <v>583811</v>
      </c>
      <c r="R1390" s="2">
        <f t="shared" si="198"/>
        <v>4.1900000000000004</v>
      </c>
      <c r="S1390" s="2">
        <f>(1/9)*cnst_fish!$C$7*(1/cnst_fish!$C$8)^(R1390-1)</f>
        <v>218.42285651329891</v>
      </c>
      <c r="T1390" s="682">
        <f t="shared" si="199"/>
        <v>10936232.484412653</v>
      </c>
      <c r="W1390" s="818"/>
      <c r="X1390" s="818"/>
      <c r="Y1390" s="819"/>
      <c r="Z1390" s="820"/>
      <c r="AA1390" s="820"/>
      <c r="AB1390" s="821"/>
      <c r="AC1390" s="821"/>
      <c r="AD1390" s="253"/>
      <c r="AE1390" s="253"/>
    </row>
    <row r="1391" spans="1:31" ht="14.5">
      <c r="A1391" t="s">
        <v>6540</v>
      </c>
      <c r="B1391" t="s">
        <v>1997</v>
      </c>
      <c r="C1391">
        <v>2931</v>
      </c>
      <c r="D1391" s="581"/>
      <c r="E1391" s="581"/>
      <c r="F1391" s="2">
        <f>(1/S1391)*cnst_fish!$C$6</f>
        <v>0.10211530705467774</v>
      </c>
      <c r="G1391" s="2">
        <f t="shared" si="201"/>
        <v>1</v>
      </c>
      <c r="H1391" s="2">
        <f t="shared" si="201"/>
        <v>0.36449057933102513</v>
      </c>
      <c r="I1391" s="2">
        <f t="shared" si="194"/>
        <v>0</v>
      </c>
      <c r="J1391" s="389">
        <f t="shared" si="195"/>
        <v>0</v>
      </c>
      <c r="L1391" s="721">
        <v>230811</v>
      </c>
      <c r="M1391" s="581">
        <v>37115</v>
      </c>
      <c r="N1391" s="585" t="s">
        <v>3791</v>
      </c>
      <c r="O1391" s="586" t="s">
        <v>4685</v>
      </c>
      <c r="P1391" s="233">
        <f t="shared" si="196"/>
        <v>0</v>
      </c>
      <c r="Q1391" s="233">
        <f t="shared" si="197"/>
        <v>267926</v>
      </c>
      <c r="R1391" s="2">
        <f t="shared" si="198"/>
        <v>3.47</v>
      </c>
      <c r="S1391" s="2">
        <f>(1/9)*cnst_fish!$C$7*(1/cnst_fish!$C$8)^(R1391-1)</f>
        <v>41.619617299141382</v>
      </c>
      <c r="T1391" s="682">
        <f t="shared" si="199"/>
        <v>956335.59526539908</v>
      </c>
      <c r="W1391" s="818"/>
      <c r="X1391" s="818"/>
      <c r="Y1391" s="819"/>
      <c r="Z1391" s="820"/>
      <c r="AA1391" s="820"/>
      <c r="AB1391" s="821"/>
      <c r="AC1391" s="821"/>
      <c r="AD1391" s="253"/>
      <c r="AE1391" s="253"/>
    </row>
    <row r="1392" spans="1:31" ht="14.5">
      <c r="A1392" t="s">
        <v>6541</v>
      </c>
      <c r="B1392" t="s">
        <v>1998</v>
      </c>
      <c r="C1392">
        <v>2118</v>
      </c>
      <c r="D1392" s="581"/>
      <c r="E1392" s="581"/>
      <c r="F1392" s="2">
        <f>(1/S1392)*cnst_fish!$C$6</f>
        <v>1.8158954798513597E-2</v>
      </c>
      <c r="G1392" s="2">
        <f t="shared" si="201"/>
        <v>1</v>
      </c>
      <c r="H1392" s="2">
        <f t="shared" si="201"/>
        <v>0.36449057933102513</v>
      </c>
      <c r="I1392" s="2">
        <f t="shared" si="194"/>
        <v>0</v>
      </c>
      <c r="J1392" s="389">
        <f t="shared" si="195"/>
        <v>0</v>
      </c>
      <c r="L1392" s="721">
        <v>23697</v>
      </c>
      <c r="M1392" s="581">
        <v>600</v>
      </c>
      <c r="N1392" s="585" t="s">
        <v>3791</v>
      </c>
      <c r="O1392" s="586" t="s">
        <v>4685</v>
      </c>
      <c r="P1392" s="233">
        <f t="shared" si="196"/>
        <v>0</v>
      </c>
      <c r="Q1392" s="233">
        <f t="shared" si="197"/>
        <v>24297</v>
      </c>
      <c r="R1392" s="2">
        <f t="shared" si="198"/>
        <v>4.22</v>
      </c>
      <c r="S1392" s="2">
        <f>(1/9)*cnst_fish!$C$7*(1/cnst_fish!$C$8)^(R1392-1)</f>
        <v>234.0443074591432</v>
      </c>
      <c r="T1392" s="682">
        <f t="shared" si="199"/>
        <v>487694.78773804917</v>
      </c>
      <c r="W1392" s="818"/>
      <c r="X1392" s="818"/>
      <c r="Y1392" s="819"/>
      <c r="Z1392" s="820"/>
      <c r="AA1392" s="820"/>
      <c r="AB1392" s="821"/>
      <c r="AC1392" s="821"/>
      <c r="AD1392" s="253"/>
      <c r="AE1392" s="253"/>
    </row>
    <row r="1393" spans="1:31" ht="14.5">
      <c r="A1393" t="s">
        <v>2505</v>
      </c>
      <c r="B1393" t="s">
        <v>4803</v>
      </c>
      <c r="C1393">
        <v>2932</v>
      </c>
      <c r="D1393" s="581"/>
      <c r="E1393" s="581"/>
      <c r="F1393" s="2">
        <f>(1/S1393)*cnst_fish!$C$6</f>
        <v>7.5699122913220479E-2</v>
      </c>
      <c r="G1393" s="2">
        <f t="shared" si="201"/>
        <v>1</v>
      </c>
      <c r="H1393" s="2">
        <f t="shared" si="201"/>
        <v>0.36449057933102513</v>
      </c>
      <c r="I1393" s="2">
        <f t="shared" si="194"/>
        <v>0</v>
      </c>
      <c r="J1393" s="389">
        <f t="shared" si="195"/>
        <v>0</v>
      </c>
      <c r="L1393" s="721">
        <v>1419</v>
      </c>
      <c r="M1393" s="581">
        <v>12</v>
      </c>
      <c r="N1393" s="585" t="s">
        <v>3791</v>
      </c>
      <c r="O1393" s="586" t="s">
        <v>4685</v>
      </c>
      <c r="P1393" s="233">
        <f t="shared" si="196"/>
        <v>0</v>
      </c>
      <c r="Q1393" s="233">
        <f t="shared" si="197"/>
        <v>1431</v>
      </c>
      <c r="R1393" s="2">
        <f t="shared" si="198"/>
        <v>3.6</v>
      </c>
      <c r="S1393" s="2">
        <f>(1/9)*cnst_fish!$C$7*(1/cnst_fish!$C$8)^(R1393-1)</f>
        <v>56.143318924211187</v>
      </c>
      <c r="T1393" s="682">
        <f t="shared" si="199"/>
        <v>6890.2518146825787</v>
      </c>
      <c r="W1393" s="818"/>
      <c r="X1393" s="818"/>
      <c r="Y1393" s="819"/>
      <c r="Z1393" s="820"/>
      <c r="AA1393" s="820"/>
      <c r="AB1393" s="821"/>
      <c r="AC1393" s="821"/>
      <c r="AD1393" s="253"/>
      <c r="AE1393" s="253"/>
    </row>
    <row r="1394" spans="1:31" ht="14.5">
      <c r="A1394" t="s">
        <v>1871</v>
      </c>
      <c r="B1394" t="s">
        <v>4804</v>
      </c>
      <c r="C1394">
        <v>2934</v>
      </c>
      <c r="D1394" s="581"/>
      <c r="E1394" s="581"/>
      <c r="F1394" s="2">
        <f>(1/S1394)*cnst_fish!$C$6</f>
        <v>1.1457525898206004E-2</v>
      </c>
      <c r="G1394" s="2">
        <f t="shared" si="201"/>
        <v>1</v>
      </c>
      <c r="H1394" s="2">
        <f t="shared" si="201"/>
        <v>0.36449057933102513</v>
      </c>
      <c r="I1394" s="2">
        <f t="shared" si="194"/>
        <v>0</v>
      </c>
      <c r="J1394" s="389">
        <f t="shared" si="195"/>
        <v>0</v>
      </c>
      <c r="L1394" s="721">
        <v>4</v>
      </c>
      <c r="M1394" s="581">
        <v>904</v>
      </c>
      <c r="N1394" s="585" t="s">
        <v>2323</v>
      </c>
      <c r="O1394" s="586" t="s">
        <v>4685</v>
      </c>
      <c r="P1394" s="233">
        <f t="shared" si="196"/>
        <v>0</v>
      </c>
      <c r="Q1394" s="233">
        <f t="shared" si="197"/>
        <v>908</v>
      </c>
      <c r="R1394" s="2">
        <f t="shared" si="198"/>
        <v>4.42</v>
      </c>
      <c r="S1394" s="2">
        <f>(1/9)*cnst_fish!$C$7*(1/cnst_fish!$C$8)^(R1394-1)</f>
        <v>370.93522962627179</v>
      </c>
      <c r="T1394" s="682">
        <f t="shared" si="199"/>
        <v>28885.594409556736</v>
      </c>
      <c r="W1394" s="818"/>
      <c r="X1394" s="818"/>
      <c r="Y1394" s="819"/>
      <c r="Z1394" s="820"/>
      <c r="AA1394" s="820"/>
      <c r="AB1394" s="821"/>
      <c r="AC1394" s="821"/>
      <c r="AD1394" s="253"/>
      <c r="AE1394" s="253"/>
    </row>
    <row r="1395" spans="1:31" ht="14.5">
      <c r="A1395" t="s">
        <v>6542</v>
      </c>
      <c r="B1395" t="s">
        <v>2827</v>
      </c>
      <c r="C1395">
        <v>2117</v>
      </c>
      <c r="D1395" s="581"/>
      <c r="E1395" s="581"/>
      <c r="F1395" s="2">
        <f>(1/S1395)*cnst_fish!$C$6</f>
        <v>5.6116535073067304E-2</v>
      </c>
      <c r="G1395" s="2">
        <f t="shared" si="201"/>
        <v>1</v>
      </c>
      <c r="H1395" s="2">
        <f t="shared" si="201"/>
        <v>0.36449057933102513</v>
      </c>
      <c r="I1395" s="2">
        <f t="shared" si="194"/>
        <v>0</v>
      </c>
      <c r="J1395" s="389">
        <f t="shared" si="195"/>
        <v>0</v>
      </c>
      <c r="L1395" s="721">
        <v>166221</v>
      </c>
      <c r="M1395" s="581">
        <v>381</v>
      </c>
      <c r="N1395" s="585" t="s">
        <v>3791</v>
      </c>
      <c r="O1395" s="586" t="s">
        <v>4685</v>
      </c>
      <c r="P1395" s="233">
        <f t="shared" si="196"/>
        <v>0</v>
      </c>
      <c r="Q1395" s="233">
        <f t="shared" si="197"/>
        <v>166602</v>
      </c>
      <c r="R1395" s="2">
        <f t="shared" si="198"/>
        <v>3.73</v>
      </c>
      <c r="S1395" s="2">
        <f>(1/9)*cnst_fish!$C$7*(1/cnst_fish!$C$8)^(R1395-1)</f>
        <v>75.735253334266432</v>
      </c>
      <c r="T1395" s="682">
        <f t="shared" si="199"/>
        <v>1082120.6159403787</v>
      </c>
      <c r="W1395" s="818"/>
      <c r="X1395" s="818"/>
      <c r="Y1395" s="819"/>
      <c r="Z1395" s="820"/>
      <c r="AA1395" s="820"/>
      <c r="AB1395" s="821"/>
      <c r="AC1395" s="821"/>
      <c r="AD1395" s="253"/>
      <c r="AE1395" s="253"/>
    </row>
    <row r="1396" spans="1:31" ht="14.5">
      <c r="A1396" t="s">
        <v>3314</v>
      </c>
      <c r="B1396" t="s">
        <v>2828</v>
      </c>
      <c r="C1396">
        <v>2930</v>
      </c>
      <c r="D1396" s="581">
        <v>17586</v>
      </c>
      <c r="E1396" s="581"/>
      <c r="F1396" s="2">
        <f>(1/S1396)*cnst_fish!$C$6</f>
        <v>4.6675700833589753E-2</v>
      </c>
      <c r="G1396" s="2">
        <f t="shared" si="201"/>
        <v>1</v>
      </c>
      <c r="H1396" s="2">
        <f t="shared" si="201"/>
        <v>0.36449057933102513</v>
      </c>
      <c r="I1396" s="2">
        <f t="shared" si="194"/>
        <v>137329.08587636155</v>
      </c>
      <c r="J1396" s="389">
        <f t="shared" si="195"/>
        <v>0</v>
      </c>
      <c r="L1396" s="721">
        <v>17586</v>
      </c>
      <c r="M1396" s="581"/>
      <c r="N1396" s="585" t="s">
        <v>3791</v>
      </c>
      <c r="O1396" s="586" t="s">
        <v>4685</v>
      </c>
      <c r="P1396" s="233">
        <f t="shared" si="196"/>
        <v>17586</v>
      </c>
      <c r="Q1396" s="233">
        <f t="shared" si="197"/>
        <v>17586</v>
      </c>
      <c r="R1396" s="2">
        <f t="shared" si="198"/>
        <v>3.81</v>
      </c>
      <c r="S1396" s="2">
        <f>(1/9)*cnst_fish!$C$7*(1/cnst_fish!$C$8)^(R1396-1)</f>
        <v>91.053801530528389</v>
      </c>
      <c r="T1396" s="682">
        <f t="shared" si="199"/>
        <v>137329.08587636155</v>
      </c>
      <c r="W1396" s="818"/>
      <c r="X1396" s="818"/>
      <c r="Y1396" s="819"/>
      <c r="Z1396" s="820"/>
      <c r="AA1396" s="820"/>
      <c r="AB1396" s="821"/>
      <c r="AC1396" s="821"/>
      <c r="AD1396" s="253"/>
      <c r="AE1396" s="253"/>
    </row>
    <row r="1397" spans="1:31" ht="14.5">
      <c r="A1397" t="s">
        <v>6543</v>
      </c>
      <c r="B1397" t="s">
        <v>2829</v>
      </c>
      <c r="C1397">
        <v>2933</v>
      </c>
      <c r="D1397" s="581"/>
      <c r="E1397" s="581"/>
      <c r="F1397" s="2">
        <f>(1/S1397)*cnst_fish!$C$6</f>
        <v>1.1997502458044018E-2</v>
      </c>
      <c r="G1397" s="2">
        <f t="shared" si="201"/>
        <v>1</v>
      </c>
      <c r="H1397" s="2">
        <f t="shared" si="201"/>
        <v>0.36449057933102513</v>
      </c>
      <c r="I1397" s="2">
        <f t="shared" si="194"/>
        <v>0</v>
      </c>
      <c r="J1397" s="389">
        <f t="shared" si="195"/>
        <v>0</v>
      </c>
      <c r="L1397" s="721">
        <v>3637</v>
      </c>
      <c r="M1397" s="581">
        <v>78</v>
      </c>
      <c r="N1397" s="585" t="s">
        <v>3791</v>
      </c>
      <c r="O1397" s="586" t="s">
        <v>4685</v>
      </c>
      <c r="P1397" s="233">
        <f t="shared" si="196"/>
        <v>0</v>
      </c>
      <c r="Q1397" s="233">
        <f t="shared" si="197"/>
        <v>3715</v>
      </c>
      <c r="R1397" s="2">
        <f t="shared" si="198"/>
        <v>4.4000000000000004</v>
      </c>
      <c r="S1397" s="2">
        <f>(1/9)*cnst_fish!$C$7*(1/cnst_fish!$C$8)^(R1397-1)</f>
        <v>354.24039418724885</v>
      </c>
      <c r="T1397" s="682">
        <f t="shared" si="199"/>
        <v>112863.69866979113</v>
      </c>
      <c r="W1397" s="818"/>
      <c r="X1397" s="818"/>
      <c r="Y1397" s="819"/>
      <c r="Z1397" s="820"/>
      <c r="AA1397" s="820"/>
      <c r="AB1397" s="821"/>
      <c r="AC1397" s="821"/>
      <c r="AD1397" s="253"/>
      <c r="AE1397" s="253"/>
    </row>
    <row r="1398" spans="1:31" ht="14.5">
      <c r="A1398" t="s">
        <v>244</v>
      </c>
      <c r="B1398" t="s">
        <v>2495</v>
      </c>
      <c r="C1398">
        <v>18992</v>
      </c>
      <c r="D1398" s="581"/>
      <c r="E1398" s="581"/>
      <c r="F1398" s="2">
        <f>(1/S1398)*cnst_fish!$C$6</f>
        <v>4.8875458843134996E-2</v>
      </c>
      <c r="G1398" s="2">
        <f t="shared" si="201"/>
        <v>1</v>
      </c>
      <c r="H1398" s="2">
        <f t="shared" si="201"/>
        <v>0.36449057933102513</v>
      </c>
      <c r="I1398" s="2">
        <f t="shared" si="194"/>
        <v>0</v>
      </c>
      <c r="J1398" s="389">
        <f t="shared" si="195"/>
        <v>0</v>
      </c>
      <c r="L1398" s="721">
        <v>294</v>
      </c>
      <c r="M1398" s="581"/>
      <c r="N1398" s="585" t="s">
        <v>3786</v>
      </c>
      <c r="O1398" s="586" t="s">
        <v>4681</v>
      </c>
      <c r="P1398" s="233">
        <f t="shared" si="196"/>
        <v>0</v>
      </c>
      <c r="Q1398" s="233">
        <f t="shared" si="197"/>
        <v>294</v>
      </c>
      <c r="R1398" s="2">
        <f t="shared" si="198"/>
        <v>3.79</v>
      </c>
      <c r="S1398" s="2">
        <f>(1/9)*cnst_fish!$C$7*(1/cnst_fish!$C$8)^(R1398-1)</f>
        <v>86.955705390721903</v>
      </c>
      <c r="T1398" s="682">
        <f t="shared" si="199"/>
        <v>2192.5160982580323</v>
      </c>
      <c r="W1398" s="818"/>
      <c r="X1398" s="818"/>
      <c r="Y1398" s="819"/>
      <c r="Z1398" s="820"/>
      <c r="AA1398" s="820"/>
      <c r="AB1398" s="821"/>
      <c r="AC1398" s="821"/>
      <c r="AD1398" s="253"/>
      <c r="AE1398" s="253"/>
    </row>
    <row r="1399" spans="1:31" ht="14.5">
      <c r="A1399" t="s">
        <v>9034</v>
      </c>
      <c r="B1399" t="s">
        <v>9035</v>
      </c>
      <c r="C1399">
        <v>13909</v>
      </c>
      <c r="D1399" s="581"/>
      <c r="E1399" s="581"/>
      <c r="F1399" s="869">
        <f>(1/S1399)*cnst_fish!$C$6</f>
        <v>3.0136363636363642E-2</v>
      </c>
      <c r="G1399" s="869">
        <f t="shared" si="201"/>
        <v>1</v>
      </c>
      <c r="H1399" s="869">
        <f t="shared" si="201"/>
        <v>0.36449057933102513</v>
      </c>
      <c r="I1399" s="869">
        <f t="shared" si="194"/>
        <v>0</v>
      </c>
      <c r="J1399" s="389">
        <f t="shared" si="195"/>
        <v>0</v>
      </c>
      <c r="L1399" s="721">
        <v>4376</v>
      </c>
      <c r="M1399" s="581"/>
      <c r="N1399" s="877" t="s">
        <v>3786</v>
      </c>
      <c r="O1399" s="881" t="s">
        <v>4681</v>
      </c>
      <c r="P1399" s="871">
        <f t="shared" si="196"/>
        <v>0</v>
      </c>
      <c r="Q1399" s="871">
        <f t="shared" si="197"/>
        <v>4376</v>
      </c>
      <c r="R1399" s="869">
        <f t="shared" si="198"/>
        <v>4</v>
      </c>
      <c r="S1399" s="869">
        <f>(1/9)*cnst_fish!$C$7*(1/cnst_fish!$C$8)^(R1399-1)</f>
        <v>141.02564102564099</v>
      </c>
      <c r="T1399" s="682">
        <f t="shared" si="199"/>
        <v>52926.451060869455</v>
      </c>
      <c r="W1399" s="818"/>
      <c r="X1399" s="818"/>
      <c r="Y1399" s="819"/>
      <c r="Z1399" s="820"/>
      <c r="AA1399" s="820"/>
      <c r="AB1399" s="821"/>
      <c r="AC1399" s="821"/>
      <c r="AD1399" s="253"/>
      <c r="AE1399" s="253"/>
    </row>
    <row r="1400" spans="1:31" ht="14.5">
      <c r="A1400" t="s">
        <v>3813</v>
      </c>
      <c r="B1400" t="s">
        <v>2762</v>
      </c>
      <c r="C1400">
        <v>3256</v>
      </c>
      <c r="D1400" s="581"/>
      <c r="E1400" s="581"/>
      <c r="F1400" s="2">
        <f>(1/S1400)*cnst_fish!$C$6</f>
        <v>7.5699122913220479E-2</v>
      </c>
      <c r="G1400" s="2">
        <f t="shared" si="201"/>
        <v>1</v>
      </c>
      <c r="H1400" s="2">
        <f t="shared" si="201"/>
        <v>0.36449057933102513</v>
      </c>
      <c r="I1400" s="2">
        <f t="shared" si="194"/>
        <v>0</v>
      </c>
      <c r="J1400" s="389">
        <f t="shared" si="195"/>
        <v>0</v>
      </c>
      <c r="L1400" s="721">
        <v>887</v>
      </c>
      <c r="M1400" s="581"/>
      <c r="N1400" s="585" t="s">
        <v>1738</v>
      </c>
      <c r="O1400" s="586" t="s">
        <v>4681</v>
      </c>
      <c r="P1400" s="233">
        <f t="shared" si="196"/>
        <v>0</v>
      </c>
      <c r="Q1400" s="233">
        <f t="shared" si="197"/>
        <v>887</v>
      </c>
      <c r="R1400" s="2">
        <f t="shared" si="198"/>
        <v>3.6</v>
      </c>
      <c r="S1400" s="2">
        <f>(1/9)*cnst_fish!$C$7*(1/cnst_fish!$C$8)^(R1400-1)</f>
        <v>56.143318924211187</v>
      </c>
      <c r="T1400" s="682">
        <f t="shared" si="199"/>
        <v>4270.8968271302911</v>
      </c>
      <c r="W1400" s="818"/>
      <c r="X1400" s="818"/>
      <c r="Y1400" s="819"/>
      <c r="Z1400" s="820"/>
      <c r="AA1400" s="820"/>
      <c r="AB1400" s="821"/>
      <c r="AC1400" s="821"/>
      <c r="AD1400" s="253"/>
      <c r="AE1400" s="253"/>
    </row>
    <row r="1401" spans="1:31" ht="14.5">
      <c r="A1401" t="s">
        <v>1615</v>
      </c>
      <c r="B1401" t="s">
        <v>3341</v>
      </c>
      <c r="C1401">
        <v>3340</v>
      </c>
      <c r="D1401" s="581"/>
      <c r="E1401" s="581"/>
      <c r="F1401" s="2">
        <f>(1/S1401)*cnst_fish!$C$6</f>
        <v>1.4424170509541314E-2</v>
      </c>
      <c r="G1401" s="2">
        <f t="shared" si="201"/>
        <v>1</v>
      </c>
      <c r="H1401" s="2">
        <f t="shared" si="201"/>
        <v>0.36449057933102513</v>
      </c>
      <c r="I1401" s="2">
        <f t="shared" si="194"/>
        <v>0</v>
      </c>
      <c r="J1401" s="389">
        <f t="shared" si="195"/>
        <v>0</v>
      </c>
      <c r="L1401" s="721">
        <v>890</v>
      </c>
      <c r="M1401" s="581"/>
      <c r="N1401" s="585" t="s">
        <v>1738</v>
      </c>
      <c r="O1401" s="586" t="s">
        <v>4681</v>
      </c>
      <c r="P1401" s="233">
        <f t="shared" si="196"/>
        <v>0</v>
      </c>
      <c r="Q1401" s="233">
        <f t="shared" si="197"/>
        <v>890</v>
      </c>
      <c r="R1401" s="2">
        <f t="shared" si="198"/>
        <v>4.32</v>
      </c>
      <c r="S1401" s="2">
        <f>(1/9)*cnst_fish!$C$7*(1/cnst_fish!$C$8)^(R1401-1)</f>
        <v>294.64432614608279</v>
      </c>
      <c r="T1401" s="682">
        <f t="shared" si="199"/>
        <v>22489.793460915495</v>
      </c>
      <c r="W1401" s="818"/>
      <c r="X1401" s="818"/>
      <c r="Y1401" s="819"/>
      <c r="Z1401" s="820"/>
      <c r="AA1401" s="820"/>
      <c r="AB1401" s="821"/>
      <c r="AC1401" s="821"/>
      <c r="AD1401" s="253"/>
      <c r="AE1401" s="253"/>
    </row>
    <row r="1402" spans="1:31" ht="14.5">
      <c r="A1402" t="s">
        <v>2485</v>
      </c>
      <c r="B1402" t="s">
        <v>965</v>
      </c>
      <c r="C1402">
        <v>2906</v>
      </c>
      <c r="D1402" s="581"/>
      <c r="E1402" s="581"/>
      <c r="F1402" s="2">
        <f>(1/S1402)*cnst_fish!$C$6</f>
        <v>0.38823156944206699</v>
      </c>
      <c r="G1402" s="2">
        <f t="shared" si="201"/>
        <v>1</v>
      </c>
      <c r="H1402" s="2">
        <f t="shared" si="201"/>
        <v>0.36449057933102513</v>
      </c>
      <c r="I1402" s="2">
        <f t="shared" si="194"/>
        <v>0</v>
      </c>
      <c r="J1402" s="389">
        <f t="shared" si="195"/>
        <v>0</v>
      </c>
      <c r="L1402" s="721">
        <v>338062</v>
      </c>
      <c r="M1402" s="581"/>
      <c r="N1402" s="585" t="s">
        <v>1738</v>
      </c>
      <c r="O1402" s="586" t="s">
        <v>4699</v>
      </c>
      <c r="P1402" s="233">
        <f t="shared" si="196"/>
        <v>0</v>
      </c>
      <c r="Q1402" s="233">
        <f t="shared" si="197"/>
        <v>338062</v>
      </c>
      <c r="R1402" s="2">
        <f t="shared" si="198"/>
        <v>2.89</v>
      </c>
      <c r="S1402" s="2">
        <f>(1/9)*cnst_fish!$C$7*(1/cnst_fish!$C$8)^(R1402-1)</f>
        <v>10.947074721686683</v>
      </c>
      <c r="T1402" s="682">
        <f t="shared" si="199"/>
        <v>317388.96042608487</v>
      </c>
      <c r="W1402" s="818"/>
      <c r="X1402" s="818"/>
      <c r="Y1402" s="819"/>
      <c r="Z1402" s="820"/>
      <c r="AA1402" s="820"/>
      <c r="AB1402" s="821"/>
      <c r="AC1402" s="821"/>
      <c r="AD1402" s="253"/>
      <c r="AE1402" s="253"/>
    </row>
    <row r="1403" spans="1:31" ht="14.5">
      <c r="A1403" t="s">
        <v>2571</v>
      </c>
      <c r="B1403" t="s">
        <v>966</v>
      </c>
      <c r="C1403">
        <v>2907</v>
      </c>
      <c r="D1403" s="581"/>
      <c r="E1403" s="581"/>
      <c r="F1403" s="2">
        <f>(1/S1403)*cnst_fish!$C$6</f>
        <v>9.5299549485983424E-3</v>
      </c>
      <c r="G1403" s="2">
        <f t="shared" si="201"/>
        <v>1</v>
      </c>
      <c r="H1403" s="2">
        <f t="shared" si="201"/>
        <v>0.36449057933102513</v>
      </c>
      <c r="I1403" s="2">
        <f t="shared" si="194"/>
        <v>0</v>
      </c>
      <c r="J1403" s="389">
        <f t="shared" si="195"/>
        <v>0</v>
      </c>
      <c r="L1403" s="721">
        <v>10725</v>
      </c>
      <c r="M1403" s="581"/>
      <c r="N1403" s="585" t="s">
        <v>1738</v>
      </c>
      <c r="O1403" s="586" t="s">
        <v>4699</v>
      </c>
      <c r="P1403" s="233">
        <f t="shared" si="196"/>
        <v>0</v>
      </c>
      <c r="Q1403" s="233">
        <f t="shared" si="197"/>
        <v>10725</v>
      </c>
      <c r="R1403" s="2">
        <f t="shared" si="198"/>
        <v>4.5</v>
      </c>
      <c r="S1403" s="2">
        <f>(1/9)*cnst_fish!$C$7*(1/cnst_fish!$C$8)^(R1403-1)</f>
        <v>445.96223412630997</v>
      </c>
      <c r="T1403" s="682">
        <f t="shared" si="199"/>
        <v>410197.26582235319</v>
      </c>
      <c r="W1403" s="818"/>
      <c r="X1403" s="818"/>
      <c r="Y1403" s="819"/>
      <c r="Z1403" s="820"/>
      <c r="AA1403" s="820"/>
      <c r="AB1403" s="821"/>
      <c r="AC1403" s="821"/>
      <c r="AD1403" s="253"/>
      <c r="AE1403" s="253"/>
    </row>
    <row r="1404" spans="1:31" ht="14.5">
      <c r="A1404" t="s">
        <v>9088</v>
      </c>
      <c r="B1404" t="s">
        <v>9089</v>
      </c>
      <c r="C1404">
        <v>18832</v>
      </c>
      <c r="D1404" s="581"/>
      <c r="E1404" s="581"/>
      <c r="F1404" s="869">
        <f>(1/S1404)*cnst_fish!$C$6</f>
        <v>0.11997502458044032</v>
      </c>
      <c r="G1404" s="869">
        <f t="shared" si="201"/>
        <v>1</v>
      </c>
      <c r="H1404" s="869">
        <f t="shared" si="201"/>
        <v>0.36449057933102513</v>
      </c>
      <c r="I1404" s="869">
        <f t="shared" si="194"/>
        <v>0</v>
      </c>
      <c r="J1404" s="389">
        <f t="shared" si="195"/>
        <v>0</v>
      </c>
      <c r="L1404" s="721">
        <v>0.49</v>
      </c>
      <c r="M1404" s="581"/>
      <c r="N1404" s="877" t="s">
        <v>1738</v>
      </c>
      <c r="O1404" s="882" t="s">
        <v>4681</v>
      </c>
      <c r="P1404" s="871">
        <f t="shared" si="196"/>
        <v>0</v>
      </c>
      <c r="Q1404" s="871">
        <f t="shared" si="197"/>
        <v>0.49</v>
      </c>
      <c r="R1404" s="869">
        <f t="shared" si="198"/>
        <v>3.4</v>
      </c>
      <c r="S1404" s="869">
        <f>(1/9)*cnst_fish!$C$7*(1/cnst_fish!$C$8)^(R1404-1)</f>
        <v>35.424039418724846</v>
      </c>
      <c r="T1404" s="682">
        <f t="shared" si="199"/>
        <v>1.488646361997243</v>
      </c>
      <c r="W1404" s="818"/>
      <c r="X1404" s="818"/>
      <c r="Y1404" s="819"/>
      <c r="Z1404" s="820"/>
      <c r="AA1404" s="820"/>
      <c r="AB1404" s="821"/>
      <c r="AC1404" s="821"/>
      <c r="AD1404" s="253"/>
      <c r="AE1404" s="253"/>
    </row>
    <row r="1405" spans="1:31" ht="14.5">
      <c r="A1405" t="s">
        <v>75</v>
      </c>
      <c r="B1405" t="s">
        <v>2412</v>
      </c>
      <c r="C1405">
        <v>2474</v>
      </c>
      <c r="D1405" s="581"/>
      <c r="E1405" s="581"/>
      <c r="F1405" s="2">
        <f>(1/S1405)*cnst_fish!$C$6</f>
        <v>9.5299549485983424E-3</v>
      </c>
      <c r="G1405" s="2">
        <f t="shared" si="201"/>
        <v>1</v>
      </c>
      <c r="H1405" s="2">
        <f t="shared" si="201"/>
        <v>0.36449057933102513</v>
      </c>
      <c r="I1405" s="2">
        <f t="shared" si="194"/>
        <v>0</v>
      </c>
      <c r="J1405" s="389">
        <f t="shared" si="195"/>
        <v>0</v>
      </c>
      <c r="L1405" s="721">
        <v>228</v>
      </c>
      <c r="M1405" s="581"/>
      <c r="N1405" s="585" t="s">
        <v>2320</v>
      </c>
      <c r="O1405" s="586" t="s">
        <v>4699</v>
      </c>
      <c r="P1405" s="233">
        <f t="shared" si="196"/>
        <v>0</v>
      </c>
      <c r="Q1405" s="233">
        <f t="shared" si="197"/>
        <v>228</v>
      </c>
      <c r="R1405" s="2">
        <f t="shared" si="198"/>
        <v>4.5</v>
      </c>
      <c r="S1405" s="2">
        <f>(1/9)*cnst_fish!$C$7*(1/cnst_fish!$C$8)^(R1405-1)</f>
        <v>445.96223412630997</v>
      </c>
      <c r="T1405" s="682">
        <f t="shared" si="199"/>
        <v>8720.2775391605155</v>
      </c>
      <c r="W1405" s="818"/>
      <c r="X1405" s="818"/>
      <c r="Y1405" s="819"/>
      <c r="Z1405" s="820"/>
      <c r="AA1405" s="820"/>
      <c r="AB1405" s="821"/>
      <c r="AC1405" s="821"/>
      <c r="AD1405" s="253"/>
      <c r="AE1405" s="253"/>
    </row>
    <row r="1406" spans="1:31" ht="14.5">
      <c r="A1406" t="s">
        <v>5456</v>
      </c>
      <c r="B1406" t="s">
        <v>5193</v>
      </c>
      <c r="C1406">
        <v>3216</v>
      </c>
      <c r="D1406" s="581"/>
      <c r="E1406" s="581"/>
      <c r="F1406" s="2">
        <f>(1/S1406)*cnst_fish!$C$6</f>
        <v>1.8158954798513589</v>
      </c>
      <c r="G1406" s="2">
        <f t="shared" si="201"/>
        <v>1</v>
      </c>
      <c r="H1406" s="2">
        <f t="shared" si="201"/>
        <v>0.36449057933102513</v>
      </c>
      <c r="I1406" s="2">
        <f t="shared" si="194"/>
        <v>0</v>
      </c>
      <c r="J1406" s="389">
        <f t="shared" si="195"/>
        <v>0</v>
      </c>
      <c r="L1406" s="721">
        <v>1741</v>
      </c>
      <c r="M1406" s="581">
        <v>464758.16</v>
      </c>
      <c r="N1406" s="585" t="s">
        <v>1738</v>
      </c>
      <c r="O1406" s="586" t="s">
        <v>4685</v>
      </c>
      <c r="P1406" s="233">
        <f t="shared" si="196"/>
        <v>0</v>
      </c>
      <c r="Q1406" s="233">
        <f t="shared" si="197"/>
        <v>466499.16</v>
      </c>
      <c r="R1406" s="2">
        <f t="shared" si="198"/>
        <v>2.2200000000000002</v>
      </c>
      <c r="S1406" s="2">
        <f>(1/9)*cnst_fish!$C$7*(1/cnst_fish!$C$8)^(R1406-1)</f>
        <v>2.3404430745914331</v>
      </c>
      <c r="T1406" s="682">
        <f t="shared" si="199"/>
        <v>93636.748905699598</v>
      </c>
      <c r="W1406" s="818"/>
      <c r="X1406" s="818"/>
      <c r="Y1406" s="819"/>
      <c r="Z1406" s="820"/>
      <c r="AA1406" s="820"/>
      <c r="AB1406" s="821"/>
      <c r="AC1406" s="821"/>
      <c r="AD1406" s="253"/>
      <c r="AE1406" s="253"/>
    </row>
    <row r="1407" spans="1:31" ht="14.5">
      <c r="A1407" t="s">
        <v>4276</v>
      </c>
      <c r="B1407" t="s">
        <v>8692</v>
      </c>
      <c r="C1407">
        <v>3218</v>
      </c>
      <c r="D1407" s="581"/>
      <c r="E1407" s="581"/>
      <c r="F1407" s="2">
        <f>(1/S1407)*cnst_fish!$C$6</f>
        <v>2.3938164528281742</v>
      </c>
      <c r="G1407" s="2">
        <f t="shared" si="201"/>
        <v>1</v>
      </c>
      <c r="H1407" s="2">
        <f t="shared" si="201"/>
        <v>0.36449057933102513</v>
      </c>
      <c r="I1407" s="2">
        <f t="shared" si="194"/>
        <v>0</v>
      </c>
      <c r="J1407" s="389">
        <f t="shared" si="195"/>
        <v>0</v>
      </c>
      <c r="L1407" s="721"/>
      <c r="M1407" s="581"/>
      <c r="N1407" s="585" t="s">
        <v>1738</v>
      </c>
      <c r="O1407" s="586" t="s">
        <v>4685</v>
      </c>
      <c r="P1407" s="233">
        <f t="shared" si="196"/>
        <v>0</v>
      </c>
      <c r="Q1407" s="233">
        <f t="shared" si="197"/>
        <v>0</v>
      </c>
      <c r="R1407" s="2">
        <f t="shared" si="198"/>
        <v>2.1</v>
      </c>
      <c r="S1407" s="2">
        <f>(1/9)*cnst_fish!$C$7*(1/cnst_fish!$C$8)^(R1407-1)</f>
        <v>1.7754076320174161</v>
      </c>
      <c r="T1407" s="682">
        <f t="shared" si="199"/>
        <v>0</v>
      </c>
      <c r="W1407" s="818"/>
      <c r="X1407" s="818"/>
      <c r="Y1407" s="819"/>
      <c r="Z1407" s="820"/>
      <c r="AA1407" s="820"/>
      <c r="AB1407" s="821"/>
      <c r="AC1407" s="821"/>
      <c r="AD1407" s="253"/>
      <c r="AE1407" s="253"/>
    </row>
    <row r="1408" spans="1:31" ht="14.5">
      <c r="A1408" t="s">
        <v>670</v>
      </c>
      <c r="B1408" t="s">
        <v>1627</v>
      </c>
      <c r="C1408">
        <v>2409</v>
      </c>
      <c r="D1408" s="581"/>
      <c r="E1408" s="581"/>
      <c r="F1408" s="2">
        <f>(1/S1408)*cnst_fish!$C$6</f>
        <v>2.5709335254257351</v>
      </c>
      <c r="G1408" s="2">
        <f t="shared" ref="G1408:H1427" si="202">G$7</f>
        <v>1</v>
      </c>
      <c r="H1408" s="2">
        <f t="shared" si="202"/>
        <v>0.36449057933102513</v>
      </c>
      <c r="I1408" s="2">
        <f t="shared" si="194"/>
        <v>0</v>
      </c>
      <c r="J1408" s="389">
        <f t="shared" si="195"/>
        <v>0</v>
      </c>
      <c r="L1408" s="721"/>
      <c r="M1408" s="581">
        <v>1955</v>
      </c>
      <c r="N1408" s="585" t="s">
        <v>1738</v>
      </c>
      <c r="O1408" s="586" t="s">
        <v>4685</v>
      </c>
      <c r="P1408" s="233">
        <f t="shared" si="196"/>
        <v>0</v>
      </c>
      <c r="Q1408" s="233">
        <f t="shared" si="197"/>
        <v>1955</v>
      </c>
      <c r="R1408" s="2">
        <f t="shared" si="198"/>
        <v>2.069</v>
      </c>
      <c r="S1408" s="2">
        <f>(1/9)*cnst_fish!$C$7*(1/cnst_fish!$C$8)^(R1408-1)</f>
        <v>1.6530960283371072</v>
      </c>
      <c r="T1408" s="682">
        <f t="shared" si="199"/>
        <v>277.16744736686809</v>
      </c>
      <c r="W1408" s="818"/>
      <c r="X1408" s="818"/>
      <c r="Y1408" s="819"/>
      <c r="Z1408" s="820"/>
      <c r="AA1408" s="820"/>
      <c r="AB1408" s="821"/>
      <c r="AC1408" s="821"/>
      <c r="AD1408" s="253"/>
      <c r="AE1408" s="253"/>
    </row>
    <row r="1409" spans="1:31" ht="14.5">
      <c r="A1409" t="s">
        <v>4213</v>
      </c>
      <c r="B1409" t="s">
        <v>8693</v>
      </c>
      <c r="C1409">
        <v>2411</v>
      </c>
      <c r="D1409" s="581"/>
      <c r="E1409" s="581"/>
      <c r="F1409" s="2">
        <f>(1/S1409)*cnst_fish!$C$6</f>
        <v>2.3938164528281742</v>
      </c>
      <c r="G1409" s="2">
        <f t="shared" si="202"/>
        <v>1</v>
      </c>
      <c r="H1409" s="2">
        <f t="shared" si="202"/>
        <v>0.36449057933102513</v>
      </c>
      <c r="I1409" s="2">
        <f t="shared" si="194"/>
        <v>0</v>
      </c>
      <c r="J1409" s="389">
        <f t="shared" si="195"/>
        <v>0</v>
      </c>
      <c r="L1409" s="721"/>
      <c r="M1409" s="581"/>
      <c r="N1409" s="585" t="s">
        <v>1738</v>
      </c>
      <c r="O1409" s="586" t="s">
        <v>4681</v>
      </c>
      <c r="P1409" s="233">
        <f t="shared" si="196"/>
        <v>0</v>
      </c>
      <c r="Q1409" s="233">
        <f t="shared" si="197"/>
        <v>0</v>
      </c>
      <c r="R1409" s="2">
        <f t="shared" si="198"/>
        <v>2.1</v>
      </c>
      <c r="S1409" s="2">
        <f>(1/9)*cnst_fish!$C$7*(1/cnst_fish!$C$8)^(R1409-1)</f>
        <v>1.7754076320174161</v>
      </c>
      <c r="T1409" s="682">
        <f t="shared" si="199"/>
        <v>0</v>
      </c>
      <c r="W1409" s="818"/>
      <c r="X1409" s="818"/>
      <c r="Y1409" s="819"/>
      <c r="Z1409" s="820"/>
      <c r="AA1409" s="820"/>
      <c r="AB1409" s="821"/>
      <c r="AC1409" s="821"/>
      <c r="AD1409" s="253"/>
      <c r="AE1409" s="253"/>
    </row>
    <row r="1410" spans="1:31" ht="14.5">
      <c r="A1410" t="s">
        <v>3473</v>
      </c>
      <c r="B1410" t="s">
        <v>4723</v>
      </c>
      <c r="C1410">
        <v>2408</v>
      </c>
      <c r="D1410" s="581"/>
      <c r="E1410" s="581"/>
      <c r="F1410" s="2">
        <f>(1/S1410)*cnst_fish!$C$6</f>
        <v>3.0136363636363641</v>
      </c>
      <c r="G1410" s="2">
        <f t="shared" si="202"/>
        <v>1</v>
      </c>
      <c r="H1410" s="2">
        <f t="shared" si="202"/>
        <v>0.36449057933102513</v>
      </c>
      <c r="I1410" s="2">
        <f t="shared" si="194"/>
        <v>0</v>
      </c>
      <c r="J1410" s="389">
        <f t="shared" si="195"/>
        <v>0</v>
      </c>
      <c r="L1410" s="721"/>
      <c r="M1410" s="581">
        <v>20960</v>
      </c>
      <c r="N1410" s="585" t="s">
        <v>1738</v>
      </c>
      <c r="O1410" s="586" t="s">
        <v>4685</v>
      </c>
      <c r="P1410" s="233">
        <f t="shared" si="196"/>
        <v>0</v>
      </c>
      <c r="Q1410" s="233">
        <f t="shared" si="197"/>
        <v>20960</v>
      </c>
      <c r="R1410" s="2">
        <f t="shared" si="198"/>
        <v>2</v>
      </c>
      <c r="S1410" s="2">
        <f>(1/9)*cnst_fish!$C$7*(1/cnst_fish!$C$8)^(R1410-1)</f>
        <v>1.4102564102564099</v>
      </c>
      <c r="T1410" s="682">
        <f t="shared" si="199"/>
        <v>2535.0512208314067</v>
      </c>
      <c r="W1410" s="818"/>
      <c r="X1410" s="818"/>
      <c r="Y1410" s="819"/>
      <c r="Z1410" s="820"/>
      <c r="AA1410" s="820"/>
      <c r="AB1410" s="821"/>
      <c r="AC1410" s="821"/>
      <c r="AD1410" s="253"/>
      <c r="AE1410" s="253"/>
    </row>
    <row r="1411" spans="1:31" ht="14.5">
      <c r="A1411" t="s">
        <v>1717</v>
      </c>
      <c r="B1411" t="s">
        <v>4724</v>
      </c>
      <c r="C1411">
        <v>3217</v>
      </c>
      <c r="D1411" s="581"/>
      <c r="E1411" s="581"/>
      <c r="F1411" s="2">
        <f>(1/S1411)*cnst_fish!$C$6</f>
        <v>3.0136363636363641</v>
      </c>
      <c r="G1411" s="2">
        <f t="shared" si="202"/>
        <v>1</v>
      </c>
      <c r="H1411" s="2">
        <f t="shared" si="202"/>
        <v>0.36449057933102513</v>
      </c>
      <c r="I1411" s="2">
        <f t="shared" si="194"/>
        <v>0</v>
      </c>
      <c r="J1411" s="389">
        <f t="shared" si="195"/>
        <v>0</v>
      </c>
      <c r="L1411" s="721"/>
      <c r="M1411" s="581">
        <v>257182</v>
      </c>
      <c r="N1411" s="585" t="s">
        <v>1738</v>
      </c>
      <c r="O1411" s="586" t="s">
        <v>4685</v>
      </c>
      <c r="P1411" s="233">
        <f t="shared" si="196"/>
        <v>0</v>
      </c>
      <c r="Q1411" s="233">
        <f t="shared" si="197"/>
        <v>257182</v>
      </c>
      <c r="R1411" s="2">
        <f t="shared" si="198"/>
        <v>2</v>
      </c>
      <c r="S1411" s="2">
        <f>(1/9)*cnst_fish!$C$7*(1/cnst_fish!$C$8)^(R1411-1)</f>
        <v>1.4102564102564099</v>
      </c>
      <c r="T1411" s="682">
        <f t="shared" si="199"/>
        <v>31105.417131482005</v>
      </c>
      <c r="W1411" s="818"/>
      <c r="X1411" s="818"/>
      <c r="Y1411" s="819"/>
      <c r="Z1411" s="820"/>
      <c r="AA1411" s="820"/>
      <c r="AB1411" s="821"/>
      <c r="AC1411" s="821"/>
      <c r="AD1411" s="253"/>
      <c r="AE1411" s="253"/>
    </row>
    <row r="1412" spans="1:31" ht="14.5">
      <c r="A1412" t="s">
        <v>6747</v>
      </c>
      <c r="B1412" t="s">
        <v>4724</v>
      </c>
      <c r="C1412">
        <v>6824</v>
      </c>
      <c r="D1412" s="581"/>
      <c r="E1412" s="581"/>
      <c r="F1412" s="2">
        <f>(1/S1412)*cnst_fish!$C$6</f>
        <v>3.0136363636363641</v>
      </c>
      <c r="G1412" s="2">
        <f t="shared" si="202"/>
        <v>1</v>
      </c>
      <c r="H1412" s="2">
        <f t="shared" si="202"/>
        <v>0.36449057933102513</v>
      </c>
      <c r="I1412" s="2">
        <f t="shared" si="194"/>
        <v>0</v>
      </c>
      <c r="J1412" s="389">
        <f t="shared" si="195"/>
        <v>0</v>
      </c>
      <c r="L1412" s="721"/>
      <c r="M1412" s="581"/>
      <c r="N1412" s="585" t="s">
        <v>1738</v>
      </c>
      <c r="O1412" s="586" t="s">
        <v>4685</v>
      </c>
      <c r="P1412" s="233">
        <f t="shared" si="196"/>
        <v>0</v>
      </c>
      <c r="Q1412" s="233">
        <f t="shared" si="197"/>
        <v>0</v>
      </c>
      <c r="R1412" s="2">
        <f t="shared" si="198"/>
        <v>2</v>
      </c>
      <c r="S1412" s="2">
        <f>(1/9)*cnst_fish!$C$7*(1/cnst_fish!$C$8)^(R1412-1)</f>
        <v>1.4102564102564099</v>
      </c>
      <c r="T1412" s="682">
        <f t="shared" si="199"/>
        <v>0</v>
      </c>
      <c r="W1412" s="818"/>
      <c r="X1412" s="818"/>
      <c r="Y1412" s="819"/>
      <c r="Z1412" s="820"/>
      <c r="AA1412" s="820"/>
      <c r="AB1412" s="821"/>
      <c r="AC1412" s="821"/>
      <c r="AD1412" s="253"/>
      <c r="AE1412" s="253"/>
    </row>
    <row r="1413" spans="1:31" ht="14.5">
      <c r="A1413" t="s">
        <v>8694</v>
      </c>
      <c r="B1413" t="s">
        <v>6544</v>
      </c>
      <c r="C1413">
        <v>13969</v>
      </c>
      <c r="D1413" s="581"/>
      <c r="E1413" s="581"/>
      <c r="F1413" s="2">
        <f>(1/S1413)*cnst_fish!$C$6</f>
        <v>3.0136363636363641</v>
      </c>
      <c r="G1413" s="2">
        <f t="shared" si="202"/>
        <v>1</v>
      </c>
      <c r="H1413" s="2">
        <f t="shared" si="202"/>
        <v>0.36449057933102513</v>
      </c>
      <c r="I1413" s="2">
        <f t="shared" si="194"/>
        <v>0</v>
      </c>
      <c r="J1413" s="389">
        <f t="shared" si="195"/>
        <v>0</v>
      </c>
      <c r="L1413" s="721"/>
      <c r="M1413" s="581">
        <v>1367</v>
      </c>
      <c r="N1413" s="585" t="s">
        <v>1738</v>
      </c>
      <c r="O1413" s="586" t="s">
        <v>4685</v>
      </c>
      <c r="P1413" s="233">
        <f t="shared" si="196"/>
        <v>0</v>
      </c>
      <c r="Q1413" s="233">
        <f t="shared" si="197"/>
        <v>1367</v>
      </c>
      <c r="R1413" s="2">
        <f t="shared" si="198"/>
        <v>2</v>
      </c>
      <c r="S1413" s="2">
        <f>(1/9)*cnst_fish!$C$7*(1/cnst_fish!$C$8)^(R1413-1)</f>
        <v>1.4102564102564099</v>
      </c>
      <c r="T1413" s="682">
        <f t="shared" si="199"/>
        <v>165.33468601510177</v>
      </c>
      <c r="W1413" s="818"/>
      <c r="X1413" s="818"/>
      <c r="Y1413" s="819"/>
      <c r="Z1413" s="820"/>
      <c r="AA1413" s="820"/>
      <c r="AB1413" s="821"/>
      <c r="AC1413" s="821"/>
      <c r="AD1413" s="253"/>
      <c r="AE1413" s="253"/>
    </row>
    <row r="1414" spans="1:31" ht="14.5">
      <c r="A1414" t="s">
        <v>4249</v>
      </c>
      <c r="B1414" t="s">
        <v>8695</v>
      </c>
      <c r="C1414">
        <v>2410</v>
      </c>
      <c r="D1414" s="581"/>
      <c r="E1414" s="581"/>
      <c r="F1414" s="2">
        <f>(1/S1414)*cnst_fish!$C$6</f>
        <v>0.75699122913220485</v>
      </c>
      <c r="G1414" s="2">
        <f t="shared" si="202"/>
        <v>1</v>
      </c>
      <c r="H1414" s="2">
        <f t="shared" si="202"/>
        <v>0.36449057933102513</v>
      </c>
      <c r="I1414" s="2">
        <f t="shared" si="194"/>
        <v>0</v>
      </c>
      <c r="J1414" s="389">
        <f t="shared" si="195"/>
        <v>0</v>
      </c>
      <c r="L1414" s="721"/>
      <c r="M1414" s="581"/>
      <c r="N1414" s="585" t="s">
        <v>1738</v>
      </c>
      <c r="O1414" s="586" t="s">
        <v>4681</v>
      </c>
      <c r="P1414" s="233">
        <f t="shared" si="196"/>
        <v>0</v>
      </c>
      <c r="Q1414" s="233">
        <f t="shared" si="197"/>
        <v>0</v>
      </c>
      <c r="R1414" s="2">
        <f t="shared" si="198"/>
        <v>2.6</v>
      </c>
      <c r="S1414" s="2">
        <f>(1/9)*cnst_fish!$C$7*(1/cnst_fish!$C$8)^(R1414-1)</f>
        <v>5.6143318924211183</v>
      </c>
      <c r="T1414" s="682">
        <f t="shared" si="199"/>
        <v>0</v>
      </c>
      <c r="W1414" s="818"/>
      <c r="X1414" s="818"/>
      <c r="Y1414" s="819"/>
      <c r="Z1414" s="820"/>
      <c r="AA1414" s="820"/>
      <c r="AB1414" s="821"/>
      <c r="AC1414" s="821"/>
      <c r="AD1414" s="253"/>
      <c r="AE1414" s="253"/>
    </row>
    <row r="1415" spans="1:31" ht="14.5">
      <c r="A1415" t="s">
        <v>8696</v>
      </c>
      <c r="B1415" t="s">
        <v>8697</v>
      </c>
      <c r="C1415">
        <v>13971</v>
      </c>
      <c r="D1415" s="581"/>
      <c r="E1415" s="581"/>
      <c r="F1415" s="2">
        <f>(1/S1415)*cnst_fish!$C$6</f>
        <v>3.0136363636363641</v>
      </c>
      <c r="G1415" s="2">
        <f t="shared" si="202"/>
        <v>1</v>
      </c>
      <c r="H1415" s="2">
        <f t="shared" si="202"/>
        <v>0.36449057933102513</v>
      </c>
      <c r="I1415" s="2">
        <f t="shared" ref="I1415:I1478" si="203">IF($F1415=0,0,D1415/$F1415*$H1415*$G1415)</f>
        <v>0</v>
      </c>
      <c r="J1415" s="389">
        <f t="shared" ref="J1415:J1478" si="204">IF($F1415=0,0,E1415/$F1415*$H1415*$G1415)</f>
        <v>0</v>
      </c>
      <c r="L1415" s="721"/>
      <c r="M1415" s="581"/>
      <c r="N1415" s="585" t="s">
        <v>1738</v>
      </c>
      <c r="O1415" s="586" t="s">
        <v>4685</v>
      </c>
      <c r="P1415" s="233">
        <f t="shared" ref="P1415:P1478" si="205">D1415+E1415</f>
        <v>0</v>
      </c>
      <c r="Q1415" s="233">
        <f t="shared" ref="Q1415:Q1478" si="206">L1415+M1415</f>
        <v>0</v>
      </c>
      <c r="R1415" s="2">
        <f t="shared" ref="R1415:R1478" si="207">VLOOKUP(B1415,constant_fish_trophic,3,FALSE)</f>
        <v>2</v>
      </c>
      <c r="S1415" s="2">
        <f>(1/9)*cnst_fish!$C$7*(1/cnst_fish!$C$8)^(R1415-1)</f>
        <v>1.4102564102564099</v>
      </c>
      <c r="T1415" s="682">
        <f t="shared" ref="T1415:T1478" si="208">IF(F1415=0,0,Q1415/F1415*H1415*G1415)</f>
        <v>0</v>
      </c>
      <c r="W1415" s="818"/>
      <c r="X1415" s="818"/>
      <c r="Y1415" s="819"/>
      <c r="Z1415" s="820"/>
      <c r="AA1415" s="820"/>
      <c r="AB1415" s="821"/>
      <c r="AC1415" s="821"/>
      <c r="AD1415" s="253"/>
      <c r="AE1415" s="253"/>
    </row>
    <row r="1416" spans="1:31" ht="14.5">
      <c r="A1416" t="s">
        <v>504</v>
      </c>
      <c r="B1416" t="s">
        <v>2763</v>
      </c>
      <c r="C1416">
        <v>2252</v>
      </c>
      <c r="D1416" s="581"/>
      <c r="E1416" s="581"/>
      <c r="F1416" s="2">
        <f>(1/S1416)*cnst_fish!$C$6</f>
        <v>7.3976000504507963E-2</v>
      </c>
      <c r="G1416" s="2">
        <f t="shared" si="202"/>
        <v>1</v>
      </c>
      <c r="H1416" s="2">
        <f t="shared" si="202"/>
        <v>0.36449057933102513</v>
      </c>
      <c r="I1416" s="2">
        <f t="shared" si="203"/>
        <v>0</v>
      </c>
      <c r="J1416" s="389">
        <f t="shared" si="204"/>
        <v>0</v>
      </c>
      <c r="L1416" s="721">
        <v>10161</v>
      </c>
      <c r="M1416" s="581"/>
      <c r="N1416" s="585" t="s">
        <v>1738</v>
      </c>
      <c r="O1416" s="586" t="s">
        <v>4681</v>
      </c>
      <c r="P1416" s="233">
        <f t="shared" si="205"/>
        <v>0</v>
      </c>
      <c r="Q1416" s="233">
        <f t="shared" si="206"/>
        <v>10161</v>
      </c>
      <c r="R1416" s="2">
        <f t="shared" si="207"/>
        <v>3.61</v>
      </c>
      <c r="S1416" s="2">
        <f>(1/9)*cnst_fish!$C$7*(1/cnst_fish!$C$8)^(R1416-1)</f>
        <v>57.451064818528707</v>
      </c>
      <c r="T1416" s="682">
        <f t="shared" si="208"/>
        <v>50064.733850498662</v>
      </c>
      <c r="W1416" s="818"/>
      <c r="X1416" s="818"/>
      <c r="Y1416" s="819"/>
      <c r="Z1416" s="820"/>
      <c r="AA1416" s="820"/>
      <c r="AB1416" s="821"/>
      <c r="AC1416" s="821"/>
      <c r="AD1416" s="253"/>
      <c r="AE1416" s="253"/>
    </row>
    <row r="1417" spans="1:31" ht="14.5">
      <c r="A1417" t="s">
        <v>1824</v>
      </c>
      <c r="B1417" t="s">
        <v>3342</v>
      </c>
      <c r="C1417">
        <v>2338</v>
      </c>
      <c r="D1417" s="581"/>
      <c r="E1417" s="581"/>
      <c r="F1417" s="2">
        <f>(1/S1417)*cnst_fish!$C$6</f>
        <v>0.11457525898206007</v>
      </c>
      <c r="G1417" s="2">
        <f t="shared" si="202"/>
        <v>1</v>
      </c>
      <c r="H1417" s="2">
        <f t="shared" si="202"/>
        <v>0.36449057933102513</v>
      </c>
      <c r="I1417" s="2">
        <f t="shared" si="203"/>
        <v>0</v>
      </c>
      <c r="J1417" s="389">
        <f t="shared" si="204"/>
        <v>0</v>
      </c>
      <c r="L1417" s="721">
        <v>5</v>
      </c>
      <c r="M1417" s="581"/>
      <c r="N1417" s="585" t="s">
        <v>1738</v>
      </c>
      <c r="O1417" s="586" t="s">
        <v>4681</v>
      </c>
      <c r="P1417" s="233">
        <f t="shared" si="205"/>
        <v>0</v>
      </c>
      <c r="Q1417" s="233">
        <f t="shared" si="206"/>
        <v>5</v>
      </c>
      <c r="R1417" s="2">
        <f t="shared" si="207"/>
        <v>3.42</v>
      </c>
      <c r="S1417" s="2">
        <f>(1/9)*cnst_fish!$C$7*(1/cnst_fish!$C$8)^(R1417-1)</f>
        <v>37.093522962627169</v>
      </c>
      <c r="T1417" s="682">
        <f t="shared" si="208"/>
        <v>15.90616432244313</v>
      </c>
      <c r="W1417" s="818"/>
      <c r="X1417" s="818"/>
      <c r="Y1417" s="819"/>
      <c r="Z1417" s="820"/>
      <c r="AA1417" s="820"/>
      <c r="AB1417" s="821"/>
      <c r="AC1417" s="821"/>
      <c r="AD1417" s="253"/>
      <c r="AE1417" s="253"/>
    </row>
    <row r="1418" spans="1:31" ht="14.5">
      <c r="A1418" t="s">
        <v>8885</v>
      </c>
      <c r="B1418" t="s">
        <v>8886</v>
      </c>
      <c r="C1418">
        <v>13982</v>
      </c>
      <c r="D1418" s="581"/>
      <c r="E1418" s="581"/>
      <c r="F1418" s="2">
        <f>(1/S1418)*cnst_fish!$C$6</f>
        <v>7.5699122913220479E-2</v>
      </c>
      <c r="G1418" s="2">
        <f t="shared" si="202"/>
        <v>1</v>
      </c>
      <c r="H1418" s="2">
        <f t="shared" si="202"/>
        <v>0.36449057933102513</v>
      </c>
      <c r="I1418" s="2">
        <f t="shared" si="203"/>
        <v>0</v>
      </c>
      <c r="J1418" s="389">
        <f t="shared" si="204"/>
        <v>0</v>
      </c>
      <c r="L1418" s="721">
        <v>1990</v>
      </c>
      <c r="M1418" s="581"/>
      <c r="N1418" s="585" t="s">
        <v>4282</v>
      </c>
      <c r="O1418" s="586" t="s">
        <v>4681</v>
      </c>
      <c r="P1418" s="233">
        <f t="shared" si="205"/>
        <v>0</v>
      </c>
      <c r="Q1418" s="233">
        <f t="shared" si="206"/>
        <v>1990</v>
      </c>
      <c r="R1418" s="2">
        <f t="shared" si="207"/>
        <v>3.6</v>
      </c>
      <c r="S1418" s="2">
        <f>(1/9)*cnst_fish!$C$7*(1/cnst_fish!$C$8)^(R1418-1)</f>
        <v>56.143318924211187</v>
      </c>
      <c r="T1418" s="682">
        <f t="shared" si="208"/>
        <v>9581.8316640239918</v>
      </c>
      <c r="W1418" s="818"/>
      <c r="X1418" s="818"/>
      <c r="Y1418" s="819"/>
      <c r="Z1418" s="820"/>
      <c r="AA1418" s="820"/>
      <c r="AB1418" s="821"/>
      <c r="AC1418" s="821"/>
      <c r="AD1418" s="253"/>
      <c r="AE1418" s="253"/>
    </row>
    <row r="1419" spans="1:31" ht="14.5">
      <c r="A1419" t="s">
        <v>1172</v>
      </c>
      <c r="B1419" t="s">
        <v>2830</v>
      </c>
      <c r="C1419">
        <v>2127</v>
      </c>
      <c r="D1419" s="581"/>
      <c r="E1419" s="581"/>
      <c r="F1419" s="2">
        <f>(1/S1419)*cnst_fish!$C$6</f>
        <v>0.30136363636363639</v>
      </c>
      <c r="G1419" s="2">
        <f t="shared" si="202"/>
        <v>1</v>
      </c>
      <c r="H1419" s="2">
        <f t="shared" si="202"/>
        <v>0.36449057933102513</v>
      </c>
      <c r="I1419" s="2">
        <f t="shared" si="203"/>
        <v>0</v>
      </c>
      <c r="J1419" s="389">
        <f t="shared" si="204"/>
        <v>0</v>
      </c>
      <c r="L1419" s="721">
        <v>4831.8099999999995</v>
      </c>
      <c r="M1419" s="581">
        <v>685</v>
      </c>
      <c r="N1419" s="585" t="s">
        <v>1738</v>
      </c>
      <c r="O1419" s="586" t="s">
        <v>4685</v>
      </c>
      <c r="P1419" s="233">
        <f t="shared" si="205"/>
        <v>0</v>
      </c>
      <c r="Q1419" s="233">
        <f t="shared" si="206"/>
        <v>5516.8099999999995</v>
      </c>
      <c r="R1419" s="2">
        <f t="shared" si="207"/>
        <v>3</v>
      </c>
      <c r="S1419" s="2">
        <f>(1/9)*cnst_fish!$C$7*(1/cnst_fish!$C$8)^(R1419-1)</f>
        <v>14.1025641025641</v>
      </c>
      <c r="T1419" s="682">
        <f t="shared" si="208"/>
        <v>6672.4217202265809</v>
      </c>
      <c r="W1419" s="818"/>
      <c r="X1419" s="818"/>
      <c r="Y1419" s="819"/>
      <c r="Z1419" s="820"/>
      <c r="AA1419" s="820"/>
      <c r="AB1419" s="821"/>
      <c r="AC1419" s="821"/>
      <c r="AD1419" s="253"/>
      <c r="AE1419" s="253"/>
    </row>
    <row r="1420" spans="1:31" ht="14.5">
      <c r="A1420" t="s">
        <v>4385</v>
      </c>
      <c r="B1420" t="s">
        <v>1277</v>
      </c>
      <c r="C1420">
        <v>2128</v>
      </c>
      <c r="D1420" s="581">
        <v>67</v>
      </c>
      <c r="E1420" s="581"/>
      <c r="F1420" s="2">
        <f>(1/S1420)*cnst_fish!$C$6</f>
        <v>0.30136363636363639</v>
      </c>
      <c r="G1420" s="2">
        <f t="shared" si="202"/>
        <v>1</v>
      </c>
      <c r="H1420" s="2">
        <f t="shared" si="202"/>
        <v>0.36449057933102513</v>
      </c>
      <c r="I1420" s="2">
        <f t="shared" si="203"/>
        <v>81.034557154439057</v>
      </c>
      <c r="J1420" s="389">
        <f t="shared" si="204"/>
        <v>0</v>
      </c>
      <c r="L1420" s="721">
        <v>67</v>
      </c>
      <c r="M1420" s="581">
        <v>1537</v>
      </c>
      <c r="N1420" s="585" t="s">
        <v>1738</v>
      </c>
      <c r="O1420" s="586" t="s">
        <v>4685</v>
      </c>
      <c r="P1420" s="233">
        <f t="shared" si="205"/>
        <v>67</v>
      </c>
      <c r="Q1420" s="233">
        <f t="shared" si="206"/>
        <v>1604</v>
      </c>
      <c r="R1420" s="2">
        <f t="shared" si="207"/>
        <v>3</v>
      </c>
      <c r="S1420" s="2">
        <f>(1/9)*cnst_fish!$C$7*(1/cnst_fish!$C$8)^(R1420-1)</f>
        <v>14.1025641025641</v>
      </c>
      <c r="T1420" s="682">
        <f t="shared" si="208"/>
        <v>1939.9914876973173</v>
      </c>
      <c r="W1420" s="818"/>
      <c r="X1420" s="818"/>
      <c r="Y1420" s="819"/>
      <c r="Z1420" s="820"/>
      <c r="AA1420" s="820"/>
      <c r="AB1420" s="821"/>
      <c r="AC1420" s="821"/>
      <c r="AD1420" s="253"/>
      <c r="AE1420" s="253"/>
    </row>
    <row r="1421" spans="1:31" ht="14.5">
      <c r="A1421" t="s">
        <v>4386</v>
      </c>
      <c r="B1421" t="s">
        <v>1278</v>
      </c>
      <c r="C1421">
        <v>2125</v>
      </c>
      <c r="D1421" s="581"/>
      <c r="E1421" s="581"/>
      <c r="F1421" s="2">
        <f>(1/S1421)*cnst_fish!$C$6</f>
        <v>0.19910898001319816</v>
      </c>
      <c r="G1421" s="2">
        <f t="shared" si="202"/>
        <v>1</v>
      </c>
      <c r="H1421" s="2">
        <f t="shared" si="202"/>
        <v>0.36449057933102513</v>
      </c>
      <c r="I1421" s="2">
        <f t="shared" si="203"/>
        <v>0</v>
      </c>
      <c r="J1421" s="389">
        <f t="shared" si="204"/>
        <v>0</v>
      </c>
      <c r="L1421" s="721">
        <v>159</v>
      </c>
      <c r="M1421" s="581">
        <v>8872</v>
      </c>
      <c r="N1421" s="585" t="s">
        <v>1738</v>
      </c>
      <c r="O1421" s="586" t="s">
        <v>4685</v>
      </c>
      <c r="P1421" s="233">
        <f t="shared" si="205"/>
        <v>0</v>
      </c>
      <c r="Q1421" s="233">
        <f t="shared" si="206"/>
        <v>9031</v>
      </c>
      <c r="R1421" s="2">
        <f t="shared" si="207"/>
        <v>3.18</v>
      </c>
      <c r="S1421" s="2">
        <f>(1/9)*cnst_fish!$C$7*(1/cnst_fish!$C$8)^(R1421-1)</f>
        <v>21.345094529228586</v>
      </c>
      <c r="T1421" s="682">
        <f t="shared" si="208"/>
        <v>16532.224823412249</v>
      </c>
      <c r="W1421" s="818"/>
      <c r="X1421" s="818"/>
      <c r="Y1421" s="819"/>
      <c r="Z1421" s="820"/>
      <c r="AA1421" s="820"/>
      <c r="AB1421" s="821"/>
      <c r="AC1421" s="821"/>
      <c r="AD1421" s="253"/>
      <c r="AE1421" s="253"/>
    </row>
    <row r="1422" spans="1:31" ht="14.5">
      <c r="A1422" t="s">
        <v>94</v>
      </c>
      <c r="B1422" t="s">
        <v>3188</v>
      </c>
      <c r="C1422">
        <v>2512</v>
      </c>
      <c r="D1422" s="581"/>
      <c r="E1422" s="581"/>
      <c r="F1422" s="2">
        <f>(1/S1422)*cnst_fish!$C$6</f>
        <v>2.7484690295134913</v>
      </c>
      <c r="G1422" s="2">
        <f t="shared" si="202"/>
        <v>1</v>
      </c>
      <c r="H1422" s="2">
        <f t="shared" si="202"/>
        <v>0.36449057933102513</v>
      </c>
      <c r="I1422" s="2">
        <f t="shared" si="203"/>
        <v>0</v>
      </c>
      <c r="J1422" s="389">
        <f t="shared" si="204"/>
        <v>0</v>
      </c>
      <c r="L1422" s="721"/>
      <c r="M1422" s="581">
        <v>6469</v>
      </c>
      <c r="N1422" s="585" t="s">
        <v>1738</v>
      </c>
      <c r="O1422" s="586" t="s">
        <v>4685</v>
      </c>
      <c r="P1422" s="233">
        <f t="shared" si="205"/>
        <v>0</v>
      </c>
      <c r="Q1422" s="233">
        <f t="shared" si="206"/>
        <v>6469</v>
      </c>
      <c r="R1422" s="2">
        <f t="shared" si="207"/>
        <v>2.04</v>
      </c>
      <c r="S1422" s="2">
        <f>(1/9)*cnst_fish!$C$7*(1/cnst_fish!$C$8)^(R1422-1)</f>
        <v>1.5463154048173124</v>
      </c>
      <c r="T1422" s="682">
        <f t="shared" si="208"/>
        <v>857.89198727473877</v>
      </c>
      <c r="W1422" s="818"/>
      <c r="X1422" s="818"/>
      <c r="Y1422" s="819"/>
      <c r="Z1422" s="820"/>
      <c r="AA1422" s="820"/>
      <c r="AB1422" s="821"/>
      <c r="AC1422" s="821"/>
      <c r="AD1422" s="253"/>
      <c r="AE1422" s="253"/>
    </row>
    <row r="1423" spans="1:31" ht="14.5">
      <c r="A1423" t="s">
        <v>4197</v>
      </c>
      <c r="B1423" t="s">
        <v>3188</v>
      </c>
      <c r="C1423">
        <v>2513</v>
      </c>
      <c r="D1423" s="581"/>
      <c r="E1423" s="581"/>
      <c r="F1423" s="2">
        <f>(1/S1423)*cnst_fish!$C$6</f>
        <v>2.7484690295134913</v>
      </c>
      <c r="G1423" s="2">
        <f t="shared" si="202"/>
        <v>1</v>
      </c>
      <c r="H1423" s="2">
        <f t="shared" si="202"/>
        <v>0.36449057933102513</v>
      </c>
      <c r="I1423" s="2">
        <f t="shared" si="203"/>
        <v>0</v>
      </c>
      <c r="J1423" s="389">
        <f t="shared" si="204"/>
        <v>0</v>
      </c>
      <c r="L1423" s="721"/>
      <c r="M1423" s="581"/>
      <c r="N1423" s="585" t="s">
        <v>1738</v>
      </c>
      <c r="O1423" s="586" t="s">
        <v>4681</v>
      </c>
      <c r="P1423" s="233">
        <f t="shared" si="205"/>
        <v>0</v>
      </c>
      <c r="Q1423" s="233">
        <f t="shared" si="206"/>
        <v>0</v>
      </c>
      <c r="R1423" s="2">
        <f t="shared" si="207"/>
        <v>2.04</v>
      </c>
      <c r="S1423" s="2">
        <f>(1/9)*cnst_fish!$C$7*(1/cnst_fish!$C$8)^(R1423-1)</f>
        <v>1.5463154048173124</v>
      </c>
      <c r="T1423" s="682">
        <f t="shared" si="208"/>
        <v>0</v>
      </c>
      <c r="W1423" s="818"/>
      <c r="X1423" s="818"/>
      <c r="Y1423" s="819"/>
      <c r="Z1423" s="820"/>
      <c r="AA1423" s="820"/>
      <c r="AB1423" s="821"/>
      <c r="AC1423" s="821"/>
      <c r="AD1423" s="253"/>
      <c r="AE1423" s="253"/>
    </row>
    <row r="1424" spans="1:31" ht="14.5">
      <c r="A1424" t="s">
        <v>5505</v>
      </c>
      <c r="B1424" t="s">
        <v>3189</v>
      </c>
      <c r="C1424">
        <v>2573</v>
      </c>
      <c r="D1424" s="581">
        <v>64</v>
      </c>
      <c r="E1424" s="581"/>
      <c r="F1424" s="2">
        <f>(1/S1424)*cnst_fish!$C$6</f>
        <v>0.23938164528281752</v>
      </c>
      <c r="G1424" s="2">
        <f t="shared" si="202"/>
        <v>1</v>
      </c>
      <c r="H1424" s="2">
        <f t="shared" si="202"/>
        <v>0.36449057933102513</v>
      </c>
      <c r="I1424" s="2">
        <f t="shared" si="203"/>
        <v>97.4485618963202</v>
      </c>
      <c r="J1424" s="389">
        <f t="shared" si="204"/>
        <v>0</v>
      </c>
      <c r="L1424" s="721">
        <v>28406.53</v>
      </c>
      <c r="M1424" s="581"/>
      <c r="N1424" s="585" t="s">
        <v>1738</v>
      </c>
      <c r="O1424" s="586" t="s">
        <v>4689</v>
      </c>
      <c r="P1424" s="233">
        <f t="shared" si="205"/>
        <v>64</v>
      </c>
      <c r="Q1424" s="233">
        <f t="shared" si="206"/>
        <v>28406.53</v>
      </c>
      <c r="R1424" s="2">
        <f t="shared" si="207"/>
        <v>3.1</v>
      </c>
      <c r="S1424" s="2">
        <f>(1/9)*cnst_fish!$C$7*(1/cnst_fish!$C$8)^(R1424-1)</f>
        <v>17.754076320174157</v>
      </c>
      <c r="T1424" s="682">
        <f t="shared" si="208"/>
        <v>43252.742140073067</v>
      </c>
      <c r="W1424" s="818"/>
      <c r="X1424" s="818"/>
      <c r="Y1424" s="819"/>
      <c r="Z1424" s="820"/>
      <c r="AA1424" s="820"/>
      <c r="AB1424" s="821"/>
      <c r="AC1424" s="821"/>
      <c r="AD1424" s="253"/>
      <c r="AE1424" s="253"/>
    </row>
    <row r="1425" spans="1:31" ht="14.5">
      <c r="A1425" t="s">
        <v>5482</v>
      </c>
      <c r="B1425" t="s">
        <v>3189</v>
      </c>
      <c r="C1425">
        <v>3382</v>
      </c>
      <c r="D1425" s="581"/>
      <c r="E1425" s="581">
        <v>4516</v>
      </c>
      <c r="F1425" s="2">
        <f>(1/S1425)*cnst_fish!$C$6</f>
        <v>0.23938164528281752</v>
      </c>
      <c r="G1425" s="2">
        <f t="shared" si="202"/>
        <v>1</v>
      </c>
      <c r="H1425" s="2">
        <f t="shared" si="202"/>
        <v>0.36449057933102513</v>
      </c>
      <c r="I1425" s="2">
        <f t="shared" si="203"/>
        <v>0</v>
      </c>
      <c r="J1425" s="389">
        <f t="shared" si="204"/>
        <v>6876.2141488090938</v>
      </c>
      <c r="L1425" s="721">
        <v>1069.0999999999999</v>
      </c>
      <c r="M1425" s="581">
        <v>6175225.2600000007</v>
      </c>
      <c r="N1425" s="585" t="s">
        <v>1738</v>
      </c>
      <c r="O1425" s="586" t="s">
        <v>4685</v>
      </c>
      <c r="P1425" s="233">
        <f t="shared" si="205"/>
        <v>4516</v>
      </c>
      <c r="Q1425" s="233">
        <f t="shared" si="206"/>
        <v>6176294.3600000003</v>
      </c>
      <c r="R1425" s="2">
        <f t="shared" si="207"/>
        <v>3.1</v>
      </c>
      <c r="S1425" s="2">
        <f>(1/9)*cnst_fish!$C$7*(1/cnst_fish!$C$8)^(R1425-1)</f>
        <v>17.754076320174157</v>
      </c>
      <c r="T1425" s="682">
        <f t="shared" si="208"/>
        <v>9404234.4254742712</v>
      </c>
      <c r="W1425" s="818"/>
      <c r="X1425" s="818"/>
      <c r="Y1425" s="819"/>
      <c r="Z1425" s="820"/>
      <c r="AA1425" s="820"/>
      <c r="AB1425" s="821"/>
      <c r="AC1425" s="821"/>
      <c r="AD1425" s="253"/>
      <c r="AE1425" s="253"/>
    </row>
    <row r="1426" spans="1:31" ht="14.5">
      <c r="A1426" t="s">
        <v>5488</v>
      </c>
      <c r="B1426" t="s">
        <v>3189</v>
      </c>
      <c r="C1426">
        <v>3383</v>
      </c>
      <c r="D1426" s="581">
        <v>857</v>
      </c>
      <c r="E1426" s="581"/>
      <c r="F1426" s="2">
        <f>(1/S1426)*cnst_fish!$C$6</f>
        <v>0.23938164528281752</v>
      </c>
      <c r="G1426" s="2">
        <f t="shared" si="202"/>
        <v>1</v>
      </c>
      <c r="H1426" s="2">
        <f t="shared" si="202"/>
        <v>0.36449057933102513</v>
      </c>
      <c r="I1426" s="2">
        <f t="shared" si="203"/>
        <v>1304.8971491429124</v>
      </c>
      <c r="J1426" s="389">
        <f t="shared" si="204"/>
        <v>0</v>
      </c>
      <c r="L1426" s="721">
        <v>1544</v>
      </c>
      <c r="M1426" s="581"/>
      <c r="N1426" s="585" t="s">
        <v>1738</v>
      </c>
      <c r="O1426" s="586" t="s">
        <v>4689</v>
      </c>
      <c r="P1426" s="233">
        <f t="shared" si="205"/>
        <v>857</v>
      </c>
      <c r="Q1426" s="233">
        <f t="shared" si="206"/>
        <v>1544</v>
      </c>
      <c r="R1426" s="2">
        <f t="shared" si="207"/>
        <v>3.1</v>
      </c>
      <c r="S1426" s="2">
        <f>(1/9)*cnst_fish!$C$7*(1/cnst_fish!$C$8)^(R1426-1)</f>
        <v>17.754076320174157</v>
      </c>
      <c r="T1426" s="682">
        <f t="shared" si="208"/>
        <v>2350.9465557487247</v>
      </c>
      <c r="W1426" s="818"/>
      <c r="X1426" s="818"/>
      <c r="Y1426" s="819"/>
      <c r="Z1426" s="820"/>
      <c r="AA1426" s="820"/>
      <c r="AB1426" s="821"/>
      <c r="AC1426" s="821"/>
      <c r="AD1426" s="253"/>
      <c r="AE1426" s="253"/>
    </row>
    <row r="1427" spans="1:31" ht="14.5">
      <c r="A1427" t="s">
        <v>5070</v>
      </c>
      <c r="B1427" t="s">
        <v>3189</v>
      </c>
      <c r="C1427">
        <v>3384</v>
      </c>
      <c r="D1427" s="581"/>
      <c r="E1427" s="581"/>
      <c r="F1427" s="2">
        <f>(1/S1427)*cnst_fish!$C$6</f>
        <v>0.23938164528281752</v>
      </c>
      <c r="G1427" s="2">
        <f t="shared" si="202"/>
        <v>1</v>
      </c>
      <c r="H1427" s="2">
        <f t="shared" si="202"/>
        <v>0.36449057933102513</v>
      </c>
      <c r="I1427" s="2">
        <f t="shared" si="203"/>
        <v>0</v>
      </c>
      <c r="J1427" s="389">
        <f t="shared" si="204"/>
        <v>0</v>
      </c>
      <c r="L1427" s="721">
        <v>4098</v>
      </c>
      <c r="M1427" s="581">
        <v>473</v>
      </c>
      <c r="N1427" s="585" t="s">
        <v>1738</v>
      </c>
      <c r="O1427" s="586" t="s">
        <v>4689</v>
      </c>
      <c r="P1427" s="233">
        <f t="shared" si="205"/>
        <v>0</v>
      </c>
      <c r="Q1427" s="233">
        <f t="shared" si="206"/>
        <v>4571</v>
      </c>
      <c r="R1427" s="2">
        <f t="shared" si="207"/>
        <v>3.1</v>
      </c>
      <c r="S1427" s="2">
        <f>(1/9)*cnst_fish!$C$7*(1/cnst_fish!$C$8)^(R1427-1)</f>
        <v>17.754076320174157</v>
      </c>
      <c r="T1427" s="682">
        <f t="shared" si="208"/>
        <v>6959.9590066887431</v>
      </c>
      <c r="W1427" s="818"/>
      <c r="X1427" s="818"/>
      <c r="Y1427" s="819"/>
      <c r="Z1427" s="820"/>
      <c r="AA1427" s="820"/>
      <c r="AB1427" s="821"/>
      <c r="AC1427" s="821"/>
      <c r="AD1427" s="253"/>
      <c r="AE1427" s="253"/>
    </row>
    <row r="1428" spans="1:31" ht="14.5">
      <c r="A1428" t="s">
        <v>5494</v>
      </c>
      <c r="B1428" t="s">
        <v>3189</v>
      </c>
      <c r="C1428">
        <v>3385</v>
      </c>
      <c r="D1428" s="581">
        <v>3449</v>
      </c>
      <c r="E1428" s="581"/>
      <c r="F1428" s="2">
        <f>(1/S1428)*cnst_fish!$C$6</f>
        <v>0.23938164528281752</v>
      </c>
      <c r="G1428" s="2">
        <f t="shared" ref="G1428:H1447" si="209">G$7</f>
        <v>1</v>
      </c>
      <c r="H1428" s="2">
        <f t="shared" si="209"/>
        <v>0.36449057933102513</v>
      </c>
      <c r="I1428" s="2">
        <f t="shared" si="203"/>
        <v>5251.5639059438809</v>
      </c>
      <c r="J1428" s="389">
        <f t="shared" si="204"/>
        <v>0</v>
      </c>
      <c r="L1428" s="721">
        <v>10367829.789999999</v>
      </c>
      <c r="M1428" s="581">
        <v>181</v>
      </c>
      <c r="N1428" s="585" t="s">
        <v>1738</v>
      </c>
      <c r="O1428" s="586" t="s">
        <v>4689</v>
      </c>
      <c r="P1428" s="233">
        <f t="shared" si="205"/>
        <v>3449</v>
      </c>
      <c r="Q1428" s="233">
        <f t="shared" si="206"/>
        <v>10368010.789999999</v>
      </c>
      <c r="R1428" s="2">
        <f t="shared" si="207"/>
        <v>3.1</v>
      </c>
      <c r="S1428" s="2">
        <f>(1/9)*cnst_fish!$C$7*(1/cnst_fish!$C$8)^(R1428-1)</f>
        <v>17.754076320174157</v>
      </c>
      <c r="T1428" s="682">
        <f t="shared" si="208"/>
        <v>15786683.456422351</v>
      </c>
      <c r="W1428" s="818"/>
      <c r="X1428" s="818"/>
      <c r="Y1428" s="819"/>
      <c r="Z1428" s="820"/>
      <c r="AA1428" s="820"/>
      <c r="AB1428" s="821"/>
      <c r="AC1428" s="821"/>
      <c r="AD1428" s="253"/>
      <c r="AE1428" s="253"/>
    </row>
    <row r="1429" spans="1:31" ht="14.5">
      <c r="A1429" t="s">
        <v>6775</v>
      </c>
      <c r="B1429" t="s">
        <v>4229</v>
      </c>
      <c r="C1429">
        <v>13988</v>
      </c>
      <c r="D1429" s="581"/>
      <c r="E1429" s="581"/>
      <c r="F1429" s="2">
        <f>(1/S1429)*cnst_fish!$C$6</f>
        <v>0.60129950673834842</v>
      </c>
      <c r="G1429" s="2">
        <f t="shared" si="209"/>
        <v>1</v>
      </c>
      <c r="H1429" s="2">
        <f t="shared" si="209"/>
        <v>0.36449057933102513</v>
      </c>
      <c r="I1429" s="2">
        <f t="shared" si="203"/>
        <v>0</v>
      </c>
      <c r="J1429" s="389">
        <f t="shared" si="204"/>
        <v>0</v>
      </c>
      <c r="L1429" s="721"/>
      <c r="M1429" s="581"/>
      <c r="N1429" s="585" t="s">
        <v>1738</v>
      </c>
      <c r="O1429" s="586" t="s">
        <v>4685</v>
      </c>
      <c r="P1429" s="233">
        <f t="shared" si="205"/>
        <v>0</v>
      </c>
      <c r="Q1429" s="233">
        <f t="shared" si="206"/>
        <v>0</v>
      </c>
      <c r="R1429" s="2">
        <f t="shared" si="207"/>
        <v>2.7</v>
      </c>
      <c r="S1429" s="2">
        <f>(1/9)*cnst_fish!$C$7*(1/cnst_fish!$C$8)^(R1429-1)</f>
        <v>7.0680250896153813</v>
      </c>
      <c r="T1429" s="682">
        <f t="shared" si="208"/>
        <v>0</v>
      </c>
      <c r="W1429" s="818"/>
      <c r="X1429" s="818"/>
      <c r="Y1429" s="819"/>
      <c r="Z1429" s="820"/>
      <c r="AA1429" s="820"/>
      <c r="AB1429" s="821"/>
      <c r="AC1429" s="821"/>
      <c r="AD1429" s="253"/>
      <c r="AE1429" s="253"/>
    </row>
    <row r="1430" spans="1:31" ht="14.5">
      <c r="A1430" t="s">
        <v>4352</v>
      </c>
      <c r="B1430" t="s">
        <v>3005</v>
      </c>
      <c r="C1430">
        <v>2167</v>
      </c>
      <c r="D1430" s="581"/>
      <c r="E1430" s="581"/>
      <c r="F1430" s="2">
        <f>(1/S1430)*cnst_fish!$C$6</f>
        <v>0.8111307159107024</v>
      </c>
      <c r="G1430" s="2">
        <f t="shared" si="209"/>
        <v>1</v>
      </c>
      <c r="H1430" s="2">
        <f t="shared" si="209"/>
        <v>0.36449057933102513</v>
      </c>
      <c r="I1430" s="2">
        <f t="shared" si="203"/>
        <v>0</v>
      </c>
      <c r="J1430" s="389">
        <f t="shared" si="204"/>
        <v>0</v>
      </c>
      <c r="L1430" s="721"/>
      <c r="M1430" s="581">
        <v>8122.54</v>
      </c>
      <c r="N1430" s="585" t="s">
        <v>5194</v>
      </c>
      <c r="O1430" s="586" t="s">
        <v>4685</v>
      </c>
      <c r="P1430" s="233">
        <f t="shared" si="205"/>
        <v>0</v>
      </c>
      <c r="Q1430" s="233">
        <f t="shared" si="206"/>
        <v>8122.54</v>
      </c>
      <c r="R1430" s="2">
        <f t="shared" si="207"/>
        <v>2.57</v>
      </c>
      <c r="S1430" s="2">
        <f>(1/9)*cnst_fish!$C$7*(1/cnst_fish!$C$8)^(R1430-1)</f>
        <v>5.2395993847037152</v>
      </c>
      <c r="T1430" s="682">
        <f t="shared" si="208"/>
        <v>3649.9533948919729</v>
      </c>
      <c r="W1430" s="818"/>
      <c r="X1430" s="818"/>
      <c r="Y1430" s="819"/>
      <c r="Z1430" s="820"/>
      <c r="AA1430" s="820"/>
      <c r="AB1430" s="821"/>
      <c r="AC1430" s="821"/>
      <c r="AD1430" s="253"/>
      <c r="AE1430" s="253"/>
    </row>
    <row r="1431" spans="1:31" ht="14.5">
      <c r="A1431" t="s">
        <v>6213</v>
      </c>
      <c r="B1431" t="s">
        <v>6212</v>
      </c>
      <c r="C1431">
        <v>13994</v>
      </c>
      <c r="D1431" s="581"/>
      <c r="E1431" s="581"/>
      <c r="F1431" s="2">
        <f>(1/S1431)*cnst_fish!$C$6</f>
        <v>0.11997502458044032</v>
      </c>
      <c r="G1431" s="2">
        <f t="shared" si="209"/>
        <v>1</v>
      </c>
      <c r="H1431" s="2">
        <f t="shared" si="209"/>
        <v>0.36449057933102513</v>
      </c>
      <c r="I1431" s="2">
        <f t="shared" si="203"/>
        <v>0</v>
      </c>
      <c r="J1431" s="389">
        <f t="shared" si="204"/>
        <v>0</v>
      </c>
      <c r="L1431" s="721"/>
      <c r="M1431" s="581">
        <v>2056</v>
      </c>
      <c r="N1431" s="585" t="s">
        <v>1738</v>
      </c>
      <c r="O1431" s="586" t="s">
        <v>4685</v>
      </c>
      <c r="P1431" s="233">
        <f t="shared" si="205"/>
        <v>0</v>
      </c>
      <c r="Q1431" s="233">
        <f t="shared" si="206"/>
        <v>2056</v>
      </c>
      <c r="R1431" s="2">
        <f t="shared" si="207"/>
        <v>3.4</v>
      </c>
      <c r="S1431" s="2">
        <f>(1/9)*cnst_fish!$C$7*(1/cnst_fish!$C$8)^(R1431-1)</f>
        <v>35.424039418724846</v>
      </c>
      <c r="T1431" s="682">
        <f t="shared" si="208"/>
        <v>6246.2386127884338</v>
      </c>
      <c r="W1431" s="818"/>
      <c r="X1431" s="818"/>
      <c r="Y1431" s="819"/>
      <c r="Z1431" s="820"/>
      <c r="AA1431" s="820"/>
      <c r="AB1431" s="821"/>
      <c r="AC1431" s="821"/>
      <c r="AD1431" s="253"/>
      <c r="AE1431" s="253"/>
    </row>
    <row r="1432" spans="1:31" ht="14.5">
      <c r="A1432" t="s">
        <v>829</v>
      </c>
      <c r="B1432" t="s">
        <v>4022</v>
      </c>
      <c r="C1432">
        <v>18573</v>
      </c>
      <c r="D1432" s="581"/>
      <c r="E1432" s="581"/>
      <c r="F1432" s="2">
        <f>(1/S1432)*cnst_fish!$C$6</f>
        <v>0.23938164528281752</v>
      </c>
      <c r="G1432" s="2">
        <f t="shared" si="209"/>
        <v>1</v>
      </c>
      <c r="H1432" s="2">
        <f t="shared" si="209"/>
        <v>0.36449057933102513</v>
      </c>
      <c r="I1432" s="2">
        <f t="shared" si="203"/>
        <v>0</v>
      </c>
      <c r="J1432" s="389">
        <f t="shared" si="204"/>
        <v>0</v>
      </c>
      <c r="L1432" s="721">
        <v>65</v>
      </c>
      <c r="M1432" s="581"/>
      <c r="N1432" s="585" t="s">
        <v>1738</v>
      </c>
      <c r="O1432" s="586" t="s">
        <v>4681</v>
      </c>
      <c r="P1432" s="233">
        <f t="shared" si="205"/>
        <v>0</v>
      </c>
      <c r="Q1432" s="233">
        <f t="shared" si="206"/>
        <v>65</v>
      </c>
      <c r="R1432" s="2">
        <f t="shared" si="207"/>
        <v>3.1</v>
      </c>
      <c r="S1432" s="2">
        <f>(1/9)*cnst_fish!$C$7*(1/cnst_fish!$C$8)^(R1432-1)</f>
        <v>17.754076320174157</v>
      </c>
      <c r="T1432" s="682">
        <f t="shared" si="208"/>
        <v>98.971195675950199</v>
      </c>
      <c r="W1432" s="818"/>
      <c r="X1432" s="818"/>
      <c r="Y1432" s="819"/>
      <c r="Z1432" s="820"/>
      <c r="AA1432" s="820"/>
      <c r="AB1432" s="821"/>
      <c r="AC1432" s="821"/>
      <c r="AD1432" s="253"/>
      <c r="AE1432" s="253"/>
    </row>
    <row r="1433" spans="1:31" ht="14.5">
      <c r="A1433" t="s">
        <v>2894</v>
      </c>
      <c r="B1433" t="s">
        <v>3205</v>
      </c>
      <c r="C1433">
        <v>3509</v>
      </c>
      <c r="D1433" s="581"/>
      <c r="E1433" s="581"/>
      <c r="F1433" s="2">
        <f>(1/S1433)*cnst_fish!$C$6</f>
        <v>2.3938164528281742</v>
      </c>
      <c r="G1433" s="2">
        <f t="shared" si="209"/>
        <v>1</v>
      </c>
      <c r="H1433" s="2">
        <f t="shared" si="209"/>
        <v>0.36449057933102513</v>
      </c>
      <c r="I1433" s="2">
        <f t="shared" si="203"/>
        <v>0</v>
      </c>
      <c r="J1433" s="389">
        <f t="shared" si="204"/>
        <v>0</v>
      </c>
      <c r="L1433" s="721">
        <v>113</v>
      </c>
      <c r="M1433" s="581"/>
      <c r="N1433" s="585" t="s">
        <v>2316</v>
      </c>
      <c r="O1433" s="586" t="s">
        <v>4691</v>
      </c>
      <c r="P1433" s="233">
        <f t="shared" si="205"/>
        <v>0</v>
      </c>
      <c r="Q1433" s="233">
        <f t="shared" si="206"/>
        <v>113</v>
      </c>
      <c r="R1433" s="2">
        <f t="shared" si="207"/>
        <v>2.1</v>
      </c>
      <c r="S1433" s="2">
        <f>(1/9)*cnst_fish!$C$7*(1/cnst_fish!$C$8)^(R1433-1)</f>
        <v>1.7754076320174161</v>
      </c>
      <c r="T1433" s="682">
        <f t="shared" si="208"/>
        <v>17.20576170981904</v>
      </c>
      <c r="W1433" s="818"/>
      <c r="X1433" s="818"/>
      <c r="Y1433" s="819"/>
      <c r="Z1433" s="820"/>
      <c r="AA1433" s="820"/>
      <c r="AB1433" s="821"/>
      <c r="AC1433" s="821"/>
      <c r="AD1433" s="253"/>
      <c r="AE1433" s="253"/>
    </row>
    <row r="1434" spans="1:31" ht="14.5">
      <c r="A1434" t="s">
        <v>446</v>
      </c>
      <c r="B1434" t="s">
        <v>3206</v>
      </c>
      <c r="C1434">
        <v>2666</v>
      </c>
      <c r="D1434" s="581"/>
      <c r="E1434" s="581"/>
      <c r="F1434" s="2">
        <f>(1/S1434)*cnst_fish!$C$6</f>
        <v>2.3938164528281742</v>
      </c>
      <c r="G1434" s="2">
        <f t="shared" si="209"/>
        <v>1</v>
      </c>
      <c r="H1434" s="2">
        <f t="shared" si="209"/>
        <v>0.36449057933102513</v>
      </c>
      <c r="I1434" s="2">
        <f t="shared" si="203"/>
        <v>0</v>
      </c>
      <c r="J1434" s="389">
        <f t="shared" si="204"/>
        <v>0</v>
      </c>
      <c r="L1434" s="721"/>
      <c r="M1434" s="581"/>
      <c r="N1434" s="585" t="s">
        <v>2316</v>
      </c>
      <c r="O1434" s="586" t="s">
        <v>4680</v>
      </c>
      <c r="P1434" s="233">
        <f t="shared" si="205"/>
        <v>0</v>
      </c>
      <c r="Q1434" s="233">
        <f t="shared" si="206"/>
        <v>0</v>
      </c>
      <c r="R1434" s="2">
        <f t="shared" si="207"/>
        <v>2.1</v>
      </c>
      <c r="S1434" s="2">
        <f>(1/9)*cnst_fish!$C$7*(1/cnst_fish!$C$8)^(R1434-1)</f>
        <v>1.7754076320174161</v>
      </c>
      <c r="T1434" s="682">
        <f t="shared" si="208"/>
        <v>0</v>
      </c>
      <c r="W1434" s="818"/>
      <c r="X1434" s="818"/>
      <c r="Y1434" s="819"/>
      <c r="Z1434" s="820"/>
      <c r="AA1434" s="820"/>
      <c r="AB1434" s="821"/>
      <c r="AC1434" s="821"/>
      <c r="AD1434" s="253"/>
      <c r="AE1434" s="253"/>
    </row>
    <row r="1435" spans="1:31" ht="14.5">
      <c r="A1435" t="s">
        <v>2700</v>
      </c>
      <c r="B1435" t="s">
        <v>3206</v>
      </c>
      <c r="C1435">
        <v>3510</v>
      </c>
      <c r="D1435" s="581"/>
      <c r="E1435" s="581"/>
      <c r="F1435" s="2">
        <f>(1/S1435)*cnst_fish!$C$6</f>
        <v>2.3938164528281742</v>
      </c>
      <c r="G1435" s="2">
        <f t="shared" si="209"/>
        <v>1</v>
      </c>
      <c r="H1435" s="2">
        <f t="shared" si="209"/>
        <v>0.36449057933102513</v>
      </c>
      <c r="I1435" s="2">
        <f t="shared" si="203"/>
        <v>0</v>
      </c>
      <c r="J1435" s="389">
        <f t="shared" si="204"/>
        <v>0</v>
      </c>
      <c r="L1435" s="721">
        <v>684</v>
      </c>
      <c r="M1435" s="581"/>
      <c r="N1435" s="585" t="s">
        <v>2316</v>
      </c>
      <c r="O1435" s="586" t="s">
        <v>4691</v>
      </c>
      <c r="P1435" s="233">
        <f t="shared" si="205"/>
        <v>0</v>
      </c>
      <c r="Q1435" s="233">
        <f t="shared" si="206"/>
        <v>684</v>
      </c>
      <c r="R1435" s="2">
        <f t="shared" si="207"/>
        <v>2.1</v>
      </c>
      <c r="S1435" s="2">
        <f>(1/9)*cnst_fish!$C$7*(1/cnst_fish!$C$8)^(R1435-1)</f>
        <v>1.7754076320174161</v>
      </c>
      <c r="T1435" s="682">
        <f t="shared" si="208"/>
        <v>104.14815052669226</v>
      </c>
      <c r="W1435" s="818"/>
      <c r="X1435" s="818"/>
      <c r="Y1435" s="819"/>
      <c r="Z1435" s="820"/>
      <c r="AA1435" s="820"/>
      <c r="AB1435" s="821"/>
      <c r="AC1435" s="821"/>
      <c r="AD1435" s="253"/>
      <c r="AE1435" s="253"/>
    </row>
    <row r="1436" spans="1:31" ht="14.5">
      <c r="A1436" t="s">
        <v>3291</v>
      </c>
      <c r="B1436" t="s">
        <v>850</v>
      </c>
      <c r="C1436">
        <v>3511</v>
      </c>
      <c r="D1436" s="581"/>
      <c r="E1436" s="581"/>
      <c r="F1436" s="2">
        <f>(1/S1436)*cnst_fish!$C$6</f>
        <v>2.3938164528281742</v>
      </c>
      <c r="G1436" s="2">
        <f t="shared" si="209"/>
        <v>1</v>
      </c>
      <c r="H1436" s="2">
        <f t="shared" si="209"/>
        <v>0.36449057933102513</v>
      </c>
      <c r="I1436" s="2">
        <f t="shared" si="203"/>
        <v>0</v>
      </c>
      <c r="J1436" s="389">
        <f t="shared" si="204"/>
        <v>0</v>
      </c>
      <c r="L1436" s="721">
        <v>1011</v>
      </c>
      <c r="M1436" s="581"/>
      <c r="N1436" s="585" t="s">
        <v>2316</v>
      </c>
      <c r="O1436" s="586" t="s">
        <v>4691</v>
      </c>
      <c r="P1436" s="233">
        <f t="shared" si="205"/>
        <v>0</v>
      </c>
      <c r="Q1436" s="233">
        <f t="shared" si="206"/>
        <v>1011</v>
      </c>
      <c r="R1436" s="2">
        <f t="shared" si="207"/>
        <v>2.1</v>
      </c>
      <c r="S1436" s="2">
        <f>(1/9)*cnst_fish!$C$7*(1/cnst_fish!$C$8)^(R1436-1)</f>
        <v>1.7754076320174161</v>
      </c>
      <c r="T1436" s="682">
        <f t="shared" si="208"/>
        <v>153.93827512059337</v>
      </c>
      <c r="W1436" s="818"/>
      <c r="X1436" s="818"/>
      <c r="Y1436" s="819"/>
      <c r="Z1436" s="820"/>
      <c r="AA1436" s="820"/>
      <c r="AB1436" s="821"/>
      <c r="AC1436" s="821"/>
      <c r="AD1436" s="253"/>
      <c r="AE1436" s="253"/>
    </row>
    <row r="1437" spans="1:31" ht="14.5">
      <c r="A1437" t="s">
        <v>445</v>
      </c>
      <c r="B1437" t="s">
        <v>8698</v>
      </c>
      <c r="C1437">
        <v>3508</v>
      </c>
      <c r="D1437" s="581"/>
      <c r="E1437" s="581"/>
      <c r="F1437" s="2">
        <f>(1/S1437)*cnst_fish!$C$6</f>
        <v>2.3938164528281742</v>
      </c>
      <c r="G1437" s="2">
        <f t="shared" si="209"/>
        <v>1</v>
      </c>
      <c r="H1437" s="2">
        <f t="shared" si="209"/>
        <v>0.36449057933102513</v>
      </c>
      <c r="I1437" s="2">
        <f t="shared" si="203"/>
        <v>0</v>
      </c>
      <c r="J1437" s="389">
        <f t="shared" si="204"/>
        <v>0</v>
      </c>
      <c r="L1437" s="721"/>
      <c r="M1437" s="581"/>
      <c r="N1437" s="585" t="s">
        <v>2316</v>
      </c>
      <c r="O1437" s="586" t="s">
        <v>4691</v>
      </c>
      <c r="P1437" s="233">
        <f t="shared" si="205"/>
        <v>0</v>
      </c>
      <c r="Q1437" s="233">
        <f t="shared" si="206"/>
        <v>0</v>
      </c>
      <c r="R1437" s="2">
        <f t="shared" si="207"/>
        <v>2.1</v>
      </c>
      <c r="S1437" s="2">
        <f>(1/9)*cnst_fish!$C$7*(1/cnst_fish!$C$8)^(R1437-1)</f>
        <v>1.7754076320174161</v>
      </c>
      <c r="T1437" s="682">
        <f t="shared" si="208"/>
        <v>0</v>
      </c>
      <c r="W1437" s="818"/>
      <c r="X1437" s="818"/>
      <c r="Y1437" s="819"/>
      <c r="Z1437" s="820"/>
      <c r="AA1437" s="820"/>
      <c r="AB1437" s="821"/>
      <c r="AC1437" s="821"/>
      <c r="AD1437" s="253"/>
      <c r="AE1437" s="253"/>
    </row>
    <row r="1438" spans="1:31" ht="14.5">
      <c r="A1438" t="s">
        <v>6538</v>
      </c>
      <c r="B1438" t="s">
        <v>6537</v>
      </c>
      <c r="C1438">
        <v>2668</v>
      </c>
      <c r="D1438" s="581"/>
      <c r="E1438" s="581"/>
      <c r="F1438" s="2">
        <f>(1/S1438)*cnst_fish!$C$6</f>
        <v>3.0136363636363641</v>
      </c>
      <c r="G1438" s="2">
        <f t="shared" si="209"/>
        <v>1</v>
      </c>
      <c r="H1438" s="2">
        <f t="shared" si="209"/>
        <v>0.36449057933102513</v>
      </c>
      <c r="I1438" s="2">
        <f t="shared" si="203"/>
        <v>0</v>
      </c>
      <c r="J1438" s="389">
        <f t="shared" si="204"/>
        <v>0</v>
      </c>
      <c r="L1438" s="721"/>
      <c r="M1438" s="581"/>
      <c r="N1438" s="585" t="s">
        <v>2316</v>
      </c>
      <c r="O1438" s="586" t="s">
        <v>4691</v>
      </c>
      <c r="P1438" s="233">
        <f t="shared" si="205"/>
        <v>0</v>
      </c>
      <c r="Q1438" s="233">
        <f t="shared" si="206"/>
        <v>0</v>
      </c>
      <c r="R1438" s="2">
        <f t="shared" si="207"/>
        <v>2</v>
      </c>
      <c r="S1438" s="2">
        <f>(1/9)*cnst_fish!$C$7*(1/cnst_fish!$C$8)^(R1438-1)</f>
        <v>1.4102564102564099</v>
      </c>
      <c r="T1438" s="682">
        <f t="shared" si="208"/>
        <v>0</v>
      </c>
      <c r="W1438" s="818"/>
      <c r="X1438" s="818"/>
      <c r="Y1438" s="819"/>
      <c r="Z1438" s="820"/>
      <c r="AA1438" s="820"/>
      <c r="AB1438" s="821"/>
      <c r="AC1438" s="821"/>
      <c r="AD1438" s="253"/>
      <c r="AE1438" s="253"/>
    </row>
    <row r="1439" spans="1:31" ht="14.5">
      <c r="A1439" t="s">
        <v>5083</v>
      </c>
      <c r="B1439" t="s">
        <v>1237</v>
      </c>
      <c r="C1439">
        <v>3160</v>
      </c>
      <c r="D1439" s="581"/>
      <c r="E1439" s="581"/>
      <c r="F1439" s="2">
        <f>(1/S1439)*cnst_fish!$C$6</f>
        <v>7.5699122913220479E-2</v>
      </c>
      <c r="G1439" s="2">
        <f t="shared" si="209"/>
        <v>1</v>
      </c>
      <c r="H1439" s="2">
        <f t="shared" si="209"/>
        <v>0.36449057933102513</v>
      </c>
      <c r="I1439" s="2">
        <f t="shared" si="203"/>
        <v>0</v>
      </c>
      <c r="J1439" s="389">
        <f t="shared" si="204"/>
        <v>0</v>
      </c>
      <c r="L1439" s="721">
        <v>8979</v>
      </c>
      <c r="M1439" s="581"/>
      <c r="N1439" s="585" t="s">
        <v>1738</v>
      </c>
      <c r="O1439" s="586" t="s">
        <v>4681</v>
      </c>
      <c r="P1439" s="233">
        <f t="shared" si="205"/>
        <v>0</v>
      </c>
      <c r="Q1439" s="233">
        <f t="shared" si="206"/>
        <v>8979</v>
      </c>
      <c r="R1439" s="2">
        <f t="shared" si="207"/>
        <v>3.6</v>
      </c>
      <c r="S1439" s="2">
        <f>(1/9)*cnst_fish!$C$7*(1/cnst_fish!$C$8)^(R1439-1)</f>
        <v>56.143318924211187</v>
      </c>
      <c r="T1439" s="682">
        <f t="shared" si="208"/>
        <v>43233.802266970561</v>
      </c>
      <c r="W1439" s="818"/>
      <c r="X1439" s="818"/>
      <c r="Y1439" s="819"/>
      <c r="Z1439" s="820"/>
      <c r="AA1439" s="820"/>
      <c r="AB1439" s="821"/>
      <c r="AC1439" s="821"/>
      <c r="AD1439" s="253"/>
      <c r="AE1439" s="253"/>
    </row>
    <row r="1440" spans="1:31" ht="14.5">
      <c r="A1440" t="s">
        <v>9036</v>
      </c>
      <c r="B1440" t="s">
        <v>9037</v>
      </c>
      <c r="C1440">
        <v>14009</v>
      </c>
      <c r="D1440" s="581"/>
      <c r="E1440" s="581"/>
      <c r="F1440" s="869">
        <f>(1/S1440)*cnst_fish!$C$6</f>
        <v>0.19014759972289441</v>
      </c>
      <c r="G1440" s="869">
        <f t="shared" si="209"/>
        <v>1</v>
      </c>
      <c r="H1440" s="869">
        <f t="shared" si="209"/>
        <v>0.36449057933102513</v>
      </c>
      <c r="I1440" s="869">
        <f t="shared" si="203"/>
        <v>0</v>
      </c>
      <c r="J1440" s="389">
        <f t="shared" si="204"/>
        <v>0</v>
      </c>
      <c r="L1440" s="721"/>
      <c r="M1440" s="581">
        <v>2.27</v>
      </c>
      <c r="N1440" s="877" t="s">
        <v>1738</v>
      </c>
      <c r="O1440" s="881" t="s">
        <v>4681</v>
      </c>
      <c r="P1440" s="871">
        <f t="shared" si="205"/>
        <v>0</v>
      </c>
      <c r="Q1440" s="871">
        <f t="shared" si="206"/>
        <v>2.27</v>
      </c>
      <c r="R1440" s="869">
        <f t="shared" si="207"/>
        <v>3.2</v>
      </c>
      <c r="S1440" s="869">
        <f>(1/9)*cnst_fish!$C$7*(1/cnst_fish!$C$8)^(R1440-1)</f>
        <v>22.351057842400341</v>
      </c>
      <c r="T1440" s="682">
        <f t="shared" si="208"/>
        <v>4.3513229527335762</v>
      </c>
      <c r="W1440" s="818"/>
      <c r="X1440" s="818"/>
      <c r="Y1440" s="819"/>
      <c r="Z1440" s="820"/>
      <c r="AA1440" s="820"/>
      <c r="AB1440" s="821"/>
      <c r="AC1440" s="821"/>
      <c r="AD1440" s="253"/>
      <c r="AE1440" s="253"/>
    </row>
    <row r="1441" spans="1:31" ht="14.5">
      <c r="A1441" t="s">
        <v>4216</v>
      </c>
      <c r="B1441" t="s">
        <v>8699</v>
      </c>
      <c r="C1441">
        <v>2515</v>
      </c>
      <c r="D1441" s="581"/>
      <c r="E1441" s="581"/>
      <c r="F1441" s="2">
        <f>(1/S1441)*cnst_fish!$C$6</f>
        <v>3.7939434000887833E-2</v>
      </c>
      <c r="G1441" s="2">
        <f t="shared" si="209"/>
        <v>1</v>
      </c>
      <c r="H1441" s="2">
        <f t="shared" si="209"/>
        <v>0.36449057933102513</v>
      </c>
      <c r="I1441" s="2">
        <f t="shared" si="203"/>
        <v>0</v>
      </c>
      <c r="J1441" s="389">
        <f t="shared" si="204"/>
        <v>0</v>
      </c>
      <c r="L1441" s="721"/>
      <c r="M1441" s="581"/>
      <c r="N1441" s="585" t="s">
        <v>1738</v>
      </c>
      <c r="O1441" s="586" t="s">
        <v>4681</v>
      </c>
      <c r="P1441" s="233">
        <f t="shared" si="205"/>
        <v>0</v>
      </c>
      <c r="Q1441" s="233">
        <f t="shared" si="206"/>
        <v>0</v>
      </c>
      <c r="R1441" s="2">
        <f t="shared" si="207"/>
        <v>3.9</v>
      </c>
      <c r="S1441" s="2">
        <f>(1/9)*cnst_fish!$C$7*(1/cnst_fish!$C$8)^(R1441-1)</f>
        <v>112.02064848675771</v>
      </c>
      <c r="T1441" s="682">
        <f t="shared" si="208"/>
        <v>0</v>
      </c>
      <c r="W1441" s="818"/>
      <c r="X1441" s="818"/>
      <c r="Y1441" s="819"/>
      <c r="Z1441" s="820"/>
      <c r="AA1441" s="820"/>
      <c r="AB1441" s="821"/>
      <c r="AC1441" s="821"/>
      <c r="AD1441" s="253"/>
      <c r="AE1441" s="253"/>
    </row>
    <row r="1442" spans="1:31" ht="14.5">
      <c r="A1442" t="s">
        <v>3345</v>
      </c>
      <c r="B1442" t="s">
        <v>2137</v>
      </c>
      <c r="C1442">
        <v>2843</v>
      </c>
      <c r="D1442" s="581"/>
      <c r="E1442" s="581"/>
      <c r="F1442" s="2">
        <f>(1/S1442)*cnst_fish!$C$6</f>
        <v>0.26187307482582634</v>
      </c>
      <c r="G1442" s="2">
        <f t="shared" si="209"/>
        <v>1</v>
      </c>
      <c r="H1442" s="2">
        <f t="shared" si="209"/>
        <v>0.36449057933102513</v>
      </c>
      <c r="I1442" s="2">
        <f t="shared" si="203"/>
        <v>0</v>
      </c>
      <c r="J1442" s="389">
        <f t="shared" si="204"/>
        <v>0</v>
      </c>
      <c r="L1442" s="721">
        <v>4</v>
      </c>
      <c r="M1442" s="581"/>
      <c r="N1442" s="585" t="s">
        <v>3785</v>
      </c>
      <c r="O1442" s="586" t="s">
        <v>4681</v>
      </c>
      <c r="P1442" s="233">
        <f t="shared" si="205"/>
        <v>0</v>
      </c>
      <c r="Q1442" s="233">
        <f t="shared" si="206"/>
        <v>4</v>
      </c>
      <c r="R1442" s="2">
        <f t="shared" si="207"/>
        <v>3.0609999999999999</v>
      </c>
      <c r="S1442" s="2">
        <f>(1/9)*cnst_fish!$C$7*(1/cnst_fish!$C$8)^(R1442-1)</f>
        <v>16.229236254344613</v>
      </c>
      <c r="T1442" s="682">
        <f t="shared" si="208"/>
        <v>5.5674387994787233</v>
      </c>
      <c r="W1442" s="818"/>
      <c r="X1442" s="818"/>
      <c r="Y1442" s="819"/>
      <c r="Z1442" s="820"/>
      <c r="AA1442" s="820"/>
      <c r="AB1442" s="821"/>
      <c r="AC1442" s="821"/>
      <c r="AD1442" s="253"/>
      <c r="AE1442" s="253"/>
    </row>
    <row r="1443" spans="1:31" ht="14.5">
      <c r="A1443" t="s">
        <v>4513</v>
      </c>
      <c r="B1443" t="s">
        <v>4906</v>
      </c>
      <c r="C1443">
        <v>2047</v>
      </c>
      <c r="D1443" s="581"/>
      <c r="E1443" s="581"/>
      <c r="F1443" s="2">
        <f>(1/S1443)*cnst_fish!$C$6</f>
        <v>3.2291695426024204E-2</v>
      </c>
      <c r="G1443" s="2">
        <f t="shared" si="209"/>
        <v>1</v>
      </c>
      <c r="H1443" s="2">
        <f t="shared" si="209"/>
        <v>0.36449057933102513</v>
      </c>
      <c r="I1443" s="2">
        <f t="shared" si="203"/>
        <v>0</v>
      </c>
      <c r="J1443" s="389">
        <f t="shared" si="204"/>
        <v>0</v>
      </c>
      <c r="L1443" s="721">
        <v>0</v>
      </c>
      <c r="M1443" s="581"/>
      <c r="N1443" s="585" t="s">
        <v>3785</v>
      </c>
      <c r="O1443" s="586" t="s">
        <v>4681</v>
      </c>
      <c r="P1443" s="233">
        <f t="shared" si="205"/>
        <v>0</v>
      </c>
      <c r="Q1443" s="233">
        <f t="shared" si="206"/>
        <v>0</v>
      </c>
      <c r="R1443" s="2">
        <f t="shared" si="207"/>
        <v>3.97</v>
      </c>
      <c r="S1443" s="2">
        <f>(1/9)*cnst_fish!$C$7*(1/cnst_fish!$C$8)^(R1443-1)</f>
        <v>131.61278600983218</v>
      </c>
      <c r="T1443" s="682">
        <f t="shared" si="208"/>
        <v>0</v>
      </c>
      <c r="W1443" s="818"/>
      <c r="X1443" s="818"/>
      <c r="Y1443" s="819"/>
      <c r="Z1443" s="820"/>
      <c r="AA1443" s="820"/>
      <c r="AB1443" s="821"/>
      <c r="AC1443" s="821"/>
      <c r="AD1443" s="253"/>
      <c r="AE1443" s="253"/>
    </row>
    <row r="1444" spans="1:31" ht="14.5">
      <c r="A1444" t="s">
        <v>6794</v>
      </c>
      <c r="B1444" t="s">
        <v>8700</v>
      </c>
      <c r="C1444">
        <v>19261</v>
      </c>
      <c r="D1444" s="581"/>
      <c r="E1444" s="581"/>
      <c r="F1444" s="2">
        <f>(1/S1444)*cnst_fish!$C$6</f>
        <v>3.0136363636363641</v>
      </c>
      <c r="G1444" s="2">
        <f t="shared" si="209"/>
        <v>1</v>
      </c>
      <c r="H1444" s="2">
        <f t="shared" si="209"/>
        <v>0.36449057933102513</v>
      </c>
      <c r="I1444" s="2">
        <f t="shared" si="203"/>
        <v>0</v>
      </c>
      <c r="J1444" s="389">
        <f t="shared" si="204"/>
        <v>0</v>
      </c>
      <c r="L1444" s="721"/>
      <c r="M1444" s="581"/>
      <c r="N1444" s="585" t="s">
        <v>1738</v>
      </c>
      <c r="O1444" s="586" t="s">
        <v>4685</v>
      </c>
      <c r="P1444" s="233">
        <f t="shared" si="205"/>
        <v>0</v>
      </c>
      <c r="Q1444" s="233">
        <f t="shared" si="206"/>
        <v>0</v>
      </c>
      <c r="R1444" s="2">
        <f t="shared" si="207"/>
        <v>2</v>
      </c>
      <c r="S1444" s="2">
        <f>(1/9)*cnst_fish!$C$7*(1/cnst_fish!$C$8)^(R1444-1)</f>
        <v>1.4102564102564099</v>
      </c>
      <c r="T1444" s="682">
        <f t="shared" si="208"/>
        <v>0</v>
      </c>
      <c r="W1444" s="818"/>
      <c r="X1444" s="818"/>
      <c r="Y1444" s="819"/>
      <c r="Z1444" s="820"/>
      <c r="AA1444" s="820"/>
      <c r="AB1444" s="821"/>
      <c r="AC1444" s="821"/>
      <c r="AD1444" s="253"/>
      <c r="AE1444" s="253"/>
    </row>
    <row r="1445" spans="1:31" ht="14.5">
      <c r="A1445" t="s">
        <v>4165</v>
      </c>
      <c r="B1445" t="s">
        <v>5143</v>
      </c>
      <c r="C1445">
        <v>2622</v>
      </c>
      <c r="D1445" s="581"/>
      <c r="E1445" s="581"/>
      <c r="F1445" s="2">
        <f>(1/S1445)*cnst_fish!$C$6</f>
        <v>1.9014759972289452</v>
      </c>
      <c r="G1445" s="2">
        <f t="shared" si="209"/>
        <v>1</v>
      </c>
      <c r="H1445" s="2">
        <f t="shared" si="209"/>
        <v>0.36449057933102513</v>
      </c>
      <c r="I1445" s="2">
        <f t="shared" si="203"/>
        <v>0</v>
      </c>
      <c r="J1445" s="389">
        <f t="shared" si="204"/>
        <v>0</v>
      </c>
      <c r="L1445" s="721"/>
      <c r="M1445" s="581">
        <v>117</v>
      </c>
      <c r="N1445" s="585" t="s">
        <v>1737</v>
      </c>
      <c r="O1445" s="586" t="s">
        <v>4680</v>
      </c>
      <c r="P1445" s="233">
        <f t="shared" si="205"/>
        <v>0</v>
      </c>
      <c r="Q1445" s="233">
        <f t="shared" si="206"/>
        <v>117</v>
      </c>
      <c r="R1445" s="2">
        <f t="shared" si="207"/>
        <v>2.2000000000000002</v>
      </c>
      <c r="S1445" s="2">
        <f>(1/9)*cnst_fish!$C$7*(1/cnst_fish!$C$8)^(R1445-1)</f>
        <v>2.2351057842400328</v>
      </c>
      <c r="T1445" s="682">
        <f t="shared" si="208"/>
        <v>22.427523588979213</v>
      </c>
      <c r="W1445" s="818"/>
      <c r="X1445" s="818"/>
      <c r="Y1445" s="819"/>
      <c r="Z1445" s="820"/>
      <c r="AA1445" s="820"/>
      <c r="AB1445" s="821"/>
      <c r="AC1445" s="821"/>
      <c r="AD1445" s="253"/>
      <c r="AE1445" s="253"/>
    </row>
    <row r="1446" spans="1:31" ht="14.5">
      <c r="A1446" t="s">
        <v>4087</v>
      </c>
      <c r="B1446" t="s">
        <v>1238</v>
      </c>
      <c r="C1446">
        <v>3174</v>
      </c>
      <c r="D1446" s="581"/>
      <c r="E1446" s="581"/>
      <c r="F1446" s="2">
        <f>(1/S1446)*cnst_fish!$C$6</f>
        <v>9.9790878883162681E-2</v>
      </c>
      <c r="G1446" s="2">
        <f t="shared" si="209"/>
        <v>1</v>
      </c>
      <c r="H1446" s="2">
        <f t="shared" si="209"/>
        <v>0.36449057933102513</v>
      </c>
      <c r="I1446" s="2">
        <f t="shared" si="203"/>
        <v>0</v>
      </c>
      <c r="J1446" s="389">
        <f t="shared" si="204"/>
        <v>0</v>
      </c>
      <c r="L1446" s="721">
        <v>3656</v>
      </c>
      <c r="M1446" s="581"/>
      <c r="N1446" s="585" t="s">
        <v>1738</v>
      </c>
      <c r="O1446" s="586" t="s">
        <v>4681</v>
      </c>
      <c r="P1446" s="233">
        <f t="shared" si="205"/>
        <v>0</v>
      </c>
      <c r="Q1446" s="233">
        <f t="shared" si="206"/>
        <v>3656</v>
      </c>
      <c r="R1446" s="2">
        <f t="shared" si="207"/>
        <v>3.48</v>
      </c>
      <c r="S1446" s="2">
        <f>(1/9)*cnst_fish!$C$7*(1/cnst_fish!$C$8)^(R1446-1)</f>
        <v>42.589062723618177</v>
      </c>
      <c r="T1446" s="682">
        <f t="shared" si="208"/>
        <v>13353.700988989571</v>
      </c>
      <c r="W1446" s="818"/>
      <c r="X1446" s="818"/>
      <c r="Y1446" s="819"/>
      <c r="Z1446" s="820"/>
      <c r="AA1446" s="820"/>
      <c r="AB1446" s="821"/>
      <c r="AC1446" s="821"/>
      <c r="AD1446" s="253"/>
      <c r="AE1446" s="253"/>
    </row>
    <row r="1447" spans="1:31" ht="14.5">
      <c r="A1447" t="s">
        <v>2120</v>
      </c>
      <c r="B1447" t="s">
        <v>797</v>
      </c>
      <c r="C1447">
        <v>2369</v>
      </c>
      <c r="D1447" s="581"/>
      <c r="E1447" s="581"/>
      <c r="F1447" s="2">
        <f>(1/S1447)*cnst_fish!$C$6</f>
        <v>7.5699122913220479E-2</v>
      </c>
      <c r="G1447" s="2">
        <f t="shared" si="209"/>
        <v>1</v>
      </c>
      <c r="H1447" s="2">
        <f t="shared" si="209"/>
        <v>0.36449057933102513</v>
      </c>
      <c r="I1447" s="2">
        <f t="shared" si="203"/>
        <v>0</v>
      </c>
      <c r="J1447" s="389">
        <f t="shared" si="204"/>
        <v>0</v>
      </c>
      <c r="L1447" s="721">
        <v>10350</v>
      </c>
      <c r="M1447" s="581"/>
      <c r="N1447" s="585" t="s">
        <v>1738</v>
      </c>
      <c r="O1447" s="586" t="s">
        <v>4681</v>
      </c>
      <c r="P1447" s="233">
        <f t="shared" si="205"/>
        <v>0</v>
      </c>
      <c r="Q1447" s="233">
        <f t="shared" si="206"/>
        <v>10350</v>
      </c>
      <c r="R1447" s="2">
        <f t="shared" si="207"/>
        <v>3.6</v>
      </c>
      <c r="S1447" s="2">
        <f>(1/9)*cnst_fish!$C$7*(1/cnst_fish!$C$8)^(R1447-1)</f>
        <v>56.143318924211187</v>
      </c>
      <c r="T1447" s="682">
        <f t="shared" si="208"/>
        <v>49835.154634496634</v>
      </c>
      <c r="W1447" s="818"/>
      <c r="X1447" s="818"/>
      <c r="Y1447" s="819"/>
      <c r="Z1447" s="820"/>
      <c r="AA1447" s="820"/>
      <c r="AB1447" s="821"/>
      <c r="AC1447" s="821"/>
      <c r="AD1447" s="253"/>
      <c r="AE1447" s="253"/>
    </row>
    <row r="1448" spans="1:31" ht="14.5">
      <c r="A1448" t="s">
        <v>1272</v>
      </c>
      <c r="B1448" t="s">
        <v>798</v>
      </c>
      <c r="C1448">
        <v>3173</v>
      </c>
      <c r="D1448" s="581"/>
      <c r="E1448" s="581"/>
      <c r="F1448" s="2">
        <f>(1/S1448)*cnst_fish!$C$6</f>
        <v>5.6116535073067304E-2</v>
      </c>
      <c r="G1448" s="2">
        <f t="shared" ref="G1448:H1467" si="210">G$7</f>
        <v>1</v>
      </c>
      <c r="H1448" s="2">
        <f t="shared" si="210"/>
        <v>0.36449057933102513</v>
      </c>
      <c r="I1448" s="2">
        <f t="shared" si="203"/>
        <v>0</v>
      </c>
      <c r="J1448" s="389">
        <f t="shared" si="204"/>
        <v>0</v>
      </c>
      <c r="L1448" s="721">
        <v>1385</v>
      </c>
      <c r="M1448" s="581"/>
      <c r="N1448" s="585" t="s">
        <v>1738</v>
      </c>
      <c r="O1448" s="586" t="s">
        <v>4681</v>
      </c>
      <c r="P1448" s="233">
        <f t="shared" si="205"/>
        <v>0</v>
      </c>
      <c r="Q1448" s="233">
        <f t="shared" si="206"/>
        <v>1385</v>
      </c>
      <c r="R1448" s="2">
        <f t="shared" si="207"/>
        <v>3.73</v>
      </c>
      <c r="S1448" s="2">
        <f>(1/9)*cnst_fish!$C$7*(1/cnst_fish!$C$8)^(R1448-1)</f>
        <v>75.735253334266432</v>
      </c>
      <c r="T1448" s="682">
        <f t="shared" si="208"/>
        <v>8995.9127326047965</v>
      </c>
      <c r="W1448" s="818"/>
      <c r="X1448" s="818"/>
      <c r="Y1448" s="819"/>
      <c r="Z1448" s="820"/>
      <c r="AA1448" s="820"/>
      <c r="AB1448" s="821"/>
      <c r="AC1448" s="821"/>
      <c r="AD1448" s="253"/>
      <c r="AE1448" s="253"/>
    </row>
    <row r="1449" spans="1:31" ht="14.5">
      <c r="A1449" t="s">
        <v>1481</v>
      </c>
      <c r="B1449" t="s">
        <v>799</v>
      </c>
      <c r="C1449">
        <v>2368</v>
      </c>
      <c r="D1449" s="581"/>
      <c r="E1449" s="581"/>
      <c r="F1449" s="2">
        <f>(1/S1449)*cnst_fish!$C$6</f>
        <v>0.11997502458044032</v>
      </c>
      <c r="G1449" s="2">
        <f t="shared" si="210"/>
        <v>1</v>
      </c>
      <c r="H1449" s="2">
        <f t="shared" si="210"/>
        <v>0.36449057933102513</v>
      </c>
      <c r="I1449" s="2">
        <f t="shared" si="203"/>
        <v>0</v>
      </c>
      <c r="J1449" s="389">
        <f t="shared" si="204"/>
        <v>0</v>
      </c>
      <c r="L1449" s="721">
        <v>13240</v>
      </c>
      <c r="M1449" s="581"/>
      <c r="N1449" s="585" t="s">
        <v>1738</v>
      </c>
      <c r="O1449" s="586" t="s">
        <v>4681</v>
      </c>
      <c r="P1449" s="233">
        <f t="shared" si="205"/>
        <v>0</v>
      </c>
      <c r="Q1449" s="233">
        <f t="shared" si="206"/>
        <v>13240</v>
      </c>
      <c r="R1449" s="2">
        <f t="shared" si="207"/>
        <v>3.4</v>
      </c>
      <c r="S1449" s="2">
        <f>(1/9)*cnst_fish!$C$7*(1/cnst_fish!$C$8)^(R1449-1)</f>
        <v>35.424039418724846</v>
      </c>
      <c r="T1449" s="682">
        <f t="shared" si="208"/>
        <v>40223.832311925507</v>
      </c>
      <c r="W1449" s="818"/>
      <c r="X1449" s="818"/>
      <c r="Y1449" s="819"/>
      <c r="Z1449" s="820"/>
      <c r="AA1449" s="820"/>
      <c r="AB1449" s="821"/>
      <c r="AC1449" s="821"/>
      <c r="AD1449" s="253"/>
      <c r="AE1449" s="253"/>
    </row>
    <row r="1450" spans="1:31" ht="14.5">
      <c r="A1450" t="s">
        <v>2018</v>
      </c>
      <c r="B1450" t="s">
        <v>4167</v>
      </c>
      <c r="C1450">
        <v>3172</v>
      </c>
      <c r="D1450" s="581"/>
      <c r="E1450" s="581"/>
      <c r="F1450" s="2">
        <f>(1/S1450)*cnst_fish!$C$6</f>
        <v>8.8938714421809756E-2</v>
      </c>
      <c r="G1450" s="2">
        <f t="shared" si="210"/>
        <v>1</v>
      </c>
      <c r="H1450" s="2">
        <f t="shared" si="210"/>
        <v>0.36449057933102513</v>
      </c>
      <c r="I1450" s="2">
        <f t="shared" si="203"/>
        <v>0</v>
      </c>
      <c r="J1450" s="389">
        <f t="shared" si="204"/>
        <v>0</v>
      </c>
      <c r="L1450" s="721">
        <v>4638.33</v>
      </c>
      <c r="M1450" s="581"/>
      <c r="N1450" s="585" t="s">
        <v>1738</v>
      </c>
      <c r="O1450" s="586" t="s">
        <v>4681</v>
      </c>
      <c r="P1450" s="233">
        <f t="shared" si="205"/>
        <v>0</v>
      </c>
      <c r="Q1450" s="233">
        <f t="shared" si="206"/>
        <v>4638.33</v>
      </c>
      <c r="R1450" s="2">
        <f t="shared" si="207"/>
        <v>3.53</v>
      </c>
      <c r="S1450" s="2">
        <f>(1/9)*cnst_fish!$C$7*(1/cnst_fish!$C$8)^(R1450-1)</f>
        <v>47.785714327323419</v>
      </c>
      <c r="T1450" s="682">
        <f t="shared" si="208"/>
        <v>19008.905174976244</v>
      </c>
      <c r="W1450" s="818"/>
      <c r="X1450" s="818"/>
      <c r="Y1450" s="819"/>
      <c r="Z1450" s="820"/>
      <c r="AA1450" s="820"/>
      <c r="AB1450" s="821"/>
      <c r="AC1450" s="821"/>
      <c r="AD1450" s="253"/>
      <c r="AE1450" s="253"/>
    </row>
    <row r="1451" spans="1:31" ht="14.5">
      <c r="A1451" t="s">
        <v>702</v>
      </c>
      <c r="B1451" t="s">
        <v>4168</v>
      </c>
      <c r="C1451">
        <v>3243</v>
      </c>
      <c r="D1451" s="581"/>
      <c r="E1451" s="581"/>
      <c r="F1451" s="2">
        <f>(1/S1451)*cnst_fish!$C$6</f>
        <v>3.6231878188697476E-2</v>
      </c>
      <c r="G1451" s="2">
        <f t="shared" si="210"/>
        <v>1</v>
      </c>
      <c r="H1451" s="2">
        <f t="shared" si="210"/>
        <v>0.36449057933102513</v>
      </c>
      <c r="I1451" s="2">
        <f t="shared" si="203"/>
        <v>0</v>
      </c>
      <c r="J1451" s="389">
        <f t="shared" si="204"/>
        <v>0</v>
      </c>
      <c r="L1451" s="721">
        <v>0</v>
      </c>
      <c r="M1451" s="581"/>
      <c r="N1451" s="585" t="s">
        <v>1738</v>
      </c>
      <c r="O1451" s="586" t="s">
        <v>4681</v>
      </c>
      <c r="P1451" s="233">
        <f t="shared" si="205"/>
        <v>0</v>
      </c>
      <c r="Q1451" s="233">
        <f t="shared" si="206"/>
        <v>0</v>
      </c>
      <c r="R1451" s="2">
        <f t="shared" si="207"/>
        <v>3.92</v>
      </c>
      <c r="S1451" s="2">
        <f>(1/9)*cnst_fish!$C$7*(1/cnst_fish!$C$8)^(R1451-1)</f>
        <v>117.30001900165877</v>
      </c>
      <c r="T1451" s="682">
        <f t="shared" si="208"/>
        <v>0</v>
      </c>
      <c r="W1451" s="818"/>
      <c r="X1451" s="818"/>
      <c r="Y1451" s="819"/>
      <c r="Z1451" s="820"/>
      <c r="AA1451" s="820"/>
      <c r="AB1451" s="821"/>
      <c r="AC1451" s="821"/>
      <c r="AD1451" s="253"/>
      <c r="AE1451" s="253"/>
    </row>
    <row r="1452" spans="1:31" ht="14.5">
      <c r="A1452" t="s">
        <v>1127</v>
      </c>
      <c r="B1452" t="s">
        <v>4169</v>
      </c>
      <c r="C1452">
        <v>2382</v>
      </c>
      <c r="D1452" s="581"/>
      <c r="E1452" s="581"/>
      <c r="F1452" s="2">
        <f>(1/S1452)*cnst_fish!$C$6</f>
        <v>0.14424170509541331</v>
      </c>
      <c r="G1452" s="2">
        <f t="shared" si="210"/>
        <v>1</v>
      </c>
      <c r="H1452" s="2">
        <f t="shared" si="210"/>
        <v>0.36449057933102513</v>
      </c>
      <c r="I1452" s="2">
        <f t="shared" si="203"/>
        <v>0</v>
      </c>
      <c r="J1452" s="389">
        <f t="shared" si="204"/>
        <v>0</v>
      </c>
      <c r="L1452" s="721">
        <v>23585</v>
      </c>
      <c r="M1452" s="581"/>
      <c r="N1452" s="585" t="s">
        <v>1738</v>
      </c>
      <c r="O1452" s="586" t="s">
        <v>4681</v>
      </c>
      <c r="P1452" s="233">
        <f t="shared" si="205"/>
        <v>0</v>
      </c>
      <c r="Q1452" s="233">
        <f t="shared" si="206"/>
        <v>23585</v>
      </c>
      <c r="R1452" s="2">
        <f t="shared" si="207"/>
        <v>3.32</v>
      </c>
      <c r="S1452" s="2">
        <f>(1/9)*cnst_fish!$C$7*(1/cnst_fish!$C$8)^(R1452-1)</f>
        <v>29.464432614608246</v>
      </c>
      <c r="T1452" s="682">
        <f t="shared" si="208"/>
        <v>59597.952671425992</v>
      </c>
      <c r="W1452" s="818"/>
      <c r="X1452" s="818"/>
      <c r="Y1452" s="819"/>
      <c r="Z1452" s="820"/>
      <c r="AA1452" s="820"/>
      <c r="AB1452" s="821"/>
      <c r="AC1452" s="821"/>
      <c r="AD1452" s="253"/>
      <c r="AE1452" s="253"/>
    </row>
    <row r="1453" spans="1:31" ht="14.5">
      <c r="A1453" t="s">
        <v>5437</v>
      </c>
      <c r="B1453" t="s">
        <v>4170</v>
      </c>
      <c r="C1453">
        <v>3189</v>
      </c>
      <c r="D1453" s="581"/>
      <c r="E1453" s="581"/>
      <c r="F1453" s="2">
        <f>(1/S1453)*cnst_fish!$C$6</f>
        <v>4.6675700833589753E-2</v>
      </c>
      <c r="G1453" s="2">
        <f t="shared" si="210"/>
        <v>1</v>
      </c>
      <c r="H1453" s="2">
        <f t="shared" si="210"/>
        <v>0.36449057933102513</v>
      </c>
      <c r="I1453" s="2">
        <f t="shared" si="203"/>
        <v>0</v>
      </c>
      <c r="J1453" s="389">
        <f t="shared" si="204"/>
        <v>0</v>
      </c>
      <c r="L1453" s="721">
        <v>5139.74</v>
      </c>
      <c r="M1453" s="581"/>
      <c r="N1453" s="585" t="s">
        <v>1738</v>
      </c>
      <c r="O1453" s="586" t="s">
        <v>4681</v>
      </c>
      <c r="P1453" s="233">
        <f t="shared" si="205"/>
        <v>0</v>
      </c>
      <c r="Q1453" s="233">
        <f t="shared" si="206"/>
        <v>5139.74</v>
      </c>
      <c r="R1453" s="2">
        <f t="shared" si="207"/>
        <v>3.81</v>
      </c>
      <c r="S1453" s="2">
        <f>(1/9)*cnst_fish!$C$7*(1/cnst_fish!$C$8)^(R1453-1)</f>
        <v>91.053801530528389</v>
      </c>
      <c r="T1453" s="682">
        <f t="shared" si="208"/>
        <v>40136.233131023</v>
      </c>
      <c r="W1453" s="818"/>
      <c r="X1453" s="818"/>
      <c r="Y1453" s="819"/>
      <c r="Z1453" s="820"/>
      <c r="AA1453" s="820"/>
      <c r="AB1453" s="821"/>
      <c r="AC1453" s="821"/>
      <c r="AD1453" s="253"/>
      <c r="AE1453" s="253"/>
    </row>
    <row r="1454" spans="1:31" ht="14.5">
      <c r="A1454" t="s">
        <v>6767</v>
      </c>
      <c r="B1454" t="s">
        <v>8701</v>
      </c>
      <c r="C1454">
        <v>6350</v>
      </c>
      <c r="D1454" s="581"/>
      <c r="E1454" s="581"/>
      <c r="F1454" s="2">
        <f>(1/S1454)*cnst_fish!$C$6</f>
        <v>6.0129950673834844E-2</v>
      </c>
      <c r="G1454" s="2">
        <f t="shared" si="210"/>
        <v>1</v>
      </c>
      <c r="H1454" s="2">
        <f t="shared" si="210"/>
        <v>0.36449057933102513</v>
      </c>
      <c r="I1454" s="2">
        <f t="shared" si="203"/>
        <v>0</v>
      </c>
      <c r="J1454" s="389">
        <f t="shared" si="204"/>
        <v>0</v>
      </c>
      <c r="L1454" s="721"/>
      <c r="M1454" s="581"/>
      <c r="N1454" s="585" t="s">
        <v>1738</v>
      </c>
      <c r="O1454" s="586" t="s">
        <v>4681</v>
      </c>
      <c r="P1454" s="233">
        <f t="shared" si="205"/>
        <v>0</v>
      </c>
      <c r="Q1454" s="233">
        <f t="shared" si="206"/>
        <v>0</v>
      </c>
      <c r="R1454" s="2">
        <f t="shared" si="207"/>
        <v>3.7</v>
      </c>
      <c r="S1454" s="2">
        <f>(1/9)*cnst_fish!$C$7*(1/cnst_fish!$C$8)^(R1454-1)</f>
        <v>70.680250896153822</v>
      </c>
      <c r="T1454" s="682">
        <f t="shared" si="208"/>
        <v>0</v>
      </c>
      <c r="W1454" s="818"/>
      <c r="X1454" s="818"/>
      <c r="Y1454" s="819"/>
      <c r="Z1454" s="820"/>
      <c r="AA1454" s="820"/>
      <c r="AB1454" s="821"/>
      <c r="AC1454" s="821"/>
      <c r="AD1454" s="253"/>
      <c r="AE1454" s="253"/>
    </row>
    <row r="1455" spans="1:31" ht="14.5">
      <c r="A1455" t="s">
        <v>3152</v>
      </c>
      <c r="B1455" t="s">
        <v>4171</v>
      </c>
      <c r="C1455">
        <v>2381</v>
      </c>
      <c r="D1455" s="581"/>
      <c r="E1455" s="581"/>
      <c r="F1455" s="2">
        <f>(1/S1455)*cnst_fish!$C$6</f>
        <v>6.7466914312309487E-2</v>
      </c>
      <c r="G1455" s="2">
        <f t="shared" si="210"/>
        <v>1</v>
      </c>
      <c r="H1455" s="2">
        <f t="shared" si="210"/>
        <v>0.36449057933102513</v>
      </c>
      <c r="I1455" s="2">
        <f t="shared" si="203"/>
        <v>0</v>
      </c>
      <c r="J1455" s="389">
        <f t="shared" si="204"/>
        <v>0</v>
      </c>
      <c r="L1455" s="721">
        <v>11205</v>
      </c>
      <c r="M1455" s="581"/>
      <c r="N1455" s="585" t="s">
        <v>1738</v>
      </c>
      <c r="O1455" s="586" t="s">
        <v>4681</v>
      </c>
      <c r="P1455" s="233">
        <f t="shared" si="205"/>
        <v>0</v>
      </c>
      <c r="Q1455" s="233">
        <f t="shared" si="206"/>
        <v>11205</v>
      </c>
      <c r="R1455" s="2">
        <f t="shared" si="207"/>
        <v>3.65</v>
      </c>
      <c r="S1455" s="2">
        <f>(1/9)*cnst_fish!$C$7*(1/cnst_fish!$C$8)^(R1455-1)</f>
        <v>62.993839918725584</v>
      </c>
      <c r="T1455" s="682">
        <f t="shared" si="208"/>
        <v>60535.107956745262</v>
      </c>
      <c r="W1455" s="818"/>
      <c r="X1455" s="818"/>
      <c r="Y1455" s="819"/>
      <c r="Z1455" s="820"/>
      <c r="AA1455" s="820"/>
      <c r="AB1455" s="821"/>
      <c r="AC1455" s="821"/>
      <c r="AD1455" s="253"/>
      <c r="AE1455" s="253"/>
    </row>
    <row r="1456" spans="1:31" ht="14.5">
      <c r="A1456" t="s">
        <v>74</v>
      </c>
      <c r="B1456" t="s">
        <v>4172</v>
      </c>
      <c r="C1456">
        <v>2380</v>
      </c>
      <c r="D1456" s="581"/>
      <c r="E1456" s="581"/>
      <c r="F1456" s="2">
        <f>(1/S1456)*cnst_fish!$C$6</f>
        <v>8.4935812883106004E-2</v>
      </c>
      <c r="G1456" s="2">
        <f t="shared" si="210"/>
        <v>1</v>
      </c>
      <c r="H1456" s="2">
        <f t="shared" si="210"/>
        <v>0.36449057933102513</v>
      </c>
      <c r="I1456" s="2">
        <f t="shared" si="203"/>
        <v>0</v>
      </c>
      <c r="J1456" s="389">
        <f t="shared" si="204"/>
        <v>0</v>
      </c>
      <c r="L1456" s="721">
        <v>5017</v>
      </c>
      <c r="M1456" s="581"/>
      <c r="N1456" s="585" t="s">
        <v>1738</v>
      </c>
      <c r="O1456" s="586" t="s">
        <v>4681</v>
      </c>
      <c r="P1456" s="233">
        <f t="shared" si="205"/>
        <v>0</v>
      </c>
      <c r="Q1456" s="233">
        <f t="shared" si="206"/>
        <v>5017</v>
      </c>
      <c r="R1456" s="2">
        <f t="shared" si="207"/>
        <v>3.55</v>
      </c>
      <c r="S1456" s="2">
        <f>(1/9)*cnst_fish!$C$7*(1/cnst_fish!$C$8)^(R1456-1)</f>
        <v>50.037785661145278</v>
      </c>
      <c r="T1456" s="682">
        <f t="shared" si="208"/>
        <v>21529.778481315709</v>
      </c>
      <c r="W1456" s="818"/>
      <c r="X1456" s="818"/>
      <c r="Y1456" s="819"/>
      <c r="Z1456" s="820"/>
      <c r="AA1456" s="820"/>
      <c r="AB1456" s="821"/>
      <c r="AC1456" s="821"/>
      <c r="AD1456" s="253"/>
      <c r="AE1456" s="253"/>
    </row>
    <row r="1457" spans="1:31" ht="14.5">
      <c r="A1457" t="s">
        <v>4965</v>
      </c>
      <c r="B1457" t="s">
        <v>6231</v>
      </c>
      <c r="C1457">
        <v>16484</v>
      </c>
      <c r="D1457" s="581"/>
      <c r="E1457" s="581"/>
      <c r="F1457" s="2">
        <f>(1/S1457)*cnst_fish!$C$6</f>
        <v>3.0136363636363641</v>
      </c>
      <c r="G1457" s="2">
        <f t="shared" si="210"/>
        <v>1</v>
      </c>
      <c r="H1457" s="2">
        <f t="shared" si="210"/>
        <v>0.36449057933102513</v>
      </c>
      <c r="I1457" s="2">
        <f t="shared" si="203"/>
        <v>0</v>
      </c>
      <c r="J1457" s="389">
        <f t="shared" si="204"/>
        <v>0</v>
      </c>
      <c r="L1457" s="721">
        <v>517</v>
      </c>
      <c r="M1457" s="581"/>
      <c r="N1457" s="585" t="s">
        <v>2322</v>
      </c>
      <c r="O1457" s="586" t="s">
        <v>4680</v>
      </c>
      <c r="P1457" s="233">
        <f t="shared" si="205"/>
        <v>0</v>
      </c>
      <c r="Q1457" s="233">
        <f t="shared" si="206"/>
        <v>517</v>
      </c>
      <c r="R1457" s="2">
        <f t="shared" si="207"/>
        <v>2</v>
      </c>
      <c r="S1457" s="2">
        <f>(1/9)*cnst_fish!$C$7*(1/cnst_fish!$C$8)^(R1457-1)</f>
        <v>1.4102564102564099</v>
      </c>
      <c r="T1457" s="682">
        <f t="shared" si="208"/>
        <v>62.529650819171636</v>
      </c>
      <c r="W1457" s="818"/>
      <c r="X1457" s="818"/>
      <c r="Y1457" s="819"/>
      <c r="Z1457" s="820"/>
      <c r="AA1457" s="820"/>
      <c r="AB1457" s="821"/>
      <c r="AC1457" s="821"/>
      <c r="AD1457" s="253"/>
      <c r="AE1457" s="253"/>
    </row>
    <row r="1458" spans="1:31" ht="14.5">
      <c r="A1458" t="s">
        <v>371</v>
      </c>
      <c r="B1458" t="s">
        <v>3201</v>
      </c>
      <c r="C1458">
        <v>16488</v>
      </c>
      <c r="D1458" s="581"/>
      <c r="E1458" s="581"/>
      <c r="F1458" s="2">
        <f>(1/S1458)*cnst_fish!$C$6</f>
        <v>0.60129950673834842</v>
      </c>
      <c r="G1458" s="2">
        <f t="shared" si="210"/>
        <v>1</v>
      </c>
      <c r="H1458" s="2">
        <f t="shared" si="210"/>
        <v>0.36449057933102513</v>
      </c>
      <c r="I1458" s="2">
        <f t="shared" si="203"/>
        <v>0</v>
      </c>
      <c r="J1458" s="389">
        <f t="shared" si="204"/>
        <v>0</v>
      </c>
      <c r="L1458" s="721">
        <v>5</v>
      </c>
      <c r="M1458" s="581"/>
      <c r="N1458" s="585" t="s">
        <v>2322</v>
      </c>
      <c r="O1458" s="586" t="s">
        <v>4680</v>
      </c>
      <c r="P1458" s="233">
        <f t="shared" si="205"/>
        <v>0</v>
      </c>
      <c r="Q1458" s="233">
        <f t="shared" si="206"/>
        <v>5</v>
      </c>
      <c r="R1458" s="2">
        <f t="shared" si="207"/>
        <v>2.7</v>
      </c>
      <c r="S1458" s="2">
        <f>(1/9)*cnst_fish!$C$7*(1/cnst_fish!$C$8)^(R1458-1)</f>
        <v>7.0680250896153813</v>
      </c>
      <c r="T1458" s="682">
        <f t="shared" si="208"/>
        <v>3.0308571289883899</v>
      </c>
      <c r="W1458" s="818"/>
      <c r="X1458" s="818"/>
      <c r="Y1458" s="819"/>
      <c r="Z1458" s="820"/>
      <c r="AA1458" s="820"/>
      <c r="AB1458" s="821"/>
      <c r="AC1458" s="821"/>
      <c r="AD1458" s="253"/>
      <c r="AE1458" s="253"/>
    </row>
    <row r="1459" spans="1:31" ht="14.5">
      <c r="A1459" t="s">
        <v>1273</v>
      </c>
      <c r="B1459" t="s">
        <v>3202</v>
      </c>
      <c r="C1459">
        <v>2607</v>
      </c>
      <c r="D1459" s="581"/>
      <c r="E1459" s="581"/>
      <c r="F1459" s="2">
        <f>(1/S1459)*cnst_fish!$C$6</f>
        <v>0.60129950673834842</v>
      </c>
      <c r="G1459" s="2">
        <f t="shared" si="210"/>
        <v>1</v>
      </c>
      <c r="H1459" s="2">
        <f t="shared" si="210"/>
        <v>0.36449057933102513</v>
      </c>
      <c r="I1459" s="2">
        <f t="shared" si="203"/>
        <v>0</v>
      </c>
      <c r="J1459" s="389">
        <f t="shared" si="204"/>
        <v>0</v>
      </c>
      <c r="L1459" s="721">
        <v>351</v>
      </c>
      <c r="M1459" s="581"/>
      <c r="N1459" s="585" t="s">
        <v>2322</v>
      </c>
      <c r="O1459" s="586" t="s">
        <v>4680</v>
      </c>
      <c r="P1459" s="233">
        <f t="shared" si="205"/>
        <v>0</v>
      </c>
      <c r="Q1459" s="233">
        <f t="shared" si="206"/>
        <v>351</v>
      </c>
      <c r="R1459" s="2">
        <f t="shared" si="207"/>
        <v>2.7</v>
      </c>
      <c r="S1459" s="2">
        <f>(1/9)*cnst_fish!$C$7*(1/cnst_fish!$C$8)^(R1459-1)</f>
        <v>7.0680250896153813</v>
      </c>
      <c r="T1459" s="682">
        <f t="shared" si="208"/>
        <v>212.76617045498494</v>
      </c>
      <c r="W1459" s="818"/>
      <c r="X1459" s="818"/>
      <c r="Y1459" s="819"/>
      <c r="Z1459" s="820"/>
      <c r="AA1459" s="820"/>
      <c r="AB1459" s="821"/>
      <c r="AC1459" s="821"/>
      <c r="AD1459" s="253"/>
      <c r="AE1459" s="253"/>
    </row>
    <row r="1460" spans="1:31" ht="14.5">
      <c r="A1460" t="s">
        <v>4964</v>
      </c>
      <c r="B1460" t="s">
        <v>8702</v>
      </c>
      <c r="C1460">
        <v>16496</v>
      </c>
      <c r="D1460" s="581"/>
      <c r="E1460" s="581"/>
      <c r="F1460" s="2">
        <f>(1/S1460)*cnst_fish!$C$6</f>
        <v>1.0211530705467782</v>
      </c>
      <c r="G1460" s="2">
        <f t="shared" si="210"/>
        <v>1</v>
      </c>
      <c r="H1460" s="2">
        <f t="shared" si="210"/>
        <v>0.36449057933102513</v>
      </c>
      <c r="I1460" s="2">
        <f t="shared" si="203"/>
        <v>0</v>
      </c>
      <c r="J1460" s="389">
        <f t="shared" si="204"/>
        <v>0</v>
      </c>
      <c r="L1460" s="721"/>
      <c r="M1460" s="581"/>
      <c r="N1460" s="585" t="s">
        <v>2322</v>
      </c>
      <c r="O1460" s="586" t="s">
        <v>4680</v>
      </c>
      <c r="P1460" s="233">
        <f t="shared" si="205"/>
        <v>0</v>
      </c>
      <c r="Q1460" s="233">
        <f t="shared" si="206"/>
        <v>0</v>
      </c>
      <c r="R1460" s="2">
        <f t="shared" si="207"/>
        <v>2.4700000000000002</v>
      </c>
      <c r="S1460" s="2">
        <f>(1/9)*cnst_fish!$C$7*(1/cnst_fish!$C$8)^(R1460-1)</f>
        <v>4.1619617299141352</v>
      </c>
      <c r="T1460" s="682">
        <f t="shared" si="208"/>
        <v>0</v>
      </c>
      <c r="W1460" s="818"/>
      <c r="X1460" s="818"/>
      <c r="Y1460" s="819"/>
      <c r="Z1460" s="820"/>
      <c r="AA1460" s="820"/>
      <c r="AB1460" s="821"/>
      <c r="AC1460" s="821"/>
      <c r="AD1460" s="253"/>
      <c r="AE1460" s="253"/>
    </row>
    <row r="1461" spans="1:31" ht="14.5">
      <c r="A1461" t="s">
        <v>5485</v>
      </c>
      <c r="B1461" t="s">
        <v>5144</v>
      </c>
      <c r="C1461">
        <v>3429</v>
      </c>
      <c r="D1461" s="581"/>
      <c r="E1461" s="581"/>
      <c r="F1461" s="2">
        <f>(1/S1461)*cnst_fish!$C$6</f>
        <v>1.9014759972289452</v>
      </c>
      <c r="G1461" s="2">
        <f t="shared" si="210"/>
        <v>1</v>
      </c>
      <c r="H1461" s="2">
        <f t="shared" si="210"/>
        <v>0.36449057933102513</v>
      </c>
      <c r="I1461" s="2">
        <f t="shared" si="203"/>
        <v>0</v>
      </c>
      <c r="J1461" s="389">
        <f t="shared" si="204"/>
        <v>0</v>
      </c>
      <c r="L1461" s="721"/>
      <c r="M1461" s="581">
        <v>15792</v>
      </c>
      <c r="N1461" s="585" t="s">
        <v>2322</v>
      </c>
      <c r="O1461" s="586" t="s">
        <v>4680</v>
      </c>
      <c r="P1461" s="233">
        <f t="shared" si="205"/>
        <v>0</v>
      </c>
      <c r="Q1461" s="233">
        <f t="shared" si="206"/>
        <v>15792</v>
      </c>
      <c r="R1461" s="2">
        <f t="shared" si="207"/>
        <v>2.2000000000000002</v>
      </c>
      <c r="S1461" s="2">
        <f>(1/9)*cnst_fish!$C$7*(1/cnst_fish!$C$8)^(R1461-1)</f>
        <v>2.2351057842400328</v>
      </c>
      <c r="T1461" s="682">
        <f t="shared" si="208"/>
        <v>3027.1406198047839</v>
      </c>
      <c r="W1461" s="818"/>
      <c r="X1461" s="818"/>
      <c r="Y1461" s="819"/>
      <c r="Z1461" s="820"/>
      <c r="AA1461" s="820"/>
      <c r="AB1461" s="821"/>
      <c r="AC1461" s="821"/>
      <c r="AD1461" s="253"/>
      <c r="AE1461" s="253"/>
    </row>
    <row r="1462" spans="1:31" ht="14.5">
      <c r="A1462" t="s">
        <v>5503</v>
      </c>
      <c r="B1462" t="s">
        <v>5144</v>
      </c>
      <c r="C1462">
        <v>3430</v>
      </c>
      <c r="D1462" s="581"/>
      <c r="E1462" s="581"/>
      <c r="F1462" s="2">
        <f>(1/S1462)*cnst_fish!$C$6</f>
        <v>1.9014759972289452</v>
      </c>
      <c r="G1462" s="2">
        <f t="shared" si="210"/>
        <v>1</v>
      </c>
      <c r="H1462" s="2">
        <f t="shared" si="210"/>
        <v>0.36449057933102513</v>
      </c>
      <c r="I1462" s="2">
        <f t="shared" si="203"/>
        <v>0</v>
      </c>
      <c r="J1462" s="389">
        <f t="shared" si="204"/>
        <v>0</v>
      </c>
      <c r="L1462" s="721">
        <v>268</v>
      </c>
      <c r="M1462" s="581"/>
      <c r="N1462" s="585" t="s">
        <v>2322</v>
      </c>
      <c r="O1462" s="586" t="s">
        <v>4680</v>
      </c>
      <c r="P1462" s="233">
        <f t="shared" si="205"/>
        <v>0</v>
      </c>
      <c r="Q1462" s="233">
        <f t="shared" si="206"/>
        <v>268</v>
      </c>
      <c r="R1462" s="2">
        <f t="shared" si="207"/>
        <v>2.2000000000000002</v>
      </c>
      <c r="S1462" s="2">
        <f>(1/9)*cnst_fish!$C$7*(1/cnst_fish!$C$8)^(R1462-1)</f>
        <v>2.2351057842400328</v>
      </c>
      <c r="T1462" s="682">
        <f t="shared" si="208"/>
        <v>51.372447195268627</v>
      </c>
      <c r="W1462" s="818"/>
      <c r="X1462" s="818"/>
      <c r="Y1462" s="819"/>
      <c r="Z1462" s="820"/>
      <c r="AA1462" s="820"/>
      <c r="AB1462" s="821"/>
      <c r="AC1462" s="821"/>
      <c r="AD1462" s="253"/>
      <c r="AE1462" s="253"/>
    </row>
    <row r="1463" spans="1:31" ht="14.5">
      <c r="A1463" t="s">
        <v>1054</v>
      </c>
      <c r="B1463" t="s">
        <v>4811</v>
      </c>
      <c r="C1463">
        <v>3442</v>
      </c>
      <c r="D1463" s="581"/>
      <c r="E1463" s="581"/>
      <c r="F1463" s="2">
        <f>(1/S1463)*cnst_fish!$C$6</f>
        <v>0.19014759972289441</v>
      </c>
      <c r="G1463" s="2">
        <f t="shared" si="210"/>
        <v>1</v>
      </c>
      <c r="H1463" s="2">
        <f t="shared" si="210"/>
        <v>0.36449057933102513</v>
      </c>
      <c r="I1463" s="2">
        <f t="shared" si="203"/>
        <v>0</v>
      </c>
      <c r="J1463" s="389">
        <f t="shared" si="204"/>
        <v>0</v>
      </c>
      <c r="L1463" s="721">
        <v>1295</v>
      </c>
      <c r="M1463" s="581"/>
      <c r="N1463" s="585" t="s">
        <v>2312</v>
      </c>
      <c r="O1463" s="586" t="s">
        <v>4680</v>
      </c>
      <c r="P1463" s="233">
        <f t="shared" si="205"/>
        <v>0</v>
      </c>
      <c r="Q1463" s="233">
        <f t="shared" si="206"/>
        <v>1295</v>
      </c>
      <c r="R1463" s="2">
        <f t="shared" si="207"/>
        <v>3.2</v>
      </c>
      <c r="S1463" s="2">
        <f>(1/9)*cnst_fish!$C$7*(1/cnst_fish!$C$8)^(R1463-1)</f>
        <v>22.351057842400341</v>
      </c>
      <c r="T1463" s="682">
        <f t="shared" si="208"/>
        <v>2482.3626536519741</v>
      </c>
      <c r="W1463" s="818"/>
      <c r="X1463" s="818"/>
      <c r="Y1463" s="819"/>
      <c r="Z1463" s="820"/>
      <c r="AA1463" s="820"/>
      <c r="AB1463" s="821"/>
      <c r="AC1463" s="821"/>
      <c r="AD1463" s="253"/>
      <c r="AE1463" s="253"/>
    </row>
    <row r="1464" spans="1:31" ht="14.5">
      <c r="A1464" t="s">
        <v>331</v>
      </c>
      <c r="B1464" t="s">
        <v>4812</v>
      </c>
      <c r="C1464">
        <v>2619</v>
      </c>
      <c r="D1464" s="581"/>
      <c r="E1464" s="581"/>
      <c r="F1464" s="2">
        <f>(1/S1464)*cnst_fish!$C$6</f>
        <v>0.75699122913220485</v>
      </c>
      <c r="G1464" s="2">
        <f t="shared" si="210"/>
        <v>1</v>
      </c>
      <c r="H1464" s="2">
        <f t="shared" si="210"/>
        <v>0.36449057933102513</v>
      </c>
      <c r="I1464" s="2">
        <f t="shared" si="203"/>
        <v>0</v>
      </c>
      <c r="J1464" s="389">
        <f t="shared" si="204"/>
        <v>0</v>
      </c>
      <c r="L1464" s="721">
        <v>7</v>
      </c>
      <c r="M1464" s="581"/>
      <c r="N1464" s="585" t="s">
        <v>2312</v>
      </c>
      <c r="O1464" s="586" t="s">
        <v>4680</v>
      </c>
      <c r="P1464" s="233">
        <f t="shared" si="205"/>
        <v>0</v>
      </c>
      <c r="Q1464" s="233">
        <f t="shared" si="206"/>
        <v>7</v>
      </c>
      <c r="R1464" s="2">
        <f t="shared" si="207"/>
        <v>2.6</v>
      </c>
      <c r="S1464" s="2">
        <f>(1/9)*cnst_fish!$C$7*(1/cnst_fish!$C$8)^(R1464-1)</f>
        <v>5.6143318924211183</v>
      </c>
      <c r="T1464" s="682">
        <f t="shared" si="208"/>
        <v>3.3704935501591931</v>
      </c>
      <c r="W1464" s="818"/>
      <c r="X1464" s="818"/>
      <c r="Y1464" s="819"/>
      <c r="Z1464" s="820"/>
      <c r="AA1464" s="820"/>
      <c r="AB1464" s="821"/>
      <c r="AC1464" s="821"/>
      <c r="AD1464" s="253"/>
      <c r="AE1464" s="253"/>
    </row>
    <row r="1465" spans="1:31" ht="14.5">
      <c r="A1465" t="s">
        <v>947</v>
      </c>
      <c r="B1465" t="s">
        <v>4813</v>
      </c>
      <c r="C1465">
        <v>3452</v>
      </c>
      <c r="D1465" s="581"/>
      <c r="E1465" s="581"/>
      <c r="F1465" s="2">
        <f>(1/S1465)*cnst_fish!$C$6</f>
        <v>0.75699122913220485</v>
      </c>
      <c r="G1465" s="2">
        <f t="shared" si="210"/>
        <v>1</v>
      </c>
      <c r="H1465" s="2">
        <f t="shared" si="210"/>
        <v>0.36449057933102513</v>
      </c>
      <c r="I1465" s="2">
        <f t="shared" si="203"/>
        <v>0</v>
      </c>
      <c r="J1465" s="389">
        <f t="shared" si="204"/>
        <v>0</v>
      </c>
      <c r="L1465" s="721">
        <v>363</v>
      </c>
      <c r="M1465" s="581"/>
      <c r="N1465" s="585" t="s">
        <v>2312</v>
      </c>
      <c r="O1465" s="586" t="s">
        <v>4680</v>
      </c>
      <c r="P1465" s="233">
        <f t="shared" si="205"/>
        <v>0</v>
      </c>
      <c r="Q1465" s="233">
        <f t="shared" si="206"/>
        <v>363</v>
      </c>
      <c r="R1465" s="2">
        <f t="shared" si="207"/>
        <v>2.6</v>
      </c>
      <c r="S1465" s="2">
        <f>(1/9)*cnst_fish!$C$7*(1/cnst_fish!$C$8)^(R1465-1)</f>
        <v>5.6143318924211183</v>
      </c>
      <c r="T1465" s="682">
        <f t="shared" si="208"/>
        <v>174.78416552968386</v>
      </c>
      <c r="W1465" s="818"/>
      <c r="X1465" s="818"/>
      <c r="Y1465" s="819"/>
      <c r="Z1465" s="820"/>
      <c r="AA1465" s="820"/>
      <c r="AB1465" s="821"/>
      <c r="AC1465" s="821"/>
      <c r="AD1465" s="253"/>
      <c r="AE1465" s="253"/>
    </row>
    <row r="1466" spans="1:31" ht="14.5">
      <c r="A1466" t="s">
        <v>1121</v>
      </c>
      <c r="B1466" t="s">
        <v>4814</v>
      </c>
      <c r="C1466">
        <v>3453</v>
      </c>
      <c r="D1466" s="581"/>
      <c r="E1466" s="581"/>
      <c r="F1466" s="2">
        <f>(1/S1466)*cnst_fish!$C$6</f>
        <v>0.75699122913220485</v>
      </c>
      <c r="G1466" s="2">
        <f t="shared" si="210"/>
        <v>1</v>
      </c>
      <c r="H1466" s="2">
        <f t="shared" si="210"/>
        <v>0.36449057933102513</v>
      </c>
      <c r="I1466" s="2">
        <f t="shared" si="203"/>
        <v>0</v>
      </c>
      <c r="J1466" s="389">
        <f t="shared" si="204"/>
        <v>0</v>
      </c>
      <c r="L1466" s="721">
        <v>755</v>
      </c>
      <c r="M1466" s="581"/>
      <c r="N1466" s="585" t="s">
        <v>2312</v>
      </c>
      <c r="O1466" s="586" t="s">
        <v>4680</v>
      </c>
      <c r="P1466" s="233">
        <f t="shared" si="205"/>
        <v>0</v>
      </c>
      <c r="Q1466" s="233">
        <f t="shared" si="206"/>
        <v>755</v>
      </c>
      <c r="R1466" s="2">
        <f t="shared" si="207"/>
        <v>2.6</v>
      </c>
      <c r="S1466" s="2">
        <f>(1/9)*cnst_fish!$C$7*(1/cnst_fish!$C$8)^(R1466-1)</f>
        <v>5.6143318924211183</v>
      </c>
      <c r="T1466" s="682">
        <f t="shared" si="208"/>
        <v>363.53180433859865</v>
      </c>
      <c r="W1466" s="818"/>
      <c r="X1466" s="818"/>
      <c r="Y1466" s="819"/>
      <c r="Z1466" s="820"/>
      <c r="AA1466" s="820"/>
      <c r="AB1466" s="821"/>
      <c r="AC1466" s="821"/>
      <c r="AD1466" s="253"/>
      <c r="AE1466" s="253"/>
    </row>
    <row r="1467" spans="1:31" ht="14.5">
      <c r="A1467" t="s">
        <v>1115</v>
      </c>
      <c r="B1467" t="s">
        <v>4815</v>
      </c>
      <c r="C1467">
        <v>2618</v>
      </c>
      <c r="D1467" s="581"/>
      <c r="E1467" s="581"/>
      <c r="F1467" s="2">
        <f>(1/S1467)*cnst_fish!$C$6</f>
        <v>0.75699122913220485</v>
      </c>
      <c r="G1467" s="2">
        <f t="shared" si="210"/>
        <v>1</v>
      </c>
      <c r="H1467" s="2">
        <f t="shared" si="210"/>
        <v>0.36449057933102513</v>
      </c>
      <c r="I1467" s="2">
        <f t="shared" si="203"/>
        <v>0</v>
      </c>
      <c r="J1467" s="389">
        <f t="shared" si="204"/>
        <v>0</v>
      </c>
      <c r="L1467" s="721">
        <v>3</v>
      </c>
      <c r="M1467" s="581"/>
      <c r="N1467" s="585" t="s">
        <v>2312</v>
      </c>
      <c r="O1467" s="586" t="s">
        <v>4680</v>
      </c>
      <c r="P1467" s="233">
        <f t="shared" si="205"/>
        <v>0</v>
      </c>
      <c r="Q1467" s="233">
        <f t="shared" si="206"/>
        <v>3</v>
      </c>
      <c r="R1467" s="2">
        <f t="shared" si="207"/>
        <v>2.6</v>
      </c>
      <c r="S1467" s="2">
        <f>(1/9)*cnst_fish!$C$7*(1/cnst_fish!$C$8)^(R1467-1)</f>
        <v>5.6143318924211183</v>
      </c>
      <c r="T1467" s="682">
        <f t="shared" si="208"/>
        <v>1.444497235782511</v>
      </c>
      <c r="W1467" s="822"/>
      <c r="X1467" s="822"/>
      <c r="Y1467" s="819"/>
      <c r="Z1467" s="820"/>
      <c r="AA1467" s="820"/>
      <c r="AB1467" s="821"/>
      <c r="AC1467" s="821"/>
      <c r="AD1467" s="253"/>
      <c r="AE1467" s="253"/>
    </row>
    <row r="1468" spans="1:31" ht="14.5">
      <c r="A1468" t="s">
        <v>2204</v>
      </c>
      <c r="B1468" t="s">
        <v>4816</v>
      </c>
      <c r="C1468">
        <v>3451</v>
      </c>
      <c r="D1468" s="581"/>
      <c r="E1468" s="581"/>
      <c r="F1468" s="2">
        <f>(1/S1468)*cnst_fish!$C$6</f>
        <v>0.19014759972289441</v>
      </c>
      <c r="G1468" s="2">
        <f t="shared" ref="G1468:H1487" si="211">G$7</f>
        <v>1</v>
      </c>
      <c r="H1468" s="2">
        <f t="shared" si="211"/>
        <v>0.36449057933102513</v>
      </c>
      <c r="I1468" s="2">
        <f t="shared" si="203"/>
        <v>0</v>
      </c>
      <c r="J1468" s="389">
        <f t="shared" si="204"/>
        <v>0</v>
      </c>
      <c r="L1468" s="721">
        <v>334</v>
      </c>
      <c r="M1468" s="581"/>
      <c r="N1468" s="585" t="s">
        <v>2312</v>
      </c>
      <c r="O1468" s="586" t="s">
        <v>4680</v>
      </c>
      <c r="P1468" s="233">
        <f t="shared" si="205"/>
        <v>0</v>
      </c>
      <c r="Q1468" s="233">
        <f t="shared" si="206"/>
        <v>334</v>
      </c>
      <c r="R1468" s="2">
        <f t="shared" si="207"/>
        <v>3.2</v>
      </c>
      <c r="S1468" s="2">
        <f>(1/9)*cnst_fish!$C$7*(1/cnst_fish!$C$8)^(R1468-1)</f>
        <v>22.351057842400341</v>
      </c>
      <c r="T1468" s="682">
        <f t="shared" si="208"/>
        <v>640.23870758282578</v>
      </c>
      <c r="W1468" s="818"/>
      <c r="X1468" s="818"/>
      <c r="Y1468" s="819"/>
      <c r="Z1468" s="820"/>
      <c r="AA1468" s="820"/>
      <c r="AB1468" s="821"/>
      <c r="AC1468" s="821"/>
      <c r="AD1468" s="253"/>
      <c r="AE1468" s="253"/>
    </row>
    <row r="1469" spans="1:31" ht="14.5">
      <c r="A1469" t="s">
        <v>6758</v>
      </c>
      <c r="B1469" t="s">
        <v>8703</v>
      </c>
      <c r="C1469">
        <v>2787</v>
      </c>
      <c r="D1469" s="581"/>
      <c r="E1469" s="581"/>
      <c r="F1469" s="2">
        <f>(1/S1469)*cnst_fish!$C$6</f>
        <v>30.136363636363644</v>
      </c>
      <c r="G1469" s="2">
        <f t="shared" si="211"/>
        <v>1</v>
      </c>
      <c r="H1469" s="2">
        <f t="shared" si="211"/>
        <v>0.36449057933102513</v>
      </c>
      <c r="I1469" s="2">
        <f t="shared" si="203"/>
        <v>0</v>
      </c>
      <c r="J1469" s="389">
        <f t="shared" si="204"/>
        <v>0</v>
      </c>
      <c r="L1469" s="721"/>
      <c r="M1469" s="581"/>
      <c r="N1469" s="585" t="s">
        <v>1740</v>
      </c>
      <c r="O1469" s="586" t="s">
        <v>4671</v>
      </c>
      <c r="P1469" s="233">
        <f t="shared" si="205"/>
        <v>0</v>
      </c>
      <c r="Q1469" s="233">
        <f t="shared" si="206"/>
        <v>0</v>
      </c>
      <c r="R1469" s="2">
        <f t="shared" si="207"/>
        <v>1</v>
      </c>
      <c r="S1469" s="2">
        <f>(1/9)*cnst_fish!$C$7*(1/cnst_fish!$C$8)^(R1469-1)</f>
        <v>0.141025641025641</v>
      </c>
      <c r="T1469" s="682">
        <f t="shared" si="208"/>
        <v>0</v>
      </c>
      <c r="W1469" s="818"/>
      <c r="X1469" s="818"/>
      <c r="Y1469" s="819"/>
      <c r="Z1469" s="820"/>
      <c r="AA1469" s="820"/>
      <c r="AB1469" s="821"/>
      <c r="AC1469" s="821"/>
      <c r="AD1469" s="253"/>
      <c r="AE1469" s="253"/>
    </row>
    <row r="1470" spans="1:31" ht="14.5">
      <c r="A1470" t="s">
        <v>1393</v>
      </c>
      <c r="B1470" t="s">
        <v>4929</v>
      </c>
      <c r="C1470">
        <v>2505</v>
      </c>
      <c r="D1470" s="581"/>
      <c r="E1470" s="581"/>
      <c r="F1470" s="2">
        <f>(1/S1470)*cnst_fish!$C$6</f>
        <v>0.22860769647470386</v>
      </c>
      <c r="G1470" s="2">
        <f t="shared" si="211"/>
        <v>1</v>
      </c>
      <c r="H1470" s="2">
        <f t="shared" si="211"/>
        <v>0.36449057933102513</v>
      </c>
      <c r="I1470" s="2">
        <f t="shared" si="203"/>
        <v>0</v>
      </c>
      <c r="J1470" s="389">
        <f t="shared" si="204"/>
        <v>0</v>
      </c>
      <c r="L1470" s="721">
        <v>50657.38</v>
      </c>
      <c r="M1470" s="581"/>
      <c r="N1470" s="585" t="s">
        <v>1738</v>
      </c>
      <c r="O1470" s="586" t="s">
        <v>4699</v>
      </c>
      <c r="P1470" s="233">
        <f t="shared" si="205"/>
        <v>0</v>
      </c>
      <c r="Q1470" s="233">
        <f t="shared" si="206"/>
        <v>50657.38</v>
      </c>
      <c r="R1470" s="2">
        <f t="shared" si="207"/>
        <v>3.12</v>
      </c>
      <c r="S1470" s="2">
        <f>(1/9)*cnst_fish!$C$7*(1/cnst_fish!$C$8)^(R1470-1)</f>
        <v>18.590800159128833</v>
      </c>
      <c r="T1470" s="682">
        <f t="shared" si="208"/>
        <v>80767.787210676863</v>
      </c>
      <c r="W1470" s="818"/>
      <c r="X1470" s="818"/>
      <c r="Y1470" s="819"/>
      <c r="Z1470" s="820"/>
      <c r="AA1470" s="820"/>
      <c r="AB1470" s="821"/>
      <c r="AC1470" s="821"/>
      <c r="AD1470" s="253"/>
      <c r="AE1470" s="253"/>
    </row>
    <row r="1471" spans="1:31" ht="14.5">
      <c r="A1471" t="s">
        <v>3024</v>
      </c>
      <c r="B1471" t="s">
        <v>4930</v>
      </c>
      <c r="C1471">
        <v>3310</v>
      </c>
      <c r="D1471" s="581"/>
      <c r="E1471" s="581"/>
      <c r="F1471" s="2">
        <f>(1/S1471)*cnst_fish!$C$6</f>
        <v>0.13154999853419541</v>
      </c>
      <c r="G1471" s="2">
        <f t="shared" si="211"/>
        <v>1</v>
      </c>
      <c r="H1471" s="2">
        <f t="shared" si="211"/>
        <v>0.36449057933102513</v>
      </c>
      <c r="I1471" s="2">
        <f t="shared" si="203"/>
        <v>0</v>
      </c>
      <c r="J1471" s="389">
        <f t="shared" si="204"/>
        <v>0</v>
      </c>
      <c r="L1471" s="721">
        <v>326015</v>
      </c>
      <c r="M1471" s="581"/>
      <c r="N1471" s="585" t="s">
        <v>1738</v>
      </c>
      <c r="O1471" s="586" t="s">
        <v>4699</v>
      </c>
      <c r="P1471" s="233">
        <f t="shared" si="205"/>
        <v>0</v>
      </c>
      <c r="Q1471" s="233">
        <f t="shared" si="206"/>
        <v>326015</v>
      </c>
      <c r="R1471" s="2">
        <f t="shared" si="207"/>
        <v>3.36</v>
      </c>
      <c r="S1471" s="2">
        <f>(1/9)*cnst_fish!$C$7*(1/cnst_fish!$C$8)^(R1471-1)</f>
        <v>32.307107923648097</v>
      </c>
      <c r="T1471" s="682">
        <f t="shared" si="208"/>
        <v>903302.14781200001</v>
      </c>
      <c r="W1471" s="818"/>
      <c r="X1471" s="818"/>
      <c r="Y1471" s="819"/>
      <c r="Z1471" s="820"/>
      <c r="AA1471" s="820"/>
      <c r="AB1471" s="821"/>
      <c r="AC1471" s="821"/>
      <c r="AD1471" s="253"/>
      <c r="AE1471" s="253"/>
    </row>
    <row r="1472" spans="1:31" ht="14.5">
      <c r="A1472" t="s">
        <v>2594</v>
      </c>
      <c r="B1472" t="s">
        <v>3203</v>
      </c>
      <c r="C1472">
        <v>16511</v>
      </c>
      <c r="D1472" s="581"/>
      <c r="E1472" s="581"/>
      <c r="F1472" s="2">
        <f>(1/S1472)*cnst_fish!$C$6</f>
        <v>1.0179208487545861</v>
      </c>
      <c r="G1472" s="2">
        <f t="shared" si="211"/>
        <v>1</v>
      </c>
      <c r="H1472" s="2">
        <f t="shared" si="211"/>
        <v>0.36449057933102513</v>
      </c>
      <c r="I1472" s="2">
        <f t="shared" si="203"/>
        <v>0</v>
      </c>
      <c r="J1472" s="389">
        <f t="shared" si="204"/>
        <v>0</v>
      </c>
      <c r="L1472" s="721">
        <v>0</v>
      </c>
      <c r="M1472" s="581"/>
      <c r="N1472" s="585" t="s">
        <v>2322</v>
      </c>
      <c r="O1472" s="586" t="s">
        <v>4680</v>
      </c>
      <c r="P1472" s="233">
        <f t="shared" si="205"/>
        <v>0</v>
      </c>
      <c r="Q1472" s="233">
        <f t="shared" si="206"/>
        <v>0</v>
      </c>
      <c r="R1472" s="2">
        <f t="shared" si="207"/>
        <v>2.4713768380352099</v>
      </c>
      <c r="S1472" s="2">
        <f>(1/9)*cnst_fish!$C$7*(1/cnst_fish!$C$8)^(R1472-1)</f>
        <v>4.1751772794513675</v>
      </c>
      <c r="T1472" s="682">
        <f t="shared" si="208"/>
        <v>0</v>
      </c>
      <c r="W1472" s="818"/>
      <c r="X1472" s="818"/>
      <c r="Y1472" s="819"/>
      <c r="Z1472" s="820"/>
      <c r="AA1472" s="820"/>
      <c r="AB1472" s="821"/>
      <c r="AC1472" s="821"/>
      <c r="AD1472" s="253"/>
      <c r="AE1472" s="253"/>
    </row>
    <row r="1473" spans="1:31" ht="14.5">
      <c r="A1473" t="s">
        <v>1888</v>
      </c>
      <c r="B1473" t="s">
        <v>1360</v>
      </c>
      <c r="C1473">
        <v>3425</v>
      </c>
      <c r="D1473" s="581"/>
      <c r="E1473" s="581"/>
      <c r="F1473" s="2">
        <f>(1/S1473)*cnst_fish!$C$6</f>
        <v>1.044938781136493</v>
      </c>
      <c r="G1473" s="2">
        <f t="shared" si="211"/>
        <v>1</v>
      </c>
      <c r="H1473" s="2">
        <f t="shared" si="211"/>
        <v>0.36449057933102513</v>
      </c>
      <c r="I1473" s="2">
        <f t="shared" si="203"/>
        <v>0</v>
      </c>
      <c r="J1473" s="389">
        <f t="shared" si="204"/>
        <v>0</v>
      </c>
      <c r="L1473" s="721">
        <v>172947</v>
      </c>
      <c r="M1473" s="581"/>
      <c r="N1473" s="585" t="s">
        <v>2322</v>
      </c>
      <c r="O1473" s="586" t="s">
        <v>4680</v>
      </c>
      <c r="P1473" s="233">
        <f t="shared" si="205"/>
        <v>0</v>
      </c>
      <c r="Q1473" s="233">
        <f t="shared" si="206"/>
        <v>172947</v>
      </c>
      <c r="R1473" s="2">
        <f t="shared" si="207"/>
        <v>2.46</v>
      </c>
      <c r="S1473" s="2">
        <f>(1/9)*cnst_fish!$C$7*(1/cnst_fish!$C$8)^(R1473-1)</f>
        <v>4.0672239146657265</v>
      </c>
      <c r="T1473" s="682">
        <f t="shared" si="208"/>
        <v>60326.550570744534</v>
      </c>
      <c r="W1473" s="818"/>
      <c r="X1473" s="818"/>
      <c r="Y1473" s="819"/>
      <c r="Z1473" s="820"/>
      <c r="AA1473" s="820"/>
      <c r="AB1473" s="821"/>
      <c r="AC1473" s="821"/>
      <c r="AD1473" s="253"/>
      <c r="AE1473" s="253"/>
    </row>
    <row r="1474" spans="1:31" ht="14.5">
      <c r="A1474" t="s">
        <v>2593</v>
      </c>
      <c r="B1474" t="s">
        <v>1361</v>
      </c>
      <c r="C1474">
        <v>16513</v>
      </c>
      <c r="D1474" s="581"/>
      <c r="E1474" s="581"/>
      <c r="F1474" s="2">
        <f>(1/S1474)*cnst_fish!$C$6</f>
        <v>1.0179208487545861</v>
      </c>
      <c r="G1474" s="2">
        <f t="shared" si="211"/>
        <v>1</v>
      </c>
      <c r="H1474" s="2">
        <f t="shared" si="211"/>
        <v>0.36449057933102513</v>
      </c>
      <c r="I1474" s="2">
        <f t="shared" si="203"/>
        <v>0</v>
      </c>
      <c r="J1474" s="389">
        <f t="shared" si="204"/>
        <v>0</v>
      </c>
      <c r="L1474" s="721">
        <v>2635</v>
      </c>
      <c r="M1474" s="581"/>
      <c r="N1474" s="585" t="s">
        <v>2322</v>
      </c>
      <c r="O1474" s="586" t="s">
        <v>4680</v>
      </c>
      <c r="P1474" s="233">
        <f t="shared" si="205"/>
        <v>0</v>
      </c>
      <c r="Q1474" s="233">
        <f t="shared" si="206"/>
        <v>2635</v>
      </c>
      <c r="R1474" s="2">
        <f t="shared" si="207"/>
        <v>2.4713768380352099</v>
      </c>
      <c r="S1474" s="2">
        <f>(1/9)*cnst_fish!$C$7*(1/cnst_fish!$C$8)^(R1474-1)</f>
        <v>4.1751772794513675</v>
      </c>
      <c r="T1474" s="682">
        <f t="shared" si="208"/>
        <v>943.52392694611672</v>
      </c>
      <c r="W1474" s="818"/>
      <c r="X1474" s="818"/>
      <c r="Y1474" s="819"/>
      <c r="Z1474" s="820"/>
      <c r="AA1474" s="820"/>
      <c r="AB1474" s="821"/>
      <c r="AC1474" s="821"/>
      <c r="AD1474" s="253"/>
      <c r="AE1474" s="253"/>
    </row>
    <row r="1475" spans="1:31" ht="14.5">
      <c r="A1475" t="s">
        <v>2589</v>
      </c>
      <c r="B1475" t="s">
        <v>1362</v>
      </c>
      <c r="C1475">
        <v>16514</v>
      </c>
      <c r="D1475" s="581"/>
      <c r="E1475" s="581"/>
      <c r="F1475" s="2">
        <f>(1/S1475)*cnst_fish!$C$6</f>
        <v>1.0179208487545861</v>
      </c>
      <c r="G1475" s="2">
        <f t="shared" si="211"/>
        <v>1</v>
      </c>
      <c r="H1475" s="2">
        <f t="shared" si="211"/>
        <v>0.36449057933102513</v>
      </c>
      <c r="I1475" s="2">
        <f t="shared" si="203"/>
        <v>0</v>
      </c>
      <c r="J1475" s="389">
        <f t="shared" si="204"/>
        <v>0</v>
      </c>
      <c r="L1475" s="721">
        <v>2050</v>
      </c>
      <c r="M1475" s="581"/>
      <c r="N1475" s="585" t="s">
        <v>2322</v>
      </c>
      <c r="O1475" s="586" t="s">
        <v>4680</v>
      </c>
      <c r="P1475" s="233">
        <f t="shared" si="205"/>
        <v>0</v>
      </c>
      <c r="Q1475" s="233">
        <f t="shared" si="206"/>
        <v>2050</v>
      </c>
      <c r="R1475" s="2">
        <f t="shared" si="207"/>
        <v>2.4713768380352099</v>
      </c>
      <c r="S1475" s="2">
        <f>(1/9)*cnst_fish!$C$7*(1/cnst_fish!$C$8)^(R1475-1)</f>
        <v>4.1751772794513675</v>
      </c>
      <c r="T1475" s="682">
        <f t="shared" si="208"/>
        <v>734.05087295618193</v>
      </c>
      <c r="W1475" s="818"/>
      <c r="X1475" s="818"/>
      <c r="Y1475" s="819"/>
      <c r="Z1475" s="820"/>
      <c r="AA1475" s="820"/>
      <c r="AB1475" s="821"/>
      <c r="AC1475" s="821"/>
      <c r="AD1475" s="253"/>
      <c r="AE1475" s="253"/>
    </row>
    <row r="1476" spans="1:31" ht="14.5">
      <c r="A1476" t="s">
        <v>1954</v>
      </c>
      <c r="B1476" t="s">
        <v>1955</v>
      </c>
      <c r="C1476">
        <v>16515</v>
      </c>
      <c r="D1476" s="581"/>
      <c r="E1476" s="581"/>
      <c r="F1476" s="2">
        <f>(1/S1476)*cnst_fish!$C$6</f>
        <v>0.14481532779905856</v>
      </c>
      <c r="G1476" s="2">
        <f t="shared" si="211"/>
        <v>1</v>
      </c>
      <c r="H1476" s="2">
        <f t="shared" si="211"/>
        <v>0.36449057933102513</v>
      </c>
      <c r="I1476" s="2">
        <f t="shared" si="203"/>
        <v>0</v>
      </c>
      <c r="J1476" s="389">
        <f t="shared" si="204"/>
        <v>0</v>
      </c>
      <c r="L1476" s="721">
        <v>22469</v>
      </c>
      <c r="M1476" s="581"/>
      <c r="N1476" s="585" t="s">
        <v>2322</v>
      </c>
      <c r="O1476" s="586" t="s">
        <v>4680</v>
      </c>
      <c r="P1476" s="233">
        <f t="shared" si="205"/>
        <v>0</v>
      </c>
      <c r="Q1476" s="233">
        <f t="shared" si="206"/>
        <v>22469</v>
      </c>
      <c r="R1476" s="2">
        <f t="shared" si="207"/>
        <v>3.3182763159269002</v>
      </c>
      <c r="S1476" s="2">
        <f>(1/9)*cnst_fish!$C$7*(1/cnst_fish!$C$8)^(R1476-1)</f>
        <v>29.347722127157517</v>
      </c>
      <c r="T1476" s="682">
        <f t="shared" si="208"/>
        <v>56552.983385520085</v>
      </c>
      <c r="W1476" s="818"/>
      <c r="X1476" s="818"/>
      <c r="Y1476" s="819"/>
      <c r="Z1476" s="820"/>
      <c r="AA1476" s="820"/>
      <c r="AB1476" s="821"/>
      <c r="AC1476" s="821"/>
      <c r="AD1476" s="253"/>
      <c r="AE1476" s="253"/>
    </row>
    <row r="1477" spans="1:31" ht="14.5">
      <c r="A1477" t="s">
        <v>2592</v>
      </c>
      <c r="B1477" t="s">
        <v>2267</v>
      </c>
      <c r="C1477">
        <v>16516</v>
      </c>
      <c r="D1477" s="581"/>
      <c r="E1477" s="581"/>
      <c r="F1477" s="2">
        <f>(1/S1477)*cnst_fish!$C$6</f>
        <v>1.0179208487545861</v>
      </c>
      <c r="G1477" s="2">
        <f t="shared" si="211"/>
        <v>1</v>
      </c>
      <c r="H1477" s="2">
        <f t="shared" si="211"/>
        <v>0.36449057933102513</v>
      </c>
      <c r="I1477" s="2">
        <f t="shared" si="203"/>
        <v>0</v>
      </c>
      <c r="J1477" s="389">
        <f t="shared" si="204"/>
        <v>0</v>
      </c>
      <c r="L1477" s="721">
        <v>56</v>
      </c>
      <c r="M1477" s="581"/>
      <c r="N1477" s="585" t="s">
        <v>2322</v>
      </c>
      <c r="O1477" s="586" t="s">
        <v>4680</v>
      </c>
      <c r="P1477" s="233">
        <f t="shared" si="205"/>
        <v>0</v>
      </c>
      <c r="Q1477" s="233">
        <f t="shared" si="206"/>
        <v>56</v>
      </c>
      <c r="R1477" s="2">
        <f t="shared" si="207"/>
        <v>2.4713768380352099</v>
      </c>
      <c r="S1477" s="2">
        <f>(1/9)*cnst_fish!$C$7*(1/cnst_fish!$C$8)^(R1477-1)</f>
        <v>4.1751772794513675</v>
      </c>
      <c r="T1477" s="682">
        <f t="shared" si="208"/>
        <v>20.052121407583506</v>
      </c>
      <c r="W1477" s="818"/>
      <c r="X1477" s="818"/>
      <c r="Y1477" s="819"/>
      <c r="Z1477" s="820"/>
      <c r="AA1477" s="820"/>
      <c r="AB1477" s="821"/>
      <c r="AC1477" s="821"/>
      <c r="AD1477" s="253"/>
      <c r="AE1477" s="253"/>
    </row>
    <row r="1478" spans="1:31" ht="14.5">
      <c r="A1478" t="s">
        <v>5260</v>
      </c>
      <c r="B1478" t="s">
        <v>2268</v>
      </c>
      <c r="C1478">
        <v>3426</v>
      </c>
      <c r="D1478" s="581"/>
      <c r="E1478" s="581"/>
      <c r="F1478" s="2">
        <f>(1/S1478)*cnst_fish!$C$6</f>
        <v>1.5103960722494616</v>
      </c>
      <c r="G1478" s="2">
        <f t="shared" si="211"/>
        <v>1</v>
      </c>
      <c r="H1478" s="2">
        <f t="shared" si="211"/>
        <v>0.36449057933102513</v>
      </c>
      <c r="I1478" s="2">
        <f t="shared" si="203"/>
        <v>0</v>
      </c>
      <c r="J1478" s="389">
        <f t="shared" si="204"/>
        <v>0</v>
      </c>
      <c r="L1478" s="721">
        <v>133</v>
      </c>
      <c r="M1478" s="581"/>
      <c r="N1478" s="585" t="s">
        <v>2322</v>
      </c>
      <c r="O1478" s="586" t="s">
        <v>4680</v>
      </c>
      <c r="P1478" s="233">
        <f t="shared" si="205"/>
        <v>0</v>
      </c>
      <c r="Q1478" s="233">
        <f t="shared" si="206"/>
        <v>133</v>
      </c>
      <c r="R1478" s="2">
        <f t="shared" si="207"/>
        <v>2.2999999999999998</v>
      </c>
      <c r="S1478" s="2">
        <f>(1/9)*cnst_fish!$C$7*(1/cnst_fish!$C$8)^(R1478-1)</f>
        <v>2.8138314698279068</v>
      </c>
      <c r="T1478" s="682">
        <f t="shared" si="208"/>
        <v>32.095718428894124</v>
      </c>
      <c r="W1478" s="818"/>
      <c r="X1478" s="818"/>
      <c r="Y1478" s="819"/>
      <c r="Z1478" s="820"/>
      <c r="AA1478" s="820"/>
      <c r="AB1478" s="821"/>
      <c r="AC1478" s="821"/>
      <c r="AD1478" s="253"/>
      <c r="AE1478" s="253"/>
    </row>
    <row r="1479" spans="1:31" ht="14.5">
      <c r="A1479" t="s">
        <v>6678</v>
      </c>
      <c r="B1479" t="s">
        <v>6677</v>
      </c>
      <c r="C1479">
        <v>16518</v>
      </c>
      <c r="D1479" s="581"/>
      <c r="E1479" s="581"/>
      <c r="F1479" s="2">
        <f>(1/S1479)*cnst_fish!$C$6</f>
        <v>3.0136363636363641</v>
      </c>
      <c r="G1479" s="2">
        <f t="shared" si="211"/>
        <v>1</v>
      </c>
      <c r="H1479" s="2">
        <f t="shared" si="211"/>
        <v>0.36449057933102513</v>
      </c>
      <c r="I1479" s="2">
        <f t="shared" ref="I1479:I1542" si="212">IF($F1479=0,0,D1479/$F1479*$H1479*$G1479)</f>
        <v>0</v>
      </c>
      <c r="J1479" s="389">
        <f t="shared" ref="J1479:J1542" si="213">IF($F1479=0,0,E1479/$F1479*$H1479*$G1479)</f>
        <v>0</v>
      </c>
      <c r="L1479" s="721">
        <v>401</v>
      </c>
      <c r="M1479" s="581"/>
      <c r="N1479" s="585" t="s">
        <v>2322</v>
      </c>
      <c r="O1479" s="586" t="s">
        <v>4680</v>
      </c>
      <c r="P1479" s="233">
        <f t="shared" ref="P1479:P1542" si="214">D1479+E1479</f>
        <v>0</v>
      </c>
      <c r="Q1479" s="233">
        <f t="shared" ref="Q1479:Q1542" si="215">L1479+M1479</f>
        <v>401</v>
      </c>
      <c r="R1479" s="2">
        <f t="shared" ref="R1479:R1542" si="216">VLOOKUP(B1479,constant_fish_trophic,3,FALSE)</f>
        <v>2</v>
      </c>
      <c r="S1479" s="2">
        <f>(1/9)*cnst_fish!$C$7*(1/cnst_fish!$C$8)^(R1479-1)</f>
        <v>1.4102564102564099</v>
      </c>
      <c r="T1479" s="682">
        <f t="shared" ref="T1479:T1542" si="217">IF(F1479=0,0,Q1479/F1479*H1479*G1479)</f>
        <v>48.499787192432926</v>
      </c>
      <c r="W1479" s="818"/>
      <c r="X1479" s="818"/>
      <c r="Y1479" s="819"/>
      <c r="Z1479" s="820"/>
      <c r="AA1479" s="820"/>
      <c r="AB1479" s="821"/>
      <c r="AC1479" s="821"/>
      <c r="AD1479" s="253"/>
      <c r="AE1479" s="253"/>
    </row>
    <row r="1480" spans="1:31" ht="14.5">
      <c r="A1480" t="s">
        <v>1623</v>
      </c>
      <c r="B1480" t="s">
        <v>2269</v>
      </c>
      <c r="C1480">
        <v>2604</v>
      </c>
      <c r="D1480" s="581">
        <v>83053</v>
      </c>
      <c r="E1480" s="581"/>
      <c r="F1480" s="2">
        <f>(1/S1480)*cnst_fish!$C$6</f>
        <v>1.5103960722494616</v>
      </c>
      <c r="G1480" s="2">
        <f t="shared" si="211"/>
        <v>1</v>
      </c>
      <c r="H1480" s="2">
        <f t="shared" si="211"/>
        <v>0.36449057933102513</v>
      </c>
      <c r="I1480" s="2">
        <f t="shared" si="212"/>
        <v>20042.44889229281</v>
      </c>
      <c r="J1480" s="389">
        <f t="shared" si="213"/>
        <v>0</v>
      </c>
      <c r="L1480" s="721">
        <v>83113</v>
      </c>
      <c r="M1480" s="581"/>
      <c r="N1480" s="585" t="s">
        <v>2322</v>
      </c>
      <c r="O1480" s="586" t="s">
        <v>4680</v>
      </c>
      <c r="P1480" s="233">
        <f t="shared" si="214"/>
        <v>83053</v>
      </c>
      <c r="Q1480" s="233">
        <f t="shared" si="215"/>
        <v>83113</v>
      </c>
      <c r="R1480" s="2">
        <f t="shared" si="216"/>
        <v>2.2999999999999998</v>
      </c>
      <c r="S1480" s="2">
        <f>(1/9)*cnst_fish!$C$7*(1/cnst_fish!$C$8)^(R1480-1)</f>
        <v>2.8138314698279068</v>
      </c>
      <c r="T1480" s="682">
        <f t="shared" si="217"/>
        <v>20056.928163764493</v>
      </c>
      <c r="W1480" s="818"/>
      <c r="X1480" s="818"/>
      <c r="Y1480" s="819"/>
      <c r="Z1480" s="820"/>
      <c r="AA1480" s="820"/>
      <c r="AB1480" s="821"/>
      <c r="AC1480" s="821"/>
      <c r="AD1480" s="253"/>
      <c r="AE1480" s="253"/>
    </row>
    <row r="1481" spans="1:31" ht="14.5">
      <c r="A1481" t="s">
        <v>4269</v>
      </c>
      <c r="B1481" t="s">
        <v>8704</v>
      </c>
      <c r="C1481">
        <v>2193</v>
      </c>
      <c r="D1481" s="581"/>
      <c r="E1481" s="581"/>
      <c r="F1481" s="2">
        <f>(1/S1481)*cnst_fish!$C$6</f>
        <v>0.23938164528281752</v>
      </c>
      <c r="G1481" s="2">
        <f t="shared" si="211"/>
        <v>1</v>
      </c>
      <c r="H1481" s="2">
        <f t="shared" si="211"/>
        <v>0.36449057933102513</v>
      </c>
      <c r="I1481" s="2">
        <f t="shared" si="212"/>
        <v>0</v>
      </c>
      <c r="J1481" s="389">
        <f t="shared" si="213"/>
        <v>0</v>
      </c>
      <c r="L1481" s="721"/>
      <c r="M1481" s="581"/>
      <c r="N1481" s="585" t="s">
        <v>1738</v>
      </c>
      <c r="O1481" s="586" t="s">
        <v>4685</v>
      </c>
      <c r="P1481" s="233">
        <f t="shared" si="214"/>
        <v>0</v>
      </c>
      <c r="Q1481" s="233">
        <f t="shared" si="215"/>
        <v>0</v>
      </c>
      <c r="R1481" s="2">
        <f t="shared" si="216"/>
        <v>3.1</v>
      </c>
      <c r="S1481" s="2">
        <f>(1/9)*cnst_fish!$C$7*(1/cnst_fish!$C$8)^(R1481-1)</f>
        <v>17.754076320174157</v>
      </c>
      <c r="T1481" s="682">
        <f t="shared" si="217"/>
        <v>0</v>
      </c>
      <c r="W1481" s="818"/>
      <c r="X1481" s="818"/>
      <c r="Y1481" s="819"/>
      <c r="Z1481" s="820"/>
      <c r="AA1481" s="820"/>
      <c r="AB1481" s="821"/>
      <c r="AC1481" s="821"/>
      <c r="AD1481" s="253"/>
      <c r="AE1481" s="253"/>
    </row>
    <row r="1482" spans="1:31" ht="14.5">
      <c r="A1482" t="s">
        <v>6556</v>
      </c>
      <c r="B1482" t="s">
        <v>42</v>
      </c>
      <c r="C1482">
        <v>19131</v>
      </c>
      <c r="D1482" s="581"/>
      <c r="E1482" s="581"/>
      <c r="F1482" s="2">
        <f>(1/S1482)*cnst_fish!$C$6</f>
        <v>0.52370997702765276</v>
      </c>
      <c r="G1482" s="2">
        <f t="shared" si="211"/>
        <v>1</v>
      </c>
      <c r="H1482" s="2">
        <f t="shared" si="211"/>
        <v>0.36449057933102513</v>
      </c>
      <c r="I1482" s="2">
        <f t="shared" si="212"/>
        <v>0</v>
      </c>
      <c r="J1482" s="389">
        <f t="shared" si="213"/>
        <v>0</v>
      </c>
      <c r="L1482" s="721"/>
      <c r="M1482" s="581">
        <v>26736.880000000001</v>
      </c>
      <c r="N1482" s="585" t="s">
        <v>1738</v>
      </c>
      <c r="O1482" s="586" t="s">
        <v>4685</v>
      </c>
      <c r="P1482" s="233">
        <f t="shared" si="214"/>
        <v>0</v>
      </c>
      <c r="Q1482" s="233">
        <f t="shared" si="215"/>
        <v>26736.880000000001</v>
      </c>
      <c r="R1482" s="2">
        <f t="shared" si="216"/>
        <v>2.76</v>
      </c>
      <c r="S1482" s="2">
        <f>(1/9)*cnst_fish!$C$7*(1/cnst_fish!$C$8)^(R1482-1)</f>
        <v>8.1151786034727245</v>
      </c>
      <c r="T1482" s="682">
        <f t="shared" si="217"/>
        <v>18608.278070267756</v>
      </c>
      <c r="W1482" s="818"/>
      <c r="X1482" s="818"/>
      <c r="Y1482" s="819"/>
      <c r="Z1482" s="820"/>
      <c r="AA1482" s="820"/>
      <c r="AB1482" s="821"/>
      <c r="AC1482" s="821"/>
      <c r="AD1482" s="253"/>
      <c r="AE1482" s="253"/>
    </row>
    <row r="1483" spans="1:31" ht="14.5">
      <c r="A1483" t="s">
        <v>4233</v>
      </c>
      <c r="B1483" t="s">
        <v>8705</v>
      </c>
      <c r="C1483">
        <v>2979</v>
      </c>
      <c r="D1483" s="581"/>
      <c r="E1483" s="581"/>
      <c r="F1483" s="2">
        <f>(1/S1483)*cnst_fish!$C$6</f>
        <v>0.11997502458044032</v>
      </c>
      <c r="G1483" s="2">
        <f t="shared" si="211"/>
        <v>1</v>
      </c>
      <c r="H1483" s="2">
        <f t="shared" si="211"/>
        <v>0.36449057933102513</v>
      </c>
      <c r="I1483" s="2">
        <f t="shared" si="212"/>
        <v>0</v>
      </c>
      <c r="J1483" s="389">
        <f t="shared" si="213"/>
        <v>0</v>
      </c>
      <c r="L1483" s="721"/>
      <c r="M1483" s="581"/>
      <c r="N1483" s="585" t="s">
        <v>1738</v>
      </c>
      <c r="O1483" s="586" t="s">
        <v>4685</v>
      </c>
      <c r="P1483" s="233">
        <f t="shared" si="214"/>
        <v>0</v>
      </c>
      <c r="Q1483" s="233">
        <f t="shared" si="215"/>
        <v>0</v>
      </c>
      <c r="R1483" s="2">
        <f t="shared" si="216"/>
        <v>3.4</v>
      </c>
      <c r="S1483" s="2">
        <f>(1/9)*cnst_fish!$C$7*(1/cnst_fish!$C$8)^(R1483-1)</f>
        <v>35.424039418724846</v>
      </c>
      <c r="T1483" s="682">
        <f t="shared" si="217"/>
        <v>0</v>
      </c>
      <c r="W1483" s="818"/>
      <c r="X1483" s="818"/>
      <c r="Y1483" s="819"/>
      <c r="Z1483" s="820"/>
      <c r="AA1483" s="820"/>
      <c r="AB1483" s="821"/>
      <c r="AC1483" s="821"/>
      <c r="AD1483" s="253"/>
      <c r="AE1483" s="253"/>
    </row>
    <row r="1484" spans="1:31" ht="14.5">
      <c r="A1484" t="s">
        <v>3168</v>
      </c>
      <c r="B1484" t="s">
        <v>3190</v>
      </c>
      <c r="C1484">
        <v>2192</v>
      </c>
      <c r="D1484" s="581"/>
      <c r="E1484" s="581"/>
      <c r="F1484" s="2">
        <f>(1/S1484)*cnst_fish!$C$6</f>
        <v>0.13154999853419541</v>
      </c>
      <c r="G1484" s="2">
        <f t="shared" si="211"/>
        <v>1</v>
      </c>
      <c r="H1484" s="2">
        <f t="shared" si="211"/>
        <v>0.36449057933102513</v>
      </c>
      <c r="I1484" s="2">
        <f t="shared" si="212"/>
        <v>0</v>
      </c>
      <c r="J1484" s="389">
        <f t="shared" si="213"/>
        <v>0</v>
      </c>
      <c r="L1484" s="721"/>
      <c r="M1484" s="581">
        <v>3732</v>
      </c>
      <c r="N1484" s="585" t="s">
        <v>1738</v>
      </c>
      <c r="O1484" s="586" t="s">
        <v>4685</v>
      </c>
      <c r="P1484" s="233">
        <f t="shared" si="214"/>
        <v>0</v>
      </c>
      <c r="Q1484" s="233">
        <f t="shared" si="215"/>
        <v>3732</v>
      </c>
      <c r="R1484" s="2">
        <f t="shared" si="216"/>
        <v>3.36</v>
      </c>
      <c r="S1484" s="2">
        <f>(1/9)*cnst_fish!$C$7*(1/cnst_fish!$C$8)^(R1484-1)</f>
        <v>32.307107923648097</v>
      </c>
      <c r="T1484" s="682">
        <f t="shared" si="217"/>
        <v>10340.394201599263</v>
      </c>
      <c r="W1484" s="818"/>
      <c r="X1484" s="818"/>
      <c r="Y1484" s="819"/>
      <c r="Z1484" s="820"/>
      <c r="AA1484" s="820"/>
      <c r="AB1484" s="821"/>
      <c r="AC1484" s="821"/>
      <c r="AD1484" s="253"/>
      <c r="AE1484" s="253"/>
    </row>
    <row r="1485" spans="1:31" ht="12.75" customHeight="1">
      <c r="A1485" t="s">
        <v>2690</v>
      </c>
      <c r="B1485" t="s">
        <v>3934</v>
      </c>
      <c r="C1485">
        <v>3554</v>
      </c>
      <c r="D1485" s="581"/>
      <c r="E1485" s="581"/>
      <c r="F1485" s="2">
        <f>(1/S1485)*cnst_fish!$C$6</f>
        <v>2.3938164528281742</v>
      </c>
      <c r="G1485" s="2">
        <f t="shared" si="211"/>
        <v>1</v>
      </c>
      <c r="H1485" s="2">
        <f t="shared" si="211"/>
        <v>0.36449057933102513</v>
      </c>
      <c r="I1485" s="2">
        <f t="shared" si="212"/>
        <v>0</v>
      </c>
      <c r="J1485" s="389">
        <f t="shared" si="213"/>
        <v>0</v>
      </c>
      <c r="L1485" s="721">
        <v>4823</v>
      </c>
      <c r="M1485" s="581"/>
      <c r="N1485" s="585" t="s">
        <v>1736</v>
      </c>
      <c r="O1485" s="586" t="s">
        <v>4691</v>
      </c>
      <c r="P1485" s="233">
        <f t="shared" si="214"/>
        <v>0</v>
      </c>
      <c r="Q1485" s="233">
        <f t="shared" si="215"/>
        <v>4823</v>
      </c>
      <c r="R1485" s="2">
        <f t="shared" si="216"/>
        <v>2.1</v>
      </c>
      <c r="S1485" s="2">
        <f>(1/9)*cnst_fish!$C$7*(1/cnst_fish!$C$8)^(R1485-1)</f>
        <v>1.7754076320174161</v>
      </c>
      <c r="T1485" s="682">
        <f t="shared" si="217"/>
        <v>734.36627191555078</v>
      </c>
      <c r="W1485" s="818"/>
      <c r="X1485" s="818"/>
      <c r="Y1485" s="819"/>
      <c r="Z1485" s="820"/>
      <c r="AA1485" s="820"/>
      <c r="AB1485" s="821"/>
      <c r="AC1485" s="821"/>
      <c r="AD1485" s="253"/>
      <c r="AE1485" s="253"/>
    </row>
    <row r="1486" spans="1:31" ht="12.75" customHeight="1">
      <c r="A1486" t="s">
        <v>827</v>
      </c>
      <c r="B1486" t="s">
        <v>4817</v>
      </c>
      <c r="C1486">
        <v>3445</v>
      </c>
      <c r="D1486" s="581"/>
      <c r="E1486" s="581"/>
      <c r="F1486" s="2">
        <f>(1/S1486)*cnst_fish!$C$6</f>
        <v>0.19014759972289441</v>
      </c>
      <c r="G1486" s="2">
        <f t="shared" si="211"/>
        <v>1</v>
      </c>
      <c r="H1486" s="2">
        <f t="shared" si="211"/>
        <v>0.36449057933102513</v>
      </c>
      <c r="I1486" s="2">
        <f t="shared" si="212"/>
        <v>0</v>
      </c>
      <c r="J1486" s="389">
        <f t="shared" si="213"/>
        <v>0</v>
      </c>
      <c r="L1486" s="721">
        <v>35625</v>
      </c>
      <c r="M1486" s="581"/>
      <c r="N1486" s="585" t="s">
        <v>2312</v>
      </c>
      <c r="O1486" s="586" t="s">
        <v>4680</v>
      </c>
      <c r="P1486" s="233">
        <f t="shared" si="214"/>
        <v>0</v>
      </c>
      <c r="Q1486" s="233">
        <f t="shared" si="215"/>
        <v>35625</v>
      </c>
      <c r="R1486" s="2">
        <f t="shared" si="216"/>
        <v>3.2</v>
      </c>
      <c r="S1486" s="2">
        <f>(1/9)*cnst_fish!$C$7*(1/cnst_fish!$C$8)^(R1486-1)</f>
        <v>22.351057842400341</v>
      </c>
      <c r="T1486" s="682">
        <f t="shared" si="217"/>
        <v>68288.934004904688</v>
      </c>
      <c r="W1486" s="818"/>
      <c r="X1486" s="818"/>
      <c r="Y1486" s="819"/>
      <c r="Z1486" s="820"/>
      <c r="AA1486" s="820"/>
      <c r="AB1486" s="821"/>
      <c r="AC1486" s="821"/>
      <c r="AD1486" s="253"/>
      <c r="AE1486" s="253"/>
    </row>
    <row r="1487" spans="1:31" ht="12.75" customHeight="1">
      <c r="A1487" t="s">
        <v>2960</v>
      </c>
      <c r="B1487" t="s">
        <v>4818</v>
      </c>
      <c r="C1487">
        <v>2616</v>
      </c>
      <c r="D1487" s="581"/>
      <c r="E1487" s="581"/>
      <c r="F1487" s="2">
        <f>(1/S1487)*cnst_fish!$C$6</f>
        <v>0.75699122913220485</v>
      </c>
      <c r="G1487" s="2">
        <f t="shared" si="211"/>
        <v>1</v>
      </c>
      <c r="H1487" s="2">
        <f t="shared" si="211"/>
        <v>0.36449057933102513</v>
      </c>
      <c r="I1487" s="2">
        <f t="shared" si="212"/>
        <v>0</v>
      </c>
      <c r="J1487" s="389">
        <f t="shared" si="213"/>
        <v>0</v>
      </c>
      <c r="L1487" s="721">
        <v>8097</v>
      </c>
      <c r="M1487" s="581"/>
      <c r="N1487" s="585" t="s">
        <v>2312</v>
      </c>
      <c r="O1487" s="586" t="s">
        <v>4680</v>
      </c>
      <c r="P1487" s="233">
        <f t="shared" si="214"/>
        <v>0</v>
      </c>
      <c r="Q1487" s="233">
        <f t="shared" si="215"/>
        <v>8097</v>
      </c>
      <c r="R1487" s="2">
        <f t="shared" si="216"/>
        <v>2.6</v>
      </c>
      <c r="S1487" s="2">
        <f>(1/9)*cnst_fish!$C$7*(1/cnst_fish!$C$8)^(R1487-1)</f>
        <v>5.6143318924211183</v>
      </c>
      <c r="T1487" s="682">
        <f t="shared" si="217"/>
        <v>3898.6980393769977</v>
      </c>
      <c r="W1487" s="818"/>
      <c r="X1487" s="818"/>
      <c r="Y1487" s="819"/>
      <c r="Z1487" s="820"/>
      <c r="AA1487" s="820"/>
      <c r="AB1487" s="821"/>
      <c r="AC1487" s="821"/>
      <c r="AD1487" s="253"/>
      <c r="AE1487" s="253"/>
    </row>
    <row r="1488" spans="1:31" ht="12.75" customHeight="1">
      <c r="A1488" t="s">
        <v>2653</v>
      </c>
      <c r="B1488" t="s">
        <v>3373</v>
      </c>
      <c r="C1488">
        <v>16234</v>
      </c>
      <c r="D1488" s="581"/>
      <c r="E1488" s="581"/>
      <c r="F1488" s="2">
        <f>(1/S1488)*cnst_fish!$C$6</f>
        <v>0.3314045734418738</v>
      </c>
      <c r="G1488" s="2">
        <f t="shared" ref="G1488:H1507" si="218">G$7</f>
        <v>1</v>
      </c>
      <c r="H1488" s="2">
        <f t="shared" si="218"/>
        <v>0.36449057933102513</v>
      </c>
      <c r="I1488" s="2">
        <f t="shared" si="212"/>
        <v>0</v>
      </c>
      <c r="J1488" s="389">
        <f t="shared" si="213"/>
        <v>0</v>
      </c>
      <c r="L1488" s="721">
        <v>171</v>
      </c>
      <c r="M1488" s="581"/>
      <c r="N1488" s="585" t="s">
        <v>3790</v>
      </c>
      <c r="O1488" s="586" t="s">
        <v>4680</v>
      </c>
      <c r="P1488" s="233">
        <f t="shared" si="214"/>
        <v>0</v>
      </c>
      <c r="Q1488" s="233">
        <f t="shared" si="215"/>
        <v>171</v>
      </c>
      <c r="R1488" s="2">
        <f t="shared" si="216"/>
        <v>2.9587323501170402</v>
      </c>
      <c r="S1488" s="2">
        <f>(1/9)*cnst_fish!$C$7*(1/cnst_fish!$C$8)^(R1488-1)</f>
        <v>12.824204433453367</v>
      </c>
      <c r="T1488" s="682">
        <f t="shared" si="217"/>
        <v>188.0719038312765</v>
      </c>
      <c r="W1488" s="818"/>
      <c r="X1488" s="818"/>
      <c r="Y1488" s="819"/>
      <c r="Z1488" s="820"/>
      <c r="AA1488" s="820"/>
      <c r="AB1488" s="821"/>
      <c r="AC1488" s="821"/>
      <c r="AD1488" s="253"/>
      <c r="AE1488" s="253"/>
    </row>
    <row r="1489" spans="1:31" ht="12.75" customHeight="1">
      <c r="A1489" t="s">
        <v>4714</v>
      </c>
      <c r="B1489" t="s">
        <v>3374</v>
      </c>
      <c r="C1489">
        <v>3446</v>
      </c>
      <c r="D1489" s="581"/>
      <c r="E1489" s="581"/>
      <c r="F1489" s="2">
        <f>(1/S1489)*cnst_fish!$C$6</f>
        <v>0.19014759972289441</v>
      </c>
      <c r="G1489" s="2">
        <f t="shared" si="218"/>
        <v>1</v>
      </c>
      <c r="H1489" s="2">
        <f t="shared" si="218"/>
        <v>0.36449057933102513</v>
      </c>
      <c r="I1489" s="2">
        <f t="shared" si="212"/>
        <v>0</v>
      </c>
      <c r="J1489" s="389">
        <f t="shared" si="213"/>
        <v>0</v>
      </c>
      <c r="L1489" s="721">
        <v>162</v>
      </c>
      <c r="M1489" s="581"/>
      <c r="N1489" s="585" t="s">
        <v>2312</v>
      </c>
      <c r="O1489" s="586" t="s">
        <v>4680</v>
      </c>
      <c r="P1489" s="233">
        <f t="shared" si="214"/>
        <v>0</v>
      </c>
      <c r="Q1489" s="233">
        <f t="shared" si="215"/>
        <v>162</v>
      </c>
      <c r="R1489" s="2">
        <f t="shared" si="216"/>
        <v>3.2</v>
      </c>
      <c r="S1489" s="2">
        <f>(1/9)*cnst_fish!$C$7*(1/cnst_fish!$C$8)^(R1489-1)</f>
        <v>22.351057842400341</v>
      </c>
      <c r="T1489" s="682">
        <f t="shared" si="217"/>
        <v>310.53494200125078</v>
      </c>
      <c r="W1489" s="818"/>
      <c r="X1489" s="818"/>
      <c r="Y1489" s="819"/>
      <c r="Z1489" s="820"/>
      <c r="AA1489" s="820"/>
      <c r="AB1489" s="821"/>
      <c r="AC1489" s="821"/>
      <c r="AD1489" s="253"/>
      <c r="AE1489" s="253"/>
    </row>
    <row r="1490" spans="1:31" ht="12.75" customHeight="1">
      <c r="A1490" t="s">
        <v>4211</v>
      </c>
      <c r="B1490" t="s">
        <v>8706</v>
      </c>
      <c r="C1490">
        <v>16237</v>
      </c>
      <c r="D1490" s="581"/>
      <c r="E1490" s="581"/>
      <c r="F1490" s="2">
        <f>(1/S1490)*cnst_fish!$C$6</f>
        <v>0.51178888253733446</v>
      </c>
      <c r="G1490" s="2">
        <f t="shared" si="218"/>
        <v>1</v>
      </c>
      <c r="H1490" s="2">
        <f t="shared" si="218"/>
        <v>0.36449057933102513</v>
      </c>
      <c r="I1490" s="2">
        <f t="shared" si="212"/>
        <v>0</v>
      </c>
      <c r="J1490" s="389">
        <f t="shared" si="213"/>
        <v>0</v>
      </c>
      <c r="L1490" s="721"/>
      <c r="M1490" s="581"/>
      <c r="N1490" s="585" t="s">
        <v>3790</v>
      </c>
      <c r="O1490" s="586" t="s">
        <v>4680</v>
      </c>
      <c r="P1490" s="233">
        <f t="shared" si="214"/>
        <v>0</v>
      </c>
      <c r="Q1490" s="233">
        <f t="shared" si="215"/>
        <v>0</v>
      </c>
      <c r="R1490" s="2">
        <f t="shared" si="216"/>
        <v>2.77</v>
      </c>
      <c r="S1490" s="2">
        <f>(1/9)*cnst_fish!$C$7*(1/cnst_fish!$C$8)^(R1490-1)</f>
        <v>8.3042053960403628</v>
      </c>
      <c r="T1490" s="682">
        <f t="shared" si="217"/>
        <v>0</v>
      </c>
      <c r="W1490" s="818"/>
      <c r="X1490" s="818"/>
      <c r="Y1490" s="819"/>
      <c r="Z1490" s="820"/>
      <c r="AA1490" s="820"/>
      <c r="AB1490" s="821"/>
      <c r="AC1490" s="821"/>
      <c r="AD1490" s="253"/>
      <c r="AE1490" s="253"/>
    </row>
    <row r="1491" spans="1:31" ht="12.75" customHeight="1">
      <c r="A1491" t="s">
        <v>4452</v>
      </c>
      <c r="B1491" t="s">
        <v>4407</v>
      </c>
      <c r="C1491">
        <v>2614</v>
      </c>
      <c r="D1491" s="581"/>
      <c r="E1491" s="581"/>
      <c r="F1491" s="2">
        <f>(1/S1491)*cnst_fish!$C$6</f>
        <v>0.75699122913220485</v>
      </c>
      <c r="G1491" s="2">
        <f t="shared" si="218"/>
        <v>1</v>
      </c>
      <c r="H1491" s="2">
        <f t="shared" si="218"/>
        <v>0.36449057933102513</v>
      </c>
      <c r="I1491" s="2">
        <f t="shared" si="212"/>
        <v>0</v>
      </c>
      <c r="J1491" s="389">
        <f t="shared" si="213"/>
        <v>0</v>
      </c>
      <c r="L1491" s="721">
        <v>1212</v>
      </c>
      <c r="M1491" s="581"/>
      <c r="N1491" s="585" t="s">
        <v>2312</v>
      </c>
      <c r="O1491" s="586" t="s">
        <v>4680</v>
      </c>
      <c r="P1491" s="233">
        <f t="shared" si="214"/>
        <v>0</v>
      </c>
      <c r="Q1491" s="233">
        <f t="shared" si="215"/>
        <v>1212</v>
      </c>
      <c r="R1491" s="2">
        <f t="shared" si="216"/>
        <v>2.6</v>
      </c>
      <c r="S1491" s="2">
        <f>(1/9)*cnst_fish!$C$7*(1/cnst_fish!$C$8)^(R1491-1)</f>
        <v>5.6143318924211183</v>
      </c>
      <c r="T1491" s="682">
        <f t="shared" si="217"/>
        <v>583.57688325613458</v>
      </c>
      <c r="W1491" s="818"/>
      <c r="X1491" s="818"/>
      <c r="Y1491" s="819"/>
      <c r="Z1491" s="820"/>
      <c r="AA1491" s="820"/>
      <c r="AB1491" s="821"/>
      <c r="AC1491" s="821"/>
      <c r="AD1491" s="253"/>
      <c r="AE1491" s="253"/>
    </row>
    <row r="1492" spans="1:31" ht="12.75" customHeight="1">
      <c r="A1492" t="s">
        <v>6547</v>
      </c>
      <c r="B1492" t="s">
        <v>6546</v>
      </c>
      <c r="C1492">
        <v>16299</v>
      </c>
      <c r="D1492" s="581"/>
      <c r="E1492" s="581"/>
      <c r="F1492" s="2">
        <f>(1/S1492)*cnst_fish!$C$6</f>
        <v>3.0136363636363641</v>
      </c>
      <c r="G1492" s="2">
        <f t="shared" si="218"/>
        <v>1</v>
      </c>
      <c r="H1492" s="2">
        <f t="shared" si="218"/>
        <v>0.36449057933102513</v>
      </c>
      <c r="I1492" s="2">
        <f t="shared" si="212"/>
        <v>0</v>
      </c>
      <c r="J1492" s="389">
        <f t="shared" si="213"/>
        <v>0</v>
      </c>
      <c r="L1492" s="721">
        <v>580</v>
      </c>
      <c r="M1492" s="581"/>
      <c r="N1492" s="585" t="s">
        <v>2312</v>
      </c>
      <c r="O1492" s="586" t="s">
        <v>4680</v>
      </c>
      <c r="P1492" s="233">
        <f t="shared" si="214"/>
        <v>0</v>
      </c>
      <c r="Q1492" s="233">
        <f t="shared" si="215"/>
        <v>580</v>
      </c>
      <c r="R1492" s="2">
        <f t="shared" si="216"/>
        <v>2</v>
      </c>
      <c r="S1492" s="2">
        <f>(1/9)*cnst_fish!$C$7*(1/cnst_fish!$C$8)^(R1492-1)</f>
        <v>1.4102564102564099</v>
      </c>
      <c r="T1492" s="682">
        <f t="shared" si="217"/>
        <v>70.149318133693512</v>
      </c>
      <c r="W1492" s="818"/>
      <c r="X1492" s="818"/>
      <c r="Y1492" s="819"/>
      <c r="Z1492" s="820"/>
      <c r="AA1492" s="820"/>
      <c r="AB1492" s="821"/>
      <c r="AC1492" s="821"/>
      <c r="AD1492" s="253"/>
      <c r="AE1492" s="253"/>
    </row>
    <row r="1493" spans="1:31" ht="12.75" customHeight="1">
      <c r="A1493" t="s">
        <v>4223</v>
      </c>
      <c r="B1493" t="s">
        <v>8707</v>
      </c>
      <c r="C1493">
        <v>3444</v>
      </c>
      <c r="D1493" s="581"/>
      <c r="E1493" s="581"/>
      <c r="F1493" s="2">
        <f>(1/S1493)*cnst_fish!$C$6</f>
        <v>0.51178888253733446</v>
      </c>
      <c r="G1493" s="2">
        <f t="shared" si="218"/>
        <v>1</v>
      </c>
      <c r="H1493" s="2">
        <f t="shared" si="218"/>
        <v>0.36449057933102513</v>
      </c>
      <c r="I1493" s="2">
        <f t="shared" si="212"/>
        <v>0</v>
      </c>
      <c r="J1493" s="389">
        <f t="shared" si="213"/>
        <v>0</v>
      </c>
      <c r="L1493" s="721"/>
      <c r="M1493" s="581"/>
      <c r="N1493" s="585" t="s">
        <v>2322</v>
      </c>
      <c r="O1493" s="586" t="s">
        <v>4680</v>
      </c>
      <c r="P1493" s="233">
        <f t="shared" si="214"/>
        <v>0</v>
      </c>
      <c r="Q1493" s="233">
        <f t="shared" si="215"/>
        <v>0</v>
      </c>
      <c r="R1493" s="2">
        <f t="shared" si="216"/>
        <v>2.77</v>
      </c>
      <c r="S1493" s="2">
        <f>(1/9)*cnst_fish!$C$7*(1/cnst_fish!$C$8)^(R1493-1)</f>
        <v>8.3042053960403628</v>
      </c>
      <c r="T1493" s="682">
        <f t="shared" si="217"/>
        <v>0</v>
      </c>
      <c r="W1493" s="818"/>
      <c r="X1493" s="818"/>
      <c r="Y1493" s="819"/>
      <c r="Z1493" s="820"/>
      <c r="AA1493" s="820"/>
      <c r="AB1493" s="821"/>
      <c r="AC1493" s="821"/>
      <c r="AD1493" s="253"/>
      <c r="AE1493" s="253"/>
    </row>
    <row r="1494" spans="1:31" ht="12.75" customHeight="1">
      <c r="A1494" t="s">
        <v>3150</v>
      </c>
      <c r="B1494" t="s">
        <v>4408</v>
      </c>
      <c r="C1494">
        <v>3443</v>
      </c>
      <c r="D1494" s="581"/>
      <c r="E1494" s="581"/>
      <c r="F1494" s="2">
        <f>(1/S1494)*cnst_fish!$C$6</f>
        <v>0.47762917572805397</v>
      </c>
      <c r="G1494" s="2">
        <f t="shared" si="218"/>
        <v>1</v>
      </c>
      <c r="H1494" s="2">
        <f t="shared" si="218"/>
        <v>0.36449057933102513</v>
      </c>
      <c r="I1494" s="2">
        <f t="shared" si="212"/>
        <v>0</v>
      </c>
      <c r="J1494" s="389">
        <f t="shared" si="213"/>
        <v>0</v>
      </c>
      <c r="L1494" s="721">
        <v>25295.309999999998</v>
      </c>
      <c r="M1494" s="581"/>
      <c r="N1494" s="585" t="s">
        <v>2312</v>
      </c>
      <c r="O1494" s="586" t="s">
        <v>4680</v>
      </c>
      <c r="P1494" s="233">
        <f t="shared" si="214"/>
        <v>0</v>
      </c>
      <c r="Q1494" s="233">
        <f t="shared" si="215"/>
        <v>25295.309999999998</v>
      </c>
      <c r="R1494" s="2">
        <f t="shared" si="216"/>
        <v>2.8</v>
      </c>
      <c r="S1494" s="2">
        <f>(1/9)*cnst_fish!$C$7*(1/cnst_fish!$C$8)^(R1494-1)</f>
        <v>8.8981163965155421</v>
      </c>
      <c r="T1494" s="682">
        <f t="shared" si="217"/>
        <v>19303.473625127488</v>
      </c>
      <c r="W1494" s="818"/>
      <c r="X1494" s="818"/>
      <c r="Y1494" s="819"/>
      <c r="Z1494" s="820"/>
      <c r="AA1494" s="820"/>
      <c r="AB1494" s="821"/>
      <c r="AC1494" s="821"/>
      <c r="AD1494" s="253"/>
      <c r="AE1494" s="253"/>
    </row>
    <row r="1495" spans="1:31" ht="12.75" customHeight="1">
      <c r="A1495" t="s">
        <v>4193</v>
      </c>
      <c r="B1495" t="s">
        <v>8708</v>
      </c>
      <c r="C1495">
        <v>17576</v>
      </c>
      <c r="D1495" s="581"/>
      <c r="E1495" s="581"/>
      <c r="F1495" s="2">
        <f>(1/S1495)*cnst_fish!$C$6</f>
        <v>2.3938164528281742</v>
      </c>
      <c r="G1495" s="2">
        <f t="shared" si="218"/>
        <v>1</v>
      </c>
      <c r="H1495" s="2">
        <f t="shared" si="218"/>
        <v>0.36449057933102513</v>
      </c>
      <c r="I1495" s="2">
        <f t="shared" si="212"/>
        <v>0</v>
      </c>
      <c r="J1495" s="389">
        <f t="shared" si="213"/>
        <v>0</v>
      </c>
      <c r="L1495" s="721"/>
      <c r="M1495" s="581"/>
      <c r="N1495" s="585" t="s">
        <v>1736</v>
      </c>
      <c r="O1495" s="586" t="s">
        <v>4691</v>
      </c>
      <c r="P1495" s="233">
        <f t="shared" si="214"/>
        <v>0</v>
      </c>
      <c r="Q1495" s="233">
        <f t="shared" si="215"/>
        <v>0</v>
      </c>
      <c r="R1495" s="2">
        <f t="shared" si="216"/>
        <v>2.1</v>
      </c>
      <c r="S1495" s="2">
        <f>(1/9)*cnst_fish!$C$7*(1/cnst_fish!$C$8)^(R1495-1)</f>
        <v>1.7754076320174161</v>
      </c>
      <c r="T1495" s="682">
        <f t="shared" si="217"/>
        <v>0</v>
      </c>
      <c r="W1495" s="818"/>
      <c r="X1495" s="818"/>
      <c r="Y1495" s="819"/>
      <c r="Z1495" s="820"/>
      <c r="AA1495" s="820"/>
      <c r="AB1495" s="821"/>
      <c r="AC1495" s="821"/>
      <c r="AD1495" s="253"/>
      <c r="AE1495" s="253"/>
    </row>
    <row r="1496" spans="1:31" ht="12.75" customHeight="1">
      <c r="A1496" t="s">
        <v>5528</v>
      </c>
      <c r="B1496" t="s">
        <v>3935</v>
      </c>
      <c r="C1496">
        <v>3545</v>
      </c>
      <c r="D1496" s="581"/>
      <c r="E1496" s="581"/>
      <c r="F1496" s="2">
        <f>(1/S1496)*cnst_fish!$C$6</f>
        <v>2.3938164528281742</v>
      </c>
      <c r="G1496" s="2">
        <f t="shared" si="218"/>
        <v>1</v>
      </c>
      <c r="H1496" s="2">
        <f t="shared" si="218"/>
        <v>0.36449057933102513</v>
      </c>
      <c r="I1496" s="2">
        <f t="shared" si="212"/>
        <v>0</v>
      </c>
      <c r="J1496" s="389">
        <f t="shared" si="213"/>
        <v>0</v>
      </c>
      <c r="L1496" s="721">
        <v>9309</v>
      </c>
      <c r="M1496" s="581"/>
      <c r="N1496" s="585" t="s">
        <v>1736</v>
      </c>
      <c r="O1496" s="586" t="s">
        <v>4691</v>
      </c>
      <c r="P1496" s="233">
        <f t="shared" si="214"/>
        <v>0</v>
      </c>
      <c r="Q1496" s="233">
        <f t="shared" si="215"/>
        <v>9309</v>
      </c>
      <c r="R1496" s="2">
        <f t="shared" si="216"/>
        <v>2.1</v>
      </c>
      <c r="S1496" s="2">
        <f>(1/9)*cnst_fish!$C$7*(1/cnst_fish!$C$8)^(R1496-1)</f>
        <v>1.7754076320174161</v>
      </c>
      <c r="T1496" s="682">
        <f t="shared" si="217"/>
        <v>1417.4197854575705</v>
      </c>
      <c r="W1496" s="818"/>
      <c r="X1496" s="818"/>
      <c r="Y1496" s="819"/>
      <c r="Z1496" s="820"/>
      <c r="AA1496" s="820"/>
      <c r="AB1496" s="821"/>
      <c r="AC1496" s="821"/>
      <c r="AD1496" s="253"/>
      <c r="AE1496" s="253"/>
    </row>
    <row r="1497" spans="1:31" ht="12.75" customHeight="1">
      <c r="A1497" t="s">
        <v>3485</v>
      </c>
      <c r="B1497" t="s">
        <v>3936</v>
      </c>
      <c r="C1497">
        <v>17386</v>
      </c>
      <c r="D1497" s="581"/>
      <c r="E1497" s="581"/>
      <c r="F1497" s="2">
        <f>(1/S1497)*cnst_fish!$C$6</f>
        <v>2.6141530827766903</v>
      </c>
      <c r="G1497" s="2">
        <f t="shared" si="218"/>
        <v>1</v>
      </c>
      <c r="H1497" s="2">
        <f t="shared" si="218"/>
        <v>0.36449057933102513</v>
      </c>
      <c r="I1497" s="2">
        <f t="shared" si="212"/>
        <v>0</v>
      </c>
      <c r="J1497" s="389">
        <f t="shared" si="213"/>
        <v>0</v>
      </c>
      <c r="L1497" s="721">
        <v>784</v>
      </c>
      <c r="M1497" s="581"/>
      <c r="N1497" s="585" t="s">
        <v>1736</v>
      </c>
      <c r="O1497" s="586" t="s">
        <v>4691</v>
      </c>
      <c r="P1497" s="233">
        <f t="shared" si="214"/>
        <v>0</v>
      </c>
      <c r="Q1497" s="233">
        <f t="shared" si="215"/>
        <v>784</v>
      </c>
      <c r="R1497" s="2">
        <f t="shared" si="216"/>
        <v>2.0617598316454031</v>
      </c>
      <c r="S1497" s="2">
        <f>(1/9)*cnst_fish!$C$7*(1/cnst_fish!$C$8)^(R1497-1)</f>
        <v>1.6257655406644176</v>
      </c>
      <c r="T1497" s="682">
        <f t="shared" si="217"/>
        <v>109.3128845736898</v>
      </c>
      <c r="W1497" s="818"/>
      <c r="X1497" s="818"/>
      <c r="Y1497" s="819"/>
      <c r="Z1497" s="820"/>
      <c r="AA1497" s="820"/>
      <c r="AB1497" s="821"/>
      <c r="AC1497" s="821"/>
      <c r="AD1497" s="253"/>
      <c r="AE1497" s="253"/>
    </row>
    <row r="1498" spans="1:31" ht="12.75" customHeight="1">
      <c r="A1498" t="s">
        <v>4243</v>
      </c>
      <c r="B1498" t="s">
        <v>6599</v>
      </c>
      <c r="C1498">
        <v>14054</v>
      </c>
      <c r="D1498" s="581"/>
      <c r="E1498" s="581"/>
      <c r="F1498" s="2">
        <f>(1/S1498)*cnst_fish!$C$6</f>
        <v>7.5699122913220479E-2</v>
      </c>
      <c r="G1498" s="2">
        <f t="shared" si="218"/>
        <v>1</v>
      </c>
      <c r="H1498" s="2">
        <f t="shared" si="218"/>
        <v>0.36449057933102513</v>
      </c>
      <c r="I1498" s="2">
        <f t="shared" si="212"/>
        <v>0</v>
      </c>
      <c r="J1498" s="389">
        <f t="shared" si="213"/>
        <v>0</v>
      </c>
      <c r="L1498" s="721"/>
      <c r="M1498" s="581">
        <v>6</v>
      </c>
      <c r="N1498" s="585" t="s">
        <v>1738</v>
      </c>
      <c r="O1498" s="586" t="s">
        <v>4685</v>
      </c>
      <c r="P1498" s="233">
        <f t="shared" si="214"/>
        <v>0</v>
      </c>
      <c r="Q1498" s="233">
        <f t="shared" si="215"/>
        <v>6</v>
      </c>
      <c r="R1498" s="2">
        <f t="shared" si="216"/>
        <v>3.6</v>
      </c>
      <c r="S1498" s="2">
        <f>(1/9)*cnst_fish!$C$7*(1/cnst_fish!$C$8)^(R1498-1)</f>
        <v>56.143318924211187</v>
      </c>
      <c r="T1498" s="682">
        <f t="shared" si="217"/>
        <v>28.889944715650223</v>
      </c>
      <c r="W1498" s="818"/>
      <c r="X1498" s="818"/>
      <c r="Y1498" s="819"/>
      <c r="Z1498" s="820"/>
      <c r="AA1498" s="820"/>
      <c r="AB1498" s="821"/>
      <c r="AC1498" s="821"/>
      <c r="AD1498" s="253"/>
      <c r="AE1498" s="253"/>
    </row>
    <row r="1499" spans="1:31" ht="12.75" customHeight="1">
      <c r="A1499" t="s">
        <v>714</v>
      </c>
      <c r="B1499" t="s">
        <v>835</v>
      </c>
      <c r="C1499">
        <v>2768</v>
      </c>
      <c r="D1499" s="581"/>
      <c r="E1499" s="581"/>
      <c r="F1499" s="2">
        <f>(1/S1499)*cnst_fish!$C$6</f>
        <v>1.5103960722494616</v>
      </c>
      <c r="G1499" s="2">
        <f t="shared" si="218"/>
        <v>1</v>
      </c>
      <c r="H1499" s="2">
        <f t="shared" si="218"/>
        <v>0.36449057933102513</v>
      </c>
      <c r="I1499" s="2">
        <f t="shared" si="212"/>
        <v>0</v>
      </c>
      <c r="J1499" s="389">
        <f t="shared" si="213"/>
        <v>0</v>
      </c>
      <c r="L1499" s="721">
        <v>443</v>
      </c>
      <c r="M1499" s="581"/>
      <c r="N1499" s="585" t="s">
        <v>1736</v>
      </c>
      <c r="O1499" s="586" t="s">
        <v>4691</v>
      </c>
      <c r="P1499" s="233">
        <f t="shared" si="214"/>
        <v>0</v>
      </c>
      <c r="Q1499" s="233">
        <f t="shared" si="215"/>
        <v>443</v>
      </c>
      <c r="R1499" s="2">
        <f t="shared" si="216"/>
        <v>2.2999999999999998</v>
      </c>
      <c r="S1499" s="2">
        <f>(1/9)*cnst_fish!$C$7*(1/cnst_fish!$C$8)^(R1499-1)</f>
        <v>2.8138314698279068</v>
      </c>
      <c r="T1499" s="682">
        <f t="shared" si="217"/>
        <v>106.90528769924885</v>
      </c>
      <c r="W1499" s="818"/>
      <c r="X1499" s="818"/>
      <c r="Y1499" s="819"/>
      <c r="Z1499" s="820"/>
      <c r="AA1499" s="820"/>
      <c r="AB1499" s="821"/>
      <c r="AC1499" s="821"/>
      <c r="AD1499" s="253"/>
      <c r="AE1499" s="253"/>
    </row>
    <row r="1500" spans="1:31" ht="12.75" customHeight="1">
      <c r="A1500" t="s">
        <v>6557</v>
      </c>
      <c r="B1500" t="s">
        <v>5504</v>
      </c>
      <c r="C1500">
        <v>2448</v>
      </c>
      <c r="D1500" s="581"/>
      <c r="E1500" s="581"/>
      <c r="F1500" s="2">
        <f>(1/S1500)*cnst_fish!$C$6</f>
        <v>2.7484690295134888E-2</v>
      </c>
      <c r="G1500" s="2">
        <f t="shared" si="218"/>
        <v>1</v>
      </c>
      <c r="H1500" s="2">
        <f t="shared" si="218"/>
        <v>0.36449057933102513</v>
      </c>
      <c r="I1500" s="2">
        <f t="shared" si="212"/>
        <v>0</v>
      </c>
      <c r="J1500" s="389">
        <f t="shared" si="213"/>
        <v>0</v>
      </c>
      <c r="L1500" s="721">
        <v>0</v>
      </c>
      <c r="M1500" s="581"/>
      <c r="N1500" s="585" t="s">
        <v>1738</v>
      </c>
      <c r="O1500" s="586" t="s">
        <v>4681</v>
      </c>
      <c r="P1500" s="233">
        <f t="shared" si="214"/>
        <v>0</v>
      </c>
      <c r="Q1500" s="233">
        <f t="shared" si="215"/>
        <v>0</v>
      </c>
      <c r="R1500" s="2">
        <f t="shared" si="216"/>
        <v>4.04</v>
      </c>
      <c r="S1500" s="2">
        <f>(1/9)*cnst_fish!$C$7*(1/cnst_fish!$C$8)^(R1500-1)</f>
        <v>154.63154048173138</v>
      </c>
      <c r="T1500" s="682">
        <f t="shared" si="217"/>
        <v>0</v>
      </c>
      <c r="W1500" s="818"/>
      <c r="X1500" s="818"/>
      <c r="Y1500" s="819"/>
      <c r="Z1500" s="820"/>
      <c r="AA1500" s="820"/>
      <c r="AB1500" s="821"/>
      <c r="AC1500" s="821"/>
      <c r="AD1500" s="253"/>
      <c r="AE1500" s="253"/>
    </row>
    <row r="1501" spans="1:31" ht="12.75" customHeight="1">
      <c r="A1501" t="s">
        <v>8325</v>
      </c>
      <c r="B1501" t="s">
        <v>8326</v>
      </c>
      <c r="C1501">
        <v>20347</v>
      </c>
      <c r="D1501" s="581"/>
      <c r="E1501" s="581"/>
      <c r="F1501" s="2">
        <f>(1/S1501)*cnst_fish!$C$6</f>
        <v>0.11997502458044032</v>
      </c>
      <c r="G1501" s="2">
        <f t="shared" si="218"/>
        <v>1</v>
      </c>
      <c r="H1501" s="2">
        <f t="shared" si="218"/>
        <v>0.36449057933102513</v>
      </c>
      <c r="I1501" s="2">
        <f t="shared" si="212"/>
        <v>0</v>
      </c>
      <c r="J1501" s="389">
        <f t="shared" si="213"/>
        <v>0</v>
      </c>
      <c r="L1501" s="721"/>
      <c r="M1501" s="581">
        <v>1361</v>
      </c>
      <c r="N1501" s="585" t="s">
        <v>1738</v>
      </c>
      <c r="O1501" s="586" t="s">
        <v>4685</v>
      </c>
      <c r="P1501" s="233">
        <f t="shared" si="214"/>
        <v>0</v>
      </c>
      <c r="Q1501" s="233">
        <f t="shared" si="215"/>
        <v>1361</v>
      </c>
      <c r="R1501" s="2">
        <f t="shared" si="216"/>
        <v>3.4</v>
      </c>
      <c r="S1501" s="2">
        <f>(1/9)*cnst_fish!$C$7*(1/cnst_fish!$C$8)^(R1501-1)</f>
        <v>35.424039418724846</v>
      </c>
      <c r="T1501" s="682">
        <f t="shared" si="217"/>
        <v>4134.7912217923422</v>
      </c>
      <c r="W1501" s="818"/>
      <c r="X1501" s="818"/>
      <c r="Y1501" s="819"/>
      <c r="Z1501" s="820"/>
      <c r="AA1501" s="820"/>
      <c r="AB1501" s="821"/>
      <c r="AC1501" s="821"/>
      <c r="AD1501" s="253"/>
      <c r="AE1501" s="253"/>
    </row>
    <row r="1502" spans="1:31" ht="12.75" customHeight="1">
      <c r="A1502" t="s">
        <v>8709</v>
      </c>
      <c r="B1502" t="s">
        <v>8326</v>
      </c>
      <c r="C1502">
        <v>20360</v>
      </c>
      <c r="D1502" s="581"/>
      <c r="E1502" s="581"/>
      <c r="F1502" s="2">
        <f>(1/S1502)*cnst_fish!$C$6</f>
        <v>0.11997502458044032</v>
      </c>
      <c r="G1502" s="2">
        <f t="shared" si="218"/>
        <v>1</v>
      </c>
      <c r="H1502" s="2">
        <f t="shared" si="218"/>
        <v>0.36449057933102513</v>
      </c>
      <c r="I1502" s="2">
        <f t="shared" si="212"/>
        <v>0</v>
      </c>
      <c r="J1502" s="389">
        <f t="shared" si="213"/>
        <v>0</v>
      </c>
      <c r="L1502" s="721"/>
      <c r="M1502" s="581"/>
      <c r="N1502" s="585" t="s">
        <v>1738</v>
      </c>
      <c r="O1502" s="586" t="s">
        <v>4685</v>
      </c>
      <c r="P1502" s="233">
        <f t="shared" si="214"/>
        <v>0</v>
      </c>
      <c r="Q1502" s="233">
        <f t="shared" si="215"/>
        <v>0</v>
      </c>
      <c r="R1502" s="2">
        <f t="shared" si="216"/>
        <v>3.4</v>
      </c>
      <c r="S1502" s="2">
        <f>(1/9)*cnst_fish!$C$7*(1/cnst_fish!$C$8)^(R1502-1)</f>
        <v>35.424039418724846</v>
      </c>
      <c r="T1502" s="682">
        <f t="shared" si="217"/>
        <v>0</v>
      </c>
      <c r="W1502" s="818"/>
      <c r="X1502" s="818"/>
      <c r="Y1502" s="819"/>
      <c r="Z1502" s="820"/>
      <c r="AA1502" s="820"/>
      <c r="AB1502" s="821"/>
      <c r="AC1502" s="821"/>
      <c r="AD1502" s="253"/>
      <c r="AE1502" s="253"/>
    </row>
    <row r="1503" spans="1:31" ht="12.75" customHeight="1">
      <c r="A1503" s="403" t="s">
        <v>8931</v>
      </c>
      <c r="B1503" s="403" t="s">
        <v>8932</v>
      </c>
      <c r="C1503" s="403">
        <v>14087</v>
      </c>
      <c r="D1503" s="581"/>
      <c r="E1503" s="581"/>
      <c r="F1503" s="869">
        <f>(1/S1503)*cnst_fish!$C$6</f>
        <v>2.3938164528281767E-2</v>
      </c>
      <c r="G1503" s="869">
        <f t="shared" si="218"/>
        <v>1</v>
      </c>
      <c r="H1503" s="869">
        <f t="shared" si="218"/>
        <v>0.36449057933102513</v>
      </c>
      <c r="I1503" s="869">
        <f t="shared" si="212"/>
        <v>0</v>
      </c>
      <c r="J1503" s="389">
        <f t="shared" si="213"/>
        <v>0</v>
      </c>
      <c r="L1503" s="721">
        <v>0</v>
      </c>
      <c r="M1503" s="581"/>
      <c r="N1503" s="877" t="s">
        <v>1738</v>
      </c>
      <c r="O1503" s="881" t="s">
        <v>4681</v>
      </c>
      <c r="P1503" s="871">
        <f t="shared" si="214"/>
        <v>0</v>
      </c>
      <c r="Q1503" s="871">
        <f t="shared" si="215"/>
        <v>0</v>
      </c>
      <c r="R1503" s="869">
        <f t="shared" si="216"/>
        <v>4.0999999999999996</v>
      </c>
      <c r="S1503" s="869">
        <f>(1/9)*cnst_fish!$C$7*(1/cnst_fish!$C$8)^(R1503-1)</f>
        <v>177.54076320174144</v>
      </c>
      <c r="T1503" s="682">
        <f t="shared" si="217"/>
        <v>0</v>
      </c>
      <c r="W1503" s="818"/>
      <c r="X1503" s="818"/>
      <c r="Y1503" s="819"/>
      <c r="Z1503" s="820"/>
      <c r="AA1503" s="820"/>
      <c r="AB1503" s="821"/>
      <c r="AC1503" s="821"/>
      <c r="AD1503" s="253"/>
      <c r="AE1503" s="253"/>
    </row>
    <row r="1504" spans="1:31" ht="12.75" customHeight="1">
      <c r="A1504" t="s">
        <v>6227</v>
      </c>
      <c r="B1504" t="s">
        <v>6226</v>
      </c>
      <c r="C1504">
        <v>14093</v>
      </c>
      <c r="D1504" s="581"/>
      <c r="E1504" s="581"/>
      <c r="F1504" s="2">
        <f>(1/S1504)*cnst_fish!$C$6</f>
        <v>3.0136363636363641</v>
      </c>
      <c r="G1504" s="2">
        <f t="shared" si="218"/>
        <v>1</v>
      </c>
      <c r="H1504" s="2">
        <f t="shared" si="218"/>
        <v>0.36449057933102513</v>
      </c>
      <c r="I1504" s="2">
        <f t="shared" si="212"/>
        <v>0</v>
      </c>
      <c r="J1504" s="389">
        <f t="shared" si="213"/>
        <v>0</v>
      </c>
      <c r="L1504" s="721"/>
      <c r="M1504" s="581"/>
      <c r="N1504" s="585" t="s">
        <v>3785</v>
      </c>
      <c r="O1504" s="586" t="s">
        <v>4681</v>
      </c>
      <c r="P1504" s="233">
        <f t="shared" si="214"/>
        <v>0</v>
      </c>
      <c r="Q1504" s="233">
        <f t="shared" si="215"/>
        <v>0</v>
      </c>
      <c r="R1504" s="2">
        <f t="shared" si="216"/>
        <v>2</v>
      </c>
      <c r="S1504" s="2">
        <f>(1/9)*cnst_fish!$C$7*(1/cnst_fish!$C$8)^(R1504-1)</f>
        <v>1.4102564102564099</v>
      </c>
      <c r="T1504" s="682">
        <f t="shared" si="217"/>
        <v>0</v>
      </c>
      <c r="W1504" s="818"/>
      <c r="X1504" s="818"/>
      <c r="Y1504" s="819"/>
      <c r="Z1504" s="820"/>
      <c r="AA1504" s="820"/>
      <c r="AB1504" s="821"/>
      <c r="AC1504" s="821"/>
      <c r="AD1504" s="253"/>
      <c r="AE1504" s="253"/>
    </row>
    <row r="1505" spans="1:31" ht="12.75" customHeight="1">
      <c r="A1505" t="s">
        <v>8327</v>
      </c>
      <c r="B1505" t="s">
        <v>8328</v>
      </c>
      <c r="C1505">
        <v>6540</v>
      </c>
      <c r="D1505" s="581"/>
      <c r="E1505" s="581"/>
      <c r="F1505" s="2">
        <f>(1/S1505)*cnst_fish!$C$6</f>
        <v>1.8581931192461947</v>
      </c>
      <c r="G1505" s="2">
        <f t="shared" si="218"/>
        <v>1</v>
      </c>
      <c r="H1505" s="2">
        <f t="shared" si="218"/>
        <v>0.36449057933102513</v>
      </c>
      <c r="I1505" s="2">
        <f t="shared" si="212"/>
        <v>0</v>
      </c>
      <c r="J1505" s="389">
        <f t="shared" si="213"/>
        <v>0</v>
      </c>
      <c r="L1505" s="721">
        <v>0</v>
      </c>
      <c r="M1505" s="581"/>
      <c r="N1505" s="585" t="s">
        <v>5196</v>
      </c>
      <c r="O1505" s="586"/>
      <c r="P1505" s="233">
        <f t="shared" si="214"/>
        <v>0</v>
      </c>
      <c r="Q1505" s="233">
        <f t="shared" si="215"/>
        <v>0</v>
      </c>
      <c r="R1505" s="2">
        <f t="shared" si="216"/>
        <v>2.21</v>
      </c>
      <c r="S1505" s="2">
        <f>(1/9)*cnst_fish!$C$7*(1/cnst_fish!$C$8)^(R1505-1)</f>
        <v>2.2871680860190029</v>
      </c>
      <c r="T1505" s="682">
        <f t="shared" si="217"/>
        <v>0</v>
      </c>
      <c r="W1505" s="818"/>
      <c r="X1505" s="818"/>
      <c r="Y1505" s="819"/>
      <c r="Z1505" s="820"/>
      <c r="AA1505" s="820"/>
      <c r="AB1505" s="821"/>
      <c r="AC1505" s="821"/>
      <c r="AD1505" s="253"/>
      <c r="AE1505" s="253"/>
    </row>
    <row r="1506" spans="1:31" ht="12.75" customHeight="1">
      <c r="A1506" t="s">
        <v>3044</v>
      </c>
      <c r="B1506" t="s">
        <v>3191</v>
      </c>
      <c r="C1506">
        <v>14100</v>
      </c>
      <c r="D1506" s="581"/>
      <c r="E1506" s="581"/>
      <c r="F1506" s="2">
        <f>(1/S1506)*cnst_fish!$C$6</f>
        <v>0.10692785320993656</v>
      </c>
      <c r="G1506" s="2">
        <f t="shared" si="218"/>
        <v>1</v>
      </c>
      <c r="H1506" s="2">
        <f t="shared" si="218"/>
        <v>0.36449057933102513</v>
      </c>
      <c r="I1506" s="2">
        <f t="shared" si="212"/>
        <v>0</v>
      </c>
      <c r="J1506" s="389">
        <f t="shared" si="213"/>
        <v>0</v>
      </c>
      <c r="L1506" s="721"/>
      <c r="M1506" s="581">
        <v>3261</v>
      </c>
      <c r="N1506" s="585" t="s">
        <v>1738</v>
      </c>
      <c r="O1506" s="586" t="s">
        <v>4685</v>
      </c>
      <c r="P1506" s="233">
        <f t="shared" si="214"/>
        <v>0</v>
      </c>
      <c r="Q1506" s="233">
        <f t="shared" si="215"/>
        <v>3261</v>
      </c>
      <c r="R1506" s="2">
        <f t="shared" si="216"/>
        <v>3.45</v>
      </c>
      <c r="S1506" s="2">
        <f>(1/9)*cnst_fish!$C$7*(1/cnst_fish!$C$8)^(R1506-1)</f>
        <v>39.746425953729492</v>
      </c>
      <c r="T1506" s="682">
        <f t="shared" si="217"/>
        <v>11115.941670172975</v>
      </c>
      <c r="W1506" s="818"/>
      <c r="X1506" s="818"/>
      <c r="Y1506" s="819"/>
      <c r="Z1506" s="820"/>
      <c r="AA1506" s="820"/>
      <c r="AB1506" s="821"/>
      <c r="AC1506" s="821"/>
      <c r="AD1506" s="253"/>
      <c r="AE1506" s="253"/>
    </row>
    <row r="1507" spans="1:31" ht="12.75" customHeight="1">
      <c r="A1507" t="s">
        <v>4127</v>
      </c>
      <c r="B1507" t="s">
        <v>716</v>
      </c>
      <c r="C1507">
        <v>3083</v>
      </c>
      <c r="D1507" s="581"/>
      <c r="E1507" s="581"/>
      <c r="F1507" s="2">
        <f>(1/S1507)*cnst_fish!$C$6</f>
        <v>2.3393265378400998E-2</v>
      </c>
      <c r="G1507" s="2">
        <f t="shared" si="218"/>
        <v>1</v>
      </c>
      <c r="H1507" s="2">
        <f t="shared" si="218"/>
        <v>0.36449057933102513</v>
      </c>
      <c r="I1507" s="2">
        <f t="shared" si="212"/>
        <v>0</v>
      </c>
      <c r="J1507" s="389">
        <f t="shared" si="213"/>
        <v>0</v>
      </c>
      <c r="L1507" s="721">
        <v>3177</v>
      </c>
      <c r="M1507" s="581"/>
      <c r="N1507" s="585" t="s">
        <v>2319</v>
      </c>
      <c r="O1507" s="586" t="s">
        <v>4681</v>
      </c>
      <c r="P1507" s="233">
        <f t="shared" si="214"/>
        <v>0</v>
      </c>
      <c r="Q1507" s="233">
        <f t="shared" si="215"/>
        <v>3177</v>
      </c>
      <c r="R1507" s="2">
        <f t="shared" si="216"/>
        <v>4.1100000000000003</v>
      </c>
      <c r="S1507" s="2">
        <f>(1/9)*cnst_fish!$C$7*(1/cnst_fish!$C$8)^(R1507-1)</f>
        <v>181.67621882851913</v>
      </c>
      <c r="T1507" s="682">
        <f t="shared" si="217"/>
        <v>49500.852138574715</v>
      </c>
      <c r="W1507" s="818"/>
      <c r="X1507" s="818"/>
      <c r="Y1507" s="819"/>
      <c r="Z1507" s="820"/>
      <c r="AA1507" s="820"/>
      <c r="AB1507" s="821"/>
      <c r="AC1507" s="821"/>
      <c r="AD1507" s="253"/>
      <c r="AE1507" s="253"/>
    </row>
    <row r="1508" spans="1:31" ht="12.75" customHeight="1">
      <c r="A1508" t="s">
        <v>6558</v>
      </c>
      <c r="B1508" t="s">
        <v>2502</v>
      </c>
      <c r="C1508">
        <v>19101</v>
      </c>
      <c r="D1508" s="581"/>
      <c r="E1508" s="581"/>
      <c r="F1508" s="2">
        <f>(1/S1508)*cnst_fish!$C$6</f>
        <v>2.7484690295134888E-2</v>
      </c>
      <c r="G1508" s="2">
        <f t="shared" ref="G1508:H1527" si="219">G$7</f>
        <v>1</v>
      </c>
      <c r="H1508" s="2">
        <f t="shared" si="219"/>
        <v>0.36449057933102513</v>
      </c>
      <c r="I1508" s="2">
        <f t="shared" si="212"/>
        <v>0</v>
      </c>
      <c r="J1508" s="389">
        <f t="shared" si="213"/>
        <v>0</v>
      </c>
      <c r="L1508" s="721">
        <v>6394</v>
      </c>
      <c r="M1508" s="581"/>
      <c r="N1508" s="585" t="s">
        <v>2319</v>
      </c>
      <c r="O1508" s="586" t="s">
        <v>4681</v>
      </c>
      <c r="P1508" s="233">
        <f t="shared" si="214"/>
        <v>0</v>
      </c>
      <c r="Q1508" s="233">
        <f t="shared" si="215"/>
        <v>6394</v>
      </c>
      <c r="R1508" s="2">
        <f t="shared" si="216"/>
        <v>4.04</v>
      </c>
      <c r="S1508" s="2">
        <f>(1/9)*cnst_fish!$C$7*(1/cnst_fish!$C$8)^(R1508-1)</f>
        <v>154.63154048173138</v>
      </c>
      <c r="T1508" s="682">
        <f t="shared" si="217"/>
        <v>84794.579790302741</v>
      </c>
      <c r="W1508" s="818"/>
      <c r="X1508" s="818"/>
      <c r="Y1508" s="819"/>
      <c r="Z1508" s="820"/>
      <c r="AA1508" s="820"/>
      <c r="AB1508" s="821"/>
      <c r="AC1508" s="821"/>
      <c r="AD1508" s="253"/>
      <c r="AE1508" s="253"/>
    </row>
    <row r="1509" spans="1:31" ht="12.75" customHeight="1">
      <c r="A1509" t="s">
        <v>54</v>
      </c>
      <c r="B1509" t="s">
        <v>2912</v>
      </c>
      <c r="C1509">
        <v>3372</v>
      </c>
      <c r="D1509" s="581"/>
      <c r="E1509" s="581"/>
      <c r="F1509" s="2">
        <f>(1/S1509)*cnst_fish!$C$6</f>
        <v>9.5299549485983424E-3</v>
      </c>
      <c r="G1509" s="2">
        <f t="shared" si="219"/>
        <v>1</v>
      </c>
      <c r="H1509" s="2">
        <f t="shared" si="219"/>
        <v>0.36449057933102513</v>
      </c>
      <c r="I1509" s="2">
        <f t="shared" si="212"/>
        <v>0</v>
      </c>
      <c r="J1509" s="389">
        <f t="shared" si="213"/>
        <v>0</v>
      </c>
      <c r="L1509" s="721">
        <v>253</v>
      </c>
      <c r="M1509" s="581"/>
      <c r="N1509" s="585" t="s">
        <v>1739</v>
      </c>
      <c r="O1509" s="586" t="s">
        <v>4681</v>
      </c>
      <c r="P1509" s="233">
        <f t="shared" si="214"/>
        <v>0</v>
      </c>
      <c r="Q1509" s="233">
        <f t="shared" si="215"/>
        <v>253</v>
      </c>
      <c r="R1509" s="2">
        <f t="shared" si="216"/>
        <v>4.5</v>
      </c>
      <c r="S1509" s="2">
        <f>(1/9)*cnst_fish!$C$7*(1/cnst_fish!$C$8)^(R1509-1)</f>
        <v>445.96223412630997</v>
      </c>
      <c r="T1509" s="682">
        <f t="shared" si="217"/>
        <v>9676.4483219632039</v>
      </c>
      <c r="W1509" s="818"/>
      <c r="X1509" s="818"/>
      <c r="Y1509" s="819"/>
      <c r="Z1509" s="820"/>
      <c r="AA1509" s="820"/>
      <c r="AB1509" s="821"/>
      <c r="AC1509" s="821"/>
      <c r="AD1509" s="253"/>
      <c r="AE1509" s="253"/>
    </row>
    <row r="1510" spans="1:31" ht="12.75" customHeight="1">
      <c r="A1510" t="s">
        <v>4129</v>
      </c>
      <c r="B1510" t="s">
        <v>2913</v>
      </c>
      <c r="C1510">
        <v>3351</v>
      </c>
      <c r="D1510" s="581"/>
      <c r="E1510" s="581"/>
      <c r="F1510" s="2">
        <f>(1/S1510)*cnst_fish!$C$6</f>
        <v>9.7519361156519751E-3</v>
      </c>
      <c r="G1510" s="2">
        <f t="shared" si="219"/>
        <v>1</v>
      </c>
      <c r="H1510" s="2">
        <f t="shared" si="219"/>
        <v>0.36449057933102513</v>
      </c>
      <c r="I1510" s="2">
        <f t="shared" si="212"/>
        <v>0</v>
      </c>
      <c r="J1510" s="389">
        <f t="shared" si="213"/>
        <v>0</v>
      </c>
      <c r="L1510" s="721">
        <v>2805</v>
      </c>
      <c r="M1510" s="581"/>
      <c r="N1510" s="585" t="s">
        <v>1739</v>
      </c>
      <c r="O1510" s="586" t="s">
        <v>4681</v>
      </c>
      <c r="P1510" s="233">
        <f t="shared" si="214"/>
        <v>0</v>
      </c>
      <c r="Q1510" s="233">
        <f t="shared" si="215"/>
        <v>2805</v>
      </c>
      <c r="R1510" s="2">
        <f t="shared" si="216"/>
        <v>4.49</v>
      </c>
      <c r="S1510" s="2">
        <f>(1/9)*cnst_fish!$C$7*(1/cnst_fish!$C$8)^(R1510-1)</f>
        <v>435.81089432883982</v>
      </c>
      <c r="T1510" s="682">
        <f t="shared" si="217"/>
        <v>104840.31713277608</v>
      </c>
      <c r="W1510" s="818"/>
      <c r="X1510" s="818"/>
      <c r="Y1510" s="819"/>
      <c r="Z1510" s="820"/>
      <c r="AA1510" s="820"/>
      <c r="AB1510" s="821"/>
      <c r="AC1510" s="821"/>
      <c r="AD1510" s="253"/>
      <c r="AE1510" s="253"/>
    </row>
    <row r="1511" spans="1:31" ht="12.75" customHeight="1">
      <c r="A1511" t="s">
        <v>6387</v>
      </c>
      <c r="B1511" t="s">
        <v>6386</v>
      </c>
      <c r="C1511">
        <v>14118</v>
      </c>
      <c r="D1511" s="581"/>
      <c r="E1511" s="581"/>
      <c r="F1511" s="2">
        <f>(1/S1511)*cnst_fish!$C$6</f>
        <v>1.9014759972289439E-2</v>
      </c>
      <c r="G1511" s="2">
        <f t="shared" si="219"/>
        <v>1</v>
      </c>
      <c r="H1511" s="2">
        <f t="shared" si="219"/>
        <v>0.36449057933102513</v>
      </c>
      <c r="I1511" s="2">
        <f t="shared" si="212"/>
        <v>0</v>
      </c>
      <c r="J1511" s="389">
        <f t="shared" si="213"/>
        <v>0</v>
      </c>
      <c r="L1511" s="721">
        <v>5</v>
      </c>
      <c r="M1511" s="581"/>
      <c r="N1511" s="585" t="s">
        <v>1739</v>
      </c>
      <c r="O1511" s="586" t="s">
        <v>4681</v>
      </c>
      <c r="P1511" s="233">
        <f t="shared" si="214"/>
        <v>0</v>
      </c>
      <c r="Q1511" s="233">
        <f t="shared" si="215"/>
        <v>5</v>
      </c>
      <c r="R1511" s="2">
        <f t="shared" si="216"/>
        <v>4.2</v>
      </c>
      <c r="S1511" s="2">
        <f>(1/9)*cnst_fish!$C$7*(1/cnst_fish!$C$8)^(R1511-1)</f>
        <v>223.51057842400343</v>
      </c>
      <c r="T1511" s="682">
        <f t="shared" si="217"/>
        <v>95.844117901620635</v>
      </c>
      <c r="W1511" s="818"/>
      <c r="X1511" s="818"/>
      <c r="Y1511" s="819"/>
      <c r="Z1511" s="820"/>
      <c r="AA1511" s="820"/>
      <c r="AB1511" s="821"/>
      <c r="AC1511" s="821"/>
      <c r="AD1511" s="253"/>
      <c r="AE1511" s="253"/>
    </row>
    <row r="1512" spans="1:31" ht="12.75" customHeight="1">
      <c r="A1512" t="s">
        <v>2743</v>
      </c>
      <c r="B1512" t="s">
        <v>4585</v>
      </c>
      <c r="C1512">
        <v>3350</v>
      </c>
      <c r="D1512" s="581"/>
      <c r="E1512" s="581"/>
      <c r="F1512" s="2">
        <f>(1/S1512)*cnst_fish!$C$6</f>
        <v>1.3461419163458574E-2</v>
      </c>
      <c r="G1512" s="2">
        <f t="shared" si="219"/>
        <v>1</v>
      </c>
      <c r="H1512" s="2">
        <f t="shared" si="219"/>
        <v>0.36449057933102513</v>
      </c>
      <c r="I1512" s="2">
        <f t="shared" si="212"/>
        <v>0</v>
      </c>
      <c r="J1512" s="389">
        <f t="shared" si="213"/>
        <v>0</v>
      </c>
      <c r="L1512" s="721">
        <v>11326</v>
      </c>
      <c r="M1512" s="581"/>
      <c r="N1512" s="585" t="s">
        <v>1738</v>
      </c>
      <c r="O1512" s="586" t="s">
        <v>4681</v>
      </c>
      <c r="P1512" s="233">
        <f t="shared" si="214"/>
        <v>0</v>
      </c>
      <c r="Q1512" s="233">
        <f t="shared" si="215"/>
        <v>11326</v>
      </c>
      <c r="R1512" s="2">
        <f t="shared" si="216"/>
        <v>4.3499999999999996</v>
      </c>
      <c r="S1512" s="2">
        <f>(1/9)*cnst_fish!$C$7*(1/cnst_fish!$C$8)^(R1512-1)</f>
        <v>315.71708364425297</v>
      </c>
      <c r="T1512" s="682">
        <f t="shared" si="217"/>
        <v>306670.51158390258</v>
      </c>
      <c r="W1512" s="818"/>
      <c r="X1512" s="818"/>
      <c r="Y1512" s="819"/>
      <c r="Z1512" s="820"/>
      <c r="AA1512" s="820"/>
      <c r="AB1512" s="821"/>
      <c r="AC1512" s="821"/>
      <c r="AD1512" s="253"/>
      <c r="AE1512" s="253"/>
    </row>
    <row r="1513" spans="1:31" ht="12.75" customHeight="1">
      <c r="A1513" t="s">
        <v>1835</v>
      </c>
      <c r="B1513" t="s">
        <v>4586</v>
      </c>
      <c r="C1513">
        <v>2540</v>
      </c>
      <c r="D1513" s="581"/>
      <c r="E1513" s="581"/>
      <c r="F1513" s="2">
        <f>(1/S1513)*cnst_fish!$C$6</f>
        <v>2.0849269714511572E-2</v>
      </c>
      <c r="G1513" s="2">
        <f t="shared" si="219"/>
        <v>1</v>
      </c>
      <c r="H1513" s="2">
        <f t="shared" si="219"/>
        <v>0.36449057933102513</v>
      </c>
      <c r="I1513" s="2">
        <f t="shared" si="212"/>
        <v>0</v>
      </c>
      <c r="J1513" s="389">
        <f t="shared" si="213"/>
        <v>0</v>
      </c>
      <c r="L1513" s="721">
        <v>6273</v>
      </c>
      <c r="M1513" s="581"/>
      <c r="N1513" s="585" t="s">
        <v>1738</v>
      </c>
      <c r="O1513" s="586" t="s">
        <v>4681</v>
      </c>
      <c r="P1513" s="233">
        <f t="shared" si="214"/>
        <v>0</v>
      </c>
      <c r="Q1513" s="233">
        <f t="shared" si="215"/>
        <v>6273</v>
      </c>
      <c r="R1513" s="2">
        <f t="shared" si="216"/>
        <v>4.16</v>
      </c>
      <c r="S1513" s="2">
        <f>(1/9)*cnst_fish!$C$7*(1/cnst_fish!$C$8)^(R1513-1)</f>
        <v>203.84407023340017</v>
      </c>
      <c r="T1513" s="682">
        <f t="shared" si="217"/>
        <v>109665.68304078773</v>
      </c>
      <c r="W1513" s="818"/>
      <c r="X1513" s="818"/>
      <c r="Y1513" s="819"/>
      <c r="Z1513" s="820"/>
      <c r="AA1513" s="820"/>
      <c r="AB1513" s="821"/>
      <c r="AC1513" s="821"/>
      <c r="AD1513" s="253"/>
      <c r="AE1513" s="253"/>
    </row>
    <row r="1514" spans="1:31" ht="12.75" customHeight="1">
      <c r="A1514" t="s">
        <v>2588</v>
      </c>
      <c r="B1514" t="s">
        <v>5135</v>
      </c>
      <c r="C1514">
        <v>18569</v>
      </c>
      <c r="D1514" s="581"/>
      <c r="E1514" s="581"/>
      <c r="F1514" s="2">
        <f>(1/S1514)*cnst_fish!$C$6</f>
        <v>1.5103960722494616</v>
      </c>
      <c r="G1514" s="2">
        <f t="shared" si="219"/>
        <v>1</v>
      </c>
      <c r="H1514" s="2">
        <f t="shared" si="219"/>
        <v>0.36449057933102513</v>
      </c>
      <c r="I1514" s="2">
        <f t="shared" si="212"/>
        <v>0</v>
      </c>
      <c r="J1514" s="389">
        <f t="shared" si="213"/>
        <v>0</v>
      </c>
      <c r="L1514" s="721">
        <v>1446</v>
      </c>
      <c r="M1514" s="581">
        <v>9</v>
      </c>
      <c r="N1514" s="585" t="s">
        <v>2311</v>
      </c>
      <c r="O1514" s="586" t="s">
        <v>4680</v>
      </c>
      <c r="P1514" s="233">
        <f t="shared" si="214"/>
        <v>0</v>
      </c>
      <c r="Q1514" s="233">
        <f t="shared" si="215"/>
        <v>1455</v>
      </c>
      <c r="R1514" s="2">
        <f t="shared" si="216"/>
        <v>2.2999999999999998</v>
      </c>
      <c r="S1514" s="2">
        <f>(1/9)*cnst_fish!$C$7*(1/cnst_fish!$C$8)^(R1514-1)</f>
        <v>2.8138314698279068</v>
      </c>
      <c r="T1514" s="682">
        <f t="shared" si="217"/>
        <v>351.12233318827782</v>
      </c>
      <c r="W1514" s="822"/>
      <c r="X1514" s="822"/>
      <c r="Y1514" s="819"/>
      <c r="Z1514" s="820"/>
      <c r="AA1514" s="820"/>
      <c r="AB1514" s="821"/>
      <c r="AC1514" s="821"/>
      <c r="AD1514" s="253"/>
      <c r="AE1514" s="253"/>
    </row>
    <row r="1515" spans="1:31" ht="12.75" customHeight="1">
      <c r="A1515" t="s">
        <v>3329</v>
      </c>
      <c r="B1515" t="s">
        <v>5136</v>
      </c>
      <c r="C1515">
        <v>18567</v>
      </c>
      <c r="D1515" s="581"/>
      <c r="E1515" s="581"/>
      <c r="F1515" s="2">
        <f>(1/S1515)*cnst_fish!$C$6</f>
        <v>1.5103960722494616</v>
      </c>
      <c r="G1515" s="2">
        <f t="shared" si="219"/>
        <v>1</v>
      </c>
      <c r="H1515" s="2">
        <f t="shared" si="219"/>
        <v>0.36449057933102513</v>
      </c>
      <c r="I1515" s="2">
        <f t="shared" si="212"/>
        <v>0</v>
      </c>
      <c r="J1515" s="389">
        <f t="shared" si="213"/>
        <v>0</v>
      </c>
      <c r="L1515" s="721">
        <v>26911</v>
      </c>
      <c r="M1515" s="581"/>
      <c r="N1515" s="585" t="s">
        <v>2311</v>
      </c>
      <c r="O1515" s="586" t="s">
        <v>4680</v>
      </c>
      <c r="P1515" s="233">
        <f t="shared" si="214"/>
        <v>0</v>
      </c>
      <c r="Q1515" s="233">
        <f t="shared" si="215"/>
        <v>26911</v>
      </c>
      <c r="R1515" s="2">
        <f t="shared" si="216"/>
        <v>2.2999999999999998</v>
      </c>
      <c r="S1515" s="2">
        <f>(1/9)*cnst_fish!$C$7*(1/cnst_fish!$C$8)^(R1515-1)</f>
        <v>2.8138314698279068</v>
      </c>
      <c r="T1515" s="682">
        <f t="shared" si="217"/>
        <v>6494.1945762403748</v>
      </c>
      <c r="W1515" s="818"/>
      <c r="X1515" s="818"/>
      <c r="Y1515" s="819"/>
      <c r="Z1515" s="820"/>
      <c r="AA1515" s="820"/>
      <c r="AB1515" s="821"/>
      <c r="AC1515" s="821"/>
      <c r="AD1515" s="253"/>
      <c r="AE1515" s="253"/>
    </row>
    <row r="1516" spans="1:31" ht="12.75" customHeight="1">
      <c r="A1516" t="s">
        <v>2587</v>
      </c>
      <c r="B1516" t="s">
        <v>5137</v>
      </c>
      <c r="C1516">
        <v>18568</v>
      </c>
      <c r="D1516" s="581"/>
      <c r="E1516" s="581"/>
      <c r="F1516" s="2">
        <f>(1/S1516)*cnst_fish!$C$6</f>
        <v>1.5103960722494616</v>
      </c>
      <c r="G1516" s="2">
        <f t="shared" si="219"/>
        <v>1</v>
      </c>
      <c r="H1516" s="2">
        <f t="shared" si="219"/>
        <v>0.36449057933102513</v>
      </c>
      <c r="I1516" s="2">
        <f t="shared" si="212"/>
        <v>0</v>
      </c>
      <c r="J1516" s="389">
        <f t="shared" si="213"/>
        <v>0</v>
      </c>
      <c r="L1516" s="721">
        <v>8957</v>
      </c>
      <c r="M1516" s="581"/>
      <c r="N1516" s="585" t="s">
        <v>2311</v>
      </c>
      <c r="O1516" s="586" t="s">
        <v>4680</v>
      </c>
      <c r="P1516" s="233">
        <f t="shared" si="214"/>
        <v>0</v>
      </c>
      <c r="Q1516" s="233">
        <f t="shared" si="215"/>
        <v>8957</v>
      </c>
      <c r="R1516" s="2">
        <f t="shared" si="216"/>
        <v>2.2999999999999998</v>
      </c>
      <c r="S1516" s="2">
        <f>(1/9)*cnst_fish!$C$7*(1/cnst_fish!$C$8)^(R1516-1)</f>
        <v>2.8138314698279068</v>
      </c>
      <c r="T1516" s="682">
        <f t="shared" si="217"/>
        <v>2161.5139095308623</v>
      </c>
      <c r="W1516" s="818"/>
      <c r="X1516" s="818"/>
      <c r="Y1516" s="819"/>
      <c r="Z1516" s="820"/>
      <c r="AA1516" s="820"/>
      <c r="AB1516" s="821"/>
      <c r="AC1516" s="821"/>
      <c r="AD1516" s="253"/>
      <c r="AE1516" s="253"/>
    </row>
    <row r="1517" spans="1:31" ht="12.75" customHeight="1">
      <c r="A1517" t="s">
        <v>4451</v>
      </c>
      <c r="B1517" t="s">
        <v>5138</v>
      </c>
      <c r="C1517">
        <v>2640</v>
      </c>
      <c r="D1517" s="581"/>
      <c r="E1517" s="581"/>
      <c r="F1517" s="2">
        <f>(1/S1517)*cnst_fish!$C$6</f>
        <v>1.5103960722494616</v>
      </c>
      <c r="G1517" s="2">
        <f t="shared" si="219"/>
        <v>1</v>
      </c>
      <c r="H1517" s="2">
        <f t="shared" si="219"/>
        <v>0.36449057933102513</v>
      </c>
      <c r="I1517" s="2">
        <f t="shared" si="212"/>
        <v>0</v>
      </c>
      <c r="J1517" s="389">
        <f t="shared" si="213"/>
        <v>0</v>
      </c>
      <c r="L1517" s="721">
        <v>5070</v>
      </c>
      <c r="M1517" s="581"/>
      <c r="N1517" s="585" t="s">
        <v>2311</v>
      </c>
      <c r="O1517" s="586" t="s">
        <v>4680</v>
      </c>
      <c r="P1517" s="233">
        <f t="shared" si="214"/>
        <v>0</v>
      </c>
      <c r="Q1517" s="233">
        <f t="shared" si="215"/>
        <v>5070</v>
      </c>
      <c r="R1517" s="2">
        <f t="shared" si="216"/>
        <v>2.2999999999999998</v>
      </c>
      <c r="S1517" s="2">
        <f>(1/9)*cnst_fish!$C$7*(1/cnst_fish!$C$8)^(R1517-1)</f>
        <v>2.8138314698279068</v>
      </c>
      <c r="T1517" s="682">
        <f t="shared" si="217"/>
        <v>1223.4984393570917</v>
      </c>
      <c r="W1517" s="818"/>
      <c r="X1517" s="818"/>
      <c r="Y1517" s="819"/>
      <c r="Z1517" s="820"/>
      <c r="AA1517" s="820"/>
      <c r="AB1517" s="821"/>
      <c r="AC1517" s="821"/>
      <c r="AD1517" s="253"/>
      <c r="AE1517" s="253"/>
    </row>
    <row r="1518" spans="1:31" ht="12.75" customHeight="1">
      <c r="A1518" t="s">
        <v>5509</v>
      </c>
      <c r="B1518" t="s">
        <v>5510</v>
      </c>
      <c r="C1518">
        <v>3474</v>
      </c>
      <c r="D1518" s="581"/>
      <c r="E1518" s="581"/>
      <c r="F1518" s="2">
        <f>(1/S1518)*cnst_fish!$C$6</f>
        <v>0.16946922663690964</v>
      </c>
      <c r="G1518" s="2">
        <f t="shared" si="219"/>
        <v>1</v>
      </c>
      <c r="H1518" s="2">
        <f t="shared" si="219"/>
        <v>0.36449057933102513</v>
      </c>
      <c r="I1518" s="2">
        <f t="shared" si="212"/>
        <v>0</v>
      </c>
      <c r="J1518" s="389">
        <f t="shared" si="213"/>
        <v>0</v>
      </c>
      <c r="L1518" s="721">
        <v>0</v>
      </c>
      <c r="M1518" s="581"/>
      <c r="N1518" s="585" t="s">
        <v>2311</v>
      </c>
      <c r="O1518" s="586" t="s">
        <v>4680</v>
      </c>
      <c r="P1518" s="233">
        <f t="shared" si="214"/>
        <v>0</v>
      </c>
      <c r="Q1518" s="233">
        <f t="shared" si="215"/>
        <v>0</v>
      </c>
      <c r="R1518" s="2">
        <f t="shared" si="216"/>
        <v>3.25</v>
      </c>
      <c r="S1518" s="2">
        <f>(1/9)*cnst_fish!$C$7*(1/cnst_fish!$C$8)^(R1518-1)</f>
        <v>25.078299372343796</v>
      </c>
      <c r="T1518" s="682">
        <f t="shared" si="217"/>
        <v>0</v>
      </c>
      <c r="W1518" s="818"/>
      <c r="X1518" s="818"/>
      <c r="Y1518" s="819"/>
      <c r="Z1518" s="820"/>
      <c r="AA1518" s="820"/>
      <c r="AB1518" s="821"/>
      <c r="AC1518" s="821"/>
      <c r="AD1518" s="253"/>
      <c r="AE1518" s="253"/>
    </row>
    <row r="1519" spans="1:31" ht="12.75" customHeight="1">
      <c r="A1519" t="s">
        <v>4442</v>
      </c>
      <c r="B1519" t="s">
        <v>26</v>
      </c>
      <c r="C1519">
        <v>2643</v>
      </c>
      <c r="D1519" s="581"/>
      <c r="E1519" s="581"/>
      <c r="F1519" s="2">
        <f>(1/S1519)*cnst_fish!$C$6</f>
        <v>1.5103960722494616</v>
      </c>
      <c r="G1519" s="2">
        <f t="shared" si="219"/>
        <v>1</v>
      </c>
      <c r="H1519" s="2">
        <f t="shared" si="219"/>
        <v>0.36449057933102513</v>
      </c>
      <c r="I1519" s="2">
        <f t="shared" si="212"/>
        <v>0</v>
      </c>
      <c r="J1519" s="389">
        <f t="shared" si="213"/>
        <v>0</v>
      </c>
      <c r="L1519" s="721">
        <v>0</v>
      </c>
      <c r="M1519" s="581"/>
      <c r="N1519" s="585" t="s">
        <v>2311</v>
      </c>
      <c r="O1519" s="586" t="s">
        <v>4680</v>
      </c>
      <c r="P1519" s="233">
        <f t="shared" si="214"/>
        <v>0</v>
      </c>
      <c r="Q1519" s="233">
        <f t="shared" si="215"/>
        <v>0</v>
      </c>
      <c r="R1519" s="2">
        <f t="shared" si="216"/>
        <v>2.2999999999999998</v>
      </c>
      <c r="S1519" s="2">
        <f>(1/9)*cnst_fish!$C$7*(1/cnst_fish!$C$8)^(R1519-1)</f>
        <v>2.8138314698279068</v>
      </c>
      <c r="T1519" s="682">
        <f t="shared" si="217"/>
        <v>0</v>
      </c>
      <c r="W1519" s="818"/>
      <c r="X1519" s="818"/>
      <c r="Y1519" s="819"/>
      <c r="Z1519" s="820"/>
      <c r="AA1519" s="820"/>
      <c r="AB1519" s="821"/>
      <c r="AC1519" s="821"/>
      <c r="AD1519" s="253"/>
      <c r="AE1519" s="253"/>
    </row>
    <row r="1520" spans="1:31" ht="12.75" customHeight="1">
      <c r="A1520" t="s">
        <v>3432</v>
      </c>
      <c r="B1520" t="s">
        <v>5402</v>
      </c>
      <c r="C1520">
        <v>3473</v>
      </c>
      <c r="D1520" s="581"/>
      <c r="E1520" s="581"/>
      <c r="F1520" s="2">
        <f>(1/S1520)*cnst_fish!$C$6</f>
        <v>1.5103960722494616</v>
      </c>
      <c r="G1520" s="2">
        <f t="shared" si="219"/>
        <v>1</v>
      </c>
      <c r="H1520" s="2">
        <f t="shared" si="219"/>
        <v>0.36449057933102513</v>
      </c>
      <c r="I1520" s="2">
        <f t="shared" si="212"/>
        <v>0</v>
      </c>
      <c r="J1520" s="389">
        <f t="shared" si="213"/>
        <v>0</v>
      </c>
      <c r="L1520" s="721">
        <v>6127</v>
      </c>
      <c r="M1520" s="581"/>
      <c r="N1520" s="585" t="s">
        <v>2311</v>
      </c>
      <c r="O1520" s="586" t="s">
        <v>4680</v>
      </c>
      <c r="P1520" s="233">
        <f t="shared" si="214"/>
        <v>0</v>
      </c>
      <c r="Q1520" s="233">
        <f t="shared" si="215"/>
        <v>6127</v>
      </c>
      <c r="R1520" s="2">
        <f t="shared" si="216"/>
        <v>2.2999999999999998</v>
      </c>
      <c r="S1520" s="2">
        <f>(1/9)*cnst_fish!$C$7*(1/cnst_fish!$C$8)^(R1520-1)</f>
        <v>2.8138314698279068</v>
      </c>
      <c r="T1520" s="682">
        <f t="shared" si="217"/>
        <v>1478.5749384498818</v>
      </c>
      <c r="W1520" s="818"/>
      <c r="X1520" s="818"/>
      <c r="Y1520" s="819"/>
      <c r="Z1520" s="820"/>
      <c r="AA1520" s="820"/>
      <c r="AB1520" s="821"/>
      <c r="AC1520" s="821"/>
      <c r="AD1520" s="253"/>
      <c r="AE1520" s="253"/>
    </row>
    <row r="1521" spans="1:31" ht="12.75" customHeight="1">
      <c r="A1521" t="s">
        <v>2601</v>
      </c>
      <c r="B1521" t="s">
        <v>5403</v>
      </c>
      <c r="C1521">
        <v>3475</v>
      </c>
      <c r="D1521" s="581"/>
      <c r="E1521" s="581"/>
      <c r="F1521" s="2">
        <f>(1/S1521)*cnst_fish!$C$6</f>
        <v>1.5103960722494616</v>
      </c>
      <c r="G1521" s="2">
        <f t="shared" si="219"/>
        <v>1</v>
      </c>
      <c r="H1521" s="2">
        <f t="shared" si="219"/>
        <v>0.36449057933102513</v>
      </c>
      <c r="I1521" s="2">
        <f t="shared" si="212"/>
        <v>0</v>
      </c>
      <c r="J1521" s="389">
        <f t="shared" si="213"/>
        <v>0</v>
      </c>
      <c r="L1521" s="721">
        <v>0</v>
      </c>
      <c r="M1521" s="581"/>
      <c r="N1521" s="585" t="s">
        <v>2311</v>
      </c>
      <c r="O1521" s="586" t="s">
        <v>4680</v>
      </c>
      <c r="P1521" s="233">
        <f t="shared" si="214"/>
        <v>0</v>
      </c>
      <c r="Q1521" s="233">
        <f t="shared" si="215"/>
        <v>0</v>
      </c>
      <c r="R1521" s="2">
        <f t="shared" si="216"/>
        <v>2.2999999999999998</v>
      </c>
      <c r="S1521" s="2">
        <f>(1/9)*cnst_fish!$C$7*(1/cnst_fish!$C$8)^(R1521-1)</f>
        <v>2.8138314698279068</v>
      </c>
      <c r="T1521" s="682">
        <f t="shared" si="217"/>
        <v>0</v>
      </c>
      <c r="W1521" s="818"/>
      <c r="X1521" s="818"/>
      <c r="Y1521" s="819"/>
      <c r="Z1521" s="820"/>
      <c r="AA1521" s="820"/>
      <c r="AB1521" s="821"/>
      <c r="AC1521" s="821"/>
      <c r="AD1521" s="253"/>
      <c r="AE1521" s="253"/>
    </row>
    <row r="1522" spans="1:31" ht="12.75" customHeight="1">
      <c r="A1522" t="s">
        <v>6559</v>
      </c>
      <c r="B1522" t="s">
        <v>2479</v>
      </c>
      <c r="C1522">
        <v>18644</v>
      </c>
      <c r="D1522" s="581"/>
      <c r="E1522" s="581"/>
      <c r="F1522" s="2">
        <f>(1/S1522)*cnst_fish!$C$6</f>
        <v>2.4296179854146147</v>
      </c>
      <c r="G1522" s="2">
        <f t="shared" si="219"/>
        <v>1</v>
      </c>
      <c r="H1522" s="2">
        <f t="shared" si="219"/>
        <v>0.36449057933102513</v>
      </c>
      <c r="I1522" s="2">
        <f t="shared" si="212"/>
        <v>0</v>
      </c>
      <c r="J1522" s="389">
        <f t="shared" si="213"/>
        <v>0</v>
      </c>
      <c r="L1522" s="721">
        <v>0</v>
      </c>
      <c r="M1522" s="581"/>
      <c r="N1522" s="585" t="s">
        <v>2311</v>
      </c>
      <c r="O1522" s="586" t="s">
        <v>4680</v>
      </c>
      <c r="P1522" s="233">
        <f t="shared" si="214"/>
        <v>0</v>
      </c>
      <c r="Q1522" s="233">
        <f t="shared" si="215"/>
        <v>0</v>
      </c>
      <c r="R1522" s="2">
        <f t="shared" si="216"/>
        <v>2.0935528537656198</v>
      </c>
      <c r="S1522" s="2">
        <f>(1/9)*cnst_fish!$C$7*(1/cnst_fish!$C$8)^(R1522-1)</f>
        <v>1.7492461882952093</v>
      </c>
      <c r="T1522" s="682">
        <f t="shared" si="217"/>
        <v>0</v>
      </c>
      <c r="W1522" s="818"/>
      <c r="X1522" s="818"/>
      <c r="Y1522" s="819"/>
      <c r="Z1522" s="820"/>
      <c r="AA1522" s="820"/>
      <c r="AB1522" s="821"/>
      <c r="AC1522" s="821"/>
      <c r="AD1522" s="253"/>
      <c r="AE1522" s="253"/>
    </row>
    <row r="1523" spans="1:31" ht="12.75" customHeight="1">
      <c r="A1523" t="s">
        <v>3861</v>
      </c>
      <c r="B1523" t="s">
        <v>3862</v>
      </c>
      <c r="C1523">
        <v>19127</v>
      </c>
      <c r="D1523" s="581"/>
      <c r="E1523" s="581"/>
      <c r="F1523" s="2">
        <f>(1/S1523)*cnst_fish!$C$6</f>
        <v>0.14481532779905856</v>
      </c>
      <c r="G1523" s="2">
        <f t="shared" si="219"/>
        <v>1</v>
      </c>
      <c r="H1523" s="2">
        <f t="shared" si="219"/>
        <v>0.36449057933102513</v>
      </c>
      <c r="I1523" s="2">
        <f t="shared" si="212"/>
        <v>0</v>
      </c>
      <c r="J1523" s="389">
        <f t="shared" si="213"/>
        <v>0</v>
      </c>
      <c r="L1523" s="721">
        <v>0</v>
      </c>
      <c r="M1523" s="581"/>
      <c r="N1523" s="585" t="s">
        <v>2311</v>
      </c>
      <c r="O1523" s="586" t="s">
        <v>4680</v>
      </c>
      <c r="P1523" s="233">
        <f t="shared" si="214"/>
        <v>0</v>
      </c>
      <c r="Q1523" s="233">
        <f t="shared" si="215"/>
        <v>0</v>
      </c>
      <c r="R1523" s="2">
        <f t="shared" si="216"/>
        <v>3.3182763159269002</v>
      </c>
      <c r="S1523" s="2">
        <f>(1/9)*cnst_fish!$C$7*(1/cnst_fish!$C$8)^(R1523-1)</f>
        <v>29.347722127157517</v>
      </c>
      <c r="T1523" s="682">
        <f t="shared" si="217"/>
        <v>0</v>
      </c>
      <c r="W1523" s="818"/>
      <c r="X1523" s="818"/>
      <c r="Y1523" s="819"/>
      <c r="Z1523" s="820"/>
      <c r="AA1523" s="820"/>
      <c r="AB1523" s="821"/>
      <c r="AC1523" s="821"/>
      <c r="AD1523" s="253"/>
      <c r="AE1523" s="253"/>
    </row>
    <row r="1524" spans="1:31" ht="12.75" customHeight="1">
      <c r="A1524" t="s">
        <v>1987</v>
      </c>
      <c r="B1524" t="s">
        <v>2219</v>
      </c>
      <c r="C1524">
        <v>2360</v>
      </c>
      <c r="D1524" s="581"/>
      <c r="E1524" s="581"/>
      <c r="F1524" s="2">
        <f>(1/S1524)*cnst_fish!$C$6</f>
        <v>0.97519361156519724</v>
      </c>
      <c r="G1524" s="2">
        <f t="shared" si="219"/>
        <v>1</v>
      </c>
      <c r="H1524" s="2">
        <f t="shared" si="219"/>
        <v>0.36449057933102513</v>
      </c>
      <c r="I1524" s="2">
        <f t="shared" si="212"/>
        <v>0</v>
      </c>
      <c r="J1524" s="389">
        <f t="shared" si="213"/>
        <v>0</v>
      </c>
      <c r="L1524" s="721">
        <v>1320</v>
      </c>
      <c r="M1524" s="581"/>
      <c r="N1524" s="585" t="s">
        <v>1738</v>
      </c>
      <c r="O1524" s="586" t="s">
        <v>4681</v>
      </c>
      <c r="P1524" s="233">
        <f t="shared" si="214"/>
        <v>0</v>
      </c>
      <c r="Q1524" s="233">
        <f t="shared" si="215"/>
        <v>1320</v>
      </c>
      <c r="R1524" s="2">
        <f t="shared" si="216"/>
        <v>2.4900000000000002</v>
      </c>
      <c r="S1524" s="2">
        <f>(1/9)*cnst_fish!$C$7*(1/cnst_fish!$C$8)^(R1524-1)</f>
        <v>4.3581089432883999</v>
      </c>
      <c r="T1524" s="682">
        <f t="shared" si="217"/>
        <v>493.36619827188747</v>
      </c>
      <c r="W1524" s="818"/>
      <c r="X1524" s="818"/>
      <c r="Y1524" s="819"/>
      <c r="Z1524" s="820"/>
      <c r="AA1524" s="820"/>
      <c r="AB1524" s="821"/>
      <c r="AC1524" s="821"/>
      <c r="AD1524" s="253"/>
      <c r="AE1524" s="253"/>
    </row>
    <row r="1525" spans="1:31" ht="12.75" customHeight="1">
      <c r="A1525" t="s">
        <v>4654</v>
      </c>
      <c r="B1525" t="s">
        <v>308</v>
      </c>
      <c r="C1525">
        <v>3417</v>
      </c>
      <c r="D1525" s="581"/>
      <c r="E1525" s="581"/>
      <c r="F1525" s="2">
        <f>(1/S1525)*cnst_fish!$C$6</f>
        <v>0.60129950673834842</v>
      </c>
      <c r="G1525" s="2">
        <f t="shared" si="219"/>
        <v>1</v>
      </c>
      <c r="H1525" s="2">
        <f t="shared" si="219"/>
        <v>0.36449057933102513</v>
      </c>
      <c r="I1525" s="2">
        <f t="shared" si="212"/>
        <v>0</v>
      </c>
      <c r="J1525" s="389">
        <f t="shared" si="213"/>
        <v>0</v>
      </c>
      <c r="L1525" s="721">
        <v>100</v>
      </c>
      <c r="M1525" s="581"/>
      <c r="N1525" s="585" t="s">
        <v>2322</v>
      </c>
      <c r="O1525" s="586" t="s">
        <v>4680</v>
      </c>
      <c r="P1525" s="233">
        <f t="shared" si="214"/>
        <v>0</v>
      </c>
      <c r="Q1525" s="233">
        <f t="shared" si="215"/>
        <v>100</v>
      </c>
      <c r="R1525" s="2">
        <f t="shared" si="216"/>
        <v>2.7</v>
      </c>
      <c r="S1525" s="2">
        <f>(1/9)*cnst_fish!$C$7*(1/cnst_fish!$C$8)^(R1525-1)</f>
        <v>7.0680250896153813</v>
      </c>
      <c r="T1525" s="682">
        <f t="shared" si="217"/>
        <v>60.617142579767794</v>
      </c>
      <c r="W1525" s="818"/>
      <c r="X1525" s="818"/>
      <c r="Y1525" s="819"/>
      <c r="Z1525" s="820"/>
      <c r="AA1525" s="820"/>
      <c r="AB1525" s="821"/>
      <c r="AC1525" s="821"/>
      <c r="AD1525" s="253"/>
      <c r="AE1525" s="253"/>
    </row>
    <row r="1526" spans="1:31" ht="12.75" customHeight="1">
      <c r="A1526" t="s">
        <v>3331</v>
      </c>
      <c r="B1526" t="s">
        <v>3949</v>
      </c>
      <c r="C1526">
        <v>2599</v>
      </c>
      <c r="D1526" s="581"/>
      <c r="E1526" s="581"/>
      <c r="F1526" s="2">
        <f>(1/S1526)*cnst_fish!$C$6</f>
        <v>0.60129950673834842</v>
      </c>
      <c r="G1526" s="2">
        <f t="shared" si="219"/>
        <v>1</v>
      </c>
      <c r="H1526" s="2">
        <f t="shared" si="219"/>
        <v>0.36449057933102513</v>
      </c>
      <c r="I1526" s="2">
        <f t="shared" si="212"/>
        <v>0</v>
      </c>
      <c r="J1526" s="389">
        <f t="shared" si="213"/>
        <v>0</v>
      </c>
      <c r="L1526" s="721">
        <v>5212</v>
      </c>
      <c r="M1526" s="581"/>
      <c r="N1526" s="585" t="s">
        <v>2322</v>
      </c>
      <c r="O1526" s="586" t="s">
        <v>4680</v>
      </c>
      <c r="P1526" s="233">
        <f t="shared" si="214"/>
        <v>0</v>
      </c>
      <c r="Q1526" s="233">
        <f t="shared" si="215"/>
        <v>5212</v>
      </c>
      <c r="R1526" s="2">
        <f t="shared" si="216"/>
        <v>2.7</v>
      </c>
      <c r="S1526" s="2">
        <f>(1/9)*cnst_fish!$C$7*(1/cnst_fish!$C$8)^(R1526-1)</f>
        <v>7.0680250896153813</v>
      </c>
      <c r="T1526" s="682">
        <f t="shared" si="217"/>
        <v>3159.3654712574971</v>
      </c>
      <c r="W1526" s="818"/>
      <c r="X1526" s="818"/>
      <c r="Y1526" s="819"/>
      <c r="Z1526" s="820"/>
      <c r="AA1526" s="820"/>
      <c r="AB1526" s="821"/>
      <c r="AC1526" s="821"/>
      <c r="AD1526" s="253"/>
      <c r="AE1526" s="253"/>
    </row>
    <row r="1527" spans="1:31" ht="12.75" customHeight="1">
      <c r="A1527" t="s">
        <v>4044</v>
      </c>
      <c r="B1527" t="s">
        <v>3950</v>
      </c>
      <c r="C1527">
        <v>2598</v>
      </c>
      <c r="D1527" s="581"/>
      <c r="E1527" s="581"/>
      <c r="F1527" s="2">
        <f>(1/S1527)*cnst_fish!$C$6</f>
        <v>0.14760152601876345</v>
      </c>
      <c r="G1527" s="2">
        <f t="shared" si="219"/>
        <v>1</v>
      </c>
      <c r="H1527" s="2">
        <f t="shared" si="219"/>
        <v>0.36449057933102513</v>
      </c>
      <c r="I1527" s="2">
        <f t="shared" si="212"/>
        <v>0</v>
      </c>
      <c r="J1527" s="389">
        <f t="shared" si="213"/>
        <v>0</v>
      </c>
      <c r="L1527" s="721">
        <v>32073.82</v>
      </c>
      <c r="M1527" s="581"/>
      <c r="N1527" s="585" t="s">
        <v>2322</v>
      </c>
      <c r="O1527" s="586" t="s">
        <v>4680</v>
      </c>
      <c r="P1527" s="233">
        <f t="shared" si="214"/>
        <v>0</v>
      </c>
      <c r="Q1527" s="233">
        <f t="shared" si="215"/>
        <v>32073.82</v>
      </c>
      <c r="R1527" s="2">
        <f t="shared" si="216"/>
        <v>3.31</v>
      </c>
      <c r="S1527" s="2">
        <f>(1/9)*cnst_fish!$C$7*(1/cnst_fish!$C$8)^(R1527-1)</f>
        <v>28.793740245339542</v>
      </c>
      <c r="T1527" s="682">
        <f t="shared" si="217"/>
        <v>79203.823622208918</v>
      </c>
      <c r="W1527" s="818"/>
      <c r="X1527" s="818"/>
      <c r="Y1527" s="819"/>
      <c r="Z1527" s="820"/>
      <c r="AA1527" s="820"/>
      <c r="AB1527" s="821"/>
      <c r="AC1527" s="821"/>
      <c r="AD1527" s="253"/>
      <c r="AE1527" s="253"/>
    </row>
    <row r="1528" spans="1:31" ht="12.75" customHeight="1">
      <c r="A1528" t="s">
        <v>3290</v>
      </c>
      <c r="B1528" t="s">
        <v>2220</v>
      </c>
      <c r="C1528">
        <v>2431</v>
      </c>
      <c r="D1528" s="581"/>
      <c r="E1528" s="581"/>
      <c r="F1528" s="2">
        <f>(1/S1528)*cnst_fish!$C$6</f>
        <v>4.0652835961739346E-2</v>
      </c>
      <c r="G1528" s="2">
        <f t="shared" ref="G1528:H1547" si="220">G$7</f>
        <v>1</v>
      </c>
      <c r="H1528" s="2">
        <f t="shared" si="220"/>
        <v>0.36449057933102513</v>
      </c>
      <c r="I1528" s="2">
        <f t="shared" si="212"/>
        <v>0</v>
      </c>
      <c r="J1528" s="389">
        <f t="shared" si="213"/>
        <v>0</v>
      </c>
      <c r="L1528" s="721">
        <v>2031</v>
      </c>
      <c r="M1528" s="581"/>
      <c r="N1528" s="585" t="s">
        <v>1738</v>
      </c>
      <c r="O1528" s="586" t="s">
        <v>4681</v>
      </c>
      <c r="P1528" s="233">
        <f t="shared" si="214"/>
        <v>0</v>
      </c>
      <c r="Q1528" s="233">
        <f t="shared" si="215"/>
        <v>2031</v>
      </c>
      <c r="R1528" s="2">
        <f t="shared" si="216"/>
        <v>3.87</v>
      </c>
      <c r="S1528" s="2">
        <f>(1/9)*cnst_fish!$C$7*(1/cnst_fish!$C$8)^(R1528-1)</f>
        <v>104.54375197833461</v>
      </c>
      <c r="T1528" s="682">
        <f t="shared" si="217"/>
        <v>18209.808715879779</v>
      </c>
      <c r="W1528" s="822"/>
      <c r="X1528" s="822"/>
      <c r="Y1528" s="819"/>
      <c r="Z1528" s="820"/>
      <c r="AA1528" s="820"/>
      <c r="AB1528" s="821"/>
      <c r="AC1528" s="821"/>
      <c r="AD1528" s="253"/>
      <c r="AE1528" s="253"/>
    </row>
    <row r="1529" spans="1:31" ht="12.75" customHeight="1">
      <c r="A1529" t="s">
        <v>6203</v>
      </c>
      <c r="B1529" t="s">
        <v>6202</v>
      </c>
      <c r="C1529">
        <v>2339</v>
      </c>
      <c r="D1529" s="581"/>
      <c r="E1529" s="581"/>
      <c r="F1529" s="2">
        <f>(1/S1529)*cnst_fish!$C$6</f>
        <v>7.5699122913220479E-2</v>
      </c>
      <c r="G1529" s="2">
        <f t="shared" si="220"/>
        <v>1</v>
      </c>
      <c r="H1529" s="2">
        <f t="shared" si="220"/>
        <v>0.36449057933102513</v>
      </c>
      <c r="I1529" s="2">
        <f t="shared" si="212"/>
        <v>0</v>
      </c>
      <c r="J1529" s="389">
        <f t="shared" si="213"/>
        <v>0</v>
      </c>
      <c r="L1529" s="721">
        <v>0</v>
      </c>
      <c r="M1529" s="581"/>
      <c r="N1529" s="585" t="s">
        <v>1739</v>
      </c>
      <c r="O1529" s="586" t="s">
        <v>4681</v>
      </c>
      <c r="P1529" s="233">
        <f t="shared" si="214"/>
        <v>0</v>
      </c>
      <c r="Q1529" s="233">
        <f t="shared" si="215"/>
        <v>0</v>
      </c>
      <c r="R1529" s="2">
        <f t="shared" si="216"/>
        <v>3.6</v>
      </c>
      <c r="S1529" s="2">
        <f>(1/9)*cnst_fish!$C$7*(1/cnst_fish!$C$8)^(R1529-1)</f>
        <v>56.143318924211187</v>
      </c>
      <c r="T1529" s="682">
        <f t="shared" si="217"/>
        <v>0</v>
      </c>
      <c r="W1529" s="818"/>
      <c r="X1529" s="818"/>
      <c r="Y1529" s="819"/>
      <c r="Z1529" s="820"/>
      <c r="AA1529" s="820"/>
      <c r="AB1529" s="821"/>
      <c r="AC1529" s="821"/>
      <c r="AD1529" s="253"/>
      <c r="AE1529" s="253"/>
    </row>
    <row r="1530" spans="1:31" ht="12.75" customHeight="1">
      <c r="A1530" t="s">
        <v>9038</v>
      </c>
      <c r="B1530" t="s">
        <v>9039</v>
      </c>
      <c r="C1530">
        <v>14152</v>
      </c>
      <c r="D1530" s="581"/>
      <c r="E1530" s="581"/>
      <c r="F1530" s="869">
        <f>(1/S1530)*cnst_fish!$C$6</f>
        <v>9.5299549485983348E-2</v>
      </c>
      <c r="G1530" s="869">
        <f t="shared" si="220"/>
        <v>1</v>
      </c>
      <c r="H1530" s="869">
        <f t="shared" si="220"/>
        <v>0.36449057933102513</v>
      </c>
      <c r="I1530" s="869">
        <f t="shared" si="212"/>
        <v>0</v>
      </c>
      <c r="J1530" s="389">
        <f t="shared" si="213"/>
        <v>0</v>
      </c>
      <c r="L1530" s="721">
        <v>7</v>
      </c>
      <c r="M1530" s="581"/>
      <c r="N1530" s="877" t="s">
        <v>1738</v>
      </c>
      <c r="O1530" s="881" t="s">
        <v>4681</v>
      </c>
      <c r="P1530" s="871">
        <f t="shared" si="214"/>
        <v>0</v>
      </c>
      <c r="Q1530" s="871">
        <f t="shared" si="215"/>
        <v>7</v>
      </c>
      <c r="R1530" s="869">
        <f t="shared" si="216"/>
        <v>3.5</v>
      </c>
      <c r="S1530" s="869">
        <f>(1/9)*cnst_fish!$C$7*(1/cnst_fish!$C$8)^(R1530-1)</f>
        <v>44.596223412631026</v>
      </c>
      <c r="T1530" s="682">
        <f t="shared" si="217"/>
        <v>26.772781918475289</v>
      </c>
      <c r="W1530" s="818"/>
      <c r="X1530" s="818"/>
      <c r="Y1530" s="819"/>
      <c r="Z1530" s="820"/>
      <c r="AA1530" s="820"/>
      <c r="AB1530" s="821"/>
      <c r="AC1530" s="821"/>
      <c r="AD1530" s="253"/>
      <c r="AE1530" s="253"/>
    </row>
    <row r="1531" spans="1:31" ht="12.75" customHeight="1">
      <c r="A1531" t="s">
        <v>3046</v>
      </c>
      <c r="B1531" t="s">
        <v>5145</v>
      </c>
      <c r="C1531">
        <v>3458</v>
      </c>
      <c r="D1531" s="581"/>
      <c r="E1531" s="581"/>
      <c r="F1531" s="2">
        <f>(1/S1531)*cnst_fish!$C$6</f>
        <v>1.9014759972289452</v>
      </c>
      <c r="G1531" s="2">
        <f t="shared" si="220"/>
        <v>1</v>
      </c>
      <c r="H1531" s="2">
        <f t="shared" si="220"/>
        <v>0.36449057933102513</v>
      </c>
      <c r="I1531" s="2">
        <f t="shared" si="212"/>
        <v>0</v>
      </c>
      <c r="J1531" s="389">
        <f t="shared" si="213"/>
        <v>0</v>
      </c>
      <c r="L1531" s="721"/>
      <c r="M1531" s="581">
        <v>1</v>
      </c>
      <c r="N1531" s="585" t="s">
        <v>1737</v>
      </c>
      <c r="O1531" s="586" t="s">
        <v>4680</v>
      </c>
      <c r="P1531" s="233">
        <f t="shared" si="214"/>
        <v>0</v>
      </c>
      <c r="Q1531" s="233">
        <f t="shared" si="215"/>
        <v>1</v>
      </c>
      <c r="R1531" s="2">
        <f t="shared" si="216"/>
        <v>2.2000000000000002</v>
      </c>
      <c r="S1531" s="2">
        <f>(1/9)*cnst_fish!$C$7*(1/cnst_fish!$C$8)^(R1531-1)</f>
        <v>2.2351057842400328</v>
      </c>
      <c r="T1531" s="682">
        <f t="shared" si="217"/>
        <v>0.19168823580324112</v>
      </c>
      <c r="W1531" s="818"/>
      <c r="X1531" s="818"/>
      <c r="Y1531" s="819"/>
      <c r="Z1531" s="820"/>
      <c r="AA1531" s="820"/>
      <c r="AB1531" s="821"/>
      <c r="AC1531" s="821"/>
      <c r="AD1531" s="253"/>
      <c r="AE1531" s="253"/>
    </row>
    <row r="1532" spans="1:31" ht="12.75" customHeight="1">
      <c r="A1532" t="s">
        <v>4762</v>
      </c>
      <c r="B1532" t="s">
        <v>4931</v>
      </c>
      <c r="C1532">
        <v>3127</v>
      </c>
      <c r="D1532" s="581"/>
      <c r="E1532" s="581"/>
      <c r="F1532" s="2">
        <f>(1/S1532)*cnst_fish!$C$6</f>
        <v>0.35407139951132155</v>
      </c>
      <c r="G1532" s="2">
        <f t="shared" si="220"/>
        <v>1</v>
      </c>
      <c r="H1532" s="2">
        <f t="shared" si="220"/>
        <v>0.36449057933102513</v>
      </c>
      <c r="I1532" s="2">
        <f t="shared" si="212"/>
        <v>0</v>
      </c>
      <c r="J1532" s="389">
        <f t="shared" si="213"/>
        <v>0</v>
      </c>
      <c r="L1532" s="721">
        <v>84095.010000000009</v>
      </c>
      <c r="M1532" s="581"/>
      <c r="N1532" s="585" t="s">
        <v>1738</v>
      </c>
      <c r="O1532" s="586" t="s">
        <v>4699</v>
      </c>
      <c r="P1532" s="233">
        <f t="shared" si="214"/>
        <v>0</v>
      </c>
      <c r="Q1532" s="233">
        <f t="shared" si="215"/>
        <v>84095.010000000009</v>
      </c>
      <c r="R1532" s="2">
        <f t="shared" si="216"/>
        <v>2.93</v>
      </c>
      <c r="S1532" s="2">
        <f>(1/9)*cnst_fish!$C$7*(1/cnst_fish!$C$8)^(R1532-1)</f>
        <v>12.003228743879678</v>
      </c>
      <c r="T1532" s="682">
        <f t="shared" si="217"/>
        <v>86569.655035829157</v>
      </c>
      <c r="W1532" s="818"/>
      <c r="X1532" s="818"/>
      <c r="Y1532" s="819"/>
      <c r="Z1532" s="820"/>
      <c r="AA1532" s="820"/>
      <c r="AB1532" s="821"/>
      <c r="AC1532" s="821"/>
      <c r="AD1532" s="253"/>
      <c r="AE1532" s="253"/>
    </row>
    <row r="1533" spans="1:31" ht="12.75" customHeight="1">
      <c r="A1533" t="s">
        <v>699</v>
      </c>
      <c r="B1533" t="s">
        <v>2764</v>
      </c>
      <c r="C1533">
        <v>14169</v>
      </c>
      <c r="D1533" s="581"/>
      <c r="E1533" s="581"/>
      <c r="F1533" s="2">
        <f>(1/S1533)*cnst_fish!$C$6</f>
        <v>9.5299549485983348E-2</v>
      </c>
      <c r="G1533" s="2">
        <f t="shared" si="220"/>
        <v>1</v>
      </c>
      <c r="H1533" s="2">
        <f t="shared" si="220"/>
        <v>0.36449057933102513</v>
      </c>
      <c r="I1533" s="2">
        <f t="shared" si="212"/>
        <v>0</v>
      </c>
      <c r="J1533" s="389">
        <f t="shared" si="213"/>
        <v>0</v>
      </c>
      <c r="L1533" s="721">
        <v>0</v>
      </c>
      <c r="M1533" s="581"/>
      <c r="N1533" s="585" t="s">
        <v>1738</v>
      </c>
      <c r="O1533" s="586" t="s">
        <v>4681</v>
      </c>
      <c r="P1533" s="233">
        <f t="shared" si="214"/>
        <v>0</v>
      </c>
      <c r="Q1533" s="233">
        <f t="shared" si="215"/>
        <v>0</v>
      </c>
      <c r="R1533" s="2">
        <f t="shared" si="216"/>
        <v>3.5</v>
      </c>
      <c r="S1533" s="2">
        <f>(1/9)*cnst_fish!$C$7*(1/cnst_fish!$C$8)^(R1533-1)</f>
        <v>44.596223412631026</v>
      </c>
      <c r="T1533" s="682">
        <f t="shared" si="217"/>
        <v>0</v>
      </c>
      <c r="W1533" s="818"/>
      <c r="X1533" s="818"/>
      <c r="Y1533" s="819"/>
      <c r="Z1533" s="820"/>
      <c r="AA1533" s="820"/>
      <c r="AB1533" s="821"/>
      <c r="AC1533" s="821"/>
      <c r="AD1533" s="253"/>
      <c r="AE1533" s="253"/>
    </row>
    <row r="1534" spans="1:31" ht="12.75" customHeight="1">
      <c r="A1534" t="s">
        <v>5472</v>
      </c>
      <c r="B1534" t="s">
        <v>5473</v>
      </c>
      <c r="C1534">
        <v>18646</v>
      </c>
      <c r="D1534" s="581"/>
      <c r="E1534" s="581"/>
      <c r="F1534" s="2">
        <f>(1/S1534)*cnst_fish!$C$6</f>
        <v>3.0136363636363641</v>
      </c>
      <c r="G1534" s="2">
        <f t="shared" si="220"/>
        <v>1</v>
      </c>
      <c r="H1534" s="2">
        <f t="shared" si="220"/>
        <v>0.36449057933102513</v>
      </c>
      <c r="I1534" s="2">
        <f t="shared" si="212"/>
        <v>0</v>
      </c>
      <c r="J1534" s="389">
        <f t="shared" si="213"/>
        <v>0</v>
      </c>
      <c r="L1534" s="721">
        <v>0</v>
      </c>
      <c r="M1534" s="581"/>
      <c r="N1534" s="585" t="s">
        <v>2315</v>
      </c>
      <c r="O1534" s="586" t="s">
        <v>4675</v>
      </c>
      <c r="P1534" s="233">
        <f t="shared" si="214"/>
        <v>0</v>
      </c>
      <c r="Q1534" s="233">
        <f t="shared" si="215"/>
        <v>0</v>
      </c>
      <c r="R1534" s="2">
        <f t="shared" si="216"/>
        <v>2</v>
      </c>
      <c r="S1534" s="2">
        <f>(1/9)*cnst_fish!$C$7*(1/cnst_fish!$C$8)^(R1534-1)</f>
        <v>1.4102564102564099</v>
      </c>
      <c r="T1534" s="682">
        <f t="shared" si="217"/>
        <v>0</v>
      </c>
      <c r="W1534" s="818"/>
      <c r="X1534" s="818"/>
      <c r="Y1534" s="819"/>
      <c r="Z1534" s="820"/>
      <c r="AA1534" s="820"/>
      <c r="AB1534" s="821"/>
      <c r="AC1534" s="821"/>
      <c r="AD1534" s="253"/>
      <c r="AE1534" s="253"/>
    </row>
    <row r="1535" spans="1:31" ht="12.75" customHeight="1">
      <c r="A1535" t="s">
        <v>3325</v>
      </c>
      <c r="B1535" t="s">
        <v>2261</v>
      </c>
      <c r="C1535">
        <v>14195</v>
      </c>
      <c r="D1535" s="581"/>
      <c r="E1535" s="581"/>
      <c r="F1535" s="2">
        <f>(1/S1535)*cnst_fish!$C$6</f>
        <v>0.33813556145554602</v>
      </c>
      <c r="G1535" s="2">
        <f t="shared" si="220"/>
        <v>1</v>
      </c>
      <c r="H1535" s="2">
        <f t="shared" si="220"/>
        <v>0.36449057933102513</v>
      </c>
      <c r="I1535" s="2">
        <f t="shared" si="212"/>
        <v>0</v>
      </c>
      <c r="J1535" s="389">
        <f t="shared" si="213"/>
        <v>0</v>
      </c>
      <c r="L1535" s="721">
        <v>284</v>
      </c>
      <c r="M1535" s="581"/>
      <c r="N1535" s="585" t="s">
        <v>1738</v>
      </c>
      <c r="O1535" s="586" t="s">
        <v>4681</v>
      </c>
      <c r="P1535" s="233">
        <f t="shared" si="214"/>
        <v>0</v>
      </c>
      <c r="Q1535" s="233">
        <f t="shared" si="215"/>
        <v>284</v>
      </c>
      <c r="R1535" s="2">
        <f t="shared" si="216"/>
        <v>2.95</v>
      </c>
      <c r="S1535" s="2">
        <f>(1/9)*cnst_fish!$C$7*(1/cnst_fish!$C$8)^(R1535-1)</f>
        <v>12.568923486501548</v>
      </c>
      <c r="T1535" s="682">
        <f t="shared" si="217"/>
        <v>306.13557498778511</v>
      </c>
      <c r="W1535" s="818"/>
      <c r="X1535" s="818"/>
      <c r="Y1535" s="819"/>
      <c r="Z1535" s="820"/>
      <c r="AA1535" s="820"/>
      <c r="AB1535" s="821"/>
      <c r="AC1535" s="821"/>
      <c r="AD1535" s="253"/>
      <c r="AE1535" s="253"/>
    </row>
    <row r="1536" spans="1:31" ht="12.75" customHeight="1">
      <c r="A1536" t="s">
        <v>3805</v>
      </c>
      <c r="B1536" t="s">
        <v>2765</v>
      </c>
      <c r="C1536">
        <v>16071</v>
      </c>
      <c r="D1536" s="581"/>
      <c r="E1536" s="581"/>
      <c r="F1536" s="2">
        <f>(1/S1536)*cnst_fish!$C$6</f>
        <v>0.15103960722494611</v>
      </c>
      <c r="G1536" s="2">
        <f t="shared" si="220"/>
        <v>1</v>
      </c>
      <c r="H1536" s="2">
        <f t="shared" si="220"/>
        <v>0.36449057933102513</v>
      </c>
      <c r="I1536" s="2">
        <f t="shared" si="212"/>
        <v>0</v>
      </c>
      <c r="J1536" s="389">
        <f t="shared" si="213"/>
        <v>0</v>
      </c>
      <c r="L1536" s="721">
        <v>4</v>
      </c>
      <c r="M1536" s="581"/>
      <c r="N1536" s="585" t="s">
        <v>1738</v>
      </c>
      <c r="O1536" s="586" t="s">
        <v>4681</v>
      </c>
      <c r="P1536" s="233">
        <f t="shared" si="214"/>
        <v>0</v>
      </c>
      <c r="Q1536" s="233">
        <f t="shared" si="215"/>
        <v>4</v>
      </c>
      <c r="R1536" s="2">
        <f t="shared" si="216"/>
        <v>3.3</v>
      </c>
      <c r="S1536" s="2">
        <f>(1/9)*cnst_fish!$C$7*(1/cnst_fish!$C$8)^(R1536-1)</f>
        <v>28.138314698279075</v>
      </c>
      <c r="T1536" s="682">
        <f t="shared" si="217"/>
        <v>9.6528476477877092</v>
      </c>
      <c r="W1536" s="818"/>
      <c r="X1536" s="818"/>
      <c r="Y1536" s="819"/>
      <c r="Z1536" s="820"/>
      <c r="AA1536" s="820"/>
      <c r="AB1536" s="821"/>
      <c r="AC1536" s="821"/>
      <c r="AD1536" s="253"/>
      <c r="AE1536" s="253"/>
    </row>
    <row r="1537" spans="1:31" ht="12.75" customHeight="1">
      <c r="A1537" t="s">
        <v>3421</v>
      </c>
      <c r="B1537" t="s">
        <v>4932</v>
      </c>
      <c r="C1537">
        <v>3125</v>
      </c>
      <c r="D1537" s="581"/>
      <c r="E1537" s="581"/>
      <c r="F1537" s="2">
        <f>(1/S1537)*cnst_fish!$C$6</f>
        <v>8.4935812883106004E-2</v>
      </c>
      <c r="G1537" s="2">
        <f t="shared" si="220"/>
        <v>1</v>
      </c>
      <c r="H1537" s="2">
        <f t="shared" si="220"/>
        <v>0.36449057933102513</v>
      </c>
      <c r="I1537" s="2">
        <f t="shared" si="212"/>
        <v>0</v>
      </c>
      <c r="J1537" s="389">
        <f t="shared" si="213"/>
        <v>0</v>
      </c>
      <c r="L1537" s="721">
        <v>554</v>
      </c>
      <c r="M1537" s="581"/>
      <c r="N1537" s="585" t="s">
        <v>1738</v>
      </c>
      <c r="O1537" s="586" t="s">
        <v>4699</v>
      </c>
      <c r="P1537" s="233">
        <f t="shared" si="214"/>
        <v>0</v>
      </c>
      <c r="Q1537" s="233">
        <f t="shared" si="215"/>
        <v>554</v>
      </c>
      <c r="R1537" s="2">
        <f t="shared" si="216"/>
        <v>3.55</v>
      </c>
      <c r="S1537" s="2">
        <f>(1/9)*cnst_fish!$C$7*(1/cnst_fish!$C$8)^(R1537-1)</f>
        <v>50.037785661145278</v>
      </c>
      <c r="T1537" s="682">
        <f t="shared" si="217"/>
        <v>2377.4162405120396</v>
      </c>
      <c r="W1537" s="818"/>
      <c r="X1537" s="818"/>
      <c r="Y1537" s="819"/>
      <c r="Z1537" s="820"/>
      <c r="AA1537" s="820"/>
      <c r="AB1537" s="821"/>
      <c r="AC1537" s="821"/>
      <c r="AD1537" s="253"/>
      <c r="AE1537" s="253"/>
    </row>
    <row r="1538" spans="1:31" ht="12.75" customHeight="1">
      <c r="A1538" t="s">
        <v>8710</v>
      </c>
      <c r="B1538" t="s">
        <v>8711</v>
      </c>
      <c r="C1538">
        <v>6565</v>
      </c>
      <c r="D1538" s="581"/>
      <c r="E1538" s="581"/>
      <c r="F1538" s="2">
        <f>(1/S1538)*cnst_fish!$C$6</f>
        <v>0.83002437741509261</v>
      </c>
      <c r="G1538" s="2">
        <f t="shared" si="220"/>
        <v>1</v>
      </c>
      <c r="H1538" s="2">
        <f t="shared" si="220"/>
        <v>0.36449057933102513</v>
      </c>
      <c r="I1538" s="2">
        <f t="shared" si="212"/>
        <v>0</v>
      </c>
      <c r="J1538" s="389">
        <f t="shared" si="213"/>
        <v>0</v>
      </c>
      <c r="L1538" s="721">
        <v>4</v>
      </c>
      <c r="M1538" s="581"/>
      <c r="N1538" s="585" t="s">
        <v>2322</v>
      </c>
      <c r="O1538" s="586" t="s">
        <v>4680</v>
      </c>
      <c r="P1538" s="233">
        <f t="shared" si="214"/>
        <v>0</v>
      </c>
      <c r="Q1538" s="233">
        <f t="shared" si="215"/>
        <v>4</v>
      </c>
      <c r="R1538" s="2">
        <f t="shared" si="216"/>
        <v>2.56</v>
      </c>
      <c r="S1538" s="2">
        <f>(1/9)*cnst_fish!$C$7*(1/cnst_fish!$C$8)^(R1538-1)</f>
        <v>5.1203315416296364</v>
      </c>
      <c r="T1538" s="682">
        <f t="shared" si="217"/>
        <v>1.7565295152710656</v>
      </c>
      <c r="W1538" s="822"/>
      <c r="X1538" s="822"/>
      <c r="Y1538" s="819"/>
      <c r="Z1538" s="820"/>
      <c r="AA1538" s="820"/>
      <c r="AB1538" s="821"/>
      <c r="AC1538" s="821"/>
      <c r="AD1538" s="253"/>
      <c r="AE1538" s="253"/>
    </row>
    <row r="1539" spans="1:31" ht="12.75" customHeight="1">
      <c r="A1539" t="s">
        <v>3424</v>
      </c>
      <c r="B1539" t="s">
        <v>5085</v>
      </c>
      <c r="C1539">
        <v>3241</v>
      </c>
      <c r="D1539" s="581"/>
      <c r="E1539" s="581"/>
      <c r="F1539" s="2">
        <f>(1/S1539)*cnst_fish!$C$6</f>
        <v>4.1599762155986937E-2</v>
      </c>
      <c r="G1539" s="2">
        <f t="shared" si="220"/>
        <v>1</v>
      </c>
      <c r="H1539" s="2">
        <f t="shared" si="220"/>
        <v>0.36449057933102513</v>
      </c>
      <c r="I1539" s="2">
        <f t="shared" si="212"/>
        <v>0</v>
      </c>
      <c r="J1539" s="389">
        <f t="shared" si="213"/>
        <v>0</v>
      </c>
      <c r="L1539" s="721">
        <v>27</v>
      </c>
      <c r="M1539" s="581"/>
      <c r="N1539" s="585" t="s">
        <v>1738</v>
      </c>
      <c r="O1539" s="586" t="s">
        <v>4681</v>
      </c>
      <c r="P1539" s="233">
        <f t="shared" si="214"/>
        <v>0</v>
      </c>
      <c r="Q1539" s="233">
        <f t="shared" si="215"/>
        <v>27</v>
      </c>
      <c r="R1539" s="2">
        <f t="shared" si="216"/>
        <v>3.86</v>
      </c>
      <c r="S1539" s="2">
        <f>(1/9)*cnst_fish!$C$7*(1/cnst_fish!$C$8)^(R1539-1)</f>
        <v>102.16404565160117</v>
      </c>
      <c r="T1539" s="682">
        <f t="shared" si="217"/>
        <v>236.56975741918635</v>
      </c>
      <c r="W1539" s="818"/>
      <c r="X1539" s="818"/>
      <c r="Y1539" s="819"/>
      <c r="Z1539" s="820"/>
      <c r="AA1539" s="820"/>
      <c r="AB1539" s="821"/>
      <c r="AC1539" s="821"/>
      <c r="AD1539" s="253"/>
      <c r="AE1539" s="253"/>
    </row>
    <row r="1540" spans="1:31" ht="12.75" customHeight="1">
      <c r="A1540" t="s">
        <v>8712</v>
      </c>
      <c r="B1540" t="s">
        <v>8713</v>
      </c>
      <c r="C1540">
        <v>19124</v>
      </c>
      <c r="D1540" s="581"/>
      <c r="E1540" s="581"/>
      <c r="F1540" s="2">
        <f>(1/S1540)*cnst_fish!$C$6</f>
        <v>7.5699122913220479E-2</v>
      </c>
      <c r="G1540" s="2">
        <f t="shared" si="220"/>
        <v>1</v>
      </c>
      <c r="H1540" s="2">
        <f t="shared" si="220"/>
        <v>0.36449057933102513</v>
      </c>
      <c r="I1540" s="2">
        <f t="shared" si="212"/>
        <v>0</v>
      </c>
      <c r="J1540" s="389">
        <f t="shared" si="213"/>
        <v>0</v>
      </c>
      <c r="L1540" s="721">
        <v>0</v>
      </c>
      <c r="M1540" s="581"/>
      <c r="N1540" s="585" t="s">
        <v>5195</v>
      </c>
      <c r="O1540" s="586" t="s">
        <v>4681</v>
      </c>
      <c r="P1540" s="233">
        <f t="shared" si="214"/>
        <v>0</v>
      </c>
      <c r="Q1540" s="233">
        <f t="shared" si="215"/>
        <v>0</v>
      </c>
      <c r="R1540" s="2">
        <f t="shared" si="216"/>
        <v>3.6</v>
      </c>
      <c r="S1540" s="2">
        <f>(1/9)*cnst_fish!$C$7*(1/cnst_fish!$C$8)^(R1540-1)</f>
        <v>56.143318924211187</v>
      </c>
      <c r="T1540" s="682">
        <f t="shared" si="217"/>
        <v>0</v>
      </c>
      <c r="W1540" s="818"/>
      <c r="X1540" s="818"/>
      <c r="Y1540" s="819"/>
      <c r="Z1540" s="820"/>
      <c r="AA1540" s="820"/>
      <c r="AB1540" s="821"/>
      <c r="AC1540" s="821"/>
      <c r="AD1540" s="253"/>
      <c r="AE1540" s="253"/>
    </row>
    <row r="1541" spans="1:31" ht="12.75" customHeight="1">
      <c r="A1541" t="s">
        <v>3417</v>
      </c>
      <c r="B1541" t="s">
        <v>5086</v>
      </c>
      <c r="C1541">
        <v>2446</v>
      </c>
      <c r="D1541" s="581"/>
      <c r="E1541" s="581"/>
      <c r="F1541" s="2">
        <f>(1/S1541)*cnst_fish!$C$6</f>
        <v>9.7519361156519699E-2</v>
      </c>
      <c r="G1541" s="2">
        <f t="shared" si="220"/>
        <v>1</v>
      </c>
      <c r="H1541" s="2">
        <f t="shared" si="220"/>
        <v>0.36449057933102513</v>
      </c>
      <c r="I1541" s="2">
        <f t="shared" si="212"/>
        <v>0</v>
      </c>
      <c r="J1541" s="389">
        <f t="shared" si="213"/>
        <v>0</v>
      </c>
      <c r="L1541" s="721">
        <v>9138</v>
      </c>
      <c r="M1541" s="581"/>
      <c r="N1541" s="585" t="s">
        <v>1738</v>
      </c>
      <c r="O1541" s="586" t="s">
        <v>4681</v>
      </c>
      <c r="P1541" s="233">
        <f t="shared" si="214"/>
        <v>0</v>
      </c>
      <c r="Q1541" s="233">
        <f t="shared" si="215"/>
        <v>9138</v>
      </c>
      <c r="R1541" s="2">
        <f t="shared" si="216"/>
        <v>3.49</v>
      </c>
      <c r="S1541" s="2">
        <f>(1/9)*cnst_fish!$C$7*(1/cnst_fish!$C$8)^(R1541-1)</f>
        <v>43.581089432884006</v>
      </c>
      <c r="T1541" s="682">
        <f t="shared" si="217"/>
        <v>34154.396362185682</v>
      </c>
      <c r="W1541" s="818"/>
      <c r="X1541" s="818"/>
      <c r="Y1541" s="819"/>
      <c r="Z1541" s="820"/>
      <c r="AA1541" s="820"/>
      <c r="AB1541" s="821"/>
      <c r="AC1541" s="821"/>
      <c r="AD1541" s="253"/>
      <c r="AE1541" s="253"/>
    </row>
    <row r="1542" spans="1:31" ht="12.75" customHeight="1">
      <c r="A1542" t="s">
        <v>2624</v>
      </c>
      <c r="B1542" t="s">
        <v>1595</v>
      </c>
      <c r="C1542">
        <v>3525</v>
      </c>
      <c r="D1542" s="581"/>
      <c r="E1542" s="581"/>
      <c r="F1542" s="2">
        <f>(1/S1542)*cnst_fish!$C$6</f>
        <v>2.3938164528281742</v>
      </c>
      <c r="G1542" s="2">
        <f t="shared" si="220"/>
        <v>1</v>
      </c>
      <c r="H1542" s="2">
        <f t="shared" si="220"/>
        <v>0.36449057933102513</v>
      </c>
      <c r="I1542" s="2">
        <f t="shared" si="212"/>
        <v>0</v>
      </c>
      <c r="J1542" s="389">
        <f t="shared" si="213"/>
        <v>0</v>
      </c>
      <c r="L1542" s="721"/>
      <c r="M1542" s="581"/>
      <c r="N1542" s="585" t="s">
        <v>2318</v>
      </c>
      <c r="O1542" s="586" t="s">
        <v>4691</v>
      </c>
      <c r="P1542" s="233">
        <f t="shared" si="214"/>
        <v>0</v>
      </c>
      <c r="Q1542" s="233">
        <f t="shared" si="215"/>
        <v>0</v>
      </c>
      <c r="R1542" s="2">
        <f t="shared" si="216"/>
        <v>2.1</v>
      </c>
      <c r="S1542" s="2">
        <f>(1/9)*cnst_fish!$C$7*(1/cnst_fish!$C$8)^(R1542-1)</f>
        <v>1.7754076320174161</v>
      </c>
      <c r="T1542" s="682">
        <f t="shared" si="217"/>
        <v>0</v>
      </c>
      <c r="W1542" s="818"/>
      <c r="X1542" s="818"/>
      <c r="Y1542" s="819"/>
      <c r="Z1542" s="820"/>
      <c r="AA1542" s="820"/>
      <c r="AB1542" s="821"/>
      <c r="AC1542" s="821"/>
      <c r="AD1542" s="253"/>
      <c r="AE1542" s="253"/>
    </row>
    <row r="1543" spans="1:31" ht="12.75" customHeight="1">
      <c r="A1543" t="s">
        <v>2644</v>
      </c>
      <c r="B1543" t="s">
        <v>1596</v>
      </c>
      <c r="C1543">
        <v>2679</v>
      </c>
      <c r="D1543" s="581"/>
      <c r="E1543" s="581"/>
      <c r="F1543" s="2">
        <f>(1/S1543)*cnst_fish!$C$6</f>
        <v>2.3938164528281742</v>
      </c>
      <c r="G1543" s="2">
        <f t="shared" si="220"/>
        <v>1</v>
      </c>
      <c r="H1543" s="2">
        <f t="shared" si="220"/>
        <v>0.36449057933102513</v>
      </c>
      <c r="I1543" s="2">
        <f t="shared" ref="I1543:I1606" si="221">IF($F1543=0,0,D1543/$F1543*$H1543*$G1543)</f>
        <v>0</v>
      </c>
      <c r="J1543" s="389">
        <f t="shared" ref="J1543:J1606" si="222">IF($F1543=0,0,E1543/$F1543*$H1543*$G1543)</f>
        <v>0</v>
      </c>
      <c r="L1543" s="721">
        <v>315925</v>
      </c>
      <c r="M1543" s="581"/>
      <c r="N1543" s="585" t="s">
        <v>2318</v>
      </c>
      <c r="O1543" s="586" t="s">
        <v>4691</v>
      </c>
      <c r="P1543" s="233">
        <f t="shared" ref="P1543:P1606" si="223">D1543+E1543</f>
        <v>0</v>
      </c>
      <c r="Q1543" s="233">
        <f t="shared" ref="Q1543:Q1606" si="224">L1543+M1543</f>
        <v>315925</v>
      </c>
      <c r="R1543" s="2">
        <f t="shared" ref="R1543:R1606" si="225">VLOOKUP(B1543,constant_fish_trophic,3,FALSE)</f>
        <v>2.1</v>
      </c>
      <c r="S1543" s="2">
        <f>(1/9)*cnst_fish!$C$7*(1/cnst_fish!$C$8)^(R1543-1)</f>
        <v>1.7754076320174161</v>
      </c>
      <c r="T1543" s="682">
        <f t="shared" ref="T1543:T1606" si="226">IF(F1543=0,0,Q1543/F1543*H1543*G1543)</f>
        <v>48103.807682960898</v>
      </c>
      <c r="W1543" s="818"/>
      <c r="X1543" s="818"/>
      <c r="Y1543" s="819"/>
      <c r="Z1543" s="820"/>
      <c r="AA1543" s="820"/>
      <c r="AB1543" s="821"/>
      <c r="AC1543" s="821"/>
      <c r="AD1543" s="253"/>
      <c r="AE1543" s="253"/>
    </row>
    <row r="1544" spans="1:31" ht="12.75" customHeight="1">
      <c r="A1544" t="s">
        <v>4262</v>
      </c>
      <c r="B1544" t="s">
        <v>8714</v>
      </c>
      <c r="C1544">
        <v>3518</v>
      </c>
      <c r="D1544" s="581"/>
      <c r="E1544" s="581"/>
      <c r="F1544" s="2">
        <f>(1/S1544)*cnst_fish!$C$6</f>
        <v>2.3938164528281742</v>
      </c>
      <c r="G1544" s="2">
        <f t="shared" si="220"/>
        <v>1</v>
      </c>
      <c r="H1544" s="2">
        <f t="shared" si="220"/>
        <v>0.36449057933102513</v>
      </c>
      <c r="I1544" s="2">
        <f t="shared" si="221"/>
        <v>0</v>
      </c>
      <c r="J1544" s="389">
        <f t="shared" si="222"/>
        <v>0</v>
      </c>
      <c r="L1544" s="721"/>
      <c r="M1544" s="581"/>
      <c r="N1544" s="585" t="s">
        <v>2318</v>
      </c>
      <c r="O1544" s="586" t="s">
        <v>4691</v>
      </c>
      <c r="P1544" s="233">
        <f t="shared" si="223"/>
        <v>0</v>
      </c>
      <c r="Q1544" s="233">
        <f t="shared" si="224"/>
        <v>0</v>
      </c>
      <c r="R1544" s="2">
        <f t="shared" si="225"/>
        <v>2.1</v>
      </c>
      <c r="S1544" s="2">
        <f>(1/9)*cnst_fish!$C$7*(1/cnst_fish!$C$8)^(R1544-1)</f>
        <v>1.7754076320174161</v>
      </c>
      <c r="T1544" s="682">
        <f t="shared" si="226"/>
        <v>0</v>
      </c>
      <c r="W1544" s="818"/>
      <c r="X1544" s="818"/>
      <c r="Y1544" s="819"/>
      <c r="Z1544" s="820"/>
      <c r="AA1544" s="820"/>
      <c r="AB1544" s="821"/>
      <c r="AC1544" s="821"/>
      <c r="AD1544" s="253"/>
      <c r="AE1544" s="253"/>
    </row>
    <row r="1545" spans="1:31" ht="12.75" customHeight="1">
      <c r="A1545" t="s">
        <v>1158</v>
      </c>
      <c r="B1545" t="s">
        <v>3611</v>
      </c>
      <c r="C1545">
        <v>3517</v>
      </c>
      <c r="D1545" s="581"/>
      <c r="E1545" s="581"/>
      <c r="F1545" s="2">
        <f>(1/S1545)*cnst_fish!$C$6</f>
        <v>2.3938164528281742</v>
      </c>
      <c r="G1545" s="2">
        <f t="shared" si="220"/>
        <v>1</v>
      </c>
      <c r="H1545" s="2">
        <f t="shared" si="220"/>
        <v>0.36449057933102513</v>
      </c>
      <c r="I1545" s="2">
        <f t="shared" si="221"/>
        <v>0</v>
      </c>
      <c r="J1545" s="389">
        <f t="shared" si="222"/>
        <v>0</v>
      </c>
      <c r="L1545" s="721">
        <v>218</v>
      </c>
      <c r="M1545" s="581"/>
      <c r="N1545" s="585" t="s">
        <v>2318</v>
      </c>
      <c r="O1545" s="586" t="s">
        <v>4691</v>
      </c>
      <c r="P1545" s="233">
        <f t="shared" si="223"/>
        <v>0</v>
      </c>
      <c r="Q1545" s="233">
        <f t="shared" si="224"/>
        <v>218</v>
      </c>
      <c r="R1545" s="2">
        <f t="shared" si="225"/>
        <v>2.1</v>
      </c>
      <c r="S1545" s="2">
        <f>(1/9)*cnst_fish!$C$7*(1/cnst_fish!$C$8)^(R1545-1)</f>
        <v>1.7754076320174161</v>
      </c>
      <c r="T1545" s="682">
        <f t="shared" si="226"/>
        <v>33.193416395934079</v>
      </c>
      <c r="W1545" s="822"/>
      <c r="X1545" s="822"/>
      <c r="Y1545" s="819"/>
      <c r="Z1545" s="820"/>
      <c r="AA1545" s="820"/>
      <c r="AB1545" s="821"/>
      <c r="AC1545" s="821"/>
      <c r="AD1545" s="253"/>
      <c r="AE1545" s="253"/>
    </row>
    <row r="1546" spans="1:31" ht="12.75" customHeight="1">
      <c r="A1546" t="s">
        <v>1275</v>
      </c>
      <c r="B1546" t="s">
        <v>3612</v>
      </c>
      <c r="C1546">
        <v>3516</v>
      </c>
      <c r="D1546" s="581"/>
      <c r="E1546" s="581"/>
      <c r="F1546" s="2">
        <f>(1/S1546)*cnst_fish!$C$6</f>
        <v>2.3938164528281742</v>
      </c>
      <c r="G1546" s="2">
        <f t="shared" si="220"/>
        <v>1</v>
      </c>
      <c r="H1546" s="2">
        <f t="shared" si="220"/>
        <v>0.36449057933102513</v>
      </c>
      <c r="I1546" s="2">
        <f t="shared" si="221"/>
        <v>0</v>
      </c>
      <c r="J1546" s="389">
        <f t="shared" si="222"/>
        <v>0</v>
      </c>
      <c r="L1546" s="721">
        <v>90765</v>
      </c>
      <c r="M1546" s="581"/>
      <c r="N1546" s="585" t="s">
        <v>2318</v>
      </c>
      <c r="O1546" s="586" t="s">
        <v>4691</v>
      </c>
      <c r="P1546" s="233">
        <f t="shared" si="223"/>
        <v>0</v>
      </c>
      <c r="Q1546" s="233">
        <f t="shared" si="224"/>
        <v>90765</v>
      </c>
      <c r="R1546" s="2">
        <f t="shared" si="225"/>
        <v>2.1</v>
      </c>
      <c r="S1546" s="2">
        <f>(1/9)*cnst_fish!$C$7*(1/cnst_fish!$C$8)^(R1546-1)</f>
        <v>1.7754076320174161</v>
      </c>
      <c r="T1546" s="682">
        <f t="shared" si="226"/>
        <v>13820.185500811727</v>
      </c>
      <c r="W1546" s="822"/>
      <c r="X1546" s="822"/>
      <c r="Y1546" s="819"/>
      <c r="Z1546" s="820"/>
      <c r="AA1546" s="820"/>
      <c r="AB1546" s="821"/>
      <c r="AC1546" s="821"/>
      <c r="AD1546" s="253"/>
      <c r="AE1546" s="253"/>
    </row>
    <row r="1547" spans="1:31" ht="12.75" customHeight="1">
      <c r="A1547" t="s">
        <v>5028</v>
      </c>
      <c r="B1547" t="s">
        <v>3613</v>
      </c>
      <c r="C1547">
        <v>2681</v>
      </c>
      <c r="D1547" s="581"/>
      <c r="E1547" s="581"/>
      <c r="F1547" s="2">
        <f>(1/S1547)*cnst_fish!$C$6</f>
        <v>2.3938164528281742</v>
      </c>
      <c r="G1547" s="2">
        <f t="shared" si="220"/>
        <v>1</v>
      </c>
      <c r="H1547" s="2">
        <f t="shared" si="220"/>
        <v>0.36449057933102513</v>
      </c>
      <c r="I1547" s="2">
        <f t="shared" si="221"/>
        <v>0</v>
      </c>
      <c r="J1547" s="389">
        <f t="shared" si="222"/>
        <v>0</v>
      </c>
      <c r="L1547" s="721">
        <v>283</v>
      </c>
      <c r="M1547" s="581"/>
      <c r="N1547" s="585" t="s">
        <v>2318</v>
      </c>
      <c r="O1547" s="586" t="s">
        <v>4691</v>
      </c>
      <c r="P1547" s="233">
        <f t="shared" si="223"/>
        <v>0</v>
      </c>
      <c r="Q1547" s="233">
        <f t="shared" si="224"/>
        <v>283</v>
      </c>
      <c r="R1547" s="2">
        <f t="shared" si="225"/>
        <v>2.1</v>
      </c>
      <c r="S1547" s="2">
        <f>(1/9)*cnst_fish!$C$7*(1/cnst_fish!$C$8)^(R1547-1)</f>
        <v>1.7754076320174161</v>
      </c>
      <c r="T1547" s="682">
        <f t="shared" si="226"/>
        <v>43.090535963529099</v>
      </c>
      <c r="W1547" s="818"/>
      <c r="X1547" s="818"/>
      <c r="Y1547" s="819"/>
      <c r="Z1547" s="820"/>
      <c r="AA1547" s="820"/>
      <c r="AB1547" s="821"/>
      <c r="AC1547" s="821"/>
      <c r="AD1547" s="253"/>
      <c r="AE1547" s="253"/>
    </row>
    <row r="1548" spans="1:31" ht="12.75" customHeight="1">
      <c r="A1548" t="s">
        <v>1574</v>
      </c>
      <c r="B1548" t="s">
        <v>3614</v>
      </c>
      <c r="C1548">
        <v>2678</v>
      </c>
      <c r="D1548" s="581"/>
      <c r="E1548" s="581"/>
      <c r="F1548" s="2">
        <f>(1/S1548)*cnst_fish!$C$6</f>
        <v>2.3938164528281742</v>
      </c>
      <c r="G1548" s="2">
        <f t="shared" ref="G1548:H1567" si="227">G$7</f>
        <v>1</v>
      </c>
      <c r="H1548" s="2">
        <f t="shared" si="227"/>
        <v>0.36449057933102513</v>
      </c>
      <c r="I1548" s="2">
        <f t="shared" si="221"/>
        <v>0</v>
      </c>
      <c r="J1548" s="389">
        <f t="shared" si="222"/>
        <v>0</v>
      </c>
      <c r="L1548" s="721">
        <v>11299</v>
      </c>
      <c r="M1548" s="581"/>
      <c r="N1548" s="585" t="s">
        <v>2318</v>
      </c>
      <c r="O1548" s="586" t="s">
        <v>4691</v>
      </c>
      <c r="P1548" s="233">
        <f t="shared" si="223"/>
        <v>0</v>
      </c>
      <c r="Q1548" s="233">
        <f t="shared" si="224"/>
        <v>11299</v>
      </c>
      <c r="R1548" s="2">
        <f t="shared" si="225"/>
        <v>2.1</v>
      </c>
      <c r="S1548" s="2">
        <f>(1/9)*cnst_fish!$C$7*(1/cnst_fish!$C$8)^(R1548-1)</f>
        <v>1.7754076320174161</v>
      </c>
      <c r="T1548" s="682">
        <f t="shared" si="226"/>
        <v>1720.4239076039412</v>
      </c>
      <c r="W1548" s="818"/>
      <c r="X1548" s="818"/>
      <c r="Y1548" s="819"/>
      <c r="Z1548" s="820"/>
      <c r="AA1548" s="820"/>
      <c r="AB1548" s="821"/>
      <c r="AC1548" s="821"/>
      <c r="AD1548" s="253"/>
      <c r="AE1548" s="253"/>
    </row>
    <row r="1549" spans="1:31" ht="12.75" customHeight="1">
      <c r="A1549" t="s">
        <v>3954</v>
      </c>
      <c r="B1549" t="s">
        <v>1239</v>
      </c>
      <c r="C1549">
        <v>14234</v>
      </c>
      <c r="D1549" s="581"/>
      <c r="E1549" s="581"/>
      <c r="F1549" s="2">
        <f>(1/S1549)*cnst_fish!$C$6</f>
        <v>9.5299549485983348E-2</v>
      </c>
      <c r="G1549" s="2">
        <f t="shared" si="227"/>
        <v>1</v>
      </c>
      <c r="H1549" s="2">
        <f t="shared" si="227"/>
        <v>0.36449057933102513</v>
      </c>
      <c r="I1549" s="2">
        <f t="shared" si="221"/>
        <v>0</v>
      </c>
      <c r="J1549" s="389">
        <f t="shared" si="222"/>
        <v>0</v>
      </c>
      <c r="L1549" s="721">
        <v>3</v>
      </c>
      <c r="M1549" s="581"/>
      <c r="N1549" s="585" t="s">
        <v>1738</v>
      </c>
      <c r="O1549" s="586" t="s">
        <v>4681</v>
      </c>
      <c r="P1549" s="233">
        <f t="shared" si="223"/>
        <v>0</v>
      </c>
      <c r="Q1549" s="233">
        <f t="shared" si="224"/>
        <v>3</v>
      </c>
      <c r="R1549" s="2">
        <f t="shared" si="225"/>
        <v>3.5</v>
      </c>
      <c r="S1549" s="2">
        <f>(1/9)*cnst_fish!$C$7*(1/cnst_fish!$C$8)^(R1549-1)</f>
        <v>44.596223412631026</v>
      </c>
      <c r="T1549" s="682">
        <f t="shared" si="226"/>
        <v>11.474049393632267</v>
      </c>
      <c r="W1549" s="818"/>
      <c r="X1549" s="818"/>
      <c r="Y1549" s="819"/>
      <c r="Z1549" s="820"/>
      <c r="AA1549" s="820"/>
      <c r="AB1549" s="821"/>
      <c r="AC1549" s="821"/>
      <c r="AD1549" s="253"/>
      <c r="AE1549" s="253"/>
    </row>
    <row r="1550" spans="1:31" ht="12.75" customHeight="1">
      <c r="A1550" t="s">
        <v>930</v>
      </c>
      <c r="B1550" t="s">
        <v>2362</v>
      </c>
      <c r="C1550">
        <v>2170</v>
      </c>
      <c r="D1550" s="581"/>
      <c r="E1550" s="581"/>
      <c r="F1550" s="2">
        <f>(1/S1550)*cnst_fish!$C$6</f>
        <v>0.1409583630333692</v>
      </c>
      <c r="G1550" s="2">
        <f t="shared" si="227"/>
        <v>1</v>
      </c>
      <c r="H1550" s="2">
        <f t="shared" si="227"/>
        <v>0.36449057933102513</v>
      </c>
      <c r="I1550" s="2">
        <f t="shared" si="221"/>
        <v>0</v>
      </c>
      <c r="J1550" s="389">
        <f t="shared" si="222"/>
        <v>0</v>
      </c>
      <c r="L1550" s="721">
        <v>216</v>
      </c>
      <c r="M1550" s="581">
        <v>2303.58</v>
      </c>
      <c r="N1550" s="585" t="s">
        <v>1738</v>
      </c>
      <c r="O1550" s="586" t="s">
        <v>4685</v>
      </c>
      <c r="P1550" s="233">
        <f t="shared" si="223"/>
        <v>0</v>
      </c>
      <c r="Q1550" s="233">
        <f t="shared" si="224"/>
        <v>2519.58</v>
      </c>
      <c r="R1550" s="2">
        <f t="shared" si="225"/>
        <v>3.33</v>
      </c>
      <c r="S1550" s="2">
        <f>(1/9)*cnst_fish!$C$7*(1/cnst_fish!$C$8)^(R1550-1)</f>
        <v>30.15074741605714</v>
      </c>
      <c r="T1550" s="682">
        <f t="shared" si="226"/>
        <v>6515.1379039032918</v>
      </c>
      <c r="W1550" s="818"/>
      <c r="X1550" s="818"/>
      <c r="Y1550" s="819"/>
      <c r="Z1550" s="820"/>
      <c r="AA1550" s="820"/>
      <c r="AB1550" s="821"/>
      <c r="AC1550" s="821"/>
      <c r="AD1550" s="253"/>
      <c r="AE1550" s="253"/>
    </row>
    <row r="1551" spans="1:31" ht="12.75" customHeight="1">
      <c r="A1551" t="s">
        <v>1059</v>
      </c>
      <c r="B1551" t="s">
        <v>1504</v>
      </c>
      <c r="C1551">
        <v>2925</v>
      </c>
      <c r="D1551" s="581"/>
      <c r="E1551" s="581"/>
      <c r="F1551" s="2">
        <f>(1/S1551)*cnst_fish!$C$6</f>
        <v>3.3813556145554591E-2</v>
      </c>
      <c r="G1551" s="2">
        <f t="shared" si="227"/>
        <v>1</v>
      </c>
      <c r="H1551" s="2">
        <f t="shared" si="227"/>
        <v>0.36449057933102513</v>
      </c>
      <c r="I1551" s="2">
        <f t="shared" si="221"/>
        <v>0</v>
      </c>
      <c r="J1551" s="389">
        <f t="shared" si="222"/>
        <v>0</v>
      </c>
      <c r="L1551" s="721">
        <v>22269</v>
      </c>
      <c r="M1551" s="581"/>
      <c r="N1551" s="585" t="s">
        <v>1738</v>
      </c>
      <c r="O1551" s="586" t="s">
        <v>4685</v>
      </c>
      <c r="P1551" s="233">
        <f t="shared" si="223"/>
        <v>0</v>
      </c>
      <c r="Q1551" s="233">
        <f t="shared" si="224"/>
        <v>22269</v>
      </c>
      <c r="R1551" s="2">
        <f t="shared" si="225"/>
        <v>3.95</v>
      </c>
      <c r="S1551" s="2">
        <f>(1/9)*cnst_fish!$C$7*(1/cnst_fish!$C$8)^(R1551-1)</f>
        <v>125.68923486501552</v>
      </c>
      <c r="T1551" s="682">
        <f t="shared" si="226"/>
        <v>240046.94082404891</v>
      </c>
      <c r="W1551" s="818"/>
      <c r="X1551" s="818"/>
      <c r="Y1551" s="819"/>
      <c r="Z1551" s="820"/>
      <c r="AA1551" s="820"/>
      <c r="AB1551" s="821"/>
      <c r="AC1551" s="821"/>
      <c r="AD1551" s="253"/>
      <c r="AE1551" s="253"/>
    </row>
    <row r="1552" spans="1:31" ht="12.75" customHeight="1">
      <c r="A1552" t="s">
        <v>2606</v>
      </c>
      <c r="B1552" t="s">
        <v>1505</v>
      </c>
      <c r="C1552">
        <v>14236</v>
      </c>
      <c r="D1552" s="581"/>
      <c r="E1552" s="581"/>
      <c r="F1552" s="2">
        <f>(1/S1552)*cnst_fish!$C$6</f>
        <v>9.5299549485983424E-3</v>
      </c>
      <c r="G1552" s="2">
        <f t="shared" si="227"/>
        <v>1</v>
      </c>
      <c r="H1552" s="2">
        <f t="shared" si="227"/>
        <v>0.36449057933102513</v>
      </c>
      <c r="I1552" s="2">
        <f t="shared" si="221"/>
        <v>0</v>
      </c>
      <c r="J1552" s="389">
        <f t="shared" si="222"/>
        <v>0</v>
      </c>
      <c r="L1552" s="721">
        <v>25</v>
      </c>
      <c r="M1552" s="581">
        <v>63</v>
      </c>
      <c r="N1552" s="585" t="s">
        <v>1738</v>
      </c>
      <c r="O1552" s="586" t="s">
        <v>4685</v>
      </c>
      <c r="P1552" s="233">
        <f t="shared" si="223"/>
        <v>0</v>
      </c>
      <c r="Q1552" s="233">
        <f t="shared" si="224"/>
        <v>88</v>
      </c>
      <c r="R1552" s="2">
        <f t="shared" si="225"/>
        <v>4.5</v>
      </c>
      <c r="S1552" s="2">
        <f>(1/9)*cnst_fish!$C$7*(1/cnst_fish!$C$8)^(R1552-1)</f>
        <v>445.96223412630997</v>
      </c>
      <c r="T1552" s="682">
        <f t="shared" si="226"/>
        <v>3365.7211554654618</v>
      </c>
      <c r="W1552" s="818"/>
      <c r="X1552" s="818"/>
      <c r="Y1552" s="819"/>
      <c r="Z1552" s="820"/>
      <c r="AA1552" s="820"/>
      <c r="AB1552" s="821"/>
      <c r="AC1552" s="821"/>
      <c r="AD1552" s="253"/>
      <c r="AE1552" s="253"/>
    </row>
    <row r="1553" spans="1:31" ht="12.75" customHeight="1">
      <c r="A1553" t="s">
        <v>6660</v>
      </c>
      <c r="B1553" t="s">
        <v>6659</v>
      </c>
      <c r="C1553">
        <v>14239</v>
      </c>
      <c r="D1553" s="581"/>
      <c r="E1553" s="581"/>
      <c r="F1553" s="2">
        <f>(1/S1553)*cnst_fish!$C$6</f>
        <v>3.0136363636363641</v>
      </c>
      <c r="G1553" s="2">
        <f t="shared" si="227"/>
        <v>1</v>
      </c>
      <c r="H1553" s="2">
        <f t="shared" si="227"/>
        <v>0.36449057933102513</v>
      </c>
      <c r="I1553" s="2">
        <f t="shared" si="221"/>
        <v>0</v>
      </c>
      <c r="J1553" s="389">
        <f t="shared" si="222"/>
        <v>0</v>
      </c>
      <c r="L1553" s="721">
        <v>0</v>
      </c>
      <c r="M1553" s="581"/>
      <c r="N1553" s="585" t="s">
        <v>1739</v>
      </c>
      <c r="O1553" s="586" t="s">
        <v>4681</v>
      </c>
      <c r="P1553" s="233">
        <f t="shared" si="223"/>
        <v>0</v>
      </c>
      <c r="Q1553" s="233">
        <f t="shared" si="224"/>
        <v>0</v>
      </c>
      <c r="R1553" s="2">
        <f t="shared" si="225"/>
        <v>2</v>
      </c>
      <c r="S1553" s="2">
        <f>(1/9)*cnst_fish!$C$7*(1/cnst_fish!$C$8)^(R1553-1)</f>
        <v>1.4102564102564099</v>
      </c>
      <c r="T1553" s="682">
        <f t="shared" si="226"/>
        <v>0</v>
      </c>
      <c r="W1553" s="822"/>
      <c r="X1553" s="822"/>
      <c r="Y1553" s="819"/>
      <c r="Z1553" s="820"/>
      <c r="AA1553" s="820"/>
      <c r="AB1553" s="821"/>
      <c r="AC1553" s="821"/>
      <c r="AD1553" s="253"/>
      <c r="AE1553" s="253"/>
    </row>
    <row r="1554" spans="1:31" ht="12.75" customHeight="1">
      <c r="A1554" s="403" t="s">
        <v>8938</v>
      </c>
      <c r="B1554" s="403" t="s">
        <v>8939</v>
      </c>
      <c r="C1554" s="403">
        <v>3398</v>
      </c>
      <c r="D1554" s="581"/>
      <c r="E1554" s="581"/>
      <c r="F1554" s="869">
        <f>(1/S1554)*cnst_fish!$C$6</f>
        <v>1.5103960722494616</v>
      </c>
      <c r="G1554" s="869">
        <f t="shared" si="227"/>
        <v>1</v>
      </c>
      <c r="H1554" s="869">
        <f t="shared" si="227"/>
        <v>0.36449057933102513</v>
      </c>
      <c r="I1554" s="869">
        <f t="shared" si="221"/>
        <v>0</v>
      </c>
      <c r="J1554" s="389">
        <f t="shared" si="222"/>
        <v>0</v>
      </c>
      <c r="L1554" s="721">
        <v>6</v>
      </c>
      <c r="M1554" s="581"/>
      <c r="N1554" s="877" t="s">
        <v>2322</v>
      </c>
      <c r="O1554" s="881" t="s">
        <v>4680</v>
      </c>
      <c r="P1554" s="871">
        <f t="shared" si="223"/>
        <v>0</v>
      </c>
      <c r="Q1554" s="871">
        <f t="shared" si="224"/>
        <v>6</v>
      </c>
      <c r="R1554" s="869">
        <f t="shared" si="225"/>
        <v>2.2999999999999998</v>
      </c>
      <c r="S1554" s="869">
        <f>(1/9)*cnst_fish!$C$7*(1/cnst_fish!$C$8)^(R1554-1)</f>
        <v>2.8138314698279068</v>
      </c>
      <c r="T1554" s="682">
        <f t="shared" si="226"/>
        <v>1.4479271471681558</v>
      </c>
      <c r="W1554" s="818"/>
      <c r="X1554" s="818"/>
      <c r="Y1554" s="819"/>
      <c r="Z1554" s="820"/>
      <c r="AA1554" s="820"/>
      <c r="AB1554" s="821"/>
      <c r="AC1554" s="821"/>
      <c r="AD1554" s="253"/>
      <c r="AE1554" s="253"/>
    </row>
    <row r="1555" spans="1:31" ht="12.75" customHeight="1">
      <c r="A1555" t="s">
        <v>924</v>
      </c>
      <c r="B1555" t="s">
        <v>1731</v>
      </c>
      <c r="C1555">
        <v>3400</v>
      </c>
      <c r="D1555" s="581"/>
      <c r="E1555" s="581"/>
      <c r="F1555" s="2">
        <f>(1/S1555)*cnst_fish!$C$6</f>
        <v>0.47762917572805397</v>
      </c>
      <c r="G1555" s="2">
        <f t="shared" si="227"/>
        <v>1</v>
      </c>
      <c r="H1555" s="2">
        <f t="shared" si="227"/>
        <v>0.36449057933102513</v>
      </c>
      <c r="I1555" s="2">
        <f t="shared" si="221"/>
        <v>0</v>
      </c>
      <c r="J1555" s="389">
        <f t="shared" si="222"/>
        <v>0</v>
      </c>
      <c r="L1555" s="721">
        <v>70057</v>
      </c>
      <c r="M1555" s="581"/>
      <c r="N1555" s="585" t="s">
        <v>2322</v>
      </c>
      <c r="O1555" s="586" t="s">
        <v>4680</v>
      </c>
      <c r="P1555" s="233">
        <f t="shared" si="223"/>
        <v>0</v>
      </c>
      <c r="Q1555" s="233">
        <f t="shared" si="224"/>
        <v>70057</v>
      </c>
      <c r="R1555" s="2">
        <f t="shared" si="225"/>
        <v>2.8</v>
      </c>
      <c r="S1555" s="2">
        <f>(1/9)*cnst_fish!$C$7*(1/cnst_fish!$C$8)^(R1555-1)</f>
        <v>8.8981163965155421</v>
      </c>
      <c r="T1555" s="682">
        <f t="shared" si="226"/>
        <v>53462.220931688782</v>
      </c>
      <c r="W1555" s="818"/>
      <c r="X1555" s="818"/>
      <c r="Y1555" s="819"/>
      <c r="Z1555" s="820"/>
      <c r="AA1555" s="820"/>
      <c r="AB1555" s="821"/>
      <c r="AC1555" s="821"/>
      <c r="AD1555" s="253"/>
      <c r="AE1555" s="253"/>
    </row>
    <row r="1556" spans="1:31" ht="12.75" customHeight="1">
      <c r="A1556" t="s">
        <v>1983</v>
      </c>
      <c r="B1556" t="s">
        <v>1732</v>
      </c>
      <c r="C1556">
        <v>3407</v>
      </c>
      <c r="D1556" s="581"/>
      <c r="E1556" s="581"/>
      <c r="F1556" s="2">
        <f>(1/S1556)*cnst_fish!$C$6</f>
        <v>0.60129950673834842</v>
      </c>
      <c r="G1556" s="2">
        <f t="shared" si="227"/>
        <v>1</v>
      </c>
      <c r="H1556" s="2">
        <f t="shared" si="227"/>
        <v>0.36449057933102513</v>
      </c>
      <c r="I1556" s="2">
        <f t="shared" si="221"/>
        <v>0</v>
      </c>
      <c r="J1556" s="389">
        <f t="shared" si="222"/>
        <v>0</v>
      </c>
      <c r="L1556" s="721">
        <v>9000</v>
      </c>
      <c r="M1556" s="581"/>
      <c r="N1556" s="585" t="s">
        <v>2322</v>
      </c>
      <c r="O1556" s="586" t="s">
        <v>4680</v>
      </c>
      <c r="P1556" s="233">
        <f t="shared" si="223"/>
        <v>0</v>
      </c>
      <c r="Q1556" s="233">
        <f t="shared" si="224"/>
        <v>9000</v>
      </c>
      <c r="R1556" s="2">
        <f t="shared" si="225"/>
        <v>2.7</v>
      </c>
      <c r="S1556" s="2">
        <f>(1/9)*cnst_fish!$C$7*(1/cnst_fish!$C$8)^(R1556-1)</f>
        <v>7.0680250896153813</v>
      </c>
      <c r="T1556" s="682">
        <f t="shared" si="226"/>
        <v>5455.5428321791014</v>
      </c>
      <c r="W1556" s="818"/>
      <c r="X1556" s="818"/>
      <c r="Y1556" s="819"/>
      <c r="Z1556" s="820"/>
      <c r="AA1556" s="820"/>
      <c r="AB1556" s="821"/>
      <c r="AC1556" s="821"/>
      <c r="AD1556" s="253"/>
      <c r="AE1556" s="253"/>
    </row>
    <row r="1557" spans="1:31" ht="12.75" customHeight="1">
      <c r="A1557" t="s">
        <v>2584</v>
      </c>
      <c r="B1557" t="s">
        <v>3951</v>
      </c>
      <c r="C1557">
        <v>3410</v>
      </c>
      <c r="D1557" s="581"/>
      <c r="E1557" s="581"/>
      <c r="F1557" s="2">
        <f>(1/S1557)*cnst_fish!$C$6</f>
        <v>0.60129950673834842</v>
      </c>
      <c r="G1557" s="2">
        <f t="shared" si="227"/>
        <v>1</v>
      </c>
      <c r="H1557" s="2">
        <f t="shared" si="227"/>
        <v>0.36449057933102513</v>
      </c>
      <c r="I1557" s="2">
        <f t="shared" si="221"/>
        <v>0</v>
      </c>
      <c r="J1557" s="389">
        <f t="shared" si="222"/>
        <v>0</v>
      </c>
      <c r="L1557" s="721">
        <v>486</v>
      </c>
      <c r="M1557" s="581"/>
      <c r="N1557" s="585" t="s">
        <v>2322</v>
      </c>
      <c r="O1557" s="586" t="s">
        <v>4680</v>
      </c>
      <c r="P1557" s="233">
        <f t="shared" si="223"/>
        <v>0</v>
      </c>
      <c r="Q1557" s="233">
        <f t="shared" si="224"/>
        <v>486</v>
      </c>
      <c r="R1557" s="2">
        <f t="shared" si="225"/>
        <v>2.7</v>
      </c>
      <c r="S1557" s="2">
        <f>(1/9)*cnst_fish!$C$7*(1/cnst_fish!$C$8)^(R1557-1)</f>
        <v>7.0680250896153813</v>
      </c>
      <c r="T1557" s="682">
        <f t="shared" si="226"/>
        <v>294.59931293767147</v>
      </c>
      <c r="W1557" s="818"/>
      <c r="X1557" s="818"/>
      <c r="Y1557" s="819"/>
      <c r="Z1557" s="820"/>
      <c r="AA1557" s="820"/>
      <c r="AB1557" s="821"/>
      <c r="AC1557" s="821"/>
      <c r="AD1557" s="253"/>
      <c r="AE1557" s="253"/>
    </row>
    <row r="1558" spans="1:31" ht="12.75" customHeight="1">
      <c r="A1558" t="s">
        <v>2375</v>
      </c>
      <c r="B1558" t="s">
        <v>3027</v>
      </c>
      <c r="C1558">
        <v>3401</v>
      </c>
      <c r="D1558" s="581"/>
      <c r="E1558" s="581"/>
      <c r="F1558" s="2">
        <f>(1/S1558)*cnst_fish!$C$6</f>
        <v>0.60129950673834842</v>
      </c>
      <c r="G1558" s="2">
        <f t="shared" si="227"/>
        <v>1</v>
      </c>
      <c r="H1558" s="2">
        <f t="shared" si="227"/>
        <v>0.36449057933102513</v>
      </c>
      <c r="I1558" s="2">
        <f t="shared" si="221"/>
        <v>0</v>
      </c>
      <c r="J1558" s="389">
        <f t="shared" si="222"/>
        <v>0</v>
      </c>
      <c r="L1558" s="721">
        <v>36984</v>
      </c>
      <c r="M1558" s="581"/>
      <c r="N1558" s="585" t="s">
        <v>2322</v>
      </c>
      <c r="O1558" s="586" t="s">
        <v>4680</v>
      </c>
      <c r="P1558" s="233">
        <f t="shared" si="223"/>
        <v>0</v>
      </c>
      <c r="Q1558" s="233">
        <f t="shared" si="224"/>
        <v>36984</v>
      </c>
      <c r="R1558" s="2">
        <f t="shared" si="225"/>
        <v>2.7</v>
      </c>
      <c r="S1558" s="2">
        <f>(1/9)*cnst_fish!$C$7*(1/cnst_fish!$C$8)^(R1558-1)</f>
        <v>7.0680250896153813</v>
      </c>
      <c r="T1558" s="682">
        <f t="shared" si="226"/>
        <v>22418.644011701323</v>
      </c>
      <c r="W1558" s="818"/>
      <c r="X1558" s="818"/>
      <c r="Y1558" s="819"/>
      <c r="Z1558" s="820"/>
      <c r="AA1558" s="820"/>
      <c r="AB1558" s="821"/>
      <c r="AC1558" s="821"/>
      <c r="AD1558" s="253"/>
      <c r="AE1558" s="253"/>
    </row>
    <row r="1559" spans="1:31" ht="12.75" customHeight="1">
      <c r="A1559" t="s">
        <v>3602</v>
      </c>
      <c r="B1559" t="s">
        <v>3028</v>
      </c>
      <c r="C1559">
        <v>2586</v>
      </c>
      <c r="D1559" s="581"/>
      <c r="E1559" s="581"/>
      <c r="F1559" s="2">
        <f>(1/S1559)*cnst_fish!$C$6</f>
        <v>0.60129950673834842</v>
      </c>
      <c r="G1559" s="2">
        <f t="shared" si="227"/>
        <v>1</v>
      </c>
      <c r="H1559" s="2">
        <f t="shared" si="227"/>
        <v>0.36449057933102513</v>
      </c>
      <c r="I1559" s="2">
        <f t="shared" si="221"/>
        <v>0</v>
      </c>
      <c r="J1559" s="389">
        <f t="shared" si="222"/>
        <v>0</v>
      </c>
      <c r="L1559" s="721">
        <v>223225</v>
      </c>
      <c r="M1559" s="581"/>
      <c r="N1559" s="585" t="s">
        <v>2322</v>
      </c>
      <c r="O1559" s="586" t="s">
        <v>4680</v>
      </c>
      <c r="P1559" s="233">
        <f t="shared" si="223"/>
        <v>0</v>
      </c>
      <c r="Q1559" s="233">
        <f t="shared" si="224"/>
        <v>223225</v>
      </c>
      <c r="R1559" s="2">
        <f t="shared" si="225"/>
        <v>2.7</v>
      </c>
      <c r="S1559" s="2">
        <f>(1/9)*cnst_fish!$C$7*(1/cnst_fish!$C$8)^(R1559-1)</f>
        <v>7.0680250896153813</v>
      </c>
      <c r="T1559" s="682">
        <f t="shared" si="226"/>
        <v>135312.61652368665</v>
      </c>
      <c r="W1559" s="818"/>
      <c r="X1559" s="818"/>
      <c r="Y1559" s="819"/>
      <c r="Z1559" s="820"/>
      <c r="AA1559" s="820"/>
      <c r="AB1559" s="821"/>
      <c r="AC1559" s="821"/>
      <c r="AD1559" s="253"/>
      <c r="AE1559" s="253"/>
    </row>
    <row r="1560" spans="1:31" ht="12.75" customHeight="1">
      <c r="A1560" t="s">
        <v>4126</v>
      </c>
      <c r="B1560" t="s">
        <v>3029</v>
      </c>
      <c r="C1560">
        <v>3402</v>
      </c>
      <c r="D1560" s="581"/>
      <c r="E1560" s="581"/>
      <c r="F1560" s="2">
        <f>(1/S1560)*cnst_fish!$C$6</f>
        <v>0.30136363636363639</v>
      </c>
      <c r="G1560" s="2">
        <f t="shared" si="227"/>
        <v>1</v>
      </c>
      <c r="H1560" s="2">
        <f t="shared" si="227"/>
        <v>0.36449057933102513</v>
      </c>
      <c r="I1560" s="2">
        <f t="shared" si="221"/>
        <v>0</v>
      </c>
      <c r="J1560" s="389">
        <f t="shared" si="222"/>
        <v>0</v>
      </c>
      <c r="L1560" s="721">
        <v>13076</v>
      </c>
      <c r="M1560" s="581"/>
      <c r="N1560" s="585" t="s">
        <v>2322</v>
      </c>
      <c r="O1560" s="586" t="s">
        <v>4680</v>
      </c>
      <c r="P1560" s="233">
        <f t="shared" si="223"/>
        <v>0</v>
      </c>
      <c r="Q1560" s="233">
        <f t="shared" si="224"/>
        <v>13076</v>
      </c>
      <c r="R1560" s="2">
        <f t="shared" si="225"/>
        <v>3</v>
      </c>
      <c r="S1560" s="2">
        <f>(1/9)*cnst_fish!$C$7*(1/cnst_fish!$C$8)^(R1560-1)</f>
        <v>14.1025641025641</v>
      </c>
      <c r="T1560" s="682">
        <f t="shared" si="226"/>
        <v>15815.042826140974</v>
      </c>
      <c r="W1560" s="818"/>
      <c r="X1560" s="818"/>
      <c r="Y1560" s="819"/>
      <c r="Z1560" s="820"/>
      <c r="AA1560" s="820"/>
      <c r="AB1560" s="821"/>
      <c r="AC1560" s="821"/>
      <c r="AD1560" s="253"/>
      <c r="AE1560" s="253"/>
    </row>
    <row r="1561" spans="1:31" ht="12.75" customHeight="1">
      <c r="A1561" t="s">
        <v>4976</v>
      </c>
      <c r="B1561" t="s">
        <v>8715</v>
      </c>
      <c r="C1561">
        <v>2588</v>
      </c>
      <c r="D1561" s="581"/>
      <c r="E1561" s="581"/>
      <c r="F1561" s="2">
        <f>(1/S1561)*cnst_fish!$C$6</f>
        <v>0.60129950673834842</v>
      </c>
      <c r="G1561" s="2">
        <f t="shared" si="227"/>
        <v>1</v>
      </c>
      <c r="H1561" s="2">
        <f t="shared" si="227"/>
        <v>0.36449057933102513</v>
      </c>
      <c r="I1561" s="2">
        <f t="shared" si="221"/>
        <v>0</v>
      </c>
      <c r="J1561" s="389">
        <f t="shared" si="222"/>
        <v>0</v>
      </c>
      <c r="L1561" s="721"/>
      <c r="M1561" s="581"/>
      <c r="N1561" s="585" t="s">
        <v>2322</v>
      </c>
      <c r="O1561" s="586" t="s">
        <v>4680</v>
      </c>
      <c r="P1561" s="233">
        <f t="shared" si="223"/>
        <v>0</v>
      </c>
      <c r="Q1561" s="233">
        <f t="shared" si="224"/>
        <v>0</v>
      </c>
      <c r="R1561" s="2">
        <f t="shared" si="225"/>
        <v>2.7</v>
      </c>
      <c r="S1561" s="2">
        <f>(1/9)*cnst_fish!$C$7*(1/cnst_fish!$C$8)^(R1561-1)</f>
        <v>7.0680250896153813</v>
      </c>
      <c r="T1561" s="682">
        <f t="shared" si="226"/>
        <v>0</v>
      </c>
      <c r="W1561" s="818"/>
      <c r="X1561" s="818"/>
      <c r="Y1561" s="819"/>
      <c r="Z1561" s="820"/>
      <c r="AA1561" s="820"/>
      <c r="AB1561" s="821"/>
      <c r="AC1561" s="821"/>
      <c r="AD1561" s="253"/>
      <c r="AE1561" s="253"/>
    </row>
    <row r="1562" spans="1:31" ht="12.75" customHeight="1">
      <c r="A1562" t="s">
        <v>3151</v>
      </c>
      <c r="B1562" t="s">
        <v>3030</v>
      </c>
      <c r="C1562">
        <v>2589</v>
      </c>
      <c r="D1562" s="581"/>
      <c r="E1562" s="581"/>
      <c r="F1562" s="2">
        <f>(1/S1562)*cnst_fish!$C$6</f>
        <v>0.60129950673834842</v>
      </c>
      <c r="G1562" s="2">
        <f t="shared" si="227"/>
        <v>1</v>
      </c>
      <c r="H1562" s="2">
        <f t="shared" si="227"/>
        <v>0.36449057933102513</v>
      </c>
      <c r="I1562" s="2">
        <f t="shared" si="221"/>
        <v>0</v>
      </c>
      <c r="J1562" s="389">
        <f t="shared" si="222"/>
        <v>0</v>
      </c>
      <c r="L1562" s="721">
        <v>0</v>
      </c>
      <c r="M1562" s="581"/>
      <c r="N1562" s="585" t="s">
        <v>2322</v>
      </c>
      <c r="O1562" s="586" t="s">
        <v>4680</v>
      </c>
      <c r="P1562" s="233">
        <f t="shared" si="223"/>
        <v>0</v>
      </c>
      <c r="Q1562" s="233">
        <f t="shared" si="224"/>
        <v>0</v>
      </c>
      <c r="R1562" s="2">
        <f t="shared" si="225"/>
        <v>2.7</v>
      </c>
      <c r="S1562" s="2">
        <f>(1/9)*cnst_fish!$C$7*(1/cnst_fish!$C$8)^(R1562-1)</f>
        <v>7.0680250896153813</v>
      </c>
      <c r="T1562" s="682">
        <f t="shared" si="226"/>
        <v>0</v>
      </c>
      <c r="W1562" s="818"/>
      <c r="X1562" s="818"/>
      <c r="Y1562" s="819"/>
      <c r="Z1562" s="820"/>
      <c r="AA1562" s="820"/>
      <c r="AB1562" s="821"/>
      <c r="AC1562" s="821"/>
      <c r="AD1562" s="253"/>
      <c r="AE1562" s="253"/>
    </row>
    <row r="1563" spans="1:31" ht="12.75" customHeight="1">
      <c r="A1563" t="s">
        <v>5027</v>
      </c>
      <c r="B1563" t="s">
        <v>3031</v>
      </c>
      <c r="C1563">
        <v>2584</v>
      </c>
      <c r="D1563" s="581"/>
      <c r="E1563" s="581"/>
      <c r="F1563" s="2">
        <f>(1/S1563)*cnst_fish!$C$6</f>
        <v>0.60129950673834842</v>
      </c>
      <c r="G1563" s="2">
        <f t="shared" si="227"/>
        <v>1</v>
      </c>
      <c r="H1563" s="2">
        <f t="shared" si="227"/>
        <v>0.36449057933102513</v>
      </c>
      <c r="I1563" s="2">
        <f t="shared" si="221"/>
        <v>0</v>
      </c>
      <c r="J1563" s="389">
        <f t="shared" si="222"/>
        <v>0</v>
      </c>
      <c r="L1563" s="721">
        <v>934</v>
      </c>
      <c r="M1563" s="581"/>
      <c r="N1563" s="585" t="s">
        <v>2322</v>
      </c>
      <c r="O1563" s="586" t="s">
        <v>4680</v>
      </c>
      <c r="P1563" s="233">
        <f t="shared" si="223"/>
        <v>0</v>
      </c>
      <c r="Q1563" s="233">
        <f t="shared" si="224"/>
        <v>934</v>
      </c>
      <c r="R1563" s="2">
        <f t="shared" si="225"/>
        <v>2.7</v>
      </c>
      <c r="S1563" s="2">
        <f>(1/9)*cnst_fish!$C$7*(1/cnst_fish!$C$8)^(R1563-1)</f>
        <v>7.0680250896153813</v>
      </c>
      <c r="T1563" s="682">
        <f t="shared" si="226"/>
        <v>566.16411169503124</v>
      </c>
      <c r="W1563" s="818"/>
      <c r="X1563" s="818"/>
      <c r="Y1563" s="819"/>
      <c r="Z1563" s="820"/>
      <c r="AA1563" s="820"/>
      <c r="AB1563" s="821"/>
      <c r="AC1563" s="821"/>
      <c r="AD1563" s="253"/>
      <c r="AE1563" s="253"/>
    </row>
    <row r="1564" spans="1:31" ht="12.75" customHeight="1">
      <c r="A1564" t="s">
        <v>4340</v>
      </c>
      <c r="B1564" t="s">
        <v>3032</v>
      </c>
      <c r="C1564">
        <v>2587</v>
      </c>
      <c r="D1564" s="581"/>
      <c r="E1564" s="581"/>
      <c r="F1564" s="2">
        <f>(1/S1564)*cnst_fish!$C$6</f>
        <v>0.60129950673834842</v>
      </c>
      <c r="G1564" s="2">
        <f t="shared" si="227"/>
        <v>1</v>
      </c>
      <c r="H1564" s="2">
        <f t="shared" si="227"/>
        <v>0.36449057933102513</v>
      </c>
      <c r="I1564" s="2">
        <f t="shared" si="221"/>
        <v>0</v>
      </c>
      <c r="J1564" s="389">
        <f t="shared" si="222"/>
        <v>0</v>
      </c>
      <c r="L1564" s="721">
        <v>3322</v>
      </c>
      <c r="M1564" s="581"/>
      <c r="N1564" s="585" t="s">
        <v>2322</v>
      </c>
      <c r="O1564" s="586" t="s">
        <v>4680</v>
      </c>
      <c r="P1564" s="233">
        <f t="shared" si="223"/>
        <v>0</v>
      </c>
      <c r="Q1564" s="233">
        <f t="shared" si="224"/>
        <v>3322</v>
      </c>
      <c r="R1564" s="2">
        <f t="shared" si="225"/>
        <v>2.7</v>
      </c>
      <c r="S1564" s="2">
        <f>(1/9)*cnst_fish!$C$7*(1/cnst_fish!$C$8)^(R1564-1)</f>
        <v>7.0680250896153813</v>
      </c>
      <c r="T1564" s="682">
        <f t="shared" si="226"/>
        <v>2013.7014764998864</v>
      </c>
      <c r="W1564" s="818"/>
      <c r="X1564" s="818"/>
      <c r="Y1564" s="819"/>
      <c r="Z1564" s="820"/>
      <c r="AA1564" s="820"/>
      <c r="AB1564" s="821"/>
      <c r="AC1564" s="821"/>
      <c r="AD1564" s="253"/>
      <c r="AE1564" s="253"/>
    </row>
    <row r="1565" spans="1:31" ht="12.75" customHeight="1">
      <c r="A1565" t="s">
        <v>4720</v>
      </c>
      <c r="B1565" t="s">
        <v>4889</v>
      </c>
      <c r="C1565">
        <v>3411</v>
      </c>
      <c r="D1565" s="581"/>
      <c r="E1565" s="581"/>
      <c r="F1565" s="2">
        <f>(1/S1565)*cnst_fish!$C$6</f>
        <v>0.60129950673834842</v>
      </c>
      <c r="G1565" s="2">
        <f t="shared" si="227"/>
        <v>1</v>
      </c>
      <c r="H1565" s="2">
        <f t="shared" si="227"/>
        <v>0.36449057933102513</v>
      </c>
      <c r="I1565" s="2">
        <f t="shared" si="221"/>
        <v>0</v>
      </c>
      <c r="J1565" s="389">
        <f t="shared" si="222"/>
        <v>0</v>
      </c>
      <c r="L1565" s="721">
        <v>665</v>
      </c>
      <c r="M1565" s="581"/>
      <c r="N1565" s="585" t="s">
        <v>2322</v>
      </c>
      <c r="O1565" s="586" t="s">
        <v>4680</v>
      </c>
      <c r="P1565" s="233">
        <f t="shared" si="223"/>
        <v>0</v>
      </c>
      <c r="Q1565" s="233">
        <f t="shared" si="224"/>
        <v>665</v>
      </c>
      <c r="R1565" s="2">
        <f t="shared" si="225"/>
        <v>2.7</v>
      </c>
      <c r="S1565" s="2">
        <f>(1/9)*cnst_fish!$C$7*(1/cnst_fish!$C$8)^(R1565-1)</f>
        <v>7.0680250896153813</v>
      </c>
      <c r="T1565" s="682">
        <f t="shared" si="226"/>
        <v>403.10399815545583</v>
      </c>
      <c r="W1565" s="818"/>
      <c r="X1565" s="818"/>
      <c r="Y1565" s="819"/>
      <c r="Z1565" s="820"/>
      <c r="AA1565" s="820"/>
      <c r="AB1565" s="821"/>
      <c r="AC1565" s="821"/>
      <c r="AD1565" s="253"/>
      <c r="AE1565" s="253"/>
    </row>
    <row r="1566" spans="1:31" ht="12.75" customHeight="1">
      <c r="A1566" t="s">
        <v>1483</v>
      </c>
      <c r="B1566" t="s">
        <v>4890</v>
      </c>
      <c r="C1566">
        <v>2583</v>
      </c>
      <c r="D1566" s="581"/>
      <c r="E1566" s="581"/>
      <c r="F1566" s="2">
        <f>(1/S1566)*cnst_fish!$C$6</f>
        <v>0.30136363636363639</v>
      </c>
      <c r="G1566" s="2">
        <f t="shared" si="227"/>
        <v>1</v>
      </c>
      <c r="H1566" s="2">
        <f t="shared" si="227"/>
        <v>0.36449057933102513</v>
      </c>
      <c r="I1566" s="2">
        <f t="shared" si="221"/>
        <v>0</v>
      </c>
      <c r="J1566" s="389">
        <f t="shared" si="222"/>
        <v>0</v>
      </c>
      <c r="L1566" s="721">
        <v>83957</v>
      </c>
      <c r="M1566" s="581"/>
      <c r="N1566" s="585" t="s">
        <v>2322</v>
      </c>
      <c r="O1566" s="586" t="s">
        <v>4680</v>
      </c>
      <c r="P1566" s="233">
        <f t="shared" si="223"/>
        <v>0</v>
      </c>
      <c r="Q1566" s="233">
        <f t="shared" si="224"/>
        <v>83957</v>
      </c>
      <c r="R1566" s="2">
        <f t="shared" si="225"/>
        <v>3</v>
      </c>
      <c r="S1566" s="2">
        <f>(1/9)*cnst_fish!$C$7*(1/cnst_fish!$C$8)^(R1566-1)</f>
        <v>14.1025641025641</v>
      </c>
      <c r="T1566" s="682">
        <f t="shared" si="226"/>
        <v>101543.55694052599</v>
      </c>
      <c r="W1566" s="818"/>
      <c r="X1566" s="818"/>
      <c r="Y1566" s="819"/>
      <c r="Z1566" s="820"/>
      <c r="AA1566" s="820"/>
      <c r="AB1566" s="821"/>
      <c r="AC1566" s="821"/>
      <c r="AD1566" s="253"/>
      <c r="AE1566" s="253"/>
    </row>
    <row r="1567" spans="1:31" ht="12.75" customHeight="1">
      <c r="A1567" t="s">
        <v>3765</v>
      </c>
      <c r="B1567" t="s">
        <v>4891</v>
      </c>
      <c r="C1567">
        <v>3405</v>
      </c>
      <c r="D1567" s="581"/>
      <c r="E1567" s="581"/>
      <c r="F1567" s="2">
        <f>(1/S1567)*cnst_fish!$C$6</f>
        <v>0.75699122913220485</v>
      </c>
      <c r="G1567" s="2">
        <f t="shared" si="227"/>
        <v>1</v>
      </c>
      <c r="H1567" s="2">
        <f t="shared" si="227"/>
        <v>0.36449057933102513</v>
      </c>
      <c r="I1567" s="2">
        <f t="shared" si="221"/>
        <v>0</v>
      </c>
      <c r="J1567" s="389">
        <f t="shared" si="222"/>
        <v>0</v>
      </c>
      <c r="L1567" s="721">
        <v>225144</v>
      </c>
      <c r="M1567" s="581"/>
      <c r="N1567" s="585" t="s">
        <v>2322</v>
      </c>
      <c r="O1567" s="586" t="s">
        <v>4680</v>
      </c>
      <c r="P1567" s="233">
        <f t="shared" si="223"/>
        <v>0</v>
      </c>
      <c r="Q1567" s="233">
        <f t="shared" si="224"/>
        <v>225144</v>
      </c>
      <c r="R1567" s="2">
        <f t="shared" si="225"/>
        <v>2.6</v>
      </c>
      <c r="S1567" s="2">
        <f>(1/9)*cnst_fish!$C$7*(1/cnst_fish!$C$8)^(R1567-1)</f>
        <v>5.6143318924211183</v>
      </c>
      <c r="T1567" s="682">
        <f t="shared" si="226"/>
        <v>108406.6285510059</v>
      </c>
      <c r="W1567" s="818"/>
      <c r="X1567" s="818"/>
      <c r="Y1567" s="819"/>
      <c r="Z1567" s="820"/>
      <c r="AA1567" s="820"/>
      <c r="AB1567" s="821"/>
      <c r="AC1567" s="821"/>
      <c r="AD1567" s="253"/>
      <c r="AE1567" s="253"/>
    </row>
    <row r="1568" spans="1:31" ht="12.75" customHeight="1">
      <c r="A1568" t="s">
        <v>4655</v>
      </c>
      <c r="B1568" t="s">
        <v>2007</v>
      </c>
      <c r="C1568">
        <v>3413</v>
      </c>
      <c r="D1568" s="581"/>
      <c r="E1568" s="581"/>
      <c r="F1568" s="2">
        <f>(1/S1568)*cnst_fish!$C$6</f>
        <v>0.60129950673834842</v>
      </c>
      <c r="G1568" s="2">
        <f t="shared" ref="G1568:H1587" si="228">G$7</f>
        <v>1</v>
      </c>
      <c r="H1568" s="2">
        <f t="shared" si="228"/>
        <v>0.36449057933102513</v>
      </c>
      <c r="I1568" s="2">
        <f t="shared" si="221"/>
        <v>0</v>
      </c>
      <c r="J1568" s="389">
        <f t="shared" si="222"/>
        <v>0</v>
      </c>
      <c r="L1568" s="721">
        <v>24415</v>
      </c>
      <c r="M1568" s="581"/>
      <c r="N1568" s="585" t="s">
        <v>2322</v>
      </c>
      <c r="O1568" s="586" t="s">
        <v>4680</v>
      </c>
      <c r="P1568" s="233">
        <f t="shared" si="223"/>
        <v>0</v>
      </c>
      <c r="Q1568" s="233">
        <f t="shared" si="224"/>
        <v>24415</v>
      </c>
      <c r="R1568" s="2">
        <f t="shared" si="225"/>
        <v>2.7</v>
      </c>
      <c r="S1568" s="2">
        <f>(1/9)*cnst_fish!$C$7*(1/cnst_fish!$C$8)^(R1568-1)</f>
        <v>7.0680250896153813</v>
      </c>
      <c r="T1568" s="682">
        <f t="shared" si="226"/>
        <v>14799.675360850308</v>
      </c>
      <c r="W1568" s="818"/>
      <c r="X1568" s="818"/>
      <c r="Y1568" s="819"/>
      <c r="Z1568" s="820"/>
      <c r="AA1568" s="820"/>
      <c r="AB1568" s="821"/>
      <c r="AC1568" s="821"/>
      <c r="AD1568" s="253"/>
      <c r="AE1568" s="253"/>
    </row>
    <row r="1569" spans="1:31" ht="12.75" customHeight="1">
      <c r="A1569" t="s">
        <v>2073</v>
      </c>
      <c r="B1569" t="s">
        <v>2008</v>
      </c>
      <c r="C1569">
        <v>3412</v>
      </c>
      <c r="D1569" s="581"/>
      <c r="E1569" s="581"/>
      <c r="F1569" s="2">
        <f>(1/S1569)*cnst_fish!$C$6</f>
        <v>0.60129950673834842</v>
      </c>
      <c r="G1569" s="2">
        <f t="shared" si="228"/>
        <v>1</v>
      </c>
      <c r="H1569" s="2">
        <f t="shared" si="228"/>
        <v>0.36449057933102513</v>
      </c>
      <c r="I1569" s="2">
        <f t="shared" si="221"/>
        <v>0</v>
      </c>
      <c r="J1569" s="389">
        <f t="shared" si="222"/>
        <v>0</v>
      </c>
      <c r="L1569" s="721">
        <v>904</v>
      </c>
      <c r="M1569" s="581"/>
      <c r="N1569" s="585" t="s">
        <v>2322</v>
      </c>
      <c r="O1569" s="586" t="s">
        <v>4680</v>
      </c>
      <c r="P1569" s="233">
        <f t="shared" si="223"/>
        <v>0</v>
      </c>
      <c r="Q1569" s="233">
        <f t="shared" si="224"/>
        <v>904</v>
      </c>
      <c r="R1569" s="2">
        <f t="shared" si="225"/>
        <v>2.7</v>
      </c>
      <c r="S1569" s="2">
        <f>(1/9)*cnst_fish!$C$7*(1/cnst_fish!$C$8)^(R1569-1)</f>
        <v>7.0680250896153813</v>
      </c>
      <c r="T1569" s="682">
        <f t="shared" si="226"/>
        <v>547.97896892110089</v>
      </c>
      <c r="W1569" s="818"/>
      <c r="X1569" s="818"/>
      <c r="Y1569" s="819"/>
      <c r="Z1569" s="820"/>
      <c r="AA1569" s="820"/>
      <c r="AB1569" s="821"/>
      <c r="AC1569" s="821"/>
      <c r="AD1569" s="253"/>
      <c r="AE1569" s="253"/>
    </row>
    <row r="1570" spans="1:31" ht="12.75" customHeight="1">
      <c r="A1570" t="s">
        <v>4558</v>
      </c>
      <c r="B1570" t="s">
        <v>2009</v>
      </c>
      <c r="C1570">
        <v>3414</v>
      </c>
      <c r="D1570" s="581"/>
      <c r="E1570" s="581"/>
      <c r="F1570" s="2">
        <f>(1/S1570)*cnst_fish!$C$6</f>
        <v>0.60129950673834842</v>
      </c>
      <c r="G1570" s="2">
        <f t="shared" si="228"/>
        <v>1</v>
      </c>
      <c r="H1570" s="2">
        <f t="shared" si="228"/>
        <v>0.36449057933102513</v>
      </c>
      <c r="I1570" s="2">
        <f t="shared" si="221"/>
        <v>0</v>
      </c>
      <c r="J1570" s="389">
        <f t="shared" si="222"/>
        <v>0</v>
      </c>
      <c r="L1570" s="721">
        <v>11</v>
      </c>
      <c r="M1570" s="581"/>
      <c r="N1570" s="585" t="s">
        <v>2322</v>
      </c>
      <c r="O1570" s="586" t="s">
        <v>4680</v>
      </c>
      <c r="P1570" s="233">
        <f t="shared" si="223"/>
        <v>0</v>
      </c>
      <c r="Q1570" s="233">
        <f t="shared" si="224"/>
        <v>11</v>
      </c>
      <c r="R1570" s="2">
        <f t="shared" si="225"/>
        <v>2.7</v>
      </c>
      <c r="S1570" s="2">
        <f>(1/9)*cnst_fish!$C$7*(1/cnst_fish!$C$8)^(R1570-1)</f>
        <v>7.0680250896153813</v>
      </c>
      <c r="T1570" s="682">
        <f t="shared" si="226"/>
        <v>6.6678856837744576</v>
      </c>
      <c r="W1570" s="818"/>
      <c r="X1570" s="818"/>
      <c r="Y1570" s="819"/>
      <c r="Z1570" s="820"/>
      <c r="AA1570" s="820"/>
      <c r="AB1570" s="821"/>
      <c r="AC1570" s="821"/>
      <c r="AD1570" s="253"/>
      <c r="AE1570" s="253"/>
    </row>
    <row r="1571" spans="1:31" ht="12.75" customHeight="1">
      <c r="A1571" t="s">
        <v>3520</v>
      </c>
      <c r="B1571" t="s">
        <v>2010</v>
      </c>
      <c r="C1571">
        <v>2590</v>
      </c>
      <c r="D1571" s="581"/>
      <c r="E1571" s="581"/>
      <c r="F1571" s="2">
        <f>(1/S1571)*cnst_fish!$C$6</f>
        <v>0.60129950673834842</v>
      </c>
      <c r="G1571" s="2">
        <f t="shared" si="228"/>
        <v>1</v>
      </c>
      <c r="H1571" s="2">
        <f t="shared" si="228"/>
        <v>0.36449057933102513</v>
      </c>
      <c r="I1571" s="2">
        <f t="shared" si="221"/>
        <v>0</v>
      </c>
      <c r="J1571" s="389">
        <f t="shared" si="222"/>
        <v>0</v>
      </c>
      <c r="L1571" s="721">
        <v>84</v>
      </c>
      <c r="M1571" s="581"/>
      <c r="N1571" s="585" t="s">
        <v>2322</v>
      </c>
      <c r="O1571" s="586" t="s">
        <v>4680</v>
      </c>
      <c r="P1571" s="233">
        <f t="shared" si="223"/>
        <v>0</v>
      </c>
      <c r="Q1571" s="233">
        <f t="shared" si="224"/>
        <v>84</v>
      </c>
      <c r="R1571" s="2">
        <f t="shared" si="225"/>
        <v>2.7</v>
      </c>
      <c r="S1571" s="2">
        <f>(1/9)*cnst_fish!$C$7*(1/cnst_fish!$C$8)^(R1571-1)</f>
        <v>7.0680250896153813</v>
      </c>
      <c r="T1571" s="682">
        <f t="shared" si="226"/>
        <v>50.918399767004942</v>
      </c>
      <c r="W1571" s="818"/>
      <c r="X1571" s="818"/>
      <c r="Y1571" s="819"/>
      <c r="Z1571" s="820"/>
      <c r="AA1571" s="820"/>
      <c r="AB1571" s="821"/>
      <c r="AC1571" s="821"/>
      <c r="AD1571" s="253"/>
      <c r="AE1571" s="253"/>
    </row>
    <row r="1572" spans="1:31" ht="12.75" customHeight="1">
      <c r="A1572" t="s">
        <v>4263</v>
      </c>
      <c r="B1572" t="s">
        <v>6663</v>
      </c>
      <c r="C1572">
        <v>3403</v>
      </c>
      <c r="D1572" s="581"/>
      <c r="E1572" s="581"/>
      <c r="F1572" s="2">
        <f>(1/S1572)*cnst_fish!$C$6</f>
        <v>3.0136363636363641</v>
      </c>
      <c r="G1572" s="2">
        <f t="shared" si="228"/>
        <v>1</v>
      </c>
      <c r="H1572" s="2">
        <f t="shared" si="228"/>
        <v>0.36449057933102513</v>
      </c>
      <c r="I1572" s="2">
        <f t="shared" si="221"/>
        <v>0</v>
      </c>
      <c r="J1572" s="389">
        <f t="shared" si="222"/>
        <v>0</v>
      </c>
      <c r="L1572" s="721">
        <v>6070</v>
      </c>
      <c r="M1572" s="581"/>
      <c r="N1572" s="585" t="s">
        <v>2322</v>
      </c>
      <c r="O1572" s="586" t="s">
        <v>4680</v>
      </c>
      <c r="P1572" s="233">
        <f t="shared" si="223"/>
        <v>0</v>
      </c>
      <c r="Q1572" s="233">
        <f t="shared" si="224"/>
        <v>6070</v>
      </c>
      <c r="R1572" s="2">
        <f t="shared" si="225"/>
        <v>2</v>
      </c>
      <c r="S1572" s="2">
        <f>(1/9)*cnst_fish!$C$7*(1/cnst_fish!$C$8)^(R1572-1)</f>
        <v>1.4102564102564099</v>
      </c>
      <c r="T1572" s="682">
        <f t="shared" si="226"/>
        <v>734.1488983991718</v>
      </c>
      <c r="W1572" s="818"/>
      <c r="X1572" s="818"/>
      <c r="Y1572" s="819"/>
      <c r="Z1572" s="820"/>
      <c r="AA1572" s="820"/>
      <c r="AB1572" s="821"/>
      <c r="AC1572" s="821"/>
      <c r="AD1572" s="253"/>
      <c r="AE1572" s="253"/>
    </row>
    <row r="1573" spans="1:31" ht="12.75" customHeight="1">
      <c r="A1573" t="s">
        <v>715</v>
      </c>
      <c r="B1573" t="s">
        <v>2011</v>
      </c>
      <c r="C1573">
        <v>3408</v>
      </c>
      <c r="D1573" s="581"/>
      <c r="E1573" s="581"/>
      <c r="F1573" s="2">
        <f>(1/S1573)*cnst_fish!$C$6</f>
        <v>0.60129950673834842</v>
      </c>
      <c r="G1573" s="2">
        <f t="shared" si="228"/>
        <v>1</v>
      </c>
      <c r="H1573" s="2">
        <f t="shared" si="228"/>
        <v>0.36449057933102513</v>
      </c>
      <c r="I1573" s="2">
        <f t="shared" si="221"/>
        <v>0</v>
      </c>
      <c r="J1573" s="389">
        <f t="shared" si="222"/>
        <v>0</v>
      </c>
      <c r="L1573" s="721">
        <v>12490</v>
      </c>
      <c r="M1573" s="581"/>
      <c r="N1573" s="585" t="s">
        <v>2322</v>
      </c>
      <c r="O1573" s="586" t="s">
        <v>4680</v>
      </c>
      <c r="P1573" s="233">
        <f t="shared" si="223"/>
        <v>0</v>
      </c>
      <c r="Q1573" s="233">
        <f t="shared" si="224"/>
        <v>12490</v>
      </c>
      <c r="R1573" s="2">
        <f t="shared" si="225"/>
        <v>2.7</v>
      </c>
      <c r="S1573" s="2">
        <f>(1/9)*cnst_fish!$C$7*(1/cnst_fish!$C$8)^(R1573-1)</f>
        <v>7.0680250896153813</v>
      </c>
      <c r="T1573" s="682">
        <f t="shared" si="226"/>
        <v>7571.0811082129976</v>
      </c>
      <c r="W1573" s="818"/>
      <c r="X1573" s="818"/>
      <c r="Y1573" s="819"/>
      <c r="Z1573" s="820"/>
      <c r="AA1573" s="820"/>
      <c r="AB1573" s="821"/>
      <c r="AC1573" s="821"/>
      <c r="AD1573" s="253"/>
      <c r="AE1573" s="253"/>
    </row>
    <row r="1574" spans="1:31" ht="12.75" customHeight="1">
      <c r="A1574" t="s">
        <v>4495</v>
      </c>
      <c r="B1574" t="s">
        <v>2012</v>
      </c>
      <c r="C1574">
        <v>3409</v>
      </c>
      <c r="D1574" s="581"/>
      <c r="E1574" s="581"/>
      <c r="F1574" s="2">
        <f>(1/S1574)*cnst_fish!$C$6</f>
        <v>0.60129950673834842</v>
      </c>
      <c r="G1574" s="2">
        <f t="shared" si="228"/>
        <v>1</v>
      </c>
      <c r="H1574" s="2">
        <f t="shared" si="228"/>
        <v>0.36449057933102513</v>
      </c>
      <c r="I1574" s="2">
        <f t="shared" si="221"/>
        <v>0</v>
      </c>
      <c r="J1574" s="389">
        <f t="shared" si="222"/>
        <v>0</v>
      </c>
      <c r="L1574" s="721">
        <v>42549</v>
      </c>
      <c r="M1574" s="581"/>
      <c r="N1574" s="585" t="s">
        <v>2322</v>
      </c>
      <c r="O1574" s="586" t="s">
        <v>4680</v>
      </c>
      <c r="P1574" s="233">
        <f t="shared" si="223"/>
        <v>0</v>
      </c>
      <c r="Q1574" s="233">
        <f t="shared" si="224"/>
        <v>42549</v>
      </c>
      <c r="R1574" s="2">
        <f t="shared" si="225"/>
        <v>2.7</v>
      </c>
      <c r="S1574" s="2">
        <f>(1/9)*cnst_fish!$C$7*(1/cnst_fish!$C$8)^(R1574-1)</f>
        <v>7.0680250896153813</v>
      </c>
      <c r="T1574" s="682">
        <f t="shared" si="226"/>
        <v>25791.987996265398</v>
      </c>
      <c r="W1574" s="818"/>
      <c r="X1574" s="818"/>
      <c r="Y1574" s="819"/>
      <c r="Z1574" s="820"/>
      <c r="AA1574" s="820"/>
      <c r="AB1574" s="821"/>
      <c r="AC1574" s="821"/>
      <c r="AD1574" s="253"/>
      <c r="AE1574" s="253"/>
    </row>
    <row r="1575" spans="1:31" ht="12.75" customHeight="1">
      <c r="A1575" t="s">
        <v>3939</v>
      </c>
      <c r="B1575" t="s">
        <v>2013</v>
      </c>
      <c r="C1575">
        <v>3399</v>
      </c>
      <c r="D1575" s="581"/>
      <c r="E1575" s="581"/>
      <c r="F1575" s="2">
        <f>(1/S1575)*cnst_fish!$C$6</f>
        <v>1.5103960722494616</v>
      </c>
      <c r="G1575" s="2">
        <f t="shared" si="228"/>
        <v>1</v>
      </c>
      <c r="H1575" s="2">
        <f t="shared" si="228"/>
        <v>0.36449057933102513</v>
      </c>
      <c r="I1575" s="2">
        <f t="shared" si="221"/>
        <v>0</v>
      </c>
      <c r="J1575" s="389">
        <f t="shared" si="222"/>
        <v>0</v>
      </c>
      <c r="L1575" s="721">
        <v>139367.29999999999</v>
      </c>
      <c r="M1575" s="581">
        <v>29613.22</v>
      </c>
      <c r="N1575" s="585" t="s">
        <v>2322</v>
      </c>
      <c r="O1575" s="586" t="s">
        <v>4680</v>
      </c>
      <c r="P1575" s="233">
        <f t="shared" si="223"/>
        <v>0</v>
      </c>
      <c r="Q1575" s="233">
        <f t="shared" si="224"/>
        <v>168980.52</v>
      </c>
      <c r="R1575" s="2">
        <f t="shared" si="225"/>
        <v>2.2999999999999998</v>
      </c>
      <c r="S1575" s="2">
        <f>(1/9)*cnst_fish!$C$7*(1/cnst_fish!$C$8)^(R1575-1)</f>
        <v>2.8138314698279068</v>
      </c>
      <c r="T1575" s="682">
        <f t="shared" si="226"/>
        <v>40778.580375098587</v>
      </c>
      <c r="W1575" s="818"/>
      <c r="X1575" s="818"/>
      <c r="Y1575" s="819"/>
      <c r="Z1575" s="820"/>
      <c r="AA1575" s="820"/>
      <c r="AB1575" s="821"/>
      <c r="AC1575" s="821"/>
      <c r="AD1575" s="253"/>
      <c r="AE1575" s="253"/>
    </row>
    <row r="1576" spans="1:31" ht="12.75" customHeight="1">
      <c r="A1576" t="s">
        <v>1576</v>
      </c>
      <c r="B1576" t="s">
        <v>2014</v>
      </c>
      <c r="C1576">
        <v>2585</v>
      </c>
      <c r="D1576" s="581"/>
      <c r="E1576" s="581"/>
      <c r="F1576" s="2">
        <f>(1/S1576)*cnst_fish!$C$6</f>
        <v>0.60129950673834842</v>
      </c>
      <c r="G1576" s="2">
        <f t="shared" si="228"/>
        <v>1</v>
      </c>
      <c r="H1576" s="2">
        <f t="shared" si="228"/>
        <v>0.36449057933102513</v>
      </c>
      <c r="I1576" s="2">
        <f t="shared" si="221"/>
        <v>0</v>
      </c>
      <c r="J1576" s="389">
        <f t="shared" si="222"/>
        <v>0</v>
      </c>
      <c r="L1576" s="721">
        <v>34339</v>
      </c>
      <c r="M1576" s="581"/>
      <c r="N1576" s="585" t="s">
        <v>2322</v>
      </c>
      <c r="O1576" s="586" t="s">
        <v>4680</v>
      </c>
      <c r="P1576" s="233">
        <f t="shared" si="223"/>
        <v>0</v>
      </c>
      <c r="Q1576" s="233">
        <f t="shared" si="224"/>
        <v>34339</v>
      </c>
      <c r="R1576" s="2">
        <f t="shared" si="225"/>
        <v>2.7</v>
      </c>
      <c r="S1576" s="2">
        <f>(1/9)*cnst_fish!$C$7*(1/cnst_fish!$C$8)^(R1576-1)</f>
        <v>7.0680250896153813</v>
      </c>
      <c r="T1576" s="682">
        <f t="shared" si="226"/>
        <v>20815.320590466465</v>
      </c>
      <c r="W1576" s="818"/>
      <c r="X1576" s="818"/>
      <c r="Y1576" s="819"/>
      <c r="Z1576" s="820"/>
      <c r="AA1576" s="820"/>
      <c r="AB1576" s="821"/>
      <c r="AC1576" s="821"/>
      <c r="AD1576" s="253"/>
      <c r="AE1576" s="253"/>
    </row>
    <row r="1577" spans="1:31" ht="12.75" customHeight="1">
      <c r="A1577" t="s">
        <v>3891</v>
      </c>
      <c r="B1577" t="s">
        <v>3892</v>
      </c>
      <c r="C1577">
        <v>2591</v>
      </c>
      <c r="D1577" s="581"/>
      <c r="E1577" s="581"/>
      <c r="F1577" s="2">
        <f>(1/S1577)*cnst_fish!$C$6</f>
        <v>0.60129950673834842</v>
      </c>
      <c r="G1577" s="2">
        <f t="shared" si="228"/>
        <v>1</v>
      </c>
      <c r="H1577" s="2">
        <f t="shared" si="228"/>
        <v>0.36449057933102513</v>
      </c>
      <c r="I1577" s="2">
        <f t="shared" si="221"/>
        <v>0</v>
      </c>
      <c r="J1577" s="389">
        <f t="shared" si="222"/>
        <v>0</v>
      </c>
      <c r="L1577" s="721"/>
      <c r="M1577" s="581"/>
      <c r="N1577" s="585" t="s">
        <v>2322</v>
      </c>
      <c r="O1577" s="586" t="s">
        <v>4680</v>
      </c>
      <c r="P1577" s="233">
        <f t="shared" si="223"/>
        <v>0</v>
      </c>
      <c r="Q1577" s="233">
        <f t="shared" si="224"/>
        <v>0</v>
      </c>
      <c r="R1577" s="2">
        <f t="shared" si="225"/>
        <v>2.7</v>
      </c>
      <c r="S1577" s="2">
        <f>(1/9)*cnst_fish!$C$7*(1/cnst_fish!$C$8)^(R1577-1)</f>
        <v>7.0680250896153813</v>
      </c>
      <c r="T1577" s="682">
        <f t="shared" si="226"/>
        <v>0</v>
      </c>
      <c r="W1577" s="818"/>
      <c r="X1577" s="818"/>
      <c r="Y1577" s="819"/>
      <c r="Z1577" s="820"/>
      <c r="AA1577" s="820"/>
      <c r="AB1577" s="821"/>
      <c r="AC1577" s="821"/>
      <c r="AD1577" s="253"/>
      <c r="AE1577" s="253"/>
    </row>
    <row r="1578" spans="1:31" ht="12.75" customHeight="1">
      <c r="A1578" t="s">
        <v>2543</v>
      </c>
      <c r="B1578" t="s">
        <v>180</v>
      </c>
      <c r="C1578">
        <v>3404</v>
      </c>
      <c r="D1578" s="581"/>
      <c r="E1578" s="581"/>
      <c r="F1578" s="2">
        <f>(1/S1578)*cnst_fish!$C$6</f>
        <v>0.60129950673834842</v>
      </c>
      <c r="G1578" s="2">
        <f t="shared" si="228"/>
        <v>1</v>
      </c>
      <c r="H1578" s="2">
        <f t="shared" si="228"/>
        <v>0.36449057933102513</v>
      </c>
      <c r="I1578" s="2">
        <f t="shared" si="221"/>
        <v>0</v>
      </c>
      <c r="J1578" s="389">
        <f t="shared" si="222"/>
        <v>0</v>
      </c>
      <c r="L1578" s="721">
        <v>14040</v>
      </c>
      <c r="M1578" s="581"/>
      <c r="N1578" s="585" t="s">
        <v>2322</v>
      </c>
      <c r="O1578" s="586" t="s">
        <v>4680</v>
      </c>
      <c r="P1578" s="233">
        <f t="shared" si="223"/>
        <v>0</v>
      </c>
      <c r="Q1578" s="233">
        <f t="shared" si="224"/>
        <v>14040</v>
      </c>
      <c r="R1578" s="2">
        <f t="shared" si="225"/>
        <v>2.7</v>
      </c>
      <c r="S1578" s="2">
        <f>(1/9)*cnst_fish!$C$7*(1/cnst_fish!$C$8)^(R1578-1)</f>
        <v>7.0680250896153813</v>
      </c>
      <c r="T1578" s="682">
        <f t="shared" si="226"/>
        <v>8510.6468181993987</v>
      </c>
      <c r="W1578" s="818"/>
      <c r="X1578" s="818"/>
      <c r="Y1578" s="819"/>
      <c r="Z1578" s="820"/>
      <c r="AA1578" s="820"/>
      <c r="AB1578" s="821"/>
      <c r="AC1578" s="821"/>
      <c r="AD1578" s="253"/>
      <c r="AE1578" s="253"/>
    </row>
    <row r="1579" spans="1:31" ht="12.75" customHeight="1">
      <c r="A1579" t="s">
        <v>8716</v>
      </c>
      <c r="B1579" t="s">
        <v>1240</v>
      </c>
      <c r="C1579">
        <v>18865</v>
      </c>
      <c r="D1579" s="581"/>
      <c r="E1579" s="581"/>
      <c r="F1579" s="2">
        <f>(1/S1579)*cnst_fish!$C$6</f>
        <v>3.0838329721915438E-2</v>
      </c>
      <c r="G1579" s="2">
        <f t="shared" si="228"/>
        <v>1</v>
      </c>
      <c r="H1579" s="2">
        <f t="shared" si="228"/>
        <v>0.36449057933102513</v>
      </c>
      <c r="I1579" s="2">
        <f t="shared" si="221"/>
        <v>0</v>
      </c>
      <c r="J1579" s="389">
        <f t="shared" si="222"/>
        <v>0</v>
      </c>
      <c r="L1579" s="721">
        <v>4572</v>
      </c>
      <c r="M1579" s="581"/>
      <c r="N1579" s="585" t="s">
        <v>1738</v>
      </c>
      <c r="O1579" s="586" t="s">
        <v>4681</v>
      </c>
      <c r="P1579" s="233">
        <f t="shared" si="223"/>
        <v>0</v>
      </c>
      <c r="Q1579" s="233">
        <f t="shared" si="224"/>
        <v>4572</v>
      </c>
      <c r="R1579" s="2">
        <f t="shared" si="225"/>
        <v>3.99</v>
      </c>
      <c r="S1579" s="2">
        <f>(1/9)*cnst_fish!$C$7*(1/cnst_fish!$C$8)^(R1579-1)</f>
        <v>137.81550551940927</v>
      </c>
      <c r="T1579" s="682">
        <f t="shared" si="226"/>
        <v>54038.300508771514</v>
      </c>
      <c r="W1579" s="818"/>
      <c r="X1579" s="818"/>
      <c r="Y1579" s="819"/>
      <c r="Z1579" s="820"/>
      <c r="AA1579" s="820"/>
      <c r="AB1579" s="821"/>
      <c r="AC1579" s="821"/>
      <c r="AD1579" s="253"/>
      <c r="AE1579" s="253"/>
    </row>
    <row r="1580" spans="1:31" ht="12.75" customHeight="1">
      <c r="A1580" t="s">
        <v>3023</v>
      </c>
      <c r="B1580" t="s">
        <v>1241</v>
      </c>
      <c r="C1580">
        <v>3169</v>
      </c>
      <c r="D1580" s="581"/>
      <c r="E1580" s="581"/>
      <c r="F1580" s="2">
        <f>(1/S1580)*cnst_fish!$C$6</f>
        <v>0.10211530705467774</v>
      </c>
      <c r="G1580" s="2">
        <f t="shared" si="228"/>
        <v>1</v>
      </c>
      <c r="H1580" s="2">
        <f t="shared" si="228"/>
        <v>0.36449057933102513</v>
      </c>
      <c r="I1580" s="2">
        <f t="shared" si="221"/>
        <v>0</v>
      </c>
      <c r="J1580" s="389">
        <f t="shared" si="222"/>
        <v>0</v>
      </c>
      <c r="L1580" s="721">
        <v>96545</v>
      </c>
      <c r="M1580" s="581"/>
      <c r="N1580" s="585" t="s">
        <v>1738</v>
      </c>
      <c r="O1580" s="586" t="s">
        <v>4681</v>
      </c>
      <c r="P1580" s="233">
        <f t="shared" si="223"/>
        <v>0</v>
      </c>
      <c r="Q1580" s="233">
        <f t="shared" si="224"/>
        <v>96545</v>
      </c>
      <c r="R1580" s="2">
        <f t="shared" si="225"/>
        <v>3.47</v>
      </c>
      <c r="S1580" s="2">
        <f>(1/9)*cnst_fish!$C$7*(1/cnst_fish!$C$8)^(R1580-1)</f>
        <v>41.619617299141382</v>
      </c>
      <c r="T1580" s="682">
        <f t="shared" si="226"/>
        <v>344607.91429311805</v>
      </c>
      <c r="W1580" s="818"/>
      <c r="X1580" s="818"/>
      <c r="Y1580" s="819"/>
      <c r="Z1580" s="820"/>
      <c r="AA1580" s="820"/>
      <c r="AB1580" s="821"/>
      <c r="AC1580" s="821"/>
      <c r="AD1580" s="253"/>
      <c r="AE1580" s="253"/>
    </row>
    <row r="1581" spans="1:31" ht="12.75" customHeight="1">
      <c r="A1581" t="s">
        <v>8329</v>
      </c>
      <c r="B1581" t="s">
        <v>8330</v>
      </c>
      <c r="C1581">
        <v>19155</v>
      </c>
      <c r="D1581" s="581"/>
      <c r="E1581" s="581"/>
      <c r="F1581" s="2">
        <f>(1/S1581)*cnst_fish!$C$6</f>
        <v>3.0136363636363641</v>
      </c>
      <c r="G1581" s="2">
        <f t="shared" si="228"/>
        <v>1</v>
      </c>
      <c r="H1581" s="2">
        <f t="shared" si="228"/>
        <v>0.36449057933102513</v>
      </c>
      <c r="I1581" s="2">
        <f t="shared" si="221"/>
        <v>0</v>
      </c>
      <c r="J1581" s="389">
        <f t="shared" si="222"/>
        <v>0</v>
      </c>
      <c r="L1581" s="721">
        <v>0</v>
      </c>
      <c r="M1581" s="581"/>
      <c r="N1581" s="585" t="s">
        <v>5196</v>
      </c>
      <c r="O1581" s="586"/>
      <c r="P1581" s="233">
        <f t="shared" si="223"/>
        <v>0</v>
      </c>
      <c r="Q1581" s="233">
        <f t="shared" si="224"/>
        <v>0</v>
      </c>
      <c r="R1581" s="2">
        <f t="shared" si="225"/>
        <v>2</v>
      </c>
      <c r="S1581" s="2">
        <f>(1/9)*cnst_fish!$C$7*(1/cnst_fish!$C$8)^(R1581-1)</f>
        <v>1.4102564102564099</v>
      </c>
      <c r="T1581" s="682">
        <f t="shared" si="226"/>
        <v>0</v>
      </c>
      <c r="W1581" s="818"/>
      <c r="X1581" s="818"/>
      <c r="Y1581" s="819"/>
      <c r="Z1581" s="820"/>
      <c r="AA1581" s="820"/>
      <c r="AB1581" s="821"/>
      <c r="AC1581" s="821"/>
      <c r="AD1581" s="253"/>
      <c r="AE1581" s="253"/>
    </row>
    <row r="1582" spans="1:31" ht="12.75" customHeight="1">
      <c r="A1582" t="s">
        <v>1339</v>
      </c>
      <c r="B1582" t="s">
        <v>2670</v>
      </c>
      <c r="C1582">
        <v>18826</v>
      </c>
      <c r="D1582" s="581"/>
      <c r="E1582" s="581"/>
      <c r="F1582" s="2">
        <f>(1/S1582)*cnst_fish!$C$6</f>
        <v>0.1409583630333692</v>
      </c>
      <c r="G1582" s="2">
        <f t="shared" si="228"/>
        <v>1</v>
      </c>
      <c r="H1582" s="2">
        <f t="shared" si="228"/>
        <v>0.36449057933102513</v>
      </c>
      <c r="I1582" s="2">
        <f t="shared" si="221"/>
        <v>0</v>
      </c>
      <c r="J1582" s="389">
        <f t="shared" si="222"/>
        <v>0</v>
      </c>
      <c r="L1582" s="721">
        <v>50</v>
      </c>
      <c r="M1582" s="581"/>
      <c r="N1582" s="585" t="s">
        <v>1738</v>
      </c>
      <c r="O1582" s="586" t="s">
        <v>4681</v>
      </c>
      <c r="P1582" s="233">
        <f t="shared" si="223"/>
        <v>0</v>
      </c>
      <c r="Q1582" s="233">
        <f t="shared" si="224"/>
        <v>50</v>
      </c>
      <c r="R1582" s="2">
        <f t="shared" si="225"/>
        <v>3.33</v>
      </c>
      <c r="S1582" s="2">
        <f>(1/9)*cnst_fish!$C$7*(1/cnst_fish!$C$8)^(R1582-1)</f>
        <v>30.15074741605714</v>
      </c>
      <c r="T1582" s="682">
        <f t="shared" si="226"/>
        <v>129.29015756402441</v>
      </c>
      <c r="W1582" s="818"/>
      <c r="X1582" s="818"/>
      <c r="Y1582" s="819"/>
      <c r="Z1582" s="820"/>
      <c r="AA1582" s="820"/>
      <c r="AB1582" s="821"/>
      <c r="AC1582" s="821"/>
      <c r="AD1582" s="253"/>
      <c r="AE1582" s="253"/>
    </row>
    <row r="1583" spans="1:31" ht="12.75" customHeight="1">
      <c r="A1583" t="s">
        <v>128</v>
      </c>
      <c r="B1583" t="s">
        <v>1242</v>
      </c>
      <c r="C1583">
        <v>2269</v>
      </c>
      <c r="D1583" s="581"/>
      <c r="E1583" s="581"/>
      <c r="F1583" s="2">
        <f>(1/S1583)*cnst_fish!$C$6</f>
        <v>8.3002437741509269E-2</v>
      </c>
      <c r="G1583" s="2">
        <f t="shared" si="228"/>
        <v>1</v>
      </c>
      <c r="H1583" s="2">
        <f t="shared" si="228"/>
        <v>0.36449057933102513</v>
      </c>
      <c r="I1583" s="2">
        <f t="shared" si="221"/>
        <v>0</v>
      </c>
      <c r="J1583" s="389">
        <f t="shared" si="222"/>
        <v>0</v>
      </c>
      <c r="L1583" s="721">
        <v>40380</v>
      </c>
      <c r="M1583" s="581"/>
      <c r="N1583" s="585" t="s">
        <v>1738</v>
      </c>
      <c r="O1583" s="586" t="s">
        <v>4681</v>
      </c>
      <c r="P1583" s="233">
        <f t="shared" si="223"/>
        <v>0</v>
      </c>
      <c r="Q1583" s="233">
        <f t="shared" si="224"/>
        <v>40380</v>
      </c>
      <c r="R1583" s="2">
        <f t="shared" si="225"/>
        <v>3.56</v>
      </c>
      <c r="S1583" s="2">
        <f>(1/9)*cnst_fish!$C$7*(1/cnst_fish!$C$8)^(R1583-1)</f>
        <v>51.203315416296356</v>
      </c>
      <c r="T1583" s="682">
        <f t="shared" si="226"/>
        <v>177321.65456661404</v>
      </c>
      <c r="W1583" s="818"/>
      <c r="X1583" s="818"/>
      <c r="Y1583" s="819"/>
      <c r="Z1583" s="820"/>
      <c r="AA1583" s="820"/>
      <c r="AB1583" s="821"/>
      <c r="AC1583" s="821"/>
      <c r="AD1583" s="253"/>
      <c r="AE1583" s="253"/>
    </row>
    <row r="1584" spans="1:31" ht="12.75" customHeight="1">
      <c r="A1584" t="s">
        <v>8992</v>
      </c>
      <c r="B1584" t="s">
        <v>8993</v>
      </c>
      <c r="C1584">
        <v>6609</v>
      </c>
      <c r="D1584" s="581"/>
      <c r="E1584" s="581"/>
      <c r="F1584" s="869">
        <f>(1/S1584)*cnst_fish!$C$6</f>
        <v>3.0136363636363642E-2</v>
      </c>
      <c r="G1584" s="869">
        <f t="shared" si="228"/>
        <v>1</v>
      </c>
      <c r="H1584" s="869">
        <f t="shared" si="228"/>
        <v>0.36449057933102513</v>
      </c>
      <c r="I1584" s="869">
        <f t="shared" si="221"/>
        <v>0</v>
      </c>
      <c r="J1584" s="389">
        <f t="shared" si="222"/>
        <v>0</v>
      </c>
      <c r="L1584" s="721">
        <v>289</v>
      </c>
      <c r="M1584" s="581"/>
      <c r="N1584" s="877" t="s">
        <v>1738</v>
      </c>
      <c r="O1584" s="881" t="s">
        <v>4699</v>
      </c>
      <c r="P1584" s="871">
        <f t="shared" si="223"/>
        <v>0</v>
      </c>
      <c r="Q1584" s="871">
        <f t="shared" si="224"/>
        <v>289</v>
      </c>
      <c r="R1584" s="869">
        <f t="shared" si="225"/>
        <v>4</v>
      </c>
      <c r="S1584" s="869">
        <f>(1/9)*cnst_fish!$C$7*(1/cnst_fish!$C$8)^(R1584-1)</f>
        <v>141.02564102564099</v>
      </c>
      <c r="T1584" s="682">
        <f t="shared" si="226"/>
        <v>3495.3711966616252</v>
      </c>
      <c r="W1584" s="818"/>
      <c r="X1584" s="818"/>
      <c r="Y1584" s="819"/>
      <c r="Z1584" s="820"/>
      <c r="AA1584" s="820"/>
      <c r="AB1584" s="821"/>
      <c r="AC1584" s="821"/>
      <c r="AD1584" s="253"/>
      <c r="AE1584" s="253"/>
    </row>
    <row r="1585" spans="1:31" ht="12.75" customHeight="1">
      <c r="A1585" t="s">
        <v>1855</v>
      </c>
      <c r="B1585" t="s">
        <v>1856</v>
      </c>
      <c r="C1585">
        <v>14262</v>
      </c>
      <c r="D1585" s="581"/>
      <c r="E1585" s="581"/>
      <c r="F1585" s="2">
        <f>(1/S1585)*cnst_fish!$C$6</f>
        <v>3.0136363636363642E-2</v>
      </c>
      <c r="G1585" s="2">
        <f t="shared" si="228"/>
        <v>1</v>
      </c>
      <c r="H1585" s="2">
        <f t="shared" si="228"/>
        <v>0.36449057933102513</v>
      </c>
      <c r="I1585" s="2">
        <f t="shared" si="221"/>
        <v>0</v>
      </c>
      <c r="J1585" s="389">
        <f t="shared" si="222"/>
        <v>0</v>
      </c>
      <c r="L1585" s="721">
        <v>186</v>
      </c>
      <c r="M1585" s="581"/>
      <c r="N1585" s="585" t="s">
        <v>1738</v>
      </c>
      <c r="O1585" s="586" t="s">
        <v>4699</v>
      </c>
      <c r="P1585" s="233">
        <f t="shared" si="223"/>
        <v>0</v>
      </c>
      <c r="Q1585" s="233">
        <f t="shared" si="224"/>
        <v>186</v>
      </c>
      <c r="R1585" s="2">
        <f t="shared" si="225"/>
        <v>4</v>
      </c>
      <c r="S1585" s="2">
        <f>(1/9)*cnst_fish!$C$7*(1/cnst_fish!$C$8)^(R1585-1)</f>
        <v>141.02564102564099</v>
      </c>
      <c r="T1585" s="682">
        <f t="shared" si="226"/>
        <v>2249.6160642874124</v>
      </c>
      <c r="W1585" s="818"/>
      <c r="X1585" s="818"/>
      <c r="Y1585" s="819"/>
      <c r="Z1585" s="820"/>
      <c r="AA1585" s="820"/>
      <c r="AB1585" s="821"/>
      <c r="AC1585" s="821"/>
      <c r="AD1585" s="253"/>
      <c r="AE1585" s="253"/>
    </row>
    <row r="1586" spans="1:31" ht="12.75" customHeight="1">
      <c r="A1586" t="s">
        <v>4095</v>
      </c>
      <c r="B1586" t="s">
        <v>4933</v>
      </c>
      <c r="C1586">
        <v>3314</v>
      </c>
      <c r="D1586" s="581"/>
      <c r="E1586" s="581"/>
      <c r="F1586" s="2">
        <f>(1/S1586)*cnst_fish!$C$6</f>
        <v>2.4495756009854434E-2</v>
      </c>
      <c r="G1586" s="2">
        <f t="shared" si="228"/>
        <v>1</v>
      </c>
      <c r="H1586" s="2">
        <f t="shared" si="228"/>
        <v>0.36449057933102513</v>
      </c>
      <c r="I1586" s="2">
        <f t="shared" si="221"/>
        <v>0</v>
      </c>
      <c r="J1586" s="389">
        <f t="shared" si="222"/>
        <v>0</v>
      </c>
      <c r="L1586" s="721"/>
      <c r="M1586" s="581"/>
      <c r="N1586" s="585" t="s">
        <v>1738</v>
      </c>
      <c r="O1586" s="586" t="s">
        <v>4699</v>
      </c>
      <c r="P1586" s="233">
        <f t="shared" si="223"/>
        <v>0</v>
      </c>
      <c r="Q1586" s="233">
        <f t="shared" si="224"/>
        <v>0</v>
      </c>
      <c r="R1586" s="2">
        <f t="shared" si="225"/>
        <v>4.09</v>
      </c>
      <c r="S1586" s="2">
        <f>(1/9)*cnst_fish!$C$7*(1/cnst_fish!$C$8)^(R1586-1)</f>
        <v>173.49944203764363</v>
      </c>
      <c r="T1586" s="682">
        <f t="shared" si="226"/>
        <v>0</v>
      </c>
      <c r="W1586" s="818"/>
      <c r="X1586" s="818"/>
      <c r="Y1586" s="819"/>
      <c r="Z1586" s="820"/>
      <c r="AA1586" s="820"/>
      <c r="AB1586" s="821"/>
      <c r="AC1586" s="821"/>
      <c r="AD1586" s="253"/>
      <c r="AE1586" s="253"/>
    </row>
    <row r="1587" spans="1:31" ht="12.75" customHeight="1">
      <c r="A1587" t="s">
        <v>9104</v>
      </c>
      <c r="B1587" t="s">
        <v>9105</v>
      </c>
      <c r="C1587">
        <v>20201</v>
      </c>
      <c r="D1587" s="581"/>
      <c r="E1587" s="581"/>
      <c r="F1587" s="869">
        <f>(1/S1587)*cnst_fish!$C$6</f>
        <v>2.3938164528281767E-2</v>
      </c>
      <c r="G1587" s="869">
        <f t="shared" si="228"/>
        <v>1</v>
      </c>
      <c r="H1587" s="869">
        <f t="shared" si="228"/>
        <v>0.36449057933102513</v>
      </c>
      <c r="I1587" s="869">
        <f t="shared" si="221"/>
        <v>0</v>
      </c>
      <c r="J1587" s="389">
        <f t="shared" si="222"/>
        <v>0</v>
      </c>
      <c r="L1587" s="721">
        <v>45</v>
      </c>
      <c r="M1587" s="581"/>
      <c r="N1587" s="877" t="s">
        <v>1738</v>
      </c>
      <c r="O1587" s="882" t="s">
        <v>4699</v>
      </c>
      <c r="P1587" s="871">
        <f t="shared" si="223"/>
        <v>0</v>
      </c>
      <c r="Q1587" s="871">
        <f t="shared" si="224"/>
        <v>45</v>
      </c>
      <c r="R1587" s="869">
        <f t="shared" si="225"/>
        <v>4.0999999999999996</v>
      </c>
      <c r="S1587" s="869">
        <f>(1/9)*cnst_fish!$C$7*(1/cnst_fish!$C$8)^(R1587-1)</f>
        <v>177.54076320174144</v>
      </c>
      <c r="T1587" s="682">
        <f t="shared" si="226"/>
        <v>685.18520083350097</v>
      </c>
      <c r="W1587" s="818"/>
      <c r="X1587" s="818"/>
      <c r="Y1587" s="819"/>
      <c r="Z1587" s="820"/>
      <c r="AA1587" s="820"/>
      <c r="AB1587" s="821"/>
      <c r="AC1587" s="821"/>
      <c r="AD1587" s="253"/>
      <c r="AE1587" s="253"/>
    </row>
    <row r="1588" spans="1:31" ht="12.75" customHeight="1">
      <c r="A1588" t="s">
        <v>2454</v>
      </c>
      <c r="B1588" t="s">
        <v>4934</v>
      </c>
      <c r="C1588">
        <v>3312</v>
      </c>
      <c r="D1588" s="581"/>
      <c r="E1588" s="581"/>
      <c r="F1588" s="2">
        <f>(1/S1588)*cnst_fish!$C$6</f>
        <v>2.8780003842373291E-2</v>
      </c>
      <c r="G1588" s="2">
        <f t="shared" ref="G1588:H1607" si="229">G$7</f>
        <v>1</v>
      </c>
      <c r="H1588" s="2">
        <f t="shared" si="229"/>
        <v>0.36449057933102513</v>
      </c>
      <c r="I1588" s="2">
        <f t="shared" si="221"/>
        <v>0</v>
      </c>
      <c r="J1588" s="389">
        <f t="shared" si="222"/>
        <v>0</v>
      </c>
      <c r="L1588" s="721">
        <v>2840</v>
      </c>
      <c r="M1588" s="581"/>
      <c r="N1588" s="585" t="s">
        <v>1738</v>
      </c>
      <c r="O1588" s="586" t="s">
        <v>4699</v>
      </c>
      <c r="P1588" s="233">
        <f t="shared" si="223"/>
        <v>0</v>
      </c>
      <c r="Q1588" s="233">
        <f t="shared" si="224"/>
        <v>2840</v>
      </c>
      <c r="R1588" s="2">
        <f t="shared" si="225"/>
        <v>4.0199999999999996</v>
      </c>
      <c r="S1588" s="2">
        <f>(1/9)*cnst_fish!$C$7*(1/cnst_fish!$C$8)^(R1588-1)</f>
        <v>147.67197472512677</v>
      </c>
      <c r="T1588" s="682">
        <f t="shared" si="226"/>
        <v>35967.793853315532</v>
      </c>
      <c r="W1588" s="818"/>
      <c r="X1588" s="818"/>
      <c r="Y1588" s="819"/>
      <c r="Z1588" s="820"/>
      <c r="AA1588" s="820"/>
      <c r="AB1588" s="821"/>
      <c r="AC1588" s="821"/>
      <c r="AD1588" s="253"/>
      <c r="AE1588" s="253"/>
    </row>
    <row r="1589" spans="1:31" ht="12.75" customHeight="1">
      <c r="A1589" t="s">
        <v>5451</v>
      </c>
      <c r="B1589" t="s">
        <v>4935</v>
      </c>
      <c r="C1589">
        <v>3313</v>
      </c>
      <c r="D1589" s="581"/>
      <c r="E1589" s="581"/>
      <c r="F1589" s="2">
        <f>(1/S1589)*cnst_fish!$C$6</f>
        <v>3.2291695426024204E-2</v>
      </c>
      <c r="G1589" s="2">
        <f t="shared" si="229"/>
        <v>1</v>
      </c>
      <c r="H1589" s="2">
        <f t="shared" si="229"/>
        <v>0.36449057933102513</v>
      </c>
      <c r="I1589" s="2">
        <f t="shared" si="221"/>
        <v>0</v>
      </c>
      <c r="J1589" s="389">
        <f t="shared" si="222"/>
        <v>0</v>
      </c>
      <c r="L1589" s="721">
        <v>0</v>
      </c>
      <c r="M1589" s="581"/>
      <c r="N1589" s="585" t="s">
        <v>1738</v>
      </c>
      <c r="O1589" s="586" t="s">
        <v>4699</v>
      </c>
      <c r="P1589" s="233">
        <f t="shared" si="223"/>
        <v>0</v>
      </c>
      <c r="Q1589" s="233">
        <f t="shared" si="224"/>
        <v>0</v>
      </c>
      <c r="R1589" s="2">
        <f t="shared" si="225"/>
        <v>3.97</v>
      </c>
      <c r="S1589" s="2">
        <f>(1/9)*cnst_fish!$C$7*(1/cnst_fish!$C$8)^(R1589-1)</f>
        <v>131.61278600983218</v>
      </c>
      <c r="T1589" s="682">
        <f t="shared" si="226"/>
        <v>0</v>
      </c>
      <c r="W1589" s="822"/>
      <c r="X1589" s="822"/>
      <c r="Y1589" s="819"/>
      <c r="Z1589" s="820"/>
      <c r="AA1589" s="820"/>
      <c r="AB1589" s="821"/>
      <c r="AC1589" s="821"/>
      <c r="AD1589" s="253"/>
      <c r="AE1589" s="253"/>
    </row>
    <row r="1590" spans="1:31" ht="12.75" customHeight="1">
      <c r="A1590" t="s">
        <v>4642</v>
      </c>
      <c r="B1590" t="s">
        <v>3239</v>
      </c>
      <c r="C1590">
        <v>3096</v>
      </c>
      <c r="D1590" s="581"/>
      <c r="E1590" s="581">
        <v>8487</v>
      </c>
      <c r="F1590" s="2">
        <f>(1/S1590)*cnst_fish!$C$6</f>
        <v>6.0129950673834844E-2</v>
      </c>
      <c r="G1590" s="2">
        <f t="shared" si="229"/>
        <v>1</v>
      </c>
      <c r="H1590" s="2">
        <f t="shared" si="229"/>
        <v>0.36449057933102513</v>
      </c>
      <c r="I1590" s="2">
        <f t="shared" si="221"/>
        <v>0</v>
      </c>
      <c r="J1590" s="389">
        <f t="shared" si="222"/>
        <v>51445.768907448932</v>
      </c>
      <c r="L1590" s="721"/>
      <c r="M1590" s="581">
        <v>9297</v>
      </c>
      <c r="N1590" s="585" t="s">
        <v>1738</v>
      </c>
      <c r="O1590" s="586" t="s">
        <v>4685</v>
      </c>
      <c r="P1590" s="233">
        <f t="shared" si="223"/>
        <v>8487</v>
      </c>
      <c r="Q1590" s="233">
        <f t="shared" si="224"/>
        <v>9297</v>
      </c>
      <c r="R1590" s="2">
        <f t="shared" si="225"/>
        <v>3.7</v>
      </c>
      <c r="S1590" s="2">
        <f>(1/9)*cnst_fish!$C$7*(1/cnst_fish!$C$8)^(R1590-1)</f>
        <v>70.680250896153822</v>
      </c>
      <c r="T1590" s="682">
        <f t="shared" si="226"/>
        <v>56355.757456410116</v>
      </c>
      <c r="W1590" s="818"/>
      <c r="X1590" s="818"/>
      <c r="Y1590" s="819"/>
      <c r="Z1590" s="820"/>
      <c r="AA1590" s="820"/>
      <c r="AB1590" s="821"/>
      <c r="AC1590" s="821"/>
      <c r="AD1590" s="253"/>
      <c r="AE1590" s="253"/>
    </row>
    <row r="1591" spans="1:31" ht="12.75" customHeight="1">
      <c r="A1591" t="s">
        <v>4016</v>
      </c>
      <c r="B1591" t="s">
        <v>3240</v>
      </c>
      <c r="C1591">
        <v>2298</v>
      </c>
      <c r="D1591" s="581"/>
      <c r="E1591" s="581"/>
      <c r="F1591" s="2">
        <f>(1/S1591)*cnst_fish!$C$6</f>
        <v>1.3461419163458574E-2</v>
      </c>
      <c r="G1591" s="2">
        <f t="shared" si="229"/>
        <v>1</v>
      </c>
      <c r="H1591" s="2">
        <f t="shared" si="229"/>
        <v>0.36449057933102513</v>
      </c>
      <c r="I1591" s="2">
        <f t="shared" si="221"/>
        <v>0</v>
      </c>
      <c r="J1591" s="389">
        <f t="shared" si="222"/>
        <v>0</v>
      </c>
      <c r="L1591" s="721">
        <v>4482.71</v>
      </c>
      <c r="M1591" s="581">
        <v>23170.15</v>
      </c>
      <c r="N1591" s="585" t="s">
        <v>1738</v>
      </c>
      <c r="O1591" s="586" t="s">
        <v>4685</v>
      </c>
      <c r="P1591" s="233">
        <f t="shared" si="223"/>
        <v>0</v>
      </c>
      <c r="Q1591" s="233">
        <f t="shared" si="224"/>
        <v>27652.86</v>
      </c>
      <c r="R1591" s="2">
        <f t="shared" si="225"/>
        <v>4.3499999999999996</v>
      </c>
      <c r="S1591" s="2">
        <f>(1/9)*cnst_fish!$C$7*(1/cnst_fish!$C$8)^(R1591-1)</f>
        <v>315.71708364425297</v>
      </c>
      <c r="T1591" s="682">
        <f t="shared" si="226"/>
        <v>748747.72408246831</v>
      </c>
      <c r="W1591" s="818"/>
      <c r="X1591" s="818"/>
      <c r="Y1591" s="819"/>
      <c r="Z1591" s="820"/>
      <c r="AA1591" s="820"/>
      <c r="AB1591" s="821"/>
      <c r="AC1591" s="821"/>
      <c r="AD1591" s="253"/>
      <c r="AE1591" s="253"/>
    </row>
    <row r="1592" spans="1:31" ht="12.75" customHeight="1">
      <c r="A1592" t="s">
        <v>1976</v>
      </c>
      <c r="B1592" t="s">
        <v>3486</v>
      </c>
      <c r="C1592">
        <v>14264</v>
      </c>
      <c r="D1592" s="581"/>
      <c r="E1592" s="581"/>
      <c r="F1592" s="2">
        <f>(1/S1592)*cnst_fish!$C$6</f>
        <v>9.5299549485983348E-2</v>
      </c>
      <c r="G1592" s="2">
        <f t="shared" si="229"/>
        <v>1</v>
      </c>
      <c r="H1592" s="2">
        <f t="shared" si="229"/>
        <v>0.36449057933102513</v>
      </c>
      <c r="I1592" s="2">
        <f t="shared" si="221"/>
        <v>0</v>
      </c>
      <c r="J1592" s="389">
        <f t="shared" si="222"/>
        <v>0</v>
      </c>
      <c r="L1592" s="721">
        <v>0</v>
      </c>
      <c r="M1592" s="581"/>
      <c r="N1592" s="585" t="s">
        <v>1738</v>
      </c>
      <c r="O1592" s="586" t="s">
        <v>4685</v>
      </c>
      <c r="P1592" s="233">
        <f t="shared" si="223"/>
        <v>0</v>
      </c>
      <c r="Q1592" s="233">
        <f t="shared" si="224"/>
        <v>0</v>
      </c>
      <c r="R1592" s="2">
        <f t="shared" si="225"/>
        <v>3.5</v>
      </c>
      <c r="S1592" s="2">
        <f>(1/9)*cnst_fish!$C$7*(1/cnst_fish!$C$8)^(R1592-1)</f>
        <v>44.596223412631026</v>
      </c>
      <c r="T1592" s="682">
        <f t="shared" si="226"/>
        <v>0</v>
      </c>
      <c r="W1592" s="822"/>
      <c r="X1592" s="822"/>
      <c r="Y1592" s="819"/>
      <c r="Z1592" s="820"/>
      <c r="AA1592" s="820"/>
      <c r="AB1592" s="821"/>
      <c r="AC1592" s="821"/>
      <c r="AD1592" s="253"/>
      <c r="AE1592" s="253"/>
    </row>
    <row r="1593" spans="1:31" ht="12.75" customHeight="1">
      <c r="A1593" t="s">
        <v>5477</v>
      </c>
      <c r="B1593" t="s">
        <v>2671</v>
      </c>
      <c r="C1593">
        <v>3063</v>
      </c>
      <c r="D1593" s="581"/>
      <c r="E1593" s="581"/>
      <c r="F1593" s="2">
        <f>(1/S1593)*cnst_fish!$C$6</f>
        <v>0.11196720767792057</v>
      </c>
      <c r="G1593" s="2">
        <f t="shared" si="229"/>
        <v>1</v>
      </c>
      <c r="H1593" s="2">
        <f t="shared" si="229"/>
        <v>0.36449057933102513</v>
      </c>
      <c r="I1593" s="2">
        <f t="shared" si="221"/>
        <v>0</v>
      </c>
      <c r="J1593" s="389">
        <f t="shared" si="222"/>
        <v>0</v>
      </c>
      <c r="L1593" s="721">
        <v>55912.979999999996</v>
      </c>
      <c r="M1593" s="581"/>
      <c r="N1593" s="585" t="s">
        <v>1738</v>
      </c>
      <c r="O1593" s="586" t="s">
        <v>4681</v>
      </c>
      <c r="P1593" s="233">
        <f t="shared" si="223"/>
        <v>0</v>
      </c>
      <c r="Q1593" s="233">
        <f t="shared" si="224"/>
        <v>55912.979999999996</v>
      </c>
      <c r="R1593" s="2">
        <f t="shared" si="225"/>
        <v>3.43</v>
      </c>
      <c r="S1593" s="2">
        <f>(1/9)*cnst_fish!$C$7*(1/cnst_fish!$C$8)^(R1593-1)</f>
        <v>37.957542106661656</v>
      </c>
      <c r="T1593" s="682">
        <f t="shared" si="226"/>
        <v>182015.38553098004</v>
      </c>
      <c r="W1593" s="818"/>
      <c r="X1593" s="818"/>
      <c r="Y1593" s="819"/>
      <c r="Z1593" s="820"/>
      <c r="AA1593" s="820"/>
      <c r="AB1593" s="821"/>
      <c r="AC1593" s="821"/>
      <c r="AD1593" s="253"/>
      <c r="AE1593" s="253"/>
    </row>
    <row r="1594" spans="1:31" ht="12.75" customHeight="1">
      <c r="A1594" t="s">
        <v>5506</v>
      </c>
      <c r="B1594" t="s">
        <v>2671</v>
      </c>
      <c r="C1594">
        <v>3064</v>
      </c>
      <c r="D1594" s="581"/>
      <c r="E1594" s="581"/>
      <c r="F1594" s="2">
        <f>(1/S1594)*cnst_fish!$C$6</f>
        <v>0.11196720767792057</v>
      </c>
      <c r="G1594" s="2">
        <f t="shared" si="229"/>
        <v>1</v>
      </c>
      <c r="H1594" s="2">
        <f t="shared" si="229"/>
        <v>0.36449057933102513</v>
      </c>
      <c r="I1594" s="2">
        <f t="shared" si="221"/>
        <v>0</v>
      </c>
      <c r="J1594" s="389">
        <f t="shared" si="222"/>
        <v>0</v>
      </c>
      <c r="L1594" s="721">
        <v>36552</v>
      </c>
      <c r="M1594" s="581"/>
      <c r="N1594" s="585" t="s">
        <v>1738</v>
      </c>
      <c r="O1594" s="586" t="s">
        <v>4681</v>
      </c>
      <c r="P1594" s="233">
        <f t="shared" si="223"/>
        <v>0</v>
      </c>
      <c r="Q1594" s="233">
        <f t="shared" si="224"/>
        <v>36552</v>
      </c>
      <c r="R1594" s="2">
        <f t="shared" si="225"/>
        <v>3.43</v>
      </c>
      <c r="S1594" s="2">
        <f>(1/9)*cnst_fish!$C$7*(1/cnst_fish!$C$8)^(R1594-1)</f>
        <v>37.957542106661656</v>
      </c>
      <c r="T1594" s="682">
        <f t="shared" si="226"/>
        <v>118988.94267356853</v>
      </c>
      <c r="W1594" s="818"/>
      <c r="X1594" s="818"/>
      <c r="Y1594" s="819"/>
      <c r="Z1594" s="820"/>
      <c r="AA1594" s="820"/>
      <c r="AB1594" s="821"/>
      <c r="AC1594" s="821"/>
      <c r="AD1594" s="253"/>
      <c r="AE1594" s="253"/>
    </row>
    <row r="1595" spans="1:31" ht="12.75" customHeight="1">
      <c r="A1595" t="s">
        <v>3179</v>
      </c>
      <c r="B1595" t="s">
        <v>2163</v>
      </c>
      <c r="C1595">
        <v>2273</v>
      </c>
      <c r="D1595" s="581"/>
      <c r="E1595" s="581"/>
      <c r="F1595" s="2">
        <f>(1/S1595)*cnst_fish!$C$6</f>
        <v>0.11196720767792057</v>
      </c>
      <c r="G1595" s="2">
        <f t="shared" si="229"/>
        <v>1</v>
      </c>
      <c r="H1595" s="2">
        <f t="shared" si="229"/>
        <v>0.36449057933102513</v>
      </c>
      <c r="I1595" s="2">
        <f t="shared" si="221"/>
        <v>0</v>
      </c>
      <c r="J1595" s="389">
        <f t="shared" si="222"/>
        <v>0</v>
      </c>
      <c r="L1595" s="721">
        <v>10044</v>
      </c>
      <c r="M1595" s="581"/>
      <c r="N1595" s="585" t="s">
        <v>1738</v>
      </c>
      <c r="O1595" s="586" t="s">
        <v>4681</v>
      </c>
      <c r="P1595" s="233">
        <f t="shared" si="223"/>
        <v>0</v>
      </c>
      <c r="Q1595" s="233">
        <f t="shared" si="224"/>
        <v>10044</v>
      </c>
      <c r="R1595" s="2">
        <f t="shared" si="225"/>
        <v>3.43</v>
      </c>
      <c r="S1595" s="2">
        <f>(1/9)*cnst_fish!$C$7*(1/cnst_fish!$C$8)^(R1595-1)</f>
        <v>37.957542106661656</v>
      </c>
      <c r="T1595" s="682">
        <f t="shared" si="226"/>
        <v>32696.567635514395</v>
      </c>
      <c r="W1595" s="818"/>
      <c r="X1595" s="818"/>
      <c r="Y1595" s="819"/>
      <c r="Z1595" s="820"/>
      <c r="AA1595" s="820"/>
      <c r="AB1595" s="821"/>
      <c r="AC1595" s="821"/>
      <c r="AD1595" s="253"/>
      <c r="AE1595" s="253"/>
    </row>
    <row r="1596" spans="1:31" ht="12.75" customHeight="1">
      <c r="A1596" t="s">
        <v>1840</v>
      </c>
      <c r="B1596" t="s">
        <v>1841</v>
      </c>
      <c r="C1596">
        <v>3233</v>
      </c>
      <c r="D1596" s="581"/>
      <c r="E1596" s="581"/>
      <c r="F1596" s="2">
        <f>(1/S1596)*cnst_fish!$C$6</f>
        <v>1.4095836303336913E-2</v>
      </c>
      <c r="G1596" s="2">
        <f t="shared" si="229"/>
        <v>1</v>
      </c>
      <c r="H1596" s="2">
        <f t="shared" si="229"/>
        <v>0.36449057933102513</v>
      </c>
      <c r="I1596" s="2">
        <f t="shared" si="221"/>
        <v>0</v>
      </c>
      <c r="J1596" s="389">
        <f t="shared" si="222"/>
        <v>0</v>
      </c>
      <c r="L1596" s="721">
        <v>8312</v>
      </c>
      <c r="M1596" s="581"/>
      <c r="N1596" s="585" t="s">
        <v>1738</v>
      </c>
      <c r="O1596" s="586" t="s">
        <v>4681</v>
      </c>
      <c r="P1596" s="233">
        <f t="shared" si="223"/>
        <v>0</v>
      </c>
      <c r="Q1596" s="233">
        <f t="shared" si="224"/>
        <v>8312</v>
      </c>
      <c r="R1596" s="2">
        <f t="shared" si="225"/>
        <v>4.33</v>
      </c>
      <c r="S1596" s="2">
        <f>(1/9)*cnst_fish!$C$7*(1/cnst_fish!$C$8)^(R1596-1)</f>
        <v>301.50747416057146</v>
      </c>
      <c r="T1596" s="682">
        <f t="shared" si="226"/>
        <v>214931.95793443426</v>
      </c>
      <c r="W1596" s="818"/>
      <c r="X1596" s="818"/>
      <c r="Y1596" s="819"/>
      <c r="Z1596" s="820"/>
      <c r="AA1596" s="820"/>
      <c r="AB1596" s="821"/>
      <c r="AC1596" s="821"/>
      <c r="AD1596" s="253"/>
      <c r="AE1596" s="253"/>
    </row>
    <row r="1597" spans="1:31" ht="12.75" customHeight="1">
      <c r="A1597" t="s">
        <v>4225</v>
      </c>
      <c r="B1597" t="s">
        <v>8717</v>
      </c>
      <c r="C1597">
        <v>3532</v>
      </c>
      <c r="D1597" s="581"/>
      <c r="E1597" s="581"/>
      <c r="F1597" s="2">
        <f>(1/S1597)*cnst_fish!$C$6</f>
        <v>2.3938164528281742</v>
      </c>
      <c r="G1597" s="2">
        <f t="shared" si="229"/>
        <v>1</v>
      </c>
      <c r="H1597" s="2">
        <f t="shared" si="229"/>
        <v>0.36449057933102513</v>
      </c>
      <c r="I1597" s="2">
        <f t="shared" si="221"/>
        <v>0</v>
      </c>
      <c r="J1597" s="389">
        <f t="shared" si="222"/>
        <v>0</v>
      </c>
      <c r="L1597" s="721"/>
      <c r="M1597" s="581"/>
      <c r="N1597" s="585" t="s">
        <v>2314</v>
      </c>
      <c r="O1597" s="586" t="s">
        <v>4691</v>
      </c>
      <c r="P1597" s="233">
        <f t="shared" si="223"/>
        <v>0</v>
      </c>
      <c r="Q1597" s="233">
        <f t="shared" si="224"/>
        <v>0</v>
      </c>
      <c r="R1597" s="2">
        <f t="shared" si="225"/>
        <v>2.1</v>
      </c>
      <c r="S1597" s="2">
        <f>(1/9)*cnst_fish!$C$7*(1/cnst_fish!$C$8)^(R1597-1)</f>
        <v>1.7754076320174161</v>
      </c>
      <c r="T1597" s="682">
        <f t="shared" si="226"/>
        <v>0</v>
      </c>
      <c r="W1597" s="818"/>
      <c r="X1597" s="818"/>
      <c r="Y1597" s="819"/>
      <c r="Z1597" s="820"/>
      <c r="AA1597" s="820"/>
      <c r="AB1597" s="821"/>
      <c r="AC1597" s="821"/>
      <c r="AD1597" s="253"/>
      <c r="AE1597" s="253"/>
    </row>
    <row r="1598" spans="1:31" ht="12.75" customHeight="1">
      <c r="A1598" t="s">
        <v>5026</v>
      </c>
      <c r="B1598" t="s">
        <v>961</v>
      </c>
      <c r="C1598">
        <v>3531</v>
      </c>
      <c r="D1598" s="581"/>
      <c r="E1598" s="581"/>
      <c r="F1598" s="2">
        <f>(1/S1598)*cnst_fish!$C$6</f>
        <v>2.3938164528281742</v>
      </c>
      <c r="G1598" s="2">
        <f t="shared" si="229"/>
        <v>1</v>
      </c>
      <c r="H1598" s="2">
        <f t="shared" si="229"/>
        <v>0.36449057933102513</v>
      </c>
      <c r="I1598" s="2">
        <f t="shared" si="221"/>
        <v>0</v>
      </c>
      <c r="J1598" s="389">
        <f t="shared" si="222"/>
        <v>0</v>
      </c>
      <c r="L1598" s="721">
        <v>60</v>
      </c>
      <c r="M1598" s="581"/>
      <c r="N1598" s="585" t="s">
        <v>2314</v>
      </c>
      <c r="O1598" s="586" t="s">
        <v>4691</v>
      </c>
      <c r="P1598" s="233">
        <f t="shared" si="223"/>
        <v>0</v>
      </c>
      <c r="Q1598" s="233">
        <f t="shared" si="224"/>
        <v>60</v>
      </c>
      <c r="R1598" s="2">
        <f t="shared" si="225"/>
        <v>2.1</v>
      </c>
      <c r="S1598" s="2">
        <f>(1/9)*cnst_fish!$C$7*(1/cnst_fish!$C$8)^(R1598-1)</f>
        <v>1.7754076320174161</v>
      </c>
      <c r="T1598" s="682">
        <f t="shared" si="226"/>
        <v>9.1358026777800223</v>
      </c>
      <c r="W1598" s="818"/>
      <c r="X1598" s="818"/>
      <c r="Y1598" s="819"/>
      <c r="Z1598" s="820"/>
      <c r="AA1598" s="820"/>
      <c r="AB1598" s="821"/>
      <c r="AC1598" s="821"/>
      <c r="AD1598" s="253"/>
      <c r="AE1598" s="253"/>
    </row>
    <row r="1599" spans="1:31" ht="12.75" customHeight="1">
      <c r="A1599" t="s">
        <v>1488</v>
      </c>
      <c r="B1599" t="s">
        <v>289</v>
      </c>
      <c r="C1599">
        <v>2691</v>
      </c>
      <c r="D1599" s="581"/>
      <c r="E1599" s="581"/>
      <c r="F1599" s="2">
        <f>(1/S1599)*cnst_fish!$C$6</f>
        <v>3.0136363636363641</v>
      </c>
      <c r="G1599" s="2">
        <f t="shared" si="229"/>
        <v>1</v>
      </c>
      <c r="H1599" s="2">
        <f t="shared" si="229"/>
        <v>0.36449057933102513</v>
      </c>
      <c r="I1599" s="2">
        <f t="shared" si="221"/>
        <v>0</v>
      </c>
      <c r="J1599" s="389">
        <f t="shared" si="222"/>
        <v>0</v>
      </c>
      <c r="L1599" s="721">
        <v>6533.29</v>
      </c>
      <c r="M1599" s="581"/>
      <c r="N1599" s="585" t="s">
        <v>2314</v>
      </c>
      <c r="O1599" s="586" t="s">
        <v>4691</v>
      </c>
      <c r="P1599" s="233">
        <f t="shared" si="223"/>
        <v>0</v>
      </c>
      <c r="Q1599" s="233">
        <f t="shared" si="224"/>
        <v>6533.29</v>
      </c>
      <c r="R1599" s="2">
        <f t="shared" si="225"/>
        <v>2</v>
      </c>
      <c r="S1599" s="2">
        <f>(1/9)*cnst_fish!$C$7*(1/cnst_fish!$C$8)^(R1599-1)</f>
        <v>1.4102564102564099</v>
      </c>
      <c r="T1599" s="682">
        <f t="shared" si="226"/>
        <v>790.18248046496296</v>
      </c>
      <c r="W1599" s="818"/>
      <c r="X1599" s="818"/>
      <c r="Y1599" s="819"/>
      <c r="Z1599" s="820"/>
      <c r="AA1599" s="820"/>
      <c r="AB1599" s="821"/>
      <c r="AC1599" s="821"/>
      <c r="AD1599" s="253"/>
      <c r="AE1599" s="253"/>
    </row>
    <row r="1600" spans="1:31" ht="12.75" customHeight="1">
      <c r="A1600" t="s">
        <v>6741</v>
      </c>
      <c r="B1600" t="s">
        <v>8718</v>
      </c>
      <c r="C1600">
        <v>2174</v>
      </c>
      <c r="D1600" s="581"/>
      <c r="E1600" s="581"/>
      <c r="F1600" s="2">
        <f>(1/S1600)*cnst_fish!$C$6</f>
        <v>0.95299549485983426</v>
      </c>
      <c r="G1600" s="2">
        <f t="shared" si="229"/>
        <v>1</v>
      </c>
      <c r="H1600" s="2">
        <f t="shared" si="229"/>
        <v>0.36449057933102513</v>
      </c>
      <c r="I1600" s="2">
        <f t="shared" si="221"/>
        <v>0</v>
      </c>
      <c r="J1600" s="389">
        <f t="shared" si="222"/>
        <v>0</v>
      </c>
      <c r="L1600" s="721"/>
      <c r="M1600" s="581"/>
      <c r="N1600" s="585" t="s">
        <v>1738</v>
      </c>
      <c r="O1600" s="586" t="s">
        <v>4685</v>
      </c>
      <c r="P1600" s="233">
        <f t="shared" si="223"/>
        <v>0</v>
      </c>
      <c r="Q1600" s="233">
        <f t="shared" si="224"/>
        <v>0</v>
      </c>
      <c r="R1600" s="2">
        <f t="shared" si="225"/>
        <v>2.5</v>
      </c>
      <c r="S1600" s="2">
        <f>(1/9)*cnst_fish!$C$7*(1/cnst_fish!$C$8)^(R1600-1)</f>
        <v>4.4596223412630991</v>
      </c>
      <c r="T1600" s="682">
        <f t="shared" si="226"/>
        <v>0</v>
      </c>
      <c r="W1600" s="818"/>
      <c r="X1600" s="818"/>
      <c r="Y1600" s="819"/>
      <c r="Z1600" s="820"/>
      <c r="AA1600" s="820"/>
      <c r="AB1600" s="821"/>
      <c r="AC1600" s="821"/>
      <c r="AD1600" s="253"/>
      <c r="AE1600" s="253"/>
    </row>
    <row r="1601" spans="1:31" ht="12.75" customHeight="1">
      <c r="A1601" t="s">
        <v>3993</v>
      </c>
      <c r="B1601" t="s">
        <v>530</v>
      </c>
      <c r="C1601">
        <v>14293</v>
      </c>
      <c r="D1601" s="581"/>
      <c r="E1601" s="581"/>
      <c r="F1601" s="2">
        <f>(1/S1601)*cnst_fish!$C$6</f>
        <v>1.2855555498429807E-2</v>
      </c>
      <c r="G1601" s="2">
        <f t="shared" si="229"/>
        <v>1</v>
      </c>
      <c r="H1601" s="2">
        <f t="shared" si="229"/>
        <v>0.36449057933102513</v>
      </c>
      <c r="I1601" s="2">
        <f t="shared" si="221"/>
        <v>0</v>
      </c>
      <c r="J1601" s="389">
        <f t="shared" si="222"/>
        <v>0</v>
      </c>
      <c r="L1601" s="721">
        <v>61</v>
      </c>
      <c r="M1601" s="581"/>
      <c r="N1601" s="585" t="s">
        <v>1738</v>
      </c>
      <c r="O1601" s="586" t="s">
        <v>4685</v>
      </c>
      <c r="P1601" s="233">
        <f t="shared" si="223"/>
        <v>0</v>
      </c>
      <c r="Q1601" s="233">
        <f t="shared" si="224"/>
        <v>61</v>
      </c>
      <c r="R1601" s="2">
        <f t="shared" si="225"/>
        <v>4.37</v>
      </c>
      <c r="S1601" s="2">
        <f>(1/9)*cnst_fish!$C$7*(1/cnst_fish!$C$8)^(R1601-1)</f>
        <v>330.59637139127125</v>
      </c>
      <c r="T1601" s="682">
        <f t="shared" si="226"/>
        <v>1729.5188326874099</v>
      </c>
      <c r="W1601" s="818"/>
      <c r="X1601" s="818"/>
      <c r="Y1601" s="819"/>
      <c r="Z1601" s="820"/>
      <c r="AA1601" s="820"/>
      <c r="AB1601" s="821"/>
      <c r="AC1601" s="821"/>
      <c r="AD1601" s="253"/>
      <c r="AE1601" s="253"/>
    </row>
    <row r="1602" spans="1:31" ht="12.75" customHeight="1">
      <c r="A1602" t="s">
        <v>3048</v>
      </c>
      <c r="B1602" t="s">
        <v>531</v>
      </c>
      <c r="C1602">
        <v>2000</v>
      </c>
      <c r="D1602" s="581"/>
      <c r="E1602" s="581"/>
      <c r="F1602" s="2">
        <f>(1/S1602)*cnst_fish!$C$6</f>
        <v>2.8780003842373291E-2</v>
      </c>
      <c r="G1602" s="2">
        <f t="shared" si="229"/>
        <v>1</v>
      </c>
      <c r="H1602" s="2">
        <f t="shared" si="229"/>
        <v>0.36449057933102513</v>
      </c>
      <c r="I1602" s="2">
        <f t="shared" si="221"/>
        <v>0</v>
      </c>
      <c r="J1602" s="389">
        <f t="shared" si="222"/>
        <v>0</v>
      </c>
      <c r="L1602" s="721">
        <v>17</v>
      </c>
      <c r="M1602" s="581">
        <v>80</v>
      </c>
      <c r="N1602" s="585" t="s">
        <v>1738</v>
      </c>
      <c r="O1602" s="586" t="s">
        <v>4685</v>
      </c>
      <c r="P1602" s="233">
        <f t="shared" si="223"/>
        <v>0</v>
      </c>
      <c r="Q1602" s="233">
        <f t="shared" si="224"/>
        <v>97</v>
      </c>
      <c r="R1602" s="2">
        <f t="shared" si="225"/>
        <v>4.0199999999999996</v>
      </c>
      <c r="S1602" s="2">
        <f>(1/9)*cnst_fish!$C$7*(1/cnst_fish!$C$8)^(R1602-1)</f>
        <v>147.67197472512677</v>
      </c>
      <c r="T1602" s="682">
        <f t="shared" si="226"/>
        <v>1228.4774661167628</v>
      </c>
      <c r="W1602" s="818"/>
      <c r="X1602" s="818"/>
      <c r="Y1602" s="819"/>
      <c r="Z1602" s="820"/>
      <c r="AA1602" s="820"/>
      <c r="AB1602" s="821"/>
      <c r="AC1602" s="821"/>
      <c r="AD1602" s="253"/>
      <c r="AE1602" s="253"/>
    </row>
    <row r="1603" spans="1:31" ht="12.75" customHeight="1">
      <c r="A1603" t="s">
        <v>2474</v>
      </c>
      <c r="B1603" t="s">
        <v>2164</v>
      </c>
      <c r="C1603">
        <v>3191</v>
      </c>
      <c r="D1603" s="581"/>
      <c r="E1603" s="581"/>
      <c r="F1603" s="2">
        <f>(1/S1603)*cnst_fish!$C$6</f>
        <v>9.5299549485983424E-3</v>
      </c>
      <c r="G1603" s="2">
        <f t="shared" si="229"/>
        <v>1</v>
      </c>
      <c r="H1603" s="2">
        <f t="shared" si="229"/>
        <v>0.36449057933102513</v>
      </c>
      <c r="I1603" s="2">
        <f t="shared" si="221"/>
        <v>0</v>
      </c>
      <c r="J1603" s="389">
        <f t="shared" si="222"/>
        <v>0</v>
      </c>
      <c r="L1603" s="721">
        <v>0</v>
      </c>
      <c r="M1603" s="581"/>
      <c r="N1603" s="585" t="s">
        <v>1738</v>
      </c>
      <c r="O1603" s="586" t="s">
        <v>4681</v>
      </c>
      <c r="P1603" s="233">
        <f t="shared" si="223"/>
        <v>0</v>
      </c>
      <c r="Q1603" s="233">
        <f t="shared" si="224"/>
        <v>0</v>
      </c>
      <c r="R1603" s="2">
        <f t="shared" si="225"/>
        <v>4.5</v>
      </c>
      <c r="S1603" s="2">
        <f>(1/9)*cnst_fish!$C$7*(1/cnst_fish!$C$8)^(R1603-1)</f>
        <v>445.96223412630997</v>
      </c>
      <c r="T1603" s="682">
        <f t="shared" si="226"/>
        <v>0</v>
      </c>
      <c r="W1603" s="818"/>
      <c r="X1603" s="818"/>
      <c r="Y1603" s="819"/>
      <c r="Z1603" s="820"/>
      <c r="AA1603" s="820"/>
      <c r="AB1603" s="821"/>
      <c r="AC1603" s="821"/>
      <c r="AD1603" s="253"/>
      <c r="AE1603" s="253"/>
    </row>
    <row r="1604" spans="1:31" ht="12.75" customHeight="1">
      <c r="A1604" t="s">
        <v>1450</v>
      </c>
      <c r="B1604" t="s">
        <v>5419</v>
      </c>
      <c r="C1604">
        <v>3628</v>
      </c>
      <c r="D1604" s="581"/>
      <c r="E1604" s="581"/>
      <c r="F1604" s="2">
        <f>(1/S1604)*cnst_fish!$C$6</f>
        <v>30.136363636363644</v>
      </c>
      <c r="G1604" s="2">
        <f t="shared" si="229"/>
        <v>1</v>
      </c>
      <c r="H1604" s="2">
        <f t="shared" si="229"/>
        <v>0.36449057933102513</v>
      </c>
      <c r="I1604" s="2">
        <f t="shared" si="221"/>
        <v>0</v>
      </c>
      <c r="J1604" s="389">
        <f t="shared" si="222"/>
        <v>0</v>
      </c>
      <c r="L1604" s="721">
        <v>154549.13</v>
      </c>
      <c r="M1604" s="581"/>
      <c r="N1604" s="585" t="s">
        <v>1740</v>
      </c>
      <c r="O1604" s="586" t="s">
        <v>4671</v>
      </c>
      <c r="P1604" s="233">
        <f t="shared" si="223"/>
        <v>0</v>
      </c>
      <c r="Q1604" s="233">
        <f t="shared" si="224"/>
        <v>154549.13</v>
      </c>
      <c r="R1604" s="2">
        <f t="shared" si="225"/>
        <v>1</v>
      </c>
      <c r="S1604" s="2">
        <f>(1/9)*cnst_fish!$C$7*(1/cnst_fish!$C$8)^(R1604-1)</f>
        <v>0.141025641025641</v>
      </c>
      <c r="T1604" s="682">
        <f t="shared" si="226"/>
        <v>1869.226911664751</v>
      </c>
      <c r="W1604" s="818"/>
      <c r="X1604" s="818"/>
      <c r="Y1604" s="819"/>
      <c r="Z1604" s="820"/>
      <c r="AA1604" s="820"/>
      <c r="AB1604" s="821"/>
      <c r="AC1604" s="821"/>
      <c r="AD1604" s="253"/>
      <c r="AE1604" s="253"/>
    </row>
    <row r="1605" spans="1:31" ht="12.75" customHeight="1">
      <c r="A1605" t="s">
        <v>6250</v>
      </c>
      <c r="B1605" t="s">
        <v>6249</v>
      </c>
      <c r="C1605">
        <v>17311</v>
      </c>
      <c r="D1605" s="581"/>
      <c r="E1605" s="581"/>
      <c r="F1605" s="2">
        <f>(1/S1605)*cnst_fish!$C$6</f>
        <v>3.0136363636363641</v>
      </c>
      <c r="G1605" s="2">
        <f t="shared" si="229"/>
        <v>1</v>
      </c>
      <c r="H1605" s="2">
        <f t="shared" si="229"/>
        <v>0.36449057933102513</v>
      </c>
      <c r="I1605" s="2">
        <f t="shared" si="221"/>
        <v>0</v>
      </c>
      <c r="J1605" s="389">
        <f t="shared" si="222"/>
        <v>0</v>
      </c>
      <c r="L1605" s="721">
        <v>0</v>
      </c>
      <c r="M1605" s="581"/>
      <c r="N1605" s="585" t="s">
        <v>1736</v>
      </c>
      <c r="O1605" s="586" t="s">
        <v>4675</v>
      </c>
      <c r="P1605" s="233">
        <f t="shared" si="223"/>
        <v>0</v>
      </c>
      <c r="Q1605" s="233">
        <f t="shared" si="224"/>
        <v>0</v>
      </c>
      <c r="R1605" s="2">
        <f t="shared" si="225"/>
        <v>2</v>
      </c>
      <c r="S1605" s="2">
        <f>(1/9)*cnst_fish!$C$7*(1/cnst_fish!$C$8)^(R1605-1)</f>
        <v>1.4102564102564099</v>
      </c>
      <c r="T1605" s="682">
        <f t="shared" si="226"/>
        <v>0</v>
      </c>
      <c r="W1605" s="818"/>
      <c r="X1605" s="818"/>
      <c r="Y1605" s="819"/>
      <c r="Z1605" s="820"/>
      <c r="AA1605" s="820"/>
      <c r="AB1605" s="821"/>
      <c r="AC1605" s="821"/>
      <c r="AD1605" s="253"/>
      <c r="AE1605" s="253"/>
    </row>
    <row r="1606" spans="1:31" ht="12.75" customHeight="1">
      <c r="A1606" t="s">
        <v>6598</v>
      </c>
      <c r="B1606" t="s">
        <v>6597</v>
      </c>
      <c r="C1606">
        <v>14333</v>
      </c>
      <c r="D1606" s="581"/>
      <c r="E1606" s="581"/>
      <c r="F1606" s="2">
        <f>(1/S1606)*cnst_fish!$C$6</f>
        <v>1.9014759972289439E-2</v>
      </c>
      <c r="G1606" s="2">
        <f t="shared" si="229"/>
        <v>1</v>
      </c>
      <c r="H1606" s="2">
        <f t="shared" si="229"/>
        <v>0.36449057933102513</v>
      </c>
      <c r="I1606" s="2">
        <f t="shared" si="221"/>
        <v>0</v>
      </c>
      <c r="J1606" s="389">
        <f t="shared" si="222"/>
        <v>0</v>
      </c>
      <c r="L1606" s="721"/>
      <c r="M1606" s="581">
        <v>1075</v>
      </c>
      <c r="N1606" s="585" t="s">
        <v>1738</v>
      </c>
      <c r="O1606" s="586" t="s">
        <v>4685</v>
      </c>
      <c r="P1606" s="233">
        <f t="shared" si="223"/>
        <v>0</v>
      </c>
      <c r="Q1606" s="233">
        <f t="shared" si="224"/>
        <v>1075</v>
      </c>
      <c r="R1606" s="2">
        <f t="shared" si="225"/>
        <v>4.2</v>
      </c>
      <c r="S1606" s="2">
        <f>(1/9)*cnst_fish!$C$7*(1/cnst_fish!$C$8)^(R1606-1)</f>
        <v>223.51057842400343</v>
      </c>
      <c r="T1606" s="682">
        <f t="shared" si="226"/>
        <v>20606.485348848437</v>
      </c>
      <c r="W1606" s="818"/>
      <c r="X1606" s="818"/>
      <c r="Y1606" s="819"/>
      <c r="Z1606" s="820"/>
      <c r="AA1606" s="820"/>
      <c r="AB1606" s="821"/>
      <c r="AC1606" s="821"/>
      <c r="AD1606" s="253"/>
      <c r="AE1606" s="253"/>
    </row>
    <row r="1607" spans="1:31" ht="12.75" customHeight="1">
      <c r="A1607" t="s">
        <v>67</v>
      </c>
      <c r="B1607" t="s">
        <v>1842</v>
      </c>
      <c r="C1607">
        <v>2223</v>
      </c>
      <c r="D1607" s="581"/>
      <c r="E1607" s="581"/>
      <c r="F1607" s="2">
        <f>(1/S1607)*cnst_fish!$C$6</f>
        <v>5.6116535073067304E-2</v>
      </c>
      <c r="G1607" s="2">
        <f t="shared" si="229"/>
        <v>1</v>
      </c>
      <c r="H1607" s="2">
        <f t="shared" si="229"/>
        <v>0.36449057933102513</v>
      </c>
      <c r="I1607" s="2">
        <f t="shared" ref="I1607:I1670" si="230">IF($F1607=0,0,D1607/$F1607*$H1607*$G1607)</f>
        <v>0</v>
      </c>
      <c r="J1607" s="389">
        <f t="shared" ref="J1607:J1670" si="231">IF($F1607=0,0,E1607/$F1607*$H1607*$G1607)</f>
        <v>0</v>
      </c>
      <c r="L1607" s="721">
        <v>2812</v>
      </c>
      <c r="M1607" s="581"/>
      <c r="N1607" s="585" t="s">
        <v>1738</v>
      </c>
      <c r="O1607" s="586" t="s">
        <v>4681</v>
      </c>
      <c r="P1607" s="233">
        <f t="shared" ref="P1607:P1670" si="232">D1607+E1607</f>
        <v>0</v>
      </c>
      <c r="Q1607" s="233">
        <f t="shared" ref="Q1607:Q1670" si="233">L1607+M1607</f>
        <v>2812</v>
      </c>
      <c r="R1607" s="2">
        <f t="shared" ref="R1607:R1670" si="234">VLOOKUP(B1607,constant_fish_trophic,3,FALSE)</f>
        <v>3.73</v>
      </c>
      <c r="S1607" s="2">
        <f>(1/9)*cnst_fish!$C$7*(1/cnst_fish!$C$8)^(R1607-1)</f>
        <v>75.735253334266432</v>
      </c>
      <c r="T1607" s="682">
        <f t="shared" ref="T1607:T1670" si="235">IF(F1607=0,0,Q1607/F1607*H1607*G1607)</f>
        <v>18264.625706920353</v>
      </c>
      <c r="W1607" s="818"/>
      <c r="X1607" s="818"/>
      <c r="Y1607" s="819"/>
      <c r="Z1607" s="820"/>
      <c r="AA1607" s="820"/>
      <c r="AB1607" s="821"/>
      <c r="AC1607" s="821"/>
      <c r="AD1607" s="253"/>
      <c r="AE1607" s="253"/>
    </row>
    <row r="1608" spans="1:31" ht="12.75" customHeight="1">
      <c r="A1608" t="s">
        <v>6471</v>
      </c>
      <c r="B1608" t="s">
        <v>6470</v>
      </c>
      <c r="C1608">
        <v>14343</v>
      </c>
      <c r="D1608" s="581"/>
      <c r="E1608" s="581"/>
      <c r="F1608" s="2">
        <f>(1/S1608)*cnst_fish!$C$6</f>
        <v>3.0136363636363641</v>
      </c>
      <c r="G1608" s="2">
        <f t="shared" ref="G1608:H1627" si="236">G$7</f>
        <v>1</v>
      </c>
      <c r="H1608" s="2">
        <f t="shared" si="236"/>
        <v>0.36449057933102513</v>
      </c>
      <c r="I1608" s="2">
        <f t="shared" si="230"/>
        <v>0</v>
      </c>
      <c r="J1608" s="389">
        <f t="shared" si="231"/>
        <v>0</v>
      </c>
      <c r="L1608" s="721">
        <v>2</v>
      </c>
      <c r="M1608" s="581"/>
      <c r="N1608" s="585" t="s">
        <v>1738</v>
      </c>
      <c r="O1608" s="586" t="s">
        <v>4681</v>
      </c>
      <c r="P1608" s="233">
        <f t="shared" si="232"/>
        <v>0</v>
      </c>
      <c r="Q1608" s="233">
        <f t="shared" si="233"/>
        <v>2</v>
      </c>
      <c r="R1608" s="2">
        <f t="shared" si="234"/>
        <v>2</v>
      </c>
      <c r="S1608" s="2">
        <f>(1/9)*cnst_fish!$C$7*(1/cnst_fish!$C$8)^(R1608-1)</f>
        <v>1.4102564102564099</v>
      </c>
      <c r="T1608" s="682">
        <f t="shared" si="235"/>
        <v>0.24189420046101209</v>
      </c>
      <c r="W1608" s="818"/>
      <c r="X1608" s="818"/>
      <c r="Y1608" s="819"/>
      <c r="Z1608" s="820"/>
      <c r="AA1608" s="820"/>
      <c r="AB1608" s="821"/>
      <c r="AC1608" s="821"/>
      <c r="AD1608" s="253"/>
      <c r="AE1608" s="253"/>
    </row>
    <row r="1609" spans="1:31" ht="12.75" customHeight="1">
      <c r="A1609" t="s">
        <v>3349</v>
      </c>
      <c r="B1609" t="s">
        <v>1843</v>
      </c>
      <c r="C1609">
        <v>2224</v>
      </c>
      <c r="D1609" s="581"/>
      <c r="E1609" s="581"/>
      <c r="F1609" s="2">
        <f>(1/S1609)*cnst_fish!$C$6</f>
        <v>1.6561163607618418E-2</v>
      </c>
      <c r="G1609" s="2">
        <f t="shared" si="236"/>
        <v>1</v>
      </c>
      <c r="H1609" s="2">
        <f t="shared" si="236"/>
        <v>0.36449057933102513</v>
      </c>
      <c r="I1609" s="2">
        <f t="shared" si="230"/>
        <v>0</v>
      </c>
      <c r="J1609" s="389">
        <f t="shared" si="231"/>
        <v>0</v>
      </c>
      <c r="L1609" s="721">
        <v>576</v>
      </c>
      <c r="M1609" s="581"/>
      <c r="N1609" s="585" t="s">
        <v>1738</v>
      </c>
      <c r="O1609" s="586" t="s">
        <v>4681</v>
      </c>
      <c r="P1609" s="233">
        <f t="shared" si="232"/>
        <v>0</v>
      </c>
      <c r="Q1609" s="233">
        <f t="shared" si="233"/>
        <v>576</v>
      </c>
      <c r="R1609" s="2">
        <f t="shared" si="234"/>
        <v>4.26</v>
      </c>
      <c r="S1609" s="2">
        <f>(1/9)*cnst_fish!$C$7*(1/cnst_fish!$C$8)^(R1609-1)</f>
        <v>256.62448006038221</v>
      </c>
      <c r="T1609" s="682">
        <f t="shared" si="235"/>
        <v>12677.04242702436</v>
      </c>
      <c r="W1609" s="818"/>
      <c r="X1609" s="818"/>
      <c r="Y1609" s="819"/>
      <c r="Z1609" s="820"/>
      <c r="AA1609" s="820"/>
      <c r="AB1609" s="821"/>
      <c r="AC1609" s="821"/>
      <c r="AD1609" s="253"/>
      <c r="AE1609" s="253"/>
    </row>
    <row r="1610" spans="1:31" ht="12.75" customHeight="1">
      <c r="A1610" t="s">
        <v>2101</v>
      </c>
      <c r="B1610" t="s">
        <v>4009</v>
      </c>
      <c r="C1610">
        <v>2222</v>
      </c>
      <c r="D1610" s="581"/>
      <c r="E1610" s="581"/>
      <c r="F1610" s="2">
        <f>(1/S1610)*cnst_fish!$C$6</f>
        <v>5.7423657091346926E-2</v>
      </c>
      <c r="G1610" s="2">
        <f t="shared" si="236"/>
        <v>1</v>
      </c>
      <c r="H1610" s="2">
        <f t="shared" si="236"/>
        <v>0.36449057933102513</v>
      </c>
      <c r="I1610" s="2">
        <f t="shared" si="230"/>
        <v>0</v>
      </c>
      <c r="J1610" s="389">
        <f t="shared" si="231"/>
        <v>0</v>
      </c>
      <c r="L1610" s="721">
        <v>712</v>
      </c>
      <c r="M1610" s="581"/>
      <c r="N1610" s="585" t="s">
        <v>1738</v>
      </c>
      <c r="O1610" s="586" t="s">
        <v>4681</v>
      </c>
      <c r="P1610" s="233">
        <f t="shared" si="232"/>
        <v>0</v>
      </c>
      <c r="Q1610" s="233">
        <f t="shared" si="233"/>
        <v>712</v>
      </c>
      <c r="R1610" s="2">
        <f t="shared" si="234"/>
        <v>3.72</v>
      </c>
      <c r="S1610" s="2">
        <f>(1/9)*cnst_fish!$C$7*(1/cnst_fish!$C$8)^(R1610-1)</f>
        <v>74.011308496762837</v>
      </c>
      <c r="T1610" s="682">
        <f t="shared" si="235"/>
        <v>4519.3445633541187</v>
      </c>
      <c r="W1610" s="818"/>
      <c r="X1610" s="818"/>
      <c r="Y1610" s="819"/>
      <c r="Z1610" s="820"/>
      <c r="AA1610" s="820"/>
      <c r="AB1610" s="821"/>
      <c r="AC1610" s="821"/>
      <c r="AD1610" s="253"/>
      <c r="AE1610" s="253"/>
    </row>
    <row r="1611" spans="1:31" ht="12.75" customHeight="1">
      <c r="A1611" t="s">
        <v>697</v>
      </c>
      <c r="B1611" t="s">
        <v>2755</v>
      </c>
      <c r="C1611">
        <v>6275</v>
      </c>
      <c r="D1611" s="581"/>
      <c r="E1611" s="581"/>
      <c r="F1611" s="2">
        <f>(1/S1611)*cnst_fish!$C$6</f>
        <v>30.136363636363644</v>
      </c>
      <c r="G1611" s="2">
        <f t="shared" si="236"/>
        <v>1</v>
      </c>
      <c r="H1611" s="2">
        <f t="shared" si="236"/>
        <v>0.36449057933102513</v>
      </c>
      <c r="I1611" s="2">
        <f t="shared" si="230"/>
        <v>0</v>
      </c>
      <c r="J1611" s="389">
        <f t="shared" si="231"/>
        <v>0</v>
      </c>
      <c r="L1611" s="721">
        <v>0</v>
      </c>
      <c r="M1611" s="581"/>
      <c r="N1611" s="585" t="s">
        <v>1740</v>
      </c>
      <c r="O1611" s="586" t="s">
        <v>4671</v>
      </c>
      <c r="P1611" s="233">
        <f t="shared" si="232"/>
        <v>0</v>
      </c>
      <c r="Q1611" s="233">
        <f t="shared" si="233"/>
        <v>0</v>
      </c>
      <c r="R1611" s="2">
        <f t="shared" si="234"/>
        <v>1</v>
      </c>
      <c r="S1611" s="2">
        <f>(1/9)*cnst_fish!$C$7*(1/cnst_fish!$C$8)^(R1611-1)</f>
        <v>0.141025641025641</v>
      </c>
      <c r="T1611" s="682">
        <f t="shared" si="235"/>
        <v>0</v>
      </c>
      <c r="W1611" s="818"/>
      <c r="X1611" s="818"/>
      <c r="Y1611" s="819"/>
      <c r="Z1611" s="820"/>
      <c r="AA1611" s="820"/>
      <c r="AB1611" s="821"/>
      <c r="AC1611" s="821"/>
      <c r="AD1611" s="253"/>
      <c r="AE1611" s="253"/>
    </row>
    <row r="1612" spans="1:31" ht="12.75" customHeight="1">
      <c r="A1612" t="s">
        <v>2263</v>
      </c>
      <c r="B1612" t="s">
        <v>639</v>
      </c>
      <c r="C1612">
        <v>2150</v>
      </c>
      <c r="D1612" s="581"/>
      <c r="E1612" s="581"/>
      <c r="F1612" s="2">
        <f>(1/S1612)*cnst_fish!$C$6</f>
        <v>0.91010363210297096</v>
      </c>
      <c r="G1612" s="2">
        <f t="shared" si="236"/>
        <v>1</v>
      </c>
      <c r="H1612" s="2">
        <f t="shared" si="236"/>
        <v>0.36449057933102513</v>
      </c>
      <c r="I1612" s="2">
        <f t="shared" si="230"/>
        <v>0</v>
      </c>
      <c r="J1612" s="389">
        <f t="shared" si="231"/>
        <v>0</v>
      </c>
      <c r="L1612" s="721"/>
      <c r="M1612" s="581">
        <v>2668</v>
      </c>
      <c r="N1612" s="585" t="s">
        <v>1738</v>
      </c>
      <c r="O1612" s="586" t="s">
        <v>4685</v>
      </c>
      <c r="P1612" s="233">
        <f t="shared" si="232"/>
        <v>0</v>
      </c>
      <c r="Q1612" s="233">
        <f t="shared" si="233"/>
        <v>2668</v>
      </c>
      <c r="R1612" s="2">
        <f t="shared" si="234"/>
        <v>2.52</v>
      </c>
      <c r="S1612" s="2">
        <f>(1/9)*cnst_fish!$C$7*(1/cnst_fish!$C$8)^(R1612-1)</f>
        <v>4.6697978670621838</v>
      </c>
      <c r="T1612" s="682">
        <f t="shared" si="235"/>
        <v>1068.5166297030544</v>
      </c>
      <c r="W1612" s="818"/>
      <c r="X1612" s="818"/>
      <c r="Y1612" s="819"/>
      <c r="Z1612" s="820"/>
      <c r="AA1612" s="820"/>
      <c r="AB1612" s="821"/>
      <c r="AC1612" s="821"/>
      <c r="AD1612" s="253"/>
      <c r="AE1612" s="253"/>
    </row>
    <row r="1613" spans="1:31" ht="12.75" customHeight="1">
      <c r="A1613" t="s">
        <v>4232</v>
      </c>
      <c r="B1613" t="s">
        <v>8719</v>
      </c>
      <c r="C1613">
        <v>2151</v>
      </c>
      <c r="D1613" s="581"/>
      <c r="E1613" s="581"/>
      <c r="F1613" s="2">
        <f>(1/S1613)*cnst_fish!$C$6</f>
        <v>3.0136363636363641</v>
      </c>
      <c r="G1613" s="2">
        <f t="shared" si="236"/>
        <v>1</v>
      </c>
      <c r="H1613" s="2">
        <f t="shared" si="236"/>
        <v>0.36449057933102513</v>
      </c>
      <c r="I1613" s="2">
        <f t="shared" si="230"/>
        <v>0</v>
      </c>
      <c r="J1613" s="389">
        <f t="shared" si="231"/>
        <v>0</v>
      </c>
      <c r="L1613" s="721"/>
      <c r="M1613" s="581">
        <v>13.4</v>
      </c>
      <c r="N1613" s="585" t="s">
        <v>3791</v>
      </c>
      <c r="O1613" s="586" t="s">
        <v>4681</v>
      </c>
      <c r="P1613" s="233">
        <f t="shared" si="232"/>
        <v>0</v>
      </c>
      <c r="Q1613" s="233">
        <f t="shared" si="233"/>
        <v>13.4</v>
      </c>
      <c r="R1613" s="2">
        <f t="shared" si="234"/>
        <v>2</v>
      </c>
      <c r="S1613" s="2">
        <f>(1/9)*cnst_fish!$C$7*(1/cnst_fish!$C$8)^(R1613-1)</f>
        <v>1.4102564102564099</v>
      </c>
      <c r="T1613" s="682">
        <f t="shared" si="235"/>
        <v>1.6206911430887811</v>
      </c>
      <c r="W1613" s="818"/>
      <c r="X1613" s="818"/>
      <c r="Y1613" s="819"/>
      <c r="Z1613" s="820"/>
      <c r="AA1613" s="820"/>
      <c r="AB1613" s="821"/>
      <c r="AC1613" s="821"/>
      <c r="AD1613" s="253"/>
      <c r="AE1613" s="253"/>
    </row>
    <row r="1614" spans="1:31" ht="12.75" customHeight="1">
      <c r="A1614" t="s">
        <v>6778</v>
      </c>
      <c r="B1614" t="s">
        <v>8720</v>
      </c>
      <c r="C1614">
        <v>6792</v>
      </c>
      <c r="D1614" s="581"/>
      <c r="E1614" s="581"/>
      <c r="F1614" s="2">
        <f>(1/S1614)*cnst_fish!$C$6</f>
        <v>0.37939434000887845</v>
      </c>
      <c r="G1614" s="2">
        <f t="shared" si="236"/>
        <v>1</v>
      </c>
      <c r="H1614" s="2">
        <f t="shared" si="236"/>
        <v>0.36449057933102513</v>
      </c>
      <c r="I1614" s="2">
        <f t="shared" si="230"/>
        <v>0</v>
      </c>
      <c r="J1614" s="389">
        <f t="shared" si="231"/>
        <v>0</v>
      </c>
      <c r="L1614" s="721"/>
      <c r="M1614" s="581">
        <v>12.82</v>
      </c>
      <c r="N1614" s="585" t="s">
        <v>1738</v>
      </c>
      <c r="O1614" s="586" t="s">
        <v>4685</v>
      </c>
      <c r="P1614" s="233">
        <f t="shared" si="232"/>
        <v>0</v>
      </c>
      <c r="Q1614" s="233">
        <f t="shared" si="233"/>
        <v>12.82</v>
      </c>
      <c r="R1614" s="2">
        <f t="shared" si="234"/>
        <v>2.9</v>
      </c>
      <c r="S1614" s="2">
        <f>(1/9)*cnst_fish!$C$7*(1/cnst_fish!$C$8)^(R1614-1)</f>
        <v>11.20206484867577</v>
      </c>
      <c r="T1614" s="682">
        <f t="shared" si="235"/>
        <v>12.316391506827413</v>
      </c>
      <c r="W1614" s="818"/>
      <c r="X1614" s="818"/>
      <c r="Y1614" s="819"/>
      <c r="Z1614" s="820"/>
      <c r="AA1614" s="820"/>
      <c r="AB1614" s="821"/>
      <c r="AC1614" s="821"/>
      <c r="AD1614" s="253"/>
      <c r="AE1614" s="253"/>
    </row>
    <row r="1615" spans="1:31" ht="12.75" customHeight="1">
      <c r="A1615" t="s">
        <v>8331</v>
      </c>
      <c r="B1615" t="s">
        <v>8332</v>
      </c>
      <c r="C1615">
        <v>14365</v>
      </c>
      <c r="D1615" s="581"/>
      <c r="E1615" s="581"/>
      <c r="F1615" s="2">
        <f>(1/S1615)*cnst_fish!$C$6</f>
        <v>0.11997502458044032</v>
      </c>
      <c r="G1615" s="2">
        <f t="shared" si="236"/>
        <v>1</v>
      </c>
      <c r="H1615" s="2">
        <f t="shared" si="236"/>
        <v>0.36449057933102513</v>
      </c>
      <c r="I1615" s="2">
        <f t="shared" si="230"/>
        <v>0</v>
      </c>
      <c r="J1615" s="389">
        <f t="shared" si="231"/>
        <v>0</v>
      </c>
      <c r="L1615" s="721"/>
      <c r="M1615" s="581">
        <v>130.78</v>
      </c>
      <c r="N1615" s="585" t="s">
        <v>1738</v>
      </c>
      <c r="O1615" s="586" t="s">
        <v>4685</v>
      </c>
      <c r="P1615" s="233">
        <f t="shared" si="232"/>
        <v>0</v>
      </c>
      <c r="Q1615" s="233">
        <f t="shared" si="233"/>
        <v>130.78</v>
      </c>
      <c r="R1615" s="2">
        <f t="shared" si="234"/>
        <v>3.4</v>
      </c>
      <c r="S1615" s="2">
        <f>(1/9)*cnst_fish!$C$7*(1/cnst_fish!$C$8)^(R1615-1)</f>
        <v>35.424039418724846</v>
      </c>
      <c r="T1615" s="682">
        <f t="shared" si="235"/>
        <v>397.31667596326423</v>
      </c>
      <c r="W1615" s="818"/>
      <c r="X1615" s="818"/>
      <c r="Y1615" s="819"/>
      <c r="Z1615" s="820"/>
      <c r="AA1615" s="820"/>
      <c r="AB1615" s="821"/>
      <c r="AC1615" s="821"/>
      <c r="AD1615" s="253"/>
      <c r="AE1615" s="253"/>
    </row>
    <row r="1616" spans="1:31" ht="12.75" customHeight="1">
      <c r="A1616" t="s">
        <v>6575</v>
      </c>
      <c r="B1616" t="s">
        <v>6574</v>
      </c>
      <c r="C1616">
        <v>14372</v>
      </c>
      <c r="D1616" s="581"/>
      <c r="E1616" s="581"/>
      <c r="F1616" s="2">
        <f>(1/S1616)*cnst_fish!$C$6</f>
        <v>3.0136363636363641</v>
      </c>
      <c r="G1616" s="2">
        <f t="shared" si="236"/>
        <v>1</v>
      </c>
      <c r="H1616" s="2">
        <f t="shared" si="236"/>
        <v>0.36449057933102513</v>
      </c>
      <c r="I1616" s="2">
        <f t="shared" si="230"/>
        <v>0</v>
      </c>
      <c r="J1616" s="389">
        <f t="shared" si="231"/>
        <v>0</v>
      </c>
      <c r="L1616" s="721"/>
      <c r="M1616" s="581">
        <v>268.7</v>
      </c>
      <c r="N1616" s="585" t="s">
        <v>1738</v>
      </c>
      <c r="O1616" s="586" t="s">
        <v>4685</v>
      </c>
      <c r="P1616" s="233">
        <f t="shared" si="232"/>
        <v>0</v>
      </c>
      <c r="Q1616" s="233">
        <f t="shared" si="233"/>
        <v>268.7</v>
      </c>
      <c r="R1616" s="2">
        <f t="shared" si="234"/>
        <v>2</v>
      </c>
      <c r="S1616" s="2">
        <f>(1/9)*cnst_fish!$C$7*(1/cnst_fish!$C$8)^(R1616-1)</f>
        <v>1.4102564102564099</v>
      </c>
      <c r="T1616" s="682">
        <f t="shared" si="235"/>
        <v>32.498485831936982</v>
      </c>
      <c r="W1616" s="818"/>
      <c r="X1616" s="818"/>
      <c r="Y1616" s="819"/>
      <c r="Z1616" s="820"/>
      <c r="AA1616" s="820"/>
      <c r="AB1616" s="821"/>
      <c r="AC1616" s="821"/>
      <c r="AD1616" s="253"/>
      <c r="AE1616" s="253"/>
    </row>
    <row r="1617" spans="1:31" ht="12.75" customHeight="1">
      <c r="A1617" t="s">
        <v>6746</v>
      </c>
      <c r="B1617" t="s">
        <v>8721</v>
      </c>
      <c r="C1617">
        <v>2664</v>
      </c>
      <c r="D1617" s="581"/>
      <c r="E1617" s="581"/>
      <c r="F1617" s="2">
        <f>(1/S1617)*cnst_fish!$C$6</f>
        <v>2.3938164528281742</v>
      </c>
      <c r="G1617" s="2">
        <f t="shared" si="236"/>
        <v>1</v>
      </c>
      <c r="H1617" s="2">
        <f t="shared" si="236"/>
        <v>0.36449057933102513</v>
      </c>
      <c r="I1617" s="2">
        <f t="shared" si="230"/>
        <v>0</v>
      </c>
      <c r="J1617" s="389">
        <f t="shared" si="231"/>
        <v>0</v>
      </c>
      <c r="L1617" s="721"/>
      <c r="M1617" s="581"/>
      <c r="N1617" s="585" t="s">
        <v>2316</v>
      </c>
      <c r="O1617" s="586" t="s">
        <v>4680</v>
      </c>
      <c r="P1617" s="233">
        <f t="shared" si="232"/>
        <v>0</v>
      </c>
      <c r="Q1617" s="233">
        <f t="shared" si="233"/>
        <v>0</v>
      </c>
      <c r="R1617" s="2">
        <f t="shared" si="234"/>
        <v>2.1</v>
      </c>
      <c r="S1617" s="2">
        <f>(1/9)*cnst_fish!$C$7*(1/cnst_fish!$C$8)^(R1617-1)</f>
        <v>1.7754076320174161</v>
      </c>
      <c r="T1617" s="682">
        <f t="shared" si="235"/>
        <v>0</v>
      </c>
      <c r="W1617" s="818"/>
      <c r="X1617" s="818"/>
      <c r="Y1617" s="819"/>
      <c r="Z1617" s="820"/>
      <c r="AA1617" s="820"/>
      <c r="AB1617" s="821"/>
      <c r="AC1617" s="821"/>
      <c r="AD1617" s="253"/>
      <c r="AE1617" s="253"/>
    </row>
    <row r="1618" spans="1:31" ht="12.75" customHeight="1">
      <c r="A1618" t="s">
        <v>6280</v>
      </c>
      <c r="B1618" t="s">
        <v>6279</v>
      </c>
      <c r="C1618">
        <v>14379</v>
      </c>
      <c r="D1618" s="581"/>
      <c r="E1618" s="581"/>
      <c r="F1618" s="2">
        <f>(1/S1618)*cnst_fish!$C$6</f>
        <v>3.0136363636363641</v>
      </c>
      <c r="G1618" s="2">
        <f t="shared" si="236"/>
        <v>1</v>
      </c>
      <c r="H1618" s="2">
        <f t="shared" si="236"/>
        <v>0.36449057933102513</v>
      </c>
      <c r="I1618" s="2">
        <f t="shared" si="230"/>
        <v>0</v>
      </c>
      <c r="J1618" s="389">
        <f t="shared" si="231"/>
        <v>0</v>
      </c>
      <c r="L1618" s="721">
        <v>0</v>
      </c>
      <c r="M1618" s="581"/>
      <c r="N1618" s="585" t="s">
        <v>1738</v>
      </c>
      <c r="O1618" s="586" t="s">
        <v>4681</v>
      </c>
      <c r="P1618" s="233">
        <f t="shared" si="232"/>
        <v>0</v>
      </c>
      <c r="Q1618" s="233">
        <f t="shared" si="233"/>
        <v>0</v>
      </c>
      <c r="R1618" s="2">
        <f t="shared" si="234"/>
        <v>2</v>
      </c>
      <c r="S1618" s="2">
        <f>(1/9)*cnst_fish!$C$7*(1/cnst_fish!$C$8)^(R1618-1)</f>
        <v>1.4102564102564099</v>
      </c>
      <c r="T1618" s="682">
        <f t="shared" si="235"/>
        <v>0</v>
      </c>
      <c r="W1618" s="818"/>
      <c r="X1618" s="818"/>
      <c r="Y1618" s="819"/>
      <c r="Z1618" s="820"/>
      <c r="AA1618" s="820"/>
      <c r="AB1618" s="821"/>
      <c r="AC1618" s="821"/>
      <c r="AD1618" s="253"/>
      <c r="AE1618" s="253"/>
    </row>
    <row r="1619" spans="1:31" ht="12.75" customHeight="1">
      <c r="A1619" t="s">
        <v>6320</v>
      </c>
      <c r="B1619" t="s">
        <v>6319</v>
      </c>
      <c r="C1619">
        <v>19409</v>
      </c>
      <c r="D1619" s="581"/>
      <c r="E1619" s="581"/>
      <c r="F1619" s="2">
        <f>(1/S1619)*cnst_fish!$C$6</f>
        <v>3.0136363636363641</v>
      </c>
      <c r="G1619" s="2">
        <f t="shared" si="236"/>
        <v>1</v>
      </c>
      <c r="H1619" s="2">
        <f t="shared" si="236"/>
        <v>0.36449057933102513</v>
      </c>
      <c r="I1619" s="2">
        <f t="shared" si="230"/>
        <v>0</v>
      </c>
      <c r="J1619" s="389">
        <f t="shared" si="231"/>
        <v>0</v>
      </c>
      <c r="L1619" s="721">
        <v>80</v>
      </c>
      <c r="M1619" s="581"/>
      <c r="N1619" s="585" t="s">
        <v>1738</v>
      </c>
      <c r="O1619" s="586" t="s">
        <v>4681</v>
      </c>
      <c r="P1619" s="233">
        <f t="shared" si="232"/>
        <v>0</v>
      </c>
      <c r="Q1619" s="233">
        <f t="shared" si="233"/>
        <v>80</v>
      </c>
      <c r="R1619" s="2">
        <f t="shared" si="234"/>
        <v>2</v>
      </c>
      <c r="S1619" s="2">
        <f>(1/9)*cnst_fish!$C$7*(1/cnst_fish!$C$8)^(R1619-1)</f>
        <v>1.4102564102564099</v>
      </c>
      <c r="T1619" s="682">
        <f t="shared" si="235"/>
        <v>9.6757680184404844</v>
      </c>
      <c r="W1619" s="818"/>
      <c r="X1619" s="818"/>
      <c r="Y1619" s="819"/>
      <c r="Z1619" s="820"/>
      <c r="AA1619" s="820"/>
      <c r="AB1619" s="821"/>
      <c r="AC1619" s="821"/>
      <c r="AD1619" s="253"/>
      <c r="AE1619" s="253"/>
    </row>
    <row r="1620" spans="1:31" ht="12.75" customHeight="1">
      <c r="A1620" t="s">
        <v>8887</v>
      </c>
      <c r="B1620" t="s">
        <v>8888</v>
      </c>
      <c r="C1620">
        <v>14380</v>
      </c>
      <c r="D1620" s="581"/>
      <c r="E1620" s="581"/>
      <c r="F1620" s="2">
        <f>(1/S1620)*cnst_fish!$C$6</f>
        <v>9.5299549485983424E-3</v>
      </c>
      <c r="G1620" s="2">
        <f t="shared" si="236"/>
        <v>1</v>
      </c>
      <c r="H1620" s="2">
        <f t="shared" si="236"/>
        <v>0.36449057933102513</v>
      </c>
      <c r="I1620" s="2">
        <f t="shared" si="230"/>
        <v>0</v>
      </c>
      <c r="J1620" s="389">
        <f t="shared" si="231"/>
        <v>0</v>
      </c>
      <c r="L1620" s="721"/>
      <c r="M1620" s="581">
        <v>936</v>
      </c>
      <c r="N1620" s="585" t="s">
        <v>4282</v>
      </c>
      <c r="O1620" s="586" t="s">
        <v>4685</v>
      </c>
      <c r="P1620" s="233">
        <f t="shared" si="232"/>
        <v>0</v>
      </c>
      <c r="Q1620" s="233">
        <f t="shared" si="233"/>
        <v>936</v>
      </c>
      <c r="R1620" s="2">
        <f t="shared" si="234"/>
        <v>4.5</v>
      </c>
      <c r="S1620" s="2">
        <f>(1/9)*cnst_fish!$C$7*(1/cnst_fish!$C$8)^(R1620-1)</f>
        <v>445.96223412630997</v>
      </c>
      <c r="T1620" s="682">
        <f t="shared" si="235"/>
        <v>35799.034108132648</v>
      </c>
      <c r="W1620" s="818"/>
      <c r="X1620" s="818"/>
      <c r="Y1620" s="819"/>
      <c r="Z1620" s="820"/>
      <c r="AA1620" s="820"/>
      <c r="AB1620" s="821"/>
      <c r="AC1620" s="821"/>
      <c r="AD1620" s="253"/>
      <c r="AE1620" s="253"/>
    </row>
    <row r="1621" spans="1:31" ht="12.75" customHeight="1">
      <c r="A1621" t="s">
        <v>4557</v>
      </c>
      <c r="B1621" t="s">
        <v>3937</v>
      </c>
      <c r="C1621">
        <v>17260</v>
      </c>
      <c r="D1621" s="581"/>
      <c r="E1621" s="581"/>
      <c r="F1621" s="2">
        <f>(1/S1621)*cnst_fish!$C$6</f>
        <v>2.6141530827766903</v>
      </c>
      <c r="G1621" s="2">
        <f t="shared" si="236"/>
        <v>1</v>
      </c>
      <c r="H1621" s="2">
        <f t="shared" si="236"/>
        <v>0.36449057933102513</v>
      </c>
      <c r="I1621" s="2">
        <f t="shared" si="230"/>
        <v>0</v>
      </c>
      <c r="J1621" s="389">
        <f t="shared" si="231"/>
        <v>0</v>
      </c>
      <c r="L1621" s="721"/>
      <c r="M1621" s="581"/>
      <c r="N1621" s="585" t="s">
        <v>1736</v>
      </c>
      <c r="O1621" s="586" t="s">
        <v>4691</v>
      </c>
      <c r="P1621" s="233">
        <f t="shared" si="232"/>
        <v>0</v>
      </c>
      <c r="Q1621" s="233">
        <f t="shared" si="233"/>
        <v>0</v>
      </c>
      <c r="R1621" s="2">
        <f t="shared" si="234"/>
        <v>2.0617598316454031</v>
      </c>
      <c r="S1621" s="2">
        <f>(1/9)*cnst_fish!$C$7*(1/cnst_fish!$C$8)^(R1621-1)</f>
        <v>1.6257655406644176</v>
      </c>
      <c r="T1621" s="682">
        <f t="shared" si="235"/>
        <v>0</v>
      </c>
      <c r="W1621" s="818"/>
      <c r="X1621" s="818"/>
      <c r="Y1621" s="819"/>
      <c r="Z1621" s="820"/>
      <c r="AA1621" s="820"/>
      <c r="AB1621" s="821"/>
      <c r="AC1621" s="821"/>
      <c r="AD1621" s="253"/>
      <c r="AE1621" s="253"/>
    </row>
    <row r="1622" spans="1:31" ht="12.75" customHeight="1">
      <c r="A1622" t="s">
        <v>4489</v>
      </c>
      <c r="B1622" t="s">
        <v>3615</v>
      </c>
      <c r="C1622">
        <v>3519</v>
      </c>
      <c r="D1622" s="581">
        <v>55292</v>
      </c>
      <c r="E1622" s="581"/>
      <c r="F1622" s="2">
        <f>(1/S1622)*cnst_fish!$C$6</f>
        <v>2.3938164528281742</v>
      </c>
      <c r="G1622" s="2">
        <f t="shared" si="236"/>
        <v>1</v>
      </c>
      <c r="H1622" s="2">
        <f t="shared" si="236"/>
        <v>0.36449057933102513</v>
      </c>
      <c r="I1622" s="2">
        <f t="shared" si="230"/>
        <v>8418.9466943302177</v>
      </c>
      <c r="J1622" s="389">
        <f t="shared" si="231"/>
        <v>0</v>
      </c>
      <c r="L1622" s="721">
        <v>274022</v>
      </c>
      <c r="M1622" s="581"/>
      <c r="N1622" s="585" t="s">
        <v>2318</v>
      </c>
      <c r="O1622" s="586" t="s">
        <v>4691</v>
      </c>
      <c r="P1622" s="233">
        <f t="shared" si="232"/>
        <v>55292</v>
      </c>
      <c r="Q1622" s="233">
        <f t="shared" si="233"/>
        <v>274022</v>
      </c>
      <c r="R1622" s="2">
        <f t="shared" si="234"/>
        <v>2.1</v>
      </c>
      <c r="S1622" s="2">
        <f>(1/9)*cnst_fish!$C$7*(1/cnst_fish!$C$8)^(R1622-1)</f>
        <v>1.7754076320174161</v>
      </c>
      <c r="T1622" s="682">
        <f t="shared" si="235"/>
        <v>41723.515356177282</v>
      </c>
      <c r="W1622" s="818"/>
      <c r="X1622" s="818"/>
      <c r="Y1622" s="819"/>
      <c r="Z1622" s="820"/>
      <c r="AA1622" s="820"/>
      <c r="AB1622" s="821"/>
      <c r="AC1622" s="821"/>
      <c r="AD1622" s="253"/>
      <c r="AE1622" s="253"/>
    </row>
    <row r="1623" spans="1:31" ht="12.75" customHeight="1">
      <c r="A1623" t="s">
        <v>3867</v>
      </c>
      <c r="B1623" t="s">
        <v>3868</v>
      </c>
      <c r="C1623">
        <v>18561</v>
      </c>
      <c r="D1623" s="581"/>
      <c r="E1623" s="581"/>
      <c r="F1623" s="2">
        <f>(1/S1623)*cnst_fish!$C$6</f>
        <v>0.11997502458044032</v>
      </c>
      <c r="G1623" s="2">
        <f t="shared" si="236"/>
        <v>1</v>
      </c>
      <c r="H1623" s="2">
        <f t="shared" si="236"/>
        <v>0.36449057933102513</v>
      </c>
      <c r="I1623" s="2">
        <f t="shared" si="230"/>
        <v>0</v>
      </c>
      <c r="J1623" s="389">
        <f t="shared" si="231"/>
        <v>0</v>
      </c>
      <c r="L1623" s="721">
        <v>212</v>
      </c>
      <c r="M1623" s="581"/>
      <c r="N1623" s="585" t="s">
        <v>1738</v>
      </c>
      <c r="O1623" s="586" t="s">
        <v>4681</v>
      </c>
      <c r="P1623" s="233">
        <f t="shared" si="232"/>
        <v>0</v>
      </c>
      <c r="Q1623" s="233">
        <f t="shared" si="233"/>
        <v>212</v>
      </c>
      <c r="R1623" s="2">
        <f t="shared" si="234"/>
        <v>3.4</v>
      </c>
      <c r="S1623" s="2">
        <f>(1/9)*cnst_fish!$C$7*(1/cnst_fish!$C$8)^(R1623-1)</f>
        <v>35.424039418724846</v>
      </c>
      <c r="T1623" s="682">
        <f t="shared" si="235"/>
        <v>644.06740559880734</v>
      </c>
      <c r="W1623" s="818"/>
      <c r="X1623" s="818"/>
      <c r="Y1623" s="819"/>
      <c r="Z1623" s="820"/>
      <c r="AA1623" s="820"/>
      <c r="AB1623" s="821"/>
      <c r="AC1623" s="821"/>
      <c r="AD1623" s="253"/>
      <c r="AE1623" s="253"/>
    </row>
    <row r="1624" spans="1:31" ht="12.75" customHeight="1">
      <c r="A1624" t="s">
        <v>9040</v>
      </c>
      <c r="B1624" t="s">
        <v>9041</v>
      </c>
      <c r="C1624">
        <v>14390</v>
      </c>
      <c r="D1624" s="581"/>
      <c r="E1624" s="581"/>
      <c r="F1624" s="869">
        <f>(1/S1624)*cnst_fish!$C$6</f>
        <v>9.5299549485983348E-2</v>
      </c>
      <c r="G1624" s="869">
        <f t="shared" si="236"/>
        <v>1</v>
      </c>
      <c r="H1624" s="869">
        <f t="shared" si="236"/>
        <v>0.36449057933102513</v>
      </c>
      <c r="I1624" s="869">
        <f t="shared" si="230"/>
        <v>0</v>
      </c>
      <c r="J1624" s="389">
        <f t="shared" si="231"/>
        <v>0</v>
      </c>
      <c r="L1624" s="721"/>
      <c r="M1624" s="581">
        <v>275</v>
      </c>
      <c r="N1624" s="877" t="s">
        <v>1738</v>
      </c>
      <c r="O1624" s="881" t="s">
        <v>4681</v>
      </c>
      <c r="P1624" s="871">
        <f t="shared" si="232"/>
        <v>0</v>
      </c>
      <c r="Q1624" s="871">
        <f t="shared" si="233"/>
        <v>275</v>
      </c>
      <c r="R1624" s="869">
        <f t="shared" si="234"/>
        <v>3.5</v>
      </c>
      <c r="S1624" s="869">
        <f>(1/9)*cnst_fish!$C$7*(1/cnst_fish!$C$8)^(R1624-1)</f>
        <v>44.596223412631026</v>
      </c>
      <c r="T1624" s="682">
        <f t="shared" si="235"/>
        <v>1051.7878610829578</v>
      </c>
      <c r="W1624" s="818"/>
      <c r="X1624" s="818"/>
      <c r="Y1624" s="819"/>
      <c r="Z1624" s="820"/>
      <c r="AA1624" s="820"/>
      <c r="AB1624" s="821"/>
      <c r="AC1624" s="821"/>
      <c r="AD1624" s="253"/>
      <c r="AE1624" s="253"/>
    </row>
    <row r="1625" spans="1:31" ht="12.75" customHeight="1">
      <c r="A1625" t="s">
        <v>3379</v>
      </c>
      <c r="B1625" t="s">
        <v>3380</v>
      </c>
      <c r="C1625">
        <v>14391</v>
      </c>
      <c r="D1625" s="581"/>
      <c r="E1625" s="581"/>
      <c r="F1625" s="2">
        <f>(1/S1625)*cnst_fish!$C$6</f>
        <v>1.3461419163458574E-2</v>
      </c>
      <c r="G1625" s="2">
        <f t="shared" si="236"/>
        <v>1</v>
      </c>
      <c r="H1625" s="2">
        <f t="shared" si="236"/>
        <v>0.36449057933102513</v>
      </c>
      <c r="I1625" s="2">
        <f t="shared" si="230"/>
        <v>0</v>
      </c>
      <c r="J1625" s="389">
        <f t="shared" si="231"/>
        <v>0</v>
      </c>
      <c r="L1625" s="721"/>
      <c r="M1625" s="581">
        <v>18323</v>
      </c>
      <c r="N1625" s="585" t="s">
        <v>1738</v>
      </c>
      <c r="O1625" s="586" t="s">
        <v>4681</v>
      </c>
      <c r="P1625" s="233">
        <f t="shared" si="232"/>
        <v>0</v>
      </c>
      <c r="Q1625" s="233">
        <f t="shared" si="233"/>
        <v>18323</v>
      </c>
      <c r="R1625" s="2">
        <f t="shared" si="234"/>
        <v>4.3499999999999996</v>
      </c>
      <c r="S1625" s="2">
        <f>(1/9)*cnst_fish!$C$7*(1/cnst_fish!$C$8)^(R1625-1)</f>
        <v>315.71708364425297</v>
      </c>
      <c r="T1625" s="682">
        <f t="shared" si="235"/>
        <v>496126.06248912652</v>
      </c>
      <c r="W1625" s="818"/>
      <c r="X1625" s="818"/>
      <c r="Y1625" s="819"/>
      <c r="Z1625" s="820"/>
      <c r="AA1625" s="820"/>
      <c r="AB1625" s="821"/>
      <c r="AC1625" s="821"/>
      <c r="AD1625" s="253"/>
      <c r="AE1625" s="253"/>
    </row>
    <row r="1626" spans="1:31" ht="12.75" customHeight="1">
      <c r="A1626" t="s">
        <v>3293</v>
      </c>
      <c r="B1626" t="s">
        <v>3948</v>
      </c>
      <c r="C1626">
        <v>3642</v>
      </c>
      <c r="D1626" s="581"/>
      <c r="E1626" s="581"/>
      <c r="F1626" s="2">
        <f>(1/S1626)*cnst_fish!$C$6</f>
        <v>30.136363636363644</v>
      </c>
      <c r="G1626" s="2">
        <f t="shared" si="236"/>
        <v>1</v>
      </c>
      <c r="H1626" s="2">
        <f t="shared" si="236"/>
        <v>0.36449057933102513</v>
      </c>
      <c r="I1626" s="2">
        <f t="shared" si="230"/>
        <v>0</v>
      </c>
      <c r="J1626" s="389">
        <f t="shared" si="231"/>
        <v>0</v>
      </c>
      <c r="L1626" s="721">
        <v>225450</v>
      </c>
      <c r="M1626" s="581">
        <v>630</v>
      </c>
      <c r="N1626" s="585" t="s">
        <v>1740</v>
      </c>
      <c r="O1626" s="586" t="s">
        <v>4671</v>
      </c>
      <c r="P1626" s="233">
        <f t="shared" si="232"/>
        <v>0</v>
      </c>
      <c r="Q1626" s="233">
        <f t="shared" si="233"/>
        <v>226080</v>
      </c>
      <c r="R1626" s="2">
        <f t="shared" si="234"/>
        <v>1</v>
      </c>
      <c r="S1626" s="2">
        <f>(1/9)*cnst_fish!$C$7*(1/cnst_fish!$C$8)^(R1626-1)</f>
        <v>0.141025641025641</v>
      </c>
      <c r="T1626" s="682">
        <f t="shared" si="235"/>
        <v>2734.3720420112809</v>
      </c>
      <c r="W1626" s="818"/>
      <c r="X1626" s="818"/>
      <c r="Y1626" s="819"/>
      <c r="Z1626" s="820"/>
      <c r="AA1626" s="820"/>
      <c r="AB1626" s="821"/>
      <c r="AC1626" s="821"/>
      <c r="AD1626" s="253"/>
      <c r="AE1626" s="253"/>
    </row>
    <row r="1627" spans="1:31" ht="12.75" customHeight="1">
      <c r="A1627" t="s">
        <v>6774</v>
      </c>
      <c r="B1627" t="s">
        <v>8722</v>
      </c>
      <c r="C1627">
        <v>14398</v>
      </c>
      <c r="D1627" s="581"/>
      <c r="E1627" s="581"/>
      <c r="F1627" s="2">
        <f>(1/S1627)*cnst_fish!$C$6</f>
        <v>0.15103960722494611</v>
      </c>
      <c r="G1627" s="2">
        <f t="shared" si="236"/>
        <v>1</v>
      </c>
      <c r="H1627" s="2">
        <f t="shared" si="236"/>
        <v>0.36449057933102513</v>
      </c>
      <c r="I1627" s="2">
        <f t="shared" si="230"/>
        <v>0</v>
      </c>
      <c r="J1627" s="389">
        <f t="shared" si="231"/>
        <v>0</v>
      </c>
      <c r="L1627" s="721"/>
      <c r="M1627" s="581"/>
      <c r="N1627" s="585" t="s">
        <v>1738</v>
      </c>
      <c r="O1627" s="586" t="s">
        <v>4681</v>
      </c>
      <c r="P1627" s="233">
        <f t="shared" si="232"/>
        <v>0</v>
      </c>
      <c r="Q1627" s="233">
        <f t="shared" si="233"/>
        <v>0</v>
      </c>
      <c r="R1627" s="2">
        <f t="shared" si="234"/>
        <v>3.3</v>
      </c>
      <c r="S1627" s="2">
        <f>(1/9)*cnst_fish!$C$7*(1/cnst_fish!$C$8)^(R1627-1)</f>
        <v>28.138314698279075</v>
      </c>
      <c r="T1627" s="682">
        <f t="shared" si="235"/>
        <v>0</v>
      </c>
      <c r="W1627" s="818"/>
      <c r="X1627" s="818"/>
      <c r="Y1627" s="819"/>
      <c r="Z1627" s="820"/>
      <c r="AA1627" s="820"/>
      <c r="AB1627" s="821"/>
      <c r="AC1627" s="821"/>
      <c r="AD1627" s="253"/>
      <c r="AE1627" s="253"/>
    </row>
    <row r="1628" spans="1:31" ht="12.75" customHeight="1">
      <c r="A1628" t="s">
        <v>823</v>
      </c>
      <c r="B1628" t="s">
        <v>2165</v>
      </c>
      <c r="C1628">
        <v>2406</v>
      </c>
      <c r="D1628" s="581"/>
      <c r="E1628" s="581"/>
      <c r="F1628" s="2">
        <f>(1/S1628)*cnst_fish!$C$6</f>
        <v>6.9038420626592392E-2</v>
      </c>
      <c r="G1628" s="2">
        <f t="shared" ref="G1628:H1647" si="237">G$7</f>
        <v>1</v>
      </c>
      <c r="H1628" s="2">
        <f t="shared" si="237"/>
        <v>0.36449057933102513</v>
      </c>
      <c r="I1628" s="2">
        <f t="shared" si="230"/>
        <v>0</v>
      </c>
      <c r="J1628" s="389">
        <f t="shared" si="231"/>
        <v>0</v>
      </c>
      <c r="L1628" s="721">
        <v>2432</v>
      </c>
      <c r="M1628" s="581"/>
      <c r="N1628" s="585" t="s">
        <v>1738</v>
      </c>
      <c r="O1628" s="586" t="s">
        <v>4681</v>
      </c>
      <c r="P1628" s="233">
        <f t="shared" si="232"/>
        <v>0</v>
      </c>
      <c r="Q1628" s="233">
        <f t="shared" si="233"/>
        <v>2432</v>
      </c>
      <c r="R1628" s="2">
        <f t="shared" si="234"/>
        <v>3.64</v>
      </c>
      <c r="S1628" s="2">
        <f>(1/9)*cnst_fish!$C$7*(1/cnst_fish!$C$8)^(R1628-1)</f>
        <v>61.559925059510611</v>
      </c>
      <c r="T1628" s="682">
        <f t="shared" si="235"/>
        <v>12839.822824562292</v>
      </c>
      <c r="W1628" s="818"/>
      <c r="X1628" s="818"/>
      <c r="Y1628" s="819"/>
      <c r="Z1628" s="820"/>
      <c r="AA1628" s="820"/>
      <c r="AB1628" s="821"/>
      <c r="AC1628" s="821"/>
      <c r="AD1628" s="253"/>
      <c r="AE1628" s="253"/>
    </row>
    <row r="1629" spans="1:31" ht="12.75" customHeight="1">
      <c r="A1629" t="s">
        <v>3154</v>
      </c>
      <c r="B1629" t="s">
        <v>4587</v>
      </c>
      <c r="C1629">
        <v>2550</v>
      </c>
      <c r="D1629" s="581"/>
      <c r="E1629" s="581"/>
      <c r="F1629" s="2">
        <f>(1/S1629)*cnst_fish!$C$6</f>
        <v>0.19457670629544385</v>
      </c>
      <c r="G1629" s="2">
        <f t="shared" si="237"/>
        <v>1</v>
      </c>
      <c r="H1629" s="2">
        <f t="shared" si="237"/>
        <v>0.36449057933102513</v>
      </c>
      <c r="I1629" s="2">
        <f t="shared" si="230"/>
        <v>0</v>
      </c>
      <c r="J1629" s="389">
        <f t="shared" si="231"/>
        <v>0</v>
      </c>
      <c r="L1629" s="721">
        <v>23364.17</v>
      </c>
      <c r="M1629" s="581">
        <v>3</v>
      </c>
      <c r="N1629" s="585" t="s">
        <v>1739</v>
      </c>
      <c r="O1629" s="586" t="s">
        <v>4681</v>
      </c>
      <c r="P1629" s="233">
        <f t="shared" si="232"/>
        <v>0</v>
      </c>
      <c r="Q1629" s="233">
        <f t="shared" si="233"/>
        <v>23367.17</v>
      </c>
      <c r="R1629" s="2">
        <f t="shared" si="234"/>
        <v>3.19</v>
      </c>
      <c r="S1629" s="2">
        <f>(1/9)*cnst_fish!$C$7*(1/cnst_fish!$C$8)^(R1629-1)</f>
        <v>21.84228565132987</v>
      </c>
      <c r="T1629" s="682">
        <f t="shared" si="235"/>
        <v>43772.522892304631</v>
      </c>
      <c r="W1629" s="818"/>
      <c r="X1629" s="818"/>
      <c r="Y1629" s="819"/>
      <c r="Z1629" s="820"/>
      <c r="AA1629" s="820"/>
      <c r="AB1629" s="821"/>
      <c r="AC1629" s="821"/>
      <c r="AD1629" s="253"/>
      <c r="AE1629" s="253"/>
    </row>
    <row r="1630" spans="1:31" ht="12.75" customHeight="1">
      <c r="A1630" t="s">
        <v>5217</v>
      </c>
      <c r="B1630" t="s">
        <v>4588</v>
      </c>
      <c r="C1630">
        <v>18727</v>
      </c>
      <c r="D1630" s="581"/>
      <c r="E1630" s="581"/>
      <c r="F1630" s="2">
        <f>(1/S1630)*cnst_fish!$C$6</f>
        <v>0.14424170509541331</v>
      </c>
      <c r="G1630" s="2">
        <f t="shared" si="237"/>
        <v>1</v>
      </c>
      <c r="H1630" s="2">
        <f t="shared" si="237"/>
        <v>0.36449057933102513</v>
      </c>
      <c r="I1630" s="2">
        <f t="shared" si="230"/>
        <v>0</v>
      </c>
      <c r="J1630" s="389">
        <f t="shared" si="231"/>
        <v>0</v>
      </c>
      <c r="L1630" s="721">
        <v>5</v>
      </c>
      <c r="M1630" s="581"/>
      <c r="N1630" s="585" t="s">
        <v>1739</v>
      </c>
      <c r="O1630" s="586" t="s">
        <v>4681</v>
      </c>
      <c r="P1630" s="233">
        <f t="shared" si="232"/>
        <v>0</v>
      </c>
      <c r="Q1630" s="233">
        <f t="shared" si="233"/>
        <v>5</v>
      </c>
      <c r="R1630" s="2">
        <f t="shared" si="234"/>
        <v>3.32</v>
      </c>
      <c r="S1630" s="2">
        <f>(1/9)*cnst_fish!$C$7*(1/cnst_fish!$C$8)^(R1630-1)</f>
        <v>29.464432614608246</v>
      </c>
      <c r="T1630" s="682">
        <f t="shared" si="235"/>
        <v>12.6347154274806</v>
      </c>
      <c r="W1630" s="818"/>
      <c r="X1630" s="818"/>
      <c r="Y1630" s="819"/>
      <c r="Z1630" s="820"/>
      <c r="AA1630" s="820"/>
      <c r="AB1630" s="821"/>
      <c r="AC1630" s="821"/>
      <c r="AD1630" s="253"/>
      <c r="AE1630" s="253"/>
    </row>
    <row r="1631" spans="1:31" ht="12.75" customHeight="1">
      <c r="A1631" t="s">
        <v>5363</v>
      </c>
      <c r="B1631" t="s">
        <v>1635</v>
      </c>
      <c r="C1631">
        <v>3342</v>
      </c>
      <c r="D1631" s="581"/>
      <c r="E1631" s="581"/>
      <c r="F1631" s="2">
        <f>(1/S1631)*cnst_fish!$C$6</f>
        <v>3.7939434000887833E-2</v>
      </c>
      <c r="G1631" s="2">
        <f t="shared" si="237"/>
        <v>1</v>
      </c>
      <c r="H1631" s="2">
        <f t="shared" si="237"/>
        <v>0.36449057933102513</v>
      </c>
      <c r="I1631" s="2">
        <f t="shared" si="230"/>
        <v>0</v>
      </c>
      <c r="J1631" s="389">
        <f t="shared" si="231"/>
        <v>0</v>
      </c>
      <c r="L1631" s="721">
        <v>3304</v>
      </c>
      <c r="M1631" s="581"/>
      <c r="N1631" s="585" t="s">
        <v>1738</v>
      </c>
      <c r="O1631" s="586" t="s">
        <v>4681</v>
      </c>
      <c r="P1631" s="233">
        <f t="shared" si="232"/>
        <v>0</v>
      </c>
      <c r="Q1631" s="233">
        <f t="shared" si="233"/>
        <v>3304</v>
      </c>
      <c r="R1631" s="2">
        <f t="shared" si="234"/>
        <v>3.9</v>
      </c>
      <c r="S1631" s="2">
        <f>(1/9)*cnst_fish!$C$7*(1/cnst_fish!$C$8)^(R1631-1)</f>
        <v>112.02064848675771</v>
      </c>
      <c r="T1631" s="682">
        <f t="shared" si="235"/>
        <v>31742.088563617617</v>
      </c>
      <c r="W1631" s="818"/>
      <c r="X1631" s="818"/>
      <c r="Y1631" s="819"/>
      <c r="Z1631" s="820"/>
      <c r="AA1631" s="820"/>
      <c r="AB1631" s="821"/>
      <c r="AC1631" s="821"/>
      <c r="AD1631" s="253"/>
      <c r="AE1631" s="253"/>
    </row>
    <row r="1632" spans="1:31" ht="12.75" customHeight="1">
      <c r="A1632" t="s">
        <v>3468</v>
      </c>
      <c r="B1632" t="s">
        <v>1636</v>
      </c>
      <c r="C1632">
        <v>2535</v>
      </c>
      <c r="D1632" s="581"/>
      <c r="E1632" s="581"/>
      <c r="F1632" s="2">
        <f>(1/S1632)*cnst_fish!$C$6</f>
        <v>7.5699122913220479E-2</v>
      </c>
      <c r="G1632" s="2">
        <f t="shared" si="237"/>
        <v>1</v>
      </c>
      <c r="H1632" s="2">
        <f t="shared" si="237"/>
        <v>0.36449057933102513</v>
      </c>
      <c r="I1632" s="2">
        <f t="shared" si="230"/>
        <v>0</v>
      </c>
      <c r="J1632" s="389">
        <f t="shared" si="231"/>
        <v>0</v>
      </c>
      <c r="L1632" s="721">
        <v>4353</v>
      </c>
      <c r="M1632" s="581"/>
      <c r="N1632" s="585" t="s">
        <v>1738</v>
      </c>
      <c r="O1632" s="586" t="s">
        <v>4681</v>
      </c>
      <c r="P1632" s="233">
        <f t="shared" si="232"/>
        <v>0</v>
      </c>
      <c r="Q1632" s="233">
        <f t="shared" si="233"/>
        <v>4353</v>
      </c>
      <c r="R1632" s="2">
        <f t="shared" si="234"/>
        <v>3.6</v>
      </c>
      <c r="S1632" s="2">
        <f>(1/9)*cnst_fish!$C$7*(1/cnst_fish!$C$8)^(R1632-1)</f>
        <v>56.143318924211187</v>
      </c>
      <c r="T1632" s="682">
        <f t="shared" si="235"/>
        <v>20959.654891204238</v>
      </c>
      <c r="W1632" s="818"/>
      <c r="X1632" s="818"/>
      <c r="Y1632" s="819"/>
      <c r="Z1632" s="820"/>
      <c r="AA1632" s="820"/>
      <c r="AB1632" s="821"/>
      <c r="AC1632" s="821"/>
      <c r="AD1632" s="253"/>
      <c r="AE1632" s="253"/>
    </row>
    <row r="1633" spans="1:31" ht="12.75" customHeight="1">
      <c r="A1633" t="s">
        <v>6590</v>
      </c>
      <c r="B1633" t="s">
        <v>6589</v>
      </c>
      <c r="C1633">
        <v>14405</v>
      </c>
      <c r="D1633" s="581"/>
      <c r="E1633" s="581"/>
      <c r="F1633" s="2">
        <f>(1/S1633)*cnst_fish!$C$6</f>
        <v>0.30136363636363639</v>
      </c>
      <c r="G1633" s="2">
        <f t="shared" si="237"/>
        <v>1</v>
      </c>
      <c r="H1633" s="2">
        <f t="shared" si="237"/>
        <v>0.36449057933102513</v>
      </c>
      <c r="I1633" s="2">
        <f t="shared" si="230"/>
        <v>0</v>
      </c>
      <c r="J1633" s="389">
        <f t="shared" si="231"/>
        <v>0</v>
      </c>
      <c r="L1633" s="721"/>
      <c r="M1633" s="581">
        <v>200</v>
      </c>
      <c r="N1633" s="585" t="s">
        <v>1738</v>
      </c>
      <c r="O1633" s="586" t="s">
        <v>4685</v>
      </c>
      <c r="P1633" s="233">
        <f t="shared" si="232"/>
        <v>0</v>
      </c>
      <c r="Q1633" s="233">
        <f t="shared" si="233"/>
        <v>200</v>
      </c>
      <c r="R1633" s="2">
        <f t="shared" si="234"/>
        <v>3</v>
      </c>
      <c r="S1633" s="2">
        <f>(1/9)*cnst_fish!$C$7*(1/cnst_fish!$C$8)^(R1633-1)</f>
        <v>14.1025641025641</v>
      </c>
      <c r="T1633" s="682">
        <f t="shared" si="235"/>
        <v>241.89420046101213</v>
      </c>
      <c r="W1633" s="818"/>
      <c r="X1633" s="818"/>
      <c r="Y1633" s="819"/>
      <c r="Z1633" s="820"/>
      <c r="AA1633" s="820"/>
      <c r="AB1633" s="821"/>
      <c r="AC1633" s="821"/>
      <c r="AD1633" s="253"/>
      <c r="AE1633" s="253"/>
    </row>
    <row r="1634" spans="1:31" ht="12.75" customHeight="1">
      <c r="A1634" t="s">
        <v>2934</v>
      </c>
      <c r="B1634" t="s">
        <v>1279</v>
      </c>
      <c r="C1634">
        <v>2124</v>
      </c>
      <c r="D1634" s="581"/>
      <c r="E1634" s="581"/>
      <c r="F1634" s="2">
        <f>(1/S1634)*cnst_fish!$C$6</f>
        <v>0.30136363636363639</v>
      </c>
      <c r="G1634" s="2">
        <f t="shared" si="237"/>
        <v>1</v>
      </c>
      <c r="H1634" s="2">
        <f t="shared" si="237"/>
        <v>0.36449057933102513</v>
      </c>
      <c r="I1634" s="2">
        <f t="shared" si="230"/>
        <v>0</v>
      </c>
      <c r="J1634" s="389">
        <f t="shared" si="231"/>
        <v>0</v>
      </c>
      <c r="L1634" s="721"/>
      <c r="M1634" s="581">
        <v>2160</v>
      </c>
      <c r="N1634" s="585" t="s">
        <v>1738</v>
      </c>
      <c r="O1634" s="586" t="s">
        <v>4685</v>
      </c>
      <c r="P1634" s="233">
        <f t="shared" si="232"/>
        <v>0</v>
      </c>
      <c r="Q1634" s="233">
        <f t="shared" si="233"/>
        <v>2160</v>
      </c>
      <c r="R1634" s="2">
        <f t="shared" si="234"/>
        <v>3</v>
      </c>
      <c r="S1634" s="2">
        <f>(1/9)*cnst_fish!$C$7*(1/cnst_fish!$C$8)^(R1634-1)</f>
        <v>14.1025641025641</v>
      </c>
      <c r="T1634" s="682">
        <f t="shared" si="235"/>
        <v>2612.4573649789313</v>
      </c>
      <c r="W1634" s="818"/>
      <c r="X1634" s="818"/>
      <c r="Y1634" s="819"/>
      <c r="Z1634" s="820"/>
      <c r="AA1634" s="820"/>
      <c r="AB1634" s="821"/>
      <c r="AC1634" s="821"/>
      <c r="AD1634" s="253"/>
      <c r="AE1634" s="253"/>
    </row>
    <row r="1635" spans="1:31" ht="12.75" customHeight="1">
      <c r="A1635" t="s">
        <v>3756</v>
      </c>
      <c r="B1635" t="s">
        <v>2506</v>
      </c>
      <c r="C1635">
        <v>18951</v>
      </c>
      <c r="D1635" s="581"/>
      <c r="E1635" s="581"/>
      <c r="F1635" s="2">
        <f>(1/S1635)*cnst_fish!$C$6</f>
        <v>3.0838329721915438E-2</v>
      </c>
      <c r="G1635" s="2">
        <f t="shared" si="237"/>
        <v>1</v>
      </c>
      <c r="H1635" s="2">
        <f t="shared" si="237"/>
        <v>0.36449057933102513</v>
      </c>
      <c r="I1635" s="2">
        <f t="shared" si="230"/>
        <v>0</v>
      </c>
      <c r="J1635" s="389">
        <f t="shared" si="231"/>
        <v>0</v>
      </c>
      <c r="L1635" s="721">
        <v>300</v>
      </c>
      <c r="M1635" s="581"/>
      <c r="N1635" s="585" t="s">
        <v>1738</v>
      </c>
      <c r="O1635" s="586" t="s">
        <v>4681</v>
      </c>
      <c r="P1635" s="233">
        <f t="shared" si="232"/>
        <v>0</v>
      </c>
      <c r="Q1635" s="233">
        <f t="shared" si="233"/>
        <v>300</v>
      </c>
      <c r="R1635" s="2">
        <f t="shared" si="234"/>
        <v>3.99</v>
      </c>
      <c r="S1635" s="2">
        <f>(1/9)*cnst_fish!$C$7*(1/cnst_fish!$C$8)^(R1635-1)</f>
        <v>137.81550551940927</v>
      </c>
      <c r="T1635" s="682">
        <f t="shared" si="235"/>
        <v>3545.8202433577108</v>
      </c>
      <c r="W1635" s="818"/>
      <c r="X1635" s="818"/>
      <c r="Y1635" s="819"/>
      <c r="Z1635" s="820"/>
      <c r="AA1635" s="820"/>
      <c r="AB1635" s="821"/>
      <c r="AC1635" s="821"/>
      <c r="AD1635" s="253"/>
      <c r="AE1635" s="253"/>
    </row>
    <row r="1636" spans="1:31" ht="12.75" customHeight="1">
      <c r="A1636" t="s">
        <v>2820</v>
      </c>
      <c r="B1636" t="s">
        <v>3169</v>
      </c>
      <c r="C1636">
        <v>3144</v>
      </c>
      <c r="D1636" s="581"/>
      <c r="E1636" s="581"/>
      <c r="F1636" s="2">
        <f>(1/S1636)*cnst_fish!$C$6</f>
        <v>6.1530557150722649E-2</v>
      </c>
      <c r="G1636" s="2">
        <f t="shared" si="237"/>
        <v>1</v>
      </c>
      <c r="H1636" s="2">
        <f t="shared" si="237"/>
        <v>0.36449057933102513</v>
      </c>
      <c r="I1636" s="2">
        <f t="shared" si="230"/>
        <v>0</v>
      </c>
      <c r="J1636" s="389">
        <f t="shared" si="231"/>
        <v>0</v>
      </c>
      <c r="L1636" s="721"/>
      <c r="M1636" s="581"/>
      <c r="N1636" s="585" t="s">
        <v>1738</v>
      </c>
      <c r="O1636" s="586" t="s">
        <v>4681</v>
      </c>
      <c r="P1636" s="233">
        <f t="shared" si="232"/>
        <v>0</v>
      </c>
      <c r="Q1636" s="233">
        <f t="shared" si="233"/>
        <v>0</v>
      </c>
      <c r="R1636" s="2">
        <f t="shared" si="234"/>
        <v>3.69</v>
      </c>
      <c r="S1636" s="2">
        <f>(1/9)*cnst_fish!$C$7*(1/cnst_fish!$C$8)^(R1636-1)</f>
        <v>69.071371962216759</v>
      </c>
      <c r="T1636" s="682">
        <f t="shared" si="235"/>
        <v>0</v>
      </c>
      <c r="W1636" s="818"/>
      <c r="X1636" s="818"/>
      <c r="Y1636" s="819"/>
      <c r="Z1636" s="820"/>
      <c r="AA1636" s="820"/>
      <c r="AB1636" s="821"/>
      <c r="AC1636" s="821"/>
      <c r="AD1636" s="253"/>
      <c r="AE1636" s="253"/>
    </row>
    <row r="1637" spans="1:31" ht="12.75" customHeight="1">
      <c r="A1637" t="s">
        <v>2726</v>
      </c>
      <c r="B1637" t="s">
        <v>3170</v>
      </c>
      <c r="C1637">
        <v>3145</v>
      </c>
      <c r="D1637" s="581"/>
      <c r="E1637" s="581"/>
      <c r="F1637" s="2">
        <f>(1/S1637)*cnst_fish!$C$6</f>
        <v>9.7519361156519699E-2</v>
      </c>
      <c r="G1637" s="2">
        <f t="shared" si="237"/>
        <v>1</v>
      </c>
      <c r="H1637" s="2">
        <f t="shared" si="237"/>
        <v>0.36449057933102513</v>
      </c>
      <c r="I1637" s="2">
        <f t="shared" si="230"/>
        <v>0</v>
      </c>
      <c r="J1637" s="389">
        <f t="shared" si="231"/>
        <v>0</v>
      </c>
      <c r="L1637" s="721">
        <v>7707.2</v>
      </c>
      <c r="M1637" s="581"/>
      <c r="N1637" s="585" t="s">
        <v>1738</v>
      </c>
      <c r="O1637" s="586" t="s">
        <v>4681</v>
      </c>
      <c r="P1637" s="233">
        <f t="shared" si="232"/>
        <v>0</v>
      </c>
      <c r="Q1637" s="233">
        <f t="shared" si="233"/>
        <v>7707.2</v>
      </c>
      <c r="R1637" s="2">
        <f t="shared" si="234"/>
        <v>3.49</v>
      </c>
      <c r="S1637" s="2">
        <f>(1/9)*cnst_fish!$C$7*(1/cnst_fish!$C$8)^(R1637-1)</f>
        <v>43.581089432884006</v>
      </c>
      <c r="T1637" s="682">
        <f t="shared" si="235"/>
        <v>28806.605782735551</v>
      </c>
      <c r="W1637" s="818"/>
      <c r="X1637" s="818"/>
      <c r="Y1637" s="819"/>
      <c r="Z1637" s="820"/>
      <c r="AA1637" s="820"/>
      <c r="AB1637" s="821"/>
      <c r="AC1637" s="821"/>
      <c r="AD1637" s="253"/>
      <c r="AE1637" s="253"/>
    </row>
    <row r="1638" spans="1:31" ht="12.75" customHeight="1">
      <c r="A1638" t="s">
        <v>4183</v>
      </c>
      <c r="B1638" t="s">
        <v>3171</v>
      </c>
      <c r="C1638">
        <v>14425</v>
      </c>
      <c r="D1638" s="581"/>
      <c r="E1638" s="581"/>
      <c r="F1638" s="2">
        <f>(1/S1638)*cnst_fish!$C$6</f>
        <v>9.9790878883162681E-2</v>
      </c>
      <c r="G1638" s="2">
        <f t="shared" si="237"/>
        <v>1</v>
      </c>
      <c r="H1638" s="2">
        <f t="shared" si="237"/>
        <v>0.36449057933102513</v>
      </c>
      <c r="I1638" s="2">
        <f t="shared" si="230"/>
        <v>0</v>
      </c>
      <c r="J1638" s="389">
        <f t="shared" si="231"/>
        <v>0</v>
      </c>
      <c r="L1638" s="721">
        <v>3</v>
      </c>
      <c r="M1638" s="581"/>
      <c r="N1638" s="585" t="s">
        <v>2323</v>
      </c>
      <c r="O1638" s="586" t="s">
        <v>4681</v>
      </c>
      <c r="P1638" s="233">
        <f t="shared" si="232"/>
        <v>0</v>
      </c>
      <c r="Q1638" s="233">
        <f t="shared" si="233"/>
        <v>3</v>
      </c>
      <c r="R1638" s="2">
        <f t="shared" si="234"/>
        <v>3.48</v>
      </c>
      <c r="S1638" s="2">
        <f>(1/9)*cnst_fish!$C$7*(1/cnst_fish!$C$8)^(R1638-1)</f>
        <v>42.589062723618177</v>
      </c>
      <c r="T1638" s="682">
        <f t="shared" si="235"/>
        <v>10.957632102562558</v>
      </c>
      <c r="W1638" s="818"/>
      <c r="X1638" s="818"/>
      <c r="Y1638" s="819"/>
      <c r="Z1638" s="820"/>
      <c r="AA1638" s="820"/>
      <c r="AB1638" s="821"/>
      <c r="AC1638" s="821"/>
      <c r="AD1638" s="253"/>
      <c r="AE1638" s="253"/>
    </row>
    <row r="1639" spans="1:31" ht="12.75" customHeight="1">
      <c r="A1639" t="s">
        <v>2212</v>
      </c>
      <c r="B1639" t="s">
        <v>3172</v>
      </c>
      <c r="C1639">
        <v>14426</v>
      </c>
      <c r="D1639" s="581"/>
      <c r="E1639" s="581"/>
      <c r="F1639" s="2">
        <f>(1/S1639)*cnst_fish!$C$6</f>
        <v>4.5613232168782068E-2</v>
      </c>
      <c r="G1639" s="2">
        <f t="shared" si="237"/>
        <v>1</v>
      </c>
      <c r="H1639" s="2">
        <f t="shared" si="237"/>
        <v>0.36449057933102513</v>
      </c>
      <c r="I1639" s="2">
        <f t="shared" si="230"/>
        <v>0</v>
      </c>
      <c r="J1639" s="389">
        <f t="shared" si="231"/>
        <v>0</v>
      </c>
      <c r="L1639" s="721">
        <v>194.09</v>
      </c>
      <c r="M1639" s="581"/>
      <c r="N1639" s="585" t="s">
        <v>1738</v>
      </c>
      <c r="O1639" s="586" t="s">
        <v>4681</v>
      </c>
      <c r="P1639" s="233">
        <f t="shared" si="232"/>
        <v>0</v>
      </c>
      <c r="Q1639" s="233">
        <f t="shared" si="233"/>
        <v>194.09</v>
      </c>
      <c r="R1639" s="2">
        <f t="shared" si="234"/>
        <v>3.82</v>
      </c>
      <c r="S1639" s="2">
        <f>(1/9)*cnst_fish!$C$7*(1/cnst_fish!$C$8)^(R1639-1)</f>
        <v>93.174717026712301</v>
      </c>
      <c r="T1639" s="682">
        <f t="shared" si="235"/>
        <v>1550.9529401596803</v>
      </c>
      <c r="W1639" s="818"/>
      <c r="X1639" s="818"/>
      <c r="Y1639" s="819"/>
      <c r="Z1639" s="820"/>
      <c r="AA1639" s="820"/>
      <c r="AB1639" s="821"/>
      <c r="AC1639" s="821"/>
      <c r="AD1639" s="253"/>
      <c r="AE1639" s="253"/>
    </row>
    <row r="1640" spans="1:31" ht="12.75" customHeight="1">
      <c r="A1640" t="s">
        <v>4176</v>
      </c>
      <c r="B1640" t="s">
        <v>4177</v>
      </c>
      <c r="C1640">
        <v>18952</v>
      </c>
      <c r="D1640" s="581"/>
      <c r="E1640" s="581"/>
      <c r="F1640" s="2">
        <f>(1/S1640)*cnst_fish!$C$6</f>
        <v>3.0838329721915438E-2</v>
      </c>
      <c r="G1640" s="2">
        <f t="shared" si="237"/>
        <v>1</v>
      </c>
      <c r="H1640" s="2">
        <f t="shared" si="237"/>
        <v>0.36449057933102513</v>
      </c>
      <c r="I1640" s="2">
        <f t="shared" si="230"/>
        <v>0</v>
      </c>
      <c r="J1640" s="389">
        <f t="shared" si="231"/>
        <v>0</v>
      </c>
      <c r="L1640" s="721">
        <v>201</v>
      </c>
      <c r="M1640" s="581"/>
      <c r="N1640" s="585" t="s">
        <v>1738</v>
      </c>
      <c r="O1640" s="586" t="s">
        <v>4681</v>
      </c>
      <c r="P1640" s="233">
        <f t="shared" si="232"/>
        <v>0</v>
      </c>
      <c r="Q1640" s="233">
        <f t="shared" si="233"/>
        <v>201</v>
      </c>
      <c r="R1640" s="2">
        <f t="shared" si="234"/>
        <v>3.99</v>
      </c>
      <c r="S1640" s="2">
        <f>(1/9)*cnst_fish!$C$7*(1/cnst_fish!$C$8)^(R1640-1)</f>
        <v>137.81550551940927</v>
      </c>
      <c r="T1640" s="682">
        <f t="shared" si="235"/>
        <v>2375.6995630496663</v>
      </c>
      <c r="W1640" s="822"/>
      <c r="X1640" s="822"/>
      <c r="Y1640" s="819"/>
      <c r="Z1640" s="820"/>
      <c r="AA1640" s="820"/>
      <c r="AB1640" s="821"/>
      <c r="AC1640" s="821"/>
      <c r="AD1640" s="253"/>
      <c r="AE1640" s="253"/>
    </row>
    <row r="1641" spans="1:31" ht="12.75" customHeight="1">
      <c r="A1641" t="s">
        <v>4983</v>
      </c>
      <c r="B1641" t="s">
        <v>4984</v>
      </c>
      <c r="C1641">
        <v>19138</v>
      </c>
      <c r="D1641" s="581"/>
      <c r="E1641" s="581"/>
      <c r="F1641" s="2">
        <f>(1/S1641)*cnst_fish!$C$6</f>
        <v>5.4839166784473523E-2</v>
      </c>
      <c r="G1641" s="2">
        <f t="shared" si="237"/>
        <v>1</v>
      </c>
      <c r="H1641" s="2">
        <f t="shared" si="237"/>
        <v>0.36449057933102513</v>
      </c>
      <c r="I1641" s="2">
        <f t="shared" si="230"/>
        <v>0</v>
      </c>
      <c r="J1641" s="389">
        <f t="shared" si="231"/>
        <v>0</v>
      </c>
      <c r="L1641" s="721">
        <v>2082.9699999999998</v>
      </c>
      <c r="M1641" s="581"/>
      <c r="N1641" s="585" t="s">
        <v>1738</v>
      </c>
      <c r="O1641" s="586" t="s">
        <v>4681</v>
      </c>
      <c r="P1641" s="233">
        <f t="shared" si="232"/>
        <v>0</v>
      </c>
      <c r="Q1641" s="233">
        <f t="shared" si="233"/>
        <v>2082.9699999999998</v>
      </c>
      <c r="R1641" s="2">
        <f t="shared" si="234"/>
        <v>3.74</v>
      </c>
      <c r="S1641" s="2">
        <f>(1/9)*cnst_fish!$C$7*(1/cnst_fish!$C$8)^(R1641-1)</f>
        <v>77.499354005562537</v>
      </c>
      <c r="T1641" s="682">
        <f t="shared" si="235"/>
        <v>13844.538247873275</v>
      </c>
      <c r="W1641" s="818"/>
      <c r="X1641" s="818"/>
      <c r="Y1641" s="819"/>
      <c r="Z1641" s="820"/>
      <c r="AA1641" s="820"/>
      <c r="AB1641" s="821"/>
      <c r="AC1641" s="821"/>
      <c r="AD1641" s="253"/>
      <c r="AE1641" s="253"/>
    </row>
    <row r="1642" spans="1:31" ht="12.75" customHeight="1">
      <c r="A1642" t="s">
        <v>5234</v>
      </c>
      <c r="B1642" t="s">
        <v>3173</v>
      </c>
      <c r="C1642">
        <v>14431</v>
      </c>
      <c r="D1642" s="581"/>
      <c r="E1642" s="581"/>
      <c r="F1642" s="2">
        <f>(1/S1642)*cnst_fish!$C$6</f>
        <v>9.5299549485983424E-3</v>
      </c>
      <c r="G1642" s="2">
        <f t="shared" si="237"/>
        <v>1</v>
      </c>
      <c r="H1642" s="2">
        <f t="shared" si="237"/>
        <v>0.36449057933102513</v>
      </c>
      <c r="I1642" s="2">
        <f t="shared" si="230"/>
        <v>0</v>
      </c>
      <c r="J1642" s="389">
        <f t="shared" si="231"/>
        <v>0</v>
      </c>
      <c r="L1642" s="721">
        <v>404</v>
      </c>
      <c r="M1642" s="581"/>
      <c r="N1642" s="585" t="s">
        <v>1738</v>
      </c>
      <c r="O1642" s="586" t="s">
        <v>4681</v>
      </c>
      <c r="P1642" s="233">
        <f t="shared" si="232"/>
        <v>0</v>
      </c>
      <c r="Q1642" s="233">
        <f t="shared" si="233"/>
        <v>404</v>
      </c>
      <c r="R1642" s="2">
        <f t="shared" si="234"/>
        <v>4.5</v>
      </c>
      <c r="S1642" s="2">
        <f>(1/9)*cnst_fish!$C$7*(1/cnst_fish!$C$8)^(R1642-1)</f>
        <v>445.96223412630997</v>
      </c>
      <c r="T1642" s="682">
        <f t="shared" si="235"/>
        <v>15451.71985009144</v>
      </c>
      <c r="W1642" s="818"/>
      <c r="X1642" s="818"/>
      <c r="Y1642" s="819"/>
      <c r="Z1642" s="820"/>
      <c r="AA1642" s="820"/>
      <c r="AB1642" s="821"/>
      <c r="AC1642" s="821"/>
      <c r="AD1642" s="253"/>
      <c r="AE1642" s="253"/>
    </row>
    <row r="1643" spans="1:31" ht="12.75" customHeight="1">
      <c r="A1643" t="s">
        <v>304</v>
      </c>
      <c r="B1643" t="s">
        <v>305</v>
      </c>
      <c r="C1643">
        <v>14433</v>
      </c>
      <c r="D1643" s="581"/>
      <c r="E1643" s="581"/>
      <c r="F1643" s="2">
        <f>(1/S1643)*cnst_fish!$C$6</f>
        <v>9.7519361156519751E-3</v>
      </c>
      <c r="G1643" s="2">
        <f t="shared" si="237"/>
        <v>1</v>
      </c>
      <c r="H1643" s="2">
        <f t="shared" si="237"/>
        <v>0.36449057933102513</v>
      </c>
      <c r="I1643" s="2">
        <f t="shared" si="230"/>
        <v>0</v>
      </c>
      <c r="J1643" s="389">
        <f t="shared" si="231"/>
        <v>0</v>
      </c>
      <c r="L1643" s="721">
        <v>40645.980000000003</v>
      </c>
      <c r="M1643" s="581"/>
      <c r="N1643" s="585" t="s">
        <v>1738</v>
      </c>
      <c r="O1643" s="586" t="s">
        <v>4681</v>
      </c>
      <c r="P1643" s="233">
        <f t="shared" si="232"/>
        <v>0</v>
      </c>
      <c r="Q1643" s="233">
        <f t="shared" si="233"/>
        <v>40645.980000000003</v>
      </c>
      <c r="R1643" s="2">
        <f t="shared" si="234"/>
        <v>4.49</v>
      </c>
      <c r="S1643" s="2">
        <f>(1/9)*cnst_fish!$C$7*(1/cnst_fish!$C$8)^(R1643-1)</f>
        <v>435.81089432883982</v>
      </c>
      <c r="T1643" s="682">
        <f t="shared" si="235"/>
        <v>1519193.3808814525</v>
      </c>
      <c r="W1643" s="822"/>
      <c r="X1643" s="822"/>
      <c r="Y1643" s="819"/>
      <c r="Z1643" s="820"/>
      <c r="AA1643" s="820"/>
      <c r="AB1643" s="821"/>
      <c r="AC1643" s="821"/>
      <c r="AD1643" s="253"/>
      <c r="AE1643" s="253"/>
    </row>
    <row r="1644" spans="1:31" ht="12.75" customHeight="1">
      <c r="A1644" t="s">
        <v>4265</v>
      </c>
      <c r="B1644" t="s">
        <v>8723</v>
      </c>
      <c r="C1644">
        <v>2285</v>
      </c>
      <c r="D1644" s="581"/>
      <c r="E1644" s="581"/>
      <c r="F1644" s="2">
        <f>(1/S1644)*cnst_fish!$C$6</f>
        <v>2.3938164528281767E-2</v>
      </c>
      <c r="G1644" s="2">
        <f t="shared" si="237"/>
        <v>1</v>
      </c>
      <c r="H1644" s="2">
        <f t="shared" si="237"/>
        <v>0.36449057933102513</v>
      </c>
      <c r="I1644" s="2">
        <f t="shared" si="230"/>
        <v>0</v>
      </c>
      <c r="J1644" s="389">
        <f t="shared" si="231"/>
        <v>0</v>
      </c>
      <c r="L1644" s="721"/>
      <c r="M1644" s="581"/>
      <c r="N1644" s="585" t="s">
        <v>1738</v>
      </c>
      <c r="O1644" s="586" t="s">
        <v>4681</v>
      </c>
      <c r="P1644" s="233">
        <f t="shared" si="232"/>
        <v>0</v>
      </c>
      <c r="Q1644" s="233">
        <f t="shared" si="233"/>
        <v>0</v>
      </c>
      <c r="R1644" s="2">
        <f t="shared" si="234"/>
        <v>4.0999999999999996</v>
      </c>
      <c r="S1644" s="2">
        <f>(1/9)*cnst_fish!$C$7*(1/cnst_fish!$C$8)^(R1644-1)</f>
        <v>177.54076320174144</v>
      </c>
      <c r="T1644" s="682">
        <f t="shared" si="235"/>
        <v>0</v>
      </c>
      <c r="W1644" s="818"/>
      <c r="X1644" s="818"/>
      <c r="Y1644" s="819"/>
      <c r="Z1644" s="820"/>
      <c r="AA1644" s="820"/>
      <c r="AB1644" s="821"/>
      <c r="AC1644" s="821"/>
      <c r="AD1644" s="253"/>
      <c r="AE1644" s="253"/>
    </row>
    <row r="1645" spans="1:31" ht="12.75" customHeight="1">
      <c r="A1645" t="s">
        <v>3333</v>
      </c>
      <c r="B1645" t="s">
        <v>3174</v>
      </c>
      <c r="C1645">
        <v>14434</v>
      </c>
      <c r="D1645" s="581"/>
      <c r="E1645" s="581"/>
      <c r="F1645" s="2">
        <f>(1/S1645)*cnst_fish!$C$6</f>
        <v>1.581578846116358E-2</v>
      </c>
      <c r="G1645" s="2">
        <f t="shared" si="237"/>
        <v>1</v>
      </c>
      <c r="H1645" s="2">
        <f t="shared" si="237"/>
        <v>0.36449057933102513</v>
      </c>
      <c r="I1645" s="2">
        <f t="shared" si="230"/>
        <v>0</v>
      </c>
      <c r="J1645" s="389">
        <f t="shared" si="231"/>
        <v>0</v>
      </c>
      <c r="L1645" s="721">
        <v>360</v>
      </c>
      <c r="M1645" s="581"/>
      <c r="N1645" s="585" t="s">
        <v>1738</v>
      </c>
      <c r="O1645" s="586" t="s">
        <v>4681</v>
      </c>
      <c r="P1645" s="233">
        <f t="shared" si="232"/>
        <v>0</v>
      </c>
      <c r="Q1645" s="233">
        <f t="shared" si="233"/>
        <v>360</v>
      </c>
      <c r="R1645" s="2">
        <f t="shared" si="234"/>
        <v>4.28</v>
      </c>
      <c r="S1645" s="2">
        <f>(1/9)*cnst_fish!$C$7*(1/cnst_fish!$C$8)^(R1645-1)</f>
        <v>268.71881919994547</v>
      </c>
      <c r="T1645" s="682">
        <f t="shared" si="235"/>
        <v>8296.5581438685567</v>
      </c>
      <c r="W1645" s="818"/>
      <c r="X1645" s="818"/>
      <c r="Y1645" s="819"/>
      <c r="Z1645" s="820"/>
      <c r="AA1645" s="820"/>
      <c r="AB1645" s="821"/>
      <c r="AC1645" s="821"/>
      <c r="AD1645" s="253"/>
      <c r="AE1645" s="253"/>
    </row>
    <row r="1646" spans="1:31" ht="12.75" customHeight="1">
      <c r="A1646" t="s">
        <v>3528</v>
      </c>
      <c r="B1646" t="s">
        <v>181</v>
      </c>
      <c r="C1646">
        <v>3437</v>
      </c>
      <c r="D1646" s="581"/>
      <c r="E1646" s="581"/>
      <c r="F1646" s="2">
        <f>(1/S1646)*cnst_fish!$C$6</f>
        <v>1.9014759972289452</v>
      </c>
      <c r="G1646" s="2">
        <f t="shared" si="237"/>
        <v>1</v>
      </c>
      <c r="H1646" s="2">
        <f t="shared" si="237"/>
        <v>0.36449057933102513</v>
      </c>
      <c r="I1646" s="2">
        <f t="shared" si="230"/>
        <v>0</v>
      </c>
      <c r="J1646" s="389">
        <f t="shared" si="231"/>
        <v>0</v>
      </c>
      <c r="L1646" s="721">
        <v>255706</v>
      </c>
      <c r="M1646" s="581"/>
      <c r="N1646" s="585" t="s">
        <v>2322</v>
      </c>
      <c r="O1646" s="586" t="s">
        <v>4680</v>
      </c>
      <c r="P1646" s="233">
        <f t="shared" si="232"/>
        <v>0</v>
      </c>
      <c r="Q1646" s="233">
        <f t="shared" si="233"/>
        <v>255706</v>
      </c>
      <c r="R1646" s="2">
        <f t="shared" si="234"/>
        <v>2.2000000000000002</v>
      </c>
      <c r="S1646" s="2">
        <f>(1/9)*cnst_fish!$C$7*(1/cnst_fish!$C$8)^(R1646-1)</f>
        <v>2.2351057842400328</v>
      </c>
      <c r="T1646" s="682">
        <f t="shared" si="235"/>
        <v>49015.832024303578</v>
      </c>
      <c r="W1646" s="818"/>
      <c r="X1646" s="818"/>
      <c r="Y1646" s="819"/>
      <c r="Z1646" s="820"/>
      <c r="AA1646" s="820"/>
      <c r="AB1646" s="821"/>
      <c r="AC1646" s="821"/>
      <c r="AD1646" s="253"/>
      <c r="AE1646" s="253"/>
    </row>
    <row r="1647" spans="1:31" ht="12.75" customHeight="1">
      <c r="A1647" t="s">
        <v>865</v>
      </c>
      <c r="B1647" t="s">
        <v>182</v>
      </c>
      <c r="C1647">
        <v>2611</v>
      </c>
      <c r="D1647" s="581"/>
      <c r="E1647" s="581"/>
      <c r="F1647" s="2">
        <f>(1/S1647)*cnst_fish!$C$6</f>
        <v>1.9014759972289452</v>
      </c>
      <c r="G1647" s="2">
        <f t="shared" si="237"/>
        <v>1</v>
      </c>
      <c r="H1647" s="2">
        <f t="shared" si="237"/>
        <v>0.36449057933102513</v>
      </c>
      <c r="I1647" s="2">
        <f t="shared" si="230"/>
        <v>0</v>
      </c>
      <c r="J1647" s="389">
        <f t="shared" si="231"/>
        <v>0</v>
      </c>
      <c r="L1647" s="721"/>
      <c r="M1647" s="581"/>
      <c r="N1647" s="585" t="s">
        <v>2322</v>
      </c>
      <c r="O1647" s="586" t="s">
        <v>4680</v>
      </c>
      <c r="P1647" s="233">
        <f t="shared" si="232"/>
        <v>0</v>
      </c>
      <c r="Q1647" s="233">
        <f t="shared" si="233"/>
        <v>0</v>
      </c>
      <c r="R1647" s="2">
        <f t="shared" si="234"/>
        <v>2.2000000000000002</v>
      </c>
      <c r="S1647" s="2">
        <f>(1/9)*cnst_fish!$C$7*(1/cnst_fish!$C$8)^(R1647-1)</f>
        <v>2.2351057842400328</v>
      </c>
      <c r="T1647" s="682">
        <f t="shared" si="235"/>
        <v>0</v>
      </c>
      <c r="W1647" s="818"/>
      <c r="X1647" s="818"/>
      <c r="Y1647" s="819"/>
      <c r="Z1647" s="820"/>
      <c r="AA1647" s="820"/>
      <c r="AB1647" s="821"/>
      <c r="AC1647" s="821"/>
      <c r="AD1647" s="253"/>
      <c r="AE1647" s="253"/>
    </row>
    <row r="1648" spans="1:31" ht="12.75" customHeight="1">
      <c r="A1648" t="s">
        <v>8724</v>
      </c>
      <c r="B1648" t="s">
        <v>8725</v>
      </c>
      <c r="C1648">
        <v>16522</v>
      </c>
      <c r="D1648" s="581"/>
      <c r="E1648" s="581"/>
      <c r="F1648" s="2">
        <f>(1/S1648)*cnst_fish!$C$6</f>
        <v>3.0136363636363641</v>
      </c>
      <c r="G1648" s="2">
        <f t="shared" ref="G1648:H1667" si="238">G$7</f>
        <v>1</v>
      </c>
      <c r="H1648" s="2">
        <f t="shared" si="238"/>
        <v>0.36449057933102513</v>
      </c>
      <c r="I1648" s="2">
        <f t="shared" si="230"/>
        <v>0</v>
      </c>
      <c r="J1648" s="389">
        <f t="shared" si="231"/>
        <v>0</v>
      </c>
      <c r="L1648" s="721">
        <v>455</v>
      </c>
      <c r="M1648" s="581"/>
      <c r="N1648" s="585" t="s">
        <v>2322</v>
      </c>
      <c r="O1648" s="586" t="s">
        <v>4680</v>
      </c>
      <c r="P1648" s="233">
        <f t="shared" si="232"/>
        <v>0</v>
      </c>
      <c r="Q1648" s="233">
        <f t="shared" si="233"/>
        <v>455</v>
      </c>
      <c r="R1648" s="2">
        <f t="shared" si="234"/>
        <v>2</v>
      </c>
      <c r="S1648" s="2">
        <f>(1/9)*cnst_fish!$C$7*(1/cnst_fish!$C$8)^(R1648-1)</f>
        <v>1.4102564102564099</v>
      </c>
      <c r="T1648" s="682">
        <f t="shared" si="235"/>
        <v>55.030930604880261</v>
      </c>
      <c r="W1648" s="818"/>
      <c r="X1648" s="818"/>
      <c r="Y1648" s="819"/>
      <c r="Z1648" s="820"/>
      <c r="AA1648" s="820"/>
      <c r="AB1648" s="821"/>
      <c r="AC1648" s="821"/>
      <c r="AD1648" s="253"/>
      <c r="AE1648" s="253"/>
    </row>
    <row r="1649" spans="1:31" ht="12.75" customHeight="1">
      <c r="A1649" t="s">
        <v>6403</v>
      </c>
      <c r="B1649" t="s">
        <v>6402</v>
      </c>
      <c r="C1649">
        <v>16521</v>
      </c>
      <c r="D1649" s="581"/>
      <c r="E1649" s="581"/>
      <c r="F1649" s="2">
        <f>(1/S1649)*cnst_fish!$C$6</f>
        <v>3.0136363636363641</v>
      </c>
      <c r="G1649" s="2">
        <f t="shared" si="238"/>
        <v>1</v>
      </c>
      <c r="H1649" s="2">
        <f t="shared" si="238"/>
        <v>0.36449057933102513</v>
      </c>
      <c r="I1649" s="2">
        <f t="shared" si="230"/>
        <v>0</v>
      </c>
      <c r="J1649" s="389">
        <f t="shared" si="231"/>
        <v>0</v>
      </c>
      <c r="L1649" s="721">
        <v>29</v>
      </c>
      <c r="M1649" s="581"/>
      <c r="N1649" s="585" t="s">
        <v>2322</v>
      </c>
      <c r="O1649" s="586" t="s">
        <v>4680</v>
      </c>
      <c r="P1649" s="233">
        <f t="shared" si="232"/>
        <v>0</v>
      </c>
      <c r="Q1649" s="233">
        <f t="shared" si="233"/>
        <v>29</v>
      </c>
      <c r="R1649" s="2">
        <f t="shared" si="234"/>
        <v>2</v>
      </c>
      <c r="S1649" s="2">
        <f>(1/9)*cnst_fish!$C$7*(1/cnst_fish!$C$8)^(R1649-1)</f>
        <v>1.4102564102564099</v>
      </c>
      <c r="T1649" s="682">
        <f t="shared" si="235"/>
        <v>3.5074659066846756</v>
      </c>
      <c r="W1649" s="818"/>
      <c r="X1649" s="818"/>
      <c r="Y1649" s="819"/>
      <c r="Z1649" s="820"/>
      <c r="AA1649" s="820"/>
      <c r="AB1649" s="821"/>
      <c r="AC1649" s="821"/>
      <c r="AD1649" s="253"/>
      <c r="AE1649" s="253"/>
    </row>
    <row r="1650" spans="1:31" ht="12.75" customHeight="1">
      <c r="A1650" t="s">
        <v>3356</v>
      </c>
      <c r="B1650" t="s">
        <v>106</v>
      </c>
      <c r="C1650">
        <v>3421</v>
      </c>
      <c r="D1650" s="581"/>
      <c r="E1650" s="581"/>
      <c r="F1650" s="2">
        <f>(1/S1650)*cnst_fish!$C$6</f>
        <v>1.5103960722494616</v>
      </c>
      <c r="G1650" s="2">
        <f t="shared" si="238"/>
        <v>1</v>
      </c>
      <c r="H1650" s="2">
        <f t="shared" si="238"/>
        <v>0.36449057933102513</v>
      </c>
      <c r="I1650" s="2">
        <f t="shared" si="230"/>
        <v>0</v>
      </c>
      <c r="J1650" s="389">
        <f t="shared" si="231"/>
        <v>0</v>
      </c>
      <c r="L1650" s="721">
        <v>128</v>
      </c>
      <c r="M1650" s="581"/>
      <c r="N1650" s="585" t="s">
        <v>2322</v>
      </c>
      <c r="O1650" s="586" t="s">
        <v>4680</v>
      </c>
      <c r="P1650" s="233">
        <f t="shared" si="232"/>
        <v>0</v>
      </c>
      <c r="Q1650" s="233">
        <f t="shared" si="233"/>
        <v>128</v>
      </c>
      <c r="R1650" s="2">
        <f t="shared" si="234"/>
        <v>2.2999999999999998</v>
      </c>
      <c r="S1650" s="2">
        <f>(1/9)*cnst_fish!$C$7*(1/cnst_fish!$C$8)^(R1650-1)</f>
        <v>2.8138314698279068</v>
      </c>
      <c r="T1650" s="682">
        <f t="shared" si="235"/>
        <v>30.889112472920662</v>
      </c>
      <c r="W1650" s="818"/>
      <c r="X1650" s="818"/>
      <c r="Y1650" s="819"/>
      <c r="Z1650" s="820"/>
      <c r="AA1650" s="820"/>
      <c r="AB1650" s="821"/>
      <c r="AC1650" s="821"/>
      <c r="AD1650" s="253"/>
      <c r="AE1650" s="253"/>
    </row>
    <row r="1651" spans="1:31" ht="12.75" customHeight="1">
      <c r="A1651" t="s">
        <v>1990</v>
      </c>
      <c r="B1651" t="s">
        <v>3175</v>
      </c>
      <c r="C1651">
        <v>3244</v>
      </c>
      <c r="D1651" s="581"/>
      <c r="E1651" s="581"/>
      <c r="F1651" s="2">
        <f>(1/S1651)*cnst_fish!$C$6</f>
        <v>0.30136363636363639</v>
      </c>
      <c r="G1651" s="2">
        <f t="shared" si="238"/>
        <v>1</v>
      </c>
      <c r="H1651" s="2">
        <f t="shared" si="238"/>
        <v>0.36449057933102513</v>
      </c>
      <c r="I1651" s="2">
        <f t="shared" si="230"/>
        <v>0</v>
      </c>
      <c r="J1651" s="389">
        <f t="shared" si="231"/>
        <v>0</v>
      </c>
      <c r="L1651" s="721">
        <v>1.4</v>
      </c>
      <c r="M1651" s="581"/>
      <c r="N1651" s="585" t="s">
        <v>1738</v>
      </c>
      <c r="O1651" s="586" t="s">
        <v>4681</v>
      </c>
      <c r="P1651" s="233">
        <f t="shared" si="232"/>
        <v>0</v>
      </c>
      <c r="Q1651" s="233">
        <f t="shared" si="233"/>
        <v>1.4</v>
      </c>
      <c r="R1651" s="2">
        <f t="shared" si="234"/>
        <v>3</v>
      </c>
      <c r="S1651" s="2">
        <f>(1/9)*cnst_fish!$C$7*(1/cnst_fish!$C$8)^(R1651-1)</f>
        <v>14.1025641025641</v>
      </c>
      <c r="T1651" s="682">
        <f t="shared" si="235"/>
        <v>1.6932594032270849</v>
      </c>
      <c r="W1651" s="818"/>
      <c r="X1651" s="818"/>
      <c r="Y1651" s="819"/>
      <c r="Z1651" s="820"/>
      <c r="AA1651" s="820"/>
      <c r="AB1651" s="821"/>
      <c r="AC1651" s="821"/>
      <c r="AD1651" s="253"/>
      <c r="AE1651" s="253"/>
    </row>
    <row r="1652" spans="1:31" ht="12.75" customHeight="1">
      <c r="A1652" t="s">
        <v>2919</v>
      </c>
      <c r="B1652" t="s">
        <v>5209</v>
      </c>
      <c r="C1652">
        <v>2534</v>
      </c>
      <c r="D1652" s="581"/>
      <c r="E1652" s="581"/>
      <c r="F1652" s="2">
        <f>(1/S1652)*cnst_fish!$C$6</f>
        <v>7.9266712664847111E-2</v>
      </c>
      <c r="G1652" s="2">
        <f t="shared" si="238"/>
        <v>1</v>
      </c>
      <c r="H1652" s="2">
        <f t="shared" si="238"/>
        <v>0.36449057933102513</v>
      </c>
      <c r="I1652" s="2">
        <f t="shared" si="230"/>
        <v>0</v>
      </c>
      <c r="J1652" s="389">
        <f t="shared" si="231"/>
        <v>0</v>
      </c>
      <c r="L1652" s="721">
        <v>57059</v>
      </c>
      <c r="M1652" s="581"/>
      <c r="N1652" s="585" t="s">
        <v>2313</v>
      </c>
      <c r="O1652" s="586" t="s">
        <v>4681</v>
      </c>
      <c r="P1652" s="233">
        <f t="shared" si="232"/>
        <v>0</v>
      </c>
      <c r="Q1652" s="233">
        <f t="shared" si="233"/>
        <v>57059</v>
      </c>
      <c r="R1652" s="2">
        <f t="shared" si="234"/>
        <v>3.58</v>
      </c>
      <c r="S1652" s="2">
        <f>(1/9)*cnst_fish!$C$7*(1/cnst_fish!$C$8)^(R1652-1)</f>
        <v>53.616453327258682</v>
      </c>
      <c r="T1652" s="682">
        <f t="shared" si="235"/>
        <v>262373.28718278161</v>
      </c>
      <c r="W1652" s="818"/>
      <c r="X1652" s="818"/>
      <c r="Y1652" s="819"/>
      <c r="Z1652" s="820"/>
      <c r="AA1652" s="820"/>
      <c r="AB1652" s="821"/>
      <c r="AC1652" s="821"/>
      <c r="AD1652" s="253"/>
      <c r="AE1652" s="253"/>
    </row>
    <row r="1653" spans="1:31" ht="12.75" customHeight="1">
      <c r="A1653" t="s">
        <v>3340</v>
      </c>
      <c r="B1653" t="s">
        <v>5210</v>
      </c>
      <c r="C1653">
        <v>14439</v>
      </c>
      <c r="D1653" s="581"/>
      <c r="E1653" s="581"/>
      <c r="F1653" s="2">
        <f>(1/S1653)*cnst_fish!$C$6</f>
        <v>0.1409583630333692</v>
      </c>
      <c r="G1653" s="2">
        <f t="shared" si="238"/>
        <v>1</v>
      </c>
      <c r="H1653" s="2">
        <f t="shared" si="238"/>
        <v>0.36449057933102513</v>
      </c>
      <c r="I1653" s="2">
        <f t="shared" si="230"/>
        <v>0</v>
      </c>
      <c r="J1653" s="389">
        <f t="shared" si="231"/>
        <v>0</v>
      </c>
      <c r="L1653" s="721">
        <v>71089</v>
      </c>
      <c r="M1653" s="581"/>
      <c r="N1653" s="585" t="s">
        <v>2313</v>
      </c>
      <c r="O1653" s="586" t="s">
        <v>4681</v>
      </c>
      <c r="P1653" s="233">
        <f t="shared" si="232"/>
        <v>0</v>
      </c>
      <c r="Q1653" s="233">
        <f t="shared" si="233"/>
        <v>71089</v>
      </c>
      <c r="R1653" s="2">
        <f t="shared" si="234"/>
        <v>3.33</v>
      </c>
      <c r="S1653" s="2">
        <f>(1/9)*cnst_fish!$C$7*(1/cnst_fish!$C$8)^(R1653-1)</f>
        <v>30.15074741605714</v>
      </c>
      <c r="T1653" s="682">
        <f t="shared" si="235"/>
        <v>183822.16022137861</v>
      </c>
      <c r="W1653" s="818"/>
      <c r="X1653" s="818"/>
      <c r="Y1653" s="819"/>
      <c r="Z1653" s="820"/>
      <c r="AA1653" s="820"/>
      <c r="AB1653" s="821"/>
      <c r="AC1653" s="821"/>
      <c r="AD1653" s="253"/>
      <c r="AE1653" s="253"/>
    </row>
    <row r="1654" spans="1:31" ht="12.75" customHeight="1">
      <c r="A1654" t="s">
        <v>1480</v>
      </c>
      <c r="B1654" t="s">
        <v>5404</v>
      </c>
      <c r="C1654">
        <v>16599</v>
      </c>
      <c r="D1654" s="581"/>
      <c r="E1654" s="581"/>
      <c r="F1654" s="2">
        <f>(1/S1654)*cnst_fish!$C$6</f>
        <v>2.4296179854146147</v>
      </c>
      <c r="G1654" s="2">
        <f t="shared" si="238"/>
        <v>1</v>
      </c>
      <c r="H1654" s="2">
        <f t="shared" si="238"/>
        <v>0.36449057933102513</v>
      </c>
      <c r="I1654" s="2">
        <f t="shared" si="230"/>
        <v>0</v>
      </c>
      <c r="J1654" s="389">
        <f t="shared" si="231"/>
        <v>0</v>
      </c>
      <c r="L1654" s="721">
        <v>5399</v>
      </c>
      <c r="M1654" s="581"/>
      <c r="N1654" s="585" t="s">
        <v>3790</v>
      </c>
      <c r="O1654" s="586" t="s">
        <v>4680</v>
      </c>
      <c r="P1654" s="233">
        <f t="shared" si="232"/>
        <v>0</v>
      </c>
      <c r="Q1654" s="233">
        <f t="shared" si="233"/>
        <v>5399</v>
      </c>
      <c r="R1654" s="2">
        <f t="shared" si="234"/>
        <v>2.0935528537656198</v>
      </c>
      <c r="S1654" s="2">
        <f>(1/9)*cnst_fish!$C$7*(1/cnst_fish!$C$8)^(R1654-1)</f>
        <v>1.7492461882952093</v>
      </c>
      <c r="T1654" s="682">
        <f t="shared" si="235"/>
        <v>809.95640039781188</v>
      </c>
      <c r="W1654" s="818"/>
      <c r="X1654" s="818"/>
      <c r="Y1654" s="819"/>
      <c r="Z1654" s="820"/>
      <c r="AA1654" s="820"/>
      <c r="AB1654" s="821"/>
      <c r="AC1654" s="821"/>
      <c r="AD1654" s="253"/>
      <c r="AE1654" s="253"/>
    </row>
    <row r="1655" spans="1:31" ht="12.75" customHeight="1">
      <c r="A1655" t="s">
        <v>4909</v>
      </c>
      <c r="B1655" t="s">
        <v>3818</v>
      </c>
      <c r="C1655">
        <v>16853</v>
      </c>
      <c r="D1655" s="581"/>
      <c r="E1655" s="581"/>
      <c r="F1655" s="2">
        <f>(1/S1655)*cnst_fish!$C$6</f>
        <v>2.4296179854146147</v>
      </c>
      <c r="G1655" s="2">
        <f t="shared" si="238"/>
        <v>1</v>
      </c>
      <c r="H1655" s="2">
        <f t="shared" si="238"/>
        <v>0.36449057933102513</v>
      </c>
      <c r="I1655" s="2">
        <f t="shared" si="230"/>
        <v>0</v>
      </c>
      <c r="J1655" s="389">
        <f t="shared" si="231"/>
        <v>0</v>
      </c>
      <c r="L1655" s="721">
        <v>0</v>
      </c>
      <c r="M1655" s="581"/>
      <c r="N1655" s="585" t="s">
        <v>2311</v>
      </c>
      <c r="O1655" s="586" t="s">
        <v>4680</v>
      </c>
      <c r="P1655" s="233">
        <f t="shared" si="232"/>
        <v>0</v>
      </c>
      <c r="Q1655" s="233">
        <f t="shared" si="233"/>
        <v>0</v>
      </c>
      <c r="R1655" s="2">
        <f t="shared" si="234"/>
        <v>2.0935528537656198</v>
      </c>
      <c r="S1655" s="2">
        <f>(1/9)*cnst_fish!$C$7*(1/cnst_fish!$C$8)^(R1655-1)</f>
        <v>1.7492461882952093</v>
      </c>
      <c r="T1655" s="682">
        <f t="shared" si="235"/>
        <v>0</v>
      </c>
      <c r="W1655" s="818"/>
      <c r="X1655" s="818"/>
      <c r="Y1655" s="819"/>
      <c r="Z1655" s="820"/>
      <c r="AA1655" s="820"/>
      <c r="AB1655" s="821"/>
      <c r="AC1655" s="821"/>
      <c r="AD1655" s="253"/>
      <c r="AE1655" s="253"/>
    </row>
    <row r="1656" spans="1:31" ht="12.75" customHeight="1">
      <c r="A1656" t="s">
        <v>4629</v>
      </c>
      <c r="B1656" t="s">
        <v>4589</v>
      </c>
      <c r="C1656">
        <v>3354</v>
      </c>
      <c r="D1656" s="581"/>
      <c r="E1656" s="581"/>
      <c r="F1656" s="2">
        <f>(1/S1656)*cnst_fish!$C$6</f>
        <v>0.16561163607618423</v>
      </c>
      <c r="G1656" s="2">
        <f t="shared" si="238"/>
        <v>1</v>
      </c>
      <c r="H1656" s="2">
        <f t="shared" si="238"/>
        <v>0.36449057933102513</v>
      </c>
      <c r="I1656" s="2">
        <f t="shared" si="230"/>
        <v>0</v>
      </c>
      <c r="J1656" s="389">
        <f t="shared" si="231"/>
        <v>0</v>
      </c>
      <c r="L1656" s="721">
        <v>89563</v>
      </c>
      <c r="M1656" s="581"/>
      <c r="N1656" s="585" t="s">
        <v>2317</v>
      </c>
      <c r="O1656" s="586" t="s">
        <v>4681</v>
      </c>
      <c r="P1656" s="233">
        <f t="shared" si="232"/>
        <v>0</v>
      </c>
      <c r="Q1656" s="233">
        <f t="shared" si="233"/>
        <v>89563</v>
      </c>
      <c r="R1656" s="2">
        <f t="shared" si="234"/>
        <v>3.26</v>
      </c>
      <c r="S1656" s="2">
        <f>(1/9)*cnst_fish!$C$7*(1/cnst_fish!$C$8)^(R1656-1)</f>
        <v>25.662448006038215</v>
      </c>
      <c r="T1656" s="682">
        <f t="shared" si="235"/>
        <v>197117.00536312192</v>
      </c>
      <c r="W1656" s="818"/>
      <c r="X1656" s="818"/>
      <c r="Y1656" s="819"/>
      <c r="Z1656" s="820"/>
      <c r="AA1656" s="820"/>
      <c r="AB1656" s="821"/>
      <c r="AC1656" s="821"/>
      <c r="AD1656" s="253"/>
      <c r="AE1656" s="253"/>
    </row>
    <row r="1657" spans="1:31" ht="12.75" customHeight="1">
      <c r="A1657" t="s">
        <v>2600</v>
      </c>
      <c r="B1657" t="s">
        <v>4590</v>
      </c>
      <c r="C1657">
        <v>2543</v>
      </c>
      <c r="D1657" s="581"/>
      <c r="E1657" s="581"/>
      <c r="F1657" s="2">
        <f>(1/S1657)*cnst_fish!$C$6</f>
        <v>0.23938164528281752</v>
      </c>
      <c r="G1657" s="2">
        <f t="shared" si="238"/>
        <v>1</v>
      </c>
      <c r="H1657" s="2">
        <f t="shared" si="238"/>
        <v>0.36449057933102513</v>
      </c>
      <c r="I1657" s="2">
        <f t="shared" si="230"/>
        <v>0</v>
      </c>
      <c r="J1657" s="389">
        <f t="shared" si="231"/>
        <v>0</v>
      </c>
      <c r="L1657" s="721"/>
      <c r="M1657" s="581"/>
      <c r="N1657" s="585" t="s">
        <v>2317</v>
      </c>
      <c r="O1657" s="586" t="s">
        <v>4681</v>
      </c>
      <c r="P1657" s="233">
        <f t="shared" si="232"/>
        <v>0</v>
      </c>
      <c r="Q1657" s="233">
        <f t="shared" si="233"/>
        <v>0</v>
      </c>
      <c r="R1657" s="2">
        <f t="shared" si="234"/>
        <v>3.1</v>
      </c>
      <c r="S1657" s="2">
        <f>(1/9)*cnst_fish!$C$7*(1/cnst_fish!$C$8)^(R1657-1)</f>
        <v>17.754076320174157</v>
      </c>
      <c r="T1657" s="682">
        <f t="shared" si="235"/>
        <v>0</v>
      </c>
      <c r="W1657" s="818"/>
      <c r="X1657" s="818"/>
      <c r="Y1657" s="819"/>
      <c r="Z1657" s="820"/>
      <c r="AA1657" s="820"/>
      <c r="AB1657" s="821"/>
      <c r="AC1657" s="821"/>
      <c r="AD1657" s="253"/>
      <c r="AE1657" s="253"/>
    </row>
    <row r="1658" spans="1:31" ht="12.75" customHeight="1">
      <c r="A1658" t="s">
        <v>3635</v>
      </c>
      <c r="B1658" t="s">
        <v>4591</v>
      </c>
      <c r="C1658">
        <v>3355</v>
      </c>
      <c r="D1658" s="581"/>
      <c r="E1658" s="581"/>
      <c r="F1658" s="2">
        <f>(1/S1658)*cnst_fish!$C$6</f>
        <v>0.12276960190187568</v>
      </c>
      <c r="G1658" s="2">
        <f t="shared" si="238"/>
        <v>1</v>
      </c>
      <c r="H1658" s="2">
        <f t="shared" si="238"/>
        <v>0.36449057933102513</v>
      </c>
      <c r="I1658" s="2">
        <f t="shared" si="230"/>
        <v>0</v>
      </c>
      <c r="J1658" s="389">
        <f t="shared" si="231"/>
        <v>0</v>
      </c>
      <c r="L1658" s="721">
        <v>304</v>
      </c>
      <c r="M1658" s="581"/>
      <c r="N1658" s="585" t="s">
        <v>1741</v>
      </c>
      <c r="O1658" s="586" t="s">
        <v>4681</v>
      </c>
      <c r="P1658" s="233">
        <f t="shared" si="232"/>
        <v>0</v>
      </c>
      <c r="Q1658" s="233">
        <f t="shared" si="233"/>
        <v>304</v>
      </c>
      <c r="R1658" s="2">
        <f t="shared" si="234"/>
        <v>3.39</v>
      </c>
      <c r="S1658" s="2">
        <f>(1/9)*cnst_fish!$C$7*(1/cnst_fish!$C$8)^(R1658-1)</f>
        <v>34.617689836583793</v>
      </c>
      <c r="T1658" s="682">
        <f t="shared" si="235"/>
        <v>902.54537279670649</v>
      </c>
      <c r="W1658" s="818"/>
      <c r="X1658" s="818"/>
      <c r="Y1658" s="819"/>
      <c r="Z1658" s="820"/>
      <c r="AA1658" s="820"/>
      <c r="AB1658" s="821"/>
      <c r="AC1658" s="821"/>
      <c r="AD1658" s="253"/>
      <c r="AE1658" s="253"/>
    </row>
    <row r="1659" spans="1:31" ht="12.75" customHeight="1">
      <c r="A1659" t="s">
        <v>3863</v>
      </c>
      <c r="B1659" t="s">
        <v>3864</v>
      </c>
      <c r="C1659">
        <v>3352</v>
      </c>
      <c r="D1659" s="581"/>
      <c r="E1659" s="581"/>
      <c r="F1659" s="2">
        <f>(1/S1659)*cnst_fish!$C$6</f>
        <v>0.12855555498429813</v>
      </c>
      <c r="G1659" s="2">
        <f t="shared" si="238"/>
        <v>1</v>
      </c>
      <c r="H1659" s="2">
        <f t="shared" si="238"/>
        <v>0.36449057933102513</v>
      </c>
      <c r="I1659" s="2">
        <f t="shared" si="230"/>
        <v>0</v>
      </c>
      <c r="J1659" s="389">
        <f t="shared" si="231"/>
        <v>0</v>
      </c>
      <c r="L1659" s="721">
        <v>0</v>
      </c>
      <c r="M1659" s="581"/>
      <c r="N1659" s="585" t="s">
        <v>2317</v>
      </c>
      <c r="O1659" s="586" t="s">
        <v>4681</v>
      </c>
      <c r="P1659" s="233">
        <f t="shared" si="232"/>
        <v>0</v>
      </c>
      <c r="Q1659" s="233">
        <f t="shared" si="233"/>
        <v>0</v>
      </c>
      <c r="R1659" s="2">
        <f t="shared" si="234"/>
        <v>3.37</v>
      </c>
      <c r="S1659" s="2">
        <f>(1/9)*cnst_fish!$C$7*(1/cnst_fish!$C$8)^(R1659-1)</f>
        <v>33.059637139127112</v>
      </c>
      <c r="T1659" s="682">
        <f t="shared" si="235"/>
        <v>0</v>
      </c>
      <c r="W1659" s="818"/>
      <c r="X1659" s="818"/>
      <c r="Y1659" s="819"/>
      <c r="Z1659" s="820"/>
      <c r="AA1659" s="820"/>
      <c r="AB1659" s="821"/>
      <c r="AC1659" s="821"/>
      <c r="AD1659" s="253"/>
      <c r="AE1659" s="253"/>
    </row>
    <row r="1660" spans="1:31" ht="12.75" customHeight="1">
      <c r="A1660" t="s">
        <v>4725</v>
      </c>
      <c r="B1660" t="s">
        <v>187</v>
      </c>
      <c r="C1660">
        <v>3345</v>
      </c>
      <c r="D1660" s="581">
        <v>22206</v>
      </c>
      <c r="E1660" s="581"/>
      <c r="F1660" s="2">
        <f>(1/S1660)*cnst_fish!$C$6</f>
        <v>9.3130266898023228E-2</v>
      </c>
      <c r="G1660" s="2">
        <f t="shared" si="238"/>
        <v>1</v>
      </c>
      <c r="H1660" s="2">
        <f t="shared" si="238"/>
        <v>0.36449057933102513</v>
      </c>
      <c r="I1660" s="2">
        <f t="shared" si="230"/>
        <v>86909.208726819867</v>
      </c>
      <c r="J1660" s="389">
        <f t="shared" si="231"/>
        <v>0</v>
      </c>
      <c r="L1660" s="721">
        <v>297433</v>
      </c>
      <c r="M1660" s="581">
        <v>7.75</v>
      </c>
      <c r="N1660" s="585" t="s">
        <v>1738</v>
      </c>
      <c r="O1660" s="586" t="s">
        <v>4681</v>
      </c>
      <c r="P1660" s="233">
        <f t="shared" si="232"/>
        <v>22206</v>
      </c>
      <c r="Q1660" s="233">
        <f t="shared" si="233"/>
        <v>297440.75</v>
      </c>
      <c r="R1660" s="2">
        <f t="shared" si="234"/>
        <v>3.51</v>
      </c>
      <c r="S1660" s="2">
        <f>(1/9)*cnst_fish!$C$7*(1/cnst_fish!$C$8)^(R1660-1)</f>
        <v>45.635002900332182</v>
      </c>
      <c r="T1660" s="682">
        <f t="shared" si="235"/>
        <v>1164115.1141858888</v>
      </c>
      <c r="W1660" s="818"/>
      <c r="X1660" s="818"/>
      <c r="Y1660" s="819"/>
      <c r="Z1660" s="820"/>
      <c r="AA1660" s="820"/>
      <c r="AB1660" s="821"/>
      <c r="AC1660" s="821"/>
      <c r="AD1660" s="253"/>
      <c r="AE1660" s="253"/>
    </row>
    <row r="1661" spans="1:31" ht="12.75" customHeight="1">
      <c r="A1661" t="s">
        <v>61</v>
      </c>
      <c r="B1661" t="s">
        <v>188</v>
      </c>
      <c r="C1661">
        <v>14449</v>
      </c>
      <c r="D1661" s="581"/>
      <c r="E1661" s="581"/>
      <c r="F1661" s="2">
        <f>(1/S1661)*cnst_fish!$C$6</f>
        <v>4.2568745094767511E-2</v>
      </c>
      <c r="G1661" s="2">
        <f t="shared" si="238"/>
        <v>1</v>
      </c>
      <c r="H1661" s="2">
        <f t="shared" si="238"/>
        <v>0.36449057933102513</v>
      </c>
      <c r="I1661" s="2">
        <f t="shared" si="230"/>
        <v>0</v>
      </c>
      <c r="J1661" s="389">
        <f t="shared" si="231"/>
        <v>0</v>
      </c>
      <c r="L1661" s="721">
        <v>1</v>
      </c>
      <c r="M1661" s="581"/>
      <c r="N1661" s="585" t="s">
        <v>1741</v>
      </c>
      <c r="O1661" s="586" t="s">
        <v>4681</v>
      </c>
      <c r="P1661" s="233">
        <f t="shared" si="232"/>
        <v>0</v>
      </c>
      <c r="Q1661" s="233">
        <f t="shared" si="233"/>
        <v>1</v>
      </c>
      <c r="R1661" s="2">
        <f t="shared" si="234"/>
        <v>3.85</v>
      </c>
      <c r="S1661" s="2">
        <f>(1/9)*cnst_fish!$C$7*(1/cnst_fish!$C$8)^(R1661-1)</f>
        <v>99.838508054173388</v>
      </c>
      <c r="T1661" s="682">
        <f t="shared" si="235"/>
        <v>8.5623989741672641</v>
      </c>
      <c r="W1661" s="818"/>
      <c r="X1661" s="818"/>
      <c r="Y1661" s="819"/>
      <c r="Z1661" s="820"/>
      <c r="AA1661" s="820"/>
      <c r="AB1661" s="821"/>
      <c r="AC1661" s="821"/>
      <c r="AD1661" s="253"/>
      <c r="AE1661" s="253"/>
    </row>
    <row r="1662" spans="1:31" ht="12.75" customHeight="1">
      <c r="A1662" s="403" t="s">
        <v>8954</v>
      </c>
      <c r="B1662" s="403" t="s">
        <v>8955</v>
      </c>
      <c r="C1662" s="403">
        <v>14450</v>
      </c>
      <c r="D1662" s="581"/>
      <c r="E1662" s="581"/>
      <c r="F1662" s="869">
        <f>(1/S1662)*cnst_fish!$C$6</f>
        <v>0.23938164528281752</v>
      </c>
      <c r="G1662" s="869">
        <f t="shared" si="238"/>
        <v>1</v>
      </c>
      <c r="H1662" s="869">
        <f t="shared" si="238"/>
        <v>0.36449057933102513</v>
      </c>
      <c r="I1662" s="869">
        <f t="shared" si="230"/>
        <v>0</v>
      </c>
      <c r="J1662" s="389">
        <f t="shared" si="231"/>
        <v>0</v>
      </c>
      <c r="L1662" s="721">
        <v>0</v>
      </c>
      <c r="M1662" s="581"/>
      <c r="N1662" s="877" t="s">
        <v>1738</v>
      </c>
      <c r="O1662" s="881" t="s">
        <v>4681</v>
      </c>
      <c r="P1662" s="871">
        <f t="shared" si="232"/>
        <v>0</v>
      </c>
      <c r="Q1662" s="871">
        <f t="shared" si="233"/>
        <v>0</v>
      </c>
      <c r="R1662" s="869">
        <f t="shared" si="234"/>
        <v>3.1</v>
      </c>
      <c r="S1662" s="869">
        <f>(1/9)*cnst_fish!$C$7*(1/cnst_fish!$C$8)^(R1662-1)</f>
        <v>17.754076320174157</v>
      </c>
      <c r="T1662" s="682">
        <f t="shared" si="235"/>
        <v>0</v>
      </c>
      <c r="W1662" s="818"/>
      <c r="X1662" s="818"/>
      <c r="Y1662" s="819"/>
      <c r="Z1662" s="820"/>
      <c r="AA1662" s="820"/>
      <c r="AB1662" s="821"/>
      <c r="AC1662" s="821"/>
      <c r="AD1662" s="253"/>
      <c r="AE1662" s="253"/>
    </row>
    <row r="1663" spans="1:31" ht="12.75" customHeight="1">
      <c r="A1663" t="s">
        <v>1058</v>
      </c>
      <c r="B1663" t="s">
        <v>5211</v>
      </c>
      <c r="C1663">
        <v>2183</v>
      </c>
      <c r="D1663" s="581"/>
      <c r="E1663" s="581"/>
      <c r="F1663" s="2">
        <f>(1/S1663)*cnst_fish!$C$6</f>
        <v>6.2963787943464855E-2</v>
      </c>
      <c r="G1663" s="2">
        <f t="shared" si="238"/>
        <v>1</v>
      </c>
      <c r="H1663" s="2">
        <f t="shared" si="238"/>
        <v>0.36449057933102513</v>
      </c>
      <c r="I1663" s="2">
        <f t="shared" si="230"/>
        <v>0</v>
      </c>
      <c r="J1663" s="389">
        <f t="shared" si="231"/>
        <v>0</v>
      </c>
      <c r="L1663" s="721">
        <v>3870</v>
      </c>
      <c r="M1663" s="581"/>
      <c r="N1663" s="585" t="s">
        <v>1738</v>
      </c>
      <c r="O1663" s="586" t="s">
        <v>4681</v>
      </c>
      <c r="P1663" s="233">
        <f t="shared" si="232"/>
        <v>0</v>
      </c>
      <c r="Q1663" s="233">
        <f t="shared" si="233"/>
        <v>3870</v>
      </c>
      <c r="R1663" s="2">
        <f t="shared" si="234"/>
        <v>3.68</v>
      </c>
      <c r="S1663" s="2">
        <f>(1/9)*cnst_fish!$C$7*(1/cnst_fish!$C$8)^(R1663-1)</f>
        <v>67.499115583961881</v>
      </c>
      <c r="T1663" s="682">
        <f t="shared" si="235"/>
        <v>22403.012717049754</v>
      </c>
      <c r="W1663" s="818"/>
      <c r="X1663" s="818"/>
      <c r="Y1663" s="819"/>
      <c r="Z1663" s="820"/>
      <c r="AA1663" s="820"/>
      <c r="AB1663" s="821"/>
      <c r="AC1663" s="821"/>
      <c r="AD1663" s="253"/>
      <c r="AE1663" s="253"/>
    </row>
    <row r="1664" spans="1:31" ht="12.75" customHeight="1">
      <c r="A1664" t="s">
        <v>1836</v>
      </c>
      <c r="B1664" t="s">
        <v>5212</v>
      </c>
      <c r="C1664">
        <v>3161</v>
      </c>
      <c r="D1664" s="581"/>
      <c r="E1664" s="581"/>
      <c r="F1664" s="2">
        <f>(1/S1664)*cnst_fish!$C$6</f>
        <v>3.8823156944206696E-2</v>
      </c>
      <c r="G1664" s="2">
        <f t="shared" si="238"/>
        <v>1</v>
      </c>
      <c r="H1664" s="2">
        <f t="shared" si="238"/>
        <v>0.36449057933102513</v>
      </c>
      <c r="I1664" s="2">
        <f t="shared" si="230"/>
        <v>0</v>
      </c>
      <c r="J1664" s="389">
        <f t="shared" si="231"/>
        <v>0</v>
      </c>
      <c r="L1664" s="721">
        <v>2585</v>
      </c>
      <c r="M1664" s="581"/>
      <c r="N1664" s="585" t="s">
        <v>1738</v>
      </c>
      <c r="O1664" s="586" t="s">
        <v>4681</v>
      </c>
      <c r="P1664" s="233">
        <f t="shared" si="232"/>
        <v>0</v>
      </c>
      <c r="Q1664" s="233">
        <f t="shared" si="233"/>
        <v>2585</v>
      </c>
      <c r="R1664" s="2">
        <f t="shared" si="234"/>
        <v>3.89</v>
      </c>
      <c r="S1664" s="2">
        <f>(1/9)*cnst_fish!$C$7*(1/cnst_fish!$C$8)^(R1664-1)</f>
        <v>109.47074721686684</v>
      </c>
      <c r="T1664" s="682">
        <f t="shared" si="235"/>
        <v>24269.230576090464</v>
      </c>
      <c r="W1664" s="818"/>
      <c r="X1664" s="818"/>
      <c r="Y1664" s="819"/>
      <c r="Z1664" s="820"/>
      <c r="AA1664" s="820"/>
      <c r="AB1664" s="821"/>
      <c r="AC1664" s="821"/>
      <c r="AD1664" s="253"/>
      <c r="AE1664" s="253"/>
    </row>
    <row r="1665" spans="1:31" ht="12.75" customHeight="1">
      <c r="A1665" t="s">
        <v>5507</v>
      </c>
      <c r="B1665" t="s">
        <v>5508</v>
      </c>
      <c r="C1665">
        <v>2454</v>
      </c>
      <c r="D1665" s="581"/>
      <c r="E1665" s="581"/>
      <c r="F1665" s="2">
        <f>(1/S1665)*cnst_fish!$C$6</f>
        <v>0.15455777163012493</v>
      </c>
      <c r="G1665" s="2">
        <f t="shared" si="238"/>
        <v>1</v>
      </c>
      <c r="H1665" s="2">
        <f t="shared" si="238"/>
        <v>0.36449057933102513</v>
      </c>
      <c r="I1665" s="2">
        <f t="shared" si="230"/>
        <v>0</v>
      </c>
      <c r="J1665" s="389">
        <f t="shared" si="231"/>
        <v>0</v>
      </c>
      <c r="L1665" s="721">
        <v>0.01</v>
      </c>
      <c r="M1665" s="581"/>
      <c r="N1665" s="585" t="s">
        <v>1738</v>
      </c>
      <c r="O1665" s="586" t="s">
        <v>4681</v>
      </c>
      <c r="P1665" s="233">
        <f t="shared" si="232"/>
        <v>0</v>
      </c>
      <c r="Q1665" s="233">
        <f t="shared" si="233"/>
        <v>0.01</v>
      </c>
      <c r="R1665" s="2">
        <f t="shared" si="234"/>
        <v>3.29</v>
      </c>
      <c r="S1665" s="2">
        <f>(1/9)*cnst_fish!$C$7*(1/cnst_fish!$C$8)^(R1665-1)</f>
        <v>27.497808458126283</v>
      </c>
      <c r="T1665" s="682">
        <f t="shared" si="235"/>
        <v>2.3582805024084733E-2</v>
      </c>
      <c r="W1665" s="822"/>
      <c r="X1665" s="822"/>
      <c r="Y1665" s="819"/>
      <c r="Z1665" s="820"/>
      <c r="AA1665" s="820"/>
      <c r="AB1665" s="821"/>
      <c r="AC1665" s="821"/>
      <c r="AD1665" s="253"/>
      <c r="AE1665" s="253"/>
    </row>
    <row r="1666" spans="1:31" ht="12.75" customHeight="1">
      <c r="A1666" t="s">
        <v>196</v>
      </c>
      <c r="B1666" t="s">
        <v>4010</v>
      </c>
      <c r="C1666">
        <v>2232</v>
      </c>
      <c r="D1666" s="581"/>
      <c r="E1666" s="581"/>
      <c r="F1666" s="2">
        <f>(1/S1666)*cnst_fish!$C$6</f>
        <v>2.1334911593031029E-2</v>
      </c>
      <c r="G1666" s="2">
        <f t="shared" si="238"/>
        <v>1</v>
      </c>
      <c r="H1666" s="2">
        <f t="shared" si="238"/>
        <v>0.36449057933102513</v>
      </c>
      <c r="I1666" s="2">
        <f t="shared" si="230"/>
        <v>0</v>
      </c>
      <c r="J1666" s="389">
        <f t="shared" si="231"/>
        <v>0</v>
      </c>
      <c r="L1666" s="721">
        <v>8308</v>
      </c>
      <c r="M1666" s="581"/>
      <c r="N1666" s="585" t="s">
        <v>1738</v>
      </c>
      <c r="O1666" s="586" t="s">
        <v>4681</v>
      </c>
      <c r="P1666" s="233">
        <f t="shared" si="232"/>
        <v>0</v>
      </c>
      <c r="Q1666" s="233">
        <f t="shared" si="233"/>
        <v>8308</v>
      </c>
      <c r="R1666" s="2">
        <f t="shared" si="234"/>
        <v>4.1500000000000004</v>
      </c>
      <c r="S1666" s="2">
        <f>(1/9)*cnst_fish!$C$7*(1/cnst_fish!$C$8)^(R1666-1)</f>
        <v>199.20401270320929</v>
      </c>
      <c r="T1666" s="682">
        <f t="shared" si="235"/>
        <v>141935.79944672954</v>
      </c>
      <c r="W1666" s="818"/>
      <c r="X1666" s="818"/>
      <c r="Y1666" s="819"/>
      <c r="Z1666" s="820"/>
      <c r="AA1666" s="820"/>
      <c r="AB1666" s="821"/>
      <c r="AC1666" s="821"/>
      <c r="AD1666" s="253"/>
      <c r="AE1666" s="253"/>
    </row>
    <row r="1667" spans="1:31" ht="12.75" customHeight="1">
      <c r="A1667" t="s">
        <v>3059</v>
      </c>
      <c r="B1667" t="s">
        <v>4011</v>
      </c>
      <c r="C1667">
        <v>3016</v>
      </c>
      <c r="D1667" s="581">
        <v>3707</v>
      </c>
      <c r="E1667" s="581"/>
      <c r="F1667" s="2">
        <f>(1/S1667)*cnst_fish!$C$6</f>
        <v>1.256292732912874E-2</v>
      </c>
      <c r="G1667" s="2">
        <f t="shared" si="238"/>
        <v>1</v>
      </c>
      <c r="H1667" s="2">
        <f t="shared" si="238"/>
        <v>0.36449057933102513</v>
      </c>
      <c r="I1667" s="2">
        <f t="shared" si="230"/>
        <v>107551.88995221353</v>
      </c>
      <c r="J1667" s="389">
        <f t="shared" si="231"/>
        <v>0</v>
      </c>
      <c r="L1667" s="721">
        <v>369330</v>
      </c>
      <c r="M1667" s="581"/>
      <c r="N1667" s="585" t="s">
        <v>4011</v>
      </c>
      <c r="O1667" s="586" t="s">
        <v>4681</v>
      </c>
      <c r="P1667" s="233">
        <f t="shared" si="232"/>
        <v>3707</v>
      </c>
      <c r="Q1667" s="233">
        <f t="shared" si="233"/>
        <v>369330</v>
      </c>
      <c r="R1667" s="2">
        <f t="shared" si="234"/>
        <v>4.38</v>
      </c>
      <c r="S1667" s="2">
        <f>(1/9)*cnst_fish!$C$7*(1/cnst_fish!$C$8)^(R1667-1)</f>
        <v>338.2969501181334</v>
      </c>
      <c r="T1667" s="682">
        <f t="shared" si="235"/>
        <v>10715440.926908828</v>
      </c>
      <c r="W1667" s="818"/>
      <c r="X1667" s="818"/>
      <c r="Y1667" s="819"/>
      <c r="Z1667" s="820"/>
      <c r="AA1667" s="820"/>
      <c r="AB1667" s="821"/>
      <c r="AC1667" s="821"/>
      <c r="AD1667" s="253"/>
      <c r="AE1667" s="253"/>
    </row>
    <row r="1668" spans="1:31" ht="12.75" customHeight="1">
      <c r="A1668" t="s">
        <v>9096</v>
      </c>
      <c r="B1668" t="s">
        <v>9097</v>
      </c>
      <c r="C1668">
        <v>19347</v>
      </c>
      <c r="D1668" s="581"/>
      <c r="E1668" s="581"/>
      <c r="F1668" s="869">
        <f>(1/S1668)*cnst_fish!$C$6</f>
        <v>1.9014759972289452</v>
      </c>
      <c r="G1668" s="869">
        <f t="shared" ref="G1668:H1687" si="239">G$7</f>
        <v>1</v>
      </c>
      <c r="H1668" s="869">
        <f t="shared" si="239"/>
        <v>0.36449057933102513</v>
      </c>
      <c r="I1668" s="869">
        <f t="shared" si="230"/>
        <v>0</v>
      </c>
      <c r="J1668" s="389">
        <f t="shared" si="231"/>
        <v>0</v>
      </c>
      <c r="L1668" s="721">
        <v>2</v>
      </c>
      <c r="M1668" s="581"/>
      <c r="N1668" s="877" t="s">
        <v>1737</v>
      </c>
      <c r="O1668" s="882" t="s">
        <v>4680</v>
      </c>
      <c r="P1668" s="871">
        <f t="shared" si="232"/>
        <v>0</v>
      </c>
      <c r="Q1668" s="871">
        <f t="shared" si="233"/>
        <v>2</v>
      </c>
      <c r="R1668" s="869">
        <f t="shared" si="234"/>
        <v>2.2000000000000002</v>
      </c>
      <c r="S1668" s="869">
        <f>(1/9)*cnst_fish!$C$7*(1/cnst_fish!$C$8)^(R1668-1)</f>
        <v>2.2351057842400328</v>
      </c>
      <c r="T1668" s="682">
        <f t="shared" si="235"/>
        <v>0.38337647160648225</v>
      </c>
      <c r="W1668" s="818"/>
      <c r="X1668" s="818"/>
      <c r="Y1668" s="819"/>
      <c r="Z1668" s="820"/>
      <c r="AA1668" s="820"/>
      <c r="AB1668" s="821"/>
      <c r="AC1668" s="821"/>
      <c r="AD1668" s="253"/>
      <c r="AE1668" s="253"/>
    </row>
    <row r="1669" spans="1:31" ht="12.75" customHeight="1">
      <c r="A1669" t="s">
        <v>2481</v>
      </c>
      <c r="B1669" t="s">
        <v>6242</v>
      </c>
      <c r="C1669">
        <v>2577</v>
      </c>
      <c r="D1669" s="581"/>
      <c r="E1669" s="581"/>
      <c r="F1669" s="2">
        <f>(1/S1669)*cnst_fish!$C$6</f>
        <v>3.0136363636363641</v>
      </c>
      <c r="G1669" s="2">
        <f t="shared" si="239"/>
        <v>1</v>
      </c>
      <c r="H1669" s="2">
        <f t="shared" si="239"/>
        <v>0.36449057933102513</v>
      </c>
      <c r="I1669" s="2">
        <f t="shared" si="230"/>
        <v>0</v>
      </c>
      <c r="J1669" s="389">
        <f t="shared" si="231"/>
        <v>0</v>
      </c>
      <c r="L1669" s="721">
        <v>233</v>
      </c>
      <c r="M1669" s="581"/>
      <c r="N1669" s="585" t="s">
        <v>1737</v>
      </c>
      <c r="O1669" s="586" t="s">
        <v>4680</v>
      </c>
      <c r="P1669" s="233">
        <f t="shared" si="232"/>
        <v>0</v>
      </c>
      <c r="Q1669" s="233">
        <f t="shared" si="233"/>
        <v>233</v>
      </c>
      <c r="R1669" s="2">
        <f t="shared" si="234"/>
        <v>2</v>
      </c>
      <c r="S1669" s="2">
        <f>(1/9)*cnst_fish!$C$7*(1/cnst_fish!$C$8)^(R1669-1)</f>
        <v>1.4102564102564099</v>
      </c>
      <c r="T1669" s="682">
        <f t="shared" si="235"/>
        <v>28.180674353707911</v>
      </c>
      <c r="W1669" s="818"/>
      <c r="X1669" s="818"/>
      <c r="Y1669" s="819"/>
      <c r="Z1669" s="820"/>
      <c r="AA1669" s="820"/>
      <c r="AB1669" s="821"/>
      <c r="AC1669" s="821"/>
      <c r="AD1669" s="253"/>
      <c r="AE1669" s="253"/>
    </row>
    <row r="1670" spans="1:31" ht="12.75" customHeight="1">
      <c r="A1670" t="s">
        <v>8333</v>
      </c>
      <c r="B1670" t="s">
        <v>8334</v>
      </c>
      <c r="C1670">
        <v>19349</v>
      </c>
      <c r="D1670" s="581"/>
      <c r="E1670" s="581"/>
      <c r="F1670" s="2">
        <f>(1/S1670)*cnst_fish!$C$6</f>
        <v>0.73976000504507966</v>
      </c>
      <c r="G1670" s="2">
        <f t="shared" si="239"/>
        <v>1</v>
      </c>
      <c r="H1670" s="2">
        <f t="shared" si="239"/>
        <v>0.36449057933102513</v>
      </c>
      <c r="I1670" s="2">
        <f t="shared" si="230"/>
        <v>0</v>
      </c>
      <c r="J1670" s="389">
        <f t="shared" si="231"/>
        <v>0</v>
      </c>
      <c r="L1670" s="721">
        <v>247</v>
      </c>
      <c r="M1670" s="581"/>
      <c r="N1670" s="585" t="s">
        <v>2311</v>
      </c>
      <c r="O1670" s="586" t="s">
        <v>4680</v>
      </c>
      <c r="P1670" s="233">
        <f t="shared" si="232"/>
        <v>0</v>
      </c>
      <c r="Q1670" s="233">
        <f t="shared" si="233"/>
        <v>247</v>
      </c>
      <c r="R1670" s="2">
        <f t="shared" si="234"/>
        <v>2.61</v>
      </c>
      <c r="S1670" s="2">
        <f>(1/9)*cnst_fish!$C$7*(1/cnst_fish!$C$8)^(R1670-1)</f>
        <v>5.7451064818528712</v>
      </c>
      <c r="T1670" s="682">
        <f t="shared" si="235"/>
        <v>121.70051433001841</v>
      </c>
      <c r="W1670" s="818"/>
      <c r="X1670" s="818"/>
      <c r="Y1670" s="819"/>
      <c r="Z1670" s="820"/>
      <c r="AA1670" s="820"/>
      <c r="AB1670" s="821"/>
      <c r="AC1670" s="821"/>
      <c r="AD1670" s="253"/>
      <c r="AE1670" s="253"/>
    </row>
    <row r="1671" spans="1:31" ht="12.75" customHeight="1">
      <c r="A1671" t="s">
        <v>2354</v>
      </c>
      <c r="B1671" t="s">
        <v>1297</v>
      </c>
      <c r="C1671">
        <v>2765</v>
      </c>
      <c r="D1671" s="581"/>
      <c r="E1671" s="581"/>
      <c r="F1671" s="2">
        <f>(1/S1671)*cnst_fish!$C$6</f>
        <v>1.5103960722494616</v>
      </c>
      <c r="G1671" s="2">
        <f t="shared" si="239"/>
        <v>1</v>
      </c>
      <c r="H1671" s="2">
        <f t="shared" si="239"/>
        <v>0.36449057933102513</v>
      </c>
      <c r="I1671" s="2">
        <f t="shared" ref="I1671:I1734" si="240">IF($F1671=0,0,D1671/$F1671*$H1671*$G1671)</f>
        <v>0</v>
      </c>
      <c r="J1671" s="389">
        <f t="shared" ref="J1671:J1734" si="241">IF($F1671=0,0,E1671/$F1671*$H1671*$G1671)</f>
        <v>0</v>
      </c>
      <c r="L1671" s="721">
        <v>108</v>
      </c>
      <c r="M1671" s="581">
        <v>6</v>
      </c>
      <c r="N1671" s="585" t="s">
        <v>1738</v>
      </c>
      <c r="O1671" s="586"/>
      <c r="P1671" s="233">
        <f t="shared" ref="P1671:P1734" si="242">D1671+E1671</f>
        <v>0</v>
      </c>
      <c r="Q1671" s="233">
        <f t="shared" ref="Q1671:Q1734" si="243">L1671+M1671</f>
        <v>114</v>
      </c>
      <c r="R1671" s="2">
        <f t="shared" ref="R1671:R1733" si="244">VLOOKUP(B1671,constant_fish_trophic,3,FALSE)</f>
        <v>2.2999999999999998</v>
      </c>
      <c r="S1671" s="2">
        <f>(1/9)*cnst_fish!$C$7*(1/cnst_fish!$C$8)^(R1671-1)</f>
        <v>2.8138314698279068</v>
      </c>
      <c r="T1671" s="682">
        <f t="shared" ref="T1671:T1734" si="245">IF(F1671=0,0,Q1671/F1671*H1671*G1671)</f>
        <v>27.510615796194962</v>
      </c>
      <c r="W1671" s="818"/>
      <c r="X1671" s="818"/>
      <c r="Y1671" s="819"/>
      <c r="Z1671" s="820"/>
      <c r="AA1671" s="820"/>
      <c r="AB1671" s="821"/>
      <c r="AC1671" s="821"/>
      <c r="AD1671" s="253"/>
      <c r="AE1671" s="253"/>
    </row>
    <row r="1672" spans="1:31" ht="12.75" customHeight="1">
      <c r="A1672" t="s">
        <v>9042</v>
      </c>
      <c r="B1672" t="s">
        <v>9043</v>
      </c>
      <c r="C1672">
        <v>14481</v>
      </c>
      <c r="D1672" s="581"/>
      <c r="E1672" s="581"/>
      <c r="F1672" s="869">
        <f>(1/S1672)*cnst_fish!$C$6</f>
        <v>7.5699122913220479E-2</v>
      </c>
      <c r="G1672" s="869">
        <f t="shared" si="239"/>
        <v>1</v>
      </c>
      <c r="H1672" s="869">
        <f t="shared" si="239"/>
        <v>0.36449057933102513</v>
      </c>
      <c r="I1672" s="869">
        <f t="shared" si="240"/>
        <v>0</v>
      </c>
      <c r="J1672" s="389">
        <f t="shared" si="241"/>
        <v>0</v>
      </c>
      <c r="L1672" s="721">
        <v>22</v>
      </c>
      <c r="M1672" s="581"/>
      <c r="N1672" s="877" t="s">
        <v>1738</v>
      </c>
      <c r="O1672" s="881" t="s">
        <v>4681</v>
      </c>
      <c r="P1672" s="871">
        <f t="shared" si="242"/>
        <v>0</v>
      </c>
      <c r="Q1672" s="871">
        <f t="shared" si="243"/>
        <v>22</v>
      </c>
      <c r="R1672" s="869">
        <f t="shared" si="244"/>
        <v>3.6</v>
      </c>
      <c r="S1672" s="869">
        <f>(1/9)*cnst_fish!$C$7*(1/cnst_fish!$C$8)^(R1672-1)</f>
        <v>56.143318924211187</v>
      </c>
      <c r="T1672" s="682">
        <f t="shared" si="245"/>
        <v>105.92979729071749</v>
      </c>
      <c r="W1672" s="818"/>
      <c r="X1672" s="818"/>
      <c r="Y1672" s="819"/>
      <c r="Z1672" s="820"/>
      <c r="AA1672" s="820"/>
      <c r="AB1672" s="821"/>
      <c r="AC1672" s="821"/>
      <c r="AD1672" s="253"/>
      <c r="AE1672" s="253"/>
    </row>
    <row r="1673" spans="1:31" ht="12.75" customHeight="1">
      <c r="A1673" t="s">
        <v>125</v>
      </c>
      <c r="B1673" t="s">
        <v>5213</v>
      </c>
      <c r="C1673">
        <v>2266</v>
      </c>
      <c r="D1673" s="581"/>
      <c r="E1673" s="581"/>
      <c r="F1673" s="2">
        <f>(1/S1673)*cnst_fish!$C$6</f>
        <v>2.945037624971374E-2</v>
      </c>
      <c r="G1673" s="2">
        <f t="shared" si="239"/>
        <v>1</v>
      </c>
      <c r="H1673" s="2">
        <f t="shared" si="239"/>
        <v>0.36449057933102513</v>
      </c>
      <c r="I1673" s="2">
        <f t="shared" si="240"/>
        <v>0</v>
      </c>
      <c r="J1673" s="389">
        <f t="shared" si="241"/>
        <v>0</v>
      </c>
      <c r="L1673" s="721">
        <v>40571</v>
      </c>
      <c r="M1673" s="581">
        <v>0</v>
      </c>
      <c r="N1673" s="585" t="s">
        <v>1738</v>
      </c>
      <c r="O1673" s="586" t="s">
        <v>4681</v>
      </c>
      <c r="P1673" s="233">
        <f t="shared" si="242"/>
        <v>0</v>
      </c>
      <c r="Q1673" s="233">
        <f t="shared" si="243"/>
        <v>40571</v>
      </c>
      <c r="R1673" s="2">
        <f t="shared" si="244"/>
        <v>4.01</v>
      </c>
      <c r="S1673" s="2">
        <f>(1/9)*cnst_fish!$C$7*(1/cnst_fish!$C$8)^(R1673-1)</f>
        <v>144.31055019343972</v>
      </c>
      <c r="T1673" s="682">
        <f t="shared" si="245"/>
        <v>502124.22308807541</v>
      </c>
      <c r="W1673" s="818"/>
      <c r="X1673" s="818"/>
      <c r="Y1673" s="819"/>
      <c r="Z1673" s="820"/>
      <c r="AA1673" s="820"/>
      <c r="AB1673" s="821"/>
      <c r="AC1673" s="821"/>
      <c r="AD1673" s="253"/>
      <c r="AE1673" s="253"/>
    </row>
    <row r="1674" spans="1:31" ht="12.75" customHeight="1">
      <c r="A1674" t="s">
        <v>4257</v>
      </c>
      <c r="B1674" t="s">
        <v>8726</v>
      </c>
      <c r="C1674">
        <v>14485</v>
      </c>
      <c r="D1674" s="581"/>
      <c r="E1674" s="581"/>
      <c r="F1674" s="2">
        <f>(1/S1674)*cnst_fish!$C$6</f>
        <v>0.11997502458044032</v>
      </c>
      <c r="G1674" s="2">
        <f t="shared" si="239"/>
        <v>1</v>
      </c>
      <c r="H1674" s="2">
        <f t="shared" si="239"/>
        <v>0.36449057933102513</v>
      </c>
      <c r="I1674" s="2">
        <f t="shared" si="240"/>
        <v>0</v>
      </c>
      <c r="J1674" s="389">
        <f t="shared" si="241"/>
        <v>0</v>
      </c>
      <c r="L1674" s="721"/>
      <c r="M1674" s="581"/>
      <c r="N1674" s="585" t="s">
        <v>1738</v>
      </c>
      <c r="O1674" s="586" t="s">
        <v>4681</v>
      </c>
      <c r="P1674" s="233">
        <f t="shared" si="242"/>
        <v>0</v>
      </c>
      <c r="Q1674" s="233">
        <f t="shared" si="243"/>
        <v>0</v>
      </c>
      <c r="R1674" s="2">
        <f t="shared" si="244"/>
        <v>3.4</v>
      </c>
      <c r="S1674" s="2">
        <f>(1/9)*cnst_fish!$C$7*(1/cnst_fish!$C$8)^(R1674-1)</f>
        <v>35.424039418724846</v>
      </c>
      <c r="T1674" s="682">
        <f t="shared" si="245"/>
        <v>0</v>
      </c>
      <c r="W1674" s="818"/>
      <c r="X1674" s="818"/>
      <c r="Y1674" s="819"/>
      <c r="Z1674" s="820"/>
      <c r="AA1674" s="820"/>
      <c r="AB1674" s="821"/>
      <c r="AC1674" s="821"/>
      <c r="AD1674" s="253"/>
      <c r="AE1674" s="253"/>
    </row>
    <row r="1675" spans="1:31" ht="12.75" customHeight="1">
      <c r="A1675" t="s">
        <v>8727</v>
      </c>
      <c r="B1675" t="s">
        <v>8728</v>
      </c>
      <c r="C1675">
        <v>17165</v>
      </c>
      <c r="D1675" s="581"/>
      <c r="E1675" s="581"/>
      <c r="F1675" s="2">
        <f>(1/S1675)*cnst_fish!$C$6</f>
        <v>2.3938164528281742</v>
      </c>
      <c r="G1675" s="2">
        <f t="shared" si="239"/>
        <v>1</v>
      </c>
      <c r="H1675" s="2">
        <f t="shared" si="239"/>
        <v>0.36449057933102513</v>
      </c>
      <c r="I1675" s="2">
        <f t="shared" si="240"/>
        <v>0</v>
      </c>
      <c r="J1675" s="389">
        <f t="shared" si="241"/>
        <v>0</v>
      </c>
      <c r="L1675" s="721"/>
      <c r="M1675" s="581"/>
      <c r="N1675" s="585" t="s">
        <v>1736</v>
      </c>
      <c r="O1675" s="586" t="s">
        <v>4691</v>
      </c>
      <c r="P1675" s="233">
        <f t="shared" si="242"/>
        <v>0</v>
      </c>
      <c r="Q1675" s="233">
        <f t="shared" si="243"/>
        <v>0</v>
      </c>
      <c r="R1675" s="2">
        <f t="shared" si="244"/>
        <v>2.1</v>
      </c>
      <c r="S1675" s="2">
        <f>(1/9)*cnst_fish!$C$7*(1/cnst_fish!$C$8)^(R1675-1)</f>
        <v>1.7754076320174161</v>
      </c>
      <c r="T1675" s="682">
        <f t="shared" si="245"/>
        <v>0</v>
      </c>
      <c r="W1675" s="818"/>
      <c r="X1675" s="818"/>
      <c r="Y1675" s="819"/>
      <c r="Z1675" s="820"/>
      <c r="AA1675" s="820"/>
      <c r="AB1675" s="821"/>
      <c r="AC1675" s="821"/>
      <c r="AD1675" s="253"/>
      <c r="AE1675" s="253"/>
    </row>
    <row r="1676" spans="1:31" ht="12.75" customHeight="1">
      <c r="A1676" t="s">
        <v>4981</v>
      </c>
      <c r="B1676" t="s">
        <v>4982</v>
      </c>
      <c r="C1676">
        <v>18872</v>
      </c>
      <c r="D1676" s="581"/>
      <c r="E1676" s="581"/>
      <c r="F1676" s="2">
        <f>(1/S1676)*cnst_fish!$C$6</f>
        <v>1.9014759972289439E-2</v>
      </c>
      <c r="G1676" s="2">
        <f t="shared" si="239"/>
        <v>1</v>
      </c>
      <c r="H1676" s="2">
        <f t="shared" si="239"/>
        <v>0.36449057933102513</v>
      </c>
      <c r="I1676" s="2">
        <f t="shared" si="240"/>
        <v>0</v>
      </c>
      <c r="J1676" s="389">
        <f t="shared" si="241"/>
        <v>0</v>
      </c>
      <c r="L1676" s="721">
        <v>3</v>
      </c>
      <c r="M1676" s="581"/>
      <c r="N1676" s="585" t="s">
        <v>1738</v>
      </c>
      <c r="O1676" s="586" t="s">
        <v>4681</v>
      </c>
      <c r="P1676" s="233">
        <f t="shared" si="242"/>
        <v>0</v>
      </c>
      <c r="Q1676" s="233">
        <f t="shared" si="243"/>
        <v>3</v>
      </c>
      <c r="R1676" s="2">
        <f t="shared" si="244"/>
        <v>4.2</v>
      </c>
      <c r="S1676" s="2">
        <f>(1/9)*cnst_fish!$C$7*(1/cnst_fish!$C$8)^(R1676-1)</f>
        <v>223.51057842400343</v>
      </c>
      <c r="T1676" s="682">
        <f t="shared" si="245"/>
        <v>57.506470740972382</v>
      </c>
      <c r="W1676" s="818"/>
      <c r="X1676" s="818"/>
      <c r="Y1676" s="819"/>
      <c r="Z1676" s="820"/>
      <c r="AA1676" s="820"/>
      <c r="AB1676" s="821"/>
      <c r="AC1676" s="821"/>
      <c r="AD1676" s="253"/>
      <c r="AE1676" s="253"/>
    </row>
    <row r="1677" spans="1:31" ht="12.75" customHeight="1">
      <c r="A1677" t="s">
        <v>4139</v>
      </c>
      <c r="B1677" t="s">
        <v>5214</v>
      </c>
      <c r="C1677">
        <v>2265</v>
      </c>
      <c r="D1677" s="581"/>
      <c r="E1677" s="581"/>
      <c r="F1677" s="2">
        <f>(1/S1677)*cnst_fish!$C$6</f>
        <v>6.4430402969999093E-2</v>
      </c>
      <c r="G1677" s="2">
        <f t="shared" si="239"/>
        <v>1</v>
      </c>
      <c r="H1677" s="2">
        <f t="shared" si="239"/>
        <v>0.36449057933102513</v>
      </c>
      <c r="I1677" s="2">
        <f t="shared" si="240"/>
        <v>0</v>
      </c>
      <c r="J1677" s="389">
        <f t="shared" si="241"/>
        <v>0</v>
      </c>
      <c r="L1677" s="721">
        <v>106105</v>
      </c>
      <c r="M1677" s="581">
        <v>0</v>
      </c>
      <c r="N1677" s="585" t="s">
        <v>1738</v>
      </c>
      <c r="O1677" s="586" t="s">
        <v>4681</v>
      </c>
      <c r="P1677" s="233">
        <f t="shared" si="242"/>
        <v>0</v>
      </c>
      <c r="Q1677" s="233">
        <f t="shared" si="243"/>
        <v>106105</v>
      </c>
      <c r="R1677" s="2">
        <f t="shared" si="244"/>
        <v>3.67</v>
      </c>
      <c r="S1677" s="2">
        <f>(1/9)*cnst_fish!$C$7*(1/cnst_fish!$C$8)^(R1677-1)</f>
        <v>65.962648130245896</v>
      </c>
      <c r="T1677" s="682">
        <f t="shared" si="245"/>
        <v>600248.81324933551</v>
      </c>
      <c r="W1677" s="818"/>
      <c r="X1677" s="818"/>
      <c r="Y1677" s="819"/>
      <c r="Z1677" s="820"/>
      <c r="AA1677" s="820"/>
      <c r="AB1677" s="821"/>
      <c r="AC1677" s="821"/>
      <c r="AD1677" s="253"/>
      <c r="AE1677" s="253"/>
    </row>
    <row r="1678" spans="1:31" ht="12.75" customHeight="1">
      <c r="A1678" t="s">
        <v>2246</v>
      </c>
      <c r="B1678" t="s">
        <v>1108</v>
      </c>
      <c r="C1678">
        <v>2880</v>
      </c>
      <c r="D1678" s="581"/>
      <c r="E1678" s="581"/>
      <c r="F1678" s="2">
        <f>(1/S1678)*cnst_fish!$C$6</f>
        <v>0.30136363636363639</v>
      </c>
      <c r="G1678" s="2">
        <f t="shared" si="239"/>
        <v>1</v>
      </c>
      <c r="H1678" s="2">
        <f t="shared" si="239"/>
        <v>0.36449057933102513</v>
      </c>
      <c r="I1678" s="2">
        <f t="shared" si="240"/>
        <v>0</v>
      </c>
      <c r="J1678" s="389">
        <f t="shared" si="241"/>
        <v>0</v>
      </c>
      <c r="L1678" s="721"/>
      <c r="M1678" s="581"/>
      <c r="N1678" s="585" t="s">
        <v>1738</v>
      </c>
      <c r="O1678" s="586" t="s">
        <v>4685</v>
      </c>
      <c r="P1678" s="233">
        <f t="shared" si="242"/>
        <v>0</v>
      </c>
      <c r="Q1678" s="233">
        <f t="shared" si="243"/>
        <v>0</v>
      </c>
      <c r="R1678" s="2">
        <f t="shared" si="244"/>
        <v>3</v>
      </c>
      <c r="S1678" s="2">
        <f>(1/9)*cnst_fish!$C$7*(1/cnst_fish!$C$8)^(R1678-1)</f>
        <v>14.1025641025641</v>
      </c>
      <c r="T1678" s="682">
        <f t="shared" si="245"/>
        <v>0</v>
      </c>
      <c r="W1678" s="818"/>
      <c r="X1678" s="818"/>
      <c r="Y1678" s="819"/>
      <c r="Z1678" s="820"/>
      <c r="AA1678" s="820"/>
      <c r="AB1678" s="821"/>
      <c r="AC1678" s="821"/>
      <c r="AD1678" s="253"/>
      <c r="AE1678" s="253"/>
    </row>
    <row r="1679" spans="1:31" ht="12.75" customHeight="1">
      <c r="A1679" t="s">
        <v>4085</v>
      </c>
      <c r="B1679" t="s">
        <v>2672</v>
      </c>
      <c r="C1679">
        <v>3077</v>
      </c>
      <c r="D1679" s="581"/>
      <c r="E1679" s="581"/>
      <c r="F1679" s="2">
        <f>(1/S1679)*cnst_fish!$C$6</f>
        <v>2.1831865524078106E-2</v>
      </c>
      <c r="G1679" s="2">
        <f t="shared" si="239"/>
        <v>1</v>
      </c>
      <c r="H1679" s="2">
        <f t="shared" si="239"/>
        <v>0.36449057933102513</v>
      </c>
      <c r="I1679" s="2">
        <f t="shared" si="240"/>
        <v>0</v>
      </c>
      <c r="J1679" s="389">
        <f t="shared" si="241"/>
        <v>0</v>
      </c>
      <c r="L1679" s="721">
        <v>281</v>
      </c>
      <c r="M1679" s="581"/>
      <c r="N1679" s="585" t="s">
        <v>1738</v>
      </c>
      <c r="O1679" s="586" t="s">
        <v>4681</v>
      </c>
      <c r="P1679" s="233">
        <f t="shared" si="242"/>
        <v>0</v>
      </c>
      <c r="Q1679" s="233">
        <f t="shared" si="243"/>
        <v>281</v>
      </c>
      <c r="R1679" s="2">
        <f t="shared" si="244"/>
        <v>4.1399999999999997</v>
      </c>
      <c r="S1679" s="2">
        <f>(1/9)*cnst_fish!$C$7*(1/cnst_fish!$C$8)^(R1679-1)</f>
        <v>194.66957577732992</v>
      </c>
      <c r="T1679" s="682">
        <f t="shared" si="245"/>
        <v>4691.3926196118337</v>
      </c>
      <c r="W1679" s="818"/>
      <c r="X1679" s="818"/>
      <c r="Y1679" s="819"/>
      <c r="Z1679" s="820"/>
      <c r="AA1679" s="820"/>
      <c r="AB1679" s="821"/>
      <c r="AC1679" s="821"/>
      <c r="AD1679" s="253"/>
      <c r="AE1679" s="253"/>
    </row>
    <row r="1680" spans="1:31" ht="12.75" customHeight="1">
      <c r="A1680" t="s">
        <v>2288</v>
      </c>
      <c r="B1680" t="s">
        <v>2673</v>
      </c>
      <c r="C1680">
        <v>3078</v>
      </c>
      <c r="D1680" s="581"/>
      <c r="E1680" s="581"/>
      <c r="F1680" s="2">
        <f>(1/S1680)*cnst_fish!$C$6</f>
        <v>1.0692785320993655E-2</v>
      </c>
      <c r="G1680" s="2">
        <f t="shared" si="239"/>
        <v>1</v>
      </c>
      <c r="H1680" s="2">
        <f t="shared" si="239"/>
        <v>0.36449057933102513</v>
      </c>
      <c r="I1680" s="2">
        <f t="shared" si="240"/>
        <v>0</v>
      </c>
      <c r="J1680" s="389">
        <f t="shared" si="241"/>
        <v>0</v>
      </c>
      <c r="L1680" s="721">
        <v>1207</v>
      </c>
      <c r="M1680" s="581"/>
      <c r="N1680" s="585" t="s">
        <v>1738</v>
      </c>
      <c r="O1680" s="586" t="s">
        <v>4681</v>
      </c>
      <c r="P1680" s="233">
        <f t="shared" si="242"/>
        <v>0</v>
      </c>
      <c r="Q1680" s="233">
        <f t="shared" si="243"/>
        <v>1207</v>
      </c>
      <c r="R1680" s="2">
        <f t="shared" si="244"/>
        <v>4.45</v>
      </c>
      <c r="S1680" s="2">
        <f>(1/9)*cnst_fish!$C$7*(1/cnst_fish!$C$8)^(R1680-1)</f>
        <v>397.46425953729499</v>
      </c>
      <c r="T1680" s="682">
        <f t="shared" si="245"/>
        <v>41143.641815083669</v>
      </c>
      <c r="W1680" s="818"/>
      <c r="X1680" s="818"/>
      <c r="Y1680" s="819"/>
      <c r="Z1680" s="820"/>
      <c r="AA1680" s="820"/>
      <c r="AB1680" s="821"/>
      <c r="AC1680" s="821"/>
      <c r="AD1680" s="253"/>
      <c r="AE1680" s="253"/>
    </row>
    <row r="1681" spans="1:31" ht="12.75" customHeight="1">
      <c r="A1681" t="s">
        <v>828</v>
      </c>
      <c r="B1681" t="s">
        <v>5215</v>
      </c>
      <c r="C1681">
        <v>2426</v>
      </c>
      <c r="D1681" s="581"/>
      <c r="E1681" s="581"/>
      <c r="F1681" s="2">
        <f>(1/S1681)*cnst_fish!$C$6</f>
        <v>0.47762917572805397</v>
      </c>
      <c r="G1681" s="2">
        <f t="shared" si="239"/>
        <v>1</v>
      </c>
      <c r="H1681" s="2">
        <f t="shared" si="239"/>
        <v>0.36449057933102513</v>
      </c>
      <c r="I1681" s="2">
        <f t="shared" si="240"/>
        <v>0</v>
      </c>
      <c r="J1681" s="389">
        <f t="shared" si="241"/>
        <v>0</v>
      </c>
      <c r="L1681" s="721">
        <v>27</v>
      </c>
      <c r="M1681" s="581"/>
      <c r="N1681" s="585" t="s">
        <v>1738</v>
      </c>
      <c r="O1681" s="586" t="s">
        <v>4681</v>
      </c>
      <c r="P1681" s="233">
        <f t="shared" si="242"/>
        <v>0</v>
      </c>
      <c r="Q1681" s="233">
        <f t="shared" si="243"/>
        <v>27</v>
      </c>
      <c r="R1681" s="2">
        <f t="shared" si="244"/>
        <v>2.8</v>
      </c>
      <c r="S1681" s="2">
        <f>(1/9)*cnst_fish!$C$7*(1/cnst_fish!$C$8)^(R1681-1)</f>
        <v>8.8981163965155421</v>
      </c>
      <c r="T1681" s="682">
        <f t="shared" si="245"/>
        <v>20.604364519685358</v>
      </c>
      <c r="W1681" s="818"/>
      <c r="X1681" s="818"/>
      <c r="Y1681" s="819"/>
      <c r="Z1681" s="820"/>
      <c r="AA1681" s="820"/>
      <c r="AB1681" s="821"/>
      <c r="AC1681" s="821"/>
      <c r="AD1681" s="253"/>
      <c r="AE1681" s="253"/>
    </row>
    <row r="1682" spans="1:31" ht="12.75" customHeight="1">
      <c r="A1682" t="s">
        <v>4621</v>
      </c>
      <c r="B1682" t="s">
        <v>98</v>
      </c>
      <c r="C1682">
        <v>18974</v>
      </c>
      <c r="D1682" s="581"/>
      <c r="E1682" s="581"/>
      <c r="F1682" s="2">
        <f>(1/S1682)*cnst_fish!$C$6</f>
        <v>0.64430402969999101</v>
      </c>
      <c r="G1682" s="2">
        <f t="shared" si="239"/>
        <v>1</v>
      </c>
      <c r="H1682" s="2">
        <f t="shared" si="239"/>
        <v>0.36449057933102513</v>
      </c>
      <c r="I1682" s="2">
        <f t="shared" si="240"/>
        <v>0</v>
      </c>
      <c r="J1682" s="389">
        <f t="shared" si="241"/>
        <v>0</v>
      </c>
      <c r="L1682" s="721">
        <v>512</v>
      </c>
      <c r="M1682" s="581"/>
      <c r="N1682" s="585" t="s">
        <v>1738</v>
      </c>
      <c r="O1682" s="586" t="s">
        <v>4681</v>
      </c>
      <c r="P1682" s="233">
        <f t="shared" si="242"/>
        <v>0</v>
      </c>
      <c r="Q1682" s="233">
        <f t="shared" si="243"/>
        <v>512</v>
      </c>
      <c r="R1682" s="2">
        <f t="shared" si="244"/>
        <v>2.67</v>
      </c>
      <c r="S1682" s="2">
        <f>(1/9)*cnst_fish!$C$7*(1/cnst_fish!$C$8)^(R1682-1)</f>
        <v>6.5962648130245887</v>
      </c>
      <c r="T1682" s="682">
        <f t="shared" si="245"/>
        <v>289.64459015471448</v>
      </c>
      <c r="W1682" s="818"/>
      <c r="X1682" s="818"/>
      <c r="Y1682" s="819"/>
      <c r="Z1682" s="820"/>
      <c r="AA1682" s="820"/>
      <c r="AB1682" s="821"/>
      <c r="AC1682" s="821"/>
      <c r="AD1682" s="253"/>
      <c r="AE1682" s="253"/>
    </row>
    <row r="1683" spans="1:31" ht="12.75" customHeight="1">
      <c r="A1683" t="s">
        <v>1704</v>
      </c>
      <c r="B1683" t="s">
        <v>99</v>
      </c>
      <c r="C1683">
        <v>2340</v>
      </c>
      <c r="D1683" s="581"/>
      <c r="E1683" s="581"/>
      <c r="F1683" s="2">
        <f>(1/S1683)*cnst_fish!$C$6</f>
        <v>0.11457525898206007</v>
      </c>
      <c r="G1683" s="2">
        <f t="shared" si="239"/>
        <v>1</v>
      </c>
      <c r="H1683" s="2">
        <f t="shared" si="239"/>
        <v>0.36449057933102513</v>
      </c>
      <c r="I1683" s="2">
        <f t="shared" si="240"/>
        <v>0</v>
      </c>
      <c r="J1683" s="389">
        <f t="shared" si="241"/>
        <v>0</v>
      </c>
      <c r="L1683" s="721">
        <v>4306.96</v>
      </c>
      <c r="M1683" s="581"/>
      <c r="N1683" s="585" t="s">
        <v>1738</v>
      </c>
      <c r="O1683" s="586" t="s">
        <v>4681</v>
      </c>
      <c r="P1683" s="233">
        <f t="shared" si="242"/>
        <v>0</v>
      </c>
      <c r="Q1683" s="233">
        <f t="shared" si="243"/>
        <v>4306.96</v>
      </c>
      <c r="R1683" s="2">
        <f t="shared" si="244"/>
        <v>3.42</v>
      </c>
      <c r="S1683" s="2">
        <f>(1/9)*cnst_fish!$C$7*(1/cnst_fish!$C$8)^(R1683-1)</f>
        <v>37.093522962627169</v>
      </c>
      <c r="T1683" s="682">
        <f t="shared" si="245"/>
        <v>13701.442698037932</v>
      </c>
      <c r="W1683" s="818"/>
      <c r="X1683" s="818"/>
      <c r="Y1683" s="819"/>
      <c r="Z1683" s="820"/>
      <c r="AA1683" s="820"/>
      <c r="AB1683" s="821"/>
      <c r="AC1683" s="821"/>
      <c r="AD1683" s="253"/>
      <c r="AE1683" s="253"/>
    </row>
    <row r="1684" spans="1:31" ht="12.75" customHeight="1">
      <c r="A1684" t="s">
        <v>3346</v>
      </c>
      <c r="B1684" t="s">
        <v>1773</v>
      </c>
      <c r="C1684">
        <v>3146</v>
      </c>
      <c r="D1684" s="581"/>
      <c r="E1684" s="581"/>
      <c r="F1684" s="2">
        <f>(1/S1684)*cnst_fish!$C$6</f>
        <v>4.7762917572805388E-2</v>
      </c>
      <c r="G1684" s="2">
        <f t="shared" si="239"/>
        <v>1</v>
      </c>
      <c r="H1684" s="2">
        <f t="shared" si="239"/>
        <v>0.36449057933102513</v>
      </c>
      <c r="I1684" s="2">
        <f t="shared" si="240"/>
        <v>0</v>
      </c>
      <c r="J1684" s="389">
        <f t="shared" si="241"/>
        <v>0</v>
      </c>
      <c r="L1684" s="721">
        <v>24</v>
      </c>
      <c r="M1684" s="581"/>
      <c r="N1684" s="585" t="s">
        <v>1738</v>
      </c>
      <c r="O1684" s="586" t="s">
        <v>4681</v>
      </c>
      <c r="P1684" s="233">
        <f t="shared" si="242"/>
        <v>0</v>
      </c>
      <c r="Q1684" s="233">
        <f t="shared" si="243"/>
        <v>24</v>
      </c>
      <c r="R1684" s="2">
        <f t="shared" si="244"/>
        <v>3.8</v>
      </c>
      <c r="S1684" s="2">
        <f>(1/9)*cnst_fish!$C$7*(1/cnst_fish!$C$8)^(R1684-1)</f>
        <v>88.981163965155432</v>
      </c>
      <c r="T1684" s="682">
        <f t="shared" si="245"/>
        <v>183.14990684164766</v>
      </c>
      <c r="W1684" s="818"/>
      <c r="X1684" s="818"/>
      <c r="Y1684" s="819"/>
      <c r="Z1684" s="820"/>
      <c r="AA1684" s="820"/>
      <c r="AB1684" s="821"/>
      <c r="AC1684" s="821"/>
      <c r="AD1684" s="253"/>
      <c r="AE1684" s="253"/>
    </row>
    <row r="1685" spans="1:31" ht="12.75" customHeight="1">
      <c r="A1685" t="s">
        <v>4483</v>
      </c>
      <c r="B1685" t="s">
        <v>1774</v>
      </c>
      <c r="C1685">
        <v>2341</v>
      </c>
      <c r="D1685" s="581"/>
      <c r="E1685" s="581"/>
      <c r="F1685" s="2">
        <f>(1/S1685)*cnst_fish!$C$6</f>
        <v>0.1409583630333692</v>
      </c>
      <c r="G1685" s="2">
        <f t="shared" si="239"/>
        <v>1</v>
      </c>
      <c r="H1685" s="2">
        <f t="shared" si="239"/>
        <v>0.36449057933102513</v>
      </c>
      <c r="I1685" s="2">
        <f t="shared" si="240"/>
        <v>0</v>
      </c>
      <c r="J1685" s="389">
        <f t="shared" si="241"/>
        <v>0</v>
      </c>
      <c r="L1685" s="721">
        <v>5242</v>
      </c>
      <c r="M1685" s="581"/>
      <c r="N1685" s="585" t="s">
        <v>1738</v>
      </c>
      <c r="O1685" s="586" t="s">
        <v>4681</v>
      </c>
      <c r="P1685" s="233">
        <f t="shared" si="242"/>
        <v>0</v>
      </c>
      <c r="Q1685" s="233">
        <f t="shared" si="243"/>
        <v>5242</v>
      </c>
      <c r="R1685" s="2">
        <f t="shared" si="244"/>
        <v>3.33</v>
      </c>
      <c r="S1685" s="2">
        <f>(1/9)*cnst_fish!$C$7*(1/cnst_fish!$C$8)^(R1685-1)</f>
        <v>30.15074741605714</v>
      </c>
      <c r="T1685" s="682">
        <f t="shared" si="245"/>
        <v>13554.780119012319</v>
      </c>
      <c r="W1685" s="818"/>
      <c r="X1685" s="818"/>
      <c r="Y1685" s="819"/>
      <c r="Z1685" s="820"/>
      <c r="AA1685" s="820"/>
      <c r="AB1685" s="821"/>
      <c r="AC1685" s="821"/>
      <c r="AD1685" s="253"/>
      <c r="AE1685" s="253"/>
    </row>
    <row r="1686" spans="1:31" ht="12.75" customHeight="1">
      <c r="A1686" t="s">
        <v>4571</v>
      </c>
      <c r="B1686" t="s">
        <v>1775</v>
      </c>
      <c r="C1686">
        <v>18668</v>
      </c>
      <c r="D1686" s="581"/>
      <c r="E1686" s="581"/>
      <c r="F1686" s="2">
        <f>(1/S1686)*cnst_fish!$C$6</f>
        <v>0.10449387811364928</v>
      </c>
      <c r="G1686" s="2">
        <f t="shared" si="239"/>
        <v>1</v>
      </c>
      <c r="H1686" s="2">
        <f t="shared" si="239"/>
        <v>0.36449057933102513</v>
      </c>
      <c r="I1686" s="2">
        <f t="shared" si="240"/>
        <v>0</v>
      </c>
      <c r="J1686" s="389">
        <f t="shared" si="241"/>
        <v>0</v>
      </c>
      <c r="L1686" s="721">
        <v>9711</v>
      </c>
      <c r="M1686" s="581"/>
      <c r="N1686" s="585" t="s">
        <v>1738</v>
      </c>
      <c r="O1686" s="586" t="s">
        <v>4681</v>
      </c>
      <c r="P1686" s="233">
        <f t="shared" si="242"/>
        <v>0</v>
      </c>
      <c r="Q1686" s="233">
        <f t="shared" si="243"/>
        <v>9711</v>
      </c>
      <c r="R1686" s="2">
        <f t="shared" si="244"/>
        <v>3.46</v>
      </c>
      <c r="S1686" s="2">
        <f>(1/9)*cnst_fish!$C$7*(1/cnst_fish!$C$8)^(R1686-1)</f>
        <v>40.672239146657276</v>
      </c>
      <c r="T1686" s="682">
        <f t="shared" si="245"/>
        <v>33873.448663029732</v>
      </c>
      <c r="W1686" s="822"/>
      <c r="X1686" s="822"/>
      <c r="Y1686" s="819"/>
      <c r="Z1686" s="820"/>
      <c r="AA1686" s="820"/>
      <c r="AB1686" s="821"/>
      <c r="AC1686" s="821"/>
      <c r="AD1686" s="253"/>
      <c r="AE1686" s="253"/>
    </row>
    <row r="1687" spans="1:31" ht="12.75" customHeight="1">
      <c r="A1687" t="s">
        <v>8335</v>
      </c>
      <c r="B1687" t="s">
        <v>8336</v>
      </c>
      <c r="C1687">
        <v>14512</v>
      </c>
      <c r="D1687" s="581"/>
      <c r="E1687" s="581"/>
      <c r="F1687" s="2">
        <f>(1/S1687)*cnst_fish!$C$6</f>
        <v>0.15103960722494611</v>
      </c>
      <c r="G1687" s="2">
        <f t="shared" si="239"/>
        <v>1</v>
      </c>
      <c r="H1687" s="2">
        <f t="shared" si="239"/>
        <v>0.36449057933102513</v>
      </c>
      <c r="I1687" s="2">
        <f t="shared" si="240"/>
        <v>0</v>
      </c>
      <c r="J1687" s="389">
        <f t="shared" si="241"/>
        <v>0</v>
      </c>
      <c r="L1687" s="721">
        <v>0</v>
      </c>
      <c r="M1687" s="581"/>
      <c r="N1687" s="585" t="s">
        <v>1738</v>
      </c>
      <c r="O1687" s="586" t="s">
        <v>4681</v>
      </c>
      <c r="P1687" s="233">
        <f t="shared" si="242"/>
        <v>0</v>
      </c>
      <c r="Q1687" s="233">
        <f t="shared" si="243"/>
        <v>0</v>
      </c>
      <c r="R1687" s="2">
        <f t="shared" si="244"/>
        <v>3.3</v>
      </c>
      <c r="S1687" s="2">
        <f>(1/9)*cnst_fish!$C$7*(1/cnst_fish!$C$8)^(R1687-1)</f>
        <v>28.138314698279075</v>
      </c>
      <c r="T1687" s="682">
        <f t="shared" si="245"/>
        <v>0</v>
      </c>
      <c r="W1687" s="818"/>
      <c r="X1687" s="818"/>
      <c r="Y1687" s="819"/>
      <c r="Z1687" s="820"/>
      <c r="AA1687" s="820"/>
      <c r="AB1687" s="821"/>
      <c r="AC1687" s="821"/>
      <c r="AD1687" s="253"/>
      <c r="AE1687" s="253"/>
    </row>
    <row r="1688" spans="1:31" ht="12.75" customHeight="1">
      <c r="A1688" t="s">
        <v>4180</v>
      </c>
      <c r="B1688" t="s">
        <v>1776</v>
      </c>
      <c r="C1688">
        <v>14513</v>
      </c>
      <c r="D1688" s="581"/>
      <c r="E1688" s="581"/>
      <c r="F1688" s="2">
        <f>(1/S1688)*cnst_fish!$C$6</f>
        <v>2.8780003842373291E-2</v>
      </c>
      <c r="G1688" s="2">
        <f t="shared" ref="G1688:H1707" si="246">G$7</f>
        <v>1</v>
      </c>
      <c r="H1688" s="2">
        <f t="shared" si="246"/>
        <v>0.36449057933102513</v>
      </c>
      <c r="I1688" s="2">
        <f t="shared" si="240"/>
        <v>0</v>
      </c>
      <c r="J1688" s="389">
        <f t="shared" si="241"/>
        <v>0</v>
      </c>
      <c r="L1688" s="721">
        <v>684</v>
      </c>
      <c r="M1688" s="581"/>
      <c r="N1688" s="585" t="s">
        <v>1738</v>
      </c>
      <c r="O1688" s="586" t="s">
        <v>4681</v>
      </c>
      <c r="P1688" s="233">
        <f t="shared" si="242"/>
        <v>0</v>
      </c>
      <c r="Q1688" s="233">
        <f t="shared" si="243"/>
        <v>684</v>
      </c>
      <c r="R1688" s="2">
        <f t="shared" si="244"/>
        <v>4.0199999999999996</v>
      </c>
      <c r="S1688" s="2">
        <f>(1/9)*cnst_fish!$C$7*(1/cnst_fish!$C$8)^(R1688-1)</f>
        <v>147.67197472512677</v>
      </c>
      <c r="T1688" s="682">
        <f t="shared" si="245"/>
        <v>8662.6658435450063</v>
      </c>
      <c r="W1688" s="818"/>
      <c r="X1688" s="818"/>
      <c r="Y1688" s="819"/>
      <c r="Z1688" s="820"/>
      <c r="AA1688" s="820"/>
      <c r="AB1688" s="821"/>
      <c r="AC1688" s="821"/>
      <c r="AD1688" s="253"/>
      <c r="AE1688" s="253"/>
    </row>
    <row r="1689" spans="1:31" ht="12.75" customHeight="1">
      <c r="A1689" t="s">
        <v>3845</v>
      </c>
      <c r="B1689" t="s">
        <v>4936</v>
      </c>
      <c r="C1689">
        <v>3102</v>
      </c>
      <c r="D1689" s="581"/>
      <c r="E1689" s="581"/>
      <c r="F1689" s="2">
        <f>(1/S1689)*cnst_fish!$C$6</f>
        <v>9.5299549485983424E-3</v>
      </c>
      <c r="G1689" s="2">
        <f t="shared" si="246"/>
        <v>1</v>
      </c>
      <c r="H1689" s="2">
        <f t="shared" si="246"/>
        <v>0.36449057933102513</v>
      </c>
      <c r="I1689" s="2">
        <f t="shared" si="240"/>
        <v>0</v>
      </c>
      <c r="J1689" s="389">
        <f t="shared" si="241"/>
        <v>0</v>
      </c>
      <c r="L1689" s="721">
        <v>18116.010000000002</v>
      </c>
      <c r="M1689" s="581"/>
      <c r="N1689" s="585" t="s">
        <v>1738</v>
      </c>
      <c r="O1689" s="586" t="s">
        <v>4699</v>
      </c>
      <c r="P1689" s="233">
        <f t="shared" si="242"/>
        <v>0</v>
      </c>
      <c r="Q1689" s="233">
        <f t="shared" si="243"/>
        <v>18116.010000000002</v>
      </c>
      <c r="R1689" s="2">
        <f t="shared" si="244"/>
        <v>4.5</v>
      </c>
      <c r="S1689" s="2">
        <f>(1/9)*cnst_fish!$C$7*(1/cnst_fish!$C$8)^(R1689-1)</f>
        <v>445.96223412630997</v>
      </c>
      <c r="T1689" s="682">
        <f t="shared" si="245"/>
        <v>692879.97851845308</v>
      </c>
      <c r="W1689" s="818"/>
      <c r="X1689" s="818"/>
      <c r="Y1689" s="819"/>
      <c r="Z1689" s="820"/>
      <c r="AA1689" s="820"/>
      <c r="AB1689" s="821"/>
      <c r="AC1689" s="821"/>
      <c r="AD1689" s="253"/>
      <c r="AE1689" s="253"/>
    </row>
    <row r="1690" spans="1:31" ht="12.75" customHeight="1">
      <c r="A1690" t="s">
        <v>6338</v>
      </c>
      <c r="B1690" t="s">
        <v>6337</v>
      </c>
      <c r="C1690">
        <v>6513</v>
      </c>
      <c r="D1690" s="581"/>
      <c r="E1690" s="581"/>
      <c r="F1690" s="2">
        <f>(1/S1690)*cnst_fish!$C$6</f>
        <v>0.15103960722494611</v>
      </c>
      <c r="G1690" s="2">
        <f t="shared" si="246"/>
        <v>1</v>
      </c>
      <c r="H1690" s="2">
        <f t="shared" si="246"/>
        <v>0.36449057933102513</v>
      </c>
      <c r="I1690" s="2">
        <f t="shared" si="240"/>
        <v>0</v>
      </c>
      <c r="J1690" s="389">
        <f t="shared" si="241"/>
        <v>0</v>
      </c>
      <c r="L1690" s="721"/>
      <c r="M1690" s="581"/>
      <c r="N1690" s="585" t="s">
        <v>1738</v>
      </c>
      <c r="O1690" s="586" t="s">
        <v>4681</v>
      </c>
      <c r="P1690" s="233">
        <f t="shared" si="242"/>
        <v>0</v>
      </c>
      <c r="Q1690" s="233">
        <f t="shared" si="243"/>
        <v>0</v>
      </c>
      <c r="R1690" s="2">
        <f t="shared" si="244"/>
        <v>3.3</v>
      </c>
      <c r="S1690" s="2">
        <f>(1/9)*cnst_fish!$C$7*(1/cnst_fish!$C$8)^(R1690-1)</f>
        <v>28.138314698279075</v>
      </c>
      <c r="T1690" s="682">
        <f t="shared" si="245"/>
        <v>0</v>
      </c>
      <c r="W1690" s="818"/>
      <c r="X1690" s="818"/>
      <c r="Y1690" s="819"/>
      <c r="Z1690" s="820"/>
      <c r="AA1690" s="820"/>
      <c r="AB1690" s="821"/>
      <c r="AC1690" s="821"/>
      <c r="AD1690" s="253"/>
      <c r="AE1690" s="253"/>
    </row>
    <row r="1691" spans="1:31" ht="12.75" customHeight="1">
      <c r="A1691" t="s">
        <v>4283</v>
      </c>
      <c r="B1691" t="s">
        <v>8729</v>
      </c>
      <c r="C1691">
        <v>14516</v>
      </c>
      <c r="D1691" s="581"/>
      <c r="E1691" s="581"/>
      <c r="F1691" s="2">
        <f>(1/S1691)*cnst_fish!$C$6</f>
        <v>1.1997502458044018E-2</v>
      </c>
      <c r="G1691" s="2">
        <f t="shared" si="246"/>
        <v>1</v>
      </c>
      <c r="H1691" s="2">
        <f t="shared" si="246"/>
        <v>0.36449057933102513</v>
      </c>
      <c r="I1691" s="2">
        <f t="shared" si="240"/>
        <v>0</v>
      </c>
      <c r="J1691" s="389">
        <f t="shared" si="241"/>
        <v>0</v>
      </c>
      <c r="L1691" s="721"/>
      <c r="M1691" s="581"/>
      <c r="N1691" s="585" t="s">
        <v>1738</v>
      </c>
      <c r="O1691" s="586" t="s">
        <v>4685</v>
      </c>
      <c r="P1691" s="233">
        <f t="shared" si="242"/>
        <v>0</v>
      </c>
      <c r="Q1691" s="233">
        <f t="shared" si="243"/>
        <v>0</v>
      </c>
      <c r="R1691" s="2">
        <f t="shared" si="244"/>
        <v>4.4000000000000004</v>
      </c>
      <c r="S1691" s="2">
        <f>(1/9)*cnst_fish!$C$7*(1/cnst_fish!$C$8)^(R1691-1)</f>
        <v>354.24039418724885</v>
      </c>
      <c r="T1691" s="682">
        <f t="shared" si="245"/>
        <v>0</v>
      </c>
      <c r="W1691" s="818"/>
      <c r="X1691" s="818"/>
      <c r="Y1691" s="819"/>
      <c r="Z1691" s="820"/>
      <c r="AA1691" s="820"/>
      <c r="AB1691" s="821"/>
      <c r="AC1691" s="821"/>
      <c r="AD1691" s="253"/>
      <c r="AE1691" s="253"/>
    </row>
    <row r="1692" spans="1:31" ht="12.75" customHeight="1">
      <c r="A1692" t="s">
        <v>1956</v>
      </c>
      <c r="B1692" t="s">
        <v>1957</v>
      </c>
      <c r="C1692">
        <v>3333</v>
      </c>
      <c r="D1692" s="581"/>
      <c r="E1692" s="581"/>
      <c r="F1692" s="2">
        <f>(1/S1692)*cnst_fish!$C$6</f>
        <v>2.6859062362848789E-2</v>
      </c>
      <c r="G1692" s="2">
        <f t="shared" si="246"/>
        <v>1</v>
      </c>
      <c r="H1692" s="2">
        <f t="shared" si="246"/>
        <v>0.36449057933102513</v>
      </c>
      <c r="I1692" s="2">
        <f t="shared" si="240"/>
        <v>0</v>
      </c>
      <c r="J1692" s="389">
        <f t="shared" si="241"/>
        <v>0</v>
      </c>
      <c r="L1692" s="721">
        <v>33</v>
      </c>
      <c r="M1692" s="581"/>
      <c r="N1692" s="585" t="s">
        <v>1738</v>
      </c>
      <c r="O1692" s="586" t="s">
        <v>4681</v>
      </c>
      <c r="P1692" s="233">
        <f t="shared" si="242"/>
        <v>0</v>
      </c>
      <c r="Q1692" s="233">
        <f t="shared" si="243"/>
        <v>33</v>
      </c>
      <c r="R1692" s="2">
        <f t="shared" si="244"/>
        <v>4.05</v>
      </c>
      <c r="S1692" s="2">
        <f>(1/9)*cnst_fish!$C$7*(1/cnst_fish!$C$8)^(R1692-1)</f>
        <v>158.23337176053329</v>
      </c>
      <c r="T1692" s="682">
        <f t="shared" si="245"/>
        <v>447.82609889469234</v>
      </c>
      <c r="W1692" s="818"/>
      <c r="X1692" s="818"/>
      <c r="Y1692" s="819"/>
      <c r="Z1692" s="820"/>
      <c r="AA1692" s="820"/>
      <c r="AB1692" s="821"/>
      <c r="AC1692" s="821"/>
      <c r="AD1692" s="253"/>
      <c r="AE1692" s="253"/>
    </row>
    <row r="1693" spans="1:31" ht="12.75" customHeight="1">
      <c r="A1693" t="s">
        <v>6779</v>
      </c>
      <c r="B1693" t="s">
        <v>8730</v>
      </c>
      <c r="C1693">
        <v>18390</v>
      </c>
      <c r="D1693" s="581"/>
      <c r="E1693" s="581"/>
      <c r="F1693" s="2">
        <f>(1/S1693)*cnst_fish!$C$6</f>
        <v>30.136363636363644</v>
      </c>
      <c r="G1693" s="2">
        <f t="shared" si="246"/>
        <v>1</v>
      </c>
      <c r="H1693" s="2">
        <f t="shared" si="246"/>
        <v>0.36449057933102513</v>
      </c>
      <c r="I1693" s="2">
        <f t="shared" si="240"/>
        <v>0</v>
      </c>
      <c r="J1693" s="389">
        <f t="shared" si="241"/>
        <v>0</v>
      </c>
      <c r="L1693" s="721"/>
      <c r="M1693" s="581"/>
      <c r="N1693" s="585" t="s">
        <v>1740</v>
      </c>
      <c r="O1693" s="586" t="s">
        <v>4671</v>
      </c>
      <c r="P1693" s="233">
        <f t="shared" si="242"/>
        <v>0</v>
      </c>
      <c r="Q1693" s="233">
        <f t="shared" si="243"/>
        <v>0</v>
      </c>
      <c r="R1693" s="2">
        <f t="shared" si="244"/>
        <v>1</v>
      </c>
      <c r="S1693" s="2">
        <f>(1/9)*cnst_fish!$C$7*(1/cnst_fish!$C$8)^(R1693-1)</f>
        <v>0.141025641025641</v>
      </c>
      <c r="T1693" s="682">
        <f t="shared" si="245"/>
        <v>0</v>
      </c>
      <c r="W1693" s="818"/>
      <c r="X1693" s="818"/>
      <c r="Y1693" s="819"/>
      <c r="Z1693" s="820"/>
      <c r="AA1693" s="820"/>
      <c r="AB1693" s="821"/>
      <c r="AC1693" s="821"/>
      <c r="AD1693" s="253"/>
      <c r="AE1693" s="253"/>
    </row>
    <row r="1694" spans="1:31" ht="12.75" customHeight="1">
      <c r="A1694" t="s">
        <v>8731</v>
      </c>
      <c r="B1694" t="s">
        <v>8732</v>
      </c>
      <c r="C1694">
        <v>18394</v>
      </c>
      <c r="D1694" s="581"/>
      <c r="E1694" s="581"/>
      <c r="F1694" s="2">
        <f>(1/S1694)*cnst_fish!$C$6</f>
        <v>30.136363636363644</v>
      </c>
      <c r="G1694" s="2">
        <f t="shared" si="246"/>
        <v>1</v>
      </c>
      <c r="H1694" s="2">
        <f t="shared" si="246"/>
        <v>0.36449057933102513</v>
      </c>
      <c r="I1694" s="2">
        <f t="shared" si="240"/>
        <v>0</v>
      </c>
      <c r="J1694" s="389">
        <f t="shared" si="241"/>
        <v>0</v>
      </c>
      <c r="L1694" s="721">
        <v>3</v>
      </c>
      <c r="M1694" s="581"/>
      <c r="N1694" s="585" t="s">
        <v>1740</v>
      </c>
      <c r="O1694" s="586" t="s">
        <v>4671</v>
      </c>
      <c r="P1694" s="233">
        <f t="shared" si="242"/>
        <v>0</v>
      </c>
      <c r="Q1694" s="233">
        <f t="shared" si="243"/>
        <v>3</v>
      </c>
      <c r="R1694" s="2">
        <f t="shared" si="244"/>
        <v>1</v>
      </c>
      <c r="S1694" s="2">
        <f>(1/9)*cnst_fish!$C$7*(1/cnst_fish!$C$8)^(R1694-1)</f>
        <v>0.141025641025641</v>
      </c>
      <c r="T1694" s="682">
        <f t="shared" si="245"/>
        <v>3.6284130069151814E-2</v>
      </c>
      <c r="W1694" s="818"/>
      <c r="X1694" s="818"/>
      <c r="Y1694" s="819"/>
      <c r="Z1694" s="820"/>
      <c r="AA1694" s="820"/>
      <c r="AB1694" s="821"/>
      <c r="AC1694" s="821"/>
      <c r="AD1694" s="253"/>
      <c r="AE1694" s="253"/>
    </row>
    <row r="1695" spans="1:31" ht="12.75" customHeight="1">
      <c r="A1695" t="s">
        <v>1386</v>
      </c>
      <c r="B1695" t="s">
        <v>2756</v>
      </c>
      <c r="C1695">
        <v>3638</v>
      </c>
      <c r="D1695" s="581"/>
      <c r="E1695" s="581"/>
      <c r="F1695" s="2">
        <f>(1/S1695)*cnst_fish!$C$6</f>
        <v>30.136363636363644</v>
      </c>
      <c r="G1695" s="2">
        <f t="shared" si="246"/>
        <v>1</v>
      </c>
      <c r="H1695" s="2">
        <f t="shared" si="246"/>
        <v>0.36449057933102513</v>
      </c>
      <c r="I1695" s="2">
        <f t="shared" si="240"/>
        <v>0</v>
      </c>
      <c r="J1695" s="389">
        <f t="shared" si="241"/>
        <v>0</v>
      </c>
      <c r="L1695" s="721">
        <v>295</v>
      </c>
      <c r="M1695" s="581"/>
      <c r="N1695" s="585" t="s">
        <v>1740</v>
      </c>
      <c r="O1695" s="586" t="s">
        <v>4671</v>
      </c>
      <c r="P1695" s="233">
        <f t="shared" si="242"/>
        <v>0</v>
      </c>
      <c r="Q1695" s="233">
        <f t="shared" si="243"/>
        <v>295</v>
      </c>
      <c r="R1695" s="2">
        <f t="shared" si="244"/>
        <v>1</v>
      </c>
      <c r="S1695" s="2">
        <f>(1/9)*cnst_fish!$C$7*(1/cnst_fish!$C$8)^(R1695-1)</f>
        <v>0.141025641025641</v>
      </c>
      <c r="T1695" s="682">
        <f t="shared" si="245"/>
        <v>3.5679394567999281</v>
      </c>
      <c r="W1695" s="818"/>
      <c r="X1695" s="818"/>
      <c r="Y1695" s="819"/>
      <c r="Z1695" s="820"/>
      <c r="AA1695" s="820"/>
      <c r="AB1695" s="821"/>
      <c r="AC1695" s="821"/>
      <c r="AD1695" s="253"/>
      <c r="AE1695" s="253"/>
    </row>
    <row r="1696" spans="1:31" ht="12.75" customHeight="1">
      <c r="A1696" t="s">
        <v>5158</v>
      </c>
      <c r="B1696" t="s">
        <v>1727</v>
      </c>
      <c r="C1696">
        <v>2790</v>
      </c>
      <c r="D1696" s="581"/>
      <c r="E1696" s="581"/>
      <c r="F1696" s="2">
        <f>(1/S1696)*cnst_fish!$C$6</f>
        <v>30.136363636363644</v>
      </c>
      <c r="G1696" s="2">
        <f t="shared" si="246"/>
        <v>1</v>
      </c>
      <c r="H1696" s="2">
        <f t="shared" si="246"/>
        <v>0.36449057933102513</v>
      </c>
      <c r="I1696" s="2">
        <f t="shared" si="240"/>
        <v>0</v>
      </c>
      <c r="J1696" s="389">
        <f t="shared" si="241"/>
        <v>0</v>
      </c>
      <c r="L1696" s="721">
        <v>51</v>
      </c>
      <c r="M1696" s="581"/>
      <c r="N1696" s="585" t="s">
        <v>1740</v>
      </c>
      <c r="O1696" s="586" t="s">
        <v>4671</v>
      </c>
      <c r="P1696" s="233">
        <f t="shared" si="242"/>
        <v>0</v>
      </c>
      <c r="Q1696" s="233">
        <f t="shared" si="243"/>
        <v>51</v>
      </c>
      <c r="R1696" s="2">
        <f t="shared" si="244"/>
        <v>1</v>
      </c>
      <c r="S1696" s="2">
        <f>(1/9)*cnst_fish!$C$7*(1/cnst_fish!$C$8)^(R1696-1)</f>
        <v>0.141025641025641</v>
      </c>
      <c r="T1696" s="682">
        <f t="shared" si="245"/>
        <v>0.61683021117558079</v>
      </c>
      <c r="W1696" s="818"/>
      <c r="X1696" s="818"/>
      <c r="Y1696" s="819"/>
      <c r="Z1696" s="820"/>
      <c r="AA1696" s="820"/>
      <c r="AB1696" s="821"/>
      <c r="AC1696" s="821"/>
      <c r="AD1696" s="253"/>
      <c r="AE1696" s="253"/>
    </row>
    <row r="1697" spans="1:31" ht="12.75" customHeight="1">
      <c r="A1697" t="s">
        <v>4273</v>
      </c>
      <c r="B1697" t="s">
        <v>8733</v>
      </c>
      <c r="C1697">
        <v>3464</v>
      </c>
      <c r="D1697" s="581"/>
      <c r="E1697" s="581"/>
      <c r="F1697" s="2">
        <f>(1/S1697)*cnst_fish!$C$6</f>
        <v>0.46675700833589756</v>
      </c>
      <c r="G1697" s="2">
        <f t="shared" si="246"/>
        <v>1</v>
      </c>
      <c r="H1697" s="2">
        <f t="shared" si="246"/>
        <v>0.36449057933102513</v>
      </c>
      <c r="I1697" s="2">
        <f t="shared" si="240"/>
        <v>0</v>
      </c>
      <c r="J1697" s="389">
        <f t="shared" si="241"/>
        <v>0</v>
      </c>
      <c r="L1697" s="721"/>
      <c r="M1697" s="581"/>
      <c r="N1697" s="585" t="s">
        <v>2311</v>
      </c>
      <c r="O1697" s="586" t="s">
        <v>4680</v>
      </c>
      <c r="P1697" s="233">
        <f t="shared" si="242"/>
        <v>0</v>
      </c>
      <c r="Q1697" s="233">
        <f t="shared" si="243"/>
        <v>0</v>
      </c>
      <c r="R1697" s="2">
        <f t="shared" si="244"/>
        <v>2.81</v>
      </c>
      <c r="S1697" s="2">
        <f>(1/9)*cnst_fish!$C$7*(1/cnst_fish!$C$8)^(R1697-1)</f>
        <v>9.1053801530528382</v>
      </c>
      <c r="T1697" s="682">
        <f t="shared" si="245"/>
        <v>0</v>
      </c>
      <c r="W1697" s="818"/>
      <c r="X1697" s="818"/>
      <c r="Y1697" s="819"/>
      <c r="Z1697" s="820"/>
      <c r="AA1697" s="820"/>
      <c r="AB1697" s="821"/>
      <c r="AC1697" s="821"/>
      <c r="AD1697" s="253"/>
      <c r="AE1697" s="253"/>
    </row>
    <row r="1698" spans="1:31" ht="12.75" customHeight="1">
      <c r="A1698" t="s">
        <v>23</v>
      </c>
      <c r="B1698" t="s">
        <v>173</v>
      </c>
      <c r="C1698">
        <v>2629</v>
      </c>
      <c r="D1698" s="581"/>
      <c r="E1698" s="581"/>
      <c r="F1698" s="2">
        <f>(1/S1698)*cnst_fish!$C$6</f>
        <v>0.30136363636363639</v>
      </c>
      <c r="G1698" s="2">
        <f t="shared" si="246"/>
        <v>1</v>
      </c>
      <c r="H1698" s="2">
        <f t="shared" si="246"/>
        <v>0.36449057933102513</v>
      </c>
      <c r="I1698" s="2">
        <f t="shared" si="240"/>
        <v>0</v>
      </c>
      <c r="J1698" s="389">
        <f t="shared" si="241"/>
        <v>0</v>
      </c>
      <c r="L1698" s="721">
        <v>300451.25</v>
      </c>
      <c r="M1698" s="581">
        <v>447</v>
      </c>
      <c r="N1698" s="585" t="s">
        <v>2311</v>
      </c>
      <c r="O1698" s="586" t="s">
        <v>4680</v>
      </c>
      <c r="P1698" s="233">
        <f t="shared" si="242"/>
        <v>0</v>
      </c>
      <c r="Q1698" s="233">
        <f t="shared" si="243"/>
        <v>300898.25</v>
      </c>
      <c r="R1698" s="2">
        <f t="shared" si="244"/>
        <v>3</v>
      </c>
      <c r="S1698" s="2">
        <f>(1/9)*cnst_fish!$C$7*(1/cnst_fish!$C$8)^(R1698-1)</f>
        <v>14.1025641025641</v>
      </c>
      <c r="T1698" s="682">
        <f t="shared" si="245"/>
        <v>363927.70801933872</v>
      </c>
      <c r="W1698" s="818"/>
      <c r="X1698" s="818"/>
      <c r="Y1698" s="819"/>
      <c r="Z1698" s="820"/>
      <c r="AA1698" s="820"/>
      <c r="AB1698" s="821"/>
      <c r="AC1698" s="821"/>
      <c r="AD1698" s="253"/>
      <c r="AE1698" s="253"/>
    </row>
    <row r="1699" spans="1:31" ht="12.75" customHeight="1">
      <c r="A1699" t="s">
        <v>2929</v>
      </c>
      <c r="B1699" t="s">
        <v>174</v>
      </c>
      <c r="C1699">
        <v>3465</v>
      </c>
      <c r="D1699" s="581"/>
      <c r="E1699" s="581"/>
      <c r="F1699" s="2">
        <f>(1/S1699)*cnst_fish!$C$6</f>
        <v>0.95299549485983426</v>
      </c>
      <c r="G1699" s="2">
        <f t="shared" si="246"/>
        <v>1</v>
      </c>
      <c r="H1699" s="2">
        <f t="shared" si="246"/>
        <v>0.36449057933102513</v>
      </c>
      <c r="I1699" s="2">
        <f t="shared" si="240"/>
        <v>0</v>
      </c>
      <c r="J1699" s="389">
        <f t="shared" si="241"/>
        <v>0</v>
      </c>
      <c r="L1699" s="721">
        <v>1758.12</v>
      </c>
      <c r="M1699" s="581"/>
      <c r="N1699" s="585" t="s">
        <v>2311</v>
      </c>
      <c r="O1699" s="586" t="s">
        <v>4680</v>
      </c>
      <c r="P1699" s="233">
        <f t="shared" si="242"/>
        <v>0</v>
      </c>
      <c r="Q1699" s="233">
        <f t="shared" si="243"/>
        <v>1758.12</v>
      </c>
      <c r="R1699" s="2">
        <f t="shared" si="244"/>
        <v>2.5</v>
      </c>
      <c r="S1699" s="2">
        <f>(1/9)*cnst_fish!$C$7*(1/cnst_fish!$C$8)^(R1699-1)</f>
        <v>4.4596223412630991</v>
      </c>
      <c r="T1699" s="682">
        <f t="shared" si="245"/>
        <v>672.4251906644248</v>
      </c>
      <c r="W1699" s="818"/>
      <c r="X1699" s="818"/>
      <c r="Y1699" s="819"/>
      <c r="Z1699" s="820"/>
      <c r="AA1699" s="820"/>
      <c r="AB1699" s="821"/>
      <c r="AC1699" s="821"/>
      <c r="AD1699" s="253"/>
      <c r="AE1699" s="253"/>
    </row>
    <row r="1700" spans="1:31" ht="12.75" customHeight="1">
      <c r="A1700" t="s">
        <v>1049</v>
      </c>
      <c r="B1700" t="s">
        <v>175</v>
      </c>
      <c r="C1700">
        <v>2630</v>
      </c>
      <c r="D1700" s="581"/>
      <c r="E1700" s="581"/>
      <c r="F1700" s="2">
        <f>(1/S1700)*cnst_fish!$C$6</f>
        <v>0.75699122913220485</v>
      </c>
      <c r="G1700" s="2">
        <f t="shared" si="246"/>
        <v>1</v>
      </c>
      <c r="H1700" s="2">
        <f t="shared" si="246"/>
        <v>0.36449057933102513</v>
      </c>
      <c r="I1700" s="2">
        <f t="shared" si="240"/>
        <v>0</v>
      </c>
      <c r="J1700" s="389">
        <f t="shared" si="241"/>
        <v>0</v>
      </c>
      <c r="L1700" s="721">
        <v>493145</v>
      </c>
      <c r="M1700" s="581"/>
      <c r="N1700" s="585" t="s">
        <v>2311</v>
      </c>
      <c r="O1700" s="586" t="s">
        <v>4680</v>
      </c>
      <c r="P1700" s="233">
        <f t="shared" si="242"/>
        <v>0</v>
      </c>
      <c r="Q1700" s="233">
        <f t="shared" si="243"/>
        <v>493145</v>
      </c>
      <c r="R1700" s="2">
        <f t="shared" si="244"/>
        <v>2.6</v>
      </c>
      <c r="S1700" s="2">
        <f>(1/9)*cnst_fish!$C$7*(1/cnst_fish!$C$8)^(R1700-1)</f>
        <v>5.6143318924211183</v>
      </c>
      <c r="T1700" s="682">
        <f t="shared" si="245"/>
        <v>237448.86311332212</v>
      </c>
      <c r="W1700" s="818"/>
      <c r="X1700" s="818"/>
      <c r="Y1700" s="819"/>
      <c r="Z1700" s="820"/>
      <c r="AA1700" s="820"/>
      <c r="AB1700" s="821"/>
      <c r="AC1700" s="821"/>
      <c r="AD1700" s="253"/>
      <c r="AE1700" s="253"/>
    </row>
    <row r="1701" spans="1:31" ht="12.75" customHeight="1">
      <c r="A1701" t="s">
        <v>8889</v>
      </c>
      <c r="B1701" t="s">
        <v>8890</v>
      </c>
      <c r="C1701">
        <v>14534</v>
      </c>
      <c r="D1701" s="581"/>
      <c r="E1701" s="581"/>
      <c r="F1701" s="2">
        <f>(1/S1701)*cnst_fish!$C$6</f>
        <v>3.0136363636363641</v>
      </c>
      <c r="G1701" s="2">
        <f t="shared" si="246"/>
        <v>1</v>
      </c>
      <c r="H1701" s="2">
        <f t="shared" si="246"/>
        <v>0.36449057933102513</v>
      </c>
      <c r="I1701" s="2">
        <f t="shared" si="240"/>
        <v>0</v>
      </c>
      <c r="J1701" s="389">
        <f t="shared" si="241"/>
        <v>0</v>
      </c>
      <c r="L1701" s="721"/>
      <c r="M1701" s="581">
        <v>1365</v>
      </c>
      <c r="N1701" s="585" t="s">
        <v>4282</v>
      </c>
      <c r="O1701" s="586" t="s">
        <v>4685</v>
      </c>
      <c r="P1701" s="233">
        <f t="shared" si="242"/>
        <v>0</v>
      </c>
      <c r="Q1701" s="233">
        <f t="shared" si="243"/>
        <v>1365</v>
      </c>
      <c r="R1701" s="2">
        <f t="shared" si="244"/>
        <v>2</v>
      </c>
      <c r="S1701" s="2">
        <f>(1/9)*cnst_fish!$C$7*(1/cnst_fish!$C$8)^(R1701-1)</f>
        <v>1.4102564102564099</v>
      </c>
      <c r="T1701" s="682">
        <f t="shared" si="245"/>
        <v>165.09279181464078</v>
      </c>
      <c r="W1701" s="818"/>
      <c r="X1701" s="818"/>
      <c r="Y1701" s="819"/>
      <c r="Z1701" s="820"/>
      <c r="AA1701" s="820"/>
      <c r="AB1701" s="821"/>
      <c r="AC1701" s="821"/>
      <c r="AD1701" s="253"/>
      <c r="AE1701" s="253"/>
    </row>
    <row r="1702" spans="1:31" ht="12.75" customHeight="1">
      <c r="A1702" t="s">
        <v>8337</v>
      </c>
      <c r="B1702" t="s">
        <v>8338</v>
      </c>
      <c r="C1702">
        <v>6791</v>
      </c>
      <c r="D1702" s="581"/>
      <c r="E1702" s="581"/>
      <c r="F1702" s="2">
        <f>(1/S1702)*cnst_fish!$C$6</f>
        <v>0.19014759972289441</v>
      </c>
      <c r="G1702" s="2">
        <f t="shared" si="246"/>
        <v>1</v>
      </c>
      <c r="H1702" s="2">
        <f t="shared" si="246"/>
        <v>0.36449057933102513</v>
      </c>
      <c r="I1702" s="2">
        <f t="shared" si="240"/>
        <v>0</v>
      </c>
      <c r="J1702" s="389">
        <f t="shared" si="241"/>
        <v>0</v>
      </c>
      <c r="L1702" s="721"/>
      <c r="M1702" s="581">
        <v>835</v>
      </c>
      <c r="N1702" s="585" t="s">
        <v>1738</v>
      </c>
      <c r="O1702" s="586" t="s">
        <v>4681</v>
      </c>
      <c r="P1702" s="233">
        <f t="shared" si="242"/>
        <v>0</v>
      </c>
      <c r="Q1702" s="233">
        <f t="shared" si="243"/>
        <v>835</v>
      </c>
      <c r="R1702" s="2">
        <f t="shared" si="244"/>
        <v>3.2</v>
      </c>
      <c r="S1702" s="2">
        <f>(1/9)*cnst_fish!$C$7*(1/cnst_fish!$C$8)^(R1702-1)</f>
        <v>22.351057842400341</v>
      </c>
      <c r="T1702" s="682">
        <f t="shared" si="245"/>
        <v>1600.5967689570643</v>
      </c>
      <c r="W1702" s="818"/>
      <c r="X1702" s="818"/>
      <c r="Y1702" s="819"/>
      <c r="Z1702" s="820"/>
      <c r="AA1702" s="820"/>
      <c r="AB1702" s="821"/>
      <c r="AC1702" s="821"/>
      <c r="AD1702" s="253"/>
      <c r="AE1702" s="253"/>
    </row>
    <row r="1703" spans="1:31" ht="12.75" customHeight="1">
      <c r="A1703" t="s">
        <v>8891</v>
      </c>
      <c r="B1703" t="s">
        <v>8892</v>
      </c>
      <c r="C1703">
        <v>14546</v>
      </c>
      <c r="D1703" s="581"/>
      <c r="E1703" s="581"/>
      <c r="F1703" s="2">
        <f>(1/S1703)*cnst_fish!$C$6</f>
        <v>3.0136363636363642E-2</v>
      </c>
      <c r="G1703" s="2">
        <f t="shared" si="246"/>
        <v>1</v>
      </c>
      <c r="H1703" s="2">
        <f t="shared" si="246"/>
        <v>0.36449057933102513</v>
      </c>
      <c r="I1703" s="2">
        <f t="shared" si="240"/>
        <v>0</v>
      </c>
      <c r="J1703" s="389">
        <f t="shared" si="241"/>
        <v>0</v>
      </c>
      <c r="L1703" s="721">
        <v>100</v>
      </c>
      <c r="M1703" s="581"/>
      <c r="N1703" s="585" t="s">
        <v>4282</v>
      </c>
      <c r="O1703" s="586" t="s">
        <v>4681</v>
      </c>
      <c r="P1703" s="233">
        <f t="shared" si="242"/>
        <v>0</v>
      </c>
      <c r="Q1703" s="233">
        <f t="shared" si="243"/>
        <v>100</v>
      </c>
      <c r="R1703" s="2">
        <f t="shared" si="244"/>
        <v>4</v>
      </c>
      <c r="S1703" s="2">
        <f>(1/9)*cnst_fish!$C$7*(1/cnst_fish!$C$8)^(R1703-1)</f>
        <v>141.02564102564099</v>
      </c>
      <c r="T1703" s="682">
        <f t="shared" si="245"/>
        <v>1209.4710023050604</v>
      </c>
      <c r="W1703" s="818"/>
      <c r="X1703" s="818"/>
      <c r="Y1703" s="819"/>
      <c r="Z1703" s="820"/>
      <c r="AA1703" s="820"/>
      <c r="AB1703" s="821"/>
      <c r="AC1703" s="821"/>
      <c r="AD1703" s="253"/>
      <c r="AE1703" s="253"/>
    </row>
    <row r="1704" spans="1:31" ht="12.75" customHeight="1">
      <c r="A1704" t="s">
        <v>4561</v>
      </c>
      <c r="B1704" t="s">
        <v>4637</v>
      </c>
      <c r="C1704">
        <v>3091</v>
      </c>
      <c r="D1704" s="581"/>
      <c r="E1704" s="581"/>
      <c r="F1704" s="2">
        <f>(1/S1704)*cnst_fish!$C$6</f>
        <v>2.3393265378400998E-2</v>
      </c>
      <c r="G1704" s="2">
        <f t="shared" si="246"/>
        <v>1</v>
      </c>
      <c r="H1704" s="2">
        <f t="shared" si="246"/>
        <v>0.36449057933102513</v>
      </c>
      <c r="I1704" s="2">
        <f t="shared" si="240"/>
        <v>0</v>
      </c>
      <c r="J1704" s="389">
        <f t="shared" si="241"/>
        <v>0</v>
      </c>
      <c r="L1704" s="721">
        <v>440</v>
      </c>
      <c r="M1704" s="581"/>
      <c r="N1704" s="585" t="s">
        <v>1738</v>
      </c>
      <c r="O1704" s="586" t="s">
        <v>4681</v>
      </c>
      <c r="P1704" s="233">
        <f t="shared" si="242"/>
        <v>0</v>
      </c>
      <c r="Q1704" s="233">
        <f t="shared" si="243"/>
        <v>440</v>
      </c>
      <c r="R1704" s="2">
        <f t="shared" si="244"/>
        <v>4.1100000000000003</v>
      </c>
      <c r="S1704" s="2">
        <f>(1/9)*cnst_fish!$C$7*(1/cnst_fish!$C$8)^(R1704-1)</f>
        <v>181.67621882851913</v>
      </c>
      <c r="T1704" s="682">
        <f t="shared" si="245"/>
        <v>6855.6420966235046</v>
      </c>
      <c r="W1704" s="822"/>
      <c r="X1704" s="822"/>
      <c r="Y1704" s="819"/>
      <c r="Z1704" s="820"/>
      <c r="AA1704" s="820"/>
      <c r="AB1704" s="821"/>
      <c r="AC1704" s="821"/>
      <c r="AD1704" s="253"/>
      <c r="AE1704" s="253"/>
    </row>
    <row r="1705" spans="1:31" ht="12.75" customHeight="1">
      <c r="A1705" t="s">
        <v>5007</v>
      </c>
      <c r="B1705" t="s">
        <v>4638</v>
      </c>
      <c r="C1705">
        <v>2295</v>
      </c>
      <c r="D1705" s="581"/>
      <c r="E1705" s="581"/>
      <c r="F1705" s="2">
        <f>(1/S1705)*cnst_fish!$C$6</f>
        <v>3.9727464439222634E-2</v>
      </c>
      <c r="G1705" s="2">
        <f t="shared" si="246"/>
        <v>1</v>
      </c>
      <c r="H1705" s="2">
        <f t="shared" si="246"/>
        <v>0.36449057933102513</v>
      </c>
      <c r="I1705" s="2">
        <f t="shared" si="240"/>
        <v>0</v>
      </c>
      <c r="J1705" s="389">
        <f t="shared" si="241"/>
        <v>0</v>
      </c>
      <c r="L1705" s="721">
        <v>120536</v>
      </c>
      <c r="M1705" s="581"/>
      <c r="N1705" s="585" t="s">
        <v>1738</v>
      </c>
      <c r="O1705" s="586" t="s">
        <v>4681</v>
      </c>
      <c r="P1705" s="233">
        <f t="shared" si="242"/>
        <v>0</v>
      </c>
      <c r="Q1705" s="233">
        <f t="shared" si="243"/>
        <v>120536</v>
      </c>
      <c r="R1705" s="2">
        <f t="shared" si="244"/>
        <v>3.88</v>
      </c>
      <c r="S1705" s="2">
        <f>(1/9)*cnst_fish!$C$7*(1/cnst_fish!$C$8)^(R1705-1)</f>
        <v>106.97888878616692</v>
      </c>
      <c r="T1705" s="682">
        <f t="shared" si="245"/>
        <v>1105890.7758248094</v>
      </c>
      <c r="W1705" s="818"/>
      <c r="X1705" s="818"/>
      <c r="Y1705" s="819"/>
      <c r="Z1705" s="820"/>
      <c r="AA1705" s="820"/>
      <c r="AB1705" s="821"/>
      <c r="AC1705" s="821"/>
      <c r="AD1705" s="253"/>
      <c r="AE1705" s="253"/>
    </row>
    <row r="1706" spans="1:31" ht="12.75" customHeight="1">
      <c r="A1706" t="s">
        <v>122</v>
      </c>
      <c r="B1706" t="s">
        <v>4907</v>
      </c>
      <c r="C1706">
        <v>2018</v>
      </c>
      <c r="D1706" s="581">
        <v>71</v>
      </c>
      <c r="E1706" s="581"/>
      <c r="F1706" s="2">
        <f>(1/S1706)*cnst_fish!$C$6</f>
        <v>1.7341667202478851E-2</v>
      </c>
      <c r="G1706" s="2">
        <f t="shared" si="246"/>
        <v>1</v>
      </c>
      <c r="H1706" s="2">
        <f t="shared" si="246"/>
        <v>0.36449057933102513</v>
      </c>
      <c r="I1706" s="2">
        <f t="shared" si="240"/>
        <v>1492.2919942093927</v>
      </c>
      <c r="J1706" s="389">
        <f t="shared" si="241"/>
        <v>0</v>
      </c>
      <c r="L1706" s="721">
        <v>104694.15</v>
      </c>
      <c r="M1706" s="581"/>
      <c r="N1706" s="585" t="s">
        <v>3785</v>
      </c>
      <c r="O1706" s="586" t="s">
        <v>4681</v>
      </c>
      <c r="P1706" s="233">
        <f t="shared" si="242"/>
        <v>71</v>
      </c>
      <c r="Q1706" s="233">
        <f t="shared" si="243"/>
        <v>104694.15</v>
      </c>
      <c r="R1706" s="2">
        <f t="shared" si="244"/>
        <v>4.24</v>
      </c>
      <c r="S1706" s="2">
        <f>(1/9)*cnst_fish!$C$7*(1/cnst_fish!$C$8)^(R1706-1)</f>
        <v>245.0744758492711</v>
      </c>
      <c r="T1706" s="682">
        <f t="shared" si="245"/>
        <v>2200482.2800782719</v>
      </c>
      <c r="W1706" s="818"/>
      <c r="X1706" s="818"/>
      <c r="Y1706" s="819"/>
      <c r="Z1706" s="820"/>
      <c r="AA1706" s="820"/>
      <c r="AB1706" s="821"/>
      <c r="AC1706" s="821"/>
      <c r="AD1706" s="253"/>
      <c r="AE1706" s="253"/>
    </row>
    <row r="1707" spans="1:31" ht="12.75" customHeight="1">
      <c r="A1707" t="s">
        <v>1830</v>
      </c>
      <c r="B1707" t="s">
        <v>2674</v>
      </c>
      <c r="C1707">
        <v>3338</v>
      </c>
      <c r="D1707" s="581"/>
      <c r="E1707" s="581"/>
      <c r="F1707" s="2">
        <f>(1/S1707)*cnst_fish!$C$6</f>
        <v>4.4574948243432784E-2</v>
      </c>
      <c r="G1707" s="2">
        <f t="shared" si="246"/>
        <v>1</v>
      </c>
      <c r="H1707" s="2">
        <f t="shared" si="246"/>
        <v>0.36449057933102513</v>
      </c>
      <c r="I1707" s="2">
        <f t="shared" si="240"/>
        <v>0</v>
      </c>
      <c r="J1707" s="389">
        <f t="shared" si="241"/>
        <v>0</v>
      </c>
      <c r="L1707" s="721">
        <v>5256</v>
      </c>
      <c r="M1707" s="581"/>
      <c r="N1707" s="585" t="s">
        <v>1738</v>
      </c>
      <c r="O1707" s="586" t="s">
        <v>4681</v>
      </c>
      <c r="P1707" s="233">
        <f t="shared" si="242"/>
        <v>0</v>
      </c>
      <c r="Q1707" s="233">
        <f t="shared" si="243"/>
        <v>5256</v>
      </c>
      <c r="R1707" s="2">
        <f t="shared" si="244"/>
        <v>3.83</v>
      </c>
      <c r="S1707" s="2">
        <f>(1/9)*cnst_fish!$C$7*(1/cnst_fish!$C$8)^(R1707-1)</f>
        <v>95.345034991176945</v>
      </c>
      <c r="T1707" s="682">
        <f t="shared" si="245"/>
        <v>42978.456744391551</v>
      </c>
      <c r="W1707" s="818"/>
      <c r="X1707" s="818"/>
      <c r="Y1707" s="819"/>
      <c r="Z1707" s="820"/>
      <c r="AA1707" s="820"/>
      <c r="AB1707" s="821"/>
      <c r="AC1707" s="821"/>
      <c r="AD1707" s="253"/>
      <c r="AE1707" s="253"/>
    </row>
    <row r="1708" spans="1:31" ht="12.75" customHeight="1">
      <c r="A1708" t="s">
        <v>1984</v>
      </c>
      <c r="B1708" t="s">
        <v>4919</v>
      </c>
      <c r="C1708">
        <v>2050</v>
      </c>
      <c r="D1708" s="581"/>
      <c r="E1708" s="581"/>
      <c r="F1708" s="2">
        <f>(1/S1708)*cnst_fish!$C$6</f>
        <v>2.6247675460949162E-2</v>
      </c>
      <c r="G1708" s="2">
        <f t="shared" ref="G1708:H1727" si="247">G$7</f>
        <v>1</v>
      </c>
      <c r="H1708" s="2">
        <f t="shared" si="247"/>
        <v>0.36449057933102513</v>
      </c>
      <c r="I1708" s="2">
        <f t="shared" si="240"/>
        <v>0</v>
      </c>
      <c r="J1708" s="389">
        <f t="shared" si="241"/>
        <v>0</v>
      </c>
      <c r="L1708" s="721">
        <v>281</v>
      </c>
      <c r="M1708" s="581"/>
      <c r="N1708" s="585" t="s">
        <v>1738</v>
      </c>
      <c r="O1708" s="586" t="s">
        <v>4681</v>
      </c>
      <c r="P1708" s="233">
        <f t="shared" si="242"/>
        <v>0</v>
      </c>
      <c r="Q1708" s="233">
        <f t="shared" si="243"/>
        <v>281</v>
      </c>
      <c r="R1708" s="2">
        <f t="shared" si="244"/>
        <v>4.0599999999999996</v>
      </c>
      <c r="S1708" s="2">
        <f>(1/9)*cnst_fish!$C$7*(1/cnst_fish!$C$8)^(R1708-1)</f>
        <v>161.91910046750908</v>
      </c>
      <c r="T1708" s="682">
        <f t="shared" si="245"/>
        <v>3902.1304170115759</v>
      </c>
      <c r="W1708" s="818"/>
      <c r="X1708" s="818"/>
      <c r="Y1708" s="819"/>
      <c r="Z1708" s="820"/>
      <c r="AA1708" s="820"/>
      <c r="AB1708" s="821"/>
      <c r="AC1708" s="821"/>
      <c r="AD1708" s="253"/>
      <c r="AE1708" s="253"/>
    </row>
    <row r="1709" spans="1:31" ht="12.75" customHeight="1">
      <c r="A1709" t="s">
        <v>1698</v>
      </c>
      <c r="B1709" t="s">
        <v>4920</v>
      </c>
      <c r="C1709">
        <v>18780</v>
      </c>
      <c r="D1709" s="581"/>
      <c r="E1709" s="581"/>
      <c r="F1709" s="2">
        <f>(1/S1709)*cnst_fish!$C$6</f>
        <v>3.2291695426024204E-2</v>
      </c>
      <c r="G1709" s="2">
        <f t="shared" si="247"/>
        <v>1</v>
      </c>
      <c r="H1709" s="2">
        <f t="shared" si="247"/>
        <v>0.36449057933102513</v>
      </c>
      <c r="I1709" s="2">
        <f t="shared" si="240"/>
        <v>0</v>
      </c>
      <c r="J1709" s="389">
        <f t="shared" si="241"/>
        <v>0</v>
      </c>
      <c r="L1709" s="721">
        <v>302</v>
      </c>
      <c r="M1709" s="581"/>
      <c r="N1709" s="585" t="s">
        <v>3785</v>
      </c>
      <c r="O1709" s="586" t="s">
        <v>4681</v>
      </c>
      <c r="P1709" s="233">
        <f t="shared" si="242"/>
        <v>0</v>
      </c>
      <c r="Q1709" s="233">
        <f t="shared" si="243"/>
        <v>302</v>
      </c>
      <c r="R1709" s="2">
        <f t="shared" si="244"/>
        <v>3.97</v>
      </c>
      <c r="S1709" s="2">
        <f>(1/9)*cnst_fish!$C$7*(1/cnst_fish!$C$8)^(R1709-1)</f>
        <v>131.61278600983218</v>
      </c>
      <c r="T1709" s="682">
        <f t="shared" si="245"/>
        <v>3408.8069240631476</v>
      </c>
      <c r="W1709" s="818"/>
      <c r="X1709" s="818"/>
      <c r="Y1709" s="819"/>
      <c r="Z1709" s="820"/>
      <c r="AA1709" s="820"/>
      <c r="AB1709" s="821"/>
      <c r="AC1709" s="821"/>
      <c r="AD1709" s="253"/>
      <c r="AE1709" s="253"/>
    </row>
    <row r="1710" spans="1:31" ht="12.75" customHeight="1">
      <c r="A1710" t="s">
        <v>8339</v>
      </c>
      <c r="B1710" t="s">
        <v>8340</v>
      </c>
      <c r="C1710">
        <v>14568</v>
      </c>
      <c r="D1710" s="581"/>
      <c r="E1710" s="581"/>
      <c r="F1710" s="2">
        <f>(1/S1710)*cnst_fish!$C$6</f>
        <v>3.7939434000887833E-2</v>
      </c>
      <c r="G1710" s="2">
        <f t="shared" si="247"/>
        <v>1</v>
      </c>
      <c r="H1710" s="2">
        <f t="shared" si="247"/>
        <v>0.36449057933102513</v>
      </c>
      <c r="I1710" s="2">
        <f t="shared" si="240"/>
        <v>0</v>
      </c>
      <c r="J1710" s="389">
        <f t="shared" si="241"/>
        <v>0</v>
      </c>
      <c r="L1710" s="721">
        <v>95</v>
      </c>
      <c r="M1710" s="581"/>
      <c r="N1710" s="585" t="s">
        <v>1738</v>
      </c>
      <c r="O1710" s="586" t="s">
        <v>4681</v>
      </c>
      <c r="P1710" s="233">
        <f t="shared" si="242"/>
        <v>0</v>
      </c>
      <c r="Q1710" s="233">
        <f t="shared" si="243"/>
        <v>95</v>
      </c>
      <c r="R1710" s="2">
        <f t="shared" si="244"/>
        <v>3.9</v>
      </c>
      <c r="S1710" s="2">
        <f>(1/9)*cnst_fish!$C$7*(1/cnst_fish!$C$8)^(R1710-1)</f>
        <v>112.02064848675771</v>
      </c>
      <c r="T1710" s="682">
        <f t="shared" si="245"/>
        <v>912.68111790062756</v>
      </c>
      <c r="W1710" s="818"/>
      <c r="X1710" s="818"/>
      <c r="Y1710" s="819"/>
      <c r="Z1710" s="820"/>
      <c r="AA1710" s="820"/>
      <c r="AB1710" s="821"/>
      <c r="AC1710" s="821"/>
      <c r="AD1710" s="253"/>
      <c r="AE1710" s="253"/>
    </row>
    <row r="1711" spans="1:31" ht="12.75" customHeight="1">
      <c r="A1711" t="s">
        <v>8341</v>
      </c>
      <c r="B1711" t="s">
        <v>8342</v>
      </c>
      <c r="C1711">
        <v>20408</v>
      </c>
      <c r="D1711" s="581"/>
      <c r="E1711" s="581"/>
      <c r="F1711" s="2">
        <f>(1/S1711)*cnst_fish!$C$6</f>
        <v>3.7939434000887833E-2</v>
      </c>
      <c r="G1711" s="2">
        <f t="shared" si="247"/>
        <v>1</v>
      </c>
      <c r="H1711" s="2">
        <f t="shared" si="247"/>
        <v>0.36449057933102513</v>
      </c>
      <c r="I1711" s="2">
        <f t="shared" si="240"/>
        <v>0</v>
      </c>
      <c r="J1711" s="389">
        <f t="shared" si="241"/>
        <v>0</v>
      </c>
      <c r="L1711" s="721"/>
      <c r="M1711" s="581"/>
      <c r="N1711" s="585" t="s">
        <v>1738</v>
      </c>
      <c r="O1711" s="586" t="s">
        <v>4681</v>
      </c>
      <c r="P1711" s="233">
        <f t="shared" si="242"/>
        <v>0</v>
      </c>
      <c r="Q1711" s="233">
        <f t="shared" si="243"/>
        <v>0</v>
      </c>
      <c r="R1711" s="2">
        <f t="shared" si="244"/>
        <v>3.9</v>
      </c>
      <c r="S1711" s="2">
        <f>(1/9)*cnst_fish!$C$7*(1/cnst_fish!$C$8)^(R1711-1)</f>
        <v>112.02064848675771</v>
      </c>
      <c r="T1711" s="682">
        <f t="shared" si="245"/>
        <v>0</v>
      </c>
      <c r="W1711" s="818"/>
      <c r="X1711" s="818"/>
      <c r="Y1711" s="819"/>
      <c r="Z1711" s="820"/>
      <c r="AA1711" s="820"/>
      <c r="AB1711" s="821"/>
      <c r="AC1711" s="821"/>
      <c r="AD1711" s="253"/>
      <c r="AE1711" s="253"/>
    </row>
    <row r="1712" spans="1:31" ht="12.75" customHeight="1">
      <c r="A1712" t="s">
        <v>302</v>
      </c>
      <c r="B1712" t="s">
        <v>303</v>
      </c>
      <c r="C1712">
        <v>19037</v>
      </c>
      <c r="D1712" s="581"/>
      <c r="E1712" s="581"/>
      <c r="F1712" s="2">
        <f>(1/S1712)*cnst_fish!$C$6</f>
        <v>4.3560298545661361E-2</v>
      </c>
      <c r="G1712" s="2">
        <f t="shared" si="247"/>
        <v>1</v>
      </c>
      <c r="H1712" s="2">
        <f t="shared" si="247"/>
        <v>0.36449057933102513</v>
      </c>
      <c r="I1712" s="2">
        <f t="shared" si="240"/>
        <v>0</v>
      </c>
      <c r="J1712" s="389">
        <f t="shared" si="241"/>
        <v>0</v>
      </c>
      <c r="L1712" s="721">
        <v>5141.37</v>
      </c>
      <c r="M1712" s="581"/>
      <c r="N1712" s="585" t="s">
        <v>1738</v>
      </c>
      <c r="O1712" s="586" t="s">
        <v>4681</v>
      </c>
      <c r="P1712" s="233">
        <f t="shared" si="242"/>
        <v>0</v>
      </c>
      <c r="Q1712" s="233">
        <f t="shared" si="243"/>
        <v>5141.37</v>
      </c>
      <c r="R1712" s="2">
        <f t="shared" si="244"/>
        <v>3.84</v>
      </c>
      <c r="S1712" s="2">
        <f>(1/9)*cnst_fish!$C$7*(1/cnst_fish!$C$8)^(R1712-1)</f>
        <v>97.565906155234643</v>
      </c>
      <c r="T1712" s="682">
        <f t="shared" si="245"/>
        <v>43020.387656222862</v>
      </c>
      <c r="W1712" s="818"/>
      <c r="X1712" s="818"/>
      <c r="Y1712" s="819"/>
      <c r="Z1712" s="820"/>
      <c r="AA1712" s="820"/>
      <c r="AB1712" s="821"/>
      <c r="AC1712" s="821"/>
      <c r="AD1712" s="253"/>
      <c r="AE1712" s="253"/>
    </row>
    <row r="1713" spans="1:31" ht="12.75" customHeight="1">
      <c r="A1713" t="s">
        <v>3176</v>
      </c>
      <c r="B1713" t="s">
        <v>3177</v>
      </c>
      <c r="C1713">
        <v>14579</v>
      </c>
      <c r="D1713" s="581"/>
      <c r="E1713" s="581"/>
      <c r="F1713" s="2">
        <f>(1/S1713)*cnst_fish!$C$6</f>
        <v>0.21831865524078092</v>
      </c>
      <c r="G1713" s="2">
        <f t="shared" si="247"/>
        <v>1</v>
      </c>
      <c r="H1713" s="2">
        <f t="shared" si="247"/>
        <v>0.36449057933102513</v>
      </c>
      <c r="I1713" s="2">
        <f t="shared" si="240"/>
        <v>0</v>
      </c>
      <c r="J1713" s="389">
        <f t="shared" si="241"/>
        <v>0</v>
      </c>
      <c r="L1713" s="721"/>
      <c r="M1713" s="581">
        <v>206.22</v>
      </c>
      <c r="N1713" s="585" t="s">
        <v>1738</v>
      </c>
      <c r="O1713" s="586" t="s">
        <v>4685</v>
      </c>
      <c r="P1713" s="233">
        <f t="shared" si="242"/>
        <v>0</v>
      </c>
      <c r="Q1713" s="233">
        <f t="shared" si="243"/>
        <v>206.22</v>
      </c>
      <c r="R1713" s="2">
        <f t="shared" si="244"/>
        <v>3.14</v>
      </c>
      <c r="S1713" s="2">
        <f>(1/9)*cnst_fish!$C$7*(1/cnst_fish!$C$8)^(R1713-1)</f>
        <v>19.466957577733005</v>
      </c>
      <c r="T1713" s="682">
        <f t="shared" si="245"/>
        <v>344.29145409834626</v>
      </c>
      <c r="W1713" s="818"/>
      <c r="X1713" s="818"/>
      <c r="Y1713" s="819"/>
      <c r="Z1713" s="820"/>
      <c r="AA1713" s="820"/>
      <c r="AB1713" s="821"/>
      <c r="AC1713" s="821"/>
      <c r="AD1713" s="253"/>
      <c r="AE1713" s="253"/>
    </row>
    <row r="1714" spans="1:31" ht="12.75" customHeight="1">
      <c r="A1714" t="s">
        <v>4207</v>
      </c>
      <c r="B1714" t="s">
        <v>8734</v>
      </c>
      <c r="C1714">
        <v>2168</v>
      </c>
      <c r="D1714" s="581"/>
      <c r="E1714" s="581"/>
      <c r="F1714" s="2">
        <f>(1/S1714)*cnst_fish!$C$6</f>
        <v>0.11997502458044032</v>
      </c>
      <c r="G1714" s="2">
        <f t="shared" si="247"/>
        <v>1</v>
      </c>
      <c r="H1714" s="2">
        <f t="shared" si="247"/>
        <v>0.36449057933102513</v>
      </c>
      <c r="I1714" s="2">
        <f t="shared" si="240"/>
        <v>0</v>
      </c>
      <c r="J1714" s="389">
        <f t="shared" si="241"/>
        <v>0</v>
      </c>
      <c r="L1714" s="721"/>
      <c r="M1714" s="581"/>
      <c r="N1714" s="585" t="s">
        <v>1738</v>
      </c>
      <c r="O1714" s="586" t="s">
        <v>4685</v>
      </c>
      <c r="P1714" s="233">
        <f t="shared" si="242"/>
        <v>0</v>
      </c>
      <c r="Q1714" s="233">
        <f t="shared" si="243"/>
        <v>0</v>
      </c>
      <c r="R1714" s="2">
        <f t="shared" si="244"/>
        <v>3.4</v>
      </c>
      <c r="S1714" s="2">
        <f>(1/9)*cnst_fish!$C$7*(1/cnst_fish!$C$8)^(R1714-1)</f>
        <v>35.424039418724846</v>
      </c>
      <c r="T1714" s="682">
        <f t="shared" si="245"/>
        <v>0</v>
      </c>
      <c r="W1714" s="818"/>
      <c r="X1714" s="818"/>
      <c r="Y1714" s="819"/>
      <c r="Z1714" s="820"/>
      <c r="AA1714" s="820"/>
      <c r="AB1714" s="821"/>
      <c r="AC1714" s="821"/>
      <c r="AD1714" s="253"/>
      <c r="AE1714" s="253"/>
    </row>
    <row r="1715" spans="1:31" ht="12.75" customHeight="1">
      <c r="A1715" t="s">
        <v>3709</v>
      </c>
      <c r="B1715" t="s">
        <v>5146</v>
      </c>
      <c r="C1715">
        <v>3454</v>
      </c>
      <c r="D1715" s="581"/>
      <c r="E1715" s="581"/>
      <c r="F1715" s="2">
        <f>(1/S1715)*cnst_fish!$C$6</f>
        <v>1.9014759972289452</v>
      </c>
      <c r="G1715" s="2">
        <f t="shared" si="247"/>
        <v>1</v>
      </c>
      <c r="H1715" s="2">
        <f t="shared" si="247"/>
        <v>0.36449057933102513</v>
      </c>
      <c r="I1715" s="2">
        <f t="shared" si="240"/>
        <v>0</v>
      </c>
      <c r="J1715" s="389">
        <f t="shared" si="241"/>
        <v>0</v>
      </c>
      <c r="L1715" s="721"/>
      <c r="M1715" s="581">
        <v>9116</v>
      </c>
      <c r="N1715" s="585" t="s">
        <v>2322</v>
      </c>
      <c r="O1715" s="586" t="s">
        <v>4680</v>
      </c>
      <c r="P1715" s="233">
        <f t="shared" si="242"/>
        <v>0</v>
      </c>
      <c r="Q1715" s="233">
        <f t="shared" si="243"/>
        <v>9116</v>
      </c>
      <c r="R1715" s="2">
        <f t="shared" si="244"/>
        <v>2.2000000000000002</v>
      </c>
      <c r="S1715" s="2">
        <f>(1/9)*cnst_fish!$C$7*(1/cnst_fish!$C$8)^(R1715-1)</f>
        <v>2.2351057842400328</v>
      </c>
      <c r="T1715" s="682">
        <f t="shared" si="245"/>
        <v>1747.4299575823461</v>
      </c>
      <c r="W1715" s="818"/>
      <c r="X1715" s="818"/>
      <c r="Y1715" s="819"/>
      <c r="Z1715" s="820"/>
      <c r="AA1715" s="820"/>
      <c r="AB1715" s="821"/>
      <c r="AC1715" s="821"/>
      <c r="AD1715" s="253"/>
      <c r="AE1715" s="253"/>
    </row>
    <row r="1716" spans="1:31" ht="12.75" customHeight="1">
      <c r="A1716" t="s">
        <v>6687</v>
      </c>
      <c r="B1716" t="s">
        <v>6686</v>
      </c>
      <c r="C1716">
        <v>2951</v>
      </c>
      <c r="D1716" s="581"/>
      <c r="E1716" s="581"/>
      <c r="F1716" s="2">
        <f>(1/S1716)*cnst_fish!$C$6</f>
        <v>1.9014759972289452</v>
      </c>
      <c r="G1716" s="2">
        <f t="shared" si="247"/>
        <v>1</v>
      </c>
      <c r="H1716" s="2">
        <f t="shared" si="247"/>
        <v>0.36449057933102513</v>
      </c>
      <c r="I1716" s="2">
        <f t="shared" si="240"/>
        <v>0</v>
      </c>
      <c r="J1716" s="389">
        <f t="shared" si="241"/>
        <v>0</v>
      </c>
      <c r="L1716" s="721"/>
      <c r="M1716" s="581">
        <v>4234</v>
      </c>
      <c r="N1716" s="585" t="s">
        <v>1738</v>
      </c>
      <c r="O1716" s="586" t="s">
        <v>4685</v>
      </c>
      <c r="P1716" s="233">
        <f t="shared" si="242"/>
        <v>0</v>
      </c>
      <c r="Q1716" s="233">
        <f t="shared" si="243"/>
        <v>4234</v>
      </c>
      <c r="R1716" s="2">
        <f t="shared" si="244"/>
        <v>2.2000000000000002</v>
      </c>
      <c r="S1716" s="2">
        <f>(1/9)*cnst_fish!$C$7*(1/cnst_fish!$C$8)^(R1716-1)</f>
        <v>2.2351057842400328</v>
      </c>
      <c r="T1716" s="682">
        <f t="shared" si="245"/>
        <v>811.60799039092296</v>
      </c>
      <c r="W1716" s="818"/>
      <c r="X1716" s="818"/>
      <c r="Y1716" s="819"/>
      <c r="Z1716" s="820"/>
      <c r="AA1716" s="820"/>
      <c r="AB1716" s="821"/>
      <c r="AC1716" s="821"/>
      <c r="AD1716" s="253"/>
      <c r="AE1716" s="253"/>
    </row>
    <row r="1717" spans="1:31" ht="12.75" customHeight="1">
      <c r="A1717" t="s">
        <v>6780</v>
      </c>
      <c r="B1717" t="s">
        <v>8735</v>
      </c>
      <c r="C1717">
        <v>19887</v>
      </c>
      <c r="D1717" s="581"/>
      <c r="E1717" s="581"/>
      <c r="F1717" s="2">
        <f>(1/S1717)*cnst_fish!$C$6</f>
        <v>2.3938164528281742</v>
      </c>
      <c r="G1717" s="2">
        <f t="shared" si="247"/>
        <v>1</v>
      </c>
      <c r="H1717" s="2">
        <f t="shared" si="247"/>
        <v>0.36449057933102513</v>
      </c>
      <c r="I1717" s="2">
        <f t="shared" si="240"/>
        <v>0</v>
      </c>
      <c r="J1717" s="389">
        <f t="shared" si="241"/>
        <v>0</v>
      </c>
      <c r="L1717" s="721"/>
      <c r="M1717" s="581">
        <v>7905</v>
      </c>
      <c r="N1717" s="585" t="s">
        <v>1738</v>
      </c>
      <c r="O1717" s="586" t="s">
        <v>4681</v>
      </c>
      <c r="P1717" s="233">
        <f t="shared" si="242"/>
        <v>0</v>
      </c>
      <c r="Q1717" s="233">
        <f t="shared" si="243"/>
        <v>7905</v>
      </c>
      <c r="R1717" s="2">
        <f t="shared" si="244"/>
        <v>2.1</v>
      </c>
      <c r="S1717" s="2">
        <f>(1/9)*cnst_fish!$C$7*(1/cnst_fish!$C$8)^(R1717-1)</f>
        <v>1.7754076320174161</v>
      </c>
      <c r="T1717" s="682">
        <f t="shared" si="245"/>
        <v>1203.6420027975178</v>
      </c>
      <c r="W1717" s="818"/>
      <c r="X1717" s="818"/>
      <c r="Y1717" s="819"/>
      <c r="Z1717" s="820"/>
      <c r="AA1717" s="820"/>
      <c r="AB1717" s="821"/>
      <c r="AC1717" s="821"/>
      <c r="AD1717" s="253"/>
      <c r="AE1717" s="253"/>
    </row>
    <row r="1718" spans="1:31" ht="12.75" customHeight="1">
      <c r="A1718" t="s">
        <v>6780</v>
      </c>
      <c r="B1718" t="s">
        <v>8735</v>
      </c>
      <c r="C1718">
        <v>19887</v>
      </c>
      <c r="D1718" s="581"/>
      <c r="E1718" s="581"/>
      <c r="F1718" s="2">
        <f>(1/S1718)*cnst_fish!$C$6</f>
        <v>2.3938164528281742</v>
      </c>
      <c r="G1718" s="2">
        <f t="shared" si="247"/>
        <v>1</v>
      </c>
      <c r="H1718" s="2">
        <f t="shared" si="247"/>
        <v>0.36449057933102513</v>
      </c>
      <c r="I1718" s="2">
        <f t="shared" si="240"/>
        <v>0</v>
      </c>
      <c r="J1718" s="389">
        <f t="shared" si="241"/>
        <v>0</v>
      </c>
      <c r="L1718" s="721"/>
      <c r="M1718" s="581">
        <v>7905</v>
      </c>
      <c r="N1718" s="585" t="s">
        <v>4282</v>
      </c>
      <c r="O1718" s="586" t="s">
        <v>4685</v>
      </c>
      <c r="P1718" s="233">
        <f t="shared" si="242"/>
        <v>0</v>
      </c>
      <c r="Q1718" s="233">
        <f t="shared" si="243"/>
        <v>7905</v>
      </c>
      <c r="R1718" s="2">
        <f t="shared" si="244"/>
        <v>2.1</v>
      </c>
      <c r="S1718" s="2">
        <f>(1/9)*cnst_fish!$C$7*(1/cnst_fish!$C$8)^(R1718-1)</f>
        <v>1.7754076320174161</v>
      </c>
      <c r="T1718" s="682">
        <f t="shared" si="245"/>
        <v>1203.6420027975178</v>
      </c>
      <c r="W1718" s="818"/>
      <c r="X1718" s="818"/>
      <c r="Y1718" s="819"/>
      <c r="Z1718" s="820"/>
      <c r="AA1718" s="820"/>
      <c r="AB1718" s="821"/>
      <c r="AC1718" s="821"/>
      <c r="AD1718" s="253"/>
      <c r="AE1718" s="253"/>
    </row>
    <row r="1719" spans="1:31" ht="12.75" customHeight="1">
      <c r="A1719" t="s">
        <v>6745</v>
      </c>
      <c r="B1719" t="s">
        <v>8736</v>
      </c>
      <c r="C1719">
        <v>6816</v>
      </c>
      <c r="D1719" s="581"/>
      <c r="E1719" s="581"/>
      <c r="F1719" s="2">
        <f>(1/S1719)*cnst_fish!$C$6</f>
        <v>1.1997502458044034</v>
      </c>
      <c r="G1719" s="2">
        <f t="shared" si="247"/>
        <v>1</v>
      </c>
      <c r="H1719" s="2">
        <f t="shared" si="247"/>
        <v>0.36449057933102513</v>
      </c>
      <c r="I1719" s="2">
        <f t="shared" si="240"/>
        <v>0</v>
      </c>
      <c r="J1719" s="389">
        <f t="shared" si="241"/>
        <v>0</v>
      </c>
      <c r="L1719" s="721"/>
      <c r="M1719" s="581"/>
      <c r="N1719" s="585" t="s">
        <v>1738</v>
      </c>
      <c r="O1719" s="586" t="s">
        <v>4685</v>
      </c>
      <c r="P1719" s="233">
        <f t="shared" si="242"/>
        <v>0</v>
      </c>
      <c r="Q1719" s="233">
        <f t="shared" si="243"/>
        <v>0</v>
      </c>
      <c r="R1719" s="2">
        <f t="shared" si="244"/>
        <v>2.4</v>
      </c>
      <c r="S1719" s="2">
        <f>(1/9)*cnst_fish!$C$7*(1/cnst_fish!$C$8)^(R1719-1)</f>
        <v>3.5424039418724838</v>
      </c>
      <c r="T1719" s="682">
        <f t="shared" si="245"/>
        <v>0</v>
      </c>
      <c r="W1719" s="818"/>
      <c r="X1719" s="818"/>
      <c r="Y1719" s="819"/>
      <c r="Z1719" s="820"/>
      <c r="AA1719" s="820"/>
      <c r="AB1719" s="821"/>
      <c r="AC1719" s="821"/>
      <c r="AD1719" s="253"/>
      <c r="AE1719" s="253"/>
    </row>
    <row r="1720" spans="1:31" ht="12.75" customHeight="1">
      <c r="A1720" t="s">
        <v>5430</v>
      </c>
      <c r="B1720" t="s">
        <v>640</v>
      </c>
      <c r="C1720">
        <v>2952</v>
      </c>
      <c r="D1720" s="581"/>
      <c r="E1720" s="581"/>
      <c r="F1720" s="2">
        <f>(1/S1720)*cnst_fish!$C$6</f>
        <v>3.0136363636363641</v>
      </c>
      <c r="G1720" s="2">
        <f t="shared" si="247"/>
        <v>1</v>
      </c>
      <c r="H1720" s="2">
        <f t="shared" si="247"/>
        <v>0.36449057933102513</v>
      </c>
      <c r="I1720" s="2">
        <f t="shared" si="240"/>
        <v>0</v>
      </c>
      <c r="J1720" s="389">
        <f t="shared" si="241"/>
        <v>0</v>
      </c>
      <c r="L1720" s="721"/>
      <c r="M1720" s="581">
        <v>4851</v>
      </c>
      <c r="N1720" s="585" t="s">
        <v>1738</v>
      </c>
      <c r="O1720" s="586" t="s">
        <v>4685</v>
      </c>
      <c r="P1720" s="233">
        <f t="shared" si="242"/>
        <v>0</v>
      </c>
      <c r="Q1720" s="233">
        <f t="shared" si="243"/>
        <v>4851</v>
      </c>
      <c r="R1720" s="2">
        <f t="shared" si="244"/>
        <v>2</v>
      </c>
      <c r="S1720" s="2">
        <f>(1/9)*cnst_fish!$C$7*(1/cnst_fish!$C$8)^(R1720-1)</f>
        <v>1.4102564102564099</v>
      </c>
      <c r="T1720" s="682">
        <f t="shared" si="245"/>
        <v>586.71438321818493</v>
      </c>
      <c r="W1720" s="818"/>
      <c r="X1720" s="818"/>
      <c r="Y1720" s="819"/>
      <c r="Z1720" s="820"/>
      <c r="AA1720" s="820"/>
      <c r="AB1720" s="821"/>
      <c r="AC1720" s="821"/>
      <c r="AD1720" s="253"/>
      <c r="AE1720" s="253"/>
    </row>
    <row r="1721" spans="1:31" ht="12.75" customHeight="1">
      <c r="A1721" t="s">
        <v>3167</v>
      </c>
      <c r="B1721" t="s">
        <v>641</v>
      </c>
      <c r="C1721">
        <v>2146</v>
      </c>
      <c r="D1721" s="581"/>
      <c r="E1721" s="581"/>
      <c r="F1721" s="2">
        <f>(1/S1721)*cnst_fish!$C$6</f>
        <v>2.4495756009854457</v>
      </c>
      <c r="G1721" s="2">
        <f t="shared" si="247"/>
        <v>1</v>
      </c>
      <c r="H1721" s="2">
        <f t="shared" si="247"/>
        <v>0.36449057933102513</v>
      </c>
      <c r="I1721" s="2">
        <f t="shared" si="240"/>
        <v>0</v>
      </c>
      <c r="J1721" s="389">
        <f t="shared" si="241"/>
        <v>0</v>
      </c>
      <c r="L1721" s="721"/>
      <c r="M1721" s="581">
        <v>58359.06</v>
      </c>
      <c r="N1721" s="585" t="s">
        <v>1738</v>
      </c>
      <c r="O1721" s="586" t="s">
        <v>4685</v>
      </c>
      <c r="P1721" s="233">
        <f t="shared" si="242"/>
        <v>0</v>
      </c>
      <c r="Q1721" s="233">
        <f t="shared" si="243"/>
        <v>58359.06</v>
      </c>
      <c r="R1721" s="2">
        <f t="shared" si="244"/>
        <v>2.09</v>
      </c>
      <c r="S1721" s="2">
        <f>(1/9)*cnst_fish!$C$7*(1/cnst_fish!$C$8)^(R1721-1)</f>
        <v>1.7349944203764347</v>
      </c>
      <c r="T1721" s="682">
        <f t="shared" si="245"/>
        <v>8683.6787482928721</v>
      </c>
      <c r="W1721" s="818"/>
      <c r="X1721" s="818"/>
      <c r="Y1721" s="819"/>
      <c r="Z1721" s="820"/>
      <c r="AA1721" s="820"/>
      <c r="AB1721" s="821"/>
      <c r="AC1721" s="821"/>
      <c r="AD1721" s="253"/>
      <c r="AE1721" s="253"/>
    </row>
    <row r="1722" spans="1:31" ht="12.75" customHeight="1">
      <c r="A1722" t="s">
        <v>8343</v>
      </c>
      <c r="B1722" t="s">
        <v>8344</v>
      </c>
      <c r="C1722">
        <v>16301</v>
      </c>
      <c r="D1722" s="581"/>
      <c r="E1722" s="581"/>
      <c r="F1722" s="2">
        <f>(1/S1722)*cnst_fish!$C$6</f>
        <v>0.19014759972289441</v>
      </c>
      <c r="G1722" s="2">
        <f t="shared" si="247"/>
        <v>1</v>
      </c>
      <c r="H1722" s="2">
        <f t="shared" si="247"/>
        <v>0.36449057933102513</v>
      </c>
      <c r="I1722" s="2">
        <f t="shared" si="240"/>
        <v>0</v>
      </c>
      <c r="J1722" s="389">
        <f t="shared" si="241"/>
        <v>0</v>
      </c>
      <c r="L1722" s="721">
        <v>0</v>
      </c>
      <c r="M1722" s="581"/>
      <c r="N1722" s="585" t="s">
        <v>3790</v>
      </c>
      <c r="O1722" s="586" t="s">
        <v>4680</v>
      </c>
      <c r="P1722" s="233">
        <f t="shared" si="242"/>
        <v>0</v>
      </c>
      <c r="Q1722" s="233">
        <f t="shared" si="243"/>
        <v>0</v>
      </c>
      <c r="R1722" s="2">
        <f t="shared" si="244"/>
        <v>3.2</v>
      </c>
      <c r="S1722" s="2">
        <f>(1/9)*cnst_fish!$C$7*(1/cnst_fish!$C$8)^(R1722-1)</f>
        <v>22.351057842400341</v>
      </c>
      <c r="T1722" s="682">
        <f t="shared" si="245"/>
        <v>0</v>
      </c>
      <c r="W1722" s="818"/>
      <c r="X1722" s="818"/>
      <c r="Y1722" s="819"/>
      <c r="Z1722" s="820"/>
      <c r="AA1722" s="820"/>
      <c r="AB1722" s="821"/>
      <c r="AC1722" s="821"/>
      <c r="AD1722" s="253"/>
      <c r="AE1722" s="253"/>
    </row>
    <row r="1723" spans="1:31" ht="12.75" customHeight="1">
      <c r="A1723" t="s">
        <v>1388</v>
      </c>
      <c r="B1723" t="s">
        <v>4639</v>
      </c>
      <c r="C1723">
        <v>14591</v>
      </c>
      <c r="D1723" s="581"/>
      <c r="E1723" s="581"/>
      <c r="F1723" s="2">
        <f>(1/S1723)*cnst_fish!$C$6</f>
        <v>6.0129950673834844E-2</v>
      </c>
      <c r="G1723" s="2">
        <f t="shared" si="247"/>
        <v>1</v>
      </c>
      <c r="H1723" s="2">
        <f t="shared" si="247"/>
        <v>0.36449057933102513</v>
      </c>
      <c r="I1723" s="2">
        <f t="shared" si="240"/>
        <v>0</v>
      </c>
      <c r="J1723" s="389">
        <f t="shared" si="241"/>
        <v>0</v>
      </c>
      <c r="L1723" s="721">
        <v>54</v>
      </c>
      <c r="M1723" s="581"/>
      <c r="N1723" s="585" t="s">
        <v>1738</v>
      </c>
      <c r="O1723" s="586" t="s">
        <v>4681</v>
      </c>
      <c r="P1723" s="233">
        <f t="shared" si="242"/>
        <v>0</v>
      </c>
      <c r="Q1723" s="233">
        <f t="shared" si="243"/>
        <v>54</v>
      </c>
      <c r="R1723" s="2">
        <f t="shared" si="244"/>
        <v>3.7</v>
      </c>
      <c r="S1723" s="2">
        <f>(1/9)*cnst_fish!$C$7*(1/cnst_fish!$C$8)^(R1723-1)</f>
        <v>70.680250896153822</v>
      </c>
      <c r="T1723" s="682">
        <f t="shared" si="245"/>
        <v>327.3325699307461</v>
      </c>
      <c r="W1723" s="818"/>
      <c r="X1723" s="818"/>
      <c r="Y1723" s="819"/>
      <c r="Z1723" s="820"/>
      <c r="AA1723" s="820"/>
      <c r="AB1723" s="821"/>
      <c r="AC1723" s="821"/>
      <c r="AD1723" s="253"/>
      <c r="AE1723" s="253"/>
    </row>
    <row r="1724" spans="1:31" ht="12.75" customHeight="1">
      <c r="A1724" t="s">
        <v>2952</v>
      </c>
      <c r="B1724" t="s">
        <v>2675</v>
      </c>
      <c r="C1724">
        <v>14592</v>
      </c>
      <c r="D1724" s="581"/>
      <c r="E1724" s="581"/>
      <c r="F1724" s="2">
        <f>(1/S1724)*cnst_fish!$C$6</f>
        <v>1.9910898001319833E-2</v>
      </c>
      <c r="G1724" s="2">
        <f t="shared" si="247"/>
        <v>1</v>
      </c>
      <c r="H1724" s="2">
        <f t="shared" si="247"/>
        <v>0.36449057933102513</v>
      </c>
      <c r="I1724" s="2">
        <f t="shared" si="240"/>
        <v>0</v>
      </c>
      <c r="J1724" s="389">
        <f t="shared" si="241"/>
        <v>0</v>
      </c>
      <c r="L1724" s="721">
        <v>7</v>
      </c>
      <c r="M1724" s="581"/>
      <c r="N1724" s="585" t="s">
        <v>1738</v>
      </c>
      <c r="O1724" s="586" t="s">
        <v>4681</v>
      </c>
      <c r="P1724" s="233">
        <f t="shared" si="242"/>
        <v>0</v>
      </c>
      <c r="Q1724" s="233">
        <f t="shared" si="243"/>
        <v>7</v>
      </c>
      <c r="R1724" s="2">
        <f t="shared" si="244"/>
        <v>4.18</v>
      </c>
      <c r="S1724" s="2">
        <f>(1/9)*cnst_fish!$C$7*(1/cnst_fish!$C$8)^(R1724-1)</f>
        <v>213.4509452922857</v>
      </c>
      <c r="T1724" s="682">
        <f t="shared" si="245"/>
        <v>128.14259081373672</v>
      </c>
      <c r="W1724" s="818"/>
      <c r="X1724" s="818"/>
      <c r="Y1724" s="819"/>
      <c r="Z1724" s="820"/>
      <c r="AA1724" s="820"/>
      <c r="AB1724" s="821"/>
      <c r="AC1724" s="821"/>
      <c r="AD1724" s="253"/>
      <c r="AE1724" s="253"/>
    </row>
    <row r="1725" spans="1:31" ht="12.75" customHeight="1">
      <c r="A1725" s="403" t="s">
        <v>8956</v>
      </c>
      <c r="B1725" s="403" t="s">
        <v>8957</v>
      </c>
      <c r="C1725" s="403">
        <v>14598</v>
      </c>
      <c r="D1725" s="581"/>
      <c r="E1725" s="581"/>
      <c r="F1725" s="869">
        <f>(1/S1725)*cnst_fish!$C$6</f>
        <v>0.15103960722494611</v>
      </c>
      <c r="G1725" s="869">
        <f t="shared" si="247"/>
        <v>1</v>
      </c>
      <c r="H1725" s="869">
        <f t="shared" si="247"/>
        <v>0.36449057933102513</v>
      </c>
      <c r="I1725" s="869">
        <f t="shared" si="240"/>
        <v>0</v>
      </c>
      <c r="J1725" s="389">
        <f t="shared" si="241"/>
        <v>0</v>
      </c>
      <c r="L1725" s="721"/>
      <c r="M1725" s="581">
        <v>9</v>
      </c>
      <c r="N1725" s="877" t="s">
        <v>1738</v>
      </c>
      <c r="O1725" s="881" t="s">
        <v>4685</v>
      </c>
      <c r="P1725" s="871">
        <f t="shared" si="242"/>
        <v>0</v>
      </c>
      <c r="Q1725" s="871">
        <f t="shared" si="243"/>
        <v>9</v>
      </c>
      <c r="R1725" s="869">
        <f t="shared" si="244"/>
        <v>3.3</v>
      </c>
      <c r="S1725" s="869">
        <f>(1/9)*cnst_fish!$C$7*(1/cnst_fish!$C$8)^(R1725-1)</f>
        <v>28.138314698279075</v>
      </c>
      <c r="T1725" s="682">
        <f t="shared" si="245"/>
        <v>21.718907207522346</v>
      </c>
      <c r="W1725" s="818"/>
      <c r="X1725" s="818"/>
      <c r="Y1725" s="819"/>
      <c r="Z1725" s="820"/>
      <c r="AA1725" s="820"/>
      <c r="AB1725" s="821"/>
      <c r="AC1725" s="821"/>
      <c r="AD1725" s="253"/>
      <c r="AE1725" s="253"/>
    </row>
    <row r="1726" spans="1:31" ht="12.75" customHeight="1">
      <c r="A1726" t="s">
        <v>4247</v>
      </c>
      <c r="B1726" t="s">
        <v>8737</v>
      </c>
      <c r="C1726">
        <v>17253</v>
      </c>
      <c r="D1726" s="581"/>
      <c r="E1726" s="581"/>
      <c r="F1726" s="2">
        <f>(1/S1726)*cnst_fish!$C$6</f>
        <v>2.3938164528281742</v>
      </c>
      <c r="G1726" s="2">
        <f t="shared" si="247"/>
        <v>1</v>
      </c>
      <c r="H1726" s="2">
        <f t="shared" si="247"/>
        <v>0.36449057933102513</v>
      </c>
      <c r="I1726" s="2">
        <f t="shared" si="240"/>
        <v>0</v>
      </c>
      <c r="J1726" s="389">
        <f t="shared" si="241"/>
        <v>0</v>
      </c>
      <c r="L1726" s="721"/>
      <c r="M1726" s="581"/>
      <c r="N1726" s="585" t="s">
        <v>1736</v>
      </c>
      <c r="O1726" s="586" t="s">
        <v>4691</v>
      </c>
      <c r="P1726" s="233">
        <f t="shared" si="242"/>
        <v>0</v>
      </c>
      <c r="Q1726" s="233">
        <f t="shared" si="243"/>
        <v>0</v>
      </c>
      <c r="R1726" s="2">
        <f t="shared" si="244"/>
        <v>2.1</v>
      </c>
      <c r="S1726" s="2">
        <f>(1/9)*cnst_fish!$C$7*(1/cnst_fish!$C$8)^(R1726-1)</f>
        <v>1.7754076320174161</v>
      </c>
      <c r="T1726" s="682">
        <f t="shared" si="245"/>
        <v>0</v>
      </c>
      <c r="W1726" s="818"/>
      <c r="X1726" s="818"/>
      <c r="Y1726" s="819"/>
      <c r="Z1726" s="820"/>
      <c r="AA1726" s="820"/>
      <c r="AB1726" s="821"/>
      <c r="AC1726" s="821"/>
      <c r="AD1726" s="253"/>
      <c r="AE1726" s="253"/>
    </row>
    <row r="1727" spans="1:31" ht="12.75" customHeight="1">
      <c r="A1727" t="s">
        <v>6719</v>
      </c>
      <c r="B1727" t="s">
        <v>6718</v>
      </c>
      <c r="C1727">
        <v>14600</v>
      </c>
      <c r="D1727" s="581"/>
      <c r="E1727" s="581"/>
      <c r="F1727" s="2">
        <f>(1/S1727)*cnst_fish!$C$6</f>
        <v>0.11997502458044032</v>
      </c>
      <c r="G1727" s="2">
        <f t="shared" si="247"/>
        <v>1</v>
      </c>
      <c r="H1727" s="2">
        <f t="shared" si="247"/>
        <v>0.36449057933102513</v>
      </c>
      <c r="I1727" s="2">
        <f t="shared" si="240"/>
        <v>0</v>
      </c>
      <c r="J1727" s="389">
        <f t="shared" si="241"/>
        <v>0</v>
      </c>
      <c r="L1727" s="721"/>
      <c r="M1727" s="581"/>
      <c r="N1727" s="585" t="s">
        <v>1738</v>
      </c>
      <c r="O1727" s="586" t="s">
        <v>4681</v>
      </c>
      <c r="P1727" s="233">
        <f t="shared" si="242"/>
        <v>0</v>
      </c>
      <c r="Q1727" s="233">
        <f t="shared" si="243"/>
        <v>0</v>
      </c>
      <c r="R1727" s="2">
        <f t="shared" si="244"/>
        <v>3.4</v>
      </c>
      <c r="S1727" s="2">
        <f>(1/9)*cnst_fish!$C$7*(1/cnst_fish!$C$8)^(R1727-1)</f>
        <v>35.424039418724846</v>
      </c>
      <c r="T1727" s="682">
        <f t="shared" si="245"/>
        <v>0</v>
      </c>
      <c r="W1727" s="818"/>
      <c r="X1727" s="818"/>
      <c r="Y1727" s="819"/>
      <c r="Z1727" s="820"/>
      <c r="AA1727" s="820"/>
      <c r="AB1727" s="821"/>
      <c r="AC1727" s="821"/>
      <c r="AD1727" s="253"/>
      <c r="AE1727" s="253"/>
    </row>
    <row r="1728" spans="1:31" ht="12.75" customHeight="1">
      <c r="A1728" t="s">
        <v>6489</v>
      </c>
      <c r="B1728" t="s">
        <v>6488</v>
      </c>
      <c r="C1728">
        <v>14611</v>
      </c>
      <c r="D1728" s="581"/>
      <c r="E1728" s="581"/>
      <c r="F1728" s="2">
        <f>(1/S1728)*cnst_fish!$C$6</f>
        <v>3.0136363636363641</v>
      </c>
      <c r="G1728" s="2">
        <f t="shared" ref="G1728:H1747" si="248">G$7</f>
        <v>1</v>
      </c>
      <c r="H1728" s="2">
        <f t="shared" si="248"/>
        <v>0.36449057933102513</v>
      </c>
      <c r="I1728" s="2">
        <f t="shared" si="240"/>
        <v>0</v>
      </c>
      <c r="J1728" s="389">
        <f t="shared" si="241"/>
        <v>0</v>
      </c>
      <c r="L1728" s="721"/>
      <c r="M1728" s="581">
        <v>820</v>
      </c>
      <c r="N1728" s="585" t="s">
        <v>1738</v>
      </c>
      <c r="O1728" s="586" t="s">
        <v>4685</v>
      </c>
      <c r="P1728" s="233">
        <f t="shared" si="242"/>
        <v>0</v>
      </c>
      <c r="Q1728" s="233">
        <f t="shared" si="243"/>
        <v>820</v>
      </c>
      <c r="R1728" s="2">
        <f t="shared" si="244"/>
        <v>2</v>
      </c>
      <c r="S1728" s="2">
        <f>(1/9)*cnst_fish!$C$7*(1/cnst_fish!$C$8)^(R1728-1)</f>
        <v>1.4102564102564099</v>
      </c>
      <c r="T1728" s="682">
        <f t="shared" si="245"/>
        <v>99.176622189014964</v>
      </c>
      <c r="W1728" s="818"/>
      <c r="X1728" s="818"/>
      <c r="Y1728" s="819"/>
      <c r="Z1728" s="820"/>
      <c r="AA1728" s="820"/>
      <c r="AB1728" s="821"/>
      <c r="AC1728" s="821"/>
      <c r="AD1728" s="253"/>
      <c r="AE1728" s="253"/>
    </row>
    <row r="1729" spans="1:31" ht="12.75" customHeight="1">
      <c r="A1729" t="s">
        <v>367</v>
      </c>
      <c r="B1729" t="s">
        <v>642</v>
      </c>
      <c r="C1729">
        <v>2875</v>
      </c>
      <c r="D1729" s="581"/>
      <c r="E1729" s="581"/>
      <c r="F1729" s="2">
        <f>(1/S1729)*cnst_fish!$C$6</f>
        <v>7.0646532025323075E-2</v>
      </c>
      <c r="G1729" s="2">
        <f t="shared" si="248"/>
        <v>1</v>
      </c>
      <c r="H1729" s="2">
        <f t="shared" si="248"/>
        <v>0.36449057933102513</v>
      </c>
      <c r="I1729" s="2">
        <f t="shared" si="240"/>
        <v>0</v>
      </c>
      <c r="J1729" s="389">
        <f t="shared" si="241"/>
        <v>0</v>
      </c>
      <c r="L1729" s="721"/>
      <c r="M1729" s="581">
        <v>15130</v>
      </c>
      <c r="N1729" s="585" t="s">
        <v>1738</v>
      </c>
      <c r="O1729" s="586" t="s">
        <v>4685</v>
      </c>
      <c r="P1729" s="233">
        <f t="shared" si="242"/>
        <v>0</v>
      </c>
      <c r="Q1729" s="233">
        <f t="shared" si="243"/>
        <v>15130</v>
      </c>
      <c r="R1729" s="2">
        <f t="shared" si="244"/>
        <v>3.63</v>
      </c>
      <c r="S1729" s="2">
        <f>(1/9)*cnst_fish!$C$7*(1/cnst_fish!$C$8)^(R1729-1)</f>
        <v>60.158650087404119</v>
      </c>
      <c r="T1729" s="682">
        <f t="shared" si="245"/>
        <v>78061.049950784058</v>
      </c>
      <c r="W1729" s="818"/>
      <c r="X1729" s="818"/>
      <c r="Y1729" s="819"/>
      <c r="Z1729" s="820"/>
      <c r="AA1729" s="820"/>
      <c r="AB1729" s="821"/>
      <c r="AC1729" s="821"/>
      <c r="AD1729" s="253"/>
      <c r="AE1729" s="253"/>
    </row>
    <row r="1730" spans="1:31" ht="12.75" customHeight="1">
      <c r="A1730" t="s">
        <v>430</v>
      </c>
      <c r="B1730" t="s">
        <v>8738</v>
      </c>
      <c r="C1730">
        <v>14613</v>
      </c>
      <c r="D1730" s="581"/>
      <c r="E1730" s="581"/>
      <c r="F1730" s="2">
        <f>(1/S1730)*cnst_fish!$C$6</f>
        <v>0.30136363636363639</v>
      </c>
      <c r="G1730" s="2">
        <f t="shared" si="248"/>
        <v>1</v>
      </c>
      <c r="H1730" s="2">
        <f t="shared" si="248"/>
        <v>0.36449057933102513</v>
      </c>
      <c r="I1730" s="2">
        <f t="shared" si="240"/>
        <v>0</v>
      </c>
      <c r="J1730" s="389">
        <f t="shared" si="241"/>
        <v>0</v>
      </c>
      <c r="L1730" s="721"/>
      <c r="M1730" s="581"/>
      <c r="N1730" s="585" t="s">
        <v>1738</v>
      </c>
      <c r="O1730" s="586" t="s">
        <v>4685</v>
      </c>
      <c r="P1730" s="233">
        <f t="shared" si="242"/>
        <v>0</v>
      </c>
      <c r="Q1730" s="233">
        <f t="shared" si="243"/>
        <v>0</v>
      </c>
      <c r="R1730" s="2">
        <f t="shared" si="244"/>
        <v>3</v>
      </c>
      <c r="S1730" s="2">
        <f>(1/9)*cnst_fish!$C$7*(1/cnst_fish!$C$8)^(R1730-1)</f>
        <v>14.1025641025641</v>
      </c>
      <c r="T1730" s="682">
        <f t="shared" si="245"/>
        <v>0</v>
      </c>
      <c r="W1730" s="818"/>
      <c r="X1730" s="818"/>
      <c r="Y1730" s="819"/>
      <c r="Z1730" s="820"/>
      <c r="AA1730" s="820"/>
      <c r="AB1730" s="821"/>
      <c r="AC1730" s="821"/>
      <c r="AD1730" s="253"/>
      <c r="AE1730" s="253"/>
    </row>
    <row r="1731" spans="1:31" ht="12.75" customHeight="1">
      <c r="A1731" t="s">
        <v>2691</v>
      </c>
      <c r="B1731" t="s">
        <v>3938</v>
      </c>
      <c r="C1731">
        <v>3546</v>
      </c>
      <c r="D1731" s="581"/>
      <c r="E1731" s="581"/>
      <c r="F1731" s="2">
        <f>(1/S1731)*cnst_fish!$C$6</f>
        <v>2.3938164528281742</v>
      </c>
      <c r="G1731" s="2">
        <f t="shared" si="248"/>
        <v>1</v>
      </c>
      <c r="H1731" s="2">
        <f t="shared" si="248"/>
        <v>0.36449057933102513</v>
      </c>
      <c r="I1731" s="2">
        <f t="shared" si="240"/>
        <v>0</v>
      </c>
      <c r="J1731" s="389">
        <f t="shared" si="241"/>
        <v>0</v>
      </c>
      <c r="L1731" s="721"/>
      <c r="M1731" s="581"/>
      <c r="N1731" s="585" t="s">
        <v>1736</v>
      </c>
      <c r="O1731" s="586" t="s">
        <v>4691</v>
      </c>
      <c r="P1731" s="233">
        <f t="shared" si="242"/>
        <v>0</v>
      </c>
      <c r="Q1731" s="233">
        <f t="shared" si="243"/>
        <v>0</v>
      </c>
      <c r="R1731" s="2">
        <f t="shared" si="244"/>
        <v>2.1</v>
      </c>
      <c r="S1731" s="2">
        <f>(1/9)*cnst_fish!$C$7*(1/cnst_fish!$C$8)^(R1731-1)</f>
        <v>1.7754076320174161</v>
      </c>
      <c r="T1731" s="682">
        <f t="shared" si="245"/>
        <v>0</v>
      </c>
      <c r="W1731" s="818"/>
      <c r="X1731" s="818"/>
      <c r="Y1731" s="819"/>
      <c r="Z1731" s="820"/>
      <c r="AA1731" s="820"/>
      <c r="AB1731" s="821"/>
      <c r="AC1731" s="821"/>
      <c r="AD1731" s="253"/>
      <c r="AE1731" s="253"/>
    </row>
    <row r="1732" spans="1:31" ht="12.75" customHeight="1">
      <c r="A1732" t="s">
        <v>1642</v>
      </c>
      <c r="B1732" t="s">
        <v>5464</v>
      </c>
      <c r="C1732">
        <v>2703</v>
      </c>
      <c r="D1732" s="581"/>
      <c r="E1732" s="581"/>
      <c r="F1732" s="2">
        <f>(1/S1732)*cnst_fish!$C$6</f>
        <v>2.3938164528281742</v>
      </c>
      <c r="G1732" s="2">
        <f t="shared" si="248"/>
        <v>1</v>
      </c>
      <c r="H1732" s="2">
        <f t="shared" si="248"/>
        <v>0.36449057933102513</v>
      </c>
      <c r="I1732" s="2">
        <f t="shared" si="240"/>
        <v>0</v>
      </c>
      <c r="J1732" s="389">
        <f t="shared" si="241"/>
        <v>0</v>
      </c>
      <c r="L1732" s="721">
        <v>12232</v>
      </c>
      <c r="M1732" s="581"/>
      <c r="N1732" s="585" t="s">
        <v>1736</v>
      </c>
      <c r="O1732" s="586" t="s">
        <v>4691</v>
      </c>
      <c r="P1732" s="233">
        <f t="shared" si="242"/>
        <v>0</v>
      </c>
      <c r="Q1732" s="233">
        <f t="shared" si="243"/>
        <v>12232</v>
      </c>
      <c r="R1732" s="2">
        <f t="shared" si="244"/>
        <v>2.1</v>
      </c>
      <c r="S1732" s="2">
        <f>(1/9)*cnst_fish!$C$7*(1/cnst_fish!$C$8)^(R1732-1)</f>
        <v>1.7754076320174161</v>
      </c>
      <c r="T1732" s="682">
        <f t="shared" si="245"/>
        <v>1862.4856392434203</v>
      </c>
      <c r="W1732" s="818"/>
      <c r="X1732" s="818"/>
      <c r="Y1732" s="819"/>
      <c r="Z1732" s="820"/>
      <c r="AA1732" s="820"/>
      <c r="AB1732" s="821"/>
      <c r="AC1732" s="821"/>
      <c r="AD1732" s="253"/>
      <c r="AE1732" s="253"/>
    </row>
    <row r="1733" spans="1:31" ht="12.75" customHeight="1">
      <c r="A1733" t="s">
        <v>4985</v>
      </c>
      <c r="B1733" t="s">
        <v>547</v>
      </c>
      <c r="C1733">
        <v>16600</v>
      </c>
      <c r="D1733" s="581"/>
      <c r="E1733" s="581"/>
      <c r="F1733" s="2">
        <f>(1/S1733)*cnst_fish!$C$6</f>
        <v>0.14481532779905856</v>
      </c>
      <c r="G1733" s="2">
        <f t="shared" si="248"/>
        <v>1</v>
      </c>
      <c r="H1733" s="2">
        <f t="shared" si="248"/>
        <v>0.36449057933102513</v>
      </c>
      <c r="I1733" s="2">
        <f t="shared" si="240"/>
        <v>0</v>
      </c>
      <c r="J1733" s="389">
        <f t="shared" si="241"/>
        <v>0</v>
      </c>
      <c r="L1733" s="721">
        <v>8739</v>
      </c>
      <c r="M1733" s="581"/>
      <c r="N1733" s="585" t="s">
        <v>2322</v>
      </c>
      <c r="O1733" s="586" t="s">
        <v>4680</v>
      </c>
      <c r="P1733" s="233">
        <f t="shared" si="242"/>
        <v>0</v>
      </c>
      <c r="Q1733" s="233">
        <f t="shared" si="243"/>
        <v>8739</v>
      </c>
      <c r="R1733" s="2">
        <f t="shared" si="244"/>
        <v>3.3182763159269002</v>
      </c>
      <c r="S1733" s="2">
        <f>(1/9)*cnst_fish!$C$7*(1/cnst_fish!$C$8)^(R1733-1)</f>
        <v>29.347722127157517</v>
      </c>
      <c r="T1733" s="682">
        <f t="shared" si="245"/>
        <v>21995.483635500466</v>
      </c>
      <c r="W1733" s="818"/>
      <c r="X1733" s="818"/>
      <c r="Y1733" s="819"/>
      <c r="Z1733" s="820"/>
      <c r="AA1733" s="820"/>
      <c r="AB1733" s="821"/>
      <c r="AC1733" s="821"/>
      <c r="AD1733" s="253"/>
      <c r="AE1733" s="253"/>
    </row>
    <row r="1734" spans="1:31" ht="12.75" customHeight="1">
      <c r="A1734" t="s">
        <v>9094</v>
      </c>
      <c r="B1734" t="s">
        <v>9095</v>
      </c>
      <c r="C1734">
        <v>19260</v>
      </c>
      <c r="D1734" s="581"/>
      <c r="E1734" s="581"/>
      <c r="F1734" s="869">
        <f>(1/S1734)*cnst_fish!$C$6</f>
        <v>6.0129950673834844E-2</v>
      </c>
      <c r="G1734" s="869">
        <f t="shared" si="248"/>
        <v>1</v>
      </c>
      <c r="H1734" s="869">
        <f t="shared" si="248"/>
        <v>0.36449057933102513</v>
      </c>
      <c r="I1734" s="869">
        <f t="shared" si="240"/>
        <v>0</v>
      </c>
      <c r="J1734" s="389">
        <f t="shared" si="241"/>
        <v>0</v>
      </c>
      <c r="L1734" s="721">
        <v>0.32</v>
      </c>
      <c r="M1734" s="581"/>
      <c r="N1734" s="877" t="s">
        <v>1738</v>
      </c>
      <c r="O1734" s="882" t="s">
        <v>4681</v>
      </c>
      <c r="P1734" s="871">
        <f t="shared" si="242"/>
        <v>0</v>
      </c>
      <c r="Q1734" s="871">
        <f t="shared" si="243"/>
        <v>0.32</v>
      </c>
      <c r="R1734" s="869">
        <v>3.7</v>
      </c>
      <c r="S1734" s="869">
        <f>(1/9)*cnst_fish!$C$7*(1/cnst_fish!$C$8)^(R1734-1)</f>
        <v>70.680250896153822</v>
      </c>
      <c r="T1734" s="682">
        <f t="shared" si="245"/>
        <v>1.9397485625525694</v>
      </c>
      <c r="W1734" s="818"/>
      <c r="X1734" s="818"/>
      <c r="Y1734" s="819"/>
      <c r="Z1734" s="820"/>
      <c r="AA1734" s="820"/>
      <c r="AB1734" s="821"/>
      <c r="AC1734" s="821"/>
      <c r="AD1734" s="253"/>
      <c r="AE1734" s="253"/>
    </row>
    <row r="1735" spans="1:31" ht="12.75" customHeight="1">
      <c r="A1735" t="s">
        <v>4278</v>
      </c>
      <c r="B1735" t="s">
        <v>8739</v>
      </c>
      <c r="C1735">
        <v>14618</v>
      </c>
      <c r="D1735" s="581"/>
      <c r="E1735" s="581"/>
      <c r="F1735" s="2">
        <f>(1/S1735)*cnst_fish!$C$6</f>
        <v>3.0136363636363642E-2</v>
      </c>
      <c r="G1735" s="2">
        <f t="shared" si="248"/>
        <v>1</v>
      </c>
      <c r="H1735" s="2">
        <f t="shared" si="248"/>
        <v>0.36449057933102513</v>
      </c>
      <c r="I1735" s="2">
        <f t="shared" ref="I1735:I1798" si="249">IF($F1735=0,0,D1735/$F1735*$H1735*$G1735)</f>
        <v>0</v>
      </c>
      <c r="J1735" s="389">
        <f t="shared" ref="J1735:J1798" si="250">IF($F1735=0,0,E1735/$F1735*$H1735*$G1735)</f>
        <v>0</v>
      </c>
      <c r="L1735" s="721"/>
      <c r="M1735" s="581"/>
      <c r="N1735" s="585" t="s">
        <v>1738</v>
      </c>
      <c r="O1735" s="586" t="s">
        <v>4681</v>
      </c>
      <c r="P1735" s="233">
        <f t="shared" ref="P1735:P1798" si="251">D1735+E1735</f>
        <v>0</v>
      </c>
      <c r="Q1735" s="233">
        <f t="shared" ref="Q1735:Q1798" si="252">L1735+M1735</f>
        <v>0</v>
      </c>
      <c r="R1735" s="2">
        <f t="shared" ref="R1735:R1798" si="253">VLOOKUP(B1735,constant_fish_trophic,3,FALSE)</f>
        <v>4</v>
      </c>
      <c r="S1735" s="2">
        <f>(1/9)*cnst_fish!$C$7*(1/cnst_fish!$C$8)^(R1735-1)</f>
        <v>141.02564102564099</v>
      </c>
      <c r="T1735" s="682">
        <f t="shared" ref="T1735:T1798" si="254">IF(F1735=0,0,Q1735/F1735*H1735*G1735)</f>
        <v>0</v>
      </c>
      <c r="W1735" s="818"/>
      <c r="X1735" s="818"/>
      <c r="Y1735" s="819"/>
      <c r="Z1735" s="820"/>
      <c r="AA1735" s="820"/>
      <c r="AB1735" s="821"/>
      <c r="AC1735" s="821"/>
      <c r="AD1735" s="253"/>
      <c r="AE1735" s="253"/>
    </row>
    <row r="1736" spans="1:31" ht="12.75" customHeight="1">
      <c r="A1736" t="s">
        <v>9044</v>
      </c>
      <c r="B1736" t="s">
        <v>9045</v>
      </c>
      <c r="C1736">
        <v>14619</v>
      </c>
      <c r="D1736" s="581"/>
      <c r="E1736" s="581"/>
      <c r="F1736" s="869">
        <f>(1/S1736)*cnst_fish!$C$6</f>
        <v>3.0136363636363641</v>
      </c>
      <c r="G1736" s="869">
        <f t="shared" si="248"/>
        <v>1</v>
      </c>
      <c r="H1736" s="869">
        <f t="shared" si="248"/>
        <v>0.36449057933102513</v>
      </c>
      <c r="I1736" s="869">
        <f t="shared" si="249"/>
        <v>0</v>
      </c>
      <c r="J1736" s="389">
        <f t="shared" si="250"/>
        <v>0</v>
      </c>
      <c r="L1736" s="721"/>
      <c r="M1736" s="581">
        <v>433</v>
      </c>
      <c r="N1736" s="877" t="s">
        <v>1738</v>
      </c>
      <c r="O1736" s="881" t="s">
        <v>4685</v>
      </c>
      <c r="P1736" s="871">
        <f t="shared" si="251"/>
        <v>0</v>
      </c>
      <c r="Q1736" s="871">
        <f t="shared" si="252"/>
        <v>433</v>
      </c>
      <c r="R1736" s="869">
        <f t="shared" si="253"/>
        <v>2</v>
      </c>
      <c r="S1736" s="869">
        <f>(1/9)*cnst_fish!$C$7*(1/cnst_fish!$C$8)^(R1736-1)</f>
        <v>1.4102564102564099</v>
      </c>
      <c r="T1736" s="682">
        <f t="shared" si="254"/>
        <v>52.370094399809126</v>
      </c>
      <c r="W1736" s="818"/>
      <c r="X1736" s="818"/>
      <c r="Y1736" s="819"/>
      <c r="Z1736" s="820"/>
      <c r="AA1736" s="820"/>
      <c r="AB1736" s="821"/>
      <c r="AC1736" s="821"/>
      <c r="AD1736" s="253"/>
      <c r="AE1736" s="253"/>
    </row>
    <row r="1737" spans="1:31" ht="12.75" customHeight="1">
      <c r="A1737" t="s">
        <v>5410</v>
      </c>
      <c r="B1737" t="s">
        <v>2676</v>
      </c>
      <c r="C1737">
        <v>3320</v>
      </c>
      <c r="D1737" s="581"/>
      <c r="E1737" s="581"/>
      <c r="F1737" s="2">
        <f>(1/S1737)*cnst_fish!$C$6</f>
        <v>3.0136363636363642E-2</v>
      </c>
      <c r="G1737" s="2">
        <f t="shared" si="248"/>
        <v>1</v>
      </c>
      <c r="H1737" s="2">
        <f t="shared" si="248"/>
        <v>0.36449057933102513</v>
      </c>
      <c r="I1737" s="2">
        <f t="shared" si="249"/>
        <v>0</v>
      </c>
      <c r="J1737" s="389">
        <f t="shared" si="250"/>
        <v>0</v>
      </c>
      <c r="L1737" s="721">
        <v>1001</v>
      </c>
      <c r="M1737" s="581"/>
      <c r="N1737" s="585" t="s">
        <v>1738</v>
      </c>
      <c r="O1737" s="586" t="s">
        <v>4681</v>
      </c>
      <c r="P1737" s="233">
        <f t="shared" si="251"/>
        <v>0</v>
      </c>
      <c r="Q1737" s="233">
        <f t="shared" si="252"/>
        <v>1001</v>
      </c>
      <c r="R1737" s="2">
        <f t="shared" si="253"/>
        <v>4</v>
      </c>
      <c r="S1737" s="2">
        <f>(1/9)*cnst_fish!$C$7*(1/cnst_fish!$C$8)^(R1737-1)</f>
        <v>141.02564102564099</v>
      </c>
      <c r="T1737" s="682">
        <f t="shared" si="254"/>
        <v>12106.804733073655</v>
      </c>
      <c r="W1737" s="818"/>
      <c r="X1737" s="818"/>
      <c r="Y1737" s="819"/>
      <c r="Z1737" s="820"/>
      <c r="AA1737" s="820"/>
      <c r="AB1737" s="821"/>
      <c r="AC1737" s="821"/>
      <c r="AD1737" s="253"/>
      <c r="AE1737" s="253"/>
    </row>
    <row r="1738" spans="1:31" ht="12.75" customHeight="1">
      <c r="A1738" t="s">
        <v>3155</v>
      </c>
      <c r="B1738" t="s">
        <v>189</v>
      </c>
      <c r="C1738">
        <v>2563</v>
      </c>
      <c r="D1738" s="581"/>
      <c r="E1738" s="581"/>
      <c r="F1738" s="2">
        <f>(1/S1738)*cnst_fish!$C$6</f>
        <v>3.304386563831508E-2</v>
      </c>
      <c r="G1738" s="2">
        <f t="shared" si="248"/>
        <v>1</v>
      </c>
      <c r="H1738" s="2">
        <f t="shared" si="248"/>
        <v>0.36449057933102513</v>
      </c>
      <c r="I1738" s="2">
        <f t="shared" si="249"/>
        <v>0</v>
      </c>
      <c r="J1738" s="389">
        <f t="shared" si="250"/>
        <v>0</v>
      </c>
      <c r="L1738" s="721">
        <v>5843.01</v>
      </c>
      <c r="M1738" s="581"/>
      <c r="N1738" s="585" t="s">
        <v>1738</v>
      </c>
      <c r="O1738" s="586" t="s">
        <v>4681</v>
      </c>
      <c r="P1738" s="233">
        <f t="shared" si="251"/>
        <v>0</v>
      </c>
      <c r="Q1738" s="233">
        <f t="shared" si="252"/>
        <v>5843.01</v>
      </c>
      <c r="R1738" s="2">
        <f t="shared" si="253"/>
        <v>3.96</v>
      </c>
      <c r="S1738" s="2">
        <f>(1/9)*cnst_fish!$C$7*(1/cnst_fish!$C$8)^(R1738-1)</f>
        <v>128.61691324250009</v>
      </c>
      <c r="T1738" s="682">
        <f t="shared" si="254"/>
        <v>64451.360601936176</v>
      </c>
      <c r="W1738" s="818"/>
      <c r="X1738" s="818"/>
      <c r="Y1738" s="819"/>
      <c r="Z1738" s="820"/>
      <c r="AA1738" s="820"/>
      <c r="AB1738" s="821"/>
      <c r="AC1738" s="821"/>
      <c r="AD1738" s="253"/>
      <c r="AE1738" s="253"/>
    </row>
    <row r="1739" spans="1:31" ht="12.75" customHeight="1">
      <c r="A1739" t="s">
        <v>1820</v>
      </c>
      <c r="B1739" t="s">
        <v>4879</v>
      </c>
      <c r="C1739">
        <v>3364</v>
      </c>
      <c r="D1739" s="581"/>
      <c r="E1739" s="581"/>
      <c r="F1739" s="2">
        <f>(1/S1739)*cnst_fish!$C$6</f>
        <v>2.6247675460949162E-2</v>
      </c>
      <c r="G1739" s="2">
        <f t="shared" si="248"/>
        <v>1</v>
      </c>
      <c r="H1739" s="2">
        <f t="shared" si="248"/>
        <v>0.36449057933102513</v>
      </c>
      <c r="I1739" s="2">
        <f t="shared" si="249"/>
        <v>0</v>
      </c>
      <c r="J1739" s="389">
        <f t="shared" si="250"/>
        <v>0</v>
      </c>
      <c r="L1739" s="721">
        <v>10</v>
      </c>
      <c r="M1739" s="581"/>
      <c r="N1739" s="585" t="s">
        <v>1741</v>
      </c>
      <c r="O1739" s="586" t="s">
        <v>4681</v>
      </c>
      <c r="P1739" s="233">
        <f t="shared" si="251"/>
        <v>0</v>
      </c>
      <c r="Q1739" s="233">
        <f t="shared" si="252"/>
        <v>10</v>
      </c>
      <c r="R1739" s="2">
        <f t="shared" si="253"/>
        <v>4.0599999999999996</v>
      </c>
      <c r="S1739" s="2">
        <f>(1/9)*cnst_fish!$C$7*(1/cnst_fish!$C$8)^(R1739-1)</f>
        <v>161.91910046750908</v>
      </c>
      <c r="T1739" s="682">
        <f t="shared" si="254"/>
        <v>138.86585113920199</v>
      </c>
      <c r="W1739" s="818"/>
      <c r="X1739" s="818"/>
      <c r="Y1739" s="819"/>
      <c r="Z1739" s="820"/>
      <c r="AA1739" s="820"/>
      <c r="AB1739" s="821"/>
      <c r="AC1739" s="821"/>
      <c r="AD1739" s="253"/>
      <c r="AE1739" s="253"/>
    </row>
    <row r="1740" spans="1:31" ht="12.75" customHeight="1">
      <c r="A1740" t="s">
        <v>4833</v>
      </c>
      <c r="B1740" t="s">
        <v>2270</v>
      </c>
      <c r="C1740">
        <v>3347</v>
      </c>
      <c r="D1740" s="581"/>
      <c r="E1740" s="581"/>
      <c r="F1740" s="2">
        <f>(1/S1740)*cnst_fish!$C$6</f>
        <v>2.5650205424007942E-2</v>
      </c>
      <c r="G1740" s="2">
        <f t="shared" si="248"/>
        <v>1</v>
      </c>
      <c r="H1740" s="2">
        <f t="shared" si="248"/>
        <v>0.36449057933102513</v>
      </c>
      <c r="I1740" s="2">
        <f t="shared" si="249"/>
        <v>0</v>
      </c>
      <c r="J1740" s="389">
        <f t="shared" si="250"/>
        <v>0</v>
      </c>
      <c r="L1740" s="721"/>
      <c r="M1740" s="581"/>
      <c r="N1740" s="585" t="s">
        <v>1738</v>
      </c>
      <c r="O1740" s="586" t="s">
        <v>4681</v>
      </c>
      <c r="P1740" s="233">
        <f t="shared" si="251"/>
        <v>0</v>
      </c>
      <c r="Q1740" s="233">
        <f t="shared" si="252"/>
        <v>0</v>
      </c>
      <c r="R1740" s="2">
        <f t="shared" si="253"/>
        <v>4.07</v>
      </c>
      <c r="S1740" s="2">
        <f>(1/9)*cnst_fish!$C$7*(1/cnst_fish!$C$8)^(R1740-1)</f>
        <v>165.6906808248057</v>
      </c>
      <c r="T1740" s="682">
        <f t="shared" si="254"/>
        <v>0</v>
      </c>
      <c r="W1740" s="818"/>
      <c r="X1740" s="818"/>
      <c r="Y1740" s="819"/>
      <c r="Z1740" s="820"/>
      <c r="AA1740" s="820"/>
      <c r="AB1740" s="821"/>
      <c r="AC1740" s="821"/>
      <c r="AD1740" s="253"/>
      <c r="AE1740" s="253"/>
    </row>
    <row r="1741" spans="1:31" ht="12.75" customHeight="1">
      <c r="A1741" t="s">
        <v>4910</v>
      </c>
      <c r="B1741" t="s">
        <v>2271</v>
      </c>
      <c r="C1741">
        <v>3346</v>
      </c>
      <c r="D1741" s="581"/>
      <c r="E1741" s="581"/>
      <c r="F1741" s="2">
        <f>(1/S1741)*cnst_fish!$C$6</f>
        <v>1.2276960190187586E-2</v>
      </c>
      <c r="G1741" s="2">
        <f t="shared" si="248"/>
        <v>1</v>
      </c>
      <c r="H1741" s="2">
        <f t="shared" si="248"/>
        <v>0.36449057933102513</v>
      </c>
      <c r="I1741" s="2">
        <f t="shared" si="249"/>
        <v>0</v>
      </c>
      <c r="J1741" s="389">
        <f t="shared" si="250"/>
        <v>0</v>
      </c>
      <c r="L1741" s="721">
        <v>22478</v>
      </c>
      <c r="M1741" s="581"/>
      <c r="N1741" s="585" t="s">
        <v>1738</v>
      </c>
      <c r="O1741" s="586" t="s">
        <v>4681</v>
      </c>
      <c r="P1741" s="233">
        <f t="shared" si="251"/>
        <v>0</v>
      </c>
      <c r="Q1741" s="233">
        <f t="shared" si="252"/>
        <v>22478</v>
      </c>
      <c r="R1741" s="2">
        <f t="shared" si="253"/>
        <v>4.3899999999999997</v>
      </c>
      <c r="S1741" s="2">
        <f>(1/9)*cnst_fish!$C$7*(1/cnst_fish!$C$8)^(R1741-1)</f>
        <v>346.17689836583742</v>
      </c>
      <c r="T1741" s="682">
        <f t="shared" si="254"/>
        <v>667349.17400409013</v>
      </c>
      <c r="W1741" s="818"/>
      <c r="X1741" s="818"/>
      <c r="Y1741" s="819"/>
      <c r="Z1741" s="820"/>
      <c r="AA1741" s="820"/>
      <c r="AB1741" s="821"/>
      <c r="AC1741" s="821"/>
      <c r="AD1741" s="253"/>
      <c r="AE1741" s="253"/>
    </row>
    <row r="1742" spans="1:31" ht="12.75" customHeight="1">
      <c r="A1742" t="s">
        <v>4721</v>
      </c>
      <c r="B1742" t="s">
        <v>4937</v>
      </c>
      <c r="C1742">
        <v>2316</v>
      </c>
      <c r="D1742" s="581"/>
      <c r="E1742" s="581"/>
      <c r="F1742" s="2">
        <f>(1/S1742)*cnst_fish!$C$6</f>
        <v>3.6231878188697476E-2</v>
      </c>
      <c r="G1742" s="2">
        <f t="shared" si="248"/>
        <v>1</v>
      </c>
      <c r="H1742" s="2">
        <f t="shared" si="248"/>
        <v>0.36449057933102513</v>
      </c>
      <c r="I1742" s="2">
        <f t="shared" si="249"/>
        <v>0</v>
      </c>
      <c r="J1742" s="389">
        <f t="shared" si="250"/>
        <v>0</v>
      </c>
      <c r="L1742" s="721">
        <v>3478</v>
      </c>
      <c r="M1742" s="581"/>
      <c r="N1742" s="585" t="s">
        <v>1738</v>
      </c>
      <c r="O1742" s="586" t="s">
        <v>4699</v>
      </c>
      <c r="P1742" s="233">
        <f t="shared" si="251"/>
        <v>0</v>
      </c>
      <c r="Q1742" s="233">
        <f t="shared" si="252"/>
        <v>3478</v>
      </c>
      <c r="R1742" s="2">
        <f t="shared" si="253"/>
        <v>3.92</v>
      </c>
      <c r="S1742" s="2">
        <f>(1/9)*cnst_fish!$C$7*(1/cnst_fish!$C$8)^(R1742-1)</f>
        <v>117.30001900165877</v>
      </c>
      <c r="T1742" s="682">
        <f t="shared" si="254"/>
        <v>34988.476951458826</v>
      </c>
      <c r="W1742" s="818"/>
      <c r="X1742" s="818"/>
      <c r="Y1742" s="819"/>
      <c r="Z1742" s="820"/>
      <c r="AA1742" s="820"/>
      <c r="AB1742" s="821"/>
      <c r="AC1742" s="821"/>
      <c r="AD1742" s="253"/>
      <c r="AE1742" s="253"/>
    </row>
    <row r="1743" spans="1:31" ht="12.75" customHeight="1">
      <c r="A1743" t="s">
        <v>4790</v>
      </c>
      <c r="B1743" t="s">
        <v>4791</v>
      </c>
      <c r="C1743">
        <v>14647</v>
      </c>
      <c r="D1743" s="581"/>
      <c r="E1743" s="581"/>
      <c r="F1743" s="2">
        <f>(1/S1743)*cnst_fish!$C$6</f>
        <v>1.8581931192461935E-2</v>
      </c>
      <c r="G1743" s="2">
        <f t="shared" si="248"/>
        <v>1</v>
      </c>
      <c r="H1743" s="2">
        <f t="shared" si="248"/>
        <v>0.36449057933102513</v>
      </c>
      <c r="I1743" s="2">
        <f t="shared" si="249"/>
        <v>0</v>
      </c>
      <c r="J1743" s="389">
        <f t="shared" si="250"/>
        <v>0</v>
      </c>
      <c r="L1743" s="721"/>
      <c r="M1743" s="581"/>
      <c r="N1743" s="585" t="s">
        <v>3785</v>
      </c>
      <c r="O1743" s="586" t="s">
        <v>4681</v>
      </c>
      <c r="P1743" s="233">
        <f t="shared" si="251"/>
        <v>0</v>
      </c>
      <c r="Q1743" s="233">
        <f t="shared" si="252"/>
        <v>0</v>
      </c>
      <c r="R1743" s="2">
        <f t="shared" si="253"/>
        <v>4.21</v>
      </c>
      <c r="S1743" s="2">
        <f>(1/9)*cnst_fish!$C$7*(1/cnst_fish!$C$8)^(R1743-1)</f>
        <v>228.71680860190045</v>
      </c>
      <c r="T1743" s="682">
        <f t="shared" si="254"/>
        <v>0</v>
      </c>
      <c r="W1743" s="818"/>
      <c r="X1743" s="818"/>
      <c r="Y1743" s="819"/>
      <c r="Z1743" s="820"/>
      <c r="AA1743" s="820"/>
      <c r="AB1743" s="821"/>
      <c r="AC1743" s="821"/>
      <c r="AD1743" s="253"/>
      <c r="AE1743" s="253"/>
    </row>
    <row r="1744" spans="1:31" ht="12.75" customHeight="1">
      <c r="A1744" t="s">
        <v>4444</v>
      </c>
      <c r="B1744" t="s">
        <v>5465</v>
      </c>
      <c r="C1744">
        <v>3536</v>
      </c>
      <c r="D1744" s="581"/>
      <c r="E1744" s="581"/>
      <c r="F1744" s="2">
        <f>(1/S1744)*cnst_fish!$C$6</f>
        <v>2.3938164528281742</v>
      </c>
      <c r="G1744" s="2">
        <f t="shared" si="248"/>
        <v>1</v>
      </c>
      <c r="H1744" s="2">
        <f t="shared" si="248"/>
        <v>0.36449057933102513</v>
      </c>
      <c r="I1744" s="2">
        <f t="shared" si="249"/>
        <v>0</v>
      </c>
      <c r="J1744" s="389">
        <f t="shared" si="250"/>
        <v>0</v>
      </c>
      <c r="L1744" s="721">
        <v>441</v>
      </c>
      <c r="M1744" s="581"/>
      <c r="N1744" s="585" t="s">
        <v>1736</v>
      </c>
      <c r="O1744" s="586" t="s">
        <v>4691</v>
      </c>
      <c r="P1744" s="233">
        <f t="shared" si="251"/>
        <v>0</v>
      </c>
      <c r="Q1744" s="233">
        <f t="shared" si="252"/>
        <v>441</v>
      </c>
      <c r="R1744" s="2">
        <f t="shared" si="253"/>
        <v>2.1</v>
      </c>
      <c r="S1744" s="2">
        <f>(1/9)*cnst_fish!$C$7*(1/cnst_fish!$C$8)^(R1744-1)</f>
        <v>1.7754076320174161</v>
      </c>
      <c r="T1744" s="682">
        <f t="shared" si="254"/>
        <v>67.148149681683165</v>
      </c>
      <c r="W1744" s="818"/>
      <c r="X1744" s="818"/>
      <c r="Y1744" s="819"/>
      <c r="Z1744" s="820"/>
      <c r="AA1744" s="820"/>
      <c r="AB1744" s="821"/>
      <c r="AC1744" s="821"/>
      <c r="AD1744" s="253"/>
      <c r="AE1744" s="253"/>
    </row>
    <row r="1745" spans="1:31" ht="12.75" customHeight="1">
      <c r="A1745" t="s">
        <v>1394</v>
      </c>
      <c r="B1745" t="s">
        <v>2677</v>
      </c>
      <c r="C1745">
        <v>3246</v>
      </c>
      <c r="D1745" s="581"/>
      <c r="E1745" s="581"/>
      <c r="F1745" s="2">
        <f>(1/S1745)*cnst_fish!$C$6</f>
        <v>0.1409583630333692</v>
      </c>
      <c r="G1745" s="2">
        <f t="shared" si="248"/>
        <v>1</v>
      </c>
      <c r="H1745" s="2">
        <f t="shared" si="248"/>
        <v>0.36449057933102513</v>
      </c>
      <c r="I1745" s="2">
        <f t="shared" si="249"/>
        <v>0</v>
      </c>
      <c r="J1745" s="389">
        <f t="shared" si="250"/>
        <v>0</v>
      </c>
      <c r="L1745" s="721">
        <v>2.64</v>
      </c>
      <c r="M1745" s="581"/>
      <c r="N1745" s="585" t="s">
        <v>1738</v>
      </c>
      <c r="O1745" s="586" t="s">
        <v>4681</v>
      </c>
      <c r="P1745" s="233">
        <f t="shared" si="251"/>
        <v>0</v>
      </c>
      <c r="Q1745" s="233">
        <f t="shared" si="252"/>
        <v>2.64</v>
      </c>
      <c r="R1745" s="2">
        <f t="shared" si="253"/>
        <v>3.33</v>
      </c>
      <c r="S1745" s="2">
        <f>(1/9)*cnst_fish!$C$7*(1/cnst_fish!$C$8)^(R1745-1)</f>
        <v>30.15074741605714</v>
      </c>
      <c r="T1745" s="682">
        <f t="shared" si="254"/>
        <v>6.8265203193804895</v>
      </c>
      <c r="W1745" s="818"/>
      <c r="X1745" s="818"/>
      <c r="Y1745" s="819"/>
      <c r="Z1745" s="820"/>
      <c r="AA1745" s="820"/>
      <c r="AB1745" s="821"/>
      <c r="AC1745" s="821"/>
      <c r="AD1745" s="253"/>
      <c r="AE1745" s="253"/>
    </row>
    <row r="1746" spans="1:31" ht="12.75" customHeight="1">
      <c r="A1746" t="s">
        <v>6584</v>
      </c>
      <c r="B1746" t="s">
        <v>6583</v>
      </c>
      <c r="C1746">
        <v>14657</v>
      </c>
      <c r="D1746" s="581"/>
      <c r="E1746" s="581"/>
      <c r="F1746" s="2">
        <f>(1/S1746)*cnst_fish!$C$6</f>
        <v>3.0136363636363641</v>
      </c>
      <c r="G1746" s="2">
        <f t="shared" si="248"/>
        <v>1</v>
      </c>
      <c r="H1746" s="2">
        <f t="shared" si="248"/>
        <v>0.36449057933102513</v>
      </c>
      <c r="I1746" s="2">
        <f t="shared" si="249"/>
        <v>0</v>
      </c>
      <c r="J1746" s="389">
        <f t="shared" si="250"/>
        <v>0</v>
      </c>
      <c r="L1746" s="721"/>
      <c r="M1746" s="581">
        <v>57</v>
      </c>
      <c r="N1746" s="585" t="s">
        <v>1738</v>
      </c>
      <c r="O1746" s="586" t="s">
        <v>4685</v>
      </c>
      <c r="P1746" s="233">
        <f t="shared" si="251"/>
        <v>0</v>
      </c>
      <c r="Q1746" s="233">
        <f t="shared" si="252"/>
        <v>57</v>
      </c>
      <c r="R1746" s="2">
        <f t="shared" si="253"/>
        <v>2</v>
      </c>
      <c r="S1746" s="2">
        <f>(1/9)*cnst_fish!$C$7*(1/cnst_fish!$C$8)^(R1746-1)</f>
        <v>1.4102564102564099</v>
      </c>
      <c r="T1746" s="682">
        <f t="shared" si="254"/>
        <v>6.8939847131388454</v>
      </c>
      <c r="W1746" s="818"/>
      <c r="X1746" s="818"/>
      <c r="Y1746" s="819"/>
      <c r="Z1746" s="820"/>
      <c r="AA1746" s="820"/>
      <c r="AB1746" s="821"/>
      <c r="AC1746" s="821"/>
      <c r="AD1746" s="253"/>
      <c r="AE1746" s="253"/>
    </row>
    <row r="1747" spans="1:31" ht="12.75" customHeight="1">
      <c r="A1747" t="s">
        <v>700</v>
      </c>
      <c r="B1747" t="s">
        <v>3482</v>
      </c>
      <c r="C1747">
        <v>3046</v>
      </c>
      <c r="D1747" s="581"/>
      <c r="E1747" s="581"/>
      <c r="F1747" s="2">
        <f>(1/S1747)*cnst_fish!$C$6</f>
        <v>7.3976000504507963E-2</v>
      </c>
      <c r="G1747" s="2">
        <f t="shared" si="248"/>
        <v>1</v>
      </c>
      <c r="H1747" s="2">
        <f t="shared" si="248"/>
        <v>0.36449057933102513</v>
      </c>
      <c r="I1747" s="2">
        <f t="shared" si="249"/>
        <v>0</v>
      </c>
      <c r="J1747" s="389">
        <f t="shared" si="250"/>
        <v>0</v>
      </c>
      <c r="L1747" s="721">
        <v>49</v>
      </c>
      <c r="M1747" s="581"/>
      <c r="N1747" s="585" t="s">
        <v>1738</v>
      </c>
      <c r="O1747" s="586" t="s">
        <v>4681</v>
      </c>
      <c r="P1747" s="233">
        <f t="shared" si="251"/>
        <v>0</v>
      </c>
      <c r="Q1747" s="233">
        <f t="shared" si="252"/>
        <v>49</v>
      </c>
      <c r="R1747" s="2">
        <f t="shared" si="253"/>
        <v>3.61</v>
      </c>
      <c r="S1747" s="2">
        <f>(1/9)*cnst_fish!$C$7*(1/cnst_fish!$C$8)^(R1747-1)</f>
        <v>57.451064818528707</v>
      </c>
      <c r="T1747" s="682">
        <f t="shared" si="254"/>
        <v>241.4301701283766</v>
      </c>
      <c r="W1747" s="818"/>
      <c r="X1747" s="818"/>
      <c r="Y1747" s="819"/>
      <c r="Z1747" s="820"/>
      <c r="AA1747" s="820"/>
      <c r="AB1747" s="821"/>
      <c r="AC1747" s="821"/>
      <c r="AD1747" s="253"/>
      <c r="AE1747" s="253"/>
    </row>
    <row r="1748" spans="1:31" ht="12.75" customHeight="1">
      <c r="A1748" t="s">
        <v>506</v>
      </c>
      <c r="B1748" t="s">
        <v>3483</v>
      </c>
      <c r="C1748">
        <v>2407</v>
      </c>
      <c r="D1748" s="581"/>
      <c r="E1748" s="581"/>
      <c r="F1748" s="2">
        <f>(1/S1748)*cnst_fish!$C$6</f>
        <v>9.5299549485983348E-2</v>
      </c>
      <c r="G1748" s="2">
        <f t="shared" ref="G1748:H1767" si="255">G$7</f>
        <v>1</v>
      </c>
      <c r="H1748" s="2">
        <f t="shared" si="255"/>
        <v>0.36449057933102513</v>
      </c>
      <c r="I1748" s="2">
        <f t="shared" si="249"/>
        <v>0</v>
      </c>
      <c r="J1748" s="389">
        <f t="shared" si="250"/>
        <v>0</v>
      </c>
      <c r="L1748" s="721">
        <v>32</v>
      </c>
      <c r="M1748" s="581"/>
      <c r="N1748" s="585" t="s">
        <v>1738</v>
      </c>
      <c r="O1748" s="586" t="s">
        <v>4681</v>
      </c>
      <c r="P1748" s="233">
        <f t="shared" si="251"/>
        <v>0</v>
      </c>
      <c r="Q1748" s="233">
        <f t="shared" si="252"/>
        <v>32</v>
      </c>
      <c r="R1748" s="2">
        <f t="shared" si="253"/>
        <v>3.5</v>
      </c>
      <c r="S1748" s="2">
        <f>(1/9)*cnst_fish!$C$7*(1/cnst_fish!$C$8)^(R1748-1)</f>
        <v>44.596223412631026</v>
      </c>
      <c r="T1748" s="682">
        <f t="shared" si="254"/>
        <v>122.38986019874417</v>
      </c>
      <c r="W1748" s="822"/>
      <c r="X1748" s="822"/>
      <c r="Y1748" s="819"/>
      <c r="Z1748" s="820"/>
      <c r="AA1748" s="820"/>
      <c r="AB1748" s="821"/>
      <c r="AC1748" s="821"/>
      <c r="AD1748" s="253"/>
      <c r="AE1748" s="253"/>
    </row>
    <row r="1749" spans="1:31" ht="12.75" customHeight="1">
      <c r="A1749" t="s">
        <v>6642</v>
      </c>
      <c r="B1749" t="s">
        <v>6641</v>
      </c>
      <c r="C1749">
        <v>19049</v>
      </c>
      <c r="D1749" s="581"/>
      <c r="E1749" s="581"/>
      <c r="F1749" s="2">
        <f>(1/S1749)*cnst_fish!$C$6</f>
        <v>0.11997502458044032</v>
      </c>
      <c r="G1749" s="2">
        <f t="shared" si="255"/>
        <v>1</v>
      </c>
      <c r="H1749" s="2">
        <f t="shared" si="255"/>
        <v>0.36449057933102513</v>
      </c>
      <c r="I1749" s="2">
        <f t="shared" si="249"/>
        <v>0</v>
      </c>
      <c r="J1749" s="389">
        <f t="shared" si="250"/>
        <v>0</v>
      </c>
      <c r="L1749" s="721">
        <v>0</v>
      </c>
      <c r="M1749" s="581"/>
      <c r="N1749" s="585" t="s">
        <v>1738</v>
      </c>
      <c r="O1749" s="586" t="s">
        <v>4681</v>
      </c>
      <c r="P1749" s="233">
        <f t="shared" si="251"/>
        <v>0</v>
      </c>
      <c r="Q1749" s="233">
        <f t="shared" si="252"/>
        <v>0</v>
      </c>
      <c r="R1749" s="2">
        <f t="shared" si="253"/>
        <v>3.4</v>
      </c>
      <c r="S1749" s="2">
        <f>(1/9)*cnst_fish!$C$7*(1/cnst_fish!$C$8)^(R1749-1)</f>
        <v>35.424039418724846</v>
      </c>
      <c r="T1749" s="682">
        <f t="shared" si="254"/>
        <v>0</v>
      </c>
      <c r="W1749" s="818"/>
      <c r="X1749" s="818"/>
      <c r="Y1749" s="819"/>
      <c r="Z1749" s="820"/>
      <c r="AA1749" s="820"/>
      <c r="AB1749" s="821"/>
      <c r="AC1749" s="821"/>
      <c r="AD1749" s="253"/>
      <c r="AE1749" s="253"/>
    </row>
    <row r="1750" spans="1:31" ht="12.75" customHeight="1">
      <c r="A1750" t="s">
        <v>5381</v>
      </c>
      <c r="B1750" t="s">
        <v>3750</v>
      </c>
      <c r="C1750">
        <v>18733</v>
      </c>
      <c r="D1750" s="581"/>
      <c r="E1750" s="581"/>
      <c r="F1750" s="2">
        <f>(1/S1750)*cnst_fish!$C$6</f>
        <v>3.9727464439222634E-2</v>
      </c>
      <c r="G1750" s="2">
        <f t="shared" si="255"/>
        <v>1</v>
      </c>
      <c r="H1750" s="2">
        <f t="shared" si="255"/>
        <v>0.36449057933102513</v>
      </c>
      <c r="I1750" s="2">
        <f t="shared" si="249"/>
        <v>0</v>
      </c>
      <c r="J1750" s="389">
        <f t="shared" si="250"/>
        <v>0</v>
      </c>
      <c r="L1750" s="721">
        <v>1162</v>
      </c>
      <c r="M1750" s="581"/>
      <c r="N1750" s="585" t="s">
        <v>1738</v>
      </c>
      <c r="O1750" s="586" t="s">
        <v>4681</v>
      </c>
      <c r="P1750" s="233">
        <f t="shared" si="251"/>
        <v>0</v>
      </c>
      <c r="Q1750" s="233">
        <f t="shared" si="252"/>
        <v>1162</v>
      </c>
      <c r="R1750" s="2">
        <f t="shared" si="253"/>
        <v>3.88</v>
      </c>
      <c r="S1750" s="2">
        <f>(1/9)*cnst_fish!$C$7*(1/cnst_fish!$C$8)^(R1750-1)</f>
        <v>106.97888878616692</v>
      </c>
      <c r="T1750" s="682">
        <f t="shared" si="254"/>
        <v>10661.08947956153</v>
      </c>
      <c r="W1750" s="818"/>
      <c r="X1750" s="818"/>
      <c r="Y1750" s="819"/>
      <c r="Z1750" s="820"/>
      <c r="AA1750" s="820"/>
      <c r="AB1750" s="821"/>
      <c r="AC1750" s="821"/>
      <c r="AD1750" s="253"/>
      <c r="AE1750" s="253"/>
    </row>
    <row r="1751" spans="1:31" ht="12.75" customHeight="1">
      <c r="A1751" t="s">
        <v>4855</v>
      </c>
      <c r="B1751" t="s">
        <v>919</v>
      </c>
      <c r="C1751">
        <v>2231</v>
      </c>
      <c r="D1751" s="581"/>
      <c r="E1751" s="581"/>
      <c r="F1751" s="2">
        <f>(1/S1751)*cnst_fish!$C$6</f>
        <v>9.5299549485983424E-3</v>
      </c>
      <c r="G1751" s="2">
        <f t="shared" si="255"/>
        <v>1</v>
      </c>
      <c r="H1751" s="2">
        <f t="shared" si="255"/>
        <v>0.36449057933102513</v>
      </c>
      <c r="I1751" s="2">
        <f t="shared" si="249"/>
        <v>0</v>
      </c>
      <c r="J1751" s="389">
        <f t="shared" si="250"/>
        <v>0</v>
      </c>
      <c r="L1751" s="721">
        <v>2984</v>
      </c>
      <c r="M1751" s="581"/>
      <c r="N1751" s="585" t="s">
        <v>1738</v>
      </c>
      <c r="O1751" s="586" t="s">
        <v>4681</v>
      </c>
      <c r="P1751" s="233">
        <f t="shared" si="251"/>
        <v>0</v>
      </c>
      <c r="Q1751" s="233">
        <f t="shared" si="252"/>
        <v>2984</v>
      </c>
      <c r="R1751" s="2">
        <f t="shared" si="253"/>
        <v>4.5</v>
      </c>
      <c r="S1751" s="2">
        <f>(1/9)*cnst_fish!$C$7*(1/cnst_fish!$C$8)^(R1751-1)</f>
        <v>445.96223412630997</v>
      </c>
      <c r="T1751" s="682">
        <f t="shared" si="254"/>
        <v>114128.54463532884</v>
      </c>
      <c r="W1751" s="818"/>
      <c r="X1751" s="818"/>
      <c r="Y1751" s="819"/>
      <c r="Z1751" s="820"/>
      <c r="AA1751" s="820"/>
      <c r="AB1751" s="821"/>
      <c r="AC1751" s="821"/>
      <c r="AD1751" s="253"/>
      <c r="AE1751" s="253"/>
    </row>
    <row r="1752" spans="1:31" ht="12.75" customHeight="1">
      <c r="A1752" t="s">
        <v>6682</v>
      </c>
      <c r="B1752" t="s">
        <v>6681</v>
      </c>
      <c r="C1752">
        <v>14682</v>
      </c>
      <c r="D1752" s="581"/>
      <c r="E1752" s="581"/>
      <c r="F1752" s="2">
        <f>(1/S1752)*cnst_fish!$C$6</f>
        <v>9.5299549485983424E-3</v>
      </c>
      <c r="G1752" s="2">
        <f t="shared" si="255"/>
        <v>1</v>
      </c>
      <c r="H1752" s="2">
        <f t="shared" si="255"/>
        <v>0.36449057933102513</v>
      </c>
      <c r="I1752" s="2">
        <f t="shared" si="249"/>
        <v>0</v>
      </c>
      <c r="J1752" s="389">
        <f t="shared" si="250"/>
        <v>0</v>
      </c>
      <c r="L1752" s="721"/>
      <c r="M1752" s="581">
        <v>2172.1799999999998</v>
      </c>
      <c r="N1752" s="585" t="s">
        <v>1738</v>
      </c>
      <c r="O1752" s="586" t="s">
        <v>4685</v>
      </c>
      <c r="P1752" s="233">
        <f t="shared" si="251"/>
        <v>0</v>
      </c>
      <c r="Q1752" s="233">
        <f t="shared" si="252"/>
        <v>2172.1799999999998</v>
      </c>
      <c r="R1752" s="2">
        <f t="shared" si="253"/>
        <v>4.5</v>
      </c>
      <c r="S1752" s="2">
        <f>(1/9)*cnst_fish!$C$7*(1/cnst_fish!$C$8)^(R1752-1)</f>
        <v>445.96223412630997</v>
      </c>
      <c r="T1752" s="682">
        <f t="shared" si="254"/>
        <v>83079.00203953372</v>
      </c>
      <c r="W1752" s="818"/>
      <c r="X1752" s="818"/>
      <c r="Y1752" s="819"/>
      <c r="Z1752" s="820"/>
      <c r="AA1752" s="820"/>
      <c r="AB1752" s="821"/>
      <c r="AC1752" s="821"/>
      <c r="AD1752" s="253"/>
      <c r="AE1752" s="253"/>
    </row>
    <row r="1753" spans="1:31" ht="12.75" customHeight="1">
      <c r="A1753" t="s">
        <v>4966</v>
      </c>
      <c r="B1753" t="s">
        <v>6243</v>
      </c>
      <c r="C1753">
        <v>2202</v>
      </c>
      <c r="D1753" s="581"/>
      <c r="E1753" s="581"/>
      <c r="F1753" s="2">
        <f>(1/S1753)*cnst_fish!$C$6</f>
        <v>1.1997502458044018E-2</v>
      </c>
      <c r="G1753" s="2">
        <f t="shared" si="255"/>
        <v>1</v>
      </c>
      <c r="H1753" s="2">
        <f t="shared" si="255"/>
        <v>0.36449057933102513</v>
      </c>
      <c r="I1753" s="2">
        <f t="shared" si="249"/>
        <v>0</v>
      </c>
      <c r="J1753" s="389">
        <f t="shared" si="250"/>
        <v>0</v>
      </c>
      <c r="L1753" s="721"/>
      <c r="M1753" s="581">
        <v>2019.8600000000001</v>
      </c>
      <c r="N1753" s="585" t="s">
        <v>1738</v>
      </c>
      <c r="O1753" s="586" t="s">
        <v>4685</v>
      </c>
      <c r="P1753" s="233">
        <f t="shared" si="251"/>
        <v>0</v>
      </c>
      <c r="Q1753" s="233">
        <f t="shared" si="252"/>
        <v>2019.8600000000001</v>
      </c>
      <c r="R1753" s="2">
        <f t="shared" si="253"/>
        <v>4.4000000000000004</v>
      </c>
      <c r="S1753" s="2">
        <f>(1/9)*cnst_fish!$C$7*(1/cnst_fish!$C$8)^(R1753-1)</f>
        <v>354.24039418724885</v>
      </c>
      <c r="T1753" s="682">
        <f t="shared" si="254"/>
        <v>61364.433484566442</v>
      </c>
      <c r="W1753" s="818"/>
      <c r="X1753" s="818"/>
      <c r="Y1753" s="819"/>
      <c r="Z1753" s="820"/>
      <c r="AA1753" s="820"/>
      <c r="AB1753" s="821"/>
      <c r="AC1753" s="821"/>
      <c r="AD1753" s="253"/>
      <c r="AE1753" s="253"/>
    </row>
    <row r="1754" spans="1:31" ht="12.75" customHeight="1">
      <c r="A1754" t="s">
        <v>6655</v>
      </c>
      <c r="B1754" t="s">
        <v>6654</v>
      </c>
      <c r="C1754">
        <v>6614</v>
      </c>
      <c r="D1754" s="581"/>
      <c r="E1754" s="581"/>
      <c r="F1754" s="2">
        <f>(1/S1754)*cnst_fish!$C$6</f>
        <v>3.0136363636363641</v>
      </c>
      <c r="G1754" s="2">
        <f t="shared" si="255"/>
        <v>1</v>
      </c>
      <c r="H1754" s="2">
        <f t="shared" si="255"/>
        <v>0.36449057933102513</v>
      </c>
      <c r="I1754" s="2">
        <f t="shared" si="249"/>
        <v>0</v>
      </c>
      <c r="J1754" s="389">
        <f t="shared" si="250"/>
        <v>0</v>
      </c>
      <c r="L1754" s="721"/>
      <c r="M1754" s="581">
        <v>8210</v>
      </c>
      <c r="N1754" s="585" t="s">
        <v>1738</v>
      </c>
      <c r="O1754" s="586" t="s">
        <v>4685</v>
      </c>
      <c r="P1754" s="233">
        <f t="shared" si="251"/>
        <v>0</v>
      </c>
      <c r="Q1754" s="233">
        <f t="shared" si="252"/>
        <v>8210</v>
      </c>
      <c r="R1754" s="2">
        <f t="shared" si="253"/>
        <v>2</v>
      </c>
      <c r="S1754" s="2">
        <f>(1/9)*cnst_fish!$C$7*(1/cnst_fish!$C$8)^(R1754-1)</f>
        <v>1.4102564102564099</v>
      </c>
      <c r="T1754" s="682">
        <f t="shared" si="254"/>
        <v>992.97569289245473</v>
      </c>
      <c r="W1754" s="818"/>
      <c r="X1754" s="818"/>
      <c r="Y1754" s="819"/>
      <c r="Z1754" s="820"/>
      <c r="AA1754" s="820"/>
      <c r="AB1754" s="821"/>
      <c r="AC1754" s="821"/>
      <c r="AD1754" s="253"/>
      <c r="AE1754" s="253"/>
    </row>
    <row r="1755" spans="1:31" ht="12.75" customHeight="1">
      <c r="A1755" t="s">
        <v>8893</v>
      </c>
      <c r="B1755" t="s">
        <v>8894</v>
      </c>
      <c r="C1755">
        <v>14683</v>
      </c>
      <c r="D1755" s="581"/>
      <c r="E1755" s="581"/>
      <c r="F1755" s="2">
        <f>(1/S1755)*cnst_fish!$C$6</f>
        <v>9.5299549485983424E-3</v>
      </c>
      <c r="G1755" s="2">
        <f t="shared" si="255"/>
        <v>1</v>
      </c>
      <c r="H1755" s="2">
        <f t="shared" si="255"/>
        <v>0.36449057933102513</v>
      </c>
      <c r="I1755" s="2">
        <f t="shared" si="249"/>
        <v>0</v>
      </c>
      <c r="J1755" s="389">
        <f t="shared" si="250"/>
        <v>0</v>
      </c>
      <c r="L1755" s="721"/>
      <c r="M1755" s="581">
        <v>1205</v>
      </c>
      <c r="N1755" s="585" t="s">
        <v>4282</v>
      </c>
      <c r="O1755" s="586" t="s">
        <v>4685</v>
      </c>
      <c r="P1755" s="233">
        <f t="shared" si="251"/>
        <v>0</v>
      </c>
      <c r="Q1755" s="233">
        <f t="shared" si="252"/>
        <v>1205</v>
      </c>
      <c r="R1755" s="2">
        <f t="shared" si="253"/>
        <v>4.5</v>
      </c>
      <c r="S1755" s="2">
        <f>(1/9)*cnst_fish!$C$7*(1/cnst_fish!$C$8)^(R1755-1)</f>
        <v>445.96223412630997</v>
      </c>
      <c r="T1755" s="682">
        <f t="shared" si="254"/>
        <v>46087.431731089571</v>
      </c>
      <c r="W1755" s="818"/>
      <c r="X1755" s="818"/>
      <c r="Y1755" s="819"/>
      <c r="Z1755" s="820"/>
      <c r="AA1755" s="820"/>
      <c r="AB1755" s="821"/>
      <c r="AC1755" s="821"/>
      <c r="AD1755" s="253"/>
      <c r="AE1755" s="253"/>
    </row>
    <row r="1756" spans="1:31" ht="12.75" customHeight="1">
      <c r="A1756" t="s">
        <v>901</v>
      </c>
      <c r="B1756" t="s">
        <v>2272</v>
      </c>
      <c r="C1756">
        <v>2551</v>
      </c>
      <c r="D1756" s="581"/>
      <c r="E1756" s="581"/>
      <c r="F1756" s="2">
        <f>(1/S1756)*cnst_fish!$C$6</f>
        <v>0.44574948243432794</v>
      </c>
      <c r="G1756" s="2">
        <f t="shared" si="255"/>
        <v>1</v>
      </c>
      <c r="H1756" s="2">
        <f t="shared" si="255"/>
        <v>0.36449057933102513</v>
      </c>
      <c r="I1756" s="2">
        <f t="shared" si="249"/>
        <v>0</v>
      </c>
      <c r="J1756" s="389">
        <f t="shared" si="250"/>
        <v>0</v>
      </c>
      <c r="L1756" s="721">
        <v>896</v>
      </c>
      <c r="M1756" s="581"/>
      <c r="N1756" s="585" t="s">
        <v>1739</v>
      </c>
      <c r="O1756" s="586" t="s">
        <v>4681</v>
      </c>
      <c r="P1756" s="233">
        <f t="shared" si="251"/>
        <v>0</v>
      </c>
      <c r="Q1756" s="233">
        <f t="shared" si="252"/>
        <v>896</v>
      </c>
      <c r="R1756" s="2">
        <f t="shared" si="253"/>
        <v>2.83</v>
      </c>
      <c r="S1756" s="2">
        <f>(1/9)*cnst_fish!$C$7*(1/cnst_fish!$C$8)^(R1756-1)</f>
        <v>9.534503499117692</v>
      </c>
      <c r="T1756" s="682">
        <f t="shared" si="254"/>
        <v>732.66166748430032</v>
      </c>
      <c r="W1756" s="818"/>
      <c r="X1756" s="818"/>
      <c r="Y1756" s="819"/>
      <c r="Z1756" s="820"/>
      <c r="AA1756" s="820"/>
      <c r="AB1756" s="821"/>
      <c r="AC1756" s="821"/>
      <c r="AD1756" s="253"/>
      <c r="AE1756" s="253"/>
    </row>
    <row r="1757" spans="1:31" ht="12.75" customHeight="1">
      <c r="A1757" t="s">
        <v>5539</v>
      </c>
      <c r="B1757" t="s">
        <v>1343</v>
      </c>
      <c r="C1757">
        <v>3365</v>
      </c>
      <c r="D1757" s="581"/>
      <c r="E1757" s="581"/>
      <c r="F1757" s="2">
        <f>(1/S1757)*cnst_fish!$C$6</f>
        <v>0.2133491159303107</v>
      </c>
      <c r="G1757" s="2">
        <f t="shared" si="255"/>
        <v>1</v>
      </c>
      <c r="H1757" s="2">
        <f t="shared" si="255"/>
        <v>0.36449057933102513</v>
      </c>
      <c r="I1757" s="2">
        <f t="shared" si="249"/>
        <v>0</v>
      </c>
      <c r="J1757" s="389">
        <f t="shared" si="250"/>
        <v>0</v>
      </c>
      <c r="L1757" s="721">
        <v>15301</v>
      </c>
      <c r="M1757" s="581"/>
      <c r="N1757" s="585" t="s">
        <v>1739</v>
      </c>
      <c r="O1757" s="586" t="s">
        <v>4681</v>
      </c>
      <c r="P1757" s="233">
        <f t="shared" si="251"/>
        <v>0</v>
      </c>
      <c r="Q1757" s="233">
        <f t="shared" si="252"/>
        <v>15301</v>
      </c>
      <c r="R1757" s="2">
        <f t="shared" si="253"/>
        <v>3.15</v>
      </c>
      <c r="S1757" s="2">
        <f>(1/9)*cnst_fish!$C$7*(1/cnst_fish!$C$8)^(R1757-1)</f>
        <v>19.920401270320887</v>
      </c>
      <c r="T1757" s="682">
        <f t="shared" si="254"/>
        <v>26140.58338149259</v>
      </c>
      <c r="W1757" s="818"/>
      <c r="X1757" s="818"/>
      <c r="Y1757" s="819"/>
      <c r="Z1757" s="820"/>
      <c r="AA1757" s="820"/>
      <c r="AB1757" s="821"/>
      <c r="AC1757" s="821"/>
      <c r="AD1757" s="253"/>
      <c r="AE1757" s="253"/>
    </row>
    <row r="1758" spans="1:31" ht="12.75" customHeight="1">
      <c r="A1758" t="s">
        <v>6620</v>
      </c>
      <c r="B1758" t="s">
        <v>6619</v>
      </c>
      <c r="C1758">
        <v>19410</v>
      </c>
      <c r="D1758" s="581"/>
      <c r="E1758" s="581"/>
      <c r="F1758" s="2">
        <f>(1/S1758)*cnst_fish!$C$6</f>
        <v>3.0136363636363641</v>
      </c>
      <c r="G1758" s="2">
        <f t="shared" si="255"/>
        <v>1</v>
      </c>
      <c r="H1758" s="2">
        <f t="shared" si="255"/>
        <v>0.36449057933102513</v>
      </c>
      <c r="I1758" s="2">
        <f t="shared" si="249"/>
        <v>0</v>
      </c>
      <c r="J1758" s="389">
        <f t="shared" si="250"/>
        <v>0</v>
      </c>
      <c r="L1758" s="721">
        <v>0</v>
      </c>
      <c r="M1758" s="581"/>
      <c r="N1758" s="585" t="s">
        <v>5196</v>
      </c>
      <c r="O1758" s="586"/>
      <c r="P1758" s="233">
        <f t="shared" si="251"/>
        <v>0</v>
      </c>
      <c r="Q1758" s="233">
        <f t="shared" si="252"/>
        <v>0</v>
      </c>
      <c r="R1758" s="2">
        <f t="shared" si="253"/>
        <v>2</v>
      </c>
      <c r="S1758" s="2">
        <f>(1/9)*cnst_fish!$C$7*(1/cnst_fish!$C$8)^(R1758-1)</f>
        <v>1.4102564102564099</v>
      </c>
      <c r="T1758" s="682">
        <f t="shared" si="254"/>
        <v>0</v>
      </c>
      <c r="W1758" s="818"/>
      <c r="X1758" s="818"/>
      <c r="Y1758" s="819"/>
      <c r="Z1758" s="820"/>
      <c r="AA1758" s="820"/>
      <c r="AB1758" s="821"/>
      <c r="AC1758" s="821"/>
      <c r="AD1758" s="253"/>
      <c r="AE1758" s="253"/>
    </row>
    <row r="1759" spans="1:31" ht="12.75" customHeight="1">
      <c r="A1759" t="s">
        <v>4481</v>
      </c>
      <c r="B1759" t="s">
        <v>3751</v>
      </c>
      <c r="C1759">
        <v>2365</v>
      </c>
      <c r="D1759" s="581"/>
      <c r="E1759" s="581"/>
      <c r="F1759" s="2">
        <f>(1/S1759)*cnst_fish!$C$6</f>
        <v>2.6247675460949162E-2</v>
      </c>
      <c r="G1759" s="2">
        <f t="shared" si="255"/>
        <v>1</v>
      </c>
      <c r="H1759" s="2">
        <f t="shared" si="255"/>
        <v>0.36449057933102513</v>
      </c>
      <c r="I1759" s="2">
        <f t="shared" si="249"/>
        <v>0</v>
      </c>
      <c r="J1759" s="389">
        <f t="shared" si="250"/>
        <v>0</v>
      </c>
      <c r="L1759" s="721">
        <v>35883</v>
      </c>
      <c r="M1759" s="581"/>
      <c r="N1759" s="585" t="s">
        <v>1738</v>
      </c>
      <c r="O1759" s="586" t="s">
        <v>4681</v>
      </c>
      <c r="P1759" s="233">
        <f t="shared" si="251"/>
        <v>0</v>
      </c>
      <c r="Q1759" s="233">
        <f t="shared" si="252"/>
        <v>35883</v>
      </c>
      <c r="R1759" s="2">
        <f t="shared" si="253"/>
        <v>4.0599999999999996</v>
      </c>
      <c r="S1759" s="2">
        <f>(1/9)*cnst_fish!$C$7*(1/cnst_fish!$C$8)^(R1759-1)</f>
        <v>161.91910046750908</v>
      </c>
      <c r="T1759" s="682">
        <f t="shared" si="254"/>
        <v>498292.33364279848</v>
      </c>
      <c r="W1759" s="818"/>
      <c r="X1759" s="818"/>
      <c r="Y1759" s="819"/>
      <c r="Z1759" s="820"/>
      <c r="AA1759" s="820"/>
      <c r="AB1759" s="821"/>
      <c r="AC1759" s="821"/>
      <c r="AD1759" s="253"/>
      <c r="AE1759" s="253"/>
    </row>
    <row r="1760" spans="1:31" ht="12.75" customHeight="1">
      <c r="A1760" t="s">
        <v>4482</v>
      </c>
      <c r="B1760" t="s">
        <v>3752</v>
      </c>
      <c r="C1760">
        <v>2364</v>
      </c>
      <c r="D1760" s="581"/>
      <c r="E1760" s="581"/>
      <c r="F1760" s="2">
        <f>(1/S1760)*cnst_fish!$C$6</f>
        <v>4.3560298545661361E-2</v>
      </c>
      <c r="G1760" s="2">
        <f t="shared" si="255"/>
        <v>1</v>
      </c>
      <c r="H1760" s="2">
        <f t="shared" si="255"/>
        <v>0.36449057933102513</v>
      </c>
      <c r="I1760" s="2">
        <f t="shared" si="249"/>
        <v>0</v>
      </c>
      <c r="J1760" s="389">
        <f t="shared" si="250"/>
        <v>0</v>
      </c>
      <c r="L1760" s="721">
        <v>4169</v>
      </c>
      <c r="M1760" s="581"/>
      <c r="N1760" s="585" t="s">
        <v>1738</v>
      </c>
      <c r="O1760" s="586" t="s">
        <v>4681</v>
      </c>
      <c r="P1760" s="233">
        <f t="shared" si="251"/>
        <v>0</v>
      </c>
      <c r="Q1760" s="233">
        <f t="shared" si="252"/>
        <v>4169</v>
      </c>
      <c r="R1760" s="2">
        <f t="shared" si="253"/>
        <v>3.84</v>
      </c>
      <c r="S1760" s="2">
        <f>(1/9)*cnst_fish!$C$7*(1/cnst_fish!$C$8)^(R1760-1)</f>
        <v>97.565906155234643</v>
      </c>
      <c r="T1760" s="682">
        <f t="shared" si="254"/>
        <v>34884.086564241261</v>
      </c>
      <c r="W1760" s="818"/>
      <c r="X1760" s="818"/>
      <c r="Y1760" s="819"/>
      <c r="Z1760" s="820"/>
      <c r="AA1760" s="820"/>
      <c r="AB1760" s="821"/>
      <c r="AC1760" s="821"/>
      <c r="AD1760" s="253"/>
      <c r="AE1760" s="253"/>
    </row>
    <row r="1761" spans="1:31" ht="12.75" customHeight="1">
      <c r="A1761" t="s">
        <v>2725</v>
      </c>
      <c r="B1761" t="s">
        <v>6453</v>
      </c>
      <c r="C1761">
        <v>3166</v>
      </c>
      <c r="D1761" s="581"/>
      <c r="E1761" s="581"/>
      <c r="F1761" s="2">
        <f>(1/S1761)*cnst_fish!$C$6</f>
        <v>3.7939434000887833E-2</v>
      </c>
      <c r="G1761" s="2">
        <f t="shared" si="255"/>
        <v>1</v>
      </c>
      <c r="H1761" s="2">
        <f t="shared" si="255"/>
        <v>0.36449057933102513</v>
      </c>
      <c r="I1761" s="2">
        <f t="shared" si="249"/>
        <v>0</v>
      </c>
      <c r="J1761" s="389">
        <f t="shared" si="250"/>
        <v>0</v>
      </c>
      <c r="L1761" s="721">
        <v>3330</v>
      </c>
      <c r="M1761" s="581"/>
      <c r="N1761" s="585" t="s">
        <v>1738</v>
      </c>
      <c r="O1761" s="586" t="s">
        <v>4681</v>
      </c>
      <c r="P1761" s="233">
        <f t="shared" si="251"/>
        <v>0</v>
      </c>
      <c r="Q1761" s="233">
        <f t="shared" si="252"/>
        <v>3330</v>
      </c>
      <c r="R1761" s="2">
        <f t="shared" si="253"/>
        <v>3.9</v>
      </c>
      <c r="S1761" s="2">
        <f>(1/9)*cnst_fish!$C$7*(1/cnst_fish!$C$8)^(R1761-1)</f>
        <v>112.02064848675771</v>
      </c>
      <c r="T1761" s="682">
        <f t="shared" si="254"/>
        <v>31991.874974832524</v>
      </c>
      <c r="W1761" s="822"/>
      <c r="X1761" s="822"/>
      <c r="Y1761" s="819"/>
      <c r="Z1761" s="820"/>
      <c r="AA1761" s="820"/>
      <c r="AB1761" s="821"/>
      <c r="AC1761" s="821"/>
      <c r="AD1761" s="253"/>
      <c r="AE1761" s="253"/>
    </row>
    <row r="1762" spans="1:31" ht="12.75" customHeight="1">
      <c r="A1762" t="s">
        <v>2127</v>
      </c>
      <c r="B1762" t="s">
        <v>3753</v>
      </c>
      <c r="C1762">
        <v>2363</v>
      </c>
      <c r="D1762" s="581"/>
      <c r="E1762" s="581"/>
      <c r="F1762" s="2">
        <f>(1/S1762)*cnst_fish!$C$6</f>
        <v>5.001391452868649E-2</v>
      </c>
      <c r="G1762" s="2">
        <f t="shared" si="255"/>
        <v>1</v>
      </c>
      <c r="H1762" s="2">
        <f t="shared" si="255"/>
        <v>0.36449057933102513</v>
      </c>
      <c r="I1762" s="2">
        <f t="shared" si="249"/>
        <v>0</v>
      </c>
      <c r="J1762" s="389">
        <f t="shared" si="250"/>
        <v>0</v>
      </c>
      <c r="L1762" s="721">
        <v>63849.58</v>
      </c>
      <c r="M1762" s="581"/>
      <c r="N1762" s="585" t="s">
        <v>1738</v>
      </c>
      <c r="O1762" s="586" t="s">
        <v>4681</v>
      </c>
      <c r="P1762" s="233">
        <f t="shared" si="251"/>
        <v>0</v>
      </c>
      <c r="Q1762" s="233">
        <f t="shared" si="252"/>
        <v>63849.58</v>
      </c>
      <c r="R1762" s="2">
        <f t="shared" si="253"/>
        <v>3.78</v>
      </c>
      <c r="S1762" s="2">
        <f>(1/9)*cnst_fish!$C$7*(1/cnst_fish!$C$8)^(R1762-1)</f>
        <v>84.976351882281207</v>
      </c>
      <c r="T1762" s="682">
        <f t="shared" si="254"/>
        <v>465321.91338260839</v>
      </c>
      <c r="W1762" s="818"/>
      <c r="X1762" s="818"/>
      <c r="Y1762" s="819"/>
      <c r="Z1762" s="820"/>
      <c r="AA1762" s="820"/>
      <c r="AB1762" s="821"/>
      <c r="AC1762" s="821"/>
      <c r="AD1762" s="253"/>
      <c r="AE1762" s="253"/>
    </row>
    <row r="1763" spans="1:31" ht="12.75" customHeight="1">
      <c r="A1763" t="s">
        <v>824</v>
      </c>
      <c r="B1763" t="s">
        <v>3754</v>
      </c>
      <c r="C1763">
        <v>3209</v>
      </c>
      <c r="D1763" s="581"/>
      <c r="E1763" s="581"/>
      <c r="F1763" s="2">
        <f>(1/S1763)*cnst_fish!$C$6</f>
        <v>0.17341667202478855</v>
      </c>
      <c r="G1763" s="2">
        <f t="shared" si="255"/>
        <v>1</v>
      </c>
      <c r="H1763" s="2">
        <f t="shared" si="255"/>
        <v>0.36449057933102513</v>
      </c>
      <c r="I1763" s="2">
        <f t="shared" si="249"/>
        <v>0</v>
      </c>
      <c r="J1763" s="389">
        <f t="shared" si="250"/>
        <v>0</v>
      </c>
      <c r="L1763" s="721">
        <v>1641</v>
      </c>
      <c r="M1763" s="581"/>
      <c r="N1763" s="585" t="s">
        <v>1738</v>
      </c>
      <c r="O1763" s="586" t="s">
        <v>4681</v>
      </c>
      <c r="P1763" s="233">
        <f t="shared" si="251"/>
        <v>0</v>
      </c>
      <c r="Q1763" s="233">
        <f t="shared" si="252"/>
        <v>1641</v>
      </c>
      <c r="R1763" s="2">
        <f t="shared" si="253"/>
        <v>3.24</v>
      </c>
      <c r="S1763" s="2">
        <f>(1/9)*cnst_fish!$C$7*(1/cnst_fish!$C$8)^(R1763-1)</f>
        <v>24.507447584927103</v>
      </c>
      <c r="T1763" s="682">
        <f t="shared" si="254"/>
        <v>3449.0861443628346</v>
      </c>
      <c r="W1763" s="818"/>
      <c r="X1763" s="818"/>
      <c r="Y1763" s="819"/>
      <c r="Z1763" s="820"/>
      <c r="AA1763" s="820"/>
      <c r="AB1763" s="821"/>
      <c r="AC1763" s="821"/>
      <c r="AD1763" s="253"/>
      <c r="AE1763" s="253"/>
    </row>
    <row r="1764" spans="1:31" ht="12.75" customHeight="1">
      <c r="A1764" t="s">
        <v>4237</v>
      </c>
      <c r="B1764" t="s">
        <v>8740</v>
      </c>
      <c r="C1764">
        <v>3507</v>
      </c>
      <c r="D1764" s="581"/>
      <c r="E1764" s="581"/>
      <c r="F1764" s="2">
        <f>(1/S1764)*cnst_fish!$C$6</f>
        <v>2.3938164528281742</v>
      </c>
      <c r="G1764" s="2">
        <f t="shared" si="255"/>
        <v>1</v>
      </c>
      <c r="H1764" s="2">
        <f t="shared" si="255"/>
        <v>0.36449057933102513</v>
      </c>
      <c r="I1764" s="2">
        <f t="shared" si="249"/>
        <v>0</v>
      </c>
      <c r="J1764" s="389">
        <f t="shared" si="250"/>
        <v>0</v>
      </c>
      <c r="L1764" s="721"/>
      <c r="M1764" s="581"/>
      <c r="N1764" s="585" t="s">
        <v>2316</v>
      </c>
      <c r="O1764" s="586" t="s">
        <v>4691</v>
      </c>
      <c r="P1764" s="233">
        <f t="shared" si="251"/>
        <v>0</v>
      </c>
      <c r="Q1764" s="233">
        <f t="shared" si="252"/>
        <v>0</v>
      </c>
      <c r="R1764" s="2">
        <f t="shared" si="253"/>
        <v>2.1</v>
      </c>
      <c r="S1764" s="2">
        <f>(1/9)*cnst_fish!$C$7*(1/cnst_fish!$C$8)^(R1764-1)</f>
        <v>1.7754076320174161</v>
      </c>
      <c r="T1764" s="682">
        <f t="shared" si="254"/>
        <v>0</v>
      </c>
      <c r="W1764" s="818"/>
      <c r="X1764" s="818"/>
      <c r="Y1764" s="819"/>
      <c r="Z1764" s="820"/>
      <c r="AA1764" s="820"/>
      <c r="AB1764" s="821"/>
      <c r="AC1764" s="821"/>
      <c r="AD1764" s="253"/>
      <c r="AE1764" s="253"/>
    </row>
    <row r="1765" spans="1:31" ht="12.75" customHeight="1">
      <c r="A1765" t="s">
        <v>9082</v>
      </c>
      <c r="B1765" t="s">
        <v>9083</v>
      </c>
      <c r="C1765">
        <v>18553</v>
      </c>
      <c r="D1765" s="581"/>
      <c r="E1765" s="581"/>
      <c r="F1765" s="869">
        <f>(1/S1765)*cnst_fish!$C$6</f>
        <v>30.136363636363644</v>
      </c>
      <c r="G1765" s="869">
        <f t="shared" si="255"/>
        <v>1</v>
      </c>
      <c r="H1765" s="869">
        <f t="shared" si="255"/>
        <v>0.36449057933102513</v>
      </c>
      <c r="I1765" s="869">
        <f t="shared" si="249"/>
        <v>0</v>
      </c>
      <c r="J1765" s="389">
        <f t="shared" si="250"/>
        <v>0</v>
      </c>
      <c r="L1765" s="721">
        <v>12</v>
      </c>
      <c r="M1765" s="581"/>
      <c r="N1765" s="877" t="s">
        <v>1740</v>
      </c>
      <c r="O1765" s="882" t="s">
        <v>4671</v>
      </c>
      <c r="P1765" s="871">
        <f t="shared" si="251"/>
        <v>0</v>
      </c>
      <c r="Q1765" s="871">
        <f t="shared" si="252"/>
        <v>12</v>
      </c>
      <c r="R1765" s="869">
        <f t="shared" si="253"/>
        <v>1</v>
      </c>
      <c r="S1765" s="869">
        <f>(1/9)*cnst_fish!$C$7*(1/cnst_fish!$C$8)^(R1765-1)</f>
        <v>0.141025641025641</v>
      </c>
      <c r="T1765" s="682">
        <f t="shared" si="254"/>
        <v>0.14513652027660726</v>
      </c>
      <c r="W1765" s="818"/>
      <c r="X1765" s="818"/>
      <c r="Y1765" s="819"/>
      <c r="Z1765" s="820"/>
      <c r="AA1765" s="820"/>
      <c r="AB1765" s="821"/>
      <c r="AC1765" s="821"/>
      <c r="AD1765" s="253"/>
      <c r="AE1765" s="253"/>
    </row>
    <row r="1766" spans="1:31" ht="12.75" customHeight="1">
      <c r="A1766" s="403" t="s">
        <v>8925</v>
      </c>
      <c r="B1766" s="403" t="s">
        <v>8926</v>
      </c>
      <c r="C1766" s="403">
        <v>14732</v>
      </c>
      <c r="D1766" s="581"/>
      <c r="E1766" s="581"/>
      <c r="F1766" s="869">
        <f>(1/S1766)*cnst_fish!$C$6</f>
        <v>0.75699122913220485</v>
      </c>
      <c r="G1766" s="869">
        <f t="shared" si="255"/>
        <v>1</v>
      </c>
      <c r="H1766" s="869">
        <f t="shared" si="255"/>
        <v>0.36449057933102513</v>
      </c>
      <c r="I1766" s="869">
        <f t="shared" si="249"/>
        <v>0</v>
      </c>
      <c r="J1766" s="389">
        <f t="shared" si="250"/>
        <v>0</v>
      </c>
      <c r="L1766" s="721"/>
      <c r="M1766" s="581">
        <v>15.18</v>
      </c>
      <c r="N1766" s="877" t="s">
        <v>1738</v>
      </c>
      <c r="O1766" s="881" t="s">
        <v>4681</v>
      </c>
      <c r="P1766" s="871">
        <f t="shared" si="251"/>
        <v>0</v>
      </c>
      <c r="Q1766" s="871">
        <f t="shared" si="252"/>
        <v>15.18</v>
      </c>
      <c r="R1766" s="869">
        <f t="shared" si="253"/>
        <v>2.6</v>
      </c>
      <c r="S1766" s="869">
        <f>(1/9)*cnst_fish!$C$7*(1/cnst_fish!$C$8)^(R1766-1)</f>
        <v>5.6143318924211183</v>
      </c>
      <c r="T1766" s="682">
        <f t="shared" si="254"/>
        <v>7.3091560130595061</v>
      </c>
      <c r="W1766" s="818"/>
      <c r="X1766" s="818"/>
      <c r="Y1766" s="819"/>
      <c r="Z1766" s="820"/>
      <c r="AA1766" s="820"/>
      <c r="AB1766" s="821"/>
      <c r="AC1766" s="821"/>
      <c r="AD1766" s="253"/>
      <c r="AE1766" s="253"/>
    </row>
    <row r="1767" spans="1:31" ht="12.75" customHeight="1">
      <c r="A1767" t="s">
        <v>159</v>
      </c>
      <c r="B1767" t="s">
        <v>3755</v>
      </c>
      <c r="C1767">
        <v>2383</v>
      </c>
      <c r="D1767" s="581"/>
      <c r="E1767" s="581"/>
      <c r="F1767" s="2">
        <f>(1/S1767)*cnst_fish!$C$6</f>
        <v>6.2963787943464855E-2</v>
      </c>
      <c r="G1767" s="2">
        <f t="shared" si="255"/>
        <v>1</v>
      </c>
      <c r="H1767" s="2">
        <f t="shared" si="255"/>
        <v>0.36449057933102513</v>
      </c>
      <c r="I1767" s="2">
        <f t="shared" si="249"/>
        <v>0</v>
      </c>
      <c r="J1767" s="389">
        <f t="shared" si="250"/>
        <v>0</v>
      </c>
      <c r="L1767" s="721">
        <v>2589</v>
      </c>
      <c r="M1767" s="581"/>
      <c r="N1767" s="585" t="s">
        <v>1738</v>
      </c>
      <c r="O1767" s="586" t="s">
        <v>4681</v>
      </c>
      <c r="P1767" s="233">
        <f t="shared" si="251"/>
        <v>0</v>
      </c>
      <c r="Q1767" s="233">
        <f t="shared" si="252"/>
        <v>2589</v>
      </c>
      <c r="R1767" s="2">
        <f t="shared" si="253"/>
        <v>3.68</v>
      </c>
      <c r="S1767" s="2">
        <f>(1/9)*cnst_fish!$C$7*(1/cnst_fish!$C$8)^(R1767-1)</f>
        <v>67.499115583961881</v>
      </c>
      <c r="T1767" s="682">
        <f t="shared" si="254"/>
        <v>14987.441840941039</v>
      </c>
      <c r="W1767" s="818"/>
      <c r="X1767" s="818"/>
      <c r="Y1767" s="819"/>
      <c r="Z1767" s="820"/>
      <c r="AA1767" s="820"/>
      <c r="AB1767" s="821"/>
      <c r="AC1767" s="821"/>
      <c r="AD1767" s="253"/>
      <c r="AE1767" s="253"/>
    </row>
    <row r="1768" spans="1:31" ht="12.75" customHeight="1">
      <c r="A1768" t="s">
        <v>8345</v>
      </c>
      <c r="B1768" t="s">
        <v>8346</v>
      </c>
      <c r="C1768">
        <v>14740</v>
      </c>
      <c r="D1768" s="581"/>
      <c r="E1768" s="581"/>
      <c r="F1768" s="2">
        <f>(1/S1768)*cnst_fish!$C$6</f>
        <v>1.1997502458044018E-2</v>
      </c>
      <c r="G1768" s="2">
        <f t="shared" ref="G1768:H1787" si="256">G$7</f>
        <v>1</v>
      </c>
      <c r="H1768" s="2">
        <f t="shared" si="256"/>
        <v>0.36449057933102513</v>
      </c>
      <c r="I1768" s="2">
        <f t="shared" si="249"/>
        <v>0</v>
      </c>
      <c r="J1768" s="389">
        <f t="shared" si="250"/>
        <v>0</v>
      </c>
      <c r="L1768" s="721">
        <v>43</v>
      </c>
      <c r="M1768" s="581"/>
      <c r="N1768" s="585" t="s">
        <v>1738</v>
      </c>
      <c r="O1768" s="586" t="s">
        <v>4681</v>
      </c>
      <c r="P1768" s="233">
        <f t="shared" si="251"/>
        <v>0</v>
      </c>
      <c r="Q1768" s="233">
        <f t="shared" si="252"/>
        <v>43</v>
      </c>
      <c r="R1768" s="2">
        <f t="shared" si="253"/>
        <v>4.4000000000000004</v>
      </c>
      <c r="S1768" s="2">
        <f>(1/9)*cnst_fish!$C$7*(1/cnst_fish!$C$8)^(R1768-1)</f>
        <v>354.24039418724885</v>
      </c>
      <c r="T1768" s="682">
        <f t="shared" si="254"/>
        <v>1306.3631339975825</v>
      </c>
      <c r="W1768" s="818"/>
      <c r="X1768" s="818"/>
      <c r="Y1768" s="819"/>
      <c r="Z1768" s="820"/>
      <c r="AA1768" s="820"/>
      <c r="AB1768" s="821"/>
      <c r="AC1768" s="821"/>
      <c r="AD1768" s="253"/>
      <c r="AE1768" s="253"/>
    </row>
    <row r="1769" spans="1:31" ht="12.75" customHeight="1">
      <c r="A1769" t="s">
        <v>123</v>
      </c>
      <c r="B1769" t="s">
        <v>3286</v>
      </c>
      <c r="C1769">
        <v>2359</v>
      </c>
      <c r="D1769" s="581"/>
      <c r="E1769" s="581"/>
      <c r="F1769" s="2">
        <f>(1/S1769)*cnst_fish!$C$6</f>
        <v>8.3002437741509269E-2</v>
      </c>
      <c r="G1769" s="2">
        <f t="shared" si="256"/>
        <v>1</v>
      </c>
      <c r="H1769" s="2">
        <f t="shared" si="256"/>
        <v>0.36449057933102513</v>
      </c>
      <c r="I1769" s="2">
        <f t="shared" si="249"/>
        <v>0</v>
      </c>
      <c r="J1769" s="389">
        <f t="shared" si="250"/>
        <v>0</v>
      </c>
      <c r="L1769" s="721">
        <v>1413</v>
      </c>
      <c r="M1769" s="581"/>
      <c r="N1769" s="585" t="s">
        <v>1738</v>
      </c>
      <c r="O1769" s="586" t="s">
        <v>4681</v>
      </c>
      <c r="P1769" s="233">
        <f t="shared" si="251"/>
        <v>0</v>
      </c>
      <c r="Q1769" s="233">
        <f t="shared" si="252"/>
        <v>1413</v>
      </c>
      <c r="R1769" s="2">
        <f t="shared" si="253"/>
        <v>3.56</v>
      </c>
      <c r="S1769" s="2">
        <f>(1/9)*cnst_fish!$C$7*(1/cnst_fish!$C$8)^(R1769-1)</f>
        <v>51.203315416296356</v>
      </c>
      <c r="T1769" s="682">
        <f t="shared" si="254"/>
        <v>6204.9405126950378</v>
      </c>
      <c r="W1769" s="818"/>
      <c r="X1769" s="818"/>
      <c r="Y1769" s="819"/>
      <c r="Z1769" s="820"/>
      <c r="AA1769" s="820"/>
      <c r="AB1769" s="821"/>
      <c r="AC1769" s="821"/>
      <c r="AD1769" s="253"/>
      <c r="AE1769" s="253"/>
    </row>
    <row r="1770" spans="1:31" ht="12.75" customHeight="1">
      <c r="A1770" t="s">
        <v>1640</v>
      </c>
      <c r="B1770" t="s">
        <v>3287</v>
      </c>
      <c r="C1770">
        <v>2884</v>
      </c>
      <c r="D1770" s="581"/>
      <c r="E1770" s="581"/>
      <c r="F1770" s="2">
        <f>(1/S1770)*cnst_fish!$C$6</f>
        <v>0.28124890974018413</v>
      </c>
      <c r="G1770" s="2">
        <f t="shared" si="256"/>
        <v>1</v>
      </c>
      <c r="H1770" s="2">
        <f t="shared" si="256"/>
        <v>0.36449057933102513</v>
      </c>
      <c r="I1770" s="2">
        <f t="shared" si="249"/>
        <v>0</v>
      </c>
      <c r="J1770" s="389">
        <f t="shared" si="250"/>
        <v>0</v>
      </c>
      <c r="L1770" s="721">
        <v>0</v>
      </c>
      <c r="M1770" s="581"/>
      <c r="N1770" s="585" t="s">
        <v>1738</v>
      </c>
      <c r="O1770" s="586" t="s">
        <v>4681</v>
      </c>
      <c r="P1770" s="233">
        <f t="shared" si="251"/>
        <v>0</v>
      </c>
      <c r="Q1770" s="233">
        <f t="shared" si="252"/>
        <v>0</v>
      </c>
      <c r="R1770" s="2">
        <f t="shared" si="253"/>
        <v>3.03</v>
      </c>
      <c r="S1770" s="2">
        <f>(1/9)*cnst_fish!$C$7*(1/cnst_fish!$C$8)^(R1770-1)</f>
        <v>15.111169689248294</v>
      </c>
      <c r="T1770" s="682">
        <f t="shared" si="254"/>
        <v>0</v>
      </c>
      <c r="W1770" s="818"/>
      <c r="X1770" s="818"/>
      <c r="Y1770" s="819"/>
      <c r="Z1770" s="820"/>
      <c r="AA1770" s="820"/>
      <c r="AB1770" s="821"/>
      <c r="AC1770" s="821"/>
      <c r="AD1770" s="253"/>
      <c r="AE1770" s="253"/>
    </row>
    <row r="1771" spans="1:31" ht="12.75" customHeight="1">
      <c r="A1771" t="s">
        <v>8895</v>
      </c>
      <c r="B1771" t="s">
        <v>8896</v>
      </c>
      <c r="C1771">
        <v>14748</v>
      </c>
      <c r="D1771" s="581"/>
      <c r="E1771" s="581"/>
      <c r="F1771" s="2">
        <f>(1/S1771)*cnst_fish!$C$6</f>
        <v>2.3938164528281767E-2</v>
      </c>
      <c r="G1771" s="2">
        <f t="shared" si="256"/>
        <v>1</v>
      </c>
      <c r="H1771" s="2">
        <f t="shared" si="256"/>
        <v>0.36449057933102513</v>
      </c>
      <c r="I1771" s="2">
        <f t="shared" si="249"/>
        <v>0</v>
      </c>
      <c r="J1771" s="389">
        <f t="shared" si="250"/>
        <v>0</v>
      </c>
      <c r="L1771" s="721">
        <v>1</v>
      </c>
      <c r="M1771" s="581"/>
      <c r="N1771" s="585" t="s">
        <v>4282</v>
      </c>
      <c r="O1771" s="586" t="s">
        <v>4699</v>
      </c>
      <c r="P1771" s="233">
        <f t="shared" si="251"/>
        <v>0</v>
      </c>
      <c r="Q1771" s="233">
        <f t="shared" si="252"/>
        <v>1</v>
      </c>
      <c r="R1771" s="2">
        <f t="shared" si="253"/>
        <v>4.0999999999999996</v>
      </c>
      <c r="S1771" s="2">
        <f>(1/9)*cnst_fish!$C$7*(1/cnst_fish!$C$8)^(R1771-1)</f>
        <v>177.54076320174144</v>
      </c>
      <c r="T1771" s="682">
        <f t="shared" si="254"/>
        <v>15.226337796300021</v>
      </c>
      <c r="W1771" s="818"/>
      <c r="X1771" s="818"/>
      <c r="Y1771" s="819"/>
      <c r="Z1771" s="820"/>
      <c r="AA1771" s="820"/>
      <c r="AB1771" s="821"/>
      <c r="AC1771" s="821"/>
      <c r="AD1771" s="253"/>
      <c r="AE1771" s="253"/>
    </row>
    <row r="1772" spans="1:31" ht="12.75" customHeight="1">
      <c r="A1772" t="s">
        <v>6739</v>
      </c>
      <c r="B1772" t="s">
        <v>8347</v>
      </c>
      <c r="C1772">
        <v>19882</v>
      </c>
      <c r="D1772" s="581"/>
      <c r="E1772" s="581"/>
      <c r="F1772" s="2">
        <f>(1/S1772)*cnst_fish!$C$6</f>
        <v>3.0136363636363641</v>
      </c>
      <c r="G1772" s="2">
        <f t="shared" si="256"/>
        <v>1</v>
      </c>
      <c r="H1772" s="2">
        <f t="shared" si="256"/>
        <v>0.36449057933102513</v>
      </c>
      <c r="I1772" s="2">
        <f t="shared" si="249"/>
        <v>0</v>
      </c>
      <c r="J1772" s="389">
        <f t="shared" si="250"/>
        <v>0</v>
      </c>
      <c r="L1772" s="721"/>
      <c r="M1772" s="581">
        <v>1390</v>
      </c>
      <c r="N1772" s="585" t="s">
        <v>1738</v>
      </c>
      <c r="O1772" s="586" t="s">
        <v>4685</v>
      </c>
      <c r="P1772" s="233">
        <f t="shared" si="251"/>
        <v>0</v>
      </c>
      <c r="Q1772" s="233">
        <f t="shared" si="252"/>
        <v>1390</v>
      </c>
      <c r="R1772" s="2">
        <f t="shared" si="253"/>
        <v>2</v>
      </c>
      <c r="S1772" s="2">
        <f>(1/9)*cnst_fish!$C$7*(1/cnst_fish!$C$8)^(R1772-1)</f>
        <v>1.4102564102564099</v>
      </c>
      <c r="T1772" s="682">
        <f t="shared" si="254"/>
        <v>168.11646932040341</v>
      </c>
      <c r="W1772" s="818"/>
      <c r="X1772" s="818"/>
      <c r="Y1772" s="819"/>
      <c r="Z1772" s="820"/>
      <c r="AA1772" s="820"/>
      <c r="AB1772" s="821"/>
      <c r="AC1772" s="821"/>
      <c r="AD1772" s="253"/>
      <c r="AE1772" s="253"/>
    </row>
    <row r="1773" spans="1:31" ht="12.75" customHeight="1">
      <c r="A1773" t="s">
        <v>5533</v>
      </c>
      <c r="B1773" t="s">
        <v>3973</v>
      </c>
      <c r="C1773">
        <v>18575</v>
      </c>
      <c r="D1773" s="581"/>
      <c r="E1773" s="581"/>
      <c r="F1773" s="2">
        <f>(1/S1773)*cnst_fish!$C$6</f>
        <v>6.2963787943464855E-2</v>
      </c>
      <c r="G1773" s="2">
        <f t="shared" si="256"/>
        <v>1</v>
      </c>
      <c r="H1773" s="2">
        <f t="shared" si="256"/>
        <v>0.36449057933102513</v>
      </c>
      <c r="I1773" s="2">
        <f t="shared" si="249"/>
        <v>0</v>
      </c>
      <c r="J1773" s="389">
        <f t="shared" si="250"/>
        <v>0</v>
      </c>
      <c r="L1773" s="721">
        <v>220</v>
      </c>
      <c r="M1773" s="581"/>
      <c r="N1773" s="585" t="s">
        <v>1738</v>
      </c>
      <c r="O1773" s="586" t="s">
        <v>4681</v>
      </c>
      <c r="P1773" s="233">
        <f t="shared" si="251"/>
        <v>0</v>
      </c>
      <c r="Q1773" s="233">
        <f t="shared" si="252"/>
        <v>220</v>
      </c>
      <c r="R1773" s="2">
        <f t="shared" si="253"/>
        <v>3.68</v>
      </c>
      <c r="S1773" s="2">
        <f>(1/9)*cnst_fish!$C$7*(1/cnst_fish!$C$8)^(R1773-1)</f>
        <v>67.499115583961881</v>
      </c>
      <c r="T1773" s="682">
        <f t="shared" si="254"/>
        <v>1273.5562784886167</v>
      </c>
      <c r="W1773" s="818"/>
      <c r="X1773" s="818"/>
      <c r="Y1773" s="819"/>
      <c r="Z1773" s="820"/>
      <c r="AA1773" s="820"/>
      <c r="AB1773" s="821"/>
      <c r="AC1773" s="821"/>
      <c r="AD1773" s="253"/>
      <c r="AE1773" s="253"/>
    </row>
    <row r="1774" spans="1:31" ht="12.75" customHeight="1">
      <c r="A1774" t="s">
        <v>3126</v>
      </c>
      <c r="B1774" t="s">
        <v>3974</v>
      </c>
      <c r="C1774">
        <v>3339</v>
      </c>
      <c r="D1774" s="581"/>
      <c r="E1774" s="581"/>
      <c r="F1774" s="2">
        <f>(1/S1774)*cnst_fish!$C$6</f>
        <v>5.1178888253733429E-2</v>
      </c>
      <c r="G1774" s="2">
        <f t="shared" si="256"/>
        <v>1</v>
      </c>
      <c r="H1774" s="2">
        <f t="shared" si="256"/>
        <v>0.36449057933102513</v>
      </c>
      <c r="I1774" s="2">
        <f t="shared" si="249"/>
        <v>0</v>
      </c>
      <c r="J1774" s="389">
        <f t="shared" si="250"/>
        <v>0</v>
      </c>
      <c r="L1774" s="721">
        <v>266</v>
      </c>
      <c r="M1774" s="581"/>
      <c r="N1774" s="585" t="s">
        <v>1738</v>
      </c>
      <c r="O1774" s="586" t="s">
        <v>4681</v>
      </c>
      <c r="P1774" s="233">
        <f t="shared" si="251"/>
        <v>0</v>
      </c>
      <c r="Q1774" s="233">
        <f t="shared" si="252"/>
        <v>266</v>
      </c>
      <c r="R1774" s="2">
        <f t="shared" si="253"/>
        <v>3.77</v>
      </c>
      <c r="S1774" s="2">
        <f>(1/9)*cnst_fish!$C$7*(1/cnst_fish!$C$8)^(R1774-1)</f>
        <v>83.042053960403649</v>
      </c>
      <c r="T1774" s="682">
        <f t="shared" si="254"/>
        <v>1894.4236072767756</v>
      </c>
      <c r="W1774" s="818"/>
      <c r="X1774" s="818"/>
      <c r="Y1774" s="819"/>
      <c r="Z1774" s="820"/>
      <c r="AA1774" s="820"/>
      <c r="AB1774" s="821"/>
      <c r="AC1774" s="821"/>
      <c r="AD1774" s="253"/>
      <c r="AE1774" s="253"/>
    </row>
    <row r="1775" spans="1:31" ht="12.75" customHeight="1">
      <c r="A1775" t="s">
        <v>4560</v>
      </c>
      <c r="B1775" t="s">
        <v>4409</v>
      </c>
      <c r="C1775">
        <v>16303</v>
      </c>
      <c r="D1775" s="581"/>
      <c r="E1775" s="581"/>
      <c r="F1775" s="2">
        <f>(1/S1775)*cnst_fish!$C$6</f>
        <v>0.3314045734418738</v>
      </c>
      <c r="G1775" s="2">
        <f t="shared" si="256"/>
        <v>1</v>
      </c>
      <c r="H1775" s="2">
        <f t="shared" si="256"/>
        <v>0.36449057933102513</v>
      </c>
      <c r="I1775" s="2">
        <f t="shared" si="249"/>
        <v>0</v>
      </c>
      <c r="J1775" s="389">
        <f t="shared" si="250"/>
        <v>0</v>
      </c>
      <c r="L1775" s="721">
        <v>0</v>
      </c>
      <c r="M1775" s="581"/>
      <c r="N1775" s="585" t="s">
        <v>3790</v>
      </c>
      <c r="O1775" s="586" t="s">
        <v>4680</v>
      </c>
      <c r="P1775" s="233">
        <f t="shared" si="251"/>
        <v>0</v>
      </c>
      <c r="Q1775" s="233">
        <f t="shared" si="252"/>
        <v>0</v>
      </c>
      <c r="R1775" s="2">
        <f t="shared" si="253"/>
        <v>2.9587323501170402</v>
      </c>
      <c r="S1775" s="2">
        <f>(1/9)*cnst_fish!$C$7*(1/cnst_fish!$C$8)^(R1775-1)</f>
        <v>12.824204433453367</v>
      </c>
      <c r="T1775" s="682">
        <f t="shared" si="254"/>
        <v>0</v>
      </c>
      <c r="W1775" s="818"/>
      <c r="X1775" s="818"/>
      <c r="Y1775" s="819"/>
      <c r="Z1775" s="820"/>
      <c r="AA1775" s="820"/>
      <c r="AB1775" s="821"/>
      <c r="AC1775" s="821"/>
      <c r="AD1775" s="253"/>
      <c r="AE1775" s="253"/>
    </row>
    <row r="1776" spans="1:31" ht="12.75" customHeight="1">
      <c r="A1776" t="s">
        <v>6585</v>
      </c>
      <c r="B1776" t="s">
        <v>43</v>
      </c>
      <c r="C1776">
        <v>19132</v>
      </c>
      <c r="D1776" s="581"/>
      <c r="E1776" s="581"/>
      <c r="F1776" s="2">
        <f>(1/S1776)*cnst_fish!$C$6</f>
        <v>1.3154999853419551</v>
      </c>
      <c r="G1776" s="2">
        <f t="shared" si="256"/>
        <v>1</v>
      </c>
      <c r="H1776" s="2">
        <f t="shared" si="256"/>
        <v>0.36449057933102513</v>
      </c>
      <c r="I1776" s="2">
        <f t="shared" si="249"/>
        <v>0</v>
      </c>
      <c r="J1776" s="389">
        <f t="shared" si="250"/>
        <v>0</v>
      </c>
      <c r="L1776" s="721"/>
      <c r="M1776" s="581">
        <v>2321</v>
      </c>
      <c r="N1776" s="585" t="s">
        <v>1738</v>
      </c>
      <c r="O1776" s="586" t="s">
        <v>4685</v>
      </c>
      <c r="P1776" s="233">
        <f t="shared" si="251"/>
        <v>0</v>
      </c>
      <c r="Q1776" s="233">
        <f t="shared" si="252"/>
        <v>2321</v>
      </c>
      <c r="R1776" s="2">
        <f t="shared" si="253"/>
        <v>2.36</v>
      </c>
      <c r="S1776" s="2">
        <f>(1/9)*cnst_fish!$C$7*(1/cnst_fish!$C$8)^(R1776-1)</f>
        <v>3.2307107923648068</v>
      </c>
      <c r="T1776" s="682">
        <f t="shared" si="254"/>
        <v>643.08828890439099</v>
      </c>
      <c r="W1776" s="818"/>
      <c r="X1776" s="818"/>
      <c r="Y1776" s="819"/>
      <c r="Z1776" s="820"/>
      <c r="AA1776" s="820"/>
      <c r="AB1776" s="821"/>
      <c r="AC1776" s="821"/>
      <c r="AD1776" s="253"/>
      <c r="AE1776" s="253"/>
    </row>
    <row r="1777" spans="1:31" ht="12.75" customHeight="1">
      <c r="A1777" t="s">
        <v>3381</v>
      </c>
      <c r="B1777" t="s">
        <v>3382</v>
      </c>
      <c r="C1777">
        <v>14763</v>
      </c>
      <c r="D1777" s="581"/>
      <c r="E1777" s="581"/>
      <c r="F1777" s="2">
        <f>(1/S1777)*cnst_fish!$C$6</f>
        <v>0.75699122913220485</v>
      </c>
      <c r="G1777" s="2">
        <f t="shared" si="256"/>
        <v>1</v>
      </c>
      <c r="H1777" s="2">
        <f t="shared" si="256"/>
        <v>0.36449057933102513</v>
      </c>
      <c r="I1777" s="2">
        <f t="shared" si="249"/>
        <v>0</v>
      </c>
      <c r="J1777" s="389">
        <f t="shared" si="250"/>
        <v>0</v>
      </c>
      <c r="L1777" s="721"/>
      <c r="M1777" s="581">
        <v>558</v>
      </c>
      <c r="N1777" s="585" t="s">
        <v>1738</v>
      </c>
      <c r="O1777" s="586" t="s">
        <v>4685</v>
      </c>
      <c r="P1777" s="233">
        <f t="shared" si="251"/>
        <v>0</v>
      </c>
      <c r="Q1777" s="233">
        <f t="shared" si="252"/>
        <v>558</v>
      </c>
      <c r="R1777" s="2">
        <f t="shared" si="253"/>
        <v>2.6</v>
      </c>
      <c r="S1777" s="2">
        <f>(1/9)*cnst_fish!$C$7*(1/cnst_fish!$C$8)^(R1777-1)</f>
        <v>5.6143318924211183</v>
      </c>
      <c r="T1777" s="682">
        <f t="shared" si="254"/>
        <v>268.67648585554707</v>
      </c>
      <c r="W1777" s="818"/>
      <c r="X1777" s="818"/>
      <c r="Y1777" s="819"/>
      <c r="Z1777" s="820"/>
      <c r="AA1777" s="820"/>
      <c r="AB1777" s="821"/>
      <c r="AC1777" s="821"/>
      <c r="AD1777" s="253"/>
      <c r="AE1777" s="253"/>
    </row>
    <row r="1778" spans="1:31" ht="12.75" customHeight="1">
      <c r="A1778" s="403" t="s">
        <v>8927</v>
      </c>
      <c r="B1778" s="403" t="s">
        <v>8928</v>
      </c>
      <c r="C1778" s="403">
        <v>14776</v>
      </c>
      <c r="D1778" s="581"/>
      <c r="E1778" s="581"/>
      <c r="F1778" s="869">
        <f>(1/S1778)*cnst_fish!$C$6</f>
        <v>6.0129950673834844E-2</v>
      </c>
      <c r="G1778" s="869">
        <f t="shared" si="256"/>
        <v>1</v>
      </c>
      <c r="H1778" s="869">
        <f t="shared" si="256"/>
        <v>0.36449057933102513</v>
      </c>
      <c r="I1778" s="869">
        <f t="shared" si="249"/>
        <v>0</v>
      </c>
      <c r="J1778" s="389">
        <f t="shared" si="250"/>
        <v>0</v>
      </c>
      <c r="L1778" s="721"/>
      <c r="M1778" s="581">
        <v>26.37</v>
      </c>
      <c r="N1778" s="877" t="s">
        <v>1738</v>
      </c>
      <c r="O1778" s="881" t="s">
        <v>4685</v>
      </c>
      <c r="P1778" s="871">
        <f t="shared" si="251"/>
        <v>0</v>
      </c>
      <c r="Q1778" s="871">
        <f t="shared" si="252"/>
        <v>26.37</v>
      </c>
      <c r="R1778" s="869">
        <f t="shared" si="253"/>
        <v>3.7</v>
      </c>
      <c r="S1778" s="869">
        <f>(1/9)*cnst_fish!$C$7*(1/cnst_fish!$C$8)^(R1778-1)</f>
        <v>70.680250896153822</v>
      </c>
      <c r="T1778" s="682">
        <f t="shared" si="254"/>
        <v>159.84740498284768</v>
      </c>
      <c r="W1778" s="818"/>
      <c r="X1778" s="818"/>
      <c r="Y1778" s="819"/>
      <c r="Z1778" s="820"/>
      <c r="AA1778" s="820"/>
      <c r="AB1778" s="821"/>
      <c r="AC1778" s="821"/>
      <c r="AD1778" s="253"/>
      <c r="AE1778" s="253"/>
    </row>
    <row r="1779" spans="1:31" ht="12.75" customHeight="1">
      <c r="A1779" t="s">
        <v>2383</v>
      </c>
      <c r="B1779" t="s">
        <v>2384</v>
      </c>
      <c r="C1779">
        <v>14780</v>
      </c>
      <c r="D1779" s="581"/>
      <c r="E1779" s="581"/>
      <c r="F1779" s="2">
        <f>(1/S1779)*cnst_fish!$C$6</f>
        <v>4.8875458843134996E-2</v>
      </c>
      <c r="G1779" s="2">
        <f t="shared" si="256"/>
        <v>1</v>
      </c>
      <c r="H1779" s="2">
        <f t="shared" si="256"/>
        <v>0.36449057933102513</v>
      </c>
      <c r="I1779" s="2">
        <f t="shared" si="249"/>
        <v>0</v>
      </c>
      <c r="J1779" s="389">
        <f t="shared" si="250"/>
        <v>0</v>
      </c>
      <c r="L1779" s="721"/>
      <c r="M1779" s="581">
        <v>129</v>
      </c>
      <c r="N1779" s="585" t="s">
        <v>1738</v>
      </c>
      <c r="O1779" s="586" t="s">
        <v>4685</v>
      </c>
      <c r="P1779" s="233">
        <f t="shared" si="251"/>
        <v>0</v>
      </c>
      <c r="Q1779" s="233">
        <f t="shared" si="252"/>
        <v>129</v>
      </c>
      <c r="R1779" s="2">
        <f t="shared" si="253"/>
        <v>3.79</v>
      </c>
      <c r="S1779" s="2">
        <f>(1/9)*cnst_fish!$C$7*(1/cnst_fish!$C$8)^(R1779-1)</f>
        <v>86.955705390721903</v>
      </c>
      <c r="T1779" s="682">
        <f t="shared" si="254"/>
        <v>962.02236964383053</v>
      </c>
      <c r="W1779" s="818"/>
      <c r="X1779" s="818"/>
      <c r="Y1779" s="819"/>
      <c r="Z1779" s="820"/>
      <c r="AA1779" s="820"/>
      <c r="AB1779" s="821"/>
      <c r="AC1779" s="821"/>
      <c r="AD1779" s="253"/>
      <c r="AE1779" s="253"/>
    </row>
    <row r="1780" spans="1:31" ht="12.75" customHeight="1">
      <c r="A1780" t="s">
        <v>242</v>
      </c>
      <c r="B1780" t="s">
        <v>5316</v>
      </c>
      <c r="C1780">
        <v>2772</v>
      </c>
      <c r="D1780" s="581"/>
      <c r="E1780" s="581"/>
      <c r="F1780" s="2">
        <f>(1/S1780)*cnst_fish!$C$6</f>
        <v>0.30136363636363639</v>
      </c>
      <c r="G1780" s="2">
        <f t="shared" si="256"/>
        <v>1</v>
      </c>
      <c r="H1780" s="2">
        <f t="shared" si="256"/>
        <v>0.36449057933102513</v>
      </c>
      <c r="I1780" s="2">
        <f t="shared" si="249"/>
        <v>0</v>
      </c>
      <c r="J1780" s="389">
        <f t="shared" si="250"/>
        <v>0</v>
      </c>
      <c r="L1780" s="721">
        <v>2835</v>
      </c>
      <c r="M1780" s="581"/>
      <c r="N1780" s="585" t="s">
        <v>1738</v>
      </c>
      <c r="O1780" s="586"/>
      <c r="P1780" s="233">
        <f t="shared" si="251"/>
        <v>0</v>
      </c>
      <c r="Q1780" s="233">
        <f t="shared" si="252"/>
        <v>2835</v>
      </c>
      <c r="R1780" s="2">
        <f t="shared" si="253"/>
        <v>3</v>
      </c>
      <c r="S1780" s="2">
        <f>(1/9)*cnst_fish!$C$7*(1/cnst_fish!$C$8)^(R1780-1)</f>
        <v>14.1025641025641</v>
      </c>
      <c r="T1780" s="682">
        <f t="shared" si="254"/>
        <v>3428.8502915348472</v>
      </c>
      <c r="W1780" s="818"/>
      <c r="X1780" s="818"/>
      <c r="Y1780" s="819"/>
      <c r="Z1780" s="820"/>
      <c r="AA1780" s="820"/>
      <c r="AB1780" s="821"/>
      <c r="AC1780" s="821"/>
      <c r="AD1780" s="253"/>
      <c r="AE1780" s="253"/>
    </row>
    <row r="1781" spans="1:31" ht="12.75" customHeight="1">
      <c r="A1781" t="s">
        <v>2043</v>
      </c>
      <c r="B1781" t="s">
        <v>5317</v>
      </c>
      <c r="C1781">
        <v>2771</v>
      </c>
      <c r="D1781" s="581"/>
      <c r="E1781" s="581"/>
      <c r="F1781" s="2">
        <f>(1/S1781)*cnst_fish!$C$6</f>
        <v>0.30136363636363639</v>
      </c>
      <c r="G1781" s="2">
        <f t="shared" si="256"/>
        <v>1</v>
      </c>
      <c r="H1781" s="2">
        <f t="shared" si="256"/>
        <v>0.36449057933102513</v>
      </c>
      <c r="I1781" s="2">
        <f t="shared" si="249"/>
        <v>0</v>
      </c>
      <c r="J1781" s="389">
        <f t="shared" si="250"/>
        <v>0</v>
      </c>
      <c r="L1781" s="721"/>
      <c r="M1781" s="581"/>
      <c r="N1781" s="585" t="s">
        <v>1738</v>
      </c>
      <c r="O1781" s="586"/>
      <c r="P1781" s="233">
        <f t="shared" si="251"/>
        <v>0</v>
      </c>
      <c r="Q1781" s="233">
        <f t="shared" si="252"/>
        <v>0</v>
      </c>
      <c r="R1781" s="2">
        <f t="shared" si="253"/>
        <v>3</v>
      </c>
      <c r="S1781" s="2">
        <f>(1/9)*cnst_fish!$C$7*(1/cnst_fish!$C$8)^(R1781-1)</f>
        <v>14.1025641025641</v>
      </c>
      <c r="T1781" s="682">
        <f t="shared" si="254"/>
        <v>0</v>
      </c>
      <c r="W1781" s="818"/>
      <c r="X1781" s="818"/>
      <c r="Y1781" s="819"/>
      <c r="Z1781" s="820"/>
      <c r="AA1781" s="820"/>
      <c r="AB1781" s="821"/>
      <c r="AC1781" s="821"/>
      <c r="AD1781" s="253"/>
      <c r="AE1781" s="253"/>
    </row>
    <row r="1782" spans="1:31" ht="12.75" customHeight="1">
      <c r="A1782" t="s">
        <v>4852</v>
      </c>
      <c r="B1782" t="s">
        <v>4938</v>
      </c>
      <c r="C1782">
        <v>2304</v>
      </c>
      <c r="D1782" s="581"/>
      <c r="E1782" s="581"/>
      <c r="F1782" s="2">
        <f>(1/S1782)*cnst_fish!$C$6</f>
        <v>3.304386563831508E-2</v>
      </c>
      <c r="G1782" s="2">
        <f t="shared" si="256"/>
        <v>1</v>
      </c>
      <c r="H1782" s="2">
        <f t="shared" si="256"/>
        <v>0.36449057933102513</v>
      </c>
      <c r="I1782" s="2">
        <f t="shared" si="249"/>
        <v>0</v>
      </c>
      <c r="J1782" s="389">
        <f t="shared" si="250"/>
        <v>0</v>
      </c>
      <c r="L1782" s="721">
        <v>15835.99</v>
      </c>
      <c r="M1782" s="581"/>
      <c r="N1782" s="585" t="s">
        <v>1738</v>
      </c>
      <c r="O1782" s="586" t="s">
        <v>4699</v>
      </c>
      <c r="P1782" s="233">
        <f t="shared" si="251"/>
        <v>0</v>
      </c>
      <c r="Q1782" s="233">
        <f t="shared" si="252"/>
        <v>15835.99</v>
      </c>
      <c r="R1782" s="2">
        <f t="shared" si="253"/>
        <v>3.96</v>
      </c>
      <c r="S1782" s="2">
        <f>(1/9)*cnst_fish!$C$7*(1/cnst_fish!$C$8)^(R1782-1)</f>
        <v>128.61691324250009</v>
      </c>
      <c r="T1782" s="682">
        <f t="shared" si="254"/>
        <v>174678.99284421135</v>
      </c>
      <c r="W1782" s="818"/>
      <c r="X1782" s="818"/>
      <c r="Y1782" s="819"/>
      <c r="Z1782" s="820"/>
      <c r="AA1782" s="820"/>
      <c r="AB1782" s="821"/>
      <c r="AC1782" s="821"/>
      <c r="AD1782" s="253"/>
      <c r="AE1782" s="253"/>
    </row>
    <row r="1783" spans="1:31" ht="12.75" customHeight="1">
      <c r="A1783" t="s">
        <v>6726</v>
      </c>
      <c r="B1783" t="s">
        <v>6725</v>
      </c>
      <c r="C1783">
        <v>2056</v>
      </c>
      <c r="D1783" s="581"/>
      <c r="E1783" s="581"/>
      <c r="F1783" s="2">
        <f>(1/S1783)*cnst_fish!$C$6</f>
        <v>3.0136363636363641</v>
      </c>
      <c r="G1783" s="2">
        <f t="shared" si="256"/>
        <v>1</v>
      </c>
      <c r="H1783" s="2">
        <f t="shared" si="256"/>
        <v>0.36449057933102513</v>
      </c>
      <c r="I1783" s="2">
        <f t="shared" si="249"/>
        <v>0</v>
      </c>
      <c r="J1783" s="389">
        <f t="shared" si="250"/>
        <v>0</v>
      </c>
      <c r="L1783" s="721">
        <v>75</v>
      </c>
      <c r="M1783" s="581"/>
      <c r="N1783" s="585" t="s">
        <v>1738</v>
      </c>
      <c r="O1783" s="586" t="s">
        <v>4681</v>
      </c>
      <c r="P1783" s="233">
        <f t="shared" si="251"/>
        <v>0</v>
      </c>
      <c r="Q1783" s="233">
        <f t="shared" si="252"/>
        <v>75</v>
      </c>
      <c r="R1783" s="2">
        <f t="shared" si="253"/>
        <v>2</v>
      </c>
      <c r="S1783" s="2">
        <f>(1/9)*cnst_fish!$C$7*(1/cnst_fish!$C$8)^(R1783-1)</f>
        <v>1.4102564102564099</v>
      </c>
      <c r="T1783" s="682">
        <f t="shared" si="254"/>
        <v>9.0710325172879553</v>
      </c>
      <c r="W1783" s="818"/>
      <c r="X1783" s="818"/>
      <c r="Y1783" s="819"/>
      <c r="Z1783" s="820"/>
      <c r="AA1783" s="820"/>
      <c r="AB1783" s="821"/>
      <c r="AC1783" s="821"/>
      <c r="AD1783" s="253"/>
      <c r="AE1783" s="253"/>
    </row>
    <row r="1784" spans="1:31" ht="12.75" customHeight="1">
      <c r="A1784" t="s">
        <v>6507</v>
      </c>
      <c r="B1784" t="s">
        <v>6506</v>
      </c>
      <c r="C1784">
        <v>14800</v>
      </c>
      <c r="D1784" s="581"/>
      <c r="E1784" s="581"/>
      <c r="F1784" s="2">
        <f>(1/S1784)*cnst_fish!$C$6</f>
        <v>3.0136363636363641</v>
      </c>
      <c r="G1784" s="2">
        <f t="shared" si="256"/>
        <v>1</v>
      </c>
      <c r="H1784" s="2">
        <f t="shared" si="256"/>
        <v>0.36449057933102513</v>
      </c>
      <c r="I1784" s="2">
        <f t="shared" si="249"/>
        <v>0</v>
      </c>
      <c r="J1784" s="389">
        <f t="shared" si="250"/>
        <v>0</v>
      </c>
      <c r="L1784" s="721">
        <v>321</v>
      </c>
      <c r="M1784" s="581"/>
      <c r="N1784" s="585" t="s">
        <v>1738</v>
      </c>
      <c r="O1784" s="586" t="s">
        <v>4681</v>
      </c>
      <c r="P1784" s="233">
        <f t="shared" si="251"/>
        <v>0</v>
      </c>
      <c r="Q1784" s="233">
        <f t="shared" si="252"/>
        <v>321</v>
      </c>
      <c r="R1784" s="2">
        <f t="shared" si="253"/>
        <v>2</v>
      </c>
      <c r="S1784" s="2">
        <f>(1/9)*cnst_fish!$C$7*(1/cnst_fish!$C$8)^(R1784-1)</f>
        <v>1.4102564102564099</v>
      </c>
      <c r="T1784" s="682">
        <f t="shared" si="254"/>
        <v>38.82401917399244</v>
      </c>
      <c r="W1784" s="818"/>
      <c r="X1784" s="818"/>
      <c r="Y1784" s="819"/>
      <c r="Z1784" s="820"/>
      <c r="AA1784" s="820"/>
      <c r="AB1784" s="821"/>
      <c r="AC1784" s="821"/>
      <c r="AD1784" s="253"/>
      <c r="AE1784" s="253"/>
    </row>
    <row r="1785" spans="1:31" ht="12.75" customHeight="1">
      <c r="A1785" t="s">
        <v>4134</v>
      </c>
      <c r="B1785" t="s">
        <v>4921</v>
      </c>
      <c r="C1785">
        <v>2051</v>
      </c>
      <c r="D1785" s="581"/>
      <c r="E1785" s="581"/>
      <c r="F1785" s="2">
        <f>(1/S1785)*cnst_fish!$C$6</f>
        <v>3.304386563831508E-2</v>
      </c>
      <c r="G1785" s="2">
        <f t="shared" si="256"/>
        <v>1</v>
      </c>
      <c r="H1785" s="2">
        <f t="shared" si="256"/>
        <v>0.36449057933102513</v>
      </c>
      <c r="I1785" s="2">
        <f t="shared" si="249"/>
        <v>0</v>
      </c>
      <c r="J1785" s="389">
        <f t="shared" si="250"/>
        <v>0</v>
      </c>
      <c r="L1785" s="721">
        <v>197</v>
      </c>
      <c r="M1785" s="581"/>
      <c r="N1785" s="585" t="s">
        <v>1738</v>
      </c>
      <c r="O1785" s="586" t="s">
        <v>4681</v>
      </c>
      <c r="P1785" s="233">
        <f t="shared" si="251"/>
        <v>0</v>
      </c>
      <c r="Q1785" s="233">
        <f t="shared" si="252"/>
        <v>197</v>
      </c>
      <c r="R1785" s="2">
        <f t="shared" si="253"/>
        <v>3.96</v>
      </c>
      <c r="S1785" s="2">
        <f>(1/9)*cnst_fish!$C$7*(1/cnst_fish!$C$8)^(R1785-1)</f>
        <v>128.61691324250009</v>
      </c>
      <c r="T1785" s="682">
        <f t="shared" si="254"/>
        <v>2173.0098080580774</v>
      </c>
      <c r="W1785" s="818"/>
      <c r="X1785" s="818"/>
      <c r="Y1785" s="819"/>
      <c r="Z1785" s="820"/>
      <c r="AA1785" s="820"/>
      <c r="AB1785" s="821"/>
      <c r="AC1785" s="821"/>
      <c r="AD1785" s="253"/>
      <c r="AE1785" s="253"/>
    </row>
    <row r="1786" spans="1:31" ht="12.75" customHeight="1">
      <c r="A1786" t="s">
        <v>866</v>
      </c>
      <c r="B1786" t="s">
        <v>2570</v>
      </c>
      <c r="C1786">
        <v>2853</v>
      </c>
      <c r="D1786" s="581"/>
      <c r="E1786" s="581"/>
      <c r="F1786" s="2">
        <f>(1/S1786)*cnst_fish!$C$6</f>
        <v>3.1556646698079359E-2</v>
      </c>
      <c r="G1786" s="2">
        <f t="shared" si="256"/>
        <v>1</v>
      </c>
      <c r="H1786" s="2">
        <f t="shared" si="256"/>
        <v>0.36449057933102513</v>
      </c>
      <c r="I1786" s="2">
        <f t="shared" si="249"/>
        <v>0</v>
      </c>
      <c r="J1786" s="389">
        <f t="shared" si="250"/>
        <v>0</v>
      </c>
      <c r="L1786" s="721">
        <v>2724</v>
      </c>
      <c r="M1786" s="581"/>
      <c r="N1786" s="585" t="s">
        <v>1738</v>
      </c>
      <c r="O1786" s="586" t="s">
        <v>4681</v>
      </c>
      <c r="P1786" s="233">
        <f t="shared" si="251"/>
        <v>0</v>
      </c>
      <c r="Q1786" s="233">
        <f t="shared" si="252"/>
        <v>2724</v>
      </c>
      <c r="R1786" s="2">
        <f t="shared" si="253"/>
        <v>3.98</v>
      </c>
      <c r="S1786" s="2">
        <f>(1/9)*cnst_fish!$C$7*(1/cnst_fish!$C$8)^(R1786-1)</f>
        <v>134.67844161840773</v>
      </c>
      <c r="T1786" s="682">
        <f t="shared" si="254"/>
        <v>31463.176287299939</v>
      </c>
      <c r="W1786" s="818"/>
      <c r="X1786" s="818"/>
      <c r="Y1786" s="819"/>
      <c r="Z1786" s="820"/>
      <c r="AA1786" s="820"/>
      <c r="AB1786" s="821"/>
      <c r="AC1786" s="821"/>
      <c r="AD1786" s="253"/>
      <c r="AE1786" s="253"/>
    </row>
    <row r="1787" spans="1:31" ht="12.75" customHeight="1">
      <c r="A1787" t="s">
        <v>6680</v>
      </c>
      <c r="B1787" t="s">
        <v>6679</v>
      </c>
      <c r="C1787">
        <v>14809</v>
      </c>
      <c r="D1787" s="581"/>
      <c r="E1787" s="581"/>
      <c r="F1787" s="2">
        <f>(1/S1787)*cnst_fish!$C$6</f>
        <v>3.0136363636363641</v>
      </c>
      <c r="G1787" s="2">
        <f t="shared" si="256"/>
        <v>1</v>
      </c>
      <c r="H1787" s="2">
        <f t="shared" si="256"/>
        <v>0.36449057933102513</v>
      </c>
      <c r="I1787" s="2">
        <f t="shared" si="249"/>
        <v>0</v>
      </c>
      <c r="J1787" s="389">
        <f t="shared" si="250"/>
        <v>0</v>
      </c>
      <c r="L1787" s="721">
        <v>0</v>
      </c>
      <c r="M1787" s="581"/>
      <c r="N1787" s="585" t="s">
        <v>1738</v>
      </c>
      <c r="O1787" s="586" t="s">
        <v>4681</v>
      </c>
      <c r="P1787" s="233">
        <f t="shared" si="251"/>
        <v>0</v>
      </c>
      <c r="Q1787" s="233">
        <f t="shared" si="252"/>
        <v>0</v>
      </c>
      <c r="R1787" s="2">
        <f t="shared" si="253"/>
        <v>2</v>
      </c>
      <c r="S1787" s="2">
        <f>(1/9)*cnst_fish!$C$7*(1/cnst_fish!$C$8)^(R1787-1)</f>
        <v>1.4102564102564099</v>
      </c>
      <c r="T1787" s="682">
        <f t="shared" si="254"/>
        <v>0</v>
      </c>
      <c r="W1787" s="818"/>
      <c r="X1787" s="818"/>
      <c r="Y1787" s="819"/>
      <c r="Z1787" s="820"/>
      <c r="AA1787" s="820"/>
      <c r="AB1787" s="821"/>
      <c r="AC1787" s="821"/>
      <c r="AD1787" s="253"/>
      <c r="AE1787" s="253"/>
    </row>
    <row r="1788" spans="1:31" ht="12.75" customHeight="1">
      <c r="A1788" t="s">
        <v>1117</v>
      </c>
      <c r="B1788" t="s">
        <v>3400</v>
      </c>
      <c r="C1788">
        <v>2053</v>
      </c>
      <c r="D1788" s="581"/>
      <c r="E1788" s="581"/>
      <c r="F1788" s="2">
        <f>(1/S1788)*cnst_fish!$C$6</f>
        <v>9.5299549485983348E-2</v>
      </c>
      <c r="G1788" s="2">
        <f t="shared" ref="G1788:H1807" si="257">G$7</f>
        <v>1</v>
      </c>
      <c r="H1788" s="2">
        <f t="shared" si="257"/>
        <v>0.36449057933102513</v>
      </c>
      <c r="I1788" s="2">
        <f t="shared" si="249"/>
        <v>0</v>
      </c>
      <c r="J1788" s="389">
        <f t="shared" si="250"/>
        <v>0</v>
      </c>
      <c r="L1788" s="721">
        <v>270</v>
      </c>
      <c r="M1788" s="581"/>
      <c r="N1788" s="585" t="s">
        <v>1738</v>
      </c>
      <c r="O1788" s="586" t="s">
        <v>4681</v>
      </c>
      <c r="P1788" s="233">
        <f t="shared" si="251"/>
        <v>0</v>
      </c>
      <c r="Q1788" s="233">
        <f t="shared" si="252"/>
        <v>270</v>
      </c>
      <c r="R1788" s="2">
        <f t="shared" si="253"/>
        <v>3.5</v>
      </c>
      <c r="S1788" s="2">
        <f>(1/9)*cnst_fish!$C$7*(1/cnst_fish!$C$8)^(R1788-1)</f>
        <v>44.596223412631026</v>
      </c>
      <c r="T1788" s="682">
        <f t="shared" si="254"/>
        <v>1032.664445426904</v>
      </c>
      <c r="W1788" s="818"/>
      <c r="X1788" s="818"/>
      <c r="Y1788" s="819"/>
      <c r="Z1788" s="820"/>
      <c r="AA1788" s="820"/>
      <c r="AB1788" s="821"/>
      <c r="AC1788" s="821"/>
      <c r="AD1788" s="253"/>
      <c r="AE1788" s="253"/>
    </row>
    <row r="1789" spans="1:31" ht="12.75" customHeight="1">
      <c r="A1789" t="s">
        <v>2944</v>
      </c>
      <c r="B1789" t="s">
        <v>3401</v>
      </c>
      <c r="C1789">
        <v>2851</v>
      </c>
      <c r="D1789" s="581"/>
      <c r="E1789" s="581"/>
      <c r="F1789" s="2">
        <f>(1/S1789)*cnst_fish!$C$6</f>
        <v>5.2370997702765265E-2</v>
      </c>
      <c r="G1789" s="2">
        <f t="shared" si="257"/>
        <v>1</v>
      </c>
      <c r="H1789" s="2">
        <f t="shared" si="257"/>
        <v>0.36449057933102513</v>
      </c>
      <c r="I1789" s="2">
        <f t="shared" si="249"/>
        <v>0</v>
      </c>
      <c r="J1789" s="389">
        <f t="shared" si="250"/>
        <v>0</v>
      </c>
      <c r="L1789" s="721">
        <v>6468</v>
      </c>
      <c r="M1789" s="581"/>
      <c r="N1789" s="585" t="s">
        <v>1738</v>
      </c>
      <c r="O1789" s="586" t="s">
        <v>4681</v>
      </c>
      <c r="P1789" s="233">
        <f t="shared" si="251"/>
        <v>0</v>
      </c>
      <c r="Q1789" s="233">
        <f t="shared" si="252"/>
        <v>6468</v>
      </c>
      <c r="R1789" s="2">
        <f t="shared" si="253"/>
        <v>3.76</v>
      </c>
      <c r="S1789" s="2">
        <f>(1/9)*cnst_fish!$C$7*(1/cnst_fish!$C$8)^(R1789-1)</f>
        <v>81.151786034727266</v>
      </c>
      <c r="T1789" s="682">
        <f t="shared" si="254"/>
        <v>45015.851721850806</v>
      </c>
      <c r="W1789" s="818"/>
      <c r="X1789" s="818"/>
      <c r="Y1789" s="819"/>
      <c r="Z1789" s="820"/>
      <c r="AA1789" s="820"/>
      <c r="AB1789" s="821"/>
      <c r="AC1789" s="821"/>
      <c r="AD1789" s="253"/>
      <c r="AE1789" s="253"/>
    </row>
    <row r="1790" spans="1:31" ht="12.75" customHeight="1">
      <c r="A1790" t="s">
        <v>6377</v>
      </c>
      <c r="B1790" t="s">
        <v>6376</v>
      </c>
      <c r="C1790">
        <v>14817</v>
      </c>
      <c r="D1790" s="581"/>
      <c r="E1790" s="581"/>
      <c r="F1790" s="2">
        <f>(1/S1790)*cnst_fish!$C$6</f>
        <v>3.0136363636363641</v>
      </c>
      <c r="G1790" s="2">
        <f t="shared" si="257"/>
        <v>1</v>
      </c>
      <c r="H1790" s="2">
        <f t="shared" si="257"/>
        <v>0.36449057933102513</v>
      </c>
      <c r="I1790" s="2">
        <f t="shared" si="249"/>
        <v>0</v>
      </c>
      <c r="J1790" s="389">
        <f t="shared" si="250"/>
        <v>0</v>
      </c>
      <c r="L1790" s="721">
        <v>25</v>
      </c>
      <c r="M1790" s="581"/>
      <c r="N1790" s="585" t="s">
        <v>1738</v>
      </c>
      <c r="O1790" s="586" t="s">
        <v>4681</v>
      </c>
      <c r="P1790" s="233">
        <f t="shared" si="251"/>
        <v>0</v>
      </c>
      <c r="Q1790" s="233">
        <f t="shared" si="252"/>
        <v>25</v>
      </c>
      <c r="R1790" s="2">
        <f t="shared" si="253"/>
        <v>2</v>
      </c>
      <c r="S1790" s="2">
        <f>(1/9)*cnst_fish!$C$7*(1/cnst_fish!$C$8)^(R1790-1)</f>
        <v>1.4102564102564099</v>
      </c>
      <c r="T1790" s="682">
        <f t="shared" si="254"/>
        <v>3.0236775057626515</v>
      </c>
      <c r="W1790" s="818"/>
      <c r="X1790" s="818"/>
      <c r="Y1790" s="819"/>
      <c r="Z1790" s="820"/>
      <c r="AA1790" s="820"/>
      <c r="AB1790" s="821"/>
      <c r="AC1790" s="821"/>
      <c r="AD1790" s="253"/>
      <c r="AE1790" s="253"/>
    </row>
    <row r="1791" spans="1:31" ht="12.75" customHeight="1">
      <c r="A1791" t="s">
        <v>6466</v>
      </c>
      <c r="B1791" t="s">
        <v>6465</v>
      </c>
      <c r="C1791">
        <v>2057</v>
      </c>
      <c r="D1791" s="581"/>
      <c r="E1791" s="581"/>
      <c r="F1791" s="2">
        <f>(1/S1791)*cnst_fish!$C$6</f>
        <v>3.0136363636363641</v>
      </c>
      <c r="G1791" s="2">
        <f t="shared" si="257"/>
        <v>1</v>
      </c>
      <c r="H1791" s="2">
        <f t="shared" si="257"/>
        <v>0.36449057933102513</v>
      </c>
      <c r="I1791" s="2">
        <f t="shared" si="249"/>
        <v>0</v>
      </c>
      <c r="J1791" s="389">
        <f t="shared" si="250"/>
        <v>0</v>
      </c>
      <c r="L1791" s="721">
        <v>3754</v>
      </c>
      <c r="M1791" s="581"/>
      <c r="N1791" s="585" t="s">
        <v>1738</v>
      </c>
      <c r="O1791" s="586" t="s">
        <v>4681</v>
      </c>
      <c r="P1791" s="233">
        <f t="shared" si="251"/>
        <v>0</v>
      </c>
      <c r="Q1791" s="233">
        <f t="shared" si="252"/>
        <v>3754</v>
      </c>
      <c r="R1791" s="2">
        <f t="shared" si="253"/>
        <v>2</v>
      </c>
      <c r="S1791" s="2">
        <f>(1/9)*cnst_fish!$C$7*(1/cnst_fish!$C$8)^(R1791-1)</f>
        <v>1.4102564102564099</v>
      </c>
      <c r="T1791" s="682">
        <f t="shared" si="254"/>
        <v>454.03541426531973</v>
      </c>
      <c r="W1791" s="818"/>
      <c r="X1791" s="818"/>
      <c r="Y1791" s="819"/>
      <c r="Z1791" s="820"/>
      <c r="AA1791" s="820"/>
      <c r="AB1791" s="821"/>
      <c r="AC1791" s="821"/>
      <c r="AD1791" s="253"/>
      <c r="AE1791" s="253"/>
    </row>
    <row r="1792" spans="1:31" ht="12.75" customHeight="1">
      <c r="A1792" t="s">
        <v>1118</v>
      </c>
      <c r="B1792" t="s">
        <v>3402</v>
      </c>
      <c r="C1792">
        <v>2854</v>
      </c>
      <c r="D1792" s="581"/>
      <c r="E1792" s="581"/>
      <c r="F1792" s="2">
        <f>(1/S1792)*cnst_fish!$C$6</f>
        <v>9.5299549485983348E-2</v>
      </c>
      <c r="G1792" s="2">
        <f t="shared" si="257"/>
        <v>1</v>
      </c>
      <c r="H1792" s="2">
        <f t="shared" si="257"/>
        <v>0.36449057933102513</v>
      </c>
      <c r="I1792" s="2">
        <f t="shared" si="249"/>
        <v>0</v>
      </c>
      <c r="J1792" s="389">
        <f t="shared" si="250"/>
        <v>0</v>
      </c>
      <c r="L1792" s="721">
        <v>269</v>
      </c>
      <c r="M1792" s="581"/>
      <c r="N1792" s="585" t="s">
        <v>1738</v>
      </c>
      <c r="O1792" s="586" t="s">
        <v>4681</v>
      </c>
      <c r="P1792" s="233">
        <f t="shared" si="251"/>
        <v>0</v>
      </c>
      <c r="Q1792" s="233">
        <f t="shared" si="252"/>
        <v>269</v>
      </c>
      <c r="R1792" s="2">
        <f t="shared" si="253"/>
        <v>3.5</v>
      </c>
      <c r="S1792" s="2">
        <f>(1/9)*cnst_fish!$C$7*(1/cnst_fish!$C$8)^(R1792-1)</f>
        <v>44.596223412631026</v>
      </c>
      <c r="T1792" s="682">
        <f t="shared" si="254"/>
        <v>1028.8397622956932</v>
      </c>
      <c r="W1792" s="818"/>
      <c r="X1792" s="818"/>
      <c r="Y1792" s="819"/>
      <c r="Z1792" s="820"/>
      <c r="AA1792" s="820"/>
      <c r="AB1792" s="821"/>
      <c r="AC1792" s="821"/>
      <c r="AD1792" s="253"/>
      <c r="AE1792" s="253"/>
    </row>
    <row r="1793" spans="1:31" ht="12.75" customHeight="1">
      <c r="A1793" t="s">
        <v>6609</v>
      </c>
      <c r="B1793" t="s">
        <v>6608</v>
      </c>
      <c r="C1793">
        <v>2858</v>
      </c>
      <c r="D1793" s="581"/>
      <c r="E1793" s="581"/>
      <c r="F1793" s="2">
        <f>(1/S1793)*cnst_fish!$C$6</f>
        <v>3.0136363636363641</v>
      </c>
      <c r="G1793" s="2">
        <f t="shared" si="257"/>
        <v>1</v>
      </c>
      <c r="H1793" s="2">
        <f t="shared" si="257"/>
        <v>0.36449057933102513</v>
      </c>
      <c r="I1793" s="2">
        <f t="shared" si="249"/>
        <v>0</v>
      </c>
      <c r="J1793" s="389">
        <f t="shared" si="250"/>
        <v>0</v>
      </c>
      <c r="L1793" s="721">
        <v>0</v>
      </c>
      <c r="M1793" s="581"/>
      <c r="N1793" s="585" t="s">
        <v>1738</v>
      </c>
      <c r="O1793" s="586" t="s">
        <v>4681</v>
      </c>
      <c r="P1793" s="233">
        <f t="shared" si="251"/>
        <v>0</v>
      </c>
      <c r="Q1793" s="233">
        <f t="shared" si="252"/>
        <v>0</v>
      </c>
      <c r="R1793" s="2">
        <f t="shared" si="253"/>
        <v>2</v>
      </c>
      <c r="S1793" s="2">
        <f>(1/9)*cnst_fish!$C$7*(1/cnst_fish!$C$8)^(R1793-1)</f>
        <v>1.4102564102564099</v>
      </c>
      <c r="T1793" s="682">
        <f t="shared" si="254"/>
        <v>0</v>
      </c>
      <c r="W1793" s="818"/>
      <c r="X1793" s="818"/>
      <c r="Y1793" s="819"/>
      <c r="Z1793" s="820"/>
      <c r="AA1793" s="820"/>
      <c r="AB1793" s="821"/>
      <c r="AC1793" s="821"/>
      <c r="AD1793" s="253"/>
      <c r="AE1793" s="253"/>
    </row>
    <row r="1794" spans="1:31" ht="12.75" customHeight="1">
      <c r="A1794" t="s">
        <v>1375</v>
      </c>
      <c r="B1794" t="s">
        <v>3403</v>
      </c>
      <c r="C1794">
        <v>2859</v>
      </c>
      <c r="D1794" s="581"/>
      <c r="E1794" s="581"/>
      <c r="F1794" s="2">
        <f>(1/S1794)*cnst_fish!$C$6</f>
        <v>4.4574948243432784E-2</v>
      </c>
      <c r="G1794" s="2">
        <f t="shared" si="257"/>
        <v>1</v>
      </c>
      <c r="H1794" s="2">
        <f t="shared" si="257"/>
        <v>0.36449057933102513</v>
      </c>
      <c r="I1794" s="2">
        <f t="shared" si="249"/>
        <v>0</v>
      </c>
      <c r="J1794" s="389">
        <f t="shared" si="250"/>
        <v>0</v>
      </c>
      <c r="L1794" s="721">
        <v>3.15</v>
      </c>
      <c r="M1794" s="581"/>
      <c r="N1794" s="585" t="s">
        <v>1738</v>
      </c>
      <c r="O1794" s="586" t="s">
        <v>4681</v>
      </c>
      <c r="P1794" s="233">
        <f t="shared" si="251"/>
        <v>0</v>
      </c>
      <c r="Q1794" s="233">
        <f t="shared" si="252"/>
        <v>3.15</v>
      </c>
      <c r="R1794" s="2">
        <f t="shared" si="253"/>
        <v>3.83</v>
      </c>
      <c r="S1794" s="2">
        <f>(1/9)*cnst_fish!$C$7*(1/cnst_fish!$C$8)^(R1794-1)</f>
        <v>95.345034991176945</v>
      </c>
      <c r="T1794" s="682">
        <f t="shared" si="254"/>
        <v>25.757636747494939</v>
      </c>
      <c r="W1794" s="818"/>
      <c r="X1794" s="818"/>
      <c r="Y1794" s="819"/>
      <c r="Z1794" s="820"/>
      <c r="AA1794" s="820"/>
      <c r="AB1794" s="821"/>
      <c r="AC1794" s="821"/>
      <c r="AD1794" s="253"/>
      <c r="AE1794" s="253"/>
    </row>
    <row r="1795" spans="1:31" ht="12.75" customHeight="1">
      <c r="A1795" t="s">
        <v>3967</v>
      </c>
      <c r="B1795" t="s">
        <v>2054</v>
      </c>
      <c r="C1795">
        <v>14830</v>
      </c>
      <c r="D1795" s="581"/>
      <c r="E1795" s="581"/>
      <c r="F1795" s="2">
        <f>(1/S1795)*cnst_fish!$C$6</f>
        <v>4.3560298545661361E-2</v>
      </c>
      <c r="G1795" s="2">
        <f t="shared" si="257"/>
        <v>1</v>
      </c>
      <c r="H1795" s="2">
        <f t="shared" si="257"/>
        <v>0.36449057933102513</v>
      </c>
      <c r="I1795" s="2">
        <f t="shared" si="249"/>
        <v>0</v>
      </c>
      <c r="J1795" s="389">
        <f t="shared" si="250"/>
        <v>0</v>
      </c>
      <c r="L1795" s="721">
        <v>13</v>
      </c>
      <c r="M1795" s="581"/>
      <c r="N1795" s="585" t="s">
        <v>1738</v>
      </c>
      <c r="O1795" s="586" t="s">
        <v>4681</v>
      </c>
      <c r="P1795" s="233">
        <f t="shared" si="251"/>
        <v>0</v>
      </c>
      <c r="Q1795" s="233">
        <f t="shared" si="252"/>
        <v>13</v>
      </c>
      <c r="R1795" s="2">
        <f t="shared" si="253"/>
        <v>3.84</v>
      </c>
      <c r="S1795" s="2">
        <f>(1/9)*cnst_fish!$C$7*(1/cnst_fish!$C$8)^(R1795-1)</f>
        <v>97.565906155234643</v>
      </c>
      <c r="T1795" s="682">
        <f t="shared" si="254"/>
        <v>108.77743471699122</v>
      </c>
      <c r="W1795" s="818"/>
      <c r="X1795" s="818"/>
      <c r="Y1795" s="819"/>
      <c r="Z1795" s="820"/>
      <c r="AA1795" s="820"/>
      <c r="AB1795" s="821"/>
      <c r="AC1795" s="821"/>
      <c r="AD1795" s="253"/>
      <c r="AE1795" s="253"/>
    </row>
    <row r="1796" spans="1:31" ht="12.75" customHeight="1">
      <c r="A1796" t="s">
        <v>1161</v>
      </c>
      <c r="B1796" t="s">
        <v>3407</v>
      </c>
      <c r="C1796">
        <v>14842</v>
      </c>
      <c r="D1796" s="581"/>
      <c r="E1796" s="581"/>
      <c r="F1796" s="2">
        <f>(1/S1796)*cnst_fish!$C$6</f>
        <v>7.2292101150450983E-2</v>
      </c>
      <c r="G1796" s="2">
        <f t="shared" si="257"/>
        <v>1</v>
      </c>
      <c r="H1796" s="2">
        <f t="shared" si="257"/>
        <v>0.36449057933102513</v>
      </c>
      <c r="I1796" s="2">
        <f t="shared" si="249"/>
        <v>0</v>
      </c>
      <c r="J1796" s="389">
        <f t="shared" si="250"/>
        <v>0</v>
      </c>
      <c r="L1796" s="721">
        <v>93</v>
      </c>
      <c r="M1796" s="581"/>
      <c r="N1796" s="585" t="s">
        <v>1738</v>
      </c>
      <c r="O1796" s="586" t="s">
        <v>4681</v>
      </c>
      <c r="P1796" s="233">
        <f t="shared" si="251"/>
        <v>0</v>
      </c>
      <c r="Q1796" s="233">
        <f t="shared" si="252"/>
        <v>93</v>
      </c>
      <c r="R1796" s="2">
        <f t="shared" si="253"/>
        <v>3.62</v>
      </c>
      <c r="S1796" s="2">
        <f>(1/9)*cnst_fish!$C$7*(1/cnst_fish!$C$8)^(R1796-1)</f>
        <v>58.789272027867845</v>
      </c>
      <c r="T1796" s="682">
        <f t="shared" si="254"/>
        <v>468.89803088222834</v>
      </c>
      <c r="W1796" s="818"/>
      <c r="X1796" s="818"/>
      <c r="Y1796" s="819"/>
      <c r="Z1796" s="820"/>
      <c r="AA1796" s="820"/>
      <c r="AB1796" s="821"/>
      <c r="AC1796" s="821"/>
      <c r="AD1796" s="253"/>
      <c r="AE1796" s="253"/>
    </row>
    <row r="1797" spans="1:31" ht="12.75" customHeight="1">
      <c r="A1797" t="s">
        <v>6485</v>
      </c>
      <c r="B1797" t="s">
        <v>6484</v>
      </c>
      <c r="C1797">
        <v>14844</v>
      </c>
      <c r="D1797" s="581"/>
      <c r="E1797" s="581"/>
      <c r="F1797" s="2">
        <f>(1/S1797)*cnst_fish!$C$6</f>
        <v>3.0136363636363641</v>
      </c>
      <c r="G1797" s="2">
        <f t="shared" si="257"/>
        <v>1</v>
      </c>
      <c r="H1797" s="2">
        <f t="shared" si="257"/>
        <v>0.36449057933102513</v>
      </c>
      <c r="I1797" s="2">
        <f t="shared" si="249"/>
        <v>0</v>
      </c>
      <c r="J1797" s="389">
        <f t="shared" si="250"/>
        <v>0</v>
      </c>
      <c r="L1797" s="721">
        <v>0</v>
      </c>
      <c r="M1797" s="581"/>
      <c r="N1797" s="585" t="s">
        <v>1738</v>
      </c>
      <c r="O1797" s="586" t="s">
        <v>4681</v>
      </c>
      <c r="P1797" s="233">
        <f t="shared" si="251"/>
        <v>0</v>
      </c>
      <c r="Q1797" s="233">
        <f t="shared" si="252"/>
        <v>0</v>
      </c>
      <c r="R1797" s="2">
        <f t="shared" si="253"/>
        <v>2</v>
      </c>
      <c r="S1797" s="2">
        <f>(1/9)*cnst_fish!$C$7*(1/cnst_fish!$C$8)^(R1797-1)</f>
        <v>1.4102564102564099</v>
      </c>
      <c r="T1797" s="682">
        <f t="shared" si="254"/>
        <v>0</v>
      </c>
      <c r="W1797" s="818"/>
      <c r="X1797" s="818"/>
      <c r="Y1797" s="819"/>
      <c r="Z1797" s="820"/>
      <c r="AA1797" s="820"/>
      <c r="AB1797" s="821"/>
      <c r="AC1797" s="821"/>
      <c r="AD1797" s="253"/>
      <c r="AE1797" s="253"/>
    </row>
    <row r="1798" spans="1:31" ht="12.75" customHeight="1">
      <c r="A1798" t="s">
        <v>1119</v>
      </c>
      <c r="B1798" t="s">
        <v>3297</v>
      </c>
      <c r="C1798">
        <v>2054</v>
      </c>
      <c r="D1798" s="581"/>
      <c r="E1798" s="581"/>
      <c r="F1798" s="2">
        <f>(1/S1798)*cnst_fish!$C$6</f>
        <v>3.8823156944206696E-2</v>
      </c>
      <c r="G1798" s="2">
        <f t="shared" si="257"/>
        <v>1</v>
      </c>
      <c r="H1798" s="2">
        <f t="shared" si="257"/>
        <v>0.36449057933102513</v>
      </c>
      <c r="I1798" s="2">
        <f t="shared" si="249"/>
        <v>0</v>
      </c>
      <c r="J1798" s="389">
        <f t="shared" si="250"/>
        <v>0</v>
      </c>
      <c r="L1798" s="721">
        <v>260</v>
      </c>
      <c r="M1798" s="581"/>
      <c r="N1798" s="585" t="s">
        <v>1738</v>
      </c>
      <c r="O1798" s="586" t="s">
        <v>4681</v>
      </c>
      <c r="P1798" s="233">
        <f t="shared" si="251"/>
        <v>0</v>
      </c>
      <c r="Q1798" s="233">
        <f t="shared" si="252"/>
        <v>260</v>
      </c>
      <c r="R1798" s="2">
        <f t="shared" si="253"/>
        <v>3.89</v>
      </c>
      <c r="S1798" s="2">
        <f>(1/9)*cnst_fish!$C$7*(1/cnst_fish!$C$8)^(R1798-1)</f>
        <v>109.47074721686684</v>
      </c>
      <c r="T1798" s="682">
        <f t="shared" si="254"/>
        <v>2441.0057832818261</v>
      </c>
      <c r="W1798" s="818"/>
      <c r="X1798" s="818"/>
      <c r="Y1798" s="819"/>
      <c r="Z1798" s="820"/>
      <c r="AA1798" s="820"/>
      <c r="AB1798" s="821"/>
      <c r="AC1798" s="821"/>
      <c r="AD1798" s="253"/>
      <c r="AE1798" s="253"/>
    </row>
    <row r="1799" spans="1:31" ht="12.75" customHeight="1">
      <c r="A1799" t="s">
        <v>1178</v>
      </c>
      <c r="B1799" t="s">
        <v>1179</v>
      </c>
      <c r="C1799">
        <v>14847</v>
      </c>
      <c r="D1799" s="581"/>
      <c r="E1799" s="581"/>
      <c r="F1799" s="2">
        <f>(1/S1799)*cnst_fish!$C$6</f>
        <v>4.7762917572805388E-2</v>
      </c>
      <c r="G1799" s="2">
        <f t="shared" si="257"/>
        <v>1</v>
      </c>
      <c r="H1799" s="2">
        <f t="shared" si="257"/>
        <v>0.36449057933102513</v>
      </c>
      <c r="I1799" s="2">
        <f t="shared" ref="I1799:I1862" si="258">IF($F1799=0,0,D1799/$F1799*$H1799*$G1799)</f>
        <v>0</v>
      </c>
      <c r="J1799" s="389">
        <f t="shared" ref="J1799:J1862" si="259">IF($F1799=0,0,E1799/$F1799*$H1799*$G1799)</f>
        <v>0</v>
      </c>
      <c r="L1799" s="721">
        <v>282</v>
      </c>
      <c r="M1799" s="581"/>
      <c r="N1799" s="585" t="s">
        <v>1738</v>
      </c>
      <c r="O1799" s="586" t="s">
        <v>4681</v>
      </c>
      <c r="P1799" s="233">
        <f t="shared" ref="P1799:P1862" si="260">D1799+E1799</f>
        <v>0</v>
      </c>
      <c r="Q1799" s="233">
        <f t="shared" ref="Q1799:Q1862" si="261">L1799+M1799</f>
        <v>282</v>
      </c>
      <c r="R1799" s="2">
        <f t="shared" ref="R1799:R1862" si="262">VLOOKUP(B1799,constant_fish_trophic,3,FALSE)</f>
        <v>3.8</v>
      </c>
      <c r="S1799" s="2">
        <f>(1/9)*cnst_fish!$C$7*(1/cnst_fish!$C$8)^(R1799-1)</f>
        <v>88.981163965155432</v>
      </c>
      <c r="T1799" s="682">
        <f t="shared" ref="T1799:T1862" si="263">IF(F1799=0,0,Q1799/F1799*H1799*G1799)</f>
        <v>2152.0114053893603</v>
      </c>
      <c r="W1799" s="818"/>
      <c r="X1799" s="818"/>
      <c r="Y1799" s="819"/>
      <c r="Z1799" s="820"/>
      <c r="AA1799" s="820"/>
      <c r="AB1799" s="821"/>
      <c r="AC1799" s="821"/>
      <c r="AD1799" s="253"/>
      <c r="AE1799" s="253"/>
    </row>
    <row r="1800" spans="1:31" ht="12.75" customHeight="1">
      <c r="A1800" t="s">
        <v>1124</v>
      </c>
      <c r="B1800" t="s">
        <v>3298</v>
      </c>
      <c r="C1800">
        <v>2852</v>
      </c>
      <c r="D1800" s="581"/>
      <c r="E1800" s="581"/>
      <c r="F1800" s="2">
        <f>(1/S1800)*cnst_fish!$C$6</f>
        <v>6.4430402969999093E-2</v>
      </c>
      <c r="G1800" s="2">
        <f t="shared" si="257"/>
        <v>1</v>
      </c>
      <c r="H1800" s="2">
        <f t="shared" si="257"/>
        <v>0.36449057933102513</v>
      </c>
      <c r="I1800" s="2">
        <f t="shared" si="258"/>
        <v>0</v>
      </c>
      <c r="J1800" s="389">
        <f t="shared" si="259"/>
        <v>0</v>
      </c>
      <c r="L1800" s="721">
        <v>1969</v>
      </c>
      <c r="M1800" s="581"/>
      <c r="N1800" s="585" t="s">
        <v>1738</v>
      </c>
      <c r="O1800" s="586" t="s">
        <v>4681</v>
      </c>
      <c r="P1800" s="233">
        <f t="shared" si="260"/>
        <v>0</v>
      </c>
      <c r="Q1800" s="233">
        <f t="shared" si="261"/>
        <v>1969</v>
      </c>
      <c r="R1800" s="2">
        <f t="shared" si="262"/>
        <v>3.67</v>
      </c>
      <c r="S1800" s="2">
        <f>(1/9)*cnst_fish!$C$7*(1/cnst_fish!$C$8)^(R1800-1)</f>
        <v>65.962648130245896</v>
      </c>
      <c r="T1800" s="682">
        <f t="shared" si="263"/>
        <v>11138.871054973299</v>
      </c>
      <c r="W1800" s="818"/>
      <c r="X1800" s="818"/>
      <c r="Y1800" s="819"/>
      <c r="Z1800" s="820"/>
      <c r="AA1800" s="820"/>
      <c r="AB1800" s="821"/>
      <c r="AC1800" s="821"/>
      <c r="AD1800" s="253"/>
      <c r="AE1800" s="253"/>
    </row>
    <row r="1801" spans="1:31" ht="12.75" customHeight="1">
      <c r="A1801" t="s">
        <v>370</v>
      </c>
      <c r="B1801" t="s">
        <v>3299</v>
      </c>
      <c r="C1801">
        <v>2855</v>
      </c>
      <c r="D1801" s="581"/>
      <c r="E1801" s="581"/>
      <c r="F1801" s="2">
        <f>(1/S1801)*cnst_fish!$C$6</f>
        <v>3.460117504783787E-2</v>
      </c>
      <c r="G1801" s="2">
        <f t="shared" si="257"/>
        <v>1</v>
      </c>
      <c r="H1801" s="2">
        <f t="shared" si="257"/>
        <v>0.36449057933102513</v>
      </c>
      <c r="I1801" s="2">
        <f t="shared" si="258"/>
        <v>0</v>
      </c>
      <c r="J1801" s="389">
        <f t="shared" si="259"/>
        <v>0</v>
      </c>
      <c r="L1801" s="721">
        <v>3292</v>
      </c>
      <c r="M1801" s="581"/>
      <c r="N1801" s="585" t="s">
        <v>1738</v>
      </c>
      <c r="O1801" s="586" t="s">
        <v>4681</v>
      </c>
      <c r="P1801" s="233">
        <f t="shared" si="260"/>
        <v>0</v>
      </c>
      <c r="Q1801" s="233">
        <f t="shared" si="261"/>
        <v>3292</v>
      </c>
      <c r="R1801" s="2">
        <f t="shared" si="262"/>
        <v>3.94</v>
      </c>
      <c r="S1801" s="2">
        <f>(1/9)*cnst_fish!$C$7*(1/cnst_fish!$C$8)^(R1801-1)</f>
        <v>122.82819858354985</v>
      </c>
      <c r="T1801" s="682">
        <f t="shared" si="263"/>
        <v>34678.099385318797</v>
      </c>
      <c r="W1801" s="818"/>
      <c r="X1801" s="818"/>
      <c r="Y1801" s="819"/>
      <c r="Z1801" s="820"/>
      <c r="AA1801" s="820"/>
      <c r="AB1801" s="821"/>
      <c r="AC1801" s="821"/>
      <c r="AD1801" s="253"/>
      <c r="AE1801" s="253"/>
    </row>
    <row r="1802" spans="1:31" ht="12.75" customHeight="1">
      <c r="A1802" t="s">
        <v>6530</v>
      </c>
      <c r="B1802" t="s">
        <v>6529</v>
      </c>
      <c r="C1802">
        <v>14849</v>
      </c>
      <c r="D1802" s="581"/>
      <c r="E1802" s="581"/>
      <c r="F1802" s="2">
        <f>(1/S1802)*cnst_fish!$C$6</f>
        <v>3.0136363636363641</v>
      </c>
      <c r="G1802" s="2">
        <f t="shared" si="257"/>
        <v>1</v>
      </c>
      <c r="H1802" s="2">
        <f t="shared" si="257"/>
        <v>0.36449057933102513</v>
      </c>
      <c r="I1802" s="2">
        <f t="shared" si="258"/>
        <v>0</v>
      </c>
      <c r="J1802" s="389">
        <f t="shared" si="259"/>
        <v>0</v>
      </c>
      <c r="L1802" s="721">
        <v>0</v>
      </c>
      <c r="M1802" s="581"/>
      <c r="N1802" s="585" t="s">
        <v>1738</v>
      </c>
      <c r="O1802" s="586" t="s">
        <v>4681</v>
      </c>
      <c r="P1802" s="233">
        <f t="shared" si="260"/>
        <v>0</v>
      </c>
      <c r="Q1802" s="233">
        <f t="shared" si="261"/>
        <v>0</v>
      </c>
      <c r="R1802" s="2">
        <f t="shared" si="262"/>
        <v>2</v>
      </c>
      <c r="S1802" s="2">
        <f>(1/9)*cnst_fish!$C$7*(1/cnst_fish!$C$8)^(R1802-1)</f>
        <v>1.4102564102564099</v>
      </c>
      <c r="T1802" s="682">
        <f t="shared" si="263"/>
        <v>0</v>
      </c>
      <c r="W1802" s="818"/>
      <c r="X1802" s="818"/>
      <c r="Y1802" s="819"/>
      <c r="Z1802" s="820"/>
      <c r="AA1802" s="820"/>
      <c r="AB1802" s="821"/>
      <c r="AC1802" s="821"/>
      <c r="AD1802" s="253"/>
      <c r="AE1802" s="253"/>
    </row>
    <row r="1803" spans="1:31" ht="12.75" customHeight="1">
      <c r="A1803" t="s">
        <v>2766</v>
      </c>
      <c r="B1803" t="s">
        <v>3300</v>
      </c>
      <c r="C1803">
        <v>2856</v>
      </c>
      <c r="D1803" s="581"/>
      <c r="E1803" s="581"/>
      <c r="F1803" s="2">
        <f>(1/S1803)*cnst_fish!$C$6</f>
        <v>9.5299549485983348E-2</v>
      </c>
      <c r="G1803" s="2">
        <f t="shared" si="257"/>
        <v>1</v>
      </c>
      <c r="H1803" s="2">
        <f t="shared" si="257"/>
        <v>0.36449057933102513</v>
      </c>
      <c r="I1803" s="2">
        <f t="shared" si="258"/>
        <v>0</v>
      </c>
      <c r="J1803" s="389">
        <f t="shared" si="259"/>
        <v>0</v>
      </c>
      <c r="L1803" s="721">
        <v>661</v>
      </c>
      <c r="M1803" s="581"/>
      <c r="N1803" s="585" t="s">
        <v>1738</v>
      </c>
      <c r="O1803" s="586" t="s">
        <v>4681</v>
      </c>
      <c r="P1803" s="233">
        <f t="shared" si="260"/>
        <v>0</v>
      </c>
      <c r="Q1803" s="233">
        <f t="shared" si="261"/>
        <v>661</v>
      </c>
      <c r="R1803" s="2">
        <f t="shared" si="262"/>
        <v>3.5</v>
      </c>
      <c r="S1803" s="2">
        <f>(1/9)*cnst_fish!$C$7*(1/cnst_fish!$C$8)^(R1803-1)</f>
        <v>44.596223412631026</v>
      </c>
      <c r="T1803" s="682">
        <f t="shared" si="263"/>
        <v>2528.1155497303093</v>
      </c>
      <c r="W1803" s="818"/>
      <c r="X1803" s="818"/>
      <c r="Y1803" s="819"/>
      <c r="Z1803" s="820"/>
      <c r="AA1803" s="820"/>
      <c r="AB1803" s="821"/>
      <c r="AC1803" s="821"/>
      <c r="AD1803" s="253"/>
      <c r="AE1803" s="253"/>
    </row>
    <row r="1804" spans="1:31" ht="12.75" customHeight="1">
      <c r="A1804" t="s">
        <v>1162</v>
      </c>
      <c r="B1804" t="s">
        <v>3301</v>
      </c>
      <c r="C1804">
        <v>2052</v>
      </c>
      <c r="D1804" s="581"/>
      <c r="E1804" s="581"/>
      <c r="F1804" s="2">
        <f>(1/S1804)*cnst_fish!$C$6</f>
        <v>2.8780003842373291E-2</v>
      </c>
      <c r="G1804" s="2">
        <f t="shared" si="257"/>
        <v>1</v>
      </c>
      <c r="H1804" s="2">
        <f t="shared" si="257"/>
        <v>0.36449057933102513</v>
      </c>
      <c r="I1804" s="2">
        <f t="shared" si="258"/>
        <v>0</v>
      </c>
      <c r="J1804" s="389">
        <f t="shared" si="259"/>
        <v>0</v>
      </c>
      <c r="L1804" s="721">
        <v>772</v>
      </c>
      <c r="M1804" s="581"/>
      <c r="N1804" s="585" t="s">
        <v>1738</v>
      </c>
      <c r="O1804" s="586" t="s">
        <v>4681</v>
      </c>
      <c r="P1804" s="233">
        <f t="shared" si="260"/>
        <v>0</v>
      </c>
      <c r="Q1804" s="233">
        <f t="shared" si="261"/>
        <v>772</v>
      </c>
      <c r="R1804" s="2">
        <f t="shared" si="262"/>
        <v>4.0199999999999996</v>
      </c>
      <c r="S1804" s="2">
        <f>(1/9)*cnst_fish!$C$7*(1/cnst_fish!$C$8)^(R1804-1)</f>
        <v>147.67197472512677</v>
      </c>
      <c r="T1804" s="682">
        <f t="shared" si="263"/>
        <v>9777.1608643519667</v>
      </c>
      <c r="W1804" s="818"/>
      <c r="X1804" s="818"/>
      <c r="Y1804" s="819"/>
      <c r="Z1804" s="820"/>
      <c r="AA1804" s="820"/>
      <c r="AB1804" s="821"/>
      <c r="AC1804" s="821"/>
      <c r="AD1804" s="253"/>
      <c r="AE1804" s="253"/>
    </row>
    <row r="1805" spans="1:31" ht="12.75" customHeight="1">
      <c r="A1805" t="s">
        <v>198</v>
      </c>
      <c r="B1805" t="s">
        <v>3302</v>
      </c>
      <c r="C1805">
        <v>2850</v>
      </c>
      <c r="D1805" s="581"/>
      <c r="E1805" s="581"/>
      <c r="F1805" s="2">
        <f>(1/S1805)*cnst_fish!$C$6</f>
        <v>3.460117504783787E-2</v>
      </c>
      <c r="G1805" s="2">
        <f t="shared" si="257"/>
        <v>1</v>
      </c>
      <c r="H1805" s="2">
        <f t="shared" si="257"/>
        <v>0.36449057933102513</v>
      </c>
      <c r="I1805" s="2">
        <f t="shared" si="258"/>
        <v>0</v>
      </c>
      <c r="J1805" s="389">
        <f t="shared" si="259"/>
        <v>0</v>
      </c>
      <c r="L1805" s="721"/>
      <c r="M1805" s="581"/>
      <c r="N1805" s="585" t="s">
        <v>1738</v>
      </c>
      <c r="O1805" s="586" t="s">
        <v>4681</v>
      </c>
      <c r="P1805" s="233">
        <f t="shared" si="260"/>
        <v>0</v>
      </c>
      <c r="Q1805" s="233">
        <f t="shared" si="261"/>
        <v>0</v>
      </c>
      <c r="R1805" s="2">
        <f t="shared" si="262"/>
        <v>3.94</v>
      </c>
      <c r="S1805" s="2">
        <f>(1/9)*cnst_fish!$C$7*(1/cnst_fish!$C$8)^(R1805-1)</f>
        <v>122.82819858354985</v>
      </c>
      <c r="T1805" s="682">
        <f t="shared" si="263"/>
        <v>0</v>
      </c>
      <c r="W1805" s="818"/>
      <c r="X1805" s="818"/>
      <c r="Y1805" s="819"/>
      <c r="Z1805" s="820"/>
      <c r="AA1805" s="820"/>
      <c r="AB1805" s="821"/>
      <c r="AC1805" s="821"/>
      <c r="AD1805" s="253"/>
      <c r="AE1805" s="253"/>
    </row>
    <row r="1806" spans="1:31" ht="12.75" customHeight="1">
      <c r="A1806" t="s">
        <v>8741</v>
      </c>
      <c r="B1806" t="s">
        <v>6588</v>
      </c>
      <c r="C1806">
        <v>14869</v>
      </c>
      <c r="D1806" s="581"/>
      <c r="E1806" s="581"/>
      <c r="F1806" s="2">
        <f>(1/S1806)*cnst_fish!$C$6</f>
        <v>3.0136363636363641</v>
      </c>
      <c r="G1806" s="2">
        <f t="shared" si="257"/>
        <v>1</v>
      </c>
      <c r="H1806" s="2">
        <f t="shared" si="257"/>
        <v>0.36449057933102513</v>
      </c>
      <c r="I1806" s="2">
        <f t="shared" si="258"/>
        <v>0</v>
      </c>
      <c r="J1806" s="389">
        <f t="shared" si="259"/>
        <v>0</v>
      </c>
      <c r="L1806" s="721">
        <v>20</v>
      </c>
      <c r="M1806" s="581"/>
      <c r="N1806" s="585" t="s">
        <v>1738</v>
      </c>
      <c r="O1806" s="586" t="s">
        <v>4681</v>
      </c>
      <c r="P1806" s="233">
        <f t="shared" si="260"/>
        <v>0</v>
      </c>
      <c r="Q1806" s="233">
        <f t="shared" si="261"/>
        <v>20</v>
      </c>
      <c r="R1806" s="2">
        <f t="shared" si="262"/>
        <v>2</v>
      </c>
      <c r="S1806" s="2">
        <f>(1/9)*cnst_fish!$C$7*(1/cnst_fish!$C$8)^(R1806-1)</f>
        <v>1.4102564102564099</v>
      </c>
      <c r="T1806" s="682">
        <f t="shared" si="263"/>
        <v>2.4189420046101211</v>
      </c>
      <c r="W1806" s="818"/>
      <c r="X1806" s="818"/>
      <c r="Y1806" s="819"/>
      <c r="Z1806" s="820"/>
      <c r="AA1806" s="820"/>
      <c r="AB1806" s="821"/>
      <c r="AC1806" s="821"/>
      <c r="AD1806" s="253"/>
      <c r="AE1806" s="253"/>
    </row>
    <row r="1807" spans="1:31" ht="12.75" customHeight="1">
      <c r="A1807" t="s">
        <v>6715</v>
      </c>
      <c r="B1807" t="s">
        <v>6714</v>
      </c>
      <c r="C1807">
        <v>2055</v>
      </c>
      <c r="D1807" s="581"/>
      <c r="E1807" s="581"/>
      <c r="F1807" s="2">
        <f>(1/S1807)*cnst_fish!$C$6</f>
        <v>3.0136363636363641</v>
      </c>
      <c r="G1807" s="2">
        <f t="shared" si="257"/>
        <v>1</v>
      </c>
      <c r="H1807" s="2">
        <f t="shared" si="257"/>
        <v>0.36449057933102513</v>
      </c>
      <c r="I1807" s="2">
        <f t="shared" si="258"/>
        <v>0</v>
      </c>
      <c r="J1807" s="389">
        <f t="shared" si="259"/>
        <v>0</v>
      </c>
      <c r="L1807" s="721">
        <v>228</v>
      </c>
      <c r="M1807" s="581"/>
      <c r="N1807" s="585" t="s">
        <v>1738</v>
      </c>
      <c r="O1807" s="586" t="s">
        <v>4681</v>
      </c>
      <c r="P1807" s="233">
        <f t="shared" si="260"/>
        <v>0</v>
      </c>
      <c r="Q1807" s="233">
        <f t="shared" si="261"/>
        <v>228</v>
      </c>
      <c r="R1807" s="2">
        <f t="shared" si="262"/>
        <v>2</v>
      </c>
      <c r="S1807" s="2">
        <f>(1/9)*cnst_fish!$C$7*(1/cnst_fish!$C$8)^(R1807-1)</f>
        <v>1.4102564102564099</v>
      </c>
      <c r="T1807" s="682">
        <f t="shared" si="263"/>
        <v>27.575938852555382</v>
      </c>
      <c r="W1807" s="818"/>
      <c r="X1807" s="818"/>
      <c r="Y1807" s="819"/>
      <c r="Z1807" s="820"/>
      <c r="AA1807" s="820"/>
      <c r="AB1807" s="821"/>
      <c r="AC1807" s="821"/>
      <c r="AD1807" s="253"/>
      <c r="AE1807" s="253"/>
    </row>
    <row r="1808" spans="1:31" ht="12.75" customHeight="1">
      <c r="A1808" t="s">
        <v>5524</v>
      </c>
      <c r="B1808" t="s">
        <v>3303</v>
      </c>
      <c r="C1808">
        <v>2849</v>
      </c>
      <c r="D1808" s="581">
        <v>967</v>
      </c>
      <c r="E1808" s="581"/>
      <c r="F1808" s="2">
        <f>(1/S1808)*cnst_fish!$C$6</f>
        <v>4.6675700833589753E-2</v>
      </c>
      <c r="G1808" s="2">
        <f t="shared" ref="G1808:H1827" si="264">G$7</f>
        <v>1</v>
      </c>
      <c r="H1808" s="2">
        <f t="shared" si="264"/>
        <v>0.36449057933102513</v>
      </c>
      <c r="I1808" s="2">
        <f t="shared" si="258"/>
        <v>7551.3036530445597</v>
      </c>
      <c r="J1808" s="389">
        <f t="shared" si="259"/>
        <v>0</v>
      </c>
      <c r="L1808" s="721">
        <v>14955.05</v>
      </c>
      <c r="M1808" s="581"/>
      <c r="N1808" s="585" t="s">
        <v>1738</v>
      </c>
      <c r="O1808" s="586" t="s">
        <v>4681</v>
      </c>
      <c r="P1808" s="233">
        <f t="shared" si="260"/>
        <v>967</v>
      </c>
      <c r="Q1808" s="233">
        <f t="shared" si="261"/>
        <v>14955.05</v>
      </c>
      <c r="R1808" s="2">
        <f t="shared" si="262"/>
        <v>3.81</v>
      </c>
      <c r="S1808" s="2">
        <f>(1/9)*cnst_fish!$C$7*(1/cnst_fish!$C$8)^(R1808-1)</f>
        <v>91.053801530528389</v>
      </c>
      <c r="T1808" s="682">
        <f t="shared" si="263"/>
        <v>116783.99554960086</v>
      </c>
      <c r="W1808" s="818"/>
      <c r="X1808" s="818"/>
      <c r="Y1808" s="819"/>
      <c r="Z1808" s="820"/>
      <c r="AA1808" s="820"/>
      <c r="AB1808" s="821"/>
      <c r="AC1808" s="821"/>
      <c r="AD1808" s="253"/>
      <c r="AE1808" s="253"/>
    </row>
    <row r="1809" spans="1:31" ht="12.75" customHeight="1">
      <c r="A1809" t="s">
        <v>1359</v>
      </c>
      <c r="B1809" t="s">
        <v>82</v>
      </c>
      <c r="C1809">
        <v>2845</v>
      </c>
      <c r="D1809" s="581">
        <v>298</v>
      </c>
      <c r="E1809" s="581"/>
      <c r="F1809" s="2">
        <f>(1/S1809)*cnst_fish!$C$6</f>
        <v>6.1530557150722649E-2</v>
      </c>
      <c r="G1809" s="2">
        <f t="shared" si="264"/>
        <v>1</v>
      </c>
      <c r="H1809" s="2">
        <f t="shared" si="264"/>
        <v>0.36449057933102513</v>
      </c>
      <c r="I1809" s="2">
        <f t="shared" si="258"/>
        <v>1765.2723731166445</v>
      </c>
      <c r="J1809" s="389">
        <f t="shared" si="259"/>
        <v>0</v>
      </c>
      <c r="L1809" s="721">
        <v>140954.51</v>
      </c>
      <c r="M1809" s="581"/>
      <c r="N1809" s="585" t="s">
        <v>1738</v>
      </c>
      <c r="O1809" s="586" t="s">
        <v>4681</v>
      </c>
      <c r="P1809" s="233">
        <f t="shared" si="260"/>
        <v>298</v>
      </c>
      <c r="Q1809" s="233">
        <f t="shared" si="261"/>
        <v>140954.51</v>
      </c>
      <c r="R1809" s="2">
        <f t="shared" si="262"/>
        <v>3.69</v>
      </c>
      <c r="S1809" s="2">
        <f>(1/9)*cnst_fish!$C$7*(1/cnst_fish!$C$8)^(R1809-1)</f>
        <v>69.071371962216759</v>
      </c>
      <c r="T1809" s="682">
        <f t="shared" si="263"/>
        <v>834976.85358789878</v>
      </c>
      <c r="W1809" s="818"/>
      <c r="X1809" s="818"/>
      <c r="Y1809" s="819"/>
      <c r="Z1809" s="820"/>
      <c r="AA1809" s="820"/>
      <c r="AB1809" s="821"/>
      <c r="AC1809" s="821"/>
      <c r="AD1809" s="253"/>
      <c r="AE1809" s="253"/>
    </row>
    <row r="1810" spans="1:31" ht="12.75" customHeight="1">
      <c r="A1810" t="s">
        <v>4002</v>
      </c>
      <c r="B1810" t="s">
        <v>8742</v>
      </c>
      <c r="C1810">
        <v>10048</v>
      </c>
      <c r="D1810" s="581"/>
      <c r="E1810" s="581"/>
      <c r="F1810" s="2">
        <f>(1/S1810)*cnst_fish!$C$6</f>
        <v>0.75699122913220485</v>
      </c>
      <c r="G1810" s="2">
        <f t="shared" si="264"/>
        <v>1</v>
      </c>
      <c r="H1810" s="2">
        <f t="shared" si="264"/>
        <v>0.36449057933102513</v>
      </c>
      <c r="I1810" s="2">
        <f t="shared" si="258"/>
        <v>0</v>
      </c>
      <c r="J1810" s="389">
        <f t="shared" si="259"/>
        <v>0</v>
      </c>
      <c r="L1810" s="721"/>
      <c r="M1810" s="581"/>
      <c r="N1810" s="585" t="s">
        <v>2310</v>
      </c>
      <c r="O1810" s="586"/>
      <c r="P1810" s="233">
        <f t="shared" si="260"/>
        <v>0</v>
      </c>
      <c r="Q1810" s="233">
        <f t="shared" si="261"/>
        <v>0</v>
      </c>
      <c r="R1810" s="2">
        <f t="shared" si="262"/>
        <v>2.6</v>
      </c>
      <c r="S1810" s="2">
        <f>(1/9)*cnst_fish!$C$7*(1/cnst_fish!$C$8)^(R1810-1)</f>
        <v>5.6143318924211183</v>
      </c>
      <c r="T1810" s="682">
        <f t="shared" si="263"/>
        <v>0</v>
      </c>
      <c r="W1810" s="818"/>
      <c r="X1810" s="818"/>
      <c r="Y1810" s="819"/>
      <c r="Z1810" s="820"/>
      <c r="AA1810" s="820"/>
      <c r="AB1810" s="821"/>
      <c r="AC1810" s="821"/>
      <c r="AD1810" s="253"/>
      <c r="AE1810" s="253"/>
    </row>
    <row r="1811" spans="1:31" ht="12.75" customHeight="1">
      <c r="A1811" t="s">
        <v>6759</v>
      </c>
      <c r="B1811" t="s">
        <v>8743</v>
      </c>
      <c r="C1811">
        <v>10093</v>
      </c>
      <c r="D1811" s="581"/>
      <c r="E1811" s="581"/>
      <c r="F1811" s="2">
        <f>(1/S1811)*cnst_fish!$C$6</f>
        <v>0.75699122913220485</v>
      </c>
      <c r="G1811" s="2">
        <f t="shared" si="264"/>
        <v>1</v>
      </c>
      <c r="H1811" s="2">
        <f t="shared" si="264"/>
        <v>0.36449057933102513</v>
      </c>
      <c r="I1811" s="2">
        <f t="shared" si="258"/>
        <v>0</v>
      </c>
      <c r="J1811" s="389">
        <f t="shared" si="259"/>
        <v>0</v>
      </c>
      <c r="L1811" s="721"/>
      <c r="M1811" s="581"/>
      <c r="N1811" s="585" t="s">
        <v>2310</v>
      </c>
      <c r="O1811" s="586"/>
      <c r="P1811" s="233">
        <f t="shared" si="260"/>
        <v>0</v>
      </c>
      <c r="Q1811" s="233">
        <f t="shared" si="261"/>
        <v>0</v>
      </c>
      <c r="R1811" s="2">
        <f t="shared" si="262"/>
        <v>2.6</v>
      </c>
      <c r="S1811" s="2">
        <f>(1/9)*cnst_fish!$C$7*(1/cnst_fish!$C$8)^(R1811-1)</f>
        <v>5.6143318924211183</v>
      </c>
      <c r="T1811" s="682">
        <f t="shared" si="263"/>
        <v>0</v>
      </c>
      <c r="W1811" s="818"/>
      <c r="X1811" s="818"/>
      <c r="Y1811" s="819"/>
      <c r="Z1811" s="820"/>
      <c r="AA1811" s="820"/>
      <c r="AB1811" s="821"/>
      <c r="AC1811" s="821"/>
      <c r="AD1811" s="253"/>
      <c r="AE1811" s="253"/>
    </row>
    <row r="1812" spans="1:31" ht="12.75" customHeight="1">
      <c r="A1812" t="s">
        <v>3166</v>
      </c>
      <c r="B1812" t="s">
        <v>3453</v>
      </c>
      <c r="C1812">
        <v>2746</v>
      </c>
      <c r="D1812" s="581"/>
      <c r="E1812" s="581"/>
      <c r="F1812" s="2">
        <f>(1/S1812)*cnst_fish!$C$6</f>
        <v>0.75699122913220485</v>
      </c>
      <c r="G1812" s="2">
        <f t="shared" si="264"/>
        <v>1</v>
      </c>
      <c r="H1812" s="2">
        <f t="shared" si="264"/>
        <v>0.36449057933102513</v>
      </c>
      <c r="I1812" s="2">
        <f t="shared" si="258"/>
        <v>0</v>
      </c>
      <c r="J1812" s="389">
        <f t="shared" si="259"/>
        <v>0</v>
      </c>
      <c r="L1812" s="721"/>
      <c r="M1812" s="581">
        <v>1223</v>
      </c>
      <c r="N1812" s="585" t="s">
        <v>2310</v>
      </c>
      <c r="O1812" s="586"/>
      <c r="P1812" s="233">
        <f t="shared" si="260"/>
        <v>0</v>
      </c>
      <c r="Q1812" s="233">
        <f t="shared" si="261"/>
        <v>1223</v>
      </c>
      <c r="R1812" s="2">
        <f t="shared" si="262"/>
        <v>2.6</v>
      </c>
      <c r="S1812" s="2">
        <f>(1/9)*cnst_fish!$C$7*(1/cnst_fish!$C$8)^(R1812-1)</f>
        <v>5.6143318924211183</v>
      </c>
      <c r="T1812" s="682">
        <f t="shared" si="263"/>
        <v>588.87337312067041</v>
      </c>
      <c r="W1812" s="818"/>
      <c r="X1812" s="818"/>
      <c r="Y1812" s="819"/>
      <c r="Z1812" s="820"/>
      <c r="AA1812" s="820"/>
      <c r="AB1812" s="821"/>
      <c r="AC1812" s="821"/>
      <c r="AD1812" s="253"/>
      <c r="AE1812" s="253"/>
    </row>
    <row r="1813" spans="1:31" ht="12.75" customHeight="1">
      <c r="A1813" t="s">
        <v>4072</v>
      </c>
      <c r="B1813" t="s">
        <v>377</v>
      </c>
      <c r="C1813">
        <v>2658</v>
      </c>
      <c r="D1813" s="581"/>
      <c r="E1813" s="581"/>
      <c r="F1813" s="2">
        <f>(1/S1813)*cnst_fish!$C$6</f>
        <v>2.3938164528281742</v>
      </c>
      <c r="G1813" s="2">
        <f t="shared" si="264"/>
        <v>1</v>
      </c>
      <c r="H1813" s="2">
        <f t="shared" si="264"/>
        <v>0.36449057933102513</v>
      </c>
      <c r="I1813" s="2">
        <f t="shared" si="258"/>
        <v>0</v>
      </c>
      <c r="J1813" s="389">
        <f t="shared" si="259"/>
        <v>0</v>
      </c>
      <c r="L1813" s="721">
        <v>21</v>
      </c>
      <c r="M1813" s="581"/>
      <c r="N1813" s="585" t="s">
        <v>1736</v>
      </c>
      <c r="O1813" s="586" t="s">
        <v>4691</v>
      </c>
      <c r="P1813" s="233">
        <f t="shared" si="260"/>
        <v>0</v>
      </c>
      <c r="Q1813" s="233">
        <f t="shared" si="261"/>
        <v>21</v>
      </c>
      <c r="R1813" s="2">
        <f t="shared" si="262"/>
        <v>2.1</v>
      </c>
      <c r="S1813" s="2">
        <f>(1/9)*cnst_fish!$C$7*(1/cnst_fish!$C$8)^(R1813-1)</f>
        <v>1.7754076320174161</v>
      </c>
      <c r="T1813" s="682">
        <f t="shared" si="263"/>
        <v>3.1975309372230076</v>
      </c>
      <c r="W1813" s="818"/>
      <c r="X1813" s="818"/>
      <c r="Y1813" s="819"/>
      <c r="Z1813" s="820"/>
      <c r="AA1813" s="820"/>
      <c r="AB1813" s="821"/>
      <c r="AC1813" s="821"/>
      <c r="AD1813" s="253"/>
      <c r="AE1813" s="253"/>
    </row>
    <row r="1814" spans="1:31" ht="12.75" customHeight="1">
      <c r="A1814" t="s">
        <v>8897</v>
      </c>
      <c r="B1814" t="s">
        <v>8898</v>
      </c>
      <c r="C1814">
        <v>17807</v>
      </c>
      <c r="D1814" s="581"/>
      <c r="E1814" s="581"/>
      <c r="F1814" s="2">
        <f>(1/S1814)*cnst_fish!$C$6</f>
        <v>2.3938164528281742</v>
      </c>
      <c r="G1814" s="2">
        <f t="shared" si="264"/>
        <v>1</v>
      </c>
      <c r="H1814" s="2">
        <f t="shared" si="264"/>
        <v>0.36449057933102513</v>
      </c>
      <c r="I1814" s="2">
        <f t="shared" si="258"/>
        <v>0</v>
      </c>
      <c r="J1814" s="389">
        <f t="shared" si="259"/>
        <v>0</v>
      </c>
      <c r="L1814" s="721">
        <v>18323</v>
      </c>
      <c r="M1814" s="581"/>
      <c r="N1814" s="585" t="s">
        <v>1736</v>
      </c>
      <c r="O1814" s="586" t="s">
        <v>4691</v>
      </c>
      <c r="P1814" s="233">
        <f t="shared" si="260"/>
        <v>0</v>
      </c>
      <c r="Q1814" s="233">
        <f t="shared" si="261"/>
        <v>18323</v>
      </c>
      <c r="R1814" s="2">
        <f t="shared" si="262"/>
        <v>2.1</v>
      </c>
      <c r="S1814" s="2">
        <f>(1/9)*cnst_fish!$C$7*(1/cnst_fish!$C$8)^(R1814-1)</f>
        <v>1.7754076320174161</v>
      </c>
      <c r="T1814" s="682">
        <f t="shared" si="263"/>
        <v>2789.9218744160557</v>
      </c>
      <c r="W1814" s="818"/>
      <c r="X1814" s="818"/>
      <c r="Y1814" s="819"/>
      <c r="Z1814" s="820"/>
      <c r="AA1814" s="820"/>
      <c r="AB1814" s="821"/>
      <c r="AC1814" s="821"/>
      <c r="AD1814" s="253"/>
      <c r="AE1814" s="253"/>
    </row>
    <row r="1815" spans="1:31" ht="12.75" customHeight="1">
      <c r="A1815" t="s">
        <v>5088</v>
      </c>
      <c r="B1815" t="s">
        <v>3376</v>
      </c>
      <c r="C1815">
        <v>19133</v>
      </c>
      <c r="D1815" s="581"/>
      <c r="E1815" s="581"/>
      <c r="F1815" s="2">
        <f>(1/S1815)*cnst_fish!$C$6</f>
        <v>3.0136363636363641</v>
      </c>
      <c r="G1815" s="2">
        <f t="shared" si="264"/>
        <v>1</v>
      </c>
      <c r="H1815" s="2">
        <f t="shared" si="264"/>
        <v>0.36449057933102513</v>
      </c>
      <c r="I1815" s="2">
        <f t="shared" si="258"/>
        <v>0</v>
      </c>
      <c r="J1815" s="389">
        <f t="shared" si="259"/>
        <v>0</v>
      </c>
      <c r="L1815" s="721"/>
      <c r="M1815" s="581">
        <v>4661.34</v>
      </c>
      <c r="N1815" s="585" t="s">
        <v>1738</v>
      </c>
      <c r="O1815" s="586" t="s">
        <v>4685</v>
      </c>
      <c r="P1815" s="233">
        <f t="shared" si="260"/>
        <v>0</v>
      </c>
      <c r="Q1815" s="233">
        <f t="shared" si="261"/>
        <v>4661.34</v>
      </c>
      <c r="R1815" s="2">
        <f t="shared" si="262"/>
        <v>2</v>
      </c>
      <c r="S1815" s="2">
        <f>(1/9)*cnst_fish!$C$7*(1/cnst_fish!$C$8)^(R1815-1)</f>
        <v>1.4102564102564099</v>
      </c>
      <c r="T1815" s="682">
        <f t="shared" si="263"/>
        <v>563.77555618846714</v>
      </c>
      <c r="W1815" s="818"/>
      <c r="X1815" s="818"/>
      <c r="Y1815" s="819"/>
      <c r="Z1815" s="820"/>
      <c r="AA1815" s="820"/>
      <c r="AB1815" s="821"/>
      <c r="AC1815" s="821"/>
      <c r="AD1815" s="253"/>
      <c r="AE1815" s="253"/>
    </row>
    <row r="1816" spans="1:31" ht="12.75" customHeight="1">
      <c r="A1816" t="s">
        <v>5223</v>
      </c>
      <c r="B1816" t="s">
        <v>4939</v>
      </c>
      <c r="C1816">
        <v>2477</v>
      </c>
      <c r="D1816" s="581"/>
      <c r="E1816" s="581"/>
      <c r="F1816" s="2">
        <f>(1/S1816)*cnst_fish!$C$6</f>
        <v>0.57423657091346914</v>
      </c>
      <c r="G1816" s="2">
        <f t="shared" si="264"/>
        <v>1</v>
      </c>
      <c r="H1816" s="2">
        <f t="shared" si="264"/>
        <v>0.36449057933102513</v>
      </c>
      <c r="I1816" s="2">
        <f t="shared" si="258"/>
        <v>0</v>
      </c>
      <c r="J1816" s="389">
        <f t="shared" si="259"/>
        <v>0</v>
      </c>
      <c r="L1816" s="721">
        <v>322027</v>
      </c>
      <c r="M1816" s="581"/>
      <c r="N1816" s="585" t="s">
        <v>2313</v>
      </c>
      <c r="O1816" s="586" t="s">
        <v>4699</v>
      </c>
      <c r="P1816" s="233">
        <f t="shared" si="260"/>
        <v>0</v>
      </c>
      <c r="Q1816" s="233">
        <f t="shared" si="261"/>
        <v>322027</v>
      </c>
      <c r="R1816" s="2">
        <f t="shared" si="262"/>
        <v>2.72</v>
      </c>
      <c r="S1816" s="2">
        <f>(1/9)*cnst_fish!$C$7*(1/cnst_fish!$C$8)^(R1816-1)</f>
        <v>7.4011308496762851</v>
      </c>
      <c r="T1816" s="682">
        <f t="shared" si="263"/>
        <v>204403.2263628142</v>
      </c>
      <c r="W1816" s="818"/>
      <c r="X1816" s="818"/>
      <c r="Y1816" s="819"/>
      <c r="Z1816" s="820"/>
      <c r="AA1816" s="820"/>
      <c r="AB1816" s="821"/>
      <c r="AC1816" s="821"/>
      <c r="AD1816" s="253"/>
      <c r="AE1816" s="253"/>
    </row>
    <row r="1817" spans="1:31" ht="12.75" customHeight="1">
      <c r="A1817" t="s">
        <v>3535</v>
      </c>
      <c r="B1817" t="s">
        <v>4940</v>
      </c>
      <c r="C1817">
        <v>2478</v>
      </c>
      <c r="D1817" s="581"/>
      <c r="E1817" s="581"/>
      <c r="F1817" s="2">
        <f>(1/S1817)*cnst_fish!$C$6</f>
        <v>0.19457670629544385</v>
      </c>
      <c r="G1817" s="2">
        <f t="shared" si="264"/>
        <v>1</v>
      </c>
      <c r="H1817" s="2">
        <f t="shared" si="264"/>
        <v>0.36449057933102513</v>
      </c>
      <c r="I1817" s="2">
        <f t="shared" si="258"/>
        <v>0</v>
      </c>
      <c r="J1817" s="389">
        <f t="shared" si="259"/>
        <v>0</v>
      </c>
      <c r="L1817" s="721">
        <v>573956.66999999993</v>
      </c>
      <c r="M1817" s="581"/>
      <c r="N1817" s="585" t="s">
        <v>2313</v>
      </c>
      <c r="O1817" s="586" t="s">
        <v>4699</v>
      </c>
      <c r="P1817" s="233">
        <f t="shared" si="260"/>
        <v>0</v>
      </c>
      <c r="Q1817" s="233">
        <f t="shared" si="261"/>
        <v>573956.66999999993</v>
      </c>
      <c r="R1817" s="2">
        <f t="shared" si="262"/>
        <v>3.19</v>
      </c>
      <c r="S1817" s="2">
        <f>(1/9)*cnst_fish!$C$7*(1/cnst_fish!$C$8)^(R1817-1)</f>
        <v>21.84228565132987</v>
      </c>
      <c r="T1817" s="682">
        <f t="shared" si="263"/>
        <v>1075163.6367076514</v>
      </c>
      <c r="W1817" s="818"/>
      <c r="X1817" s="818"/>
      <c r="Y1817" s="819"/>
      <c r="Z1817" s="820"/>
      <c r="AA1817" s="820"/>
      <c r="AB1817" s="821"/>
      <c r="AC1817" s="821"/>
      <c r="AD1817" s="253"/>
      <c r="AE1817" s="253"/>
    </row>
    <row r="1818" spans="1:31" ht="12.75" customHeight="1">
      <c r="A1818" t="s">
        <v>184</v>
      </c>
      <c r="B1818" t="s">
        <v>4941</v>
      </c>
      <c r="C1818">
        <v>2476</v>
      </c>
      <c r="D1818" s="581"/>
      <c r="E1818" s="581"/>
      <c r="F1818" s="2">
        <f>(1/S1818)*cnst_fish!$C$6</f>
        <v>0.23938164528281752</v>
      </c>
      <c r="G1818" s="2">
        <f t="shared" si="264"/>
        <v>1</v>
      </c>
      <c r="H1818" s="2">
        <f t="shared" si="264"/>
        <v>0.36449057933102513</v>
      </c>
      <c r="I1818" s="2">
        <f t="shared" si="258"/>
        <v>0</v>
      </c>
      <c r="J1818" s="389">
        <f t="shared" si="259"/>
        <v>0</v>
      </c>
      <c r="L1818" s="721">
        <v>67749</v>
      </c>
      <c r="M1818" s="581"/>
      <c r="N1818" s="585" t="s">
        <v>2313</v>
      </c>
      <c r="O1818" s="586" t="s">
        <v>4699</v>
      </c>
      <c r="P1818" s="233">
        <f t="shared" si="260"/>
        <v>0</v>
      </c>
      <c r="Q1818" s="233">
        <f t="shared" si="261"/>
        <v>67749</v>
      </c>
      <c r="R1818" s="2">
        <f t="shared" si="262"/>
        <v>3.1</v>
      </c>
      <c r="S1818" s="2">
        <f>(1/9)*cnst_fish!$C$7*(1/cnst_fish!$C$8)^(R1818-1)</f>
        <v>17.754076320174157</v>
      </c>
      <c r="T1818" s="682">
        <f t="shared" si="263"/>
        <v>103156.91593615308</v>
      </c>
      <c r="W1818" s="822"/>
      <c r="X1818" s="822"/>
      <c r="Y1818" s="819"/>
      <c r="Z1818" s="820"/>
      <c r="AA1818" s="820"/>
      <c r="AB1818" s="821"/>
      <c r="AC1818" s="821"/>
      <c r="AD1818" s="253"/>
      <c r="AE1818" s="253"/>
    </row>
    <row r="1819" spans="1:31" ht="12.75" customHeight="1">
      <c r="A1819" t="s">
        <v>2352</v>
      </c>
      <c r="B1819" t="s">
        <v>2776</v>
      </c>
      <c r="C1819">
        <v>2169</v>
      </c>
      <c r="D1819" s="581"/>
      <c r="E1819" s="581"/>
      <c r="F1819" s="2">
        <f>(1/S1819)*cnst_fish!$C$6</f>
        <v>0.11724405960509449</v>
      </c>
      <c r="G1819" s="2">
        <f t="shared" si="264"/>
        <v>1</v>
      </c>
      <c r="H1819" s="2">
        <f t="shared" si="264"/>
        <v>0.36449057933102513</v>
      </c>
      <c r="I1819" s="2">
        <f t="shared" si="258"/>
        <v>0</v>
      </c>
      <c r="J1819" s="389">
        <f t="shared" si="259"/>
        <v>0</v>
      </c>
      <c r="L1819" s="721"/>
      <c r="M1819" s="581">
        <v>268145</v>
      </c>
      <c r="N1819" s="585" t="s">
        <v>1738</v>
      </c>
      <c r="O1819" s="586" t="s">
        <v>4685</v>
      </c>
      <c r="P1819" s="233">
        <f t="shared" si="260"/>
        <v>0</v>
      </c>
      <c r="Q1819" s="233">
        <f t="shared" si="261"/>
        <v>268145</v>
      </c>
      <c r="R1819" s="2">
        <f t="shared" si="262"/>
        <v>3.41</v>
      </c>
      <c r="S1819" s="2">
        <f>(1/9)*cnst_fish!$C$7*(1/cnst_fish!$C$8)^(R1819-1)</f>
        <v>36.24917129545836</v>
      </c>
      <c r="T1819" s="682">
        <f t="shared" si="263"/>
        <v>833614.31465198856</v>
      </c>
      <c r="W1819" s="818"/>
      <c r="X1819" s="818"/>
      <c r="Y1819" s="819"/>
      <c r="Z1819" s="820"/>
      <c r="AA1819" s="820"/>
      <c r="AB1819" s="821"/>
      <c r="AC1819" s="821"/>
      <c r="AD1819" s="253"/>
      <c r="AE1819" s="253"/>
    </row>
    <row r="1820" spans="1:31" ht="12.75" customHeight="1">
      <c r="A1820" t="s">
        <v>4617</v>
      </c>
      <c r="B1820" t="s">
        <v>4942</v>
      </c>
      <c r="C1820">
        <v>14892</v>
      </c>
      <c r="D1820" s="581"/>
      <c r="E1820" s="581"/>
      <c r="F1820" s="2">
        <f>(1/S1820)*cnst_fish!$C$6</f>
        <v>0.19014759972289441</v>
      </c>
      <c r="G1820" s="2">
        <f t="shared" si="264"/>
        <v>1</v>
      </c>
      <c r="H1820" s="2">
        <f t="shared" si="264"/>
        <v>0.36449057933102513</v>
      </c>
      <c r="I1820" s="2">
        <f t="shared" si="258"/>
        <v>0</v>
      </c>
      <c r="J1820" s="389">
        <f t="shared" si="259"/>
        <v>0</v>
      </c>
      <c r="L1820" s="721">
        <v>0</v>
      </c>
      <c r="M1820" s="581"/>
      <c r="N1820" s="585" t="s">
        <v>1738</v>
      </c>
      <c r="O1820" s="586" t="s">
        <v>4699</v>
      </c>
      <c r="P1820" s="233">
        <f t="shared" si="260"/>
        <v>0</v>
      </c>
      <c r="Q1820" s="233">
        <f t="shared" si="261"/>
        <v>0</v>
      </c>
      <c r="R1820" s="2">
        <f t="shared" si="262"/>
        <v>3.2</v>
      </c>
      <c r="S1820" s="2">
        <f>(1/9)*cnst_fish!$C$7*(1/cnst_fish!$C$8)^(R1820-1)</f>
        <v>22.351057842400341</v>
      </c>
      <c r="T1820" s="682">
        <f t="shared" si="263"/>
        <v>0</v>
      </c>
      <c r="W1820" s="818"/>
      <c r="X1820" s="818"/>
      <c r="Y1820" s="819"/>
      <c r="Z1820" s="820"/>
      <c r="AA1820" s="820"/>
      <c r="AB1820" s="821"/>
      <c r="AC1820" s="821"/>
      <c r="AD1820" s="253"/>
      <c r="AE1820" s="253"/>
    </row>
    <row r="1821" spans="1:31" ht="12.75" customHeight="1">
      <c r="A1821" t="s">
        <v>4581</v>
      </c>
      <c r="B1821" t="s">
        <v>1344</v>
      </c>
      <c r="C1821">
        <v>2544</v>
      </c>
      <c r="D1821" s="581">
        <v>11560</v>
      </c>
      <c r="E1821" s="581"/>
      <c r="F1821" s="2">
        <f>(1/S1821)*cnst_fish!$C$6</f>
        <v>9.979087888316248E-3</v>
      </c>
      <c r="G1821" s="2">
        <f t="shared" si="264"/>
        <v>1</v>
      </c>
      <c r="H1821" s="2">
        <f t="shared" si="264"/>
        <v>0.36449057933102513</v>
      </c>
      <c r="I1821" s="2">
        <f t="shared" si="258"/>
        <v>422234.09035207808</v>
      </c>
      <c r="J1821" s="389">
        <f t="shared" si="259"/>
        <v>0</v>
      </c>
      <c r="L1821" s="721">
        <v>133881</v>
      </c>
      <c r="M1821" s="581"/>
      <c r="N1821" s="585" t="s">
        <v>3787</v>
      </c>
      <c r="O1821" s="586" t="s">
        <v>4681</v>
      </c>
      <c r="P1821" s="233">
        <f t="shared" si="260"/>
        <v>11560</v>
      </c>
      <c r="Q1821" s="233">
        <f t="shared" si="261"/>
        <v>133881</v>
      </c>
      <c r="R1821" s="2">
        <f t="shared" si="262"/>
        <v>4.4800000000000004</v>
      </c>
      <c r="S1821" s="2">
        <f>(1/9)*cnst_fish!$C$7*(1/cnst_fish!$C$8)^(R1821-1)</f>
        <v>425.89062723618264</v>
      </c>
      <c r="T1821" s="682">
        <f t="shared" si="263"/>
        <v>4890062.4784106025</v>
      </c>
      <c r="W1821" s="818"/>
      <c r="X1821" s="818"/>
      <c r="Y1821" s="819"/>
      <c r="Z1821" s="820"/>
      <c r="AA1821" s="820"/>
      <c r="AB1821" s="821"/>
      <c r="AC1821" s="821"/>
      <c r="AD1821" s="253"/>
      <c r="AE1821" s="253"/>
    </row>
    <row r="1822" spans="1:31" ht="12.75" customHeight="1">
      <c r="A1822" t="s">
        <v>2118</v>
      </c>
      <c r="B1822" t="s">
        <v>4410</v>
      </c>
      <c r="C1822">
        <v>2613</v>
      </c>
      <c r="D1822" s="581"/>
      <c r="E1822" s="581"/>
      <c r="F1822" s="2">
        <f>(1/S1822)*cnst_fish!$C$6</f>
        <v>0.75699122913220485</v>
      </c>
      <c r="G1822" s="2">
        <f t="shared" si="264"/>
        <v>1</v>
      </c>
      <c r="H1822" s="2">
        <f t="shared" si="264"/>
        <v>0.36449057933102513</v>
      </c>
      <c r="I1822" s="2">
        <f t="shared" si="258"/>
        <v>0</v>
      </c>
      <c r="J1822" s="389">
        <f t="shared" si="259"/>
        <v>0</v>
      </c>
      <c r="L1822" s="721">
        <v>2579</v>
      </c>
      <c r="M1822" s="581"/>
      <c r="N1822" s="585" t="s">
        <v>3790</v>
      </c>
      <c r="O1822" s="586" t="s">
        <v>4680</v>
      </c>
      <c r="P1822" s="233">
        <f t="shared" si="260"/>
        <v>0</v>
      </c>
      <c r="Q1822" s="233">
        <f t="shared" si="261"/>
        <v>2579</v>
      </c>
      <c r="R1822" s="2">
        <f t="shared" si="262"/>
        <v>2.6</v>
      </c>
      <c r="S1822" s="2">
        <f>(1/9)*cnst_fish!$C$7*(1/cnst_fish!$C$8)^(R1822-1)</f>
        <v>5.6143318924211183</v>
      </c>
      <c r="T1822" s="682">
        <f t="shared" si="263"/>
        <v>1241.7861236943654</v>
      </c>
      <c r="W1822" s="822"/>
      <c r="X1822" s="822"/>
      <c r="Y1822" s="819"/>
      <c r="Z1822" s="820"/>
      <c r="AA1822" s="820"/>
      <c r="AB1822" s="821"/>
      <c r="AC1822" s="821"/>
      <c r="AD1822" s="253"/>
      <c r="AE1822" s="253"/>
    </row>
    <row r="1823" spans="1:31" ht="12.75" customHeight="1">
      <c r="A1823" t="s">
        <v>1703</v>
      </c>
      <c r="B1823" t="s">
        <v>3975</v>
      </c>
      <c r="C1823">
        <v>3268</v>
      </c>
      <c r="D1823" s="581"/>
      <c r="E1823" s="581"/>
      <c r="F1823" s="2">
        <f>(1/S1823)*cnst_fish!$C$6</f>
        <v>1.4760152601876367E-2</v>
      </c>
      <c r="G1823" s="2">
        <f t="shared" si="264"/>
        <v>1</v>
      </c>
      <c r="H1823" s="2">
        <f t="shared" si="264"/>
        <v>0.36449057933102513</v>
      </c>
      <c r="I1823" s="2">
        <f t="shared" si="258"/>
        <v>0</v>
      </c>
      <c r="J1823" s="389">
        <f t="shared" si="259"/>
        <v>0</v>
      </c>
      <c r="L1823" s="721">
        <v>1743</v>
      </c>
      <c r="M1823" s="581"/>
      <c r="N1823" s="585" t="s">
        <v>1738</v>
      </c>
      <c r="O1823" s="586" t="s">
        <v>4681</v>
      </c>
      <c r="P1823" s="233">
        <f t="shared" si="260"/>
        <v>0</v>
      </c>
      <c r="Q1823" s="233">
        <f t="shared" si="261"/>
        <v>1743</v>
      </c>
      <c r="R1823" s="2">
        <f t="shared" si="262"/>
        <v>4.3099999999999996</v>
      </c>
      <c r="S1823" s="2">
        <f>(1/9)*cnst_fish!$C$7*(1/cnst_fish!$C$8)^(R1823-1)</f>
        <v>287.93740245339495</v>
      </c>
      <c r="T1823" s="682">
        <f t="shared" si="263"/>
        <v>43042.040073028387</v>
      </c>
      <c r="W1823" s="822"/>
      <c r="X1823" s="822"/>
      <c r="Y1823" s="819"/>
      <c r="Z1823" s="820"/>
      <c r="AA1823" s="820"/>
      <c r="AB1823" s="821"/>
      <c r="AC1823" s="821"/>
      <c r="AD1823" s="253"/>
      <c r="AE1823" s="253"/>
    </row>
    <row r="1824" spans="1:31" ht="12.75" customHeight="1">
      <c r="A1824" t="s">
        <v>5369</v>
      </c>
      <c r="B1824" t="s">
        <v>8348</v>
      </c>
      <c r="C1824">
        <v>20200</v>
      </c>
      <c r="D1824" s="581"/>
      <c r="E1824" s="581"/>
      <c r="F1824" s="2">
        <f>(1/S1824)*cnst_fish!$C$6</f>
        <v>0.34601175047837884</v>
      </c>
      <c r="G1824" s="2">
        <f t="shared" si="264"/>
        <v>1</v>
      </c>
      <c r="H1824" s="2">
        <f t="shared" si="264"/>
        <v>0.36449057933102513</v>
      </c>
      <c r="I1824" s="2">
        <f t="shared" si="258"/>
        <v>0</v>
      </c>
      <c r="J1824" s="389">
        <f t="shared" si="259"/>
        <v>0</v>
      </c>
      <c r="L1824" s="721">
        <v>39514</v>
      </c>
      <c r="M1824" s="581"/>
      <c r="N1824" s="585" t="s">
        <v>1738</v>
      </c>
      <c r="O1824" s="586" t="s">
        <v>4699</v>
      </c>
      <c r="P1824" s="233">
        <f t="shared" si="260"/>
        <v>0</v>
      </c>
      <c r="Q1824" s="233">
        <f t="shared" si="261"/>
        <v>39514</v>
      </c>
      <c r="R1824" s="2">
        <f t="shared" si="262"/>
        <v>2.94</v>
      </c>
      <c r="S1824" s="2">
        <f>(1/9)*cnst_fish!$C$7*(1/cnst_fish!$C$8)^(R1824-1)</f>
        <v>12.282819858354982</v>
      </c>
      <c r="T1824" s="682">
        <f t="shared" si="263"/>
        <v>41624.253314443704</v>
      </c>
      <c r="W1824" s="818"/>
      <c r="X1824" s="818"/>
      <c r="Y1824" s="819"/>
      <c r="Z1824" s="820"/>
      <c r="AA1824" s="820"/>
      <c r="AB1824" s="821"/>
      <c r="AC1824" s="821"/>
      <c r="AD1824" s="253"/>
      <c r="AE1824" s="253"/>
    </row>
    <row r="1825" spans="1:31" ht="12.75" customHeight="1">
      <c r="A1825" t="s">
        <v>2478</v>
      </c>
      <c r="B1825" t="s">
        <v>5542</v>
      </c>
      <c r="C1825">
        <v>3192</v>
      </c>
      <c r="D1825" s="581"/>
      <c r="E1825" s="581"/>
      <c r="F1825" s="2">
        <f>(1/S1825)*cnst_fish!$C$6</f>
        <v>0.40652835961739353</v>
      </c>
      <c r="G1825" s="2">
        <f t="shared" si="264"/>
        <v>1</v>
      </c>
      <c r="H1825" s="2">
        <f t="shared" si="264"/>
        <v>0.36449057933102513</v>
      </c>
      <c r="I1825" s="2">
        <f t="shared" si="258"/>
        <v>0</v>
      </c>
      <c r="J1825" s="389">
        <f t="shared" si="259"/>
        <v>0</v>
      </c>
      <c r="L1825" s="721">
        <v>75</v>
      </c>
      <c r="M1825" s="581"/>
      <c r="N1825" s="585" t="s">
        <v>1738</v>
      </c>
      <c r="O1825" s="586" t="s">
        <v>4681</v>
      </c>
      <c r="P1825" s="233">
        <f t="shared" si="260"/>
        <v>0</v>
      </c>
      <c r="Q1825" s="233">
        <f t="shared" si="261"/>
        <v>75</v>
      </c>
      <c r="R1825" s="2">
        <f t="shared" si="262"/>
        <v>2.87</v>
      </c>
      <c r="S1825" s="2">
        <f>(1/9)*cnst_fish!$C$7*(1/cnst_fish!$C$8)^(R1825-1)</f>
        <v>10.454375197833459</v>
      </c>
      <c r="T1825" s="682">
        <f t="shared" si="263"/>
        <v>67.244493042392079</v>
      </c>
      <c r="W1825" s="818"/>
      <c r="X1825" s="818"/>
      <c r="Y1825" s="819"/>
      <c r="Z1825" s="820"/>
      <c r="AA1825" s="820"/>
      <c r="AB1825" s="821"/>
      <c r="AC1825" s="821"/>
      <c r="AD1825" s="253"/>
      <c r="AE1825" s="253"/>
    </row>
    <row r="1826" spans="1:31" ht="12.75" customHeight="1">
      <c r="A1826" t="s">
        <v>3941</v>
      </c>
      <c r="B1826" t="s">
        <v>5543</v>
      </c>
      <c r="C1826">
        <v>18956</v>
      </c>
      <c r="D1826" s="581"/>
      <c r="E1826" s="581"/>
      <c r="F1826" s="2">
        <f>(1/S1826)*cnst_fish!$C$6</f>
        <v>9.5299549485983348E-2</v>
      </c>
      <c r="G1826" s="2">
        <f t="shared" si="264"/>
        <v>1</v>
      </c>
      <c r="H1826" s="2">
        <f t="shared" si="264"/>
        <v>0.36449057933102513</v>
      </c>
      <c r="I1826" s="2">
        <f t="shared" si="258"/>
        <v>0</v>
      </c>
      <c r="J1826" s="389">
        <f t="shared" si="259"/>
        <v>0</v>
      </c>
      <c r="L1826" s="721">
        <v>2274</v>
      </c>
      <c r="M1826" s="581"/>
      <c r="N1826" s="585" t="s">
        <v>1738</v>
      </c>
      <c r="O1826" s="586" t="s">
        <v>4681</v>
      </c>
      <c r="P1826" s="233">
        <f t="shared" si="260"/>
        <v>0</v>
      </c>
      <c r="Q1826" s="233">
        <f t="shared" si="261"/>
        <v>2274</v>
      </c>
      <c r="R1826" s="2">
        <f t="shared" si="262"/>
        <v>3.5</v>
      </c>
      <c r="S1826" s="2">
        <f>(1/9)*cnst_fish!$C$7*(1/cnst_fish!$C$8)^(R1826-1)</f>
        <v>44.596223412631026</v>
      </c>
      <c r="T1826" s="682">
        <f t="shared" si="263"/>
        <v>8697.329440373258</v>
      </c>
      <c r="W1826" s="818"/>
      <c r="X1826" s="818"/>
      <c r="Y1826" s="819"/>
      <c r="Z1826" s="820"/>
      <c r="AA1826" s="820"/>
      <c r="AB1826" s="821"/>
      <c r="AC1826" s="821"/>
      <c r="AD1826" s="253"/>
      <c r="AE1826" s="253"/>
    </row>
    <row r="1827" spans="1:31" ht="12.75" customHeight="1">
      <c r="A1827" t="s">
        <v>4196</v>
      </c>
      <c r="B1827" t="s">
        <v>8744</v>
      </c>
      <c r="C1827">
        <v>3193</v>
      </c>
      <c r="D1827" s="581"/>
      <c r="E1827" s="581"/>
      <c r="F1827" s="2">
        <f>(1/S1827)*cnst_fish!$C$6</f>
        <v>0.15103960722494611</v>
      </c>
      <c r="G1827" s="2">
        <f t="shared" si="264"/>
        <v>1</v>
      </c>
      <c r="H1827" s="2">
        <f t="shared" si="264"/>
        <v>0.36449057933102513</v>
      </c>
      <c r="I1827" s="2">
        <f t="shared" si="258"/>
        <v>0</v>
      </c>
      <c r="J1827" s="389">
        <f t="shared" si="259"/>
        <v>0</v>
      </c>
      <c r="L1827" s="721"/>
      <c r="M1827" s="581"/>
      <c r="N1827" s="585" t="s">
        <v>1738</v>
      </c>
      <c r="O1827" s="586" t="s">
        <v>4681</v>
      </c>
      <c r="P1827" s="233">
        <f t="shared" si="260"/>
        <v>0</v>
      </c>
      <c r="Q1827" s="233">
        <f t="shared" si="261"/>
        <v>0</v>
      </c>
      <c r="R1827" s="2">
        <f t="shared" si="262"/>
        <v>3.3</v>
      </c>
      <c r="S1827" s="2">
        <f>(1/9)*cnst_fish!$C$7*(1/cnst_fish!$C$8)^(R1827-1)</f>
        <v>28.138314698279075</v>
      </c>
      <c r="T1827" s="682">
        <f t="shared" si="263"/>
        <v>0</v>
      </c>
      <c r="W1827" s="818"/>
      <c r="X1827" s="818"/>
      <c r="Y1827" s="819"/>
      <c r="Z1827" s="820"/>
      <c r="AA1827" s="820"/>
      <c r="AB1827" s="821"/>
      <c r="AC1827" s="821"/>
      <c r="AD1827" s="253"/>
      <c r="AE1827" s="253"/>
    </row>
    <row r="1828" spans="1:31" ht="12.75" customHeight="1">
      <c r="A1828" t="s">
        <v>8349</v>
      </c>
      <c r="B1828" t="s">
        <v>8350</v>
      </c>
      <c r="C1828">
        <v>20104</v>
      </c>
      <c r="D1828" s="581"/>
      <c r="E1828" s="581"/>
      <c r="F1828" s="2">
        <f>(1/S1828)*cnst_fish!$C$6</f>
        <v>0.33813556145554602</v>
      </c>
      <c r="G1828" s="2">
        <f t="shared" ref="G1828:H1847" si="265">G$7</f>
        <v>1</v>
      </c>
      <c r="H1828" s="2">
        <f t="shared" si="265"/>
        <v>0.36449057933102513</v>
      </c>
      <c r="I1828" s="2">
        <f t="shared" si="258"/>
        <v>0</v>
      </c>
      <c r="J1828" s="389">
        <f t="shared" si="259"/>
        <v>0</v>
      </c>
      <c r="L1828" s="721">
        <v>580</v>
      </c>
      <c r="M1828" s="581"/>
      <c r="N1828" s="585" t="s">
        <v>1738</v>
      </c>
      <c r="O1828" s="586" t="s">
        <v>4681</v>
      </c>
      <c r="P1828" s="233">
        <f t="shared" si="260"/>
        <v>0</v>
      </c>
      <c r="Q1828" s="233">
        <f t="shared" si="261"/>
        <v>580</v>
      </c>
      <c r="R1828" s="2">
        <f t="shared" si="262"/>
        <v>2.95</v>
      </c>
      <c r="S1828" s="2">
        <f>(1/9)*cnst_fish!$C$7*(1/cnst_fish!$C$8)^(R1828-1)</f>
        <v>12.568923486501548</v>
      </c>
      <c r="T1828" s="682">
        <f t="shared" si="263"/>
        <v>625.20645596096972</v>
      </c>
      <c r="W1828" s="818"/>
      <c r="X1828" s="818"/>
      <c r="Y1828" s="819"/>
      <c r="Z1828" s="820"/>
      <c r="AA1828" s="820"/>
      <c r="AB1828" s="821"/>
      <c r="AC1828" s="821"/>
      <c r="AD1828" s="253"/>
      <c r="AE1828" s="253"/>
    </row>
    <row r="1829" spans="1:31" ht="12.75" customHeight="1">
      <c r="A1829" t="s">
        <v>4261</v>
      </c>
      <c r="B1829" t="s">
        <v>6656</v>
      </c>
      <c r="C1829">
        <v>14918</v>
      </c>
      <c r="D1829" s="581"/>
      <c r="E1829" s="581"/>
      <c r="F1829" s="2">
        <f>(1/S1829)*cnst_fish!$C$6</f>
        <v>0.19014759972289441</v>
      </c>
      <c r="G1829" s="2">
        <f t="shared" si="265"/>
        <v>1</v>
      </c>
      <c r="H1829" s="2">
        <f t="shared" si="265"/>
        <v>0.36449057933102513</v>
      </c>
      <c r="I1829" s="2">
        <f t="shared" si="258"/>
        <v>0</v>
      </c>
      <c r="J1829" s="389">
        <f t="shared" si="259"/>
        <v>0</v>
      </c>
      <c r="L1829" s="721"/>
      <c r="M1829" s="581">
        <v>19</v>
      </c>
      <c r="N1829" s="585" t="s">
        <v>1738</v>
      </c>
      <c r="O1829" s="586" t="s">
        <v>4685</v>
      </c>
      <c r="P1829" s="233">
        <f t="shared" si="260"/>
        <v>0</v>
      </c>
      <c r="Q1829" s="233">
        <f t="shared" si="261"/>
        <v>19</v>
      </c>
      <c r="R1829" s="2">
        <f t="shared" si="262"/>
        <v>3.2</v>
      </c>
      <c r="S1829" s="2">
        <f>(1/9)*cnst_fish!$C$7*(1/cnst_fish!$C$8)^(R1829-1)</f>
        <v>22.351057842400341</v>
      </c>
      <c r="T1829" s="682">
        <f t="shared" si="263"/>
        <v>36.420764802615835</v>
      </c>
      <c r="W1829" s="818"/>
      <c r="X1829" s="818"/>
      <c r="Y1829" s="819"/>
      <c r="Z1829" s="820"/>
      <c r="AA1829" s="820"/>
      <c r="AB1829" s="821"/>
      <c r="AC1829" s="821"/>
      <c r="AD1829" s="253"/>
      <c r="AE1829" s="253"/>
    </row>
    <row r="1830" spans="1:31" ht="12.75" customHeight="1">
      <c r="A1830" t="s">
        <v>3281</v>
      </c>
      <c r="B1830" t="s">
        <v>83</v>
      </c>
      <c r="C1830">
        <v>2048</v>
      </c>
      <c r="D1830" s="581"/>
      <c r="E1830" s="581"/>
      <c r="F1830" s="2">
        <f>(1/S1830)*cnst_fish!$C$6</f>
        <v>7.0646532025323075E-2</v>
      </c>
      <c r="G1830" s="2">
        <f t="shared" si="265"/>
        <v>1</v>
      </c>
      <c r="H1830" s="2">
        <f t="shared" si="265"/>
        <v>0.36449057933102513</v>
      </c>
      <c r="I1830" s="2">
        <f t="shared" si="258"/>
        <v>0</v>
      </c>
      <c r="J1830" s="389">
        <f t="shared" si="259"/>
        <v>0</v>
      </c>
      <c r="L1830" s="721">
        <v>3788</v>
      </c>
      <c r="M1830" s="581"/>
      <c r="N1830" s="585" t="s">
        <v>1738</v>
      </c>
      <c r="O1830" s="586" t="s">
        <v>4681</v>
      </c>
      <c r="P1830" s="233">
        <f t="shared" si="260"/>
        <v>0</v>
      </c>
      <c r="Q1830" s="233">
        <f t="shared" si="261"/>
        <v>3788</v>
      </c>
      <c r="R1830" s="2">
        <f t="shared" si="262"/>
        <v>3.63</v>
      </c>
      <c r="S1830" s="2">
        <f>(1/9)*cnst_fish!$C$7*(1/cnst_fish!$C$8)^(R1830-1)</f>
        <v>60.158650087404119</v>
      </c>
      <c r="T1830" s="682">
        <f t="shared" si="263"/>
        <v>19543.638943395243</v>
      </c>
      <c r="W1830" s="818"/>
      <c r="X1830" s="818"/>
      <c r="Y1830" s="819"/>
      <c r="Z1830" s="820"/>
      <c r="AA1830" s="820"/>
      <c r="AB1830" s="821"/>
      <c r="AC1830" s="821"/>
      <c r="AD1830" s="253"/>
      <c r="AE1830" s="253"/>
    </row>
    <row r="1831" spans="1:31" ht="12.75" customHeight="1">
      <c r="A1831" t="s">
        <v>6262</v>
      </c>
      <c r="B1831" t="s">
        <v>6261</v>
      </c>
      <c r="C1831">
        <v>14939</v>
      </c>
      <c r="D1831" s="581"/>
      <c r="E1831" s="581"/>
      <c r="F1831" s="2">
        <f>(1/S1831)*cnst_fish!$C$6</f>
        <v>3.0136363636363642E-2</v>
      </c>
      <c r="G1831" s="2">
        <f t="shared" si="265"/>
        <v>1</v>
      </c>
      <c r="H1831" s="2">
        <f t="shared" si="265"/>
        <v>0.36449057933102513</v>
      </c>
      <c r="I1831" s="2">
        <f t="shared" si="258"/>
        <v>0</v>
      </c>
      <c r="J1831" s="389">
        <f t="shared" si="259"/>
        <v>0</v>
      </c>
      <c r="L1831" s="721">
        <v>1769.9</v>
      </c>
      <c r="M1831" s="581"/>
      <c r="N1831" s="585" t="s">
        <v>1738</v>
      </c>
      <c r="O1831" s="586" t="s">
        <v>4681</v>
      </c>
      <c r="P1831" s="233">
        <f t="shared" si="260"/>
        <v>0</v>
      </c>
      <c r="Q1831" s="233">
        <f t="shared" si="261"/>
        <v>1769.9</v>
      </c>
      <c r="R1831" s="2">
        <f t="shared" si="262"/>
        <v>4</v>
      </c>
      <c r="S1831" s="2">
        <f>(1/9)*cnst_fish!$C$7*(1/cnst_fish!$C$8)^(R1831-1)</f>
        <v>141.02564102564099</v>
      </c>
      <c r="T1831" s="682">
        <f t="shared" si="263"/>
        <v>21406.427269797266</v>
      </c>
      <c r="W1831" s="818"/>
      <c r="X1831" s="818"/>
      <c r="Y1831" s="819"/>
      <c r="Z1831" s="820"/>
      <c r="AA1831" s="820"/>
      <c r="AB1831" s="821"/>
      <c r="AC1831" s="821"/>
      <c r="AD1831" s="253"/>
      <c r="AE1831" s="253"/>
    </row>
    <row r="1832" spans="1:31" ht="12.75" customHeight="1">
      <c r="A1832" t="s">
        <v>3812</v>
      </c>
      <c r="B1832" t="s">
        <v>84</v>
      </c>
      <c r="C1832">
        <v>2847</v>
      </c>
      <c r="D1832" s="581"/>
      <c r="E1832" s="581"/>
      <c r="F1832" s="2">
        <f>(1/S1832)*cnst_fish!$C$6</f>
        <v>7.9266712664847111E-2</v>
      </c>
      <c r="G1832" s="2">
        <f t="shared" si="265"/>
        <v>1</v>
      </c>
      <c r="H1832" s="2">
        <f t="shared" si="265"/>
        <v>0.36449057933102513</v>
      </c>
      <c r="I1832" s="2">
        <f t="shared" si="258"/>
        <v>0</v>
      </c>
      <c r="J1832" s="389">
        <f t="shared" si="259"/>
        <v>0</v>
      </c>
      <c r="L1832" s="721">
        <v>53</v>
      </c>
      <c r="M1832" s="581"/>
      <c r="N1832" s="585" t="s">
        <v>1738</v>
      </c>
      <c r="O1832" s="586" t="s">
        <v>4681</v>
      </c>
      <c r="P1832" s="233">
        <f t="shared" si="260"/>
        <v>0</v>
      </c>
      <c r="Q1832" s="233">
        <f t="shared" si="261"/>
        <v>53</v>
      </c>
      <c r="R1832" s="2">
        <f t="shared" si="262"/>
        <v>3.58</v>
      </c>
      <c r="S1832" s="2">
        <f>(1/9)*cnst_fish!$C$7*(1/cnst_fish!$C$8)^(R1832-1)</f>
        <v>53.616453327258682</v>
      </c>
      <c r="T1832" s="682">
        <f t="shared" si="263"/>
        <v>243.70886662380039</v>
      </c>
      <c r="W1832" s="818"/>
      <c r="X1832" s="818"/>
      <c r="Y1832" s="819"/>
      <c r="Z1832" s="820"/>
      <c r="AA1832" s="820"/>
      <c r="AB1832" s="821"/>
      <c r="AC1832" s="821"/>
      <c r="AD1832" s="253"/>
      <c r="AE1832" s="253"/>
    </row>
    <row r="1833" spans="1:31" ht="12.75" customHeight="1">
      <c r="A1833" t="s">
        <v>1986</v>
      </c>
      <c r="B1833" t="s">
        <v>3064</v>
      </c>
      <c r="C1833">
        <v>2049</v>
      </c>
      <c r="D1833" s="581"/>
      <c r="E1833" s="581"/>
      <c r="F1833" s="2">
        <f>(1/S1833)*cnst_fish!$C$6</f>
        <v>8.6914222116951781E-2</v>
      </c>
      <c r="G1833" s="2">
        <f t="shared" si="265"/>
        <v>1</v>
      </c>
      <c r="H1833" s="2">
        <f t="shared" si="265"/>
        <v>0.36449057933102513</v>
      </c>
      <c r="I1833" s="2">
        <f t="shared" si="258"/>
        <v>0</v>
      </c>
      <c r="J1833" s="389">
        <f t="shared" si="259"/>
        <v>0</v>
      </c>
      <c r="L1833" s="721">
        <v>101</v>
      </c>
      <c r="M1833" s="581"/>
      <c r="N1833" s="585" t="s">
        <v>1738</v>
      </c>
      <c r="O1833" s="586" t="s">
        <v>4681</v>
      </c>
      <c r="P1833" s="233">
        <f t="shared" si="260"/>
        <v>0</v>
      </c>
      <c r="Q1833" s="233">
        <f t="shared" si="261"/>
        <v>101</v>
      </c>
      <c r="R1833" s="2">
        <f t="shared" si="262"/>
        <v>3.54</v>
      </c>
      <c r="S1833" s="2">
        <f>(1/9)*cnst_fish!$C$7*(1/cnst_fish!$C$8)^(R1833-1)</f>
        <v>48.898786602280119</v>
      </c>
      <c r="T1833" s="682">
        <f t="shared" si="263"/>
        <v>423.56184771345272</v>
      </c>
      <c r="W1833" s="818"/>
      <c r="X1833" s="818"/>
      <c r="Y1833" s="819"/>
      <c r="Z1833" s="820"/>
      <c r="AA1833" s="820"/>
      <c r="AB1833" s="821"/>
      <c r="AC1833" s="821"/>
      <c r="AD1833" s="253"/>
      <c r="AE1833" s="253"/>
    </row>
    <row r="1834" spans="1:31" ht="12.75" customHeight="1">
      <c r="A1834" t="s">
        <v>6340</v>
      </c>
      <c r="B1834" t="s">
        <v>6339</v>
      </c>
      <c r="C1834">
        <v>14955</v>
      </c>
      <c r="D1834" s="581"/>
      <c r="E1834" s="581"/>
      <c r="F1834" s="2">
        <f>(1/S1834)*cnst_fish!$C$6</f>
        <v>3.0136363636363641</v>
      </c>
      <c r="G1834" s="2">
        <f t="shared" si="265"/>
        <v>1</v>
      </c>
      <c r="H1834" s="2">
        <f t="shared" si="265"/>
        <v>0.36449057933102513</v>
      </c>
      <c r="I1834" s="2">
        <f t="shared" si="258"/>
        <v>0</v>
      </c>
      <c r="J1834" s="389">
        <f t="shared" si="259"/>
        <v>0</v>
      </c>
      <c r="L1834" s="721">
        <v>8</v>
      </c>
      <c r="M1834" s="581"/>
      <c r="N1834" s="585" t="s">
        <v>1738</v>
      </c>
      <c r="O1834" s="586" t="s">
        <v>4681</v>
      </c>
      <c r="P1834" s="233">
        <f t="shared" si="260"/>
        <v>0</v>
      </c>
      <c r="Q1834" s="233">
        <f t="shared" si="261"/>
        <v>8</v>
      </c>
      <c r="R1834" s="2">
        <f t="shared" si="262"/>
        <v>2</v>
      </c>
      <c r="S1834" s="2">
        <f>(1/9)*cnst_fish!$C$7*(1/cnst_fish!$C$8)^(R1834-1)</f>
        <v>1.4102564102564099</v>
      </c>
      <c r="T1834" s="682">
        <f t="shared" si="263"/>
        <v>0.96757680184404837</v>
      </c>
      <c r="W1834" s="818"/>
      <c r="X1834" s="818"/>
      <c r="Y1834" s="819"/>
      <c r="Z1834" s="820"/>
      <c r="AA1834" s="820"/>
      <c r="AB1834" s="821"/>
      <c r="AC1834" s="821"/>
      <c r="AD1834" s="253"/>
      <c r="AE1834" s="253"/>
    </row>
    <row r="1835" spans="1:31" ht="12.75" customHeight="1">
      <c r="A1835" t="s">
        <v>3339</v>
      </c>
      <c r="B1835" t="s">
        <v>3685</v>
      </c>
      <c r="C1835">
        <v>14961</v>
      </c>
      <c r="D1835" s="581"/>
      <c r="E1835" s="581"/>
      <c r="F1835" s="2">
        <f>(1/S1835)*cnst_fish!$C$6</f>
        <v>8.4935812883106004E-2</v>
      </c>
      <c r="G1835" s="2">
        <f t="shared" si="265"/>
        <v>1</v>
      </c>
      <c r="H1835" s="2">
        <f t="shared" si="265"/>
        <v>0.36449057933102513</v>
      </c>
      <c r="I1835" s="2">
        <f t="shared" si="258"/>
        <v>0</v>
      </c>
      <c r="J1835" s="389">
        <f t="shared" si="259"/>
        <v>0</v>
      </c>
      <c r="L1835" s="721">
        <v>0</v>
      </c>
      <c r="M1835" s="581"/>
      <c r="N1835" s="585" t="s">
        <v>1738</v>
      </c>
      <c r="O1835" s="586" t="s">
        <v>4681</v>
      </c>
      <c r="P1835" s="233">
        <f t="shared" si="260"/>
        <v>0</v>
      </c>
      <c r="Q1835" s="233">
        <f t="shared" si="261"/>
        <v>0</v>
      </c>
      <c r="R1835" s="2">
        <f t="shared" si="262"/>
        <v>3.55</v>
      </c>
      <c r="S1835" s="2">
        <f>(1/9)*cnst_fish!$C$7*(1/cnst_fish!$C$8)^(R1835-1)</f>
        <v>50.037785661145278</v>
      </c>
      <c r="T1835" s="682">
        <f t="shared" si="263"/>
        <v>0</v>
      </c>
      <c r="W1835" s="818"/>
      <c r="X1835" s="818"/>
      <c r="Y1835" s="819"/>
      <c r="Z1835" s="820"/>
      <c r="AA1835" s="820"/>
      <c r="AB1835" s="821"/>
      <c r="AC1835" s="821"/>
      <c r="AD1835" s="253"/>
      <c r="AE1835" s="253"/>
    </row>
    <row r="1836" spans="1:31" ht="12.75" customHeight="1">
      <c r="A1836" t="s">
        <v>6345</v>
      </c>
      <c r="B1836" t="s">
        <v>6344</v>
      </c>
      <c r="C1836">
        <v>14972</v>
      </c>
      <c r="D1836" s="581"/>
      <c r="E1836" s="581"/>
      <c r="F1836" s="2">
        <f>(1/S1836)*cnst_fish!$C$6</f>
        <v>9.5299549485983348E-2</v>
      </c>
      <c r="G1836" s="2">
        <f t="shared" si="265"/>
        <v>1</v>
      </c>
      <c r="H1836" s="2">
        <f t="shared" si="265"/>
        <v>0.36449057933102513</v>
      </c>
      <c r="I1836" s="2">
        <f t="shared" si="258"/>
        <v>0</v>
      </c>
      <c r="J1836" s="389">
        <f t="shared" si="259"/>
        <v>0</v>
      </c>
      <c r="L1836" s="721"/>
      <c r="M1836" s="581"/>
      <c r="N1836" s="585" t="s">
        <v>1738</v>
      </c>
      <c r="O1836" s="586" t="s">
        <v>4681</v>
      </c>
      <c r="P1836" s="233">
        <f t="shared" si="260"/>
        <v>0</v>
      </c>
      <c r="Q1836" s="233">
        <f t="shared" si="261"/>
        <v>0</v>
      </c>
      <c r="R1836" s="2">
        <f t="shared" si="262"/>
        <v>3.5</v>
      </c>
      <c r="S1836" s="2">
        <f>(1/9)*cnst_fish!$C$7*(1/cnst_fish!$C$8)^(R1836-1)</f>
        <v>44.596223412631026</v>
      </c>
      <c r="T1836" s="682">
        <f t="shared" si="263"/>
        <v>0</v>
      </c>
      <c r="W1836" s="818"/>
      <c r="X1836" s="818"/>
      <c r="Y1836" s="819"/>
      <c r="Z1836" s="820"/>
      <c r="AA1836" s="820"/>
      <c r="AB1836" s="821"/>
      <c r="AC1836" s="821"/>
      <c r="AD1836" s="253"/>
      <c r="AE1836" s="253"/>
    </row>
    <row r="1837" spans="1:31" ht="12.75" customHeight="1">
      <c r="A1837" t="s">
        <v>6483</v>
      </c>
      <c r="B1837" t="s">
        <v>6482</v>
      </c>
      <c r="C1837">
        <v>14976</v>
      </c>
      <c r="D1837" s="581"/>
      <c r="E1837" s="581"/>
      <c r="F1837" s="2">
        <f>(1/S1837)*cnst_fish!$C$6</f>
        <v>4.7762917572805388E-2</v>
      </c>
      <c r="G1837" s="2">
        <f t="shared" si="265"/>
        <v>1</v>
      </c>
      <c r="H1837" s="2">
        <f t="shared" si="265"/>
        <v>0.36449057933102513</v>
      </c>
      <c r="I1837" s="2">
        <f t="shared" si="258"/>
        <v>0</v>
      </c>
      <c r="J1837" s="389">
        <f t="shared" si="259"/>
        <v>0</v>
      </c>
      <c r="L1837" s="721">
        <v>273</v>
      </c>
      <c r="M1837" s="581"/>
      <c r="N1837" s="585" t="s">
        <v>1738</v>
      </c>
      <c r="O1837" s="586" t="s">
        <v>4681</v>
      </c>
      <c r="P1837" s="233">
        <f t="shared" si="260"/>
        <v>0</v>
      </c>
      <c r="Q1837" s="233">
        <f t="shared" si="261"/>
        <v>273</v>
      </c>
      <c r="R1837" s="2">
        <f t="shared" si="262"/>
        <v>3.8</v>
      </c>
      <c r="S1837" s="2">
        <f>(1/9)*cnst_fish!$C$7*(1/cnst_fish!$C$8)^(R1837-1)</f>
        <v>88.981163965155432</v>
      </c>
      <c r="T1837" s="682">
        <f t="shared" si="263"/>
        <v>2083.330190323742</v>
      </c>
      <c r="W1837" s="818"/>
      <c r="X1837" s="818"/>
      <c r="Y1837" s="819"/>
      <c r="Z1837" s="820"/>
      <c r="AA1837" s="820"/>
      <c r="AB1837" s="821"/>
      <c r="AC1837" s="821"/>
      <c r="AD1837" s="253"/>
      <c r="AE1837" s="253"/>
    </row>
    <row r="1838" spans="1:31" ht="12.75" customHeight="1">
      <c r="A1838" t="s">
        <v>9046</v>
      </c>
      <c r="B1838" t="s">
        <v>9047</v>
      </c>
      <c r="C1838">
        <v>14978</v>
      </c>
      <c r="D1838" s="581"/>
      <c r="E1838" s="581"/>
      <c r="F1838" s="869">
        <f>(1/S1838)*cnst_fish!$C$6</f>
        <v>7.5699122913220479E-2</v>
      </c>
      <c r="G1838" s="869">
        <f t="shared" si="265"/>
        <v>1</v>
      </c>
      <c r="H1838" s="869">
        <f t="shared" si="265"/>
        <v>0.36449057933102513</v>
      </c>
      <c r="I1838" s="869">
        <f t="shared" si="258"/>
        <v>0</v>
      </c>
      <c r="J1838" s="389">
        <f t="shared" si="259"/>
        <v>0</v>
      </c>
      <c r="L1838" s="721">
        <v>17</v>
      </c>
      <c r="M1838" s="581"/>
      <c r="N1838" s="877" t="s">
        <v>1738</v>
      </c>
      <c r="O1838" s="881" t="s">
        <v>4681</v>
      </c>
      <c r="P1838" s="871">
        <f t="shared" si="260"/>
        <v>0</v>
      </c>
      <c r="Q1838" s="871">
        <f t="shared" si="261"/>
        <v>17</v>
      </c>
      <c r="R1838" s="869">
        <f t="shared" si="262"/>
        <v>3.6</v>
      </c>
      <c r="S1838" s="869">
        <f>(1/9)*cnst_fish!$C$7*(1/cnst_fish!$C$8)^(R1838-1)</f>
        <v>56.143318924211187</v>
      </c>
      <c r="T1838" s="682">
        <f t="shared" si="263"/>
        <v>81.854843361008975</v>
      </c>
      <c r="W1838" s="818"/>
      <c r="X1838" s="818"/>
      <c r="Y1838" s="819"/>
      <c r="Z1838" s="820"/>
      <c r="AA1838" s="820"/>
      <c r="AB1838" s="821"/>
      <c r="AC1838" s="821"/>
      <c r="AD1838" s="253"/>
      <c r="AE1838" s="253"/>
    </row>
    <row r="1839" spans="1:31" ht="12.75" customHeight="1">
      <c r="A1839" t="s">
        <v>6516</v>
      </c>
      <c r="B1839" t="s">
        <v>6515</v>
      </c>
      <c r="C1839">
        <v>14984</v>
      </c>
      <c r="D1839" s="581"/>
      <c r="E1839" s="581"/>
      <c r="F1839" s="2">
        <f>(1/S1839)*cnst_fish!$C$6</f>
        <v>1.5103960722494611E-2</v>
      </c>
      <c r="G1839" s="2">
        <f t="shared" si="265"/>
        <v>1</v>
      </c>
      <c r="H1839" s="2">
        <f t="shared" si="265"/>
        <v>0.36449057933102513</v>
      </c>
      <c r="I1839" s="2">
        <f t="shared" si="258"/>
        <v>0</v>
      </c>
      <c r="J1839" s="389">
        <f t="shared" si="259"/>
        <v>0</v>
      </c>
      <c r="L1839" s="721">
        <v>3612.64</v>
      </c>
      <c r="M1839" s="581"/>
      <c r="N1839" s="585" t="s">
        <v>1738</v>
      </c>
      <c r="O1839" s="586" t="s">
        <v>4681</v>
      </c>
      <c r="P1839" s="233">
        <f t="shared" si="260"/>
        <v>0</v>
      </c>
      <c r="Q1839" s="233">
        <f t="shared" si="261"/>
        <v>3612.64</v>
      </c>
      <c r="R1839" s="2">
        <f t="shared" si="262"/>
        <v>4.3</v>
      </c>
      <c r="S1839" s="2">
        <f>(1/9)*cnst_fish!$C$7*(1/cnst_fish!$C$8)^(R1839-1)</f>
        <v>281.38314698279078</v>
      </c>
      <c r="T1839" s="682">
        <f t="shared" si="263"/>
        <v>87180.658815759482</v>
      </c>
      <c r="W1839" s="818"/>
      <c r="X1839" s="818"/>
      <c r="Y1839" s="819"/>
      <c r="Z1839" s="820"/>
      <c r="AA1839" s="820"/>
      <c r="AB1839" s="821"/>
      <c r="AC1839" s="821"/>
      <c r="AD1839" s="253"/>
      <c r="AE1839" s="253"/>
    </row>
    <row r="1840" spans="1:31" ht="12.75" customHeight="1">
      <c r="A1840" t="s">
        <v>8899</v>
      </c>
      <c r="B1840" t="s">
        <v>8900</v>
      </c>
      <c r="C1840">
        <v>14985</v>
      </c>
      <c r="D1840" s="581"/>
      <c r="E1840" s="581"/>
      <c r="F1840" s="2">
        <f>(1/S1840)*cnst_fish!$C$6</f>
        <v>1.5103960722494611E-2</v>
      </c>
      <c r="G1840" s="2">
        <f t="shared" si="265"/>
        <v>1</v>
      </c>
      <c r="H1840" s="2">
        <f t="shared" si="265"/>
        <v>0.36449057933102513</v>
      </c>
      <c r="I1840" s="2">
        <f t="shared" si="258"/>
        <v>0</v>
      </c>
      <c r="J1840" s="389">
        <f t="shared" si="259"/>
        <v>0</v>
      </c>
      <c r="L1840" s="721">
        <v>110</v>
      </c>
      <c r="M1840" s="581"/>
      <c r="N1840" s="585" t="s">
        <v>3785</v>
      </c>
      <c r="O1840" s="586" t="s">
        <v>4681</v>
      </c>
      <c r="P1840" s="233">
        <f t="shared" si="260"/>
        <v>0</v>
      </c>
      <c r="Q1840" s="233">
        <f t="shared" si="261"/>
        <v>110</v>
      </c>
      <c r="R1840" s="2">
        <f t="shared" si="262"/>
        <v>4.3</v>
      </c>
      <c r="S1840" s="2">
        <f>(1/9)*cnst_fish!$C$7*(1/cnst_fish!$C$8)^(R1840-1)</f>
        <v>281.38314698279078</v>
      </c>
      <c r="T1840" s="682">
        <f t="shared" si="263"/>
        <v>2654.5331031416199</v>
      </c>
      <c r="W1840" s="818"/>
      <c r="X1840" s="818"/>
      <c r="Y1840" s="819"/>
      <c r="Z1840" s="820"/>
      <c r="AA1840" s="820"/>
      <c r="AB1840" s="821"/>
      <c r="AC1840" s="821"/>
      <c r="AD1840" s="253"/>
      <c r="AE1840" s="253"/>
    </row>
    <row r="1841" spans="1:31" ht="12.75" customHeight="1">
      <c r="A1841" t="s">
        <v>8901</v>
      </c>
      <c r="B1841" t="s">
        <v>8902</v>
      </c>
      <c r="C1841">
        <v>14988</v>
      </c>
      <c r="D1841" s="581"/>
      <c r="E1841" s="581"/>
      <c r="F1841" s="2">
        <f>(1/S1841)*cnst_fish!$C$6</f>
        <v>3.0136363636363642E-2</v>
      </c>
      <c r="G1841" s="2">
        <f t="shared" si="265"/>
        <v>1</v>
      </c>
      <c r="H1841" s="2">
        <f t="shared" si="265"/>
        <v>0.36449057933102513</v>
      </c>
      <c r="I1841" s="2">
        <f t="shared" si="258"/>
        <v>0</v>
      </c>
      <c r="J1841" s="389">
        <f t="shared" si="259"/>
        <v>0</v>
      </c>
      <c r="L1841" s="721">
        <v>283</v>
      </c>
      <c r="M1841" s="581"/>
      <c r="N1841" s="585" t="s">
        <v>3785</v>
      </c>
      <c r="O1841" s="586" t="s">
        <v>4681</v>
      </c>
      <c r="P1841" s="233">
        <f t="shared" si="260"/>
        <v>0</v>
      </c>
      <c r="Q1841" s="233">
        <f t="shared" si="261"/>
        <v>283</v>
      </c>
      <c r="R1841" s="2">
        <f t="shared" si="262"/>
        <v>4</v>
      </c>
      <c r="S1841" s="2">
        <f>(1/9)*cnst_fish!$C$7*(1/cnst_fish!$C$8)^(R1841-1)</f>
        <v>141.02564102564099</v>
      </c>
      <c r="T1841" s="682">
        <f t="shared" si="263"/>
        <v>3422.802936523321</v>
      </c>
      <c r="W1841" s="818"/>
      <c r="X1841" s="818"/>
      <c r="Y1841" s="819"/>
      <c r="Z1841" s="820"/>
      <c r="AA1841" s="820"/>
      <c r="AB1841" s="821"/>
      <c r="AC1841" s="821"/>
      <c r="AD1841" s="253"/>
      <c r="AE1841" s="253"/>
    </row>
    <row r="1842" spans="1:31" ht="12.75" customHeight="1">
      <c r="A1842" t="s">
        <v>338</v>
      </c>
      <c r="B1842" t="s">
        <v>339</v>
      </c>
      <c r="C1842">
        <v>2820</v>
      </c>
      <c r="D1842" s="581"/>
      <c r="E1842" s="581"/>
      <c r="F1842" s="2">
        <f>(1/S1842)*cnst_fish!$C$6</f>
        <v>1.6184185499703532E-2</v>
      </c>
      <c r="G1842" s="2">
        <f t="shared" si="265"/>
        <v>1</v>
      </c>
      <c r="H1842" s="2">
        <f t="shared" si="265"/>
        <v>0.36449057933102513</v>
      </c>
      <c r="I1842" s="2">
        <f t="shared" si="258"/>
        <v>0</v>
      </c>
      <c r="J1842" s="389">
        <f t="shared" si="259"/>
        <v>0</v>
      </c>
      <c r="L1842" s="721">
        <v>550</v>
      </c>
      <c r="M1842" s="581"/>
      <c r="N1842" s="585" t="s">
        <v>3785</v>
      </c>
      <c r="O1842" s="586" t="s">
        <v>4681</v>
      </c>
      <c r="P1842" s="233">
        <f t="shared" si="260"/>
        <v>0</v>
      </c>
      <c r="Q1842" s="233">
        <f t="shared" si="261"/>
        <v>550</v>
      </c>
      <c r="R1842" s="2">
        <f t="shared" si="262"/>
        <v>4.2699999999999996</v>
      </c>
      <c r="S1842" s="2">
        <f>(1/9)*cnst_fish!$C$7*(1/cnst_fish!$C$8)^(R1842-1)</f>
        <v>262.60203209348123</v>
      </c>
      <c r="T1842" s="682">
        <f t="shared" si="263"/>
        <v>12386.772175574488</v>
      </c>
      <c r="W1842" s="818"/>
      <c r="X1842" s="818"/>
      <c r="Y1842" s="819"/>
      <c r="Z1842" s="820"/>
      <c r="AA1842" s="820"/>
      <c r="AB1842" s="821"/>
      <c r="AC1842" s="821"/>
      <c r="AD1842" s="253"/>
      <c r="AE1842" s="253"/>
    </row>
    <row r="1843" spans="1:31" ht="12.75" customHeight="1">
      <c r="A1843" t="s">
        <v>1451</v>
      </c>
      <c r="B1843" t="s">
        <v>1728</v>
      </c>
      <c r="C1843">
        <v>3634</v>
      </c>
      <c r="D1843" s="581">
        <v>0</v>
      </c>
      <c r="E1843" s="581"/>
      <c r="F1843" s="2">
        <f>(1/S1843)*cnst_fish!$C$6</f>
        <v>30.136363636363644</v>
      </c>
      <c r="G1843" s="2">
        <f t="shared" si="265"/>
        <v>1</v>
      </c>
      <c r="H1843" s="2">
        <f t="shared" si="265"/>
        <v>0.36449057933102513</v>
      </c>
      <c r="I1843" s="2">
        <f t="shared" si="258"/>
        <v>0</v>
      </c>
      <c r="J1843" s="389">
        <f t="shared" si="259"/>
        <v>0</v>
      </c>
      <c r="L1843" s="721">
        <v>68094.459999999992</v>
      </c>
      <c r="M1843" s="581"/>
      <c r="N1843" s="585" t="s">
        <v>1740</v>
      </c>
      <c r="O1843" s="586" t="s">
        <v>4671</v>
      </c>
      <c r="P1843" s="233">
        <f t="shared" si="260"/>
        <v>0</v>
      </c>
      <c r="Q1843" s="233">
        <f t="shared" si="261"/>
        <v>68094.459999999992</v>
      </c>
      <c r="R1843" s="2">
        <f t="shared" si="262"/>
        <v>1</v>
      </c>
      <c r="S1843" s="2">
        <f>(1/9)*cnst_fish!$C$7*(1/cnst_fish!$C$8)^(R1843-1)</f>
        <v>0.141025641025641</v>
      </c>
      <c r="T1843" s="682">
        <f t="shared" si="263"/>
        <v>823.58274787621838</v>
      </c>
      <c r="W1843" s="818"/>
      <c r="X1843" s="818"/>
      <c r="Y1843" s="819"/>
      <c r="Z1843" s="820"/>
      <c r="AA1843" s="820"/>
      <c r="AB1843" s="821"/>
      <c r="AC1843" s="821"/>
      <c r="AD1843" s="253"/>
      <c r="AE1843" s="253"/>
    </row>
    <row r="1844" spans="1:31" ht="12.75" customHeight="1">
      <c r="A1844" t="s">
        <v>5220</v>
      </c>
      <c r="B1844" t="s">
        <v>3141</v>
      </c>
      <c r="C1844">
        <v>14996</v>
      </c>
      <c r="D1844" s="581"/>
      <c r="E1844" s="581"/>
      <c r="F1844" s="2">
        <f>(1/S1844)*cnst_fish!$C$6</f>
        <v>1.4095836303336913E-2</v>
      </c>
      <c r="G1844" s="2">
        <f t="shared" si="265"/>
        <v>1</v>
      </c>
      <c r="H1844" s="2">
        <f t="shared" si="265"/>
        <v>0.36449057933102513</v>
      </c>
      <c r="I1844" s="2">
        <f t="shared" si="258"/>
        <v>0</v>
      </c>
      <c r="J1844" s="389">
        <f t="shared" si="259"/>
        <v>0</v>
      </c>
      <c r="L1844" s="721">
        <v>3554</v>
      </c>
      <c r="M1844" s="581"/>
      <c r="N1844" s="585" t="s">
        <v>1738</v>
      </c>
      <c r="O1844" s="586" t="s">
        <v>4681</v>
      </c>
      <c r="P1844" s="233">
        <f t="shared" si="260"/>
        <v>0</v>
      </c>
      <c r="Q1844" s="233">
        <f t="shared" si="261"/>
        <v>3554</v>
      </c>
      <c r="R1844" s="2">
        <f t="shared" si="262"/>
        <v>4.33</v>
      </c>
      <c r="S1844" s="2">
        <f>(1/9)*cnst_fish!$C$7*(1/cnst_fish!$C$8)^(R1844-1)</f>
        <v>301.50747416057146</v>
      </c>
      <c r="T1844" s="682">
        <f t="shared" si="263"/>
        <v>91899.443996508591</v>
      </c>
      <c r="W1844" s="818"/>
      <c r="X1844" s="818"/>
      <c r="Y1844" s="819"/>
      <c r="Z1844" s="820"/>
      <c r="AA1844" s="820"/>
      <c r="AB1844" s="821"/>
      <c r="AC1844" s="821"/>
      <c r="AD1844" s="253"/>
      <c r="AE1844" s="253"/>
    </row>
    <row r="1845" spans="1:31" ht="12.75" customHeight="1">
      <c r="A1845" t="s">
        <v>6600</v>
      </c>
      <c r="B1845" t="s">
        <v>1345</v>
      </c>
      <c r="C1845">
        <v>3366</v>
      </c>
      <c r="D1845" s="581"/>
      <c r="E1845" s="581"/>
      <c r="F1845" s="2">
        <f>(1/S1845)*cnst_fish!$C$6</f>
        <v>0.26247675460949144</v>
      </c>
      <c r="G1845" s="2">
        <f t="shared" si="265"/>
        <v>1</v>
      </c>
      <c r="H1845" s="2">
        <f t="shared" si="265"/>
        <v>0.36449057933102513</v>
      </c>
      <c r="I1845" s="2">
        <f t="shared" si="258"/>
        <v>0</v>
      </c>
      <c r="J1845" s="389">
        <f t="shared" si="259"/>
        <v>0</v>
      </c>
      <c r="L1845" s="721">
        <v>0</v>
      </c>
      <c r="M1845" s="581"/>
      <c r="N1845" s="585" t="s">
        <v>1739</v>
      </c>
      <c r="O1845" s="586" t="s">
        <v>4681</v>
      </c>
      <c r="P1845" s="233">
        <f t="shared" si="260"/>
        <v>0</v>
      </c>
      <c r="Q1845" s="233">
        <f t="shared" si="261"/>
        <v>0</v>
      </c>
      <c r="R1845" s="2">
        <f t="shared" si="262"/>
        <v>3.06</v>
      </c>
      <c r="S1845" s="2">
        <f>(1/9)*cnst_fish!$C$7*(1/cnst_fish!$C$8)^(R1845-1)</f>
        <v>16.19191004675092</v>
      </c>
      <c r="T1845" s="682">
        <f t="shared" si="263"/>
        <v>0</v>
      </c>
      <c r="W1845" s="818"/>
      <c r="X1845" s="818"/>
      <c r="Y1845" s="819"/>
      <c r="Z1845" s="820"/>
      <c r="AA1845" s="820"/>
      <c r="AB1845" s="821"/>
      <c r="AC1845" s="821"/>
      <c r="AD1845" s="253"/>
      <c r="AE1845" s="253"/>
    </row>
    <row r="1846" spans="1:31" ht="12.75" customHeight="1">
      <c r="A1846" t="s">
        <v>6601</v>
      </c>
      <c r="B1846" t="s">
        <v>5198</v>
      </c>
      <c r="C1846">
        <v>2758</v>
      </c>
      <c r="D1846" s="581"/>
      <c r="E1846" s="581"/>
      <c r="F1846" s="2">
        <f>(1/S1846)*cnst_fish!$C$6</f>
        <v>1.5103960722494616</v>
      </c>
      <c r="G1846" s="2">
        <f t="shared" si="265"/>
        <v>1</v>
      </c>
      <c r="H1846" s="2">
        <f t="shared" si="265"/>
        <v>0.36449057933102513</v>
      </c>
      <c r="I1846" s="2">
        <f t="shared" si="258"/>
        <v>0</v>
      </c>
      <c r="J1846" s="389">
        <f t="shared" si="259"/>
        <v>0</v>
      </c>
      <c r="L1846" s="721">
        <v>263511.91000000003</v>
      </c>
      <c r="M1846" s="581"/>
      <c r="N1846" s="585" t="s">
        <v>1738</v>
      </c>
      <c r="O1846" s="586"/>
      <c r="P1846" s="233">
        <f t="shared" si="260"/>
        <v>0</v>
      </c>
      <c r="Q1846" s="233">
        <f t="shared" si="261"/>
        <v>263511.91000000003</v>
      </c>
      <c r="R1846" s="2">
        <f t="shared" si="262"/>
        <v>2.2999999999999998</v>
      </c>
      <c r="S1846" s="2">
        <f>(1/9)*cnst_fish!$C$7*(1/cnst_fish!$C$8)^(R1846-1)</f>
        <v>2.8138314698279068</v>
      </c>
      <c r="T1846" s="682">
        <f t="shared" si="263"/>
        <v>63591.008015188643</v>
      </c>
      <c r="W1846" s="818"/>
      <c r="X1846" s="818"/>
      <c r="Y1846" s="819"/>
      <c r="Z1846" s="820"/>
      <c r="AA1846" s="820"/>
      <c r="AB1846" s="821"/>
      <c r="AC1846" s="821"/>
      <c r="AD1846" s="253"/>
      <c r="AE1846" s="253"/>
    </row>
    <row r="1847" spans="1:31" ht="12.75" customHeight="1">
      <c r="A1847" t="s">
        <v>37</v>
      </c>
      <c r="B1847" t="s">
        <v>38</v>
      </c>
      <c r="C1847">
        <v>15002</v>
      </c>
      <c r="D1847" s="581"/>
      <c r="E1847" s="581"/>
      <c r="F1847" s="2">
        <f>(1/S1847)*cnst_fish!$C$6</f>
        <v>8.6914222116951781E-2</v>
      </c>
      <c r="G1847" s="2">
        <f t="shared" si="265"/>
        <v>1</v>
      </c>
      <c r="H1847" s="2">
        <f t="shared" si="265"/>
        <v>0.36449057933102513</v>
      </c>
      <c r="I1847" s="2">
        <f t="shared" si="258"/>
        <v>0</v>
      </c>
      <c r="J1847" s="389">
        <f t="shared" si="259"/>
        <v>0</v>
      </c>
      <c r="L1847" s="721">
        <v>500</v>
      </c>
      <c r="M1847" s="581"/>
      <c r="N1847" s="585" t="s">
        <v>1738</v>
      </c>
      <c r="O1847" s="586" t="s">
        <v>4681</v>
      </c>
      <c r="P1847" s="233">
        <f t="shared" si="260"/>
        <v>0</v>
      </c>
      <c r="Q1847" s="233">
        <f t="shared" si="261"/>
        <v>500</v>
      </c>
      <c r="R1847" s="2">
        <f t="shared" si="262"/>
        <v>3.54</v>
      </c>
      <c r="S1847" s="2">
        <f>(1/9)*cnst_fish!$C$7*(1/cnst_fish!$C$8)^(R1847-1)</f>
        <v>48.898786602280119</v>
      </c>
      <c r="T1847" s="682">
        <f t="shared" si="263"/>
        <v>2096.8408302646176</v>
      </c>
      <c r="W1847" s="818"/>
      <c r="X1847" s="818"/>
      <c r="Y1847" s="819"/>
      <c r="Z1847" s="820"/>
      <c r="AA1847" s="820"/>
      <c r="AB1847" s="821"/>
      <c r="AC1847" s="821"/>
      <c r="AD1847" s="253"/>
      <c r="AE1847" s="253"/>
    </row>
    <row r="1848" spans="1:31" ht="12.75" customHeight="1">
      <c r="A1848" t="s">
        <v>889</v>
      </c>
      <c r="B1848" t="s">
        <v>3686</v>
      </c>
      <c r="C1848">
        <v>15003</v>
      </c>
      <c r="D1848" s="581"/>
      <c r="E1848" s="581"/>
      <c r="F1848" s="2">
        <f>(1/S1848)*cnst_fish!$C$6</f>
        <v>7.5699122913220479E-2</v>
      </c>
      <c r="G1848" s="2">
        <f t="shared" ref="G1848:H1867" si="266">G$7</f>
        <v>1</v>
      </c>
      <c r="H1848" s="2">
        <f t="shared" si="266"/>
        <v>0.36449057933102513</v>
      </c>
      <c r="I1848" s="2">
        <f t="shared" si="258"/>
        <v>0</v>
      </c>
      <c r="J1848" s="389">
        <f t="shared" si="259"/>
        <v>0</v>
      </c>
      <c r="L1848" s="721">
        <v>303</v>
      </c>
      <c r="M1848" s="581"/>
      <c r="N1848" s="585" t="s">
        <v>1738</v>
      </c>
      <c r="O1848" s="586" t="s">
        <v>4681</v>
      </c>
      <c r="P1848" s="233">
        <f t="shared" si="260"/>
        <v>0</v>
      </c>
      <c r="Q1848" s="233">
        <f t="shared" si="261"/>
        <v>303</v>
      </c>
      <c r="R1848" s="2">
        <f t="shared" si="262"/>
        <v>3.6</v>
      </c>
      <c r="S1848" s="2">
        <f>(1/9)*cnst_fish!$C$7*(1/cnst_fish!$C$8)^(R1848-1)</f>
        <v>56.143318924211187</v>
      </c>
      <c r="T1848" s="682">
        <f t="shared" si="263"/>
        <v>1458.9422081403363</v>
      </c>
      <c r="W1848" s="818"/>
      <c r="X1848" s="818"/>
      <c r="Y1848" s="819"/>
      <c r="Z1848" s="820"/>
      <c r="AA1848" s="820"/>
      <c r="AB1848" s="821"/>
      <c r="AC1848" s="821"/>
      <c r="AD1848" s="253"/>
      <c r="AE1848" s="253"/>
    </row>
    <row r="1849" spans="1:31" ht="12.75" customHeight="1">
      <c r="A1849" t="s">
        <v>6603</v>
      </c>
      <c r="B1849" t="s">
        <v>6602</v>
      </c>
      <c r="C1849">
        <v>19256</v>
      </c>
      <c r="D1849" s="581"/>
      <c r="E1849" s="581"/>
      <c r="F1849" s="2">
        <f>(1/S1849)*cnst_fish!$C$6</f>
        <v>3.0136363636363641</v>
      </c>
      <c r="G1849" s="2">
        <f t="shared" si="266"/>
        <v>1</v>
      </c>
      <c r="H1849" s="2">
        <f t="shared" si="266"/>
        <v>0.36449057933102513</v>
      </c>
      <c r="I1849" s="2">
        <f t="shared" si="258"/>
        <v>0</v>
      </c>
      <c r="J1849" s="389">
        <f t="shared" si="259"/>
        <v>0</v>
      </c>
      <c r="L1849" s="721">
        <v>2</v>
      </c>
      <c r="M1849" s="581"/>
      <c r="N1849" s="585" t="s">
        <v>1738</v>
      </c>
      <c r="O1849" s="586" t="s">
        <v>4681</v>
      </c>
      <c r="P1849" s="233">
        <f t="shared" si="260"/>
        <v>0</v>
      </c>
      <c r="Q1849" s="233">
        <f t="shared" si="261"/>
        <v>2</v>
      </c>
      <c r="R1849" s="2">
        <f t="shared" si="262"/>
        <v>2</v>
      </c>
      <c r="S1849" s="2">
        <f>(1/9)*cnst_fish!$C$7*(1/cnst_fish!$C$8)^(R1849-1)</f>
        <v>1.4102564102564099</v>
      </c>
      <c r="T1849" s="682">
        <f t="shared" si="263"/>
        <v>0.24189420046101209</v>
      </c>
      <c r="W1849" s="818"/>
      <c r="X1849" s="818"/>
      <c r="Y1849" s="819"/>
      <c r="Z1849" s="820"/>
      <c r="AA1849" s="820"/>
      <c r="AB1849" s="821"/>
      <c r="AC1849" s="821"/>
      <c r="AD1849" s="253"/>
      <c r="AE1849" s="253"/>
    </row>
    <row r="1850" spans="1:31" ht="12.75" customHeight="1">
      <c r="A1850" t="s">
        <v>8745</v>
      </c>
      <c r="B1850" t="s">
        <v>8746</v>
      </c>
      <c r="C1850">
        <v>15026</v>
      </c>
      <c r="D1850" s="581"/>
      <c r="E1850" s="581"/>
      <c r="F1850" s="2">
        <f>(1/S1850)*cnst_fish!$C$6</f>
        <v>0.60129950673834842</v>
      </c>
      <c r="G1850" s="2">
        <f t="shared" si="266"/>
        <v>1</v>
      </c>
      <c r="H1850" s="2">
        <f t="shared" si="266"/>
        <v>0.36449057933102513</v>
      </c>
      <c r="I1850" s="2">
        <f t="shared" si="258"/>
        <v>0</v>
      </c>
      <c r="J1850" s="389">
        <f t="shared" si="259"/>
        <v>0</v>
      </c>
      <c r="L1850" s="721"/>
      <c r="M1850" s="581"/>
      <c r="N1850" s="585" t="s">
        <v>1738</v>
      </c>
      <c r="O1850" s="586" t="s">
        <v>4685</v>
      </c>
      <c r="P1850" s="233">
        <f t="shared" si="260"/>
        <v>0</v>
      </c>
      <c r="Q1850" s="233">
        <f t="shared" si="261"/>
        <v>0</v>
      </c>
      <c r="R1850" s="2">
        <f t="shared" si="262"/>
        <v>2.7</v>
      </c>
      <c r="S1850" s="2">
        <f>(1/9)*cnst_fish!$C$7*(1/cnst_fish!$C$8)^(R1850-1)</f>
        <v>7.0680250896153813</v>
      </c>
      <c r="T1850" s="682">
        <f t="shared" si="263"/>
        <v>0</v>
      </c>
      <c r="W1850" s="818"/>
      <c r="X1850" s="818"/>
      <c r="Y1850" s="819"/>
      <c r="Z1850" s="820"/>
      <c r="AA1850" s="820"/>
      <c r="AB1850" s="821"/>
      <c r="AC1850" s="821"/>
      <c r="AD1850" s="253"/>
      <c r="AE1850" s="253"/>
    </row>
    <row r="1851" spans="1:31" ht="12.75" customHeight="1">
      <c r="A1851" t="s">
        <v>3470</v>
      </c>
      <c r="B1851" t="s">
        <v>5466</v>
      </c>
      <c r="C1851">
        <v>3542</v>
      </c>
      <c r="D1851" s="581"/>
      <c r="E1851" s="581"/>
      <c r="F1851" s="2">
        <f>(1/S1851)*cnst_fish!$C$6</f>
        <v>2.3938164528281742</v>
      </c>
      <c r="G1851" s="2">
        <f t="shared" si="266"/>
        <v>1</v>
      </c>
      <c r="H1851" s="2">
        <f t="shared" si="266"/>
        <v>0.36449057933102513</v>
      </c>
      <c r="I1851" s="2">
        <f t="shared" si="258"/>
        <v>0</v>
      </c>
      <c r="J1851" s="389">
        <f t="shared" si="259"/>
        <v>0</v>
      </c>
      <c r="L1851" s="721">
        <v>419</v>
      </c>
      <c r="M1851" s="581"/>
      <c r="N1851" s="585" t="s">
        <v>1736</v>
      </c>
      <c r="O1851" s="586" t="s">
        <v>4691</v>
      </c>
      <c r="P1851" s="233">
        <f t="shared" si="260"/>
        <v>0</v>
      </c>
      <c r="Q1851" s="233">
        <f t="shared" si="261"/>
        <v>419</v>
      </c>
      <c r="R1851" s="2">
        <f t="shared" si="262"/>
        <v>2.1</v>
      </c>
      <c r="S1851" s="2">
        <f>(1/9)*cnst_fish!$C$7*(1/cnst_fish!$C$8)^(R1851-1)</f>
        <v>1.7754076320174161</v>
      </c>
      <c r="T1851" s="682">
        <f t="shared" si="263"/>
        <v>63.798355366497148</v>
      </c>
      <c r="W1851" s="822"/>
      <c r="X1851" s="822"/>
      <c r="Y1851" s="819"/>
      <c r="Z1851" s="820"/>
      <c r="AA1851" s="820"/>
      <c r="AB1851" s="821"/>
      <c r="AC1851" s="821"/>
      <c r="AD1851" s="253"/>
      <c r="AE1851" s="253"/>
    </row>
    <row r="1852" spans="1:31" ht="12.75" customHeight="1">
      <c r="A1852" t="s">
        <v>5153</v>
      </c>
      <c r="B1852" t="s">
        <v>1304</v>
      </c>
      <c r="C1852">
        <v>3543</v>
      </c>
      <c r="D1852" s="581"/>
      <c r="E1852" s="581"/>
      <c r="F1852" s="2">
        <f>(1/S1852)*cnst_fish!$C$6</f>
        <v>2.3938164528281742</v>
      </c>
      <c r="G1852" s="2">
        <f t="shared" si="266"/>
        <v>1</v>
      </c>
      <c r="H1852" s="2">
        <f t="shared" si="266"/>
        <v>0.36449057933102513</v>
      </c>
      <c r="I1852" s="2">
        <f t="shared" si="258"/>
        <v>0</v>
      </c>
      <c r="J1852" s="389">
        <f t="shared" si="259"/>
        <v>0</v>
      </c>
      <c r="L1852" s="721">
        <v>39462</v>
      </c>
      <c r="M1852" s="581"/>
      <c r="N1852" s="585" t="s">
        <v>1736</v>
      </c>
      <c r="O1852" s="586" t="s">
        <v>4691</v>
      </c>
      <c r="P1852" s="233">
        <f t="shared" si="260"/>
        <v>0</v>
      </c>
      <c r="Q1852" s="233">
        <f t="shared" si="261"/>
        <v>39462</v>
      </c>
      <c r="R1852" s="2">
        <f t="shared" si="262"/>
        <v>2.1</v>
      </c>
      <c r="S1852" s="2">
        <f>(1/9)*cnst_fish!$C$7*(1/cnst_fish!$C$8)^(R1852-1)</f>
        <v>1.7754076320174161</v>
      </c>
      <c r="T1852" s="682">
        <f t="shared" si="263"/>
        <v>6008.6174211759208</v>
      </c>
      <c r="W1852" s="818"/>
      <c r="X1852" s="818"/>
      <c r="Y1852" s="819"/>
      <c r="Z1852" s="820"/>
      <c r="AA1852" s="820"/>
      <c r="AB1852" s="821"/>
      <c r="AC1852" s="821"/>
      <c r="AD1852" s="253"/>
      <c r="AE1852" s="253"/>
    </row>
    <row r="1853" spans="1:31" ht="12.75" customHeight="1">
      <c r="A1853" t="s">
        <v>4026</v>
      </c>
      <c r="B1853" t="s">
        <v>6313</v>
      </c>
      <c r="C1853">
        <v>2700</v>
      </c>
      <c r="D1853" s="581"/>
      <c r="E1853" s="581"/>
      <c r="F1853" s="2">
        <f>(1/S1853)*cnst_fish!$C$6</f>
        <v>3.0136363636363641</v>
      </c>
      <c r="G1853" s="2">
        <f t="shared" si="266"/>
        <v>1</v>
      </c>
      <c r="H1853" s="2">
        <f t="shared" si="266"/>
        <v>0.36449057933102513</v>
      </c>
      <c r="I1853" s="2">
        <f t="shared" si="258"/>
        <v>0</v>
      </c>
      <c r="J1853" s="389">
        <f t="shared" si="259"/>
        <v>0</v>
      </c>
      <c r="L1853" s="721">
        <v>1</v>
      </c>
      <c r="M1853" s="581"/>
      <c r="N1853" s="585" t="s">
        <v>1736</v>
      </c>
      <c r="O1853" s="586" t="s">
        <v>4691</v>
      </c>
      <c r="P1853" s="233">
        <f t="shared" si="260"/>
        <v>0</v>
      </c>
      <c r="Q1853" s="233">
        <f t="shared" si="261"/>
        <v>1</v>
      </c>
      <c r="R1853" s="2">
        <f t="shared" si="262"/>
        <v>2</v>
      </c>
      <c r="S1853" s="2">
        <f>(1/9)*cnst_fish!$C$7*(1/cnst_fish!$C$8)^(R1853-1)</f>
        <v>1.4102564102564099</v>
      </c>
      <c r="T1853" s="682">
        <f t="shared" si="263"/>
        <v>0.12094710023050605</v>
      </c>
      <c r="W1853" s="818"/>
      <c r="X1853" s="818"/>
      <c r="Y1853" s="819"/>
      <c r="Z1853" s="820"/>
      <c r="AA1853" s="820"/>
      <c r="AB1853" s="821"/>
      <c r="AC1853" s="821"/>
      <c r="AD1853" s="253"/>
      <c r="AE1853" s="253"/>
    </row>
    <row r="1854" spans="1:31" ht="12.75" customHeight="1">
      <c r="A1854" t="s">
        <v>8351</v>
      </c>
      <c r="B1854" t="s">
        <v>8352</v>
      </c>
      <c r="C1854">
        <v>19856</v>
      </c>
      <c r="D1854" s="581"/>
      <c r="E1854" s="581"/>
      <c r="F1854" s="2">
        <f>(1/S1854)*cnst_fish!$C$6</f>
        <v>0.15103960722494611</v>
      </c>
      <c r="G1854" s="2">
        <f t="shared" si="266"/>
        <v>1</v>
      </c>
      <c r="H1854" s="2">
        <f t="shared" si="266"/>
        <v>0.36449057933102513</v>
      </c>
      <c r="I1854" s="2">
        <f t="shared" si="258"/>
        <v>0</v>
      </c>
      <c r="J1854" s="389">
        <f t="shared" si="259"/>
        <v>0</v>
      </c>
      <c r="L1854" s="721"/>
      <c r="M1854" s="581">
        <v>2149.52</v>
      </c>
      <c r="N1854" s="585" t="s">
        <v>1738</v>
      </c>
      <c r="O1854" s="586" t="s">
        <v>4685</v>
      </c>
      <c r="P1854" s="233">
        <f t="shared" si="260"/>
        <v>0</v>
      </c>
      <c r="Q1854" s="233">
        <f t="shared" si="261"/>
        <v>2149.52</v>
      </c>
      <c r="R1854" s="2">
        <f t="shared" si="262"/>
        <v>3.3</v>
      </c>
      <c r="S1854" s="2">
        <f>(1/9)*cnst_fish!$C$7*(1/cnst_fish!$C$8)^(R1854-1)</f>
        <v>28.138314698279075</v>
      </c>
      <c r="T1854" s="682">
        <f t="shared" si="263"/>
        <v>5187.247268968159</v>
      </c>
      <c r="W1854" s="818"/>
      <c r="X1854" s="818"/>
      <c r="Y1854" s="819"/>
      <c r="Z1854" s="820"/>
      <c r="AA1854" s="820"/>
      <c r="AB1854" s="821"/>
      <c r="AC1854" s="821"/>
      <c r="AD1854" s="253"/>
      <c r="AE1854" s="253"/>
    </row>
    <row r="1855" spans="1:31" ht="12.75" customHeight="1">
      <c r="A1855" t="s">
        <v>222</v>
      </c>
      <c r="B1855" t="s">
        <v>2777</v>
      </c>
      <c r="C1855">
        <v>2158</v>
      </c>
      <c r="D1855" s="581"/>
      <c r="E1855" s="581"/>
      <c r="F1855" s="2">
        <f>(1/S1855)*cnst_fish!$C$6</f>
        <v>9.3130266898023228E-2</v>
      </c>
      <c r="G1855" s="2">
        <f t="shared" si="266"/>
        <v>1</v>
      </c>
      <c r="H1855" s="2">
        <f t="shared" si="266"/>
        <v>0.36449057933102513</v>
      </c>
      <c r="I1855" s="2">
        <f t="shared" si="258"/>
        <v>0</v>
      </c>
      <c r="J1855" s="389">
        <f t="shared" si="259"/>
        <v>0</v>
      </c>
      <c r="L1855" s="721"/>
      <c r="M1855" s="581">
        <v>10848</v>
      </c>
      <c r="N1855" s="585" t="s">
        <v>1738</v>
      </c>
      <c r="O1855" s="586" t="s">
        <v>4685</v>
      </c>
      <c r="P1855" s="233">
        <f t="shared" si="260"/>
        <v>0</v>
      </c>
      <c r="Q1855" s="233">
        <f t="shared" si="261"/>
        <v>10848</v>
      </c>
      <c r="R1855" s="2">
        <f t="shared" si="262"/>
        <v>3.51</v>
      </c>
      <c r="S1855" s="2">
        <f>(1/9)*cnst_fish!$C$7*(1/cnst_fish!$C$8)^(R1855-1)</f>
        <v>45.635002900332182</v>
      </c>
      <c r="T1855" s="682">
        <f t="shared" si="263"/>
        <v>42456.592644715027</v>
      </c>
      <c r="W1855" s="822"/>
      <c r="X1855" s="822"/>
      <c r="Y1855" s="819"/>
      <c r="Z1855" s="820"/>
      <c r="AA1855" s="820"/>
      <c r="AB1855" s="821"/>
      <c r="AC1855" s="821"/>
      <c r="AD1855" s="253"/>
      <c r="AE1855" s="253"/>
    </row>
    <row r="1856" spans="1:31" ht="12.75" customHeight="1">
      <c r="A1856" t="s">
        <v>4163</v>
      </c>
      <c r="B1856" t="s">
        <v>2778</v>
      </c>
      <c r="C1856">
        <v>2157</v>
      </c>
      <c r="D1856" s="581"/>
      <c r="E1856" s="581"/>
      <c r="F1856" s="2">
        <f>(1/S1856)*cnst_fish!$C$6</f>
        <v>0.48875458843135011</v>
      </c>
      <c r="G1856" s="2">
        <f t="shared" si="266"/>
        <v>1</v>
      </c>
      <c r="H1856" s="2">
        <f t="shared" si="266"/>
        <v>0.36449057933102513</v>
      </c>
      <c r="I1856" s="2">
        <f t="shared" si="258"/>
        <v>0</v>
      </c>
      <c r="J1856" s="389">
        <f t="shared" si="259"/>
        <v>0</v>
      </c>
      <c r="L1856" s="721">
        <v>2578.2200000000003</v>
      </c>
      <c r="M1856" s="581">
        <v>7058</v>
      </c>
      <c r="N1856" s="585" t="s">
        <v>1738</v>
      </c>
      <c r="O1856" s="586" t="s">
        <v>4685</v>
      </c>
      <c r="P1856" s="233">
        <f t="shared" si="260"/>
        <v>0</v>
      </c>
      <c r="Q1856" s="233">
        <f t="shared" si="261"/>
        <v>9636.2200000000012</v>
      </c>
      <c r="R1856" s="2">
        <f t="shared" si="262"/>
        <v>2.79</v>
      </c>
      <c r="S1856" s="2">
        <f>(1/9)*cnst_fish!$C$7*(1/cnst_fish!$C$8)^(R1856-1)</f>
        <v>8.6955705390721878</v>
      </c>
      <c r="T1856" s="682">
        <f t="shared" si="263"/>
        <v>7186.2474409374199</v>
      </c>
      <c r="W1856" s="818"/>
      <c r="X1856" s="818"/>
      <c r="Y1856" s="819"/>
      <c r="Z1856" s="820"/>
      <c r="AA1856" s="820"/>
      <c r="AB1856" s="821"/>
      <c r="AC1856" s="821"/>
      <c r="AD1856" s="253"/>
      <c r="AE1856" s="253"/>
    </row>
    <row r="1857" spans="1:31" ht="12.75" customHeight="1">
      <c r="A1857" t="s">
        <v>3745</v>
      </c>
      <c r="B1857" t="s">
        <v>2779</v>
      </c>
      <c r="C1857">
        <v>2960</v>
      </c>
      <c r="D1857" s="581"/>
      <c r="E1857" s="581"/>
      <c r="F1857" s="2">
        <f>(1/S1857)*cnst_fish!$C$6</f>
        <v>0.26859062362848796</v>
      </c>
      <c r="G1857" s="2">
        <f t="shared" si="266"/>
        <v>1</v>
      </c>
      <c r="H1857" s="2">
        <f t="shared" si="266"/>
        <v>0.36449057933102513</v>
      </c>
      <c r="I1857" s="2">
        <f t="shared" si="258"/>
        <v>0</v>
      </c>
      <c r="J1857" s="389">
        <f t="shared" si="259"/>
        <v>0</v>
      </c>
      <c r="L1857" s="721">
        <v>730</v>
      </c>
      <c r="M1857" s="581">
        <v>36808.18</v>
      </c>
      <c r="N1857" s="585" t="s">
        <v>1738</v>
      </c>
      <c r="O1857" s="586" t="s">
        <v>4685</v>
      </c>
      <c r="P1857" s="233">
        <f t="shared" si="260"/>
        <v>0</v>
      </c>
      <c r="Q1857" s="233">
        <f t="shared" si="261"/>
        <v>37538.18</v>
      </c>
      <c r="R1857" s="2">
        <f t="shared" si="262"/>
        <v>3.05</v>
      </c>
      <c r="S1857" s="2">
        <f>(1/9)*cnst_fish!$C$7*(1/cnst_fish!$C$8)^(R1857-1)</f>
        <v>15.823337176053327</v>
      </c>
      <c r="T1857" s="682">
        <f t="shared" si="263"/>
        <v>50941.141542444711</v>
      </c>
      <c r="W1857" s="818"/>
      <c r="X1857" s="818"/>
      <c r="Y1857" s="819"/>
      <c r="Z1857" s="820"/>
      <c r="AA1857" s="820"/>
      <c r="AB1857" s="821"/>
      <c r="AC1857" s="821"/>
      <c r="AD1857" s="253"/>
      <c r="AE1857" s="253"/>
    </row>
    <row r="1858" spans="1:31" ht="12.75" customHeight="1">
      <c r="A1858" t="s">
        <v>2951</v>
      </c>
      <c r="B1858" t="s">
        <v>2307</v>
      </c>
      <c r="C1858">
        <v>2467</v>
      </c>
      <c r="D1858" s="581"/>
      <c r="E1858" s="581"/>
      <c r="F1858" s="2">
        <f>(1/S1858)*cnst_fish!$C$6</f>
        <v>1.9910898001319833E-2</v>
      </c>
      <c r="G1858" s="2">
        <f t="shared" si="266"/>
        <v>1</v>
      </c>
      <c r="H1858" s="2">
        <f t="shared" si="266"/>
        <v>0.36449057933102513</v>
      </c>
      <c r="I1858" s="2">
        <f t="shared" si="258"/>
        <v>0</v>
      </c>
      <c r="J1858" s="389">
        <f t="shared" si="259"/>
        <v>0</v>
      </c>
      <c r="L1858" s="721">
        <v>14236</v>
      </c>
      <c r="M1858" s="581"/>
      <c r="N1858" s="585" t="s">
        <v>1738</v>
      </c>
      <c r="O1858" s="586" t="s">
        <v>4681</v>
      </c>
      <c r="P1858" s="233">
        <f t="shared" si="260"/>
        <v>0</v>
      </c>
      <c r="Q1858" s="233">
        <f t="shared" si="261"/>
        <v>14236</v>
      </c>
      <c r="R1858" s="2">
        <f t="shared" si="262"/>
        <v>4.18</v>
      </c>
      <c r="S1858" s="2">
        <f>(1/9)*cnst_fish!$C$7*(1/cnst_fish!$C$8)^(R1858-1)</f>
        <v>213.4509452922857</v>
      </c>
      <c r="T1858" s="682">
        <f t="shared" si="263"/>
        <v>260605.4175463366</v>
      </c>
      <c r="W1858" s="818"/>
      <c r="X1858" s="818"/>
      <c r="Y1858" s="819"/>
      <c r="Z1858" s="820"/>
      <c r="AA1858" s="820"/>
      <c r="AB1858" s="821"/>
      <c r="AC1858" s="821"/>
      <c r="AD1858" s="253"/>
      <c r="AE1858" s="253"/>
    </row>
    <row r="1859" spans="1:31" ht="12.75" customHeight="1">
      <c r="A1859" t="s">
        <v>4252</v>
      </c>
      <c r="B1859" t="s">
        <v>8747</v>
      </c>
      <c r="C1859">
        <v>18540</v>
      </c>
      <c r="D1859" s="581"/>
      <c r="E1859" s="581"/>
      <c r="F1859" s="2">
        <f>(1/S1859)*cnst_fish!$C$6</f>
        <v>30.136363636363644</v>
      </c>
      <c r="G1859" s="2">
        <f t="shared" si="266"/>
        <v>1</v>
      </c>
      <c r="H1859" s="2">
        <f t="shared" si="266"/>
        <v>0.36449057933102513</v>
      </c>
      <c r="I1859" s="2">
        <f t="shared" si="258"/>
        <v>0</v>
      </c>
      <c r="J1859" s="389">
        <f t="shared" si="259"/>
        <v>0</v>
      </c>
      <c r="L1859" s="721">
        <v>0</v>
      </c>
      <c r="M1859" s="581"/>
      <c r="N1859" s="585" t="s">
        <v>1740</v>
      </c>
      <c r="O1859" s="586" t="s">
        <v>4671</v>
      </c>
      <c r="P1859" s="233">
        <f t="shared" si="260"/>
        <v>0</v>
      </c>
      <c r="Q1859" s="233">
        <f t="shared" si="261"/>
        <v>0</v>
      </c>
      <c r="R1859" s="2">
        <f t="shared" si="262"/>
        <v>1</v>
      </c>
      <c r="S1859" s="2">
        <f>(1/9)*cnst_fish!$C$7*(1/cnst_fish!$C$8)^(R1859-1)</f>
        <v>0.141025641025641</v>
      </c>
      <c r="T1859" s="682">
        <f t="shared" si="263"/>
        <v>0</v>
      </c>
      <c r="W1859" s="818"/>
      <c r="X1859" s="818"/>
      <c r="Y1859" s="819"/>
      <c r="Z1859" s="820"/>
      <c r="AA1859" s="820"/>
      <c r="AB1859" s="821"/>
      <c r="AC1859" s="821"/>
      <c r="AD1859" s="253"/>
      <c r="AE1859" s="253"/>
    </row>
    <row r="1860" spans="1:31" ht="12.75" customHeight="1">
      <c r="A1860" t="s">
        <v>4203</v>
      </c>
      <c r="B1860" t="s">
        <v>8748</v>
      </c>
      <c r="C1860">
        <v>2670</v>
      </c>
      <c r="D1860" s="581"/>
      <c r="E1860" s="581"/>
      <c r="F1860" s="2">
        <f>(1/S1860)*cnst_fish!$C$6</f>
        <v>2.3938164528281742</v>
      </c>
      <c r="G1860" s="2">
        <f t="shared" si="266"/>
        <v>1</v>
      </c>
      <c r="H1860" s="2">
        <f t="shared" si="266"/>
        <v>0.36449057933102513</v>
      </c>
      <c r="I1860" s="2">
        <f t="shared" si="258"/>
        <v>0</v>
      </c>
      <c r="J1860" s="389">
        <f t="shared" si="259"/>
        <v>0</v>
      </c>
      <c r="L1860" s="721"/>
      <c r="M1860" s="581"/>
      <c r="N1860" s="585" t="s">
        <v>2316</v>
      </c>
      <c r="O1860" s="586" t="s">
        <v>4680</v>
      </c>
      <c r="P1860" s="233">
        <f t="shared" si="260"/>
        <v>0</v>
      </c>
      <c r="Q1860" s="233">
        <f t="shared" si="261"/>
        <v>0</v>
      </c>
      <c r="R1860" s="2">
        <f t="shared" si="262"/>
        <v>2.1</v>
      </c>
      <c r="S1860" s="2">
        <f>(1/9)*cnst_fish!$C$7*(1/cnst_fish!$C$8)^(R1860-1)</f>
        <v>1.7754076320174161</v>
      </c>
      <c r="T1860" s="682">
        <f t="shared" si="263"/>
        <v>0</v>
      </c>
      <c r="W1860" s="818"/>
      <c r="X1860" s="818"/>
      <c r="Y1860" s="819"/>
      <c r="Z1860" s="820"/>
      <c r="AA1860" s="820"/>
      <c r="AB1860" s="821"/>
      <c r="AC1860" s="821"/>
      <c r="AD1860" s="253"/>
      <c r="AE1860" s="253"/>
    </row>
    <row r="1861" spans="1:31" ht="12.75" customHeight="1">
      <c r="A1861" t="s">
        <v>6437</v>
      </c>
      <c r="B1861" t="s">
        <v>6436</v>
      </c>
      <c r="C1861">
        <v>19146</v>
      </c>
      <c r="D1861" s="581"/>
      <c r="E1861" s="581"/>
      <c r="F1861" s="2">
        <f>(1/S1861)*cnst_fish!$C$6</f>
        <v>6.0129950673834844E-2</v>
      </c>
      <c r="G1861" s="2">
        <f t="shared" si="266"/>
        <v>1</v>
      </c>
      <c r="H1861" s="2">
        <f t="shared" si="266"/>
        <v>0.36449057933102513</v>
      </c>
      <c r="I1861" s="2">
        <f t="shared" si="258"/>
        <v>0</v>
      </c>
      <c r="J1861" s="389">
        <f t="shared" si="259"/>
        <v>0</v>
      </c>
      <c r="L1861" s="721"/>
      <c r="M1861" s="581">
        <v>462</v>
      </c>
      <c r="N1861" s="585" t="s">
        <v>1738</v>
      </c>
      <c r="O1861" s="586" t="s">
        <v>4685</v>
      </c>
      <c r="P1861" s="233">
        <f t="shared" si="260"/>
        <v>0</v>
      </c>
      <c r="Q1861" s="233">
        <f t="shared" si="261"/>
        <v>462</v>
      </c>
      <c r="R1861" s="2">
        <f t="shared" si="262"/>
        <v>3.7</v>
      </c>
      <c r="S1861" s="2">
        <f>(1/9)*cnst_fish!$C$7*(1/cnst_fish!$C$8)^(R1861-1)</f>
        <v>70.680250896153822</v>
      </c>
      <c r="T1861" s="682">
        <f t="shared" si="263"/>
        <v>2800.5119871852721</v>
      </c>
      <c r="W1861" s="818"/>
      <c r="X1861" s="818"/>
      <c r="Y1861" s="819"/>
      <c r="Z1861" s="820"/>
      <c r="AA1861" s="820"/>
      <c r="AB1861" s="821"/>
      <c r="AC1861" s="821"/>
      <c r="AD1861" s="253"/>
      <c r="AE1861" s="253"/>
    </row>
    <row r="1862" spans="1:31" ht="12.75" customHeight="1">
      <c r="A1862" t="s">
        <v>1462</v>
      </c>
      <c r="B1862" t="s">
        <v>3519</v>
      </c>
      <c r="C1862">
        <v>3008</v>
      </c>
      <c r="D1862" s="581"/>
      <c r="E1862" s="581"/>
      <c r="F1862" s="2">
        <f>(1/S1862)*cnst_fish!$C$6</f>
        <v>1.1196720767792065E-2</v>
      </c>
      <c r="G1862" s="2">
        <f t="shared" si="266"/>
        <v>1</v>
      </c>
      <c r="H1862" s="2">
        <f t="shared" si="266"/>
        <v>0.36449057933102513</v>
      </c>
      <c r="I1862" s="2">
        <f t="shared" si="258"/>
        <v>0</v>
      </c>
      <c r="J1862" s="389">
        <f t="shared" si="259"/>
        <v>0</v>
      </c>
      <c r="L1862" s="721">
        <v>2767.3</v>
      </c>
      <c r="M1862" s="581"/>
      <c r="N1862" s="585" t="s">
        <v>1738</v>
      </c>
      <c r="O1862" s="586" t="s">
        <v>4681</v>
      </c>
      <c r="P1862" s="233">
        <f t="shared" si="260"/>
        <v>0</v>
      </c>
      <c r="Q1862" s="233">
        <f t="shared" si="261"/>
        <v>2767.3</v>
      </c>
      <c r="R1862" s="2">
        <f t="shared" si="262"/>
        <v>4.43</v>
      </c>
      <c r="S1862" s="2">
        <f>(1/9)*cnst_fish!$C$7*(1/cnst_fish!$C$8)^(R1862-1)</f>
        <v>379.57542106661629</v>
      </c>
      <c r="T1862" s="682">
        <f t="shared" si="263"/>
        <v>90084.838329110848</v>
      </c>
      <c r="W1862" s="818"/>
      <c r="X1862" s="818"/>
      <c r="Y1862" s="819"/>
      <c r="Z1862" s="820"/>
      <c r="AA1862" s="820"/>
      <c r="AB1862" s="821"/>
      <c r="AC1862" s="821"/>
      <c r="AD1862" s="253"/>
      <c r="AE1862" s="253"/>
    </row>
    <row r="1863" spans="1:31" ht="12.75" customHeight="1">
      <c r="A1863" t="s">
        <v>6358</v>
      </c>
      <c r="B1863" t="s">
        <v>6357</v>
      </c>
      <c r="C1863">
        <v>15055</v>
      </c>
      <c r="D1863" s="581"/>
      <c r="E1863" s="581"/>
      <c r="F1863" s="2">
        <f>(1/S1863)*cnst_fish!$C$6</f>
        <v>3.0136363636363641</v>
      </c>
      <c r="G1863" s="2">
        <f t="shared" si="266"/>
        <v>1</v>
      </c>
      <c r="H1863" s="2">
        <f t="shared" si="266"/>
        <v>0.36449057933102513</v>
      </c>
      <c r="I1863" s="2">
        <f t="shared" ref="I1863:I1926" si="267">IF($F1863=0,0,D1863/$F1863*$H1863*$G1863)</f>
        <v>0</v>
      </c>
      <c r="J1863" s="389">
        <f t="shared" ref="J1863:J1926" si="268">IF($F1863=0,0,E1863/$F1863*$H1863*$G1863)</f>
        <v>0</v>
      </c>
      <c r="L1863" s="721"/>
      <c r="M1863" s="581">
        <v>3013.93</v>
      </c>
      <c r="N1863" s="585" t="s">
        <v>3791</v>
      </c>
      <c r="O1863" s="586" t="s">
        <v>4685</v>
      </c>
      <c r="P1863" s="233">
        <f t="shared" ref="P1863:P1926" si="269">D1863+E1863</f>
        <v>0</v>
      </c>
      <c r="Q1863" s="233">
        <f t="shared" ref="Q1863:Q1926" si="270">L1863+M1863</f>
        <v>3013.93</v>
      </c>
      <c r="R1863" s="2">
        <f t="shared" ref="R1863:R1926" si="271">VLOOKUP(B1863,constant_fish_trophic,3,FALSE)</f>
        <v>2</v>
      </c>
      <c r="S1863" s="2">
        <f>(1/9)*cnst_fish!$C$7*(1/cnst_fish!$C$8)^(R1863-1)</f>
        <v>1.4102564102564099</v>
      </c>
      <c r="T1863" s="682">
        <f t="shared" ref="T1863:T1926" si="272">IF(F1863=0,0,Q1863/F1863*H1863*G1863)</f>
        <v>364.52609379772912</v>
      </c>
      <c r="W1863" s="818"/>
      <c r="X1863" s="818"/>
      <c r="Y1863" s="819"/>
      <c r="Z1863" s="820"/>
      <c r="AA1863" s="820"/>
      <c r="AB1863" s="821"/>
      <c r="AC1863" s="821"/>
      <c r="AD1863" s="253"/>
      <c r="AE1863" s="253"/>
    </row>
    <row r="1864" spans="1:31" ht="12.75" customHeight="1">
      <c r="A1864" t="s">
        <v>6786</v>
      </c>
      <c r="B1864" t="s">
        <v>8749</v>
      </c>
      <c r="C1864">
        <v>15059</v>
      </c>
      <c r="D1864" s="581"/>
      <c r="E1864" s="581"/>
      <c r="F1864" s="2">
        <f>(1/S1864)*cnst_fish!$C$6</f>
        <v>0.15103960722494611</v>
      </c>
      <c r="G1864" s="2">
        <f t="shared" si="266"/>
        <v>1</v>
      </c>
      <c r="H1864" s="2">
        <f t="shared" si="266"/>
        <v>0.36449057933102513</v>
      </c>
      <c r="I1864" s="2">
        <f t="shared" si="267"/>
        <v>0</v>
      </c>
      <c r="J1864" s="389">
        <f t="shared" si="268"/>
        <v>0</v>
      </c>
      <c r="L1864" s="721"/>
      <c r="M1864" s="581">
        <v>0</v>
      </c>
      <c r="N1864" s="585" t="s">
        <v>1738</v>
      </c>
      <c r="O1864" s="586" t="s">
        <v>4685</v>
      </c>
      <c r="P1864" s="233">
        <f t="shared" si="269"/>
        <v>0</v>
      </c>
      <c r="Q1864" s="233">
        <f t="shared" si="270"/>
        <v>0</v>
      </c>
      <c r="R1864" s="2">
        <f t="shared" si="271"/>
        <v>3.3</v>
      </c>
      <c r="S1864" s="2">
        <f>(1/9)*cnst_fish!$C$7*(1/cnst_fish!$C$8)^(R1864-1)</f>
        <v>28.138314698279075</v>
      </c>
      <c r="T1864" s="682">
        <f t="shared" si="272"/>
        <v>0</v>
      </c>
      <c r="W1864" s="818"/>
      <c r="X1864" s="818"/>
      <c r="Y1864" s="819"/>
      <c r="Z1864" s="820"/>
      <c r="AA1864" s="820"/>
      <c r="AB1864" s="821"/>
      <c r="AC1864" s="821"/>
      <c r="AD1864" s="253"/>
      <c r="AE1864" s="253"/>
    </row>
    <row r="1865" spans="1:31" ht="12.75" customHeight="1">
      <c r="A1865" t="s">
        <v>5458</v>
      </c>
      <c r="B1865" t="s">
        <v>1280</v>
      </c>
      <c r="C1865">
        <v>2929</v>
      </c>
      <c r="D1865" s="581"/>
      <c r="E1865" s="581"/>
      <c r="F1865" s="2">
        <f>(1/S1865)*cnst_fish!$C$6</f>
        <v>1.1196720767792065E-2</v>
      </c>
      <c r="G1865" s="2">
        <f t="shared" si="266"/>
        <v>1</v>
      </c>
      <c r="H1865" s="2">
        <f t="shared" si="266"/>
        <v>0.36449057933102513</v>
      </c>
      <c r="I1865" s="2">
        <f t="shared" si="267"/>
        <v>0</v>
      </c>
      <c r="J1865" s="389">
        <f t="shared" si="268"/>
        <v>0</v>
      </c>
      <c r="L1865" s="721">
        <v>596.61</v>
      </c>
      <c r="M1865" s="581">
        <v>1557</v>
      </c>
      <c r="N1865" s="585" t="s">
        <v>3791</v>
      </c>
      <c r="O1865" s="586" t="s">
        <v>4685</v>
      </c>
      <c r="P1865" s="233">
        <f t="shared" si="269"/>
        <v>0</v>
      </c>
      <c r="Q1865" s="233">
        <f t="shared" si="270"/>
        <v>2153.61</v>
      </c>
      <c r="R1865" s="2">
        <f t="shared" si="271"/>
        <v>4.43</v>
      </c>
      <c r="S1865" s="2">
        <f>(1/9)*cnst_fish!$C$7*(1/cnst_fish!$C$8)^(R1865-1)</f>
        <v>379.57542106661629</v>
      </c>
      <c r="T1865" s="682">
        <f t="shared" si="272"/>
        <v>70107.183418478802</v>
      </c>
      <c r="W1865" s="818"/>
      <c r="X1865" s="818"/>
      <c r="Y1865" s="819"/>
      <c r="Z1865" s="820"/>
      <c r="AA1865" s="820"/>
      <c r="AB1865" s="821"/>
      <c r="AC1865" s="821"/>
      <c r="AD1865" s="253"/>
      <c r="AE1865" s="253"/>
    </row>
    <row r="1866" spans="1:31" ht="12.75" customHeight="1">
      <c r="A1866" t="s">
        <v>5457</v>
      </c>
      <c r="B1866" t="s">
        <v>1281</v>
      </c>
      <c r="C1866">
        <v>2928</v>
      </c>
      <c r="D1866" s="581"/>
      <c r="E1866" s="581"/>
      <c r="F1866" s="2">
        <f>(1/S1866)*cnst_fish!$C$6</f>
        <v>6.5026570148555368E-2</v>
      </c>
      <c r="G1866" s="2">
        <f t="shared" si="266"/>
        <v>1</v>
      </c>
      <c r="H1866" s="2">
        <f t="shared" si="266"/>
        <v>0.36449057933102513</v>
      </c>
      <c r="I1866" s="2">
        <f t="shared" si="267"/>
        <v>0</v>
      </c>
      <c r="J1866" s="389">
        <f t="shared" si="268"/>
        <v>0</v>
      </c>
      <c r="L1866" s="721">
        <v>0</v>
      </c>
      <c r="M1866" s="581">
        <v>214</v>
      </c>
      <c r="N1866" s="585" t="s">
        <v>2323</v>
      </c>
      <c r="O1866" s="586" t="s">
        <v>4685</v>
      </c>
      <c r="P1866" s="233">
        <f t="shared" si="269"/>
        <v>0</v>
      </c>
      <c r="Q1866" s="233">
        <f t="shared" si="270"/>
        <v>214</v>
      </c>
      <c r="R1866" s="2">
        <f t="shared" si="271"/>
        <v>3.6659999999999999</v>
      </c>
      <c r="S1866" s="2">
        <f>(1/9)*cnst_fish!$C$7*(1/cnst_fish!$C$8)^(R1866-1)</f>
        <v>65.357898937168812</v>
      </c>
      <c r="T1866" s="682">
        <f t="shared" si="272"/>
        <v>1199.5248065312921</v>
      </c>
      <c r="W1866" s="818"/>
      <c r="X1866" s="818"/>
      <c r="Y1866" s="819"/>
      <c r="Z1866" s="820"/>
      <c r="AA1866" s="820"/>
      <c r="AB1866" s="821"/>
      <c r="AC1866" s="821"/>
      <c r="AD1866" s="253"/>
      <c r="AE1866" s="253"/>
    </row>
    <row r="1867" spans="1:31" ht="12.75" customHeight="1">
      <c r="A1867" t="s">
        <v>1243</v>
      </c>
      <c r="B1867" t="s">
        <v>1282</v>
      </c>
      <c r="C1867">
        <v>2115</v>
      </c>
      <c r="D1867" s="581"/>
      <c r="E1867" s="581"/>
      <c r="F1867" s="2">
        <f>(1/S1867)*cnst_fish!$C$6</f>
        <v>0.21090692879523065</v>
      </c>
      <c r="G1867" s="2">
        <f t="shared" si="266"/>
        <v>1</v>
      </c>
      <c r="H1867" s="2">
        <f t="shared" si="266"/>
        <v>0.36449057933102513</v>
      </c>
      <c r="I1867" s="2">
        <f t="shared" si="267"/>
        <v>0</v>
      </c>
      <c r="J1867" s="389">
        <f t="shared" si="268"/>
        <v>0</v>
      </c>
      <c r="L1867" s="721">
        <v>674.49</v>
      </c>
      <c r="M1867" s="581">
        <v>3496</v>
      </c>
      <c r="N1867" s="585" t="s">
        <v>2323</v>
      </c>
      <c r="O1867" s="586" t="s">
        <v>4685</v>
      </c>
      <c r="P1867" s="233">
        <f t="shared" si="269"/>
        <v>0</v>
      </c>
      <c r="Q1867" s="233">
        <f t="shared" si="270"/>
        <v>4170.49</v>
      </c>
      <c r="R1867" s="2">
        <f t="shared" si="271"/>
        <v>3.1549999999999998</v>
      </c>
      <c r="S1867" s="2">
        <f>(1/9)*cnst_fish!$C$7*(1/cnst_fish!$C$8)^(R1867-1)</f>
        <v>20.151068645669394</v>
      </c>
      <c r="T1867" s="682">
        <f t="shared" si="272"/>
        <v>7207.4650409902597</v>
      </c>
      <c r="W1867" s="818"/>
      <c r="X1867" s="818"/>
      <c r="Y1867" s="819"/>
      <c r="Z1867" s="820"/>
      <c r="AA1867" s="820"/>
      <c r="AB1867" s="821"/>
      <c r="AC1867" s="821"/>
      <c r="AD1867" s="253"/>
      <c r="AE1867" s="253"/>
    </row>
    <row r="1868" spans="1:31" ht="12.75" customHeight="1">
      <c r="A1868" t="s">
        <v>6784</v>
      </c>
      <c r="B1868" t="s">
        <v>8750</v>
      </c>
      <c r="C1868">
        <v>16077</v>
      </c>
      <c r="D1868" s="581"/>
      <c r="E1868" s="581"/>
      <c r="F1868" s="2">
        <f>(1/S1868)*cnst_fish!$C$6</f>
        <v>3.3813556145554591E-2</v>
      </c>
      <c r="G1868" s="2">
        <f t="shared" ref="G1868:H1887" si="273">G$7</f>
        <v>1</v>
      </c>
      <c r="H1868" s="2">
        <f t="shared" si="273"/>
        <v>0.36449057933102513</v>
      </c>
      <c r="I1868" s="2">
        <f t="shared" si="267"/>
        <v>0</v>
      </c>
      <c r="J1868" s="389">
        <f t="shared" si="268"/>
        <v>0</v>
      </c>
      <c r="L1868" s="721"/>
      <c r="M1868" s="581"/>
      <c r="N1868" s="585" t="s">
        <v>3791</v>
      </c>
      <c r="O1868" s="586" t="s">
        <v>4685</v>
      </c>
      <c r="P1868" s="233">
        <f t="shared" si="269"/>
        <v>0</v>
      </c>
      <c r="Q1868" s="233">
        <f t="shared" si="270"/>
        <v>0</v>
      </c>
      <c r="R1868" s="2">
        <f t="shared" si="271"/>
        <v>3.95</v>
      </c>
      <c r="S1868" s="2">
        <f>(1/9)*cnst_fish!$C$7*(1/cnst_fish!$C$8)^(R1868-1)</f>
        <v>125.68923486501552</v>
      </c>
      <c r="T1868" s="682">
        <f t="shared" si="272"/>
        <v>0</v>
      </c>
      <c r="W1868" s="818"/>
      <c r="X1868" s="818"/>
      <c r="Y1868" s="819"/>
      <c r="Z1868" s="820"/>
      <c r="AA1868" s="820"/>
      <c r="AB1868" s="821"/>
      <c r="AC1868" s="821"/>
      <c r="AD1868" s="253"/>
      <c r="AE1868" s="253"/>
    </row>
    <row r="1869" spans="1:31" ht="12.75" customHeight="1">
      <c r="A1869" t="s">
        <v>5238</v>
      </c>
      <c r="B1869" t="s">
        <v>1283</v>
      </c>
      <c r="C1869">
        <v>2927</v>
      </c>
      <c r="D1869" s="581"/>
      <c r="E1869" s="581"/>
      <c r="F1869" s="2">
        <f>(1/S1869)*cnst_fish!$C$6</f>
        <v>8.3002437741509269E-2</v>
      </c>
      <c r="G1869" s="2">
        <f t="shared" si="273"/>
        <v>1</v>
      </c>
      <c r="H1869" s="2">
        <f t="shared" si="273"/>
        <v>0.36449057933102513</v>
      </c>
      <c r="I1869" s="2">
        <f t="shared" si="267"/>
        <v>0</v>
      </c>
      <c r="J1869" s="389">
        <f t="shared" si="268"/>
        <v>0</v>
      </c>
      <c r="L1869" s="721">
        <v>3078.04</v>
      </c>
      <c r="M1869" s="581">
        <v>14895</v>
      </c>
      <c r="N1869" s="585" t="s">
        <v>3791</v>
      </c>
      <c r="O1869" s="586" t="s">
        <v>4685</v>
      </c>
      <c r="P1869" s="233">
        <f t="shared" si="269"/>
        <v>0</v>
      </c>
      <c r="Q1869" s="233">
        <f t="shared" si="270"/>
        <v>17973.04</v>
      </c>
      <c r="R1869" s="2">
        <f t="shared" si="271"/>
        <v>3.56</v>
      </c>
      <c r="S1869" s="2">
        <f>(1/9)*cnst_fish!$C$7*(1/cnst_fish!$C$8)^(R1869-1)</f>
        <v>51.203315416296356</v>
      </c>
      <c r="T1869" s="682">
        <f t="shared" si="272"/>
        <v>78925.438097868668</v>
      </c>
      <c r="W1869" s="818"/>
      <c r="X1869" s="818"/>
      <c r="Y1869" s="819"/>
      <c r="Z1869" s="820"/>
      <c r="AA1869" s="820"/>
      <c r="AB1869" s="821"/>
      <c r="AC1869" s="821"/>
      <c r="AD1869" s="253"/>
      <c r="AE1869" s="253"/>
    </row>
    <row r="1870" spans="1:31" ht="12.75" customHeight="1">
      <c r="A1870" t="s">
        <v>1417</v>
      </c>
      <c r="B1870" t="s">
        <v>5318</v>
      </c>
      <c r="C1870">
        <v>18275</v>
      </c>
      <c r="D1870" s="581"/>
      <c r="E1870" s="581"/>
      <c r="F1870" s="2">
        <f>(1/S1870)*cnst_fish!$C$6</f>
        <v>0.30136363636363639</v>
      </c>
      <c r="G1870" s="2">
        <f t="shared" si="273"/>
        <v>1</v>
      </c>
      <c r="H1870" s="2">
        <f t="shared" si="273"/>
        <v>0.36449057933102513</v>
      </c>
      <c r="I1870" s="2">
        <f t="shared" si="267"/>
        <v>0</v>
      </c>
      <c r="J1870" s="389">
        <f t="shared" si="268"/>
        <v>0</v>
      </c>
      <c r="L1870" s="721">
        <v>0.04</v>
      </c>
      <c r="M1870" s="581"/>
      <c r="N1870" s="585" t="s">
        <v>1738</v>
      </c>
      <c r="O1870" s="586"/>
      <c r="P1870" s="233">
        <f t="shared" si="269"/>
        <v>0</v>
      </c>
      <c r="Q1870" s="233">
        <f t="shared" si="270"/>
        <v>0.04</v>
      </c>
      <c r="R1870" s="2">
        <f t="shared" si="271"/>
        <v>3</v>
      </c>
      <c r="S1870" s="2">
        <f>(1/9)*cnst_fish!$C$7*(1/cnst_fish!$C$8)^(R1870-1)</f>
        <v>14.1025641025641</v>
      </c>
      <c r="T1870" s="682">
        <f t="shared" si="272"/>
        <v>4.8378840092202433E-2</v>
      </c>
      <c r="W1870" s="818"/>
      <c r="X1870" s="818"/>
      <c r="Y1870" s="819"/>
      <c r="Z1870" s="820"/>
      <c r="AA1870" s="820"/>
      <c r="AB1870" s="821"/>
      <c r="AC1870" s="821"/>
      <c r="AD1870" s="253"/>
      <c r="AE1870" s="253"/>
    </row>
    <row r="1871" spans="1:31" ht="12.75" customHeight="1">
      <c r="A1871" t="s">
        <v>1244</v>
      </c>
      <c r="B1871" t="s">
        <v>3359</v>
      </c>
      <c r="C1871">
        <v>2120</v>
      </c>
      <c r="D1871" s="581"/>
      <c r="E1871" s="581">
        <v>69.22</v>
      </c>
      <c r="F1871" s="2">
        <f>(1/S1871)*cnst_fish!$C$6</f>
        <v>1.6561163607618418E-2</v>
      </c>
      <c r="G1871" s="2">
        <f t="shared" si="273"/>
        <v>1</v>
      </c>
      <c r="H1871" s="2">
        <f t="shared" si="273"/>
        <v>0.36449057933102513</v>
      </c>
      <c r="I1871" s="2">
        <f t="shared" si="267"/>
        <v>0</v>
      </c>
      <c r="J1871" s="389">
        <f t="shared" si="268"/>
        <v>1523.4459666642815</v>
      </c>
      <c r="L1871" s="721">
        <v>12</v>
      </c>
      <c r="M1871" s="581">
        <v>329.22</v>
      </c>
      <c r="N1871" s="585" t="s">
        <v>1738</v>
      </c>
      <c r="O1871" s="586" t="s">
        <v>4685</v>
      </c>
      <c r="P1871" s="233">
        <f t="shared" si="269"/>
        <v>69.22</v>
      </c>
      <c r="Q1871" s="233">
        <f t="shared" si="270"/>
        <v>341.22</v>
      </c>
      <c r="R1871" s="2">
        <f t="shared" si="271"/>
        <v>4.26</v>
      </c>
      <c r="S1871" s="2">
        <f>(1/9)*cnst_fish!$C$7*(1/cnst_fish!$C$8)^(R1871-1)</f>
        <v>256.62448006038221</v>
      </c>
      <c r="T1871" s="682">
        <f t="shared" si="272"/>
        <v>7509.8271127591188</v>
      </c>
      <c r="W1871" s="818"/>
      <c r="X1871" s="818"/>
      <c r="Y1871" s="819"/>
      <c r="Z1871" s="820"/>
      <c r="AA1871" s="820"/>
      <c r="AB1871" s="821"/>
      <c r="AC1871" s="821"/>
      <c r="AD1871" s="253"/>
      <c r="AE1871" s="253"/>
    </row>
    <row r="1872" spans="1:31" ht="12.75" customHeight="1">
      <c r="A1872" t="s">
        <v>4015</v>
      </c>
      <c r="B1872" t="s">
        <v>3360</v>
      </c>
      <c r="C1872">
        <v>2935</v>
      </c>
      <c r="D1872" s="581"/>
      <c r="E1872" s="581"/>
      <c r="F1872" s="2">
        <f>(1/S1872)*cnst_fish!$C$6</f>
        <v>0.21831865524078092</v>
      </c>
      <c r="G1872" s="2">
        <f t="shared" si="273"/>
        <v>1</v>
      </c>
      <c r="H1872" s="2">
        <f t="shared" si="273"/>
        <v>0.36449057933102513</v>
      </c>
      <c r="I1872" s="2">
        <f t="shared" si="267"/>
        <v>0</v>
      </c>
      <c r="J1872" s="389">
        <f t="shared" si="268"/>
        <v>0</v>
      </c>
      <c r="L1872" s="721"/>
      <c r="M1872" s="581">
        <v>9</v>
      </c>
      <c r="N1872" s="585" t="s">
        <v>2323</v>
      </c>
      <c r="O1872" s="586" t="s">
        <v>4685</v>
      </c>
      <c r="P1872" s="233">
        <f t="shared" si="269"/>
        <v>0</v>
      </c>
      <c r="Q1872" s="233">
        <f t="shared" si="270"/>
        <v>9</v>
      </c>
      <c r="R1872" s="2">
        <f t="shared" si="271"/>
        <v>3.14</v>
      </c>
      <c r="S1872" s="2">
        <f>(1/9)*cnst_fish!$C$7*(1/cnst_fish!$C$8)^(R1872-1)</f>
        <v>19.466957577733005</v>
      </c>
      <c r="T1872" s="682">
        <f t="shared" si="272"/>
        <v>15.025812660678481</v>
      </c>
      <c r="W1872" s="818"/>
      <c r="X1872" s="818"/>
      <c r="Y1872" s="819"/>
      <c r="Z1872" s="820"/>
      <c r="AA1872" s="820"/>
      <c r="AB1872" s="821"/>
      <c r="AC1872" s="821"/>
      <c r="AD1872" s="253"/>
      <c r="AE1872" s="253"/>
    </row>
    <row r="1873" spans="1:31" ht="12.75" customHeight="1">
      <c r="A1873" t="s">
        <v>1166</v>
      </c>
      <c r="B1873" t="s">
        <v>3361</v>
      </c>
      <c r="C1873">
        <v>2121</v>
      </c>
      <c r="D1873" s="581"/>
      <c r="E1873" s="581">
        <v>635</v>
      </c>
      <c r="F1873" s="2">
        <f>(1/S1873)*cnst_fish!$C$6</f>
        <v>1.5455777163012491E-2</v>
      </c>
      <c r="G1873" s="2">
        <f t="shared" si="273"/>
        <v>1</v>
      </c>
      <c r="H1873" s="2">
        <f t="shared" si="273"/>
        <v>0.36449057933102513</v>
      </c>
      <c r="I1873" s="2">
        <f t="shared" si="267"/>
        <v>0</v>
      </c>
      <c r="J1873" s="389">
        <f t="shared" si="268"/>
        <v>14975.081190293809</v>
      </c>
      <c r="L1873" s="721"/>
      <c r="M1873" s="581">
        <v>1112</v>
      </c>
      <c r="N1873" s="585" t="s">
        <v>2323</v>
      </c>
      <c r="O1873" s="586" t="s">
        <v>4685</v>
      </c>
      <c r="P1873" s="233">
        <f t="shared" si="269"/>
        <v>635</v>
      </c>
      <c r="Q1873" s="233">
        <f t="shared" si="270"/>
        <v>1112</v>
      </c>
      <c r="R1873" s="2">
        <f t="shared" si="271"/>
        <v>4.29</v>
      </c>
      <c r="S1873" s="2">
        <f>(1/9)*cnst_fish!$C$7*(1/cnst_fish!$C$8)^(R1873-1)</f>
        <v>274.97808458126286</v>
      </c>
      <c r="T1873" s="682">
        <f t="shared" si="272"/>
        <v>26224.07918678223</v>
      </c>
      <c r="W1873" s="818"/>
      <c r="X1873" s="818"/>
      <c r="Y1873" s="819"/>
      <c r="Z1873" s="820"/>
      <c r="AA1873" s="820"/>
      <c r="AB1873" s="821"/>
      <c r="AC1873" s="821"/>
      <c r="AD1873" s="253"/>
      <c r="AE1873" s="253"/>
    </row>
    <row r="1874" spans="1:31" ht="12.75" customHeight="1">
      <c r="A1874" t="s">
        <v>3288</v>
      </c>
      <c r="B1874" t="s">
        <v>3362</v>
      </c>
      <c r="C1874">
        <v>2119</v>
      </c>
      <c r="D1874" s="581"/>
      <c r="E1874" s="581"/>
      <c r="F1874" s="2">
        <f>(1/S1874)*cnst_fish!$C$6</f>
        <v>5.2370997702765265E-2</v>
      </c>
      <c r="G1874" s="2">
        <f t="shared" si="273"/>
        <v>1</v>
      </c>
      <c r="H1874" s="2">
        <f t="shared" si="273"/>
        <v>0.36449057933102513</v>
      </c>
      <c r="I1874" s="2">
        <f t="shared" si="267"/>
        <v>0</v>
      </c>
      <c r="J1874" s="389">
        <f t="shared" si="268"/>
        <v>0</v>
      </c>
      <c r="L1874" s="721">
        <v>0</v>
      </c>
      <c r="M1874" s="581"/>
      <c r="N1874" s="585" t="s">
        <v>1738</v>
      </c>
      <c r="O1874" s="586" t="s">
        <v>4685</v>
      </c>
      <c r="P1874" s="233">
        <f t="shared" si="269"/>
        <v>0</v>
      </c>
      <c r="Q1874" s="233">
        <f t="shared" si="270"/>
        <v>0</v>
      </c>
      <c r="R1874" s="2">
        <f t="shared" si="271"/>
        <v>3.76</v>
      </c>
      <c r="S1874" s="2">
        <f>(1/9)*cnst_fish!$C$7*(1/cnst_fish!$C$8)^(R1874-1)</f>
        <v>81.151786034727266</v>
      </c>
      <c r="T1874" s="682">
        <f t="shared" si="272"/>
        <v>0</v>
      </c>
      <c r="W1874" s="818"/>
      <c r="X1874" s="818"/>
      <c r="Y1874" s="819"/>
      <c r="Z1874" s="820"/>
      <c r="AA1874" s="820"/>
      <c r="AB1874" s="821"/>
      <c r="AC1874" s="821"/>
      <c r="AD1874" s="253"/>
      <c r="AE1874" s="253"/>
    </row>
    <row r="1875" spans="1:31" ht="12.75" customHeight="1">
      <c r="A1875" t="s">
        <v>1167</v>
      </c>
      <c r="B1875" t="s">
        <v>1168</v>
      </c>
      <c r="C1875">
        <v>2300</v>
      </c>
      <c r="D1875" s="581"/>
      <c r="E1875" s="581">
        <v>99.11</v>
      </c>
      <c r="F1875" s="2">
        <f>(1/S1875)*cnst_fish!$C$6</f>
        <v>2.6247675460949162E-2</v>
      </c>
      <c r="G1875" s="2">
        <f t="shared" si="273"/>
        <v>1</v>
      </c>
      <c r="H1875" s="2">
        <f t="shared" si="273"/>
        <v>0.36449057933102513</v>
      </c>
      <c r="I1875" s="2">
        <f t="shared" si="267"/>
        <v>0</v>
      </c>
      <c r="J1875" s="389">
        <f t="shared" si="268"/>
        <v>1376.299450640631</v>
      </c>
      <c r="L1875" s="721"/>
      <c r="M1875" s="581">
        <v>99.11</v>
      </c>
      <c r="N1875" s="585" t="s">
        <v>1738</v>
      </c>
      <c r="O1875" s="586" t="s">
        <v>4685</v>
      </c>
      <c r="P1875" s="233">
        <f t="shared" si="269"/>
        <v>99.11</v>
      </c>
      <c r="Q1875" s="233">
        <f t="shared" si="270"/>
        <v>99.11</v>
      </c>
      <c r="R1875" s="2">
        <f t="shared" si="271"/>
        <v>4.0599999999999996</v>
      </c>
      <c r="S1875" s="2">
        <f>(1/9)*cnst_fish!$C$7*(1/cnst_fish!$C$8)^(R1875-1)</f>
        <v>161.91910046750908</v>
      </c>
      <c r="T1875" s="682">
        <f t="shared" si="272"/>
        <v>1376.299450640631</v>
      </c>
      <c r="W1875" s="818"/>
      <c r="X1875" s="818"/>
      <c r="Y1875" s="819"/>
      <c r="Z1875" s="820"/>
      <c r="AA1875" s="820"/>
      <c r="AB1875" s="821"/>
      <c r="AC1875" s="821"/>
      <c r="AD1875" s="253"/>
      <c r="AE1875" s="253"/>
    </row>
    <row r="1876" spans="1:31" ht="12.75" customHeight="1">
      <c r="A1876" t="s">
        <v>2553</v>
      </c>
      <c r="B1876" t="s">
        <v>2608</v>
      </c>
      <c r="C1876">
        <v>3098</v>
      </c>
      <c r="D1876" s="581"/>
      <c r="E1876" s="581"/>
      <c r="F1876" s="2">
        <f>(1/S1876)*cnst_fish!$C$6</f>
        <v>1.6946922663690963E-2</v>
      </c>
      <c r="G1876" s="2">
        <f t="shared" si="273"/>
        <v>1</v>
      </c>
      <c r="H1876" s="2">
        <f t="shared" si="273"/>
        <v>0.36449057933102513</v>
      </c>
      <c r="I1876" s="2">
        <f t="shared" si="267"/>
        <v>0</v>
      </c>
      <c r="J1876" s="389">
        <f t="shared" si="268"/>
        <v>0</v>
      </c>
      <c r="L1876" s="721">
        <v>1598.77</v>
      </c>
      <c r="M1876" s="581">
        <v>19228.759999999998</v>
      </c>
      <c r="N1876" s="585" t="s">
        <v>1738</v>
      </c>
      <c r="O1876" s="586" t="s">
        <v>4685</v>
      </c>
      <c r="P1876" s="233">
        <f t="shared" si="269"/>
        <v>0</v>
      </c>
      <c r="Q1876" s="233">
        <f t="shared" si="270"/>
        <v>20827.53</v>
      </c>
      <c r="R1876" s="2">
        <f t="shared" si="271"/>
        <v>4.25</v>
      </c>
      <c r="S1876" s="2">
        <f>(1/9)*cnst_fish!$C$7*(1/cnst_fish!$C$8)^(R1876-1)</f>
        <v>250.78299372343801</v>
      </c>
      <c r="T1876" s="682">
        <f t="shared" si="272"/>
        <v>447953.80414398637</v>
      </c>
      <c r="W1876" s="818"/>
      <c r="X1876" s="818"/>
      <c r="Y1876" s="819"/>
      <c r="Z1876" s="820"/>
      <c r="AA1876" s="820"/>
      <c r="AB1876" s="821"/>
      <c r="AC1876" s="821"/>
      <c r="AD1876" s="253"/>
      <c r="AE1876" s="253"/>
    </row>
    <row r="1877" spans="1:31" ht="12.75" customHeight="1">
      <c r="A1877" t="s">
        <v>1169</v>
      </c>
      <c r="B1877" t="s">
        <v>1170</v>
      </c>
      <c r="C1877">
        <v>3097</v>
      </c>
      <c r="D1877" s="581"/>
      <c r="E1877" s="581">
        <v>11250</v>
      </c>
      <c r="F1877" s="2">
        <f>(1/S1877)*cnst_fish!$C$6</f>
        <v>1.0449387811364928E-2</v>
      </c>
      <c r="G1877" s="2">
        <f t="shared" si="273"/>
        <v>1</v>
      </c>
      <c r="H1877" s="2">
        <f t="shared" si="273"/>
        <v>0.36449057933102513</v>
      </c>
      <c r="I1877" s="2">
        <f t="shared" si="267"/>
        <v>0</v>
      </c>
      <c r="J1877" s="389">
        <f t="shared" si="268"/>
        <v>392417.15318616468</v>
      </c>
      <c r="L1877" s="721"/>
      <c r="M1877" s="581">
        <v>11269</v>
      </c>
      <c r="N1877" s="585" t="s">
        <v>1738</v>
      </c>
      <c r="O1877" s="586" t="s">
        <v>4685</v>
      </c>
      <c r="P1877" s="233">
        <f t="shared" si="269"/>
        <v>11250</v>
      </c>
      <c r="Q1877" s="233">
        <f t="shared" si="270"/>
        <v>11269</v>
      </c>
      <c r="R1877" s="2">
        <f t="shared" si="271"/>
        <v>4.46</v>
      </c>
      <c r="S1877" s="2">
        <f>(1/9)*cnst_fish!$C$7*(1/cnst_fish!$C$8)^(R1877-1)</f>
        <v>406.72239146657279</v>
      </c>
      <c r="T1877" s="682">
        <f t="shared" si="272"/>
        <v>393079.90215599019</v>
      </c>
      <c r="W1877" s="818"/>
      <c r="X1877" s="818"/>
      <c r="Y1877" s="819"/>
      <c r="Z1877" s="820"/>
      <c r="AA1877" s="820"/>
      <c r="AB1877" s="821"/>
      <c r="AC1877" s="821"/>
      <c r="AD1877" s="253"/>
      <c r="AE1877" s="253"/>
    </row>
    <row r="1878" spans="1:31" ht="12.75" customHeight="1">
      <c r="A1878" t="s">
        <v>8751</v>
      </c>
      <c r="B1878" t="s">
        <v>8752</v>
      </c>
      <c r="C1878">
        <v>15074</v>
      </c>
      <c r="D1878" s="581"/>
      <c r="E1878" s="581"/>
      <c r="F1878" s="2">
        <f>(1/S1878)*cnst_fish!$C$6</f>
        <v>2.3938164528281767E-2</v>
      </c>
      <c r="G1878" s="2">
        <f t="shared" si="273"/>
        <v>1</v>
      </c>
      <c r="H1878" s="2">
        <f t="shared" si="273"/>
        <v>0.36449057933102513</v>
      </c>
      <c r="I1878" s="2">
        <f t="shared" si="267"/>
        <v>0</v>
      </c>
      <c r="J1878" s="389">
        <f t="shared" si="268"/>
        <v>0</v>
      </c>
      <c r="L1878" s="721"/>
      <c r="M1878" s="581"/>
      <c r="N1878" s="585" t="s">
        <v>1738</v>
      </c>
      <c r="O1878" s="586" t="s">
        <v>4685</v>
      </c>
      <c r="P1878" s="233">
        <f t="shared" si="269"/>
        <v>0</v>
      </c>
      <c r="Q1878" s="233">
        <f t="shared" si="270"/>
        <v>0</v>
      </c>
      <c r="R1878" s="2">
        <f t="shared" si="271"/>
        <v>4.0999999999999996</v>
      </c>
      <c r="S1878" s="2">
        <f>(1/9)*cnst_fish!$C$7*(1/cnst_fish!$C$8)^(R1878-1)</f>
        <v>177.54076320174144</v>
      </c>
      <c r="T1878" s="682">
        <f t="shared" si="272"/>
        <v>0</v>
      </c>
      <c r="W1878" s="818"/>
      <c r="X1878" s="818"/>
      <c r="Y1878" s="819"/>
      <c r="Z1878" s="820"/>
      <c r="AA1878" s="820"/>
      <c r="AB1878" s="821"/>
      <c r="AC1878" s="821"/>
      <c r="AD1878" s="253"/>
      <c r="AE1878" s="253"/>
    </row>
    <row r="1879" spans="1:31" ht="12.75" customHeight="1">
      <c r="A1879" t="s">
        <v>8753</v>
      </c>
      <c r="B1879" t="s">
        <v>6616</v>
      </c>
      <c r="C1879">
        <v>18447</v>
      </c>
      <c r="D1879" s="581"/>
      <c r="E1879" s="581"/>
      <c r="F1879" s="2">
        <f>(1/S1879)*cnst_fish!$C$6</f>
        <v>3.0136363636363641</v>
      </c>
      <c r="G1879" s="2">
        <f t="shared" si="273"/>
        <v>1</v>
      </c>
      <c r="H1879" s="2">
        <f t="shared" si="273"/>
        <v>0.36449057933102513</v>
      </c>
      <c r="I1879" s="2">
        <f t="shared" si="267"/>
        <v>0</v>
      </c>
      <c r="J1879" s="389">
        <f t="shared" si="268"/>
        <v>0</v>
      </c>
      <c r="L1879" s="721">
        <v>23389</v>
      </c>
      <c r="M1879" s="581"/>
      <c r="N1879" s="585" t="s">
        <v>1740</v>
      </c>
      <c r="O1879" s="586" t="s">
        <v>4671</v>
      </c>
      <c r="P1879" s="233">
        <f t="shared" si="269"/>
        <v>0</v>
      </c>
      <c r="Q1879" s="233">
        <f t="shared" si="270"/>
        <v>23389</v>
      </c>
      <c r="R1879" s="2">
        <f t="shared" si="271"/>
        <v>2</v>
      </c>
      <c r="S1879" s="2">
        <f>(1/9)*cnst_fish!$C$7*(1/cnst_fish!$C$8)^(R1879-1)</f>
        <v>1.4102564102564099</v>
      </c>
      <c r="T1879" s="682">
        <f t="shared" si="272"/>
        <v>2828.8317272913064</v>
      </c>
      <c r="W1879" s="818"/>
      <c r="X1879" s="818"/>
      <c r="Y1879" s="819"/>
      <c r="Z1879" s="820"/>
      <c r="AA1879" s="820"/>
      <c r="AB1879" s="821"/>
      <c r="AC1879" s="821"/>
      <c r="AD1879" s="253"/>
      <c r="AE1879" s="253"/>
    </row>
    <row r="1880" spans="1:31" ht="12.75" customHeight="1">
      <c r="A1880" t="s">
        <v>8353</v>
      </c>
      <c r="B1880" t="s">
        <v>8354</v>
      </c>
      <c r="C1880">
        <v>2472</v>
      </c>
      <c r="D1880" s="581"/>
      <c r="E1880" s="581"/>
      <c r="F1880" s="2">
        <f>(1/S1880)*cnst_fish!$C$6</f>
        <v>9.5299549485983424E-3</v>
      </c>
      <c r="G1880" s="2">
        <f t="shared" si="273"/>
        <v>1</v>
      </c>
      <c r="H1880" s="2">
        <f t="shared" si="273"/>
        <v>0.36449057933102513</v>
      </c>
      <c r="I1880" s="2">
        <f t="shared" si="267"/>
        <v>0</v>
      </c>
      <c r="J1880" s="389">
        <f t="shared" si="268"/>
        <v>0</v>
      </c>
      <c r="L1880" s="721">
        <v>0</v>
      </c>
      <c r="M1880" s="581"/>
      <c r="N1880" s="585" t="s">
        <v>2320</v>
      </c>
      <c r="O1880" s="586" t="s">
        <v>4699</v>
      </c>
      <c r="P1880" s="233">
        <f t="shared" si="269"/>
        <v>0</v>
      </c>
      <c r="Q1880" s="233">
        <f t="shared" si="270"/>
        <v>0</v>
      </c>
      <c r="R1880" s="2">
        <f t="shared" si="271"/>
        <v>4.5</v>
      </c>
      <c r="S1880" s="2">
        <f>(1/9)*cnst_fish!$C$7*(1/cnst_fish!$C$8)^(R1880-1)</f>
        <v>445.96223412630997</v>
      </c>
      <c r="T1880" s="682">
        <f t="shared" si="272"/>
        <v>0</v>
      </c>
      <c r="W1880" s="818"/>
      <c r="X1880" s="818"/>
      <c r="Y1880" s="819"/>
      <c r="Z1880" s="820"/>
      <c r="AA1880" s="820"/>
      <c r="AB1880" s="821"/>
      <c r="AC1880" s="821"/>
      <c r="AD1880" s="253"/>
      <c r="AE1880" s="253"/>
    </row>
    <row r="1881" spans="1:31" ht="12.75" customHeight="1">
      <c r="A1881" t="s">
        <v>1228</v>
      </c>
      <c r="B1881" t="s">
        <v>2413</v>
      </c>
      <c r="C1881">
        <v>3275</v>
      </c>
      <c r="D1881" s="581"/>
      <c r="E1881" s="581"/>
      <c r="F1881" s="2">
        <f>(1/S1881)*cnst_fish!$C$6</f>
        <v>9.5299549485983424E-3</v>
      </c>
      <c r="G1881" s="2">
        <f t="shared" si="273"/>
        <v>1</v>
      </c>
      <c r="H1881" s="2">
        <f t="shared" si="273"/>
        <v>0.36449057933102513</v>
      </c>
      <c r="I1881" s="2">
        <f t="shared" si="267"/>
        <v>0</v>
      </c>
      <c r="J1881" s="389">
        <f t="shared" si="268"/>
        <v>0</v>
      </c>
      <c r="L1881" s="721">
        <v>83055</v>
      </c>
      <c r="M1881" s="581"/>
      <c r="N1881" s="585" t="s">
        <v>2320</v>
      </c>
      <c r="O1881" s="586" t="s">
        <v>4699</v>
      </c>
      <c r="P1881" s="233">
        <f t="shared" si="269"/>
        <v>0</v>
      </c>
      <c r="Q1881" s="233">
        <f t="shared" si="270"/>
        <v>83055</v>
      </c>
      <c r="R1881" s="2">
        <f t="shared" si="271"/>
        <v>4.5</v>
      </c>
      <c r="S1881" s="2">
        <f>(1/9)*cnst_fish!$C$7*(1/cnst_fish!$C$8)^(R1881-1)</f>
        <v>445.96223412630997</v>
      </c>
      <c r="T1881" s="682">
        <f t="shared" si="272"/>
        <v>3176590.5746270902</v>
      </c>
      <c r="W1881" s="818"/>
      <c r="X1881" s="818"/>
      <c r="Y1881" s="819"/>
      <c r="Z1881" s="820"/>
      <c r="AA1881" s="820"/>
      <c r="AB1881" s="821"/>
      <c r="AC1881" s="821"/>
      <c r="AD1881" s="253"/>
      <c r="AE1881" s="253"/>
    </row>
    <row r="1882" spans="1:31" ht="12.75" customHeight="1">
      <c r="A1882" t="s">
        <v>845</v>
      </c>
      <c r="B1882" t="s">
        <v>2414</v>
      </c>
      <c r="C1882">
        <v>3274</v>
      </c>
      <c r="D1882" s="581"/>
      <c r="E1882" s="581"/>
      <c r="F1882" s="2">
        <f>(1/S1882)*cnst_fish!$C$6</f>
        <v>1.8581931192461935E-2</v>
      </c>
      <c r="G1882" s="2">
        <f t="shared" si="273"/>
        <v>1</v>
      </c>
      <c r="H1882" s="2">
        <f t="shared" si="273"/>
        <v>0.36449057933102513</v>
      </c>
      <c r="I1882" s="2">
        <f t="shared" si="267"/>
        <v>0</v>
      </c>
      <c r="J1882" s="389">
        <f t="shared" si="268"/>
        <v>0</v>
      </c>
      <c r="L1882" s="721">
        <v>4088</v>
      </c>
      <c r="M1882" s="581"/>
      <c r="N1882" s="585" t="s">
        <v>2320</v>
      </c>
      <c r="O1882" s="586" t="s">
        <v>4699</v>
      </c>
      <c r="P1882" s="233">
        <f t="shared" si="269"/>
        <v>0</v>
      </c>
      <c r="Q1882" s="233">
        <f t="shared" si="270"/>
        <v>4088</v>
      </c>
      <c r="R1882" s="2">
        <f t="shared" si="271"/>
        <v>4.21</v>
      </c>
      <c r="S1882" s="2">
        <f>(1/9)*cnst_fish!$C$7*(1/cnst_fish!$C$8)^(R1882-1)</f>
        <v>228.71680860190045</v>
      </c>
      <c r="T1882" s="682">
        <f t="shared" si="272"/>
        <v>80187.439769967983</v>
      </c>
      <c r="W1882" s="818"/>
      <c r="X1882" s="818"/>
      <c r="Y1882" s="819"/>
      <c r="Z1882" s="820"/>
      <c r="AA1882" s="820"/>
      <c r="AB1882" s="821"/>
      <c r="AC1882" s="821"/>
      <c r="AD1882" s="253"/>
      <c r="AE1882" s="253"/>
    </row>
    <row r="1883" spans="1:31" ht="12.75" customHeight="1">
      <c r="A1883" t="s">
        <v>941</v>
      </c>
      <c r="B1883" t="s">
        <v>2415</v>
      </c>
      <c r="C1883">
        <v>2471</v>
      </c>
      <c r="D1883" s="581"/>
      <c r="E1883" s="581"/>
      <c r="F1883" s="2">
        <f>(1/S1883)*cnst_fish!$C$6</f>
        <v>9.5299549485983424E-3</v>
      </c>
      <c r="G1883" s="2">
        <f t="shared" si="273"/>
        <v>1</v>
      </c>
      <c r="H1883" s="2">
        <f t="shared" si="273"/>
        <v>0.36449057933102513</v>
      </c>
      <c r="I1883" s="2">
        <f t="shared" si="267"/>
        <v>0</v>
      </c>
      <c r="J1883" s="389">
        <f t="shared" si="268"/>
        <v>0</v>
      </c>
      <c r="L1883" s="721">
        <v>50562</v>
      </c>
      <c r="M1883" s="581"/>
      <c r="N1883" s="585" t="s">
        <v>2320</v>
      </c>
      <c r="O1883" s="586" t="s">
        <v>4699</v>
      </c>
      <c r="P1883" s="233">
        <f t="shared" si="269"/>
        <v>0</v>
      </c>
      <c r="Q1883" s="233">
        <f t="shared" si="270"/>
        <v>50562</v>
      </c>
      <c r="R1883" s="2">
        <f t="shared" si="271"/>
        <v>4.5</v>
      </c>
      <c r="S1883" s="2">
        <f>(1/9)*cnst_fish!$C$7*(1/cnst_fish!$C$8)^(R1883-1)</f>
        <v>445.96223412630997</v>
      </c>
      <c r="T1883" s="682">
        <f t="shared" si="272"/>
        <v>1933836.2848027805</v>
      </c>
      <c r="W1883" s="818"/>
      <c r="X1883" s="818"/>
      <c r="Y1883" s="819"/>
      <c r="Z1883" s="820"/>
      <c r="AA1883" s="820"/>
      <c r="AB1883" s="821"/>
      <c r="AC1883" s="821"/>
      <c r="AD1883" s="253"/>
      <c r="AE1883" s="253"/>
    </row>
    <row r="1884" spans="1:31" ht="12.75" customHeight="1">
      <c r="A1884" t="s">
        <v>3960</v>
      </c>
      <c r="B1884" t="s">
        <v>967</v>
      </c>
      <c r="C1884">
        <v>2910</v>
      </c>
      <c r="D1884" s="581"/>
      <c r="E1884" s="581"/>
      <c r="F1884" s="2">
        <f>(1/S1884)*cnst_fish!$C$6</f>
        <v>0.26859062362848796</v>
      </c>
      <c r="G1884" s="2">
        <f t="shared" si="273"/>
        <v>1</v>
      </c>
      <c r="H1884" s="2">
        <f t="shared" si="273"/>
        <v>0.36449057933102513</v>
      </c>
      <c r="I1884" s="2">
        <f t="shared" si="267"/>
        <v>0</v>
      </c>
      <c r="J1884" s="389">
        <f t="shared" si="268"/>
        <v>0</v>
      </c>
      <c r="L1884" s="721">
        <v>1608411.84</v>
      </c>
      <c r="M1884" s="581"/>
      <c r="N1884" s="585" t="s">
        <v>2321</v>
      </c>
      <c r="O1884" s="586" t="s">
        <v>4699</v>
      </c>
      <c r="P1884" s="233">
        <f t="shared" si="269"/>
        <v>0</v>
      </c>
      <c r="Q1884" s="233">
        <f t="shared" si="270"/>
        <v>1608411.84</v>
      </c>
      <c r="R1884" s="2">
        <f t="shared" si="271"/>
        <v>3.05</v>
      </c>
      <c r="S1884" s="2">
        <f>(1/9)*cnst_fish!$C$7*(1/cnst_fish!$C$8)^(R1884-1)</f>
        <v>15.823337176053327</v>
      </c>
      <c r="T1884" s="682">
        <f t="shared" si="272"/>
        <v>2182693.3324946477</v>
      </c>
      <c r="W1884" s="818"/>
      <c r="X1884" s="818"/>
      <c r="Y1884" s="819"/>
      <c r="Z1884" s="820"/>
      <c r="AA1884" s="820"/>
      <c r="AB1884" s="821"/>
      <c r="AC1884" s="821"/>
      <c r="AD1884" s="253"/>
      <c r="AE1884" s="253"/>
    </row>
    <row r="1885" spans="1:31" ht="12.75" customHeight="1">
      <c r="A1885" t="s">
        <v>3501</v>
      </c>
      <c r="B1885" t="s">
        <v>4946</v>
      </c>
      <c r="C1885">
        <v>2088</v>
      </c>
      <c r="D1885" s="581"/>
      <c r="E1885" s="581"/>
      <c r="F1885" s="2">
        <f>(1/S1885)*cnst_fish!$C$6</f>
        <v>0.11997502458044032</v>
      </c>
      <c r="G1885" s="2">
        <f t="shared" si="273"/>
        <v>1</v>
      </c>
      <c r="H1885" s="2">
        <f t="shared" si="273"/>
        <v>0.36449057933102513</v>
      </c>
      <c r="I1885" s="2">
        <f t="shared" si="267"/>
        <v>0</v>
      </c>
      <c r="J1885" s="389">
        <f t="shared" si="268"/>
        <v>0</v>
      </c>
      <c r="L1885" s="721">
        <v>301165</v>
      </c>
      <c r="M1885" s="581">
        <v>23</v>
      </c>
      <c r="N1885" s="585" t="s">
        <v>2321</v>
      </c>
      <c r="O1885" s="586" t="s">
        <v>4699</v>
      </c>
      <c r="P1885" s="233">
        <f t="shared" si="269"/>
        <v>0</v>
      </c>
      <c r="Q1885" s="233">
        <f t="shared" si="270"/>
        <v>301188</v>
      </c>
      <c r="R1885" s="2">
        <f t="shared" si="271"/>
        <v>3.4</v>
      </c>
      <c r="S1885" s="2">
        <f>(1/9)*cnst_fish!$C$7*(1/cnst_fish!$C$8)^(R1885-1)</f>
        <v>35.424039418724846</v>
      </c>
      <c r="T1885" s="682">
        <f t="shared" si="272"/>
        <v>915025.34791270539</v>
      </c>
      <c r="W1885" s="818"/>
      <c r="X1885" s="818"/>
      <c r="Y1885" s="819"/>
      <c r="Z1885" s="820"/>
      <c r="AA1885" s="820"/>
      <c r="AB1885" s="821"/>
      <c r="AC1885" s="821"/>
      <c r="AD1885" s="253"/>
      <c r="AE1885" s="253"/>
    </row>
    <row r="1886" spans="1:31" ht="12.75" customHeight="1">
      <c r="A1886" t="s">
        <v>3811</v>
      </c>
      <c r="B1886" t="s">
        <v>4947</v>
      </c>
      <c r="C1886">
        <v>2090</v>
      </c>
      <c r="D1886" s="581"/>
      <c r="E1886" s="581"/>
      <c r="F1886" s="2">
        <f>(1/S1886)*cnst_fish!$C$6</f>
        <v>0.23938164528281752</v>
      </c>
      <c r="G1886" s="2">
        <f t="shared" si="273"/>
        <v>1</v>
      </c>
      <c r="H1886" s="2">
        <f t="shared" si="273"/>
        <v>0.36449057933102513</v>
      </c>
      <c r="I1886" s="2">
        <f t="shared" si="267"/>
        <v>0</v>
      </c>
      <c r="J1886" s="389">
        <f t="shared" si="268"/>
        <v>0</v>
      </c>
      <c r="L1886" s="721">
        <v>46400</v>
      </c>
      <c r="M1886" s="581"/>
      <c r="N1886" s="585" t="s">
        <v>2321</v>
      </c>
      <c r="O1886" s="586" t="s">
        <v>4699</v>
      </c>
      <c r="P1886" s="233">
        <f t="shared" si="269"/>
        <v>0</v>
      </c>
      <c r="Q1886" s="233">
        <f t="shared" si="270"/>
        <v>46400</v>
      </c>
      <c r="R1886" s="2">
        <f t="shared" si="271"/>
        <v>3.1</v>
      </c>
      <c r="S1886" s="2">
        <f>(1/9)*cnst_fish!$C$7*(1/cnst_fish!$C$8)^(R1886-1)</f>
        <v>17.754076320174157</v>
      </c>
      <c r="T1886" s="682">
        <f t="shared" si="272"/>
        <v>70650.207374832142</v>
      </c>
      <c r="W1886" s="818"/>
      <c r="X1886" s="818"/>
      <c r="Y1886" s="819"/>
      <c r="Z1886" s="820"/>
      <c r="AA1886" s="820"/>
      <c r="AB1886" s="821"/>
      <c r="AC1886" s="821"/>
      <c r="AD1886" s="253"/>
      <c r="AE1886" s="253"/>
    </row>
    <row r="1887" spans="1:31" ht="12.75" customHeight="1">
      <c r="A1887" t="s">
        <v>3113</v>
      </c>
      <c r="B1887" t="s">
        <v>4017</v>
      </c>
      <c r="C1887">
        <v>2085</v>
      </c>
      <c r="D1887" s="581"/>
      <c r="E1887" s="581"/>
      <c r="F1887" s="2">
        <f>(1/S1887)*cnst_fish!$C$6</f>
        <v>0.42568745094767507</v>
      </c>
      <c r="G1887" s="2">
        <f t="shared" si="273"/>
        <v>1</v>
      </c>
      <c r="H1887" s="2">
        <f t="shared" si="273"/>
        <v>0.36449057933102513</v>
      </c>
      <c r="I1887" s="2">
        <f t="shared" si="267"/>
        <v>0</v>
      </c>
      <c r="J1887" s="389">
        <f t="shared" si="268"/>
        <v>0</v>
      </c>
      <c r="L1887" s="721">
        <v>119004</v>
      </c>
      <c r="M1887" s="581"/>
      <c r="N1887" s="585" t="s">
        <v>2321</v>
      </c>
      <c r="O1887" s="586" t="s">
        <v>4699</v>
      </c>
      <c r="P1887" s="233">
        <f t="shared" si="269"/>
        <v>0</v>
      </c>
      <c r="Q1887" s="233">
        <f t="shared" si="270"/>
        <v>119004</v>
      </c>
      <c r="R1887" s="2">
        <f t="shared" si="271"/>
        <v>2.85</v>
      </c>
      <c r="S1887" s="2">
        <f>(1/9)*cnst_fish!$C$7*(1/cnst_fish!$C$8)^(R1887-1)</f>
        <v>9.9838508054173385</v>
      </c>
      <c r="T1887" s="682">
        <f t="shared" si="272"/>
        <v>101895.97275218013</v>
      </c>
      <c r="W1887" s="818"/>
      <c r="X1887" s="818"/>
      <c r="Y1887" s="819"/>
      <c r="Z1887" s="820"/>
      <c r="AA1887" s="820"/>
      <c r="AB1887" s="821"/>
      <c r="AC1887" s="821"/>
      <c r="AD1887" s="253"/>
      <c r="AE1887" s="253"/>
    </row>
    <row r="1888" spans="1:31" ht="12.75" customHeight="1">
      <c r="A1888" t="s">
        <v>4951</v>
      </c>
      <c r="B1888" t="s">
        <v>2496</v>
      </c>
      <c r="C1888">
        <v>2892</v>
      </c>
      <c r="D1888" s="581"/>
      <c r="E1888" s="581"/>
      <c r="F1888" s="2">
        <f>(1/S1888)*cnst_fish!$C$6</f>
        <v>0.99790878883162693</v>
      </c>
      <c r="G1888" s="2">
        <f t="shared" ref="G1888:H1907" si="274">G$7</f>
        <v>1</v>
      </c>
      <c r="H1888" s="2">
        <f t="shared" si="274"/>
        <v>0.36449057933102513</v>
      </c>
      <c r="I1888" s="2">
        <f t="shared" si="267"/>
        <v>0</v>
      </c>
      <c r="J1888" s="389">
        <f t="shared" si="268"/>
        <v>0</v>
      </c>
      <c r="L1888" s="721">
        <v>298593.59999999998</v>
      </c>
      <c r="M1888" s="581"/>
      <c r="N1888" s="585" t="s">
        <v>2321</v>
      </c>
      <c r="O1888" s="586" t="s">
        <v>4699</v>
      </c>
      <c r="P1888" s="233">
        <f t="shared" si="269"/>
        <v>0</v>
      </c>
      <c r="Q1888" s="233">
        <f t="shared" si="270"/>
        <v>298593.59999999998</v>
      </c>
      <c r="R1888" s="2">
        <f t="shared" si="271"/>
        <v>2.48</v>
      </c>
      <c r="S1888" s="2">
        <f>(1/9)*cnst_fish!$C$7*(1/cnst_fish!$C$8)^(R1888-1)</f>
        <v>4.2589062723618172</v>
      </c>
      <c r="T1888" s="682">
        <f t="shared" si="272"/>
        <v>109062.62723265741</v>
      </c>
      <c r="W1888" s="818"/>
      <c r="X1888" s="818"/>
      <c r="Y1888" s="819"/>
      <c r="Z1888" s="820"/>
      <c r="AA1888" s="820"/>
      <c r="AB1888" s="821"/>
      <c r="AC1888" s="821"/>
      <c r="AD1888" s="253"/>
      <c r="AE1888" s="253"/>
    </row>
    <row r="1889" spans="1:31" ht="12.75" customHeight="1">
      <c r="A1889" t="s">
        <v>1415</v>
      </c>
      <c r="B1889" t="s">
        <v>2497</v>
      </c>
      <c r="C1889">
        <v>2086</v>
      </c>
      <c r="D1889" s="581"/>
      <c r="E1889" s="581"/>
      <c r="F1889" s="2">
        <f>(1/S1889)*cnst_fish!$C$6</f>
        <v>1.172440596050945</v>
      </c>
      <c r="G1889" s="2">
        <f t="shared" si="274"/>
        <v>1</v>
      </c>
      <c r="H1889" s="2">
        <f t="shared" si="274"/>
        <v>0.36449057933102513</v>
      </c>
      <c r="I1889" s="2">
        <f t="shared" si="267"/>
        <v>0</v>
      </c>
      <c r="J1889" s="389">
        <f t="shared" si="268"/>
        <v>0</v>
      </c>
      <c r="L1889" s="721">
        <v>586733</v>
      </c>
      <c r="M1889" s="581"/>
      <c r="N1889" s="585" t="s">
        <v>2321</v>
      </c>
      <c r="O1889" s="586" t="s">
        <v>4699</v>
      </c>
      <c r="P1889" s="233">
        <f t="shared" si="269"/>
        <v>0</v>
      </c>
      <c r="Q1889" s="233">
        <f t="shared" si="270"/>
        <v>586733</v>
      </c>
      <c r="R1889" s="2">
        <f t="shared" si="271"/>
        <v>2.41</v>
      </c>
      <c r="S1889" s="2">
        <f>(1/9)*cnst_fish!$C$7*(1/cnst_fish!$C$8)^(R1889-1)</f>
        <v>3.6249171295458358</v>
      </c>
      <c r="T1889" s="682">
        <f t="shared" si="272"/>
        <v>182404.6794378807</v>
      </c>
      <c r="W1889" s="818"/>
      <c r="X1889" s="818"/>
      <c r="Y1889" s="819"/>
      <c r="Z1889" s="820"/>
      <c r="AA1889" s="820"/>
      <c r="AB1889" s="821"/>
      <c r="AC1889" s="821"/>
      <c r="AD1889" s="253"/>
      <c r="AE1889" s="253"/>
    </row>
    <row r="1890" spans="1:31" ht="12.75" customHeight="1">
      <c r="A1890" t="s">
        <v>186</v>
      </c>
      <c r="B1890" t="s">
        <v>2498</v>
      </c>
      <c r="C1890">
        <v>2089</v>
      </c>
      <c r="D1890" s="581"/>
      <c r="E1890" s="581"/>
      <c r="F1890" s="2">
        <f>(1/S1890)*cnst_fish!$C$6</f>
        <v>0.19014759972289441</v>
      </c>
      <c r="G1890" s="2">
        <f t="shared" si="274"/>
        <v>1</v>
      </c>
      <c r="H1890" s="2">
        <f t="shared" si="274"/>
        <v>0.36449057933102513</v>
      </c>
      <c r="I1890" s="2">
        <f t="shared" si="267"/>
        <v>0</v>
      </c>
      <c r="J1890" s="389">
        <f t="shared" si="268"/>
        <v>0</v>
      </c>
      <c r="L1890" s="721">
        <v>136990</v>
      </c>
      <c r="M1890" s="581"/>
      <c r="N1890" s="585" t="s">
        <v>2321</v>
      </c>
      <c r="O1890" s="586" t="s">
        <v>4699</v>
      </c>
      <c r="P1890" s="233">
        <f t="shared" si="269"/>
        <v>0</v>
      </c>
      <c r="Q1890" s="233">
        <f t="shared" si="270"/>
        <v>136990</v>
      </c>
      <c r="R1890" s="2">
        <f t="shared" si="271"/>
        <v>3.2</v>
      </c>
      <c r="S1890" s="2">
        <f>(1/9)*cnst_fish!$C$7*(1/cnst_fish!$C$8)^(R1890-1)</f>
        <v>22.351057842400341</v>
      </c>
      <c r="T1890" s="682">
        <f t="shared" si="272"/>
        <v>262593.7142268602</v>
      </c>
      <c r="W1890" s="818"/>
      <c r="X1890" s="818"/>
      <c r="Y1890" s="819"/>
      <c r="Z1890" s="820"/>
      <c r="AA1890" s="820"/>
      <c r="AB1890" s="821"/>
      <c r="AC1890" s="821"/>
      <c r="AD1890" s="253"/>
      <c r="AE1890" s="253"/>
    </row>
    <row r="1891" spans="1:31" ht="12.75" customHeight="1">
      <c r="A1891" t="s">
        <v>1353</v>
      </c>
      <c r="B1891" t="s">
        <v>3491</v>
      </c>
      <c r="C1891">
        <v>2084</v>
      </c>
      <c r="D1891" s="581"/>
      <c r="E1891" s="581"/>
      <c r="F1891" s="2">
        <f>(1/S1891)*cnst_fish!$C$6</f>
        <v>0.45613232168782086</v>
      </c>
      <c r="G1891" s="2">
        <f t="shared" si="274"/>
        <v>1</v>
      </c>
      <c r="H1891" s="2">
        <f t="shared" si="274"/>
        <v>0.36449057933102513</v>
      </c>
      <c r="I1891" s="2">
        <f t="shared" si="267"/>
        <v>0</v>
      </c>
      <c r="J1891" s="389">
        <f t="shared" si="268"/>
        <v>0</v>
      </c>
      <c r="L1891" s="721">
        <v>879372.80000000005</v>
      </c>
      <c r="M1891" s="581"/>
      <c r="N1891" s="585" t="s">
        <v>2321</v>
      </c>
      <c r="O1891" s="586" t="s">
        <v>4699</v>
      </c>
      <c r="P1891" s="233">
        <f t="shared" si="269"/>
        <v>0</v>
      </c>
      <c r="Q1891" s="233">
        <f t="shared" si="270"/>
        <v>879372.80000000005</v>
      </c>
      <c r="R1891" s="2">
        <f t="shared" si="271"/>
        <v>2.82</v>
      </c>
      <c r="S1891" s="2">
        <f>(1/9)*cnst_fish!$C$7*(1/cnst_fish!$C$8)^(R1891-1)</f>
        <v>9.3174717026712273</v>
      </c>
      <c r="T1891" s="682">
        <f t="shared" si="272"/>
        <v>702697.62978847453</v>
      </c>
      <c r="W1891" s="818"/>
      <c r="X1891" s="818"/>
      <c r="Y1891" s="819"/>
      <c r="Z1891" s="820"/>
      <c r="AA1891" s="820"/>
      <c r="AB1891" s="821"/>
      <c r="AC1891" s="821"/>
      <c r="AD1891" s="253"/>
      <c r="AE1891" s="253"/>
    </row>
    <row r="1892" spans="1:31" ht="12.75" customHeight="1">
      <c r="A1892" t="s">
        <v>2867</v>
      </c>
      <c r="B1892" t="s">
        <v>3492</v>
      </c>
      <c r="C1892">
        <v>2891</v>
      </c>
      <c r="D1892" s="581"/>
      <c r="E1892" s="581"/>
      <c r="F1892" s="2">
        <f>(1/S1892)*cnst_fish!$C$6</f>
        <v>0.22860769647470386</v>
      </c>
      <c r="G1892" s="2">
        <f t="shared" si="274"/>
        <v>1</v>
      </c>
      <c r="H1892" s="2">
        <f t="shared" si="274"/>
        <v>0.36449057933102513</v>
      </c>
      <c r="I1892" s="2">
        <f t="shared" si="267"/>
        <v>0</v>
      </c>
      <c r="J1892" s="389">
        <f t="shared" si="268"/>
        <v>0</v>
      </c>
      <c r="L1892" s="721">
        <v>1827</v>
      </c>
      <c r="M1892" s="581"/>
      <c r="N1892" s="585" t="s">
        <v>2321</v>
      </c>
      <c r="O1892" s="586" t="s">
        <v>4699</v>
      </c>
      <c r="P1892" s="233">
        <f t="shared" si="269"/>
        <v>0</v>
      </c>
      <c r="Q1892" s="233">
        <f t="shared" si="270"/>
        <v>1827</v>
      </c>
      <c r="R1892" s="2">
        <f t="shared" si="271"/>
        <v>3.12</v>
      </c>
      <c r="S1892" s="2">
        <f>(1/9)*cnst_fish!$C$7*(1/cnst_fish!$C$8)^(R1892-1)</f>
        <v>18.590800159128833</v>
      </c>
      <c r="T1892" s="682">
        <f t="shared" si="272"/>
        <v>2912.9565570486793</v>
      </c>
      <c r="W1892" s="818"/>
      <c r="X1892" s="818"/>
      <c r="Y1892" s="819"/>
      <c r="Z1892" s="820"/>
      <c r="AA1892" s="820"/>
      <c r="AB1892" s="821"/>
      <c r="AC1892" s="821"/>
      <c r="AD1892" s="253"/>
      <c r="AE1892" s="253"/>
    </row>
    <row r="1893" spans="1:31" ht="12.75" customHeight="1">
      <c r="A1893" t="s">
        <v>2094</v>
      </c>
      <c r="B1893" t="s">
        <v>3493</v>
      </c>
      <c r="C1893">
        <v>2894</v>
      </c>
      <c r="D1893" s="581"/>
      <c r="E1893" s="581"/>
      <c r="F1893" s="2">
        <f>(1/S1893)*cnst_fish!$C$6</f>
        <v>1.1196720767792059</v>
      </c>
      <c r="G1893" s="2">
        <f t="shared" si="274"/>
        <v>1</v>
      </c>
      <c r="H1893" s="2">
        <f t="shared" si="274"/>
        <v>0.36449057933102513</v>
      </c>
      <c r="I1893" s="2">
        <f t="shared" si="267"/>
        <v>0</v>
      </c>
      <c r="J1893" s="389">
        <f t="shared" si="268"/>
        <v>0</v>
      </c>
      <c r="L1893" s="721">
        <v>120707</v>
      </c>
      <c r="M1893" s="581"/>
      <c r="N1893" s="585" t="s">
        <v>2321</v>
      </c>
      <c r="O1893" s="586" t="s">
        <v>4699</v>
      </c>
      <c r="P1893" s="233">
        <f t="shared" si="269"/>
        <v>0</v>
      </c>
      <c r="Q1893" s="233">
        <f t="shared" si="270"/>
        <v>120707</v>
      </c>
      <c r="R1893" s="2">
        <f t="shared" si="271"/>
        <v>2.4300000000000002</v>
      </c>
      <c r="S1893" s="2">
        <f>(1/9)*cnst_fish!$C$7*(1/cnst_fish!$C$8)^(R1893-1)</f>
        <v>3.7957542106661646</v>
      </c>
      <c r="T1893" s="682">
        <f t="shared" si="272"/>
        <v>39294.151628634361</v>
      </c>
      <c r="W1893" s="818"/>
      <c r="X1893" s="818"/>
      <c r="Y1893" s="819"/>
      <c r="Z1893" s="820"/>
      <c r="AA1893" s="820"/>
      <c r="AB1893" s="821"/>
      <c r="AC1893" s="821"/>
      <c r="AD1893" s="253"/>
      <c r="AE1893" s="253"/>
    </row>
    <row r="1894" spans="1:31" ht="12.75" customHeight="1">
      <c r="A1894" t="s">
        <v>502</v>
      </c>
      <c r="B1894" t="s">
        <v>3494</v>
      </c>
      <c r="C1894">
        <v>2893</v>
      </c>
      <c r="D1894" s="581"/>
      <c r="E1894" s="581"/>
      <c r="F1894" s="2">
        <f>(1/S1894)*cnst_fish!$C$6</f>
        <v>1.1196720767792059</v>
      </c>
      <c r="G1894" s="2">
        <f t="shared" si="274"/>
        <v>1</v>
      </c>
      <c r="H1894" s="2">
        <f t="shared" si="274"/>
        <v>0.36449057933102513</v>
      </c>
      <c r="I1894" s="2">
        <f t="shared" si="267"/>
        <v>0</v>
      </c>
      <c r="J1894" s="389">
        <f t="shared" si="268"/>
        <v>0</v>
      </c>
      <c r="L1894" s="721">
        <v>697344</v>
      </c>
      <c r="M1894" s="581"/>
      <c r="N1894" s="585" t="s">
        <v>2321</v>
      </c>
      <c r="O1894" s="586" t="s">
        <v>4699</v>
      </c>
      <c r="P1894" s="233">
        <f t="shared" si="269"/>
        <v>0</v>
      </c>
      <c r="Q1894" s="233">
        <f t="shared" si="270"/>
        <v>697344</v>
      </c>
      <c r="R1894" s="2">
        <f t="shared" si="271"/>
        <v>2.4300000000000002</v>
      </c>
      <c r="S1894" s="2">
        <f>(1/9)*cnst_fish!$C$7*(1/cnst_fish!$C$8)^(R1894-1)</f>
        <v>3.7957542106661646</v>
      </c>
      <c r="T1894" s="682">
        <f t="shared" si="272"/>
        <v>227008.71426941603</v>
      </c>
      <c r="W1894" s="818"/>
      <c r="X1894" s="818"/>
      <c r="Y1894" s="819"/>
      <c r="Z1894" s="820"/>
      <c r="AA1894" s="820"/>
      <c r="AB1894" s="821"/>
      <c r="AC1894" s="821"/>
      <c r="AD1894" s="253"/>
      <c r="AE1894" s="253"/>
    </row>
    <row r="1895" spans="1:31" ht="12.75" customHeight="1">
      <c r="A1895" t="s">
        <v>3108</v>
      </c>
      <c r="B1895" t="s">
        <v>4106</v>
      </c>
      <c r="C1895">
        <v>3651</v>
      </c>
      <c r="D1895" s="581"/>
      <c r="E1895" s="581"/>
      <c r="F1895" s="2">
        <f>(1/S1895)*cnst_fish!$C$6</f>
        <v>1.1196720767792059</v>
      </c>
      <c r="G1895" s="2">
        <f t="shared" si="274"/>
        <v>1</v>
      </c>
      <c r="H1895" s="2">
        <f t="shared" si="274"/>
        <v>0.36449057933102513</v>
      </c>
      <c r="I1895" s="2">
        <f t="shared" si="267"/>
        <v>0</v>
      </c>
      <c r="J1895" s="389">
        <f t="shared" si="268"/>
        <v>0</v>
      </c>
      <c r="L1895" s="721">
        <v>442</v>
      </c>
      <c r="M1895" s="581"/>
      <c r="N1895" s="585" t="s">
        <v>2321</v>
      </c>
      <c r="O1895" s="586" t="s">
        <v>4699</v>
      </c>
      <c r="P1895" s="233">
        <f t="shared" si="269"/>
        <v>0</v>
      </c>
      <c r="Q1895" s="233">
        <f t="shared" si="270"/>
        <v>442</v>
      </c>
      <c r="R1895" s="2">
        <f t="shared" si="271"/>
        <v>2.4300000000000002</v>
      </c>
      <c r="S1895" s="2">
        <f>(1/9)*cnst_fish!$C$7*(1/cnst_fish!$C$8)^(R1895-1)</f>
        <v>3.7957542106661646</v>
      </c>
      <c r="T1895" s="682">
        <f t="shared" si="272"/>
        <v>143.88573172936441</v>
      </c>
      <c r="W1895" s="818"/>
      <c r="X1895" s="818"/>
      <c r="Y1895" s="819"/>
      <c r="Z1895" s="820"/>
      <c r="AA1895" s="820"/>
      <c r="AB1895" s="821"/>
      <c r="AC1895" s="821"/>
      <c r="AD1895" s="253"/>
      <c r="AE1895" s="253"/>
    </row>
    <row r="1896" spans="1:31" ht="12.75" customHeight="1">
      <c r="A1896" t="s">
        <v>2123</v>
      </c>
      <c r="B1896" t="s">
        <v>4107</v>
      </c>
      <c r="C1896">
        <v>2895</v>
      </c>
      <c r="D1896" s="581"/>
      <c r="E1896" s="581"/>
      <c r="F1896" s="2">
        <f>(1/S1896)*cnst_fish!$C$6</f>
        <v>1.1196720767792059</v>
      </c>
      <c r="G1896" s="2">
        <f t="shared" si="274"/>
        <v>1</v>
      </c>
      <c r="H1896" s="2">
        <f t="shared" si="274"/>
        <v>0.36449057933102513</v>
      </c>
      <c r="I1896" s="2">
        <f t="shared" si="267"/>
        <v>0</v>
      </c>
      <c r="J1896" s="389">
        <f t="shared" si="268"/>
        <v>0</v>
      </c>
      <c r="L1896" s="721">
        <v>38568</v>
      </c>
      <c r="M1896" s="581"/>
      <c r="N1896" s="585" t="s">
        <v>2321</v>
      </c>
      <c r="O1896" s="586" t="s">
        <v>4699</v>
      </c>
      <c r="P1896" s="233">
        <f t="shared" si="269"/>
        <v>0</v>
      </c>
      <c r="Q1896" s="233">
        <f t="shared" si="270"/>
        <v>38568</v>
      </c>
      <c r="R1896" s="2">
        <f t="shared" si="271"/>
        <v>2.4300000000000002</v>
      </c>
      <c r="S1896" s="2">
        <f>(1/9)*cnst_fish!$C$7*(1/cnst_fish!$C$8)^(R1896-1)</f>
        <v>3.7957542106661646</v>
      </c>
      <c r="T1896" s="682">
        <f t="shared" si="272"/>
        <v>12555.169460041008</v>
      </c>
      <c r="W1896" s="818"/>
      <c r="X1896" s="818"/>
      <c r="Y1896" s="819"/>
      <c r="Z1896" s="820"/>
      <c r="AA1896" s="820"/>
      <c r="AB1896" s="821"/>
      <c r="AC1896" s="821"/>
      <c r="AD1896" s="253"/>
      <c r="AE1896" s="253"/>
    </row>
    <row r="1897" spans="1:31" ht="12.75" customHeight="1">
      <c r="A1897" t="s">
        <v>1641</v>
      </c>
      <c r="B1897" t="s">
        <v>4108</v>
      </c>
      <c r="C1897">
        <v>2091</v>
      </c>
      <c r="D1897" s="581"/>
      <c r="E1897" s="581"/>
      <c r="F1897" s="2">
        <f>(1/S1897)*cnst_fish!$C$6</f>
        <v>1.1196720767792059</v>
      </c>
      <c r="G1897" s="2">
        <f t="shared" si="274"/>
        <v>1</v>
      </c>
      <c r="H1897" s="2">
        <f t="shared" si="274"/>
        <v>0.36449057933102513</v>
      </c>
      <c r="I1897" s="2">
        <f t="shared" si="267"/>
        <v>0</v>
      </c>
      <c r="J1897" s="389">
        <f t="shared" si="268"/>
        <v>0</v>
      </c>
      <c r="L1897" s="721">
        <v>1694</v>
      </c>
      <c r="M1897" s="581"/>
      <c r="N1897" s="585" t="s">
        <v>2321</v>
      </c>
      <c r="O1897" s="586" t="s">
        <v>4699</v>
      </c>
      <c r="P1897" s="233">
        <f t="shared" si="269"/>
        <v>0</v>
      </c>
      <c r="Q1897" s="233">
        <f t="shared" si="270"/>
        <v>1694</v>
      </c>
      <c r="R1897" s="2">
        <f t="shared" si="271"/>
        <v>2.4300000000000002</v>
      </c>
      <c r="S1897" s="2">
        <f>(1/9)*cnst_fish!$C$7*(1/cnst_fish!$C$8)^(R1897-1)</f>
        <v>3.7957542106661646</v>
      </c>
      <c r="T1897" s="682">
        <f t="shared" si="272"/>
        <v>551.4534605193287</v>
      </c>
      <c r="W1897" s="818"/>
      <c r="X1897" s="818"/>
      <c r="Y1897" s="819"/>
      <c r="Z1897" s="820"/>
      <c r="AA1897" s="820"/>
      <c r="AB1897" s="821"/>
      <c r="AC1897" s="821"/>
      <c r="AD1897" s="253"/>
      <c r="AE1897" s="253"/>
    </row>
    <row r="1898" spans="1:31" ht="12.75" customHeight="1">
      <c r="A1898" t="s">
        <v>8754</v>
      </c>
      <c r="B1898" t="s">
        <v>8755</v>
      </c>
      <c r="C1898">
        <v>20365</v>
      </c>
      <c r="D1898" s="581"/>
      <c r="E1898" s="581"/>
      <c r="F1898" s="2">
        <f>(1/S1898)*cnst_fish!$C$6</f>
        <v>30.136363636363644</v>
      </c>
      <c r="G1898" s="2">
        <f t="shared" si="274"/>
        <v>1</v>
      </c>
      <c r="H1898" s="2">
        <f t="shared" si="274"/>
        <v>0.36449057933102513</v>
      </c>
      <c r="I1898" s="2">
        <f t="shared" si="267"/>
        <v>0</v>
      </c>
      <c r="J1898" s="389">
        <f t="shared" si="268"/>
        <v>0</v>
      </c>
      <c r="L1898" s="721"/>
      <c r="M1898" s="581"/>
      <c r="N1898" s="585" t="s">
        <v>1740</v>
      </c>
      <c r="O1898" s="586" t="s">
        <v>4671</v>
      </c>
      <c r="P1898" s="233">
        <f t="shared" si="269"/>
        <v>0</v>
      </c>
      <c r="Q1898" s="233">
        <f t="shared" si="270"/>
        <v>0</v>
      </c>
      <c r="R1898" s="2">
        <f t="shared" si="271"/>
        <v>1</v>
      </c>
      <c r="S1898" s="2">
        <f>(1/9)*cnst_fish!$C$7*(1/cnst_fish!$C$8)^(R1898-1)</f>
        <v>0.141025641025641</v>
      </c>
      <c r="T1898" s="682">
        <f t="shared" si="272"/>
        <v>0</v>
      </c>
      <c r="W1898" s="818"/>
      <c r="X1898" s="818"/>
      <c r="Y1898" s="819"/>
      <c r="Z1898" s="820"/>
      <c r="AA1898" s="820"/>
      <c r="AB1898" s="821"/>
      <c r="AC1898" s="821"/>
      <c r="AD1898" s="253"/>
      <c r="AE1898" s="253"/>
    </row>
    <row r="1899" spans="1:31" ht="12.75" customHeight="1">
      <c r="A1899" t="s">
        <v>5988</v>
      </c>
      <c r="B1899" t="s">
        <v>8756</v>
      </c>
      <c r="C1899">
        <v>18996</v>
      </c>
      <c r="D1899" s="581"/>
      <c r="E1899" s="581"/>
      <c r="F1899" s="2">
        <f>(1/S1899)*cnst_fish!$C$6</f>
        <v>30.136363636363644</v>
      </c>
      <c r="G1899" s="2">
        <f t="shared" si="274"/>
        <v>1</v>
      </c>
      <c r="H1899" s="2">
        <f t="shared" si="274"/>
        <v>0.36449057933102513</v>
      </c>
      <c r="I1899" s="2">
        <f t="shared" si="267"/>
        <v>0</v>
      </c>
      <c r="J1899" s="389">
        <f t="shared" si="268"/>
        <v>0</v>
      </c>
      <c r="L1899" s="721"/>
      <c r="M1899" s="581"/>
      <c r="N1899" s="585" t="s">
        <v>1740</v>
      </c>
      <c r="O1899" s="586" t="s">
        <v>4671</v>
      </c>
      <c r="P1899" s="233">
        <f t="shared" si="269"/>
        <v>0</v>
      </c>
      <c r="Q1899" s="233">
        <f t="shared" si="270"/>
        <v>0</v>
      </c>
      <c r="R1899" s="2">
        <f t="shared" si="271"/>
        <v>1</v>
      </c>
      <c r="S1899" s="2">
        <f>(1/9)*cnst_fish!$C$7*(1/cnst_fish!$C$8)^(R1899-1)</f>
        <v>0.141025641025641</v>
      </c>
      <c r="T1899" s="682">
        <f t="shared" si="272"/>
        <v>0</v>
      </c>
      <c r="W1899" s="818"/>
      <c r="X1899" s="818"/>
      <c r="Y1899" s="819"/>
      <c r="Z1899" s="820"/>
      <c r="AA1899" s="820"/>
      <c r="AB1899" s="821"/>
      <c r="AC1899" s="821"/>
      <c r="AD1899" s="253"/>
      <c r="AE1899" s="253"/>
    </row>
    <row r="1900" spans="1:31" ht="12.75" customHeight="1">
      <c r="A1900" t="s">
        <v>8355</v>
      </c>
      <c r="B1900" t="s">
        <v>8356</v>
      </c>
      <c r="C1900">
        <v>20023</v>
      </c>
      <c r="D1900" s="581"/>
      <c r="E1900" s="581"/>
      <c r="F1900" s="2">
        <f>(1/S1900)*cnst_fish!$C$6</f>
        <v>7.5699122913220479E-2</v>
      </c>
      <c r="G1900" s="2">
        <f t="shared" si="274"/>
        <v>1</v>
      </c>
      <c r="H1900" s="2">
        <f t="shared" si="274"/>
        <v>0.36449057933102513</v>
      </c>
      <c r="I1900" s="2">
        <f t="shared" si="267"/>
        <v>0</v>
      </c>
      <c r="J1900" s="389">
        <f t="shared" si="268"/>
        <v>0</v>
      </c>
      <c r="L1900" s="721">
        <v>108</v>
      </c>
      <c r="M1900" s="581"/>
      <c r="N1900" s="585" t="s">
        <v>1738</v>
      </c>
      <c r="O1900" s="586" t="s">
        <v>4681</v>
      </c>
      <c r="P1900" s="233">
        <f t="shared" si="269"/>
        <v>0</v>
      </c>
      <c r="Q1900" s="233">
        <f t="shared" si="270"/>
        <v>108</v>
      </c>
      <c r="R1900" s="2">
        <f t="shared" si="271"/>
        <v>3.6</v>
      </c>
      <c r="S1900" s="2">
        <f>(1/9)*cnst_fish!$C$7*(1/cnst_fish!$C$8)^(R1900-1)</f>
        <v>56.143318924211187</v>
      </c>
      <c r="T1900" s="682">
        <f t="shared" si="272"/>
        <v>520.01900488170406</v>
      </c>
      <c r="W1900" s="818"/>
      <c r="X1900" s="818"/>
      <c r="Y1900" s="819"/>
      <c r="Z1900" s="820"/>
      <c r="AA1900" s="820"/>
      <c r="AB1900" s="821"/>
      <c r="AC1900" s="821"/>
      <c r="AD1900" s="253"/>
      <c r="AE1900" s="253"/>
    </row>
    <row r="1901" spans="1:31" ht="12.75" customHeight="1">
      <c r="A1901" t="s">
        <v>3335</v>
      </c>
      <c r="B1901" t="s">
        <v>3142</v>
      </c>
      <c r="C1901">
        <v>18887</v>
      </c>
      <c r="D1901" s="581"/>
      <c r="E1901" s="581"/>
      <c r="F1901" s="2">
        <f>(1/S1901)*cnst_fish!$C$6</f>
        <v>8.6914222116951781E-2</v>
      </c>
      <c r="G1901" s="2">
        <f t="shared" si="274"/>
        <v>1</v>
      </c>
      <c r="H1901" s="2">
        <f t="shared" si="274"/>
        <v>0.36449057933102513</v>
      </c>
      <c r="I1901" s="2">
        <f t="shared" si="267"/>
        <v>0</v>
      </c>
      <c r="J1901" s="389">
        <f t="shared" si="268"/>
        <v>0</v>
      </c>
      <c r="L1901" s="721">
        <v>66</v>
      </c>
      <c r="M1901" s="581"/>
      <c r="N1901" s="585" t="s">
        <v>1738</v>
      </c>
      <c r="O1901" s="586" t="s">
        <v>4681</v>
      </c>
      <c r="P1901" s="233">
        <f t="shared" si="269"/>
        <v>0</v>
      </c>
      <c r="Q1901" s="233">
        <f t="shared" si="270"/>
        <v>66</v>
      </c>
      <c r="R1901" s="2">
        <f t="shared" si="271"/>
        <v>3.54</v>
      </c>
      <c r="S1901" s="2">
        <f>(1/9)*cnst_fish!$C$7*(1/cnst_fish!$C$8)^(R1901-1)</f>
        <v>48.898786602280119</v>
      </c>
      <c r="T1901" s="682">
        <f t="shared" si="272"/>
        <v>276.78298959492952</v>
      </c>
      <c r="W1901" s="818"/>
      <c r="X1901" s="818"/>
      <c r="Y1901" s="819"/>
      <c r="Z1901" s="820"/>
      <c r="AA1901" s="820"/>
      <c r="AB1901" s="821"/>
      <c r="AC1901" s="821"/>
      <c r="AD1901" s="253"/>
      <c r="AE1901" s="253"/>
    </row>
    <row r="1902" spans="1:31" ht="12.75" customHeight="1">
      <c r="A1902" t="s">
        <v>4556</v>
      </c>
      <c r="B1902" t="s">
        <v>3002</v>
      </c>
      <c r="C1902">
        <v>2413</v>
      </c>
      <c r="D1902" s="581"/>
      <c r="E1902" s="581"/>
      <c r="F1902" s="2">
        <f>(1/S1902)*cnst_fish!$C$6</f>
        <v>2.6859062362848798</v>
      </c>
      <c r="G1902" s="2">
        <f t="shared" si="274"/>
        <v>1</v>
      </c>
      <c r="H1902" s="2">
        <f t="shared" si="274"/>
        <v>0.36449057933102513</v>
      </c>
      <c r="I1902" s="2">
        <f t="shared" si="267"/>
        <v>0</v>
      </c>
      <c r="J1902" s="389">
        <f t="shared" si="268"/>
        <v>0</v>
      </c>
      <c r="L1902" s="721"/>
      <c r="M1902" s="581">
        <v>255</v>
      </c>
      <c r="N1902" s="585" t="s">
        <v>1738</v>
      </c>
      <c r="O1902" s="586" t="s">
        <v>4685</v>
      </c>
      <c r="P1902" s="233">
        <f t="shared" si="269"/>
        <v>0</v>
      </c>
      <c r="Q1902" s="233">
        <f t="shared" si="270"/>
        <v>255</v>
      </c>
      <c r="R1902" s="2">
        <f t="shared" si="271"/>
        <v>2.0499999999999998</v>
      </c>
      <c r="S1902" s="2">
        <f>(1/9)*cnst_fish!$C$7*(1/cnst_fish!$C$8)^(R1902-1)</f>
        <v>1.5823337176053323</v>
      </c>
      <c r="T1902" s="682">
        <f t="shared" si="272"/>
        <v>34.604744005498937</v>
      </c>
      <c r="W1902" s="818"/>
      <c r="X1902" s="818"/>
      <c r="Y1902" s="819"/>
      <c r="Z1902" s="820"/>
      <c r="AA1902" s="820"/>
      <c r="AB1902" s="821"/>
      <c r="AC1902" s="821"/>
      <c r="AD1902" s="253"/>
      <c r="AE1902" s="253"/>
    </row>
    <row r="1903" spans="1:31" ht="12.75" customHeight="1">
      <c r="A1903" t="s">
        <v>4971</v>
      </c>
      <c r="B1903" t="s">
        <v>6263</v>
      </c>
      <c r="C1903">
        <v>2414</v>
      </c>
      <c r="D1903" s="581"/>
      <c r="E1903" s="581"/>
      <c r="F1903" s="2">
        <f>(1/S1903)*cnst_fish!$C$6</f>
        <v>3.0136363636363641</v>
      </c>
      <c r="G1903" s="2">
        <f t="shared" si="274"/>
        <v>1</v>
      </c>
      <c r="H1903" s="2">
        <f t="shared" si="274"/>
        <v>0.36449057933102513</v>
      </c>
      <c r="I1903" s="2">
        <f t="shared" si="267"/>
        <v>0</v>
      </c>
      <c r="J1903" s="389">
        <f t="shared" si="268"/>
        <v>0</v>
      </c>
      <c r="L1903" s="721"/>
      <c r="M1903" s="581">
        <v>1997</v>
      </c>
      <c r="N1903" s="585" t="s">
        <v>1738</v>
      </c>
      <c r="O1903" s="586" t="s">
        <v>4685</v>
      </c>
      <c r="P1903" s="233">
        <f t="shared" si="269"/>
        <v>0</v>
      </c>
      <c r="Q1903" s="233">
        <f t="shared" si="270"/>
        <v>1997</v>
      </c>
      <c r="R1903" s="2">
        <f t="shared" si="271"/>
        <v>2</v>
      </c>
      <c r="S1903" s="2">
        <f>(1/9)*cnst_fish!$C$7*(1/cnst_fish!$C$8)^(R1903-1)</f>
        <v>1.4102564102564099</v>
      </c>
      <c r="T1903" s="682">
        <f t="shared" si="272"/>
        <v>241.53135916032059</v>
      </c>
      <c r="W1903" s="818"/>
      <c r="X1903" s="818"/>
      <c r="Y1903" s="819"/>
      <c r="Z1903" s="820"/>
      <c r="AA1903" s="820"/>
      <c r="AB1903" s="821"/>
      <c r="AC1903" s="821"/>
      <c r="AD1903" s="253"/>
      <c r="AE1903" s="253"/>
    </row>
    <row r="1904" spans="1:31" ht="12.75" customHeight="1">
      <c r="A1904" t="s">
        <v>3502</v>
      </c>
      <c r="B1904" t="s">
        <v>3143</v>
      </c>
      <c r="C1904">
        <v>2397</v>
      </c>
      <c r="D1904" s="581"/>
      <c r="E1904" s="581"/>
      <c r="F1904" s="2">
        <f>(1/S1904)*cnst_fish!$C$6</f>
        <v>3.0136363636363641</v>
      </c>
      <c r="G1904" s="2">
        <f t="shared" si="274"/>
        <v>1</v>
      </c>
      <c r="H1904" s="2">
        <f t="shared" si="274"/>
        <v>0.36449057933102513</v>
      </c>
      <c r="I1904" s="2">
        <f t="shared" si="267"/>
        <v>0</v>
      </c>
      <c r="J1904" s="389">
        <f t="shared" si="268"/>
        <v>0</v>
      </c>
      <c r="L1904" s="721">
        <v>7888.29</v>
      </c>
      <c r="M1904" s="581"/>
      <c r="N1904" s="585" t="s">
        <v>1738</v>
      </c>
      <c r="O1904" s="586" t="s">
        <v>4681</v>
      </c>
      <c r="P1904" s="233">
        <f t="shared" si="269"/>
        <v>0</v>
      </c>
      <c r="Q1904" s="233">
        <f t="shared" si="270"/>
        <v>7888.29</v>
      </c>
      <c r="R1904" s="2">
        <f t="shared" si="271"/>
        <v>2</v>
      </c>
      <c r="S1904" s="2">
        <f>(1/9)*cnst_fish!$C$7*(1/cnst_fish!$C$8)^(R1904-1)</f>
        <v>1.4102564102564099</v>
      </c>
      <c r="T1904" s="682">
        <f t="shared" si="272"/>
        <v>954.06580127729865</v>
      </c>
      <c r="W1904" s="818"/>
      <c r="X1904" s="818"/>
      <c r="Y1904" s="819"/>
      <c r="Z1904" s="820"/>
      <c r="AA1904" s="820"/>
      <c r="AB1904" s="821"/>
      <c r="AC1904" s="821"/>
      <c r="AD1904" s="253"/>
      <c r="AE1904" s="253"/>
    </row>
    <row r="1905" spans="1:31" ht="12.75" customHeight="1">
      <c r="A1905" t="s">
        <v>3115</v>
      </c>
      <c r="B1905" t="s">
        <v>3144</v>
      </c>
      <c r="C1905">
        <v>2984</v>
      </c>
      <c r="D1905" s="581"/>
      <c r="E1905" s="581"/>
      <c r="F1905" s="2">
        <f>(1/S1905)*cnst_fish!$C$6</f>
        <v>1.1997502458044018E-2</v>
      </c>
      <c r="G1905" s="2">
        <f t="shared" si="274"/>
        <v>1</v>
      </c>
      <c r="H1905" s="2">
        <f t="shared" si="274"/>
        <v>0.36449057933102513</v>
      </c>
      <c r="I1905" s="2">
        <f t="shared" si="267"/>
        <v>0</v>
      </c>
      <c r="J1905" s="389">
        <f t="shared" si="268"/>
        <v>0</v>
      </c>
      <c r="L1905" s="721">
        <v>21514</v>
      </c>
      <c r="M1905" s="581"/>
      <c r="N1905" s="585" t="s">
        <v>1738</v>
      </c>
      <c r="O1905" s="586" t="s">
        <v>4681</v>
      </c>
      <c r="P1905" s="233">
        <f t="shared" si="269"/>
        <v>0</v>
      </c>
      <c r="Q1905" s="233">
        <f t="shared" si="270"/>
        <v>21514</v>
      </c>
      <c r="R1905" s="2">
        <f t="shared" si="271"/>
        <v>4.4000000000000004</v>
      </c>
      <c r="S1905" s="2">
        <f>(1/9)*cnst_fish!$C$7*(1/cnst_fish!$C$8)^(R1905-1)</f>
        <v>354.24039418724885</v>
      </c>
      <c r="T1905" s="682">
        <f t="shared" si="272"/>
        <v>653606.89453079039</v>
      </c>
      <c r="W1905" s="818"/>
      <c r="X1905" s="818"/>
      <c r="Y1905" s="819"/>
      <c r="Z1905" s="820"/>
      <c r="AA1905" s="820"/>
      <c r="AB1905" s="821"/>
      <c r="AC1905" s="821"/>
      <c r="AD1905" s="253"/>
      <c r="AE1905" s="253"/>
    </row>
    <row r="1906" spans="1:31" ht="12.75" customHeight="1">
      <c r="A1906" t="s">
        <v>4514</v>
      </c>
      <c r="B1906" t="s">
        <v>3145</v>
      </c>
      <c r="C1906">
        <v>2985</v>
      </c>
      <c r="D1906" s="581"/>
      <c r="E1906" s="581"/>
      <c r="F1906" s="2">
        <f>(1/S1906)*cnst_fish!$C$6</f>
        <v>9.979087888316248E-3</v>
      </c>
      <c r="G1906" s="2">
        <f t="shared" si="274"/>
        <v>1</v>
      </c>
      <c r="H1906" s="2">
        <f t="shared" si="274"/>
        <v>0.36449057933102513</v>
      </c>
      <c r="I1906" s="2">
        <f t="shared" si="267"/>
        <v>0</v>
      </c>
      <c r="J1906" s="389">
        <f t="shared" si="268"/>
        <v>0</v>
      </c>
      <c r="L1906" s="721">
        <v>14</v>
      </c>
      <c r="M1906" s="581"/>
      <c r="N1906" s="585" t="s">
        <v>1738</v>
      </c>
      <c r="O1906" s="586" t="s">
        <v>4681</v>
      </c>
      <c r="P1906" s="233">
        <f t="shared" si="269"/>
        <v>0</v>
      </c>
      <c r="Q1906" s="233">
        <f t="shared" si="270"/>
        <v>14</v>
      </c>
      <c r="R1906" s="2">
        <f t="shared" si="271"/>
        <v>4.4800000000000004</v>
      </c>
      <c r="S1906" s="2">
        <f>(1/9)*cnst_fish!$C$7*(1/cnst_fish!$C$8)^(R1906-1)</f>
        <v>425.89062723618264</v>
      </c>
      <c r="T1906" s="682">
        <f t="shared" si="272"/>
        <v>511.35616478625366</v>
      </c>
      <c r="W1906" s="818"/>
      <c r="X1906" s="818"/>
      <c r="Y1906" s="819"/>
      <c r="Z1906" s="820"/>
      <c r="AA1906" s="820"/>
      <c r="AB1906" s="821"/>
      <c r="AC1906" s="821"/>
      <c r="AD1906" s="253"/>
      <c r="AE1906" s="253"/>
    </row>
    <row r="1907" spans="1:31" ht="12.75" customHeight="1">
      <c r="A1907" t="s">
        <v>1597</v>
      </c>
      <c r="B1907" t="s">
        <v>1305</v>
      </c>
      <c r="C1907">
        <v>2701</v>
      </c>
      <c r="D1907" s="581"/>
      <c r="E1907" s="581"/>
      <c r="F1907" s="2">
        <f>(1/S1907)*cnst_fish!$C$6</f>
        <v>2.3938164528281742</v>
      </c>
      <c r="G1907" s="2">
        <f t="shared" si="274"/>
        <v>1</v>
      </c>
      <c r="H1907" s="2">
        <f t="shared" si="274"/>
        <v>0.36449057933102513</v>
      </c>
      <c r="I1907" s="2">
        <f t="shared" si="267"/>
        <v>0</v>
      </c>
      <c r="J1907" s="389">
        <f t="shared" si="268"/>
        <v>0</v>
      </c>
      <c r="L1907" s="721">
        <v>96</v>
      </c>
      <c r="M1907" s="581"/>
      <c r="N1907" s="585" t="s">
        <v>1736</v>
      </c>
      <c r="O1907" s="586" t="s">
        <v>4691</v>
      </c>
      <c r="P1907" s="233">
        <f t="shared" si="269"/>
        <v>0</v>
      </c>
      <c r="Q1907" s="233">
        <f t="shared" si="270"/>
        <v>96</v>
      </c>
      <c r="R1907" s="2">
        <f t="shared" si="271"/>
        <v>2.1</v>
      </c>
      <c r="S1907" s="2">
        <f>(1/9)*cnst_fish!$C$7*(1/cnst_fish!$C$8)^(R1907-1)</f>
        <v>1.7754076320174161</v>
      </c>
      <c r="T1907" s="682">
        <f t="shared" si="272"/>
        <v>14.617284284448036</v>
      </c>
      <c r="W1907" s="818"/>
      <c r="X1907" s="818"/>
      <c r="Y1907" s="819"/>
      <c r="Z1907" s="820"/>
      <c r="AA1907" s="820"/>
      <c r="AB1907" s="821"/>
      <c r="AC1907" s="821"/>
      <c r="AD1907" s="253"/>
      <c r="AE1907" s="253"/>
    </row>
    <row r="1908" spans="1:31" ht="12.75" customHeight="1">
      <c r="A1908" t="s">
        <v>4443</v>
      </c>
      <c r="B1908" t="s">
        <v>1306</v>
      </c>
      <c r="C1908">
        <v>3502</v>
      </c>
      <c r="D1908" s="581"/>
      <c r="E1908" s="581"/>
      <c r="F1908" s="2">
        <f>(1/S1908)*cnst_fish!$C$6</f>
        <v>2.3938164528281742</v>
      </c>
      <c r="G1908" s="2">
        <f t="shared" ref="G1908:H1927" si="275">G$7</f>
        <v>1</v>
      </c>
      <c r="H1908" s="2">
        <f t="shared" si="275"/>
        <v>0.36449057933102513</v>
      </c>
      <c r="I1908" s="2">
        <f t="shared" si="267"/>
        <v>0</v>
      </c>
      <c r="J1908" s="389">
        <f t="shared" si="268"/>
        <v>0</v>
      </c>
      <c r="L1908" s="721"/>
      <c r="M1908" s="581"/>
      <c r="N1908" s="585" t="s">
        <v>1736</v>
      </c>
      <c r="O1908" s="586" t="s">
        <v>4691</v>
      </c>
      <c r="P1908" s="233">
        <f t="shared" si="269"/>
        <v>0</v>
      </c>
      <c r="Q1908" s="233">
        <f t="shared" si="270"/>
        <v>0</v>
      </c>
      <c r="R1908" s="2">
        <f t="shared" si="271"/>
        <v>2.1</v>
      </c>
      <c r="S1908" s="2">
        <f>(1/9)*cnst_fish!$C$7*(1/cnst_fish!$C$8)^(R1908-1)</f>
        <v>1.7754076320174161</v>
      </c>
      <c r="T1908" s="682">
        <f t="shared" si="272"/>
        <v>0</v>
      </c>
      <c r="W1908" s="818"/>
      <c r="X1908" s="818"/>
      <c r="Y1908" s="819"/>
      <c r="Z1908" s="820"/>
      <c r="AA1908" s="820"/>
      <c r="AB1908" s="821"/>
      <c r="AC1908" s="821"/>
      <c r="AD1908" s="253"/>
      <c r="AE1908" s="253"/>
    </row>
    <row r="1909" spans="1:31" ht="12.75" customHeight="1">
      <c r="A1909" t="s">
        <v>4164</v>
      </c>
      <c r="B1909" t="s">
        <v>2780</v>
      </c>
      <c r="C1909">
        <v>2159</v>
      </c>
      <c r="D1909" s="581"/>
      <c r="E1909" s="581"/>
      <c r="F1909" s="2">
        <f>(1/S1909)*cnst_fish!$C$6</f>
        <v>0.38823156944206699</v>
      </c>
      <c r="G1909" s="2">
        <f t="shared" si="275"/>
        <v>1</v>
      </c>
      <c r="H1909" s="2">
        <f t="shared" si="275"/>
        <v>0.36449057933102513</v>
      </c>
      <c r="I1909" s="2">
        <f t="shared" si="267"/>
        <v>0</v>
      </c>
      <c r="J1909" s="389">
        <f t="shared" si="268"/>
        <v>0</v>
      </c>
      <c r="L1909" s="721">
        <v>2</v>
      </c>
      <c r="M1909" s="581">
        <v>7917</v>
      </c>
      <c r="N1909" s="585" t="s">
        <v>1738</v>
      </c>
      <c r="O1909" s="586" t="s">
        <v>4685</v>
      </c>
      <c r="P1909" s="233">
        <f t="shared" si="269"/>
        <v>0</v>
      </c>
      <c r="Q1909" s="233">
        <f t="shared" si="270"/>
        <v>7919</v>
      </c>
      <c r="R1909" s="2">
        <f t="shared" si="271"/>
        <v>2.89</v>
      </c>
      <c r="S1909" s="2">
        <f>(1/9)*cnst_fish!$C$7*(1/cnst_fish!$C$8)^(R1909-1)</f>
        <v>10.947074721686683</v>
      </c>
      <c r="T1909" s="682">
        <f t="shared" si="272"/>
        <v>7434.7403068495305</v>
      </c>
      <c r="W1909" s="818"/>
      <c r="X1909" s="818"/>
      <c r="Y1909" s="819"/>
      <c r="Z1909" s="820"/>
      <c r="AA1909" s="820"/>
      <c r="AB1909" s="821"/>
      <c r="AC1909" s="821"/>
      <c r="AD1909" s="253"/>
      <c r="AE1909" s="253"/>
    </row>
    <row r="1910" spans="1:31" ht="12.75" customHeight="1">
      <c r="A1910" t="s">
        <v>169</v>
      </c>
      <c r="B1910" t="s">
        <v>3793</v>
      </c>
      <c r="C1910">
        <v>2425</v>
      </c>
      <c r="D1910" s="581"/>
      <c r="E1910" s="581"/>
      <c r="F1910" s="2">
        <f>(1/S1910)*cnst_fish!$C$6</f>
        <v>2.5066335465503222</v>
      </c>
      <c r="G1910" s="2">
        <f t="shared" si="275"/>
        <v>1</v>
      </c>
      <c r="H1910" s="2">
        <f t="shared" si="275"/>
        <v>0.36449057933102513</v>
      </c>
      <c r="I1910" s="2">
        <f t="shared" si="267"/>
        <v>0</v>
      </c>
      <c r="J1910" s="389">
        <f t="shared" si="268"/>
        <v>0</v>
      </c>
      <c r="L1910" s="721">
        <v>5168.13</v>
      </c>
      <c r="M1910" s="581"/>
      <c r="N1910" s="585" t="s">
        <v>1738</v>
      </c>
      <c r="O1910" s="586" t="s">
        <v>4681</v>
      </c>
      <c r="P1910" s="233">
        <f t="shared" si="269"/>
        <v>0</v>
      </c>
      <c r="Q1910" s="233">
        <f t="shared" si="270"/>
        <v>5168.13</v>
      </c>
      <c r="R1910" s="2">
        <f t="shared" si="271"/>
        <v>2.08</v>
      </c>
      <c r="S1910" s="2">
        <f>(1/9)*cnst_fish!$C$7*(1/cnst_fish!$C$8)^(R1910-1)</f>
        <v>1.6955011257425054</v>
      </c>
      <c r="T1910" s="682">
        <f t="shared" si="272"/>
        <v>751.49983544682186</v>
      </c>
      <c r="W1910" s="818"/>
      <c r="X1910" s="818"/>
      <c r="Y1910" s="819"/>
      <c r="Z1910" s="820"/>
      <c r="AA1910" s="820"/>
      <c r="AB1910" s="821"/>
      <c r="AC1910" s="821"/>
      <c r="AD1910" s="253"/>
      <c r="AE1910" s="253"/>
    </row>
    <row r="1911" spans="1:31" ht="12.75" customHeight="1">
      <c r="A1911" t="s">
        <v>9048</v>
      </c>
      <c r="B1911" t="s">
        <v>9049</v>
      </c>
      <c r="C1911">
        <v>15102</v>
      </c>
      <c r="D1911" s="581"/>
      <c r="E1911" s="581"/>
      <c r="F1911" s="869">
        <f>(1/S1911)*cnst_fish!$C$6</f>
        <v>0.30136363636363639</v>
      </c>
      <c r="G1911" s="869">
        <f t="shared" si="275"/>
        <v>1</v>
      </c>
      <c r="H1911" s="869">
        <f t="shared" si="275"/>
        <v>0.36449057933102513</v>
      </c>
      <c r="I1911" s="869">
        <f t="shared" si="267"/>
        <v>0</v>
      </c>
      <c r="J1911" s="389">
        <f t="shared" si="268"/>
        <v>0</v>
      </c>
      <c r="L1911" s="721">
        <v>1</v>
      </c>
      <c r="M1911" s="581"/>
      <c r="N1911" s="877" t="s">
        <v>1738</v>
      </c>
      <c r="O1911" s="881" t="s">
        <v>4681</v>
      </c>
      <c r="P1911" s="871">
        <f t="shared" si="269"/>
        <v>0</v>
      </c>
      <c r="Q1911" s="871">
        <f t="shared" si="270"/>
        <v>1</v>
      </c>
      <c r="R1911" s="869">
        <f t="shared" si="271"/>
        <v>3</v>
      </c>
      <c r="S1911" s="869">
        <f>(1/9)*cnst_fish!$C$7*(1/cnst_fish!$C$8)^(R1911-1)</f>
        <v>14.1025641025641</v>
      </c>
      <c r="T1911" s="682">
        <f t="shared" si="272"/>
        <v>1.2094710023050608</v>
      </c>
      <c r="W1911" s="818"/>
      <c r="X1911" s="818"/>
      <c r="Y1911" s="819"/>
      <c r="Z1911" s="820"/>
      <c r="AA1911" s="820"/>
      <c r="AB1911" s="821"/>
      <c r="AC1911" s="821"/>
      <c r="AD1911" s="253"/>
      <c r="AE1911" s="253"/>
    </row>
    <row r="1912" spans="1:31" ht="12.75" customHeight="1">
      <c r="A1912" t="s">
        <v>3757</v>
      </c>
      <c r="B1912" t="s">
        <v>2109</v>
      </c>
      <c r="C1912">
        <v>18969</v>
      </c>
      <c r="D1912" s="581"/>
      <c r="E1912" s="581"/>
      <c r="F1912" s="2">
        <f>(1/S1912)*cnst_fish!$C$6</f>
        <v>3.0136363636363641</v>
      </c>
      <c r="G1912" s="2">
        <f t="shared" si="275"/>
        <v>1</v>
      </c>
      <c r="H1912" s="2">
        <f t="shared" si="275"/>
        <v>0.36449057933102513</v>
      </c>
      <c r="I1912" s="2">
        <f t="shared" si="267"/>
        <v>0</v>
      </c>
      <c r="J1912" s="389">
        <f t="shared" si="268"/>
        <v>0</v>
      </c>
      <c r="L1912" s="721">
        <v>100</v>
      </c>
      <c r="M1912" s="581"/>
      <c r="N1912" s="585" t="s">
        <v>1738</v>
      </c>
      <c r="O1912" s="586" t="s">
        <v>4681</v>
      </c>
      <c r="P1912" s="233">
        <f t="shared" si="269"/>
        <v>0</v>
      </c>
      <c r="Q1912" s="233">
        <f t="shared" si="270"/>
        <v>100</v>
      </c>
      <c r="R1912" s="2">
        <f t="shared" si="271"/>
        <v>2</v>
      </c>
      <c r="S1912" s="2">
        <f>(1/9)*cnst_fish!$C$7*(1/cnst_fish!$C$8)^(R1912-1)</f>
        <v>1.4102564102564099</v>
      </c>
      <c r="T1912" s="682">
        <f t="shared" si="272"/>
        <v>12.094710023050606</v>
      </c>
      <c r="W1912" s="818"/>
      <c r="X1912" s="818"/>
      <c r="Y1912" s="819"/>
      <c r="Z1912" s="820"/>
      <c r="AA1912" s="820"/>
      <c r="AB1912" s="821"/>
      <c r="AC1912" s="821"/>
      <c r="AD1912" s="253"/>
      <c r="AE1912" s="253"/>
    </row>
    <row r="1913" spans="1:31" ht="12.75" customHeight="1">
      <c r="A1913" t="s">
        <v>891</v>
      </c>
      <c r="B1913" t="s">
        <v>2110</v>
      </c>
      <c r="C1913">
        <v>18866</v>
      </c>
      <c r="D1913" s="581"/>
      <c r="E1913" s="581"/>
      <c r="F1913" s="2">
        <f>(1/S1913)*cnst_fish!$C$6</f>
        <v>3.0136363636363641</v>
      </c>
      <c r="G1913" s="2">
        <f t="shared" si="275"/>
        <v>1</v>
      </c>
      <c r="H1913" s="2">
        <f t="shared" si="275"/>
        <v>0.36449057933102513</v>
      </c>
      <c r="I1913" s="2">
        <f t="shared" si="267"/>
        <v>0</v>
      </c>
      <c r="J1913" s="389">
        <f t="shared" si="268"/>
        <v>0</v>
      </c>
      <c r="L1913" s="721">
        <v>339</v>
      </c>
      <c r="M1913" s="581"/>
      <c r="N1913" s="585" t="s">
        <v>1738</v>
      </c>
      <c r="O1913" s="586" t="s">
        <v>4681</v>
      </c>
      <c r="P1913" s="233">
        <f t="shared" si="269"/>
        <v>0</v>
      </c>
      <c r="Q1913" s="233">
        <f t="shared" si="270"/>
        <v>339</v>
      </c>
      <c r="R1913" s="2">
        <f t="shared" si="271"/>
        <v>2</v>
      </c>
      <c r="S1913" s="2">
        <f>(1/9)*cnst_fish!$C$7*(1/cnst_fish!$C$8)^(R1913-1)</f>
        <v>1.4102564102564099</v>
      </c>
      <c r="T1913" s="682">
        <f t="shared" si="272"/>
        <v>41.001066978141552</v>
      </c>
      <c r="W1913" s="818"/>
      <c r="X1913" s="818"/>
      <c r="Y1913" s="819"/>
      <c r="Z1913" s="820"/>
      <c r="AA1913" s="820"/>
      <c r="AB1913" s="821"/>
      <c r="AC1913" s="821"/>
      <c r="AD1913" s="253"/>
      <c r="AE1913" s="253"/>
    </row>
    <row r="1914" spans="1:31" ht="12.75" customHeight="1">
      <c r="A1914" t="s">
        <v>5074</v>
      </c>
      <c r="B1914" t="s">
        <v>2111</v>
      </c>
      <c r="C1914">
        <v>3213</v>
      </c>
      <c r="D1914" s="581"/>
      <c r="E1914" s="581"/>
      <c r="F1914" s="2">
        <f>(1/S1914)*cnst_fish!$C$6</f>
        <v>0.30838329721915442</v>
      </c>
      <c r="G1914" s="2">
        <f t="shared" si="275"/>
        <v>1</v>
      </c>
      <c r="H1914" s="2">
        <f t="shared" si="275"/>
        <v>0.36449057933102513</v>
      </c>
      <c r="I1914" s="2">
        <f t="shared" si="267"/>
        <v>0</v>
      </c>
      <c r="J1914" s="389">
        <f t="shared" si="268"/>
        <v>0</v>
      </c>
      <c r="L1914" s="721">
        <v>1949</v>
      </c>
      <c r="M1914" s="581">
        <v>112</v>
      </c>
      <c r="N1914" s="585" t="s">
        <v>1738</v>
      </c>
      <c r="O1914" s="586" t="s">
        <v>4681</v>
      </c>
      <c r="P1914" s="233">
        <f t="shared" si="269"/>
        <v>0</v>
      </c>
      <c r="Q1914" s="233">
        <f t="shared" si="270"/>
        <v>2061</v>
      </c>
      <c r="R1914" s="2">
        <f t="shared" si="271"/>
        <v>2.99</v>
      </c>
      <c r="S1914" s="2">
        <f>(1/9)*cnst_fish!$C$7*(1/cnst_fish!$C$8)^(R1914-1)</f>
        <v>13.781550551940924</v>
      </c>
      <c r="T1914" s="682">
        <f t="shared" si="272"/>
        <v>2435.9785071867473</v>
      </c>
      <c r="W1914" s="818"/>
      <c r="X1914" s="818"/>
      <c r="Y1914" s="819"/>
      <c r="Z1914" s="820"/>
      <c r="AA1914" s="820"/>
      <c r="AB1914" s="821"/>
      <c r="AC1914" s="821"/>
      <c r="AD1914" s="253"/>
      <c r="AE1914" s="253"/>
    </row>
    <row r="1915" spans="1:31" ht="12.75" customHeight="1">
      <c r="A1915" t="s">
        <v>3351</v>
      </c>
      <c r="B1915" t="s">
        <v>1143</v>
      </c>
      <c r="C1915">
        <v>15111</v>
      </c>
      <c r="D1915" s="581"/>
      <c r="E1915" s="581"/>
      <c r="F1915" s="2">
        <f>(1/S1915)*cnst_fish!$C$6</f>
        <v>8.6914222116951781E-2</v>
      </c>
      <c r="G1915" s="2">
        <f t="shared" si="275"/>
        <v>1</v>
      </c>
      <c r="H1915" s="2">
        <f t="shared" si="275"/>
        <v>0.36449057933102513</v>
      </c>
      <c r="I1915" s="2">
        <f t="shared" si="267"/>
        <v>0</v>
      </c>
      <c r="J1915" s="389">
        <f t="shared" si="268"/>
        <v>0</v>
      </c>
      <c r="L1915" s="721">
        <v>5</v>
      </c>
      <c r="M1915" s="581"/>
      <c r="N1915" s="585" t="s">
        <v>1738</v>
      </c>
      <c r="O1915" s="586" t="s">
        <v>4681</v>
      </c>
      <c r="P1915" s="233">
        <f t="shared" si="269"/>
        <v>0</v>
      </c>
      <c r="Q1915" s="233">
        <f t="shared" si="270"/>
        <v>5</v>
      </c>
      <c r="R1915" s="2">
        <f t="shared" si="271"/>
        <v>3.54</v>
      </c>
      <c r="S1915" s="2">
        <f>(1/9)*cnst_fish!$C$7*(1/cnst_fish!$C$8)^(R1915-1)</f>
        <v>48.898786602280119</v>
      </c>
      <c r="T1915" s="682">
        <f t="shared" si="272"/>
        <v>20.968408302646178</v>
      </c>
      <c r="W1915" s="818"/>
      <c r="X1915" s="818"/>
      <c r="Y1915" s="819"/>
      <c r="Z1915" s="820"/>
      <c r="AA1915" s="820"/>
      <c r="AB1915" s="821"/>
      <c r="AC1915" s="821"/>
      <c r="AD1915" s="253"/>
      <c r="AE1915" s="253"/>
    </row>
    <row r="1916" spans="1:31" ht="12.75" customHeight="1">
      <c r="A1916" t="s">
        <v>2823</v>
      </c>
      <c r="B1916" t="s">
        <v>1144</v>
      </c>
      <c r="C1916">
        <v>18870</v>
      </c>
      <c r="D1916" s="581"/>
      <c r="E1916" s="581"/>
      <c r="F1916" s="2">
        <f>(1/S1916)*cnst_fish!$C$6</f>
        <v>3.304386563831508E-2</v>
      </c>
      <c r="G1916" s="2">
        <f t="shared" si="275"/>
        <v>1</v>
      </c>
      <c r="H1916" s="2">
        <f t="shared" si="275"/>
        <v>0.36449057933102513</v>
      </c>
      <c r="I1916" s="2">
        <f t="shared" si="267"/>
        <v>0</v>
      </c>
      <c r="J1916" s="389">
        <f t="shared" si="268"/>
        <v>0</v>
      </c>
      <c r="L1916" s="721">
        <v>0</v>
      </c>
      <c r="M1916" s="581"/>
      <c r="N1916" s="585" t="s">
        <v>1738</v>
      </c>
      <c r="O1916" s="586" t="s">
        <v>4681</v>
      </c>
      <c r="P1916" s="233">
        <f t="shared" si="269"/>
        <v>0</v>
      </c>
      <c r="Q1916" s="233">
        <f t="shared" si="270"/>
        <v>0</v>
      </c>
      <c r="R1916" s="2">
        <f t="shared" si="271"/>
        <v>3.96</v>
      </c>
      <c r="S1916" s="2">
        <f>(1/9)*cnst_fish!$C$7*(1/cnst_fish!$C$8)^(R1916-1)</f>
        <v>128.61691324250009</v>
      </c>
      <c r="T1916" s="682">
        <f t="shared" si="272"/>
        <v>0</v>
      </c>
      <c r="W1916" s="818"/>
      <c r="X1916" s="818"/>
      <c r="Y1916" s="819"/>
      <c r="Z1916" s="820"/>
      <c r="AA1916" s="820"/>
      <c r="AB1916" s="821"/>
      <c r="AC1916" s="821"/>
      <c r="AD1916" s="253"/>
      <c r="AE1916" s="253"/>
    </row>
    <row r="1917" spans="1:31" ht="12.75" customHeight="1">
      <c r="A1917" t="s">
        <v>2179</v>
      </c>
      <c r="B1917" t="s">
        <v>2180</v>
      </c>
      <c r="C1917">
        <v>16094</v>
      </c>
      <c r="D1917" s="581"/>
      <c r="E1917" s="581"/>
      <c r="F1917" s="2">
        <f>(1/S1917)*cnst_fish!$C$6</f>
        <v>2.1334911593031029E-2</v>
      </c>
      <c r="G1917" s="2">
        <f t="shared" si="275"/>
        <v>1</v>
      </c>
      <c r="H1917" s="2">
        <f t="shared" si="275"/>
        <v>0.36449057933102513</v>
      </c>
      <c r="I1917" s="2">
        <f t="shared" si="267"/>
        <v>0</v>
      </c>
      <c r="J1917" s="389">
        <f t="shared" si="268"/>
        <v>0</v>
      </c>
      <c r="L1917" s="721">
        <v>0</v>
      </c>
      <c r="M1917" s="581"/>
      <c r="N1917" s="585" t="s">
        <v>1738</v>
      </c>
      <c r="O1917" s="586" t="s">
        <v>4681</v>
      </c>
      <c r="P1917" s="233">
        <f t="shared" si="269"/>
        <v>0</v>
      </c>
      <c r="Q1917" s="233">
        <f t="shared" si="270"/>
        <v>0</v>
      </c>
      <c r="R1917" s="2">
        <f t="shared" si="271"/>
        <v>4.1500000000000004</v>
      </c>
      <c r="S1917" s="2">
        <f>(1/9)*cnst_fish!$C$7*(1/cnst_fish!$C$8)^(R1917-1)</f>
        <v>199.20401270320929</v>
      </c>
      <c r="T1917" s="682">
        <f t="shared" si="272"/>
        <v>0</v>
      </c>
      <c r="W1917" s="818"/>
      <c r="X1917" s="818"/>
      <c r="Y1917" s="819"/>
      <c r="Z1917" s="820"/>
      <c r="AA1917" s="820"/>
      <c r="AB1917" s="821"/>
      <c r="AC1917" s="821"/>
      <c r="AD1917" s="253"/>
      <c r="AE1917" s="253"/>
    </row>
    <row r="1918" spans="1:31" ht="12.75" customHeight="1">
      <c r="A1918" t="s">
        <v>6618</v>
      </c>
      <c r="B1918" t="s">
        <v>6617</v>
      </c>
      <c r="C1918">
        <v>15123</v>
      </c>
      <c r="D1918" s="581"/>
      <c r="E1918" s="581"/>
      <c r="F1918" s="2">
        <f>(1/S1918)*cnst_fish!$C$6</f>
        <v>3.0136363636363641</v>
      </c>
      <c r="G1918" s="2">
        <f t="shared" si="275"/>
        <v>1</v>
      </c>
      <c r="H1918" s="2">
        <f t="shared" si="275"/>
        <v>0.36449057933102513</v>
      </c>
      <c r="I1918" s="2">
        <f t="shared" si="267"/>
        <v>0</v>
      </c>
      <c r="J1918" s="389">
        <f t="shared" si="268"/>
        <v>0</v>
      </c>
      <c r="L1918" s="721"/>
      <c r="M1918" s="581">
        <v>4731</v>
      </c>
      <c r="N1918" s="585" t="s">
        <v>1738</v>
      </c>
      <c r="O1918" s="586" t="s">
        <v>4685</v>
      </c>
      <c r="P1918" s="233">
        <f t="shared" si="269"/>
        <v>0</v>
      </c>
      <c r="Q1918" s="233">
        <f t="shared" si="270"/>
        <v>4731</v>
      </c>
      <c r="R1918" s="2">
        <f t="shared" si="271"/>
        <v>2</v>
      </c>
      <c r="S1918" s="2">
        <f>(1/9)*cnst_fish!$C$7*(1/cnst_fish!$C$8)^(R1918-1)</f>
        <v>1.4102564102564099</v>
      </c>
      <c r="T1918" s="682">
        <f t="shared" si="272"/>
        <v>572.20073119052415</v>
      </c>
      <c r="W1918" s="818"/>
      <c r="X1918" s="818"/>
      <c r="Y1918" s="819"/>
      <c r="Z1918" s="820"/>
      <c r="AA1918" s="820"/>
      <c r="AB1918" s="821"/>
      <c r="AC1918" s="821"/>
      <c r="AD1918" s="253"/>
      <c r="AE1918" s="253"/>
    </row>
    <row r="1919" spans="1:31" ht="12.75" customHeight="1">
      <c r="A1919" t="s">
        <v>8757</v>
      </c>
      <c r="B1919" t="s">
        <v>8758</v>
      </c>
      <c r="C1919">
        <v>15125</v>
      </c>
      <c r="D1919" s="581"/>
      <c r="E1919" s="581"/>
      <c r="F1919" s="2">
        <f>(1/S1919)*cnst_fish!$C$6</f>
        <v>3.0136363636363641</v>
      </c>
      <c r="G1919" s="2">
        <f t="shared" si="275"/>
        <v>1</v>
      </c>
      <c r="H1919" s="2">
        <f t="shared" si="275"/>
        <v>0.36449057933102513</v>
      </c>
      <c r="I1919" s="2">
        <f t="shared" si="267"/>
        <v>0</v>
      </c>
      <c r="J1919" s="389">
        <f t="shared" si="268"/>
        <v>0</v>
      </c>
      <c r="L1919" s="721"/>
      <c r="M1919" s="581">
        <v>0</v>
      </c>
      <c r="N1919" s="585" t="s">
        <v>1738</v>
      </c>
      <c r="O1919" s="586" t="s">
        <v>4685</v>
      </c>
      <c r="P1919" s="233">
        <f t="shared" si="269"/>
        <v>0</v>
      </c>
      <c r="Q1919" s="233">
        <f t="shared" si="270"/>
        <v>0</v>
      </c>
      <c r="R1919" s="2">
        <f t="shared" si="271"/>
        <v>2</v>
      </c>
      <c r="S1919" s="2">
        <f>(1/9)*cnst_fish!$C$7*(1/cnst_fish!$C$8)^(R1919-1)</f>
        <v>1.4102564102564099</v>
      </c>
      <c r="T1919" s="682">
        <f t="shared" si="272"/>
        <v>0</v>
      </c>
      <c r="W1919" s="818"/>
      <c r="X1919" s="818"/>
      <c r="Y1919" s="819"/>
      <c r="Z1919" s="820"/>
      <c r="AA1919" s="820"/>
      <c r="AB1919" s="821"/>
      <c r="AC1919" s="821"/>
      <c r="AD1919" s="253"/>
      <c r="AE1919" s="253"/>
    </row>
    <row r="1920" spans="1:31" ht="12.75" customHeight="1">
      <c r="A1920" t="s">
        <v>8759</v>
      </c>
      <c r="B1920" t="s">
        <v>8760</v>
      </c>
      <c r="C1920">
        <v>20550</v>
      </c>
      <c r="D1920" s="581"/>
      <c r="E1920" s="581"/>
      <c r="F1920" s="2">
        <f>(1/S1920)*cnst_fish!$C$6</f>
        <v>3.0136363636363641</v>
      </c>
      <c r="G1920" s="2">
        <f t="shared" si="275"/>
        <v>1</v>
      </c>
      <c r="H1920" s="2">
        <f t="shared" si="275"/>
        <v>0.36449057933102513</v>
      </c>
      <c r="I1920" s="2">
        <f t="shared" si="267"/>
        <v>0</v>
      </c>
      <c r="J1920" s="389">
        <f t="shared" si="268"/>
        <v>0</v>
      </c>
      <c r="L1920" s="721"/>
      <c r="M1920" s="581">
        <v>15</v>
      </c>
      <c r="N1920" s="585" t="s">
        <v>2323</v>
      </c>
      <c r="O1920" s="586" t="s">
        <v>4685</v>
      </c>
      <c r="P1920" s="233">
        <f t="shared" si="269"/>
        <v>0</v>
      </c>
      <c r="Q1920" s="233">
        <f t="shared" si="270"/>
        <v>15</v>
      </c>
      <c r="R1920" s="2">
        <f t="shared" si="271"/>
        <v>2</v>
      </c>
      <c r="S1920" s="2">
        <f>(1/9)*cnst_fish!$C$7*(1/cnst_fish!$C$8)^(R1920-1)</f>
        <v>1.4102564102564099</v>
      </c>
      <c r="T1920" s="682">
        <f t="shared" si="272"/>
        <v>1.8142065034575909</v>
      </c>
      <c r="W1920" s="822"/>
      <c r="X1920" s="822"/>
      <c r="Y1920" s="819"/>
      <c r="Z1920" s="820"/>
      <c r="AA1920" s="820"/>
      <c r="AB1920" s="821"/>
      <c r="AC1920" s="821"/>
      <c r="AD1920" s="253"/>
      <c r="AE1920" s="253"/>
    </row>
    <row r="1921" spans="1:31" ht="12.75" customHeight="1">
      <c r="A1921" t="s">
        <v>6785</v>
      </c>
      <c r="B1921" t="s">
        <v>8761</v>
      </c>
      <c r="C1921">
        <v>2343</v>
      </c>
      <c r="D1921" s="581"/>
      <c r="E1921" s="581"/>
      <c r="F1921" s="2">
        <f>(1/S1921)*cnst_fish!$C$6</f>
        <v>7.0646532025323075E-2</v>
      </c>
      <c r="G1921" s="2">
        <f t="shared" si="275"/>
        <v>1</v>
      </c>
      <c r="H1921" s="2">
        <f t="shared" si="275"/>
        <v>0.36449057933102513</v>
      </c>
      <c r="I1921" s="2">
        <f t="shared" si="267"/>
        <v>0</v>
      </c>
      <c r="J1921" s="389">
        <f t="shared" si="268"/>
        <v>0</v>
      </c>
      <c r="L1921" s="721"/>
      <c r="M1921" s="581"/>
      <c r="N1921" s="585" t="s">
        <v>1738</v>
      </c>
      <c r="O1921" s="586" t="s">
        <v>4681</v>
      </c>
      <c r="P1921" s="233">
        <f t="shared" si="269"/>
        <v>0</v>
      </c>
      <c r="Q1921" s="233">
        <f t="shared" si="270"/>
        <v>0</v>
      </c>
      <c r="R1921" s="2">
        <f t="shared" si="271"/>
        <v>3.63</v>
      </c>
      <c r="S1921" s="2">
        <f>(1/9)*cnst_fish!$C$7*(1/cnst_fish!$C$8)^(R1921-1)</f>
        <v>60.158650087404119</v>
      </c>
      <c r="T1921" s="682">
        <f t="shared" si="272"/>
        <v>0</v>
      </c>
      <c r="W1921" s="818"/>
      <c r="X1921" s="818"/>
      <c r="Y1921" s="819"/>
      <c r="Z1921" s="820"/>
      <c r="AA1921" s="820"/>
      <c r="AB1921" s="821"/>
      <c r="AC1921" s="821"/>
      <c r="AD1921" s="253"/>
      <c r="AE1921" s="253"/>
    </row>
    <row r="1922" spans="1:31" ht="12.75" customHeight="1">
      <c r="A1922" t="s">
        <v>9118</v>
      </c>
      <c r="B1922" t="s">
        <v>9119</v>
      </c>
      <c r="C1922">
        <v>20628</v>
      </c>
      <c r="D1922" s="581"/>
      <c r="E1922" s="581"/>
      <c r="F1922" s="869">
        <f>(1/S1922)*cnst_fish!$C$6</f>
        <v>9.5299549485983348E-2</v>
      </c>
      <c r="G1922" s="869">
        <f t="shared" si="275"/>
        <v>1</v>
      </c>
      <c r="H1922" s="869">
        <f t="shared" si="275"/>
        <v>0.36449057933102513</v>
      </c>
      <c r="I1922" s="869">
        <f t="shared" si="267"/>
        <v>0</v>
      </c>
      <c r="J1922" s="389">
        <f t="shared" si="268"/>
        <v>0</v>
      </c>
      <c r="L1922" s="721">
        <v>7244</v>
      </c>
      <c r="M1922" s="581"/>
      <c r="N1922" s="877" t="s">
        <v>1738</v>
      </c>
      <c r="O1922" s="882" t="s">
        <v>4681</v>
      </c>
      <c r="P1922" s="871">
        <f t="shared" si="269"/>
        <v>0</v>
      </c>
      <c r="Q1922" s="871">
        <f t="shared" si="270"/>
        <v>7244</v>
      </c>
      <c r="R1922" s="869">
        <f t="shared" si="271"/>
        <v>3.5</v>
      </c>
      <c r="S1922" s="869">
        <f>(1/9)*cnst_fish!$C$7*(1/cnst_fish!$C$8)^(R1922-1)</f>
        <v>44.596223412631026</v>
      </c>
      <c r="T1922" s="682">
        <f t="shared" si="272"/>
        <v>27706.004602490717</v>
      </c>
      <c r="W1922" s="822"/>
      <c r="X1922" s="822"/>
      <c r="Y1922" s="819"/>
      <c r="Z1922" s="820"/>
      <c r="AA1922" s="820"/>
      <c r="AB1922" s="821"/>
      <c r="AC1922" s="821"/>
      <c r="AD1922" s="253"/>
      <c r="AE1922" s="253"/>
    </row>
    <row r="1923" spans="1:31" ht="12.75" customHeight="1">
      <c r="A1923" t="s">
        <v>4130</v>
      </c>
      <c r="B1923" t="s">
        <v>4857</v>
      </c>
      <c r="C1923">
        <v>3149</v>
      </c>
      <c r="D1923" s="581"/>
      <c r="E1923" s="581"/>
      <c r="F1923" s="2">
        <f>(1/S1923)*cnst_fish!$C$6</f>
        <v>6.0129950673834844E-2</v>
      </c>
      <c r="G1923" s="2">
        <f t="shared" si="275"/>
        <v>1</v>
      </c>
      <c r="H1923" s="2">
        <f t="shared" si="275"/>
        <v>0.36449057933102513</v>
      </c>
      <c r="I1923" s="2">
        <f t="shared" si="267"/>
        <v>0</v>
      </c>
      <c r="J1923" s="389">
        <f t="shared" si="268"/>
        <v>0</v>
      </c>
      <c r="L1923" s="721">
        <v>310</v>
      </c>
      <c r="M1923" s="581"/>
      <c r="N1923" s="585" t="s">
        <v>1738</v>
      </c>
      <c r="O1923" s="586" t="s">
        <v>4681</v>
      </c>
      <c r="P1923" s="233">
        <f t="shared" si="269"/>
        <v>0</v>
      </c>
      <c r="Q1923" s="233">
        <f t="shared" si="270"/>
        <v>310</v>
      </c>
      <c r="R1923" s="2">
        <f t="shared" si="271"/>
        <v>3.7</v>
      </c>
      <c r="S1923" s="2">
        <f>(1/9)*cnst_fish!$C$7*(1/cnst_fish!$C$8)^(R1923-1)</f>
        <v>70.680250896153822</v>
      </c>
      <c r="T1923" s="682">
        <f t="shared" si="272"/>
        <v>1879.1314199728017</v>
      </c>
      <c r="W1923" s="818"/>
      <c r="X1923" s="818"/>
      <c r="Y1923" s="819"/>
      <c r="Z1923" s="820"/>
      <c r="AA1923" s="820"/>
      <c r="AB1923" s="821"/>
      <c r="AC1923" s="821"/>
      <c r="AD1923" s="253"/>
      <c r="AE1923" s="253"/>
    </row>
    <row r="1924" spans="1:31" ht="12.75" customHeight="1">
      <c r="A1924" t="s">
        <v>24</v>
      </c>
      <c r="B1924" t="s">
        <v>4858</v>
      </c>
      <c r="C1924">
        <v>3148</v>
      </c>
      <c r="D1924" s="581"/>
      <c r="E1924" s="581"/>
      <c r="F1924" s="2">
        <f>(1/S1924)*cnst_fish!$C$6</f>
        <v>6.4430402969999093E-2</v>
      </c>
      <c r="G1924" s="2">
        <f t="shared" si="275"/>
        <v>1</v>
      </c>
      <c r="H1924" s="2">
        <f t="shared" si="275"/>
        <v>0.36449057933102513</v>
      </c>
      <c r="I1924" s="2">
        <f t="shared" si="267"/>
        <v>0</v>
      </c>
      <c r="J1924" s="389">
        <f t="shared" si="268"/>
        <v>0</v>
      </c>
      <c r="L1924" s="721">
        <v>648964</v>
      </c>
      <c r="M1924" s="581">
        <v>1041.5999999999999</v>
      </c>
      <c r="N1924" s="585" t="s">
        <v>1738</v>
      </c>
      <c r="O1924" s="586" t="s">
        <v>4681</v>
      </c>
      <c r="P1924" s="233">
        <f t="shared" si="269"/>
        <v>0</v>
      </c>
      <c r="Q1924" s="233">
        <f t="shared" si="270"/>
        <v>650005.6</v>
      </c>
      <c r="R1924" s="2">
        <f t="shared" si="271"/>
        <v>3.67</v>
      </c>
      <c r="S1924" s="2">
        <f>(1/9)*cnst_fish!$C$7*(1/cnst_fish!$C$8)^(R1924-1)</f>
        <v>65.962648130245896</v>
      </c>
      <c r="T1924" s="682">
        <f t="shared" si="272"/>
        <v>3677160.2658255715</v>
      </c>
      <c r="W1924" s="818"/>
      <c r="X1924" s="818"/>
      <c r="Y1924" s="819"/>
      <c r="Z1924" s="820"/>
      <c r="AA1924" s="820"/>
      <c r="AB1924" s="821"/>
      <c r="AC1924" s="821"/>
      <c r="AD1924" s="253"/>
      <c r="AE1924" s="253"/>
    </row>
    <row r="1925" spans="1:31" ht="12.75" customHeight="1">
      <c r="A1925" t="s">
        <v>2931</v>
      </c>
      <c r="B1925" t="s">
        <v>4859</v>
      </c>
      <c r="C1925">
        <v>3165</v>
      </c>
      <c r="D1925" s="581"/>
      <c r="E1925" s="581"/>
      <c r="F1925" s="2">
        <f>(1/S1925)*cnst_fish!$C$6</f>
        <v>2.5650205424007942E-2</v>
      </c>
      <c r="G1925" s="2">
        <f t="shared" si="275"/>
        <v>1</v>
      </c>
      <c r="H1925" s="2">
        <f t="shared" si="275"/>
        <v>0.36449057933102513</v>
      </c>
      <c r="I1925" s="2">
        <f t="shared" si="267"/>
        <v>0</v>
      </c>
      <c r="J1925" s="389">
        <f t="shared" si="268"/>
        <v>0</v>
      </c>
      <c r="L1925" s="721">
        <v>88</v>
      </c>
      <c r="M1925" s="581"/>
      <c r="N1925" s="585" t="s">
        <v>1738</v>
      </c>
      <c r="O1925" s="586" t="s">
        <v>4681</v>
      </c>
      <c r="P1925" s="233">
        <f t="shared" si="269"/>
        <v>0</v>
      </c>
      <c r="Q1925" s="233">
        <f t="shared" si="270"/>
        <v>88</v>
      </c>
      <c r="R1925" s="2">
        <f t="shared" si="271"/>
        <v>4.07</v>
      </c>
      <c r="S1925" s="2">
        <f>(1/9)*cnst_fish!$C$7*(1/cnst_fish!$C$8)^(R1925-1)</f>
        <v>165.6906808248057</v>
      </c>
      <c r="T1925" s="682">
        <f t="shared" si="272"/>
        <v>1250.4839805730626</v>
      </c>
      <c r="W1925" s="818"/>
      <c r="X1925" s="818"/>
      <c r="Y1925" s="819"/>
      <c r="Z1925" s="820"/>
      <c r="AA1925" s="820"/>
      <c r="AB1925" s="821"/>
      <c r="AC1925" s="821"/>
      <c r="AD1925" s="253"/>
      <c r="AE1925" s="253"/>
    </row>
    <row r="1926" spans="1:31" ht="12.75" customHeight="1">
      <c r="A1926" t="s">
        <v>3042</v>
      </c>
      <c r="B1926" t="s">
        <v>1920</v>
      </c>
      <c r="C1926">
        <v>2794</v>
      </c>
      <c r="D1926" s="581"/>
      <c r="E1926" s="581"/>
      <c r="F1926" s="2">
        <f>(1/S1926)*cnst_fish!$C$6</f>
        <v>30.136363636363644</v>
      </c>
      <c r="G1926" s="2">
        <f t="shared" si="275"/>
        <v>1</v>
      </c>
      <c r="H1926" s="2">
        <f t="shared" si="275"/>
        <v>0.36449057933102513</v>
      </c>
      <c r="I1926" s="2">
        <f t="shared" si="267"/>
        <v>0</v>
      </c>
      <c r="J1926" s="389">
        <f t="shared" si="268"/>
        <v>0</v>
      </c>
      <c r="L1926" s="721"/>
      <c r="M1926" s="581">
        <v>0</v>
      </c>
      <c r="N1926" s="585" t="s">
        <v>1740</v>
      </c>
      <c r="O1926" s="586" t="s">
        <v>4671</v>
      </c>
      <c r="P1926" s="233">
        <f t="shared" si="269"/>
        <v>0</v>
      </c>
      <c r="Q1926" s="233">
        <f t="shared" si="270"/>
        <v>0</v>
      </c>
      <c r="R1926" s="2">
        <f t="shared" si="271"/>
        <v>1</v>
      </c>
      <c r="S1926" s="2">
        <f>(1/9)*cnst_fish!$C$7*(1/cnst_fish!$C$8)^(R1926-1)</f>
        <v>0.141025641025641</v>
      </c>
      <c r="T1926" s="682">
        <f t="shared" si="272"/>
        <v>0</v>
      </c>
      <c r="W1926" s="818"/>
      <c r="X1926" s="818"/>
      <c r="Y1926" s="819"/>
      <c r="Z1926" s="820"/>
      <c r="AA1926" s="820"/>
      <c r="AB1926" s="821"/>
      <c r="AC1926" s="821"/>
      <c r="AD1926" s="253"/>
      <c r="AE1926" s="253"/>
    </row>
    <row r="1927" spans="1:31" ht="12.75" customHeight="1">
      <c r="A1927" t="s">
        <v>2528</v>
      </c>
      <c r="B1927" t="s">
        <v>5078</v>
      </c>
      <c r="C1927">
        <v>2760</v>
      </c>
      <c r="D1927" s="581"/>
      <c r="E1927" s="581"/>
      <c r="F1927" s="2">
        <f>(1/S1927)*cnst_fish!$C$6</f>
        <v>1.5103960722494616</v>
      </c>
      <c r="G1927" s="2">
        <f t="shared" si="275"/>
        <v>1</v>
      </c>
      <c r="H1927" s="2">
        <f t="shared" si="275"/>
        <v>0.36449057933102513</v>
      </c>
      <c r="I1927" s="2">
        <f t="shared" ref="I1927:I1990" si="276">IF($F1927=0,0,D1927/$F1927*$H1927*$G1927)</f>
        <v>0</v>
      </c>
      <c r="J1927" s="389">
        <f t="shared" ref="J1927:J1990" si="277">IF($F1927=0,0,E1927/$F1927*$H1927*$G1927)</f>
        <v>0</v>
      </c>
      <c r="L1927" s="721">
        <v>4031.0200000000004</v>
      </c>
      <c r="M1927" s="581"/>
      <c r="N1927" s="585" t="s">
        <v>5196</v>
      </c>
      <c r="O1927" s="586"/>
      <c r="P1927" s="233">
        <f t="shared" ref="P1927:P1990" si="278">D1927+E1927</f>
        <v>0</v>
      </c>
      <c r="Q1927" s="233">
        <f t="shared" ref="Q1927:Q1990" si="279">L1927+M1927</f>
        <v>4031.0200000000004</v>
      </c>
      <c r="R1927" s="2">
        <f t="shared" ref="R1927:R1990" si="280">VLOOKUP(B1927,constant_fish_trophic,3,FALSE)</f>
        <v>2.2999999999999998</v>
      </c>
      <c r="S1927" s="2">
        <f>(1/9)*cnst_fish!$C$7*(1/cnst_fish!$C$8)^(R1927-1)</f>
        <v>2.8138314698279068</v>
      </c>
      <c r="T1927" s="682">
        <f t="shared" ref="T1927:T1990" si="281">IF(F1927=0,0,Q1927/F1927*H1927*G1927)</f>
        <v>972.77054812963001</v>
      </c>
      <c r="W1927" s="818"/>
      <c r="X1927" s="818"/>
      <c r="Y1927" s="819"/>
      <c r="Z1927" s="820"/>
      <c r="AA1927" s="820"/>
      <c r="AB1927" s="821"/>
      <c r="AC1927" s="821"/>
      <c r="AD1927" s="253"/>
      <c r="AE1927" s="253"/>
    </row>
    <row r="1928" spans="1:31" ht="12.75" customHeight="1">
      <c r="A1928" t="s">
        <v>5044</v>
      </c>
      <c r="B1928" t="s">
        <v>107</v>
      </c>
      <c r="C1928">
        <v>6290</v>
      </c>
      <c r="D1928" s="581"/>
      <c r="E1928" s="581"/>
      <c r="F1928" s="2">
        <f>(1/S1928)*cnst_fish!$C$6</f>
        <v>0.60129950673834842</v>
      </c>
      <c r="G1928" s="2">
        <f t="shared" ref="G1928:H1947" si="282">G$7</f>
        <v>1</v>
      </c>
      <c r="H1928" s="2">
        <f t="shared" si="282"/>
        <v>0.36449057933102513</v>
      </c>
      <c r="I1928" s="2">
        <f t="shared" si="276"/>
        <v>0</v>
      </c>
      <c r="J1928" s="389">
        <f t="shared" si="277"/>
        <v>0</v>
      </c>
      <c r="L1928" s="721">
        <v>302</v>
      </c>
      <c r="M1928" s="581"/>
      <c r="N1928" s="585" t="s">
        <v>2322</v>
      </c>
      <c r="O1928" s="586" t="s">
        <v>4680</v>
      </c>
      <c r="P1928" s="233">
        <f t="shared" si="278"/>
        <v>0</v>
      </c>
      <c r="Q1928" s="233">
        <f t="shared" si="279"/>
        <v>302</v>
      </c>
      <c r="R1928" s="2">
        <f t="shared" si="280"/>
        <v>2.7</v>
      </c>
      <c r="S1928" s="2">
        <f>(1/9)*cnst_fish!$C$7*(1/cnst_fish!$C$8)^(R1928-1)</f>
        <v>7.0680250896153813</v>
      </c>
      <c r="T1928" s="682">
        <f t="shared" si="281"/>
        <v>183.06377059089874</v>
      </c>
      <c r="W1928" s="818"/>
      <c r="X1928" s="818"/>
      <c r="Y1928" s="819"/>
      <c r="Z1928" s="820"/>
      <c r="AA1928" s="820"/>
      <c r="AB1928" s="821"/>
      <c r="AC1928" s="821"/>
      <c r="AD1928" s="253"/>
      <c r="AE1928" s="253"/>
    </row>
    <row r="1929" spans="1:31" ht="12.75" customHeight="1">
      <c r="A1929" t="s">
        <v>422</v>
      </c>
      <c r="B1929" t="s">
        <v>423</v>
      </c>
      <c r="C1929">
        <v>19137</v>
      </c>
      <c r="D1929" s="581"/>
      <c r="E1929" s="581"/>
      <c r="F1929" s="2">
        <f>(1/S1929)*cnst_fish!$C$6</f>
        <v>3.9727464439222634E-2</v>
      </c>
      <c r="G1929" s="2">
        <f t="shared" si="282"/>
        <v>1</v>
      </c>
      <c r="H1929" s="2">
        <f t="shared" si="282"/>
        <v>0.36449057933102513</v>
      </c>
      <c r="I1929" s="2">
        <f t="shared" si="276"/>
        <v>0</v>
      </c>
      <c r="J1929" s="389">
        <f t="shared" si="277"/>
        <v>0</v>
      </c>
      <c r="L1929" s="721"/>
      <c r="M1929" s="581">
        <v>62</v>
      </c>
      <c r="N1929" s="585" t="s">
        <v>1738</v>
      </c>
      <c r="O1929" s="586" t="s">
        <v>4685</v>
      </c>
      <c r="P1929" s="233">
        <f t="shared" si="278"/>
        <v>0</v>
      </c>
      <c r="Q1929" s="233">
        <f t="shared" si="279"/>
        <v>62</v>
      </c>
      <c r="R1929" s="2">
        <f t="shared" si="280"/>
        <v>3.88</v>
      </c>
      <c r="S1929" s="2">
        <f>(1/9)*cnst_fish!$C$7*(1/cnst_fish!$C$8)^(R1929-1)</f>
        <v>106.97888878616692</v>
      </c>
      <c r="T1929" s="682">
        <f t="shared" si="281"/>
        <v>568.83609959794728</v>
      </c>
      <c r="W1929" s="818"/>
      <c r="X1929" s="818"/>
      <c r="Y1929" s="819"/>
      <c r="Z1929" s="820"/>
      <c r="AA1929" s="820"/>
      <c r="AB1929" s="821"/>
      <c r="AC1929" s="821"/>
      <c r="AD1929" s="253"/>
      <c r="AE1929" s="253"/>
    </row>
    <row r="1930" spans="1:31" ht="12.75" customHeight="1">
      <c r="A1930" t="s">
        <v>4123</v>
      </c>
      <c r="B1930" t="s">
        <v>4860</v>
      </c>
      <c r="C1930">
        <v>2336</v>
      </c>
      <c r="D1930" s="581"/>
      <c r="E1930" s="581"/>
      <c r="F1930" s="2">
        <f>(1/S1930)*cnst_fish!$C$6</f>
        <v>8.8938714421809756E-2</v>
      </c>
      <c r="G1930" s="2">
        <f t="shared" si="282"/>
        <v>1</v>
      </c>
      <c r="H1930" s="2">
        <f t="shared" si="282"/>
        <v>0.36449057933102513</v>
      </c>
      <c r="I1930" s="2">
        <f t="shared" si="276"/>
        <v>0</v>
      </c>
      <c r="J1930" s="389">
        <f t="shared" si="277"/>
        <v>0</v>
      </c>
      <c r="L1930" s="721">
        <v>9361</v>
      </c>
      <c r="M1930" s="581"/>
      <c r="N1930" s="585" t="s">
        <v>1738</v>
      </c>
      <c r="O1930" s="586" t="s">
        <v>4681</v>
      </c>
      <c r="P1930" s="233">
        <f t="shared" si="278"/>
        <v>0</v>
      </c>
      <c r="Q1930" s="233">
        <f t="shared" si="279"/>
        <v>9361</v>
      </c>
      <c r="R1930" s="2">
        <f t="shared" si="280"/>
        <v>3.53</v>
      </c>
      <c r="S1930" s="2">
        <f>(1/9)*cnst_fish!$C$7*(1/cnst_fish!$C$8)^(R1930-1)</f>
        <v>47.785714327323419</v>
      </c>
      <c r="T1930" s="682">
        <f t="shared" si="281"/>
        <v>38363.454377535156</v>
      </c>
      <c r="W1930" s="818"/>
      <c r="X1930" s="818"/>
      <c r="Y1930" s="819"/>
      <c r="Z1930" s="820"/>
      <c r="AA1930" s="820"/>
      <c r="AB1930" s="821"/>
      <c r="AC1930" s="821"/>
      <c r="AD1930" s="253"/>
      <c r="AE1930" s="253"/>
    </row>
    <row r="1931" spans="1:31" ht="12.75" customHeight="1">
      <c r="A1931" t="s">
        <v>364</v>
      </c>
      <c r="B1931" t="s">
        <v>6268</v>
      </c>
      <c r="C1931">
        <v>18949</v>
      </c>
      <c r="D1931" s="581"/>
      <c r="E1931" s="581"/>
      <c r="F1931" s="2">
        <f>(1/S1931)*cnst_fish!$C$6</f>
        <v>9.5299549485983348E-2</v>
      </c>
      <c r="G1931" s="2">
        <f t="shared" si="282"/>
        <v>1</v>
      </c>
      <c r="H1931" s="2">
        <f t="shared" si="282"/>
        <v>0.36449057933102513</v>
      </c>
      <c r="I1931" s="2">
        <f t="shared" si="276"/>
        <v>0</v>
      </c>
      <c r="J1931" s="389">
        <f t="shared" si="277"/>
        <v>0</v>
      </c>
      <c r="L1931" s="721">
        <v>870</v>
      </c>
      <c r="M1931" s="581"/>
      <c r="N1931" s="585" t="s">
        <v>1738</v>
      </c>
      <c r="O1931" s="586" t="s">
        <v>4681</v>
      </c>
      <c r="P1931" s="233">
        <f t="shared" si="278"/>
        <v>0</v>
      </c>
      <c r="Q1931" s="233">
        <f t="shared" si="279"/>
        <v>870</v>
      </c>
      <c r="R1931" s="2">
        <f t="shared" si="280"/>
        <v>3.5</v>
      </c>
      <c r="S1931" s="2">
        <f>(1/9)*cnst_fish!$C$7*(1/cnst_fish!$C$8)^(R1931-1)</f>
        <v>44.596223412631026</v>
      </c>
      <c r="T1931" s="682">
        <f t="shared" si="281"/>
        <v>3327.474324153357</v>
      </c>
      <c r="W1931" s="818"/>
      <c r="X1931" s="818"/>
      <c r="Y1931" s="819"/>
      <c r="Z1931" s="820"/>
      <c r="AA1931" s="820"/>
      <c r="AB1931" s="821"/>
      <c r="AC1931" s="821"/>
      <c r="AD1931" s="253"/>
      <c r="AE1931" s="253"/>
    </row>
    <row r="1932" spans="1:31" ht="12.75" customHeight="1">
      <c r="A1932" t="s">
        <v>4853</v>
      </c>
      <c r="B1932" t="s">
        <v>4943</v>
      </c>
      <c r="C1932">
        <v>3278</v>
      </c>
      <c r="D1932" s="581"/>
      <c r="E1932" s="581"/>
      <c r="F1932" s="2">
        <f>(1/S1932)*cnst_fish!$C$6</f>
        <v>1.9014759972289439E-2</v>
      </c>
      <c r="G1932" s="2">
        <f t="shared" si="282"/>
        <v>1</v>
      </c>
      <c r="H1932" s="2">
        <f t="shared" si="282"/>
        <v>0.36449057933102513</v>
      </c>
      <c r="I1932" s="2">
        <f t="shared" si="276"/>
        <v>0</v>
      </c>
      <c r="J1932" s="389">
        <f t="shared" si="277"/>
        <v>0</v>
      </c>
      <c r="L1932" s="721">
        <v>11734</v>
      </c>
      <c r="M1932" s="581"/>
      <c r="N1932" s="585" t="s">
        <v>2313</v>
      </c>
      <c r="O1932" s="586" t="s">
        <v>4699</v>
      </c>
      <c r="P1932" s="233">
        <f t="shared" si="278"/>
        <v>0</v>
      </c>
      <c r="Q1932" s="233">
        <f t="shared" si="279"/>
        <v>11734</v>
      </c>
      <c r="R1932" s="2">
        <f t="shared" si="280"/>
        <v>4.2</v>
      </c>
      <c r="S1932" s="2">
        <f>(1/9)*cnst_fish!$C$7*(1/cnst_fish!$C$8)^(R1932-1)</f>
        <v>223.51057842400343</v>
      </c>
      <c r="T1932" s="682">
        <f t="shared" si="281"/>
        <v>224926.9758915233</v>
      </c>
      <c r="W1932" s="818"/>
      <c r="X1932" s="818"/>
      <c r="Y1932" s="819"/>
      <c r="Z1932" s="820"/>
      <c r="AA1932" s="820"/>
      <c r="AB1932" s="821"/>
      <c r="AC1932" s="821"/>
      <c r="AD1932" s="253"/>
      <c r="AE1932" s="253"/>
    </row>
    <row r="1933" spans="1:31" ht="12.75" customHeight="1">
      <c r="A1933" t="s">
        <v>8762</v>
      </c>
      <c r="B1933" t="s">
        <v>8763</v>
      </c>
      <c r="C1933">
        <v>20480</v>
      </c>
      <c r="D1933" s="581"/>
      <c r="E1933" s="581"/>
      <c r="F1933" s="2">
        <f>(1/S1933)*cnst_fish!$C$6</f>
        <v>3.7939434000887833E-2</v>
      </c>
      <c r="G1933" s="2">
        <f t="shared" si="282"/>
        <v>1</v>
      </c>
      <c r="H1933" s="2">
        <f t="shared" si="282"/>
        <v>0.36449057933102513</v>
      </c>
      <c r="I1933" s="2">
        <f t="shared" si="276"/>
        <v>0</v>
      </c>
      <c r="J1933" s="389">
        <f t="shared" si="277"/>
        <v>0</v>
      </c>
      <c r="L1933" s="721">
        <v>525667.53</v>
      </c>
      <c r="M1933" s="581"/>
      <c r="N1933" s="585" t="s">
        <v>2313</v>
      </c>
      <c r="O1933" s="586" t="s">
        <v>4699</v>
      </c>
      <c r="P1933" s="233">
        <f t="shared" si="278"/>
        <v>0</v>
      </c>
      <c r="Q1933" s="233">
        <f t="shared" si="279"/>
        <v>525667.53</v>
      </c>
      <c r="R1933" s="2">
        <f t="shared" si="280"/>
        <v>3.9</v>
      </c>
      <c r="S1933" s="2">
        <f>(1/9)*cnst_fish!$C$7*(1/cnst_fish!$C$8)^(R1933-1)</f>
        <v>112.02064848675771</v>
      </c>
      <c r="T1933" s="682">
        <f t="shared" si="281"/>
        <v>5050177.1465732809</v>
      </c>
      <c r="W1933" s="818"/>
      <c r="X1933" s="818"/>
      <c r="Y1933" s="819"/>
      <c r="Z1933" s="820"/>
      <c r="AA1933" s="820"/>
      <c r="AB1933" s="821"/>
      <c r="AC1933" s="821"/>
      <c r="AD1933" s="253"/>
      <c r="AE1933" s="253"/>
    </row>
    <row r="1934" spans="1:31" ht="12.75" customHeight="1">
      <c r="A1934" t="s">
        <v>8764</v>
      </c>
      <c r="B1934" t="s">
        <v>4944</v>
      </c>
      <c r="C1934">
        <v>3277</v>
      </c>
      <c r="D1934" s="581"/>
      <c r="E1934" s="581"/>
      <c r="F1934" s="2">
        <f>(1/S1934)*cnst_fish!$C$6</f>
        <v>0.24495756009854439</v>
      </c>
      <c r="G1934" s="2">
        <f t="shared" si="282"/>
        <v>1</v>
      </c>
      <c r="H1934" s="2">
        <f t="shared" si="282"/>
        <v>0.36449057933102513</v>
      </c>
      <c r="I1934" s="2">
        <f t="shared" si="276"/>
        <v>0</v>
      </c>
      <c r="J1934" s="389">
        <f t="shared" si="277"/>
        <v>0</v>
      </c>
      <c r="L1934" s="721">
        <v>1553682</v>
      </c>
      <c r="M1934" s="581"/>
      <c r="N1934" s="585" t="s">
        <v>2313</v>
      </c>
      <c r="O1934" s="586" t="s">
        <v>4699</v>
      </c>
      <c r="P1934" s="233">
        <f t="shared" si="278"/>
        <v>0</v>
      </c>
      <c r="Q1934" s="233">
        <f t="shared" si="279"/>
        <v>1553682</v>
      </c>
      <c r="R1934" s="2">
        <f t="shared" si="280"/>
        <v>3.09</v>
      </c>
      <c r="S1934" s="2">
        <f>(1/9)*cnst_fish!$C$7*(1/cnst_fish!$C$8)^(R1934-1)</f>
        <v>17.349944203764359</v>
      </c>
      <c r="T1934" s="682">
        <f t="shared" si="281"/>
        <v>2311839.0469286479</v>
      </c>
      <c r="W1934" s="818"/>
      <c r="X1934" s="818"/>
      <c r="Y1934" s="819"/>
      <c r="Z1934" s="820"/>
      <c r="AA1934" s="820"/>
      <c r="AB1934" s="821"/>
      <c r="AC1934" s="821"/>
      <c r="AD1934" s="253"/>
      <c r="AE1934" s="253"/>
    </row>
    <row r="1935" spans="1:31" ht="12.75" customHeight="1">
      <c r="A1935" t="s">
        <v>4086</v>
      </c>
      <c r="B1935" t="s">
        <v>4945</v>
      </c>
      <c r="C1935">
        <v>2473</v>
      </c>
      <c r="D1935" s="581">
        <v>10787</v>
      </c>
      <c r="E1935" s="581"/>
      <c r="F1935" s="2">
        <f>(1/S1935)*cnst_fish!$C$6</f>
        <v>6.7466914312309487E-2</v>
      </c>
      <c r="G1935" s="2">
        <f t="shared" si="282"/>
        <v>1</v>
      </c>
      <c r="H1935" s="2">
        <f t="shared" si="282"/>
        <v>0.36449057933102513</v>
      </c>
      <c r="I1935" s="2">
        <f t="shared" si="276"/>
        <v>58276.859395752886</v>
      </c>
      <c r="J1935" s="389">
        <f t="shared" si="277"/>
        <v>0</v>
      </c>
      <c r="L1935" s="721">
        <v>1046676</v>
      </c>
      <c r="M1935" s="581"/>
      <c r="N1935" s="585" t="s">
        <v>2313</v>
      </c>
      <c r="O1935" s="586" t="s">
        <v>4699</v>
      </c>
      <c r="P1935" s="233">
        <f t="shared" si="278"/>
        <v>10787</v>
      </c>
      <c r="Q1935" s="233">
        <f t="shared" si="279"/>
        <v>1046676</v>
      </c>
      <c r="R1935" s="2">
        <f t="shared" si="280"/>
        <v>3.65</v>
      </c>
      <c r="S1935" s="2">
        <f>(1/9)*cnst_fish!$C$7*(1/cnst_fish!$C$8)^(R1935-1)</f>
        <v>62.993839918725584</v>
      </c>
      <c r="T1935" s="682">
        <f t="shared" si="281"/>
        <v>5654676.0067589739</v>
      </c>
      <c r="W1935" s="818"/>
      <c r="X1935" s="818"/>
      <c r="Y1935" s="819"/>
      <c r="Z1935" s="820"/>
      <c r="AA1935" s="820"/>
      <c r="AB1935" s="821"/>
      <c r="AC1935" s="821"/>
      <c r="AD1935" s="253"/>
      <c r="AE1935" s="253"/>
    </row>
    <row r="1936" spans="1:31" ht="12.75" customHeight="1">
      <c r="A1936" t="s">
        <v>3504</v>
      </c>
      <c r="B1936" t="s">
        <v>381</v>
      </c>
      <c r="C1936">
        <v>3276</v>
      </c>
      <c r="D1936" s="581"/>
      <c r="E1936" s="581"/>
      <c r="F1936" s="2">
        <f>(1/S1936)*cnst_fish!$C$6</f>
        <v>6.7466914312309487E-2</v>
      </c>
      <c r="G1936" s="2">
        <f t="shared" si="282"/>
        <v>1</v>
      </c>
      <c r="H1936" s="2">
        <f t="shared" si="282"/>
        <v>0.36449057933102513</v>
      </c>
      <c r="I1936" s="2">
        <f t="shared" si="276"/>
        <v>0</v>
      </c>
      <c r="J1936" s="389">
        <f t="shared" si="277"/>
        <v>0</v>
      </c>
      <c r="L1936" s="721">
        <v>313</v>
      </c>
      <c r="M1936" s="581"/>
      <c r="N1936" s="585" t="s">
        <v>2313</v>
      </c>
      <c r="O1936" s="586" t="s">
        <v>4699</v>
      </c>
      <c r="P1936" s="233">
        <f t="shared" si="278"/>
        <v>0</v>
      </c>
      <c r="Q1936" s="233">
        <f t="shared" si="279"/>
        <v>313</v>
      </c>
      <c r="R1936" s="2">
        <f t="shared" si="280"/>
        <v>3.65</v>
      </c>
      <c r="S1936" s="2">
        <f>(1/9)*cnst_fish!$C$7*(1/cnst_fish!$C$8)^(R1936-1)</f>
        <v>62.993839918725584</v>
      </c>
      <c r="T1936" s="682">
        <f t="shared" si="281"/>
        <v>1690.9851664847181</v>
      </c>
      <c r="W1936" s="818"/>
      <c r="X1936" s="818"/>
      <c r="Y1936" s="819"/>
      <c r="Z1936" s="820"/>
      <c r="AA1936" s="820"/>
      <c r="AB1936" s="821"/>
      <c r="AC1936" s="821"/>
      <c r="AD1936" s="253"/>
      <c r="AE1936" s="253"/>
    </row>
    <row r="1937" spans="1:31" ht="12.75" customHeight="1">
      <c r="A1937" t="s">
        <v>4319</v>
      </c>
      <c r="B1937" t="s">
        <v>3907</v>
      </c>
      <c r="C1937">
        <v>3000</v>
      </c>
      <c r="D1937" s="581"/>
      <c r="E1937" s="581"/>
      <c r="F1937" s="2">
        <f>(1/S1937)*cnst_fish!$C$6</f>
        <v>6.9038420626592392E-2</v>
      </c>
      <c r="G1937" s="2">
        <f t="shared" si="282"/>
        <v>1</v>
      </c>
      <c r="H1937" s="2">
        <f t="shared" si="282"/>
        <v>0.36449057933102513</v>
      </c>
      <c r="I1937" s="2">
        <f t="shared" si="276"/>
        <v>0</v>
      </c>
      <c r="J1937" s="389">
        <f t="shared" si="277"/>
        <v>0</v>
      </c>
      <c r="L1937" s="721">
        <v>2347</v>
      </c>
      <c r="M1937" s="581"/>
      <c r="N1937" s="585" t="s">
        <v>1738</v>
      </c>
      <c r="O1937" s="586" t="s">
        <v>4699</v>
      </c>
      <c r="P1937" s="233">
        <f t="shared" si="278"/>
        <v>0</v>
      </c>
      <c r="Q1937" s="233">
        <f t="shared" si="279"/>
        <v>2347</v>
      </c>
      <c r="R1937" s="2">
        <f t="shared" si="280"/>
        <v>3.64</v>
      </c>
      <c r="S1937" s="2">
        <f>(1/9)*cnst_fish!$C$7*(1/cnst_fish!$C$8)^(R1937-1)</f>
        <v>61.559925059510611</v>
      </c>
      <c r="T1937" s="682">
        <f t="shared" si="281"/>
        <v>12391.062569591981</v>
      </c>
      <c r="W1937" s="818"/>
      <c r="X1937" s="818"/>
      <c r="Y1937" s="819"/>
      <c r="Z1937" s="820"/>
      <c r="AA1937" s="820"/>
      <c r="AB1937" s="821"/>
      <c r="AC1937" s="821"/>
      <c r="AD1937" s="253"/>
      <c r="AE1937" s="253"/>
    </row>
    <row r="1938" spans="1:31" ht="12.75" customHeight="1">
      <c r="A1938" t="s">
        <v>4181</v>
      </c>
      <c r="B1938" t="s">
        <v>3908</v>
      </c>
      <c r="C1938">
        <v>15152</v>
      </c>
      <c r="D1938" s="581"/>
      <c r="E1938" s="581"/>
      <c r="F1938" s="2">
        <f>(1/S1938)*cnst_fish!$C$6</f>
        <v>9.979087888316248E-3</v>
      </c>
      <c r="G1938" s="2">
        <f t="shared" si="282"/>
        <v>1</v>
      </c>
      <c r="H1938" s="2">
        <f t="shared" si="282"/>
        <v>0.36449057933102513</v>
      </c>
      <c r="I1938" s="2">
        <f t="shared" si="276"/>
        <v>0</v>
      </c>
      <c r="J1938" s="389">
        <f t="shared" si="277"/>
        <v>0</v>
      </c>
      <c r="L1938" s="721">
        <v>42769</v>
      </c>
      <c r="M1938" s="581"/>
      <c r="N1938" s="585" t="s">
        <v>1738</v>
      </c>
      <c r="O1938" s="586" t="s">
        <v>4699</v>
      </c>
      <c r="P1938" s="233">
        <f t="shared" si="278"/>
        <v>0</v>
      </c>
      <c r="Q1938" s="233">
        <f t="shared" si="279"/>
        <v>42769</v>
      </c>
      <c r="R1938" s="2">
        <f t="shared" si="280"/>
        <v>4.4800000000000004</v>
      </c>
      <c r="S1938" s="2">
        <f>(1/9)*cnst_fish!$C$7*(1/cnst_fish!$C$8)^(R1938-1)</f>
        <v>425.89062723618264</v>
      </c>
      <c r="T1938" s="682">
        <f t="shared" si="281"/>
        <v>1562156.5579816632</v>
      </c>
      <c r="W1938" s="818"/>
      <c r="X1938" s="818"/>
      <c r="Y1938" s="819"/>
      <c r="Z1938" s="820"/>
      <c r="AA1938" s="820"/>
      <c r="AB1938" s="821"/>
      <c r="AC1938" s="821"/>
      <c r="AD1938" s="253"/>
      <c r="AE1938" s="253"/>
    </row>
    <row r="1939" spans="1:31" ht="12.75" customHeight="1">
      <c r="A1939" t="s">
        <v>232</v>
      </c>
      <c r="B1939" t="s">
        <v>349</v>
      </c>
      <c r="C1939">
        <v>15153</v>
      </c>
      <c r="D1939" s="581"/>
      <c r="E1939" s="581"/>
      <c r="F1939" s="2">
        <f>(1/S1939)*cnst_fish!$C$6</f>
        <v>9.5299549485983424E-3</v>
      </c>
      <c r="G1939" s="2">
        <f t="shared" si="282"/>
        <v>1</v>
      </c>
      <c r="H1939" s="2">
        <f t="shared" si="282"/>
        <v>0.36449057933102513</v>
      </c>
      <c r="I1939" s="2">
        <f t="shared" si="276"/>
        <v>0</v>
      </c>
      <c r="J1939" s="389">
        <f t="shared" si="277"/>
        <v>0</v>
      </c>
      <c r="L1939" s="721">
        <v>122</v>
      </c>
      <c r="M1939" s="581"/>
      <c r="N1939" s="585" t="s">
        <v>1738</v>
      </c>
      <c r="O1939" s="586" t="s">
        <v>4699</v>
      </c>
      <c r="P1939" s="233">
        <f t="shared" si="278"/>
        <v>0</v>
      </c>
      <c r="Q1939" s="233">
        <f t="shared" si="279"/>
        <v>122</v>
      </c>
      <c r="R1939" s="2">
        <f t="shared" si="280"/>
        <v>4.5</v>
      </c>
      <c r="S1939" s="2">
        <f>(1/9)*cnst_fish!$C$7*(1/cnst_fish!$C$8)^(R1939-1)</f>
        <v>445.96223412630997</v>
      </c>
      <c r="T1939" s="682">
        <f t="shared" si="281"/>
        <v>4666.1134200771185</v>
      </c>
      <c r="W1939" s="818"/>
      <c r="X1939" s="818"/>
      <c r="Y1939" s="819"/>
      <c r="Z1939" s="820"/>
      <c r="AA1939" s="820"/>
      <c r="AB1939" s="821"/>
      <c r="AC1939" s="821"/>
      <c r="AD1939" s="253"/>
      <c r="AE1939" s="253"/>
    </row>
    <row r="1940" spans="1:31" ht="12.75" customHeight="1">
      <c r="A1940" t="s">
        <v>1247</v>
      </c>
      <c r="B1940" t="s">
        <v>350</v>
      </c>
      <c r="C1940">
        <v>2324</v>
      </c>
      <c r="D1940" s="581"/>
      <c r="E1940" s="581"/>
      <c r="F1940" s="2">
        <f>(1/S1940)*cnst_fish!$C$6</f>
        <v>9.979087888316248E-3</v>
      </c>
      <c r="G1940" s="2">
        <f t="shared" si="282"/>
        <v>1</v>
      </c>
      <c r="H1940" s="2">
        <f t="shared" si="282"/>
        <v>0.36449057933102513</v>
      </c>
      <c r="I1940" s="2">
        <f t="shared" si="276"/>
        <v>0</v>
      </c>
      <c r="J1940" s="389">
        <f t="shared" si="277"/>
        <v>0</v>
      </c>
      <c r="L1940" s="721">
        <v>39188.880000000005</v>
      </c>
      <c r="M1940" s="581"/>
      <c r="N1940" s="585" t="s">
        <v>1738</v>
      </c>
      <c r="O1940" s="586" t="s">
        <v>4699</v>
      </c>
      <c r="P1940" s="233">
        <f t="shared" si="278"/>
        <v>0</v>
      </c>
      <c r="Q1940" s="233">
        <f t="shared" si="279"/>
        <v>39188.880000000005</v>
      </c>
      <c r="R1940" s="2">
        <f t="shared" si="280"/>
        <v>4.4800000000000004</v>
      </c>
      <c r="S1940" s="2">
        <f>(1/9)*cnst_fish!$C$7*(1/cnst_fish!$C$8)^(R1940-1)</f>
        <v>425.89062723618264</v>
      </c>
      <c r="T1940" s="682">
        <f t="shared" si="281"/>
        <v>1431391.0985049088</v>
      </c>
      <c r="W1940" s="818"/>
      <c r="X1940" s="818"/>
      <c r="Y1940" s="819"/>
      <c r="Z1940" s="820"/>
      <c r="AA1940" s="820"/>
      <c r="AB1940" s="821"/>
      <c r="AC1940" s="821"/>
      <c r="AD1940" s="253"/>
      <c r="AE1940" s="253"/>
    </row>
    <row r="1941" spans="1:31" ht="12.75" customHeight="1">
      <c r="A1941" t="s">
        <v>2213</v>
      </c>
      <c r="B1941" t="s">
        <v>351</v>
      </c>
      <c r="C1941">
        <v>15155</v>
      </c>
      <c r="D1941" s="581"/>
      <c r="E1941" s="581"/>
      <c r="F1941" s="2">
        <f>(1/S1941)*cnst_fish!$C$6</f>
        <v>1.1196720767792065E-2</v>
      </c>
      <c r="G1941" s="2">
        <f t="shared" si="282"/>
        <v>1</v>
      </c>
      <c r="H1941" s="2">
        <f t="shared" si="282"/>
        <v>0.36449057933102513</v>
      </c>
      <c r="I1941" s="2">
        <f t="shared" si="276"/>
        <v>0</v>
      </c>
      <c r="J1941" s="389">
        <f t="shared" si="277"/>
        <v>0</v>
      </c>
      <c r="L1941" s="721">
        <v>271</v>
      </c>
      <c r="M1941" s="581"/>
      <c r="N1941" s="585" t="s">
        <v>1738</v>
      </c>
      <c r="O1941" s="586" t="s">
        <v>4699</v>
      </c>
      <c r="P1941" s="233">
        <f t="shared" si="278"/>
        <v>0</v>
      </c>
      <c r="Q1941" s="233">
        <f t="shared" si="279"/>
        <v>271</v>
      </c>
      <c r="R1941" s="2">
        <f t="shared" si="280"/>
        <v>4.43</v>
      </c>
      <c r="S1941" s="2">
        <f>(1/9)*cnst_fish!$C$7*(1/cnst_fish!$C$8)^(R1941-1)</f>
        <v>379.57542106661629</v>
      </c>
      <c r="T1941" s="682">
        <f t="shared" si="281"/>
        <v>8821.9532349904366</v>
      </c>
      <c r="W1941" s="818"/>
      <c r="X1941" s="818"/>
      <c r="Y1941" s="819"/>
      <c r="Z1941" s="820"/>
      <c r="AA1941" s="820"/>
      <c r="AB1941" s="821"/>
      <c r="AC1941" s="821"/>
      <c r="AD1941" s="253"/>
      <c r="AE1941" s="253"/>
    </row>
    <row r="1942" spans="1:31" ht="12.75" customHeight="1">
      <c r="A1942" t="s">
        <v>3582</v>
      </c>
      <c r="B1942" t="s">
        <v>1515</v>
      </c>
      <c r="C1942">
        <v>3286</v>
      </c>
      <c r="D1942" s="581"/>
      <c r="E1942" s="581"/>
      <c r="F1942" s="2">
        <f>(1/S1942)*cnst_fish!$C$6</f>
        <v>0.14760152601876345</v>
      </c>
      <c r="G1942" s="2">
        <f t="shared" si="282"/>
        <v>1</v>
      </c>
      <c r="H1942" s="2">
        <f t="shared" si="282"/>
        <v>0.36449057933102513</v>
      </c>
      <c r="I1942" s="2">
        <f t="shared" si="276"/>
        <v>0</v>
      </c>
      <c r="J1942" s="389">
        <f t="shared" si="277"/>
        <v>0</v>
      </c>
      <c r="L1942" s="721">
        <v>1919</v>
      </c>
      <c r="M1942" s="581"/>
      <c r="N1942" s="585" t="s">
        <v>2313</v>
      </c>
      <c r="O1942" s="586" t="s">
        <v>4699</v>
      </c>
      <c r="P1942" s="233">
        <f t="shared" si="278"/>
        <v>0</v>
      </c>
      <c r="Q1942" s="233">
        <f t="shared" si="279"/>
        <v>1919</v>
      </c>
      <c r="R1942" s="2">
        <f t="shared" si="280"/>
        <v>3.31</v>
      </c>
      <c r="S1942" s="2">
        <f>(1/9)*cnst_fish!$C$7*(1/cnst_fish!$C$8)^(R1942-1)</f>
        <v>28.793740245339542</v>
      </c>
      <c r="T1942" s="682">
        <f t="shared" si="281"/>
        <v>4738.8224268583817</v>
      </c>
      <c r="W1942" s="818"/>
      <c r="X1942" s="818"/>
      <c r="Y1942" s="819"/>
      <c r="Z1942" s="820"/>
      <c r="AA1942" s="820"/>
      <c r="AB1942" s="821"/>
      <c r="AC1942" s="821"/>
      <c r="AD1942" s="253"/>
      <c r="AE1942" s="253"/>
    </row>
    <row r="1943" spans="1:31" ht="12.75" customHeight="1">
      <c r="A1943" t="s">
        <v>2455</v>
      </c>
      <c r="B1943" t="s">
        <v>1516</v>
      </c>
      <c r="C1943">
        <v>2483</v>
      </c>
      <c r="D1943" s="581"/>
      <c r="E1943" s="581"/>
      <c r="F1943" s="2">
        <f>(1/S1943)*cnst_fish!$C$6</f>
        <v>9.5299549485983424E-3</v>
      </c>
      <c r="G1943" s="2">
        <f t="shared" si="282"/>
        <v>1</v>
      </c>
      <c r="H1943" s="2">
        <f t="shared" si="282"/>
        <v>0.36449057933102513</v>
      </c>
      <c r="I1943" s="2">
        <f t="shared" si="276"/>
        <v>0</v>
      </c>
      <c r="J1943" s="389">
        <f t="shared" si="277"/>
        <v>0</v>
      </c>
      <c r="L1943" s="721">
        <v>10314</v>
      </c>
      <c r="M1943" s="581"/>
      <c r="N1943" s="585" t="s">
        <v>2313</v>
      </c>
      <c r="O1943" s="586" t="s">
        <v>4699</v>
      </c>
      <c r="P1943" s="233">
        <f t="shared" si="278"/>
        <v>0</v>
      </c>
      <c r="Q1943" s="233">
        <f t="shared" si="279"/>
        <v>10314</v>
      </c>
      <c r="R1943" s="2">
        <f t="shared" si="280"/>
        <v>4.5</v>
      </c>
      <c r="S1943" s="2">
        <f>(1/9)*cnst_fish!$C$7*(1/cnst_fish!$C$8)^(R1943-1)</f>
        <v>445.96223412630997</v>
      </c>
      <c r="T1943" s="682">
        <f t="shared" si="281"/>
        <v>394477.81815307698</v>
      </c>
      <c r="W1943" s="818"/>
      <c r="X1943" s="818"/>
      <c r="Y1943" s="819"/>
      <c r="Z1943" s="820"/>
      <c r="AA1943" s="820"/>
      <c r="AB1943" s="821"/>
      <c r="AC1943" s="821"/>
      <c r="AD1943" s="253"/>
      <c r="AE1943" s="253"/>
    </row>
    <row r="1944" spans="1:31" ht="12.75" customHeight="1">
      <c r="A1944" t="s">
        <v>3489</v>
      </c>
      <c r="B1944" t="s">
        <v>1517</v>
      </c>
      <c r="C1944">
        <v>3280</v>
      </c>
      <c r="D1944" s="581"/>
      <c r="E1944" s="581"/>
      <c r="F1944" s="2">
        <f>(1/S1944)*cnst_fish!$C$6</f>
        <v>9.5299549485983424E-3</v>
      </c>
      <c r="G1944" s="2">
        <f t="shared" si="282"/>
        <v>1</v>
      </c>
      <c r="H1944" s="2">
        <f t="shared" si="282"/>
        <v>0.36449057933102513</v>
      </c>
      <c r="I1944" s="2">
        <f t="shared" si="276"/>
        <v>0</v>
      </c>
      <c r="J1944" s="389">
        <f t="shared" si="277"/>
        <v>0</v>
      </c>
      <c r="L1944" s="721">
        <v>279994.07999999996</v>
      </c>
      <c r="M1944" s="581"/>
      <c r="N1944" s="585" t="s">
        <v>2313</v>
      </c>
      <c r="O1944" s="586" t="s">
        <v>4699</v>
      </c>
      <c r="P1944" s="233">
        <f t="shared" si="278"/>
        <v>0</v>
      </c>
      <c r="Q1944" s="233">
        <f t="shared" si="279"/>
        <v>279994.07999999996</v>
      </c>
      <c r="R1944" s="2">
        <f t="shared" si="280"/>
        <v>4.5</v>
      </c>
      <c r="S1944" s="2">
        <f>(1/9)*cnst_fish!$C$7*(1/cnst_fish!$C$8)^(R1944-1)</f>
        <v>445.96223412630997</v>
      </c>
      <c r="T1944" s="682">
        <f t="shared" si="281"/>
        <v>10708886.346148737</v>
      </c>
      <c r="W1944" s="818"/>
      <c r="X1944" s="818"/>
      <c r="Y1944" s="819"/>
      <c r="Z1944" s="820"/>
      <c r="AA1944" s="820"/>
      <c r="AB1944" s="821"/>
      <c r="AC1944" s="821"/>
      <c r="AD1944" s="253"/>
      <c r="AE1944" s="253"/>
    </row>
    <row r="1945" spans="1:31" ht="12.75" customHeight="1">
      <c r="A1945" t="s">
        <v>1416</v>
      </c>
      <c r="B1945" t="s">
        <v>1518</v>
      </c>
      <c r="C1945">
        <v>3281</v>
      </c>
      <c r="D1945" s="581"/>
      <c r="E1945" s="581"/>
      <c r="F1945" s="2">
        <f>(1/S1945)*cnst_fish!$C$6</f>
        <v>1.581578846116358E-2</v>
      </c>
      <c r="G1945" s="2">
        <f t="shared" si="282"/>
        <v>1</v>
      </c>
      <c r="H1945" s="2">
        <f t="shared" si="282"/>
        <v>0.36449057933102513</v>
      </c>
      <c r="I1945" s="2">
        <f t="shared" si="276"/>
        <v>0</v>
      </c>
      <c r="J1945" s="389">
        <f t="shared" si="277"/>
        <v>0</v>
      </c>
      <c r="L1945" s="721">
        <v>50822</v>
      </c>
      <c r="M1945" s="581"/>
      <c r="N1945" s="585" t="s">
        <v>2313</v>
      </c>
      <c r="O1945" s="586" t="s">
        <v>4699</v>
      </c>
      <c r="P1945" s="233">
        <f t="shared" si="278"/>
        <v>0</v>
      </c>
      <c r="Q1945" s="233">
        <f t="shared" si="279"/>
        <v>50822</v>
      </c>
      <c r="R1945" s="2">
        <f t="shared" si="280"/>
        <v>4.28</v>
      </c>
      <c r="S1945" s="2">
        <f>(1/9)*cnst_fish!$C$7*(1/cnst_fish!$C$8)^(R1945-1)</f>
        <v>268.71881919994547</v>
      </c>
      <c r="T1945" s="682">
        <f t="shared" si="281"/>
        <v>1171243.5499657993</v>
      </c>
      <c r="W1945" s="818"/>
      <c r="X1945" s="818"/>
      <c r="Y1945" s="819"/>
      <c r="Z1945" s="820"/>
      <c r="AA1945" s="820"/>
      <c r="AB1945" s="821"/>
      <c r="AC1945" s="821"/>
      <c r="AD1945" s="253"/>
      <c r="AE1945" s="253"/>
    </row>
    <row r="1946" spans="1:31" ht="12.75" customHeight="1">
      <c r="A1946" t="s">
        <v>4948</v>
      </c>
      <c r="B1946" t="s">
        <v>1519</v>
      </c>
      <c r="C1946">
        <v>2482</v>
      </c>
      <c r="D1946" s="581"/>
      <c r="E1946" s="581"/>
      <c r="F1946" s="2">
        <f>(1/S1946)*cnst_fish!$C$6</f>
        <v>9.5299549485983424E-3</v>
      </c>
      <c r="G1946" s="2">
        <f t="shared" si="282"/>
        <v>1</v>
      </c>
      <c r="H1946" s="2">
        <f t="shared" si="282"/>
        <v>0.36449057933102513</v>
      </c>
      <c r="I1946" s="2">
        <f t="shared" si="276"/>
        <v>0</v>
      </c>
      <c r="J1946" s="389">
        <f t="shared" si="277"/>
        <v>0</v>
      </c>
      <c r="L1946" s="721">
        <v>0</v>
      </c>
      <c r="M1946" s="581"/>
      <c r="N1946" s="585" t="s">
        <v>1738</v>
      </c>
      <c r="O1946" s="586" t="s">
        <v>4699</v>
      </c>
      <c r="P1946" s="233">
        <f t="shared" si="278"/>
        <v>0</v>
      </c>
      <c r="Q1946" s="233">
        <f t="shared" si="279"/>
        <v>0</v>
      </c>
      <c r="R1946" s="2">
        <f t="shared" si="280"/>
        <v>4.5</v>
      </c>
      <c r="S1946" s="2">
        <f>(1/9)*cnst_fish!$C$7*(1/cnst_fish!$C$8)^(R1946-1)</f>
        <v>445.96223412630997</v>
      </c>
      <c r="T1946" s="682">
        <f t="shared" si="281"/>
        <v>0</v>
      </c>
      <c r="W1946" s="818"/>
      <c r="X1946" s="818"/>
      <c r="Y1946" s="819"/>
      <c r="Z1946" s="820"/>
      <c r="AA1946" s="820"/>
      <c r="AB1946" s="821"/>
      <c r="AC1946" s="821"/>
      <c r="AD1946" s="253"/>
      <c r="AE1946" s="253"/>
    </row>
    <row r="1947" spans="1:31" ht="12.75" customHeight="1">
      <c r="A1947" t="s">
        <v>2092</v>
      </c>
      <c r="B1947" t="s">
        <v>3590</v>
      </c>
      <c r="C1947">
        <v>3282</v>
      </c>
      <c r="D1947" s="581"/>
      <c r="E1947" s="581"/>
      <c r="F1947" s="2">
        <f>(1/S1947)*cnst_fish!$C$6</f>
        <v>9.5299549485983424E-3</v>
      </c>
      <c r="G1947" s="2">
        <f t="shared" si="282"/>
        <v>1</v>
      </c>
      <c r="H1947" s="2">
        <f t="shared" si="282"/>
        <v>0.36449057933102513</v>
      </c>
      <c r="I1947" s="2">
        <f t="shared" si="276"/>
        <v>0</v>
      </c>
      <c r="J1947" s="389">
        <f t="shared" si="277"/>
        <v>0</v>
      </c>
      <c r="L1947" s="721">
        <v>11653</v>
      </c>
      <c r="M1947" s="581"/>
      <c r="N1947" s="585" t="s">
        <v>2313</v>
      </c>
      <c r="O1947" s="586" t="s">
        <v>4699</v>
      </c>
      <c r="P1947" s="233">
        <f t="shared" si="278"/>
        <v>0</v>
      </c>
      <c r="Q1947" s="233">
        <f t="shared" si="279"/>
        <v>11653</v>
      </c>
      <c r="R1947" s="2">
        <f t="shared" si="280"/>
        <v>4.5</v>
      </c>
      <c r="S1947" s="2">
        <f>(1/9)*cnst_fish!$C$7*(1/cnst_fish!$C$8)^(R1947-1)</f>
        <v>445.96223412630997</v>
      </c>
      <c r="T1947" s="682">
        <f t="shared" si="281"/>
        <v>445690.32527998899</v>
      </c>
      <c r="W1947" s="818"/>
      <c r="X1947" s="818"/>
      <c r="Y1947" s="819"/>
      <c r="Z1947" s="820"/>
      <c r="AA1947" s="820"/>
      <c r="AB1947" s="821"/>
      <c r="AC1947" s="821"/>
      <c r="AD1947" s="253"/>
      <c r="AE1947" s="253"/>
    </row>
    <row r="1948" spans="1:31" ht="12.75" customHeight="1">
      <c r="A1948" t="s">
        <v>4449</v>
      </c>
      <c r="B1948" t="s">
        <v>2873</v>
      </c>
      <c r="C1948">
        <v>3285</v>
      </c>
      <c r="D1948" s="581"/>
      <c r="E1948" s="581"/>
      <c r="F1948" s="2">
        <f>(1/S1948)*cnst_fish!$C$6</f>
        <v>9.5299549485983424E-3</v>
      </c>
      <c r="G1948" s="2">
        <f t="shared" ref="G1948:H1967" si="283">G$7</f>
        <v>1</v>
      </c>
      <c r="H1948" s="2">
        <f t="shared" si="283"/>
        <v>0.36449057933102513</v>
      </c>
      <c r="I1948" s="2">
        <f t="shared" si="276"/>
        <v>0</v>
      </c>
      <c r="J1948" s="389">
        <f t="shared" si="277"/>
        <v>0</v>
      </c>
      <c r="L1948" s="721">
        <v>48234</v>
      </c>
      <c r="M1948" s="581"/>
      <c r="N1948" s="585" t="s">
        <v>2313</v>
      </c>
      <c r="O1948" s="586" t="s">
        <v>4699</v>
      </c>
      <c r="P1948" s="233">
        <f t="shared" si="278"/>
        <v>0</v>
      </c>
      <c r="Q1948" s="233">
        <f t="shared" si="279"/>
        <v>48234</v>
      </c>
      <c r="R1948" s="2">
        <f t="shared" si="280"/>
        <v>4.5</v>
      </c>
      <c r="S1948" s="2">
        <f>(1/9)*cnst_fish!$C$7*(1/cnst_fish!$C$8)^(R1948-1)</f>
        <v>445.96223412630997</v>
      </c>
      <c r="T1948" s="682">
        <f t="shared" si="281"/>
        <v>1844797.6615081944</v>
      </c>
      <c r="W1948" s="818"/>
      <c r="X1948" s="818"/>
      <c r="Y1948" s="819"/>
      <c r="Z1948" s="820"/>
      <c r="AA1948" s="820"/>
      <c r="AB1948" s="821"/>
      <c r="AC1948" s="821"/>
      <c r="AD1948" s="253"/>
      <c r="AE1948" s="253"/>
    </row>
    <row r="1949" spans="1:31" ht="12.75" customHeight="1">
      <c r="A1949" t="s">
        <v>2527</v>
      </c>
      <c r="B1949" t="s">
        <v>2961</v>
      </c>
      <c r="C1949">
        <v>2484</v>
      </c>
      <c r="D1949" s="581"/>
      <c r="E1949" s="581"/>
      <c r="F1949" s="2">
        <f>(1/S1949)*cnst_fish!$C$6</f>
        <v>9.979087888316248E-3</v>
      </c>
      <c r="G1949" s="2">
        <f t="shared" si="283"/>
        <v>1</v>
      </c>
      <c r="H1949" s="2">
        <f t="shared" si="283"/>
        <v>0.36449057933102513</v>
      </c>
      <c r="I1949" s="2">
        <f t="shared" si="276"/>
        <v>0</v>
      </c>
      <c r="J1949" s="389">
        <f t="shared" si="277"/>
        <v>0</v>
      </c>
      <c r="L1949" s="721">
        <v>189</v>
      </c>
      <c r="M1949" s="581"/>
      <c r="N1949" s="585" t="s">
        <v>2313</v>
      </c>
      <c r="O1949" s="586" t="s">
        <v>4699</v>
      </c>
      <c r="P1949" s="233">
        <f t="shared" si="278"/>
        <v>0</v>
      </c>
      <c r="Q1949" s="233">
        <f t="shared" si="279"/>
        <v>189</v>
      </c>
      <c r="R1949" s="2">
        <f t="shared" si="280"/>
        <v>4.4800000000000004</v>
      </c>
      <c r="S1949" s="2">
        <f>(1/9)*cnst_fish!$C$7*(1/cnst_fish!$C$8)^(R1949-1)</f>
        <v>425.89062723618264</v>
      </c>
      <c r="T1949" s="682">
        <f t="shared" si="281"/>
        <v>6903.308224614424</v>
      </c>
      <c r="W1949" s="818"/>
      <c r="X1949" s="818"/>
      <c r="Y1949" s="819"/>
      <c r="Z1949" s="820"/>
      <c r="AA1949" s="820"/>
      <c r="AB1949" s="821"/>
      <c r="AC1949" s="821"/>
      <c r="AD1949" s="253"/>
      <c r="AE1949" s="253"/>
    </row>
    <row r="1950" spans="1:31" ht="12.75" customHeight="1">
      <c r="A1950" t="s">
        <v>8357</v>
      </c>
      <c r="B1950" t="s">
        <v>8358</v>
      </c>
      <c r="C1950">
        <v>2486</v>
      </c>
      <c r="D1950" s="581"/>
      <c r="E1950" s="581"/>
      <c r="F1950" s="2">
        <f>(1/S1950)*cnst_fish!$C$6</f>
        <v>9.5299549485983424E-3</v>
      </c>
      <c r="G1950" s="2">
        <f t="shared" si="283"/>
        <v>1</v>
      </c>
      <c r="H1950" s="2">
        <f t="shared" si="283"/>
        <v>0.36449057933102513</v>
      </c>
      <c r="I1950" s="2">
        <f t="shared" si="276"/>
        <v>0</v>
      </c>
      <c r="J1950" s="389">
        <f t="shared" si="277"/>
        <v>0</v>
      </c>
      <c r="L1950" s="721"/>
      <c r="M1950" s="581"/>
      <c r="N1950" s="585" t="s">
        <v>2313</v>
      </c>
      <c r="O1950" s="586" t="s">
        <v>4699</v>
      </c>
      <c r="P1950" s="233">
        <f t="shared" si="278"/>
        <v>0</v>
      </c>
      <c r="Q1950" s="233">
        <f t="shared" si="279"/>
        <v>0</v>
      </c>
      <c r="R1950" s="2">
        <f t="shared" si="280"/>
        <v>4.5</v>
      </c>
      <c r="S1950" s="2">
        <f>(1/9)*cnst_fish!$C$7*(1/cnst_fish!$C$8)^(R1950-1)</f>
        <v>445.96223412630997</v>
      </c>
      <c r="T1950" s="682">
        <f t="shared" si="281"/>
        <v>0</v>
      </c>
      <c r="W1950" s="818"/>
      <c r="X1950" s="818"/>
      <c r="Y1950" s="819"/>
      <c r="Z1950" s="820"/>
      <c r="AA1950" s="820"/>
      <c r="AB1950" s="821"/>
      <c r="AC1950" s="821"/>
      <c r="AD1950" s="253"/>
      <c r="AE1950" s="253"/>
    </row>
    <row r="1951" spans="1:31" ht="12.75" customHeight="1">
      <c r="A1951" t="s">
        <v>2070</v>
      </c>
      <c r="B1951" t="s">
        <v>2962</v>
      </c>
      <c r="C1951">
        <v>3283</v>
      </c>
      <c r="D1951" s="581"/>
      <c r="E1951" s="581"/>
      <c r="F1951" s="2">
        <f>(1/S1951)*cnst_fish!$C$6</f>
        <v>9.7519361156519751E-3</v>
      </c>
      <c r="G1951" s="2">
        <f t="shared" si="283"/>
        <v>1</v>
      </c>
      <c r="H1951" s="2">
        <f t="shared" si="283"/>
        <v>0.36449057933102513</v>
      </c>
      <c r="I1951" s="2">
        <f t="shared" si="276"/>
        <v>0</v>
      </c>
      <c r="J1951" s="389">
        <f t="shared" si="277"/>
        <v>0</v>
      </c>
      <c r="L1951" s="721">
        <v>16064</v>
      </c>
      <c r="M1951" s="581"/>
      <c r="N1951" s="585" t="s">
        <v>1738</v>
      </c>
      <c r="O1951" s="586" t="s">
        <v>4699</v>
      </c>
      <c r="P1951" s="233">
        <f t="shared" si="278"/>
        <v>0</v>
      </c>
      <c r="Q1951" s="233">
        <f t="shared" si="279"/>
        <v>16064</v>
      </c>
      <c r="R1951" s="2">
        <f t="shared" si="280"/>
        <v>4.49</v>
      </c>
      <c r="S1951" s="2">
        <f>(1/9)*cnst_fish!$C$7*(1/cnst_fish!$C$8)^(R1951-1)</f>
        <v>435.81089432883982</v>
      </c>
      <c r="T1951" s="682">
        <f t="shared" si="281"/>
        <v>600411.71280603029</v>
      </c>
      <c r="W1951" s="818"/>
      <c r="X1951" s="818"/>
      <c r="Y1951" s="819"/>
      <c r="Z1951" s="820"/>
      <c r="AA1951" s="820"/>
      <c r="AB1951" s="821"/>
      <c r="AC1951" s="821"/>
      <c r="AD1951" s="253"/>
      <c r="AE1951" s="253"/>
    </row>
    <row r="1952" spans="1:31" ht="12.75" customHeight="1">
      <c r="A1952" t="s">
        <v>1700</v>
      </c>
      <c r="B1952" t="s">
        <v>4018</v>
      </c>
      <c r="C1952">
        <v>2480</v>
      </c>
      <c r="D1952" s="581"/>
      <c r="E1952" s="581"/>
      <c r="F1952" s="2">
        <f>(1/S1952)*cnst_fish!$C$6</f>
        <v>1.4424170509541314E-2</v>
      </c>
      <c r="G1952" s="2">
        <f t="shared" si="283"/>
        <v>1</v>
      </c>
      <c r="H1952" s="2">
        <f t="shared" si="283"/>
        <v>0.36449057933102513</v>
      </c>
      <c r="I1952" s="2">
        <f t="shared" si="276"/>
        <v>0</v>
      </c>
      <c r="J1952" s="389">
        <f t="shared" si="277"/>
        <v>0</v>
      </c>
      <c r="L1952" s="721">
        <v>411118</v>
      </c>
      <c r="M1952" s="581"/>
      <c r="N1952" s="585" t="s">
        <v>1738</v>
      </c>
      <c r="O1952" s="586" t="s">
        <v>4699</v>
      </c>
      <c r="P1952" s="233">
        <f t="shared" si="278"/>
        <v>0</v>
      </c>
      <c r="Q1952" s="233">
        <f t="shared" si="279"/>
        <v>411118</v>
      </c>
      <c r="R1952" s="2">
        <f t="shared" si="280"/>
        <v>4.32</v>
      </c>
      <c r="S1952" s="2">
        <f>(1/9)*cnst_fish!$C$7*(1/cnst_fish!$C$8)^(R1952-1)</f>
        <v>294.64432614608279</v>
      </c>
      <c r="T1952" s="682">
        <f t="shared" si="281"/>
        <v>10388717.874229953</v>
      </c>
      <c r="W1952" s="818"/>
      <c r="X1952" s="818"/>
      <c r="Y1952" s="819"/>
      <c r="Z1952" s="820"/>
      <c r="AA1952" s="820"/>
      <c r="AB1952" s="821"/>
      <c r="AC1952" s="821"/>
      <c r="AD1952" s="253"/>
      <c r="AE1952" s="253"/>
    </row>
    <row r="1953" spans="1:31" ht="12.75" customHeight="1">
      <c r="A1953" t="s">
        <v>825</v>
      </c>
      <c r="B1953" t="s">
        <v>4019</v>
      </c>
      <c r="C1953">
        <v>2485</v>
      </c>
      <c r="D1953" s="581"/>
      <c r="E1953" s="581"/>
      <c r="F1953" s="2">
        <f>(1/S1953)*cnst_fish!$C$6</f>
        <v>1.6561163607618418E-2</v>
      </c>
      <c r="G1953" s="2">
        <f t="shared" si="283"/>
        <v>1</v>
      </c>
      <c r="H1953" s="2">
        <f t="shared" si="283"/>
        <v>0.36449057933102513</v>
      </c>
      <c r="I1953" s="2">
        <f t="shared" si="276"/>
        <v>0</v>
      </c>
      <c r="J1953" s="389">
        <f t="shared" si="277"/>
        <v>0</v>
      </c>
      <c r="L1953" s="721">
        <v>10929</v>
      </c>
      <c r="M1953" s="581"/>
      <c r="N1953" s="585" t="s">
        <v>2313</v>
      </c>
      <c r="O1953" s="586" t="s">
        <v>4699</v>
      </c>
      <c r="P1953" s="233">
        <f t="shared" si="278"/>
        <v>0</v>
      </c>
      <c r="Q1953" s="233">
        <f t="shared" si="279"/>
        <v>10929</v>
      </c>
      <c r="R1953" s="2">
        <f t="shared" si="280"/>
        <v>4.26</v>
      </c>
      <c r="S1953" s="2">
        <f>(1/9)*cnst_fish!$C$7*(1/cnst_fish!$C$8)^(R1953-1)</f>
        <v>256.62448006038221</v>
      </c>
      <c r="T1953" s="682">
        <f t="shared" si="281"/>
        <v>240533.67480025906</v>
      </c>
      <c r="W1953" s="818"/>
      <c r="X1953" s="818"/>
      <c r="Y1953" s="819"/>
      <c r="Z1953" s="820"/>
      <c r="AA1953" s="820"/>
      <c r="AB1953" s="821"/>
      <c r="AC1953" s="821"/>
      <c r="AD1953" s="253"/>
      <c r="AE1953" s="253"/>
    </row>
    <row r="1954" spans="1:31" ht="12.75" customHeight="1">
      <c r="A1954" t="s">
        <v>2918</v>
      </c>
      <c r="B1954" t="s">
        <v>352</v>
      </c>
      <c r="C1954">
        <v>3273</v>
      </c>
      <c r="D1954" s="581">
        <v>0</v>
      </c>
      <c r="E1954" s="581"/>
      <c r="F1954" s="2">
        <f>(1/S1954)*cnst_fish!$C$6</f>
        <v>1.9014759972289439E-2</v>
      </c>
      <c r="G1954" s="2">
        <f t="shared" si="283"/>
        <v>1</v>
      </c>
      <c r="H1954" s="2">
        <f t="shared" si="283"/>
        <v>0.36449057933102513</v>
      </c>
      <c r="I1954" s="2">
        <f t="shared" si="276"/>
        <v>0</v>
      </c>
      <c r="J1954" s="389">
        <f t="shared" si="277"/>
        <v>0</v>
      </c>
      <c r="L1954" s="721">
        <v>149864</v>
      </c>
      <c r="M1954" s="581"/>
      <c r="N1954" s="585" t="s">
        <v>2313</v>
      </c>
      <c r="O1954" s="586" t="s">
        <v>4699</v>
      </c>
      <c r="P1954" s="233">
        <f t="shared" si="278"/>
        <v>0</v>
      </c>
      <c r="Q1954" s="233">
        <f t="shared" si="279"/>
        <v>149864</v>
      </c>
      <c r="R1954" s="2">
        <f t="shared" si="280"/>
        <v>4.2</v>
      </c>
      <c r="S1954" s="2">
        <f>(1/9)*cnst_fish!$C$7*(1/cnst_fish!$C$8)^(R1954-1)</f>
        <v>223.51057842400343</v>
      </c>
      <c r="T1954" s="682">
        <f t="shared" si="281"/>
        <v>2872716.5770416949</v>
      </c>
      <c r="W1954" s="818"/>
      <c r="X1954" s="818"/>
      <c r="Y1954" s="819"/>
      <c r="Z1954" s="820"/>
      <c r="AA1954" s="820"/>
      <c r="AB1954" s="821"/>
      <c r="AC1954" s="821"/>
      <c r="AD1954" s="253"/>
      <c r="AE1954" s="253"/>
    </row>
    <row r="1955" spans="1:31" ht="12.75" customHeight="1">
      <c r="A1955" t="s">
        <v>3640</v>
      </c>
      <c r="B1955" t="s">
        <v>4020</v>
      </c>
      <c r="C1955">
        <v>3271</v>
      </c>
      <c r="D1955" s="581"/>
      <c r="E1955" s="581"/>
      <c r="F1955" s="2">
        <f>(1/S1955)*cnst_fish!$C$6</f>
        <v>0.11196720767792057</v>
      </c>
      <c r="G1955" s="2">
        <f t="shared" si="283"/>
        <v>1</v>
      </c>
      <c r="H1955" s="2">
        <f t="shared" si="283"/>
        <v>0.36449057933102513</v>
      </c>
      <c r="I1955" s="2">
        <f t="shared" si="276"/>
        <v>0</v>
      </c>
      <c r="J1955" s="389">
        <f t="shared" si="277"/>
        <v>0</v>
      </c>
      <c r="L1955" s="721">
        <v>392916.49</v>
      </c>
      <c r="M1955" s="581"/>
      <c r="N1955" s="585" t="s">
        <v>2843</v>
      </c>
      <c r="O1955" s="586" t="s">
        <v>4699</v>
      </c>
      <c r="P1955" s="233">
        <f t="shared" si="278"/>
        <v>0</v>
      </c>
      <c r="Q1955" s="233">
        <f t="shared" si="279"/>
        <v>392916.49</v>
      </c>
      <c r="R1955" s="2">
        <f t="shared" si="280"/>
        <v>3.43</v>
      </c>
      <c r="S1955" s="2">
        <f>(1/9)*cnst_fish!$C$7*(1/cnst_fish!$C$8)^(R1955-1)</f>
        <v>37.957542106661656</v>
      </c>
      <c r="T1955" s="682">
        <f t="shared" si="281"/>
        <v>1279074.1328548302</v>
      </c>
      <c r="W1955" s="818"/>
      <c r="X1955" s="818"/>
      <c r="Y1955" s="819"/>
      <c r="Z1955" s="820"/>
      <c r="AA1955" s="820"/>
      <c r="AB1955" s="821"/>
      <c r="AC1955" s="821"/>
      <c r="AD1955" s="253"/>
      <c r="AE1955" s="253"/>
    </row>
    <row r="1956" spans="1:31" ht="12.75" customHeight="1">
      <c r="A1956" t="s">
        <v>2598</v>
      </c>
      <c r="B1956" t="s">
        <v>1346</v>
      </c>
      <c r="C1956">
        <v>2558</v>
      </c>
      <c r="D1956" s="581"/>
      <c r="E1956" s="581"/>
      <c r="F1956" s="2">
        <f>(1/S1956)*cnst_fish!$C$6</f>
        <v>3.8823156944206696E-2</v>
      </c>
      <c r="G1956" s="2">
        <f t="shared" si="283"/>
        <v>1</v>
      </c>
      <c r="H1956" s="2">
        <f t="shared" si="283"/>
        <v>0.36449057933102513</v>
      </c>
      <c r="I1956" s="2">
        <f t="shared" si="276"/>
        <v>0</v>
      </c>
      <c r="J1956" s="389">
        <f t="shared" si="277"/>
        <v>0</v>
      </c>
      <c r="L1956" s="721">
        <v>666</v>
      </c>
      <c r="M1956" s="581"/>
      <c r="N1956" s="585" t="s">
        <v>1738</v>
      </c>
      <c r="O1956" s="586" t="s">
        <v>4681</v>
      </c>
      <c r="P1956" s="233">
        <f t="shared" si="278"/>
        <v>0</v>
      </c>
      <c r="Q1956" s="233">
        <f t="shared" si="279"/>
        <v>666</v>
      </c>
      <c r="R1956" s="2">
        <f t="shared" si="280"/>
        <v>3.89</v>
      </c>
      <c r="S1956" s="2">
        <f>(1/9)*cnst_fish!$C$7*(1/cnst_fish!$C$8)^(R1956-1)</f>
        <v>109.47074721686684</v>
      </c>
      <c r="T1956" s="682">
        <f t="shared" si="281"/>
        <v>6252.7301987142164</v>
      </c>
      <c r="W1956" s="818"/>
      <c r="X1956" s="818"/>
      <c r="Y1956" s="819"/>
      <c r="Z1956" s="820"/>
      <c r="AA1956" s="820"/>
      <c r="AB1956" s="821"/>
      <c r="AC1956" s="821"/>
      <c r="AD1956" s="253"/>
      <c r="AE1956" s="253"/>
    </row>
    <row r="1957" spans="1:31" ht="12.75" customHeight="1">
      <c r="A1957" t="s">
        <v>1017</v>
      </c>
      <c r="B1957" t="s">
        <v>2787</v>
      </c>
      <c r="C1957">
        <v>3370</v>
      </c>
      <c r="D1957" s="581"/>
      <c r="E1957" s="581"/>
      <c r="F1957" s="2">
        <f>(1/S1957)*cnst_fish!$C$6</f>
        <v>8.4935812883106004E-2</v>
      </c>
      <c r="G1957" s="2">
        <f t="shared" si="283"/>
        <v>1</v>
      </c>
      <c r="H1957" s="2">
        <f t="shared" si="283"/>
        <v>0.36449057933102513</v>
      </c>
      <c r="I1957" s="2">
        <f t="shared" si="276"/>
        <v>0</v>
      </c>
      <c r="J1957" s="389">
        <f t="shared" si="277"/>
        <v>0</v>
      </c>
      <c r="L1957" s="721">
        <v>16</v>
      </c>
      <c r="M1957" s="581"/>
      <c r="N1957" s="585" t="s">
        <v>1739</v>
      </c>
      <c r="O1957" s="586" t="s">
        <v>4681</v>
      </c>
      <c r="P1957" s="233">
        <f t="shared" si="278"/>
        <v>0</v>
      </c>
      <c r="Q1957" s="233">
        <f t="shared" si="279"/>
        <v>16</v>
      </c>
      <c r="R1957" s="2">
        <f t="shared" si="280"/>
        <v>3.55</v>
      </c>
      <c r="S1957" s="2">
        <f>(1/9)*cnst_fish!$C$7*(1/cnst_fish!$C$8)^(R1957-1)</f>
        <v>50.037785661145278</v>
      </c>
      <c r="T1957" s="682">
        <f t="shared" si="281"/>
        <v>68.661840881214133</v>
      </c>
      <c r="W1957" s="818"/>
      <c r="X1957" s="818"/>
      <c r="Y1957" s="819"/>
      <c r="Z1957" s="820"/>
      <c r="AA1957" s="820"/>
      <c r="AB1957" s="821"/>
      <c r="AC1957" s="821"/>
      <c r="AD1957" s="253"/>
      <c r="AE1957" s="253"/>
    </row>
    <row r="1958" spans="1:31" ht="12.75" customHeight="1">
      <c r="A1958" t="s">
        <v>731</v>
      </c>
      <c r="B1958" t="s">
        <v>2788</v>
      </c>
      <c r="C1958">
        <v>2562</v>
      </c>
      <c r="D1958" s="581"/>
      <c r="E1958" s="581"/>
      <c r="F1958" s="2">
        <f>(1/S1958)*cnst_fish!$C$6</f>
        <v>4.8875458843134996E-2</v>
      </c>
      <c r="G1958" s="2">
        <f t="shared" si="283"/>
        <v>1</v>
      </c>
      <c r="H1958" s="2">
        <f t="shared" si="283"/>
        <v>0.36449057933102513</v>
      </c>
      <c r="I1958" s="2">
        <f t="shared" si="276"/>
        <v>0</v>
      </c>
      <c r="J1958" s="389">
        <f t="shared" si="277"/>
        <v>0</v>
      </c>
      <c r="L1958" s="721">
        <v>2587</v>
      </c>
      <c r="M1958" s="581"/>
      <c r="N1958" s="585" t="s">
        <v>1738</v>
      </c>
      <c r="O1958" s="586" t="s">
        <v>4681</v>
      </c>
      <c r="P1958" s="233">
        <f t="shared" si="278"/>
        <v>0</v>
      </c>
      <c r="Q1958" s="233">
        <f t="shared" si="279"/>
        <v>2587</v>
      </c>
      <c r="R1958" s="2">
        <f t="shared" si="280"/>
        <v>3.79</v>
      </c>
      <c r="S1958" s="2">
        <f>(1/9)*cnst_fish!$C$7*(1/cnst_fish!$C$8)^(R1958-1)</f>
        <v>86.955705390721903</v>
      </c>
      <c r="T1958" s="682">
        <f t="shared" si="281"/>
        <v>19292.65015712085</v>
      </c>
      <c r="W1958" s="818"/>
      <c r="X1958" s="818"/>
      <c r="Y1958" s="819"/>
      <c r="Z1958" s="820"/>
      <c r="AA1958" s="820"/>
      <c r="AB1958" s="821"/>
      <c r="AC1958" s="821"/>
      <c r="AD1958" s="253"/>
      <c r="AE1958" s="253"/>
    </row>
    <row r="1959" spans="1:31" ht="12.75" customHeight="1">
      <c r="A1959" t="s">
        <v>8903</v>
      </c>
      <c r="B1959" t="s">
        <v>8904</v>
      </c>
      <c r="C1959">
        <v>19316</v>
      </c>
      <c r="D1959" s="581"/>
      <c r="E1959" s="581"/>
      <c r="F1959" s="2">
        <f>(1/S1959)*cnst_fish!$C$6</f>
        <v>3.7939434000887833E-2</v>
      </c>
      <c r="G1959" s="2">
        <f t="shared" si="283"/>
        <v>1</v>
      </c>
      <c r="H1959" s="2">
        <f t="shared" si="283"/>
        <v>0.36449057933102513</v>
      </c>
      <c r="I1959" s="2">
        <f t="shared" si="276"/>
        <v>0</v>
      </c>
      <c r="J1959" s="389">
        <f t="shared" si="277"/>
        <v>0</v>
      </c>
      <c r="L1959" s="721">
        <v>17</v>
      </c>
      <c r="M1959" s="581"/>
      <c r="N1959" s="585" t="s">
        <v>4282</v>
      </c>
      <c r="O1959" s="586" t="s">
        <v>4681</v>
      </c>
      <c r="P1959" s="233">
        <f t="shared" si="278"/>
        <v>0</v>
      </c>
      <c r="Q1959" s="233">
        <f t="shared" si="279"/>
        <v>17</v>
      </c>
      <c r="R1959" s="2">
        <f t="shared" si="280"/>
        <v>3.9</v>
      </c>
      <c r="S1959" s="2">
        <f>(1/9)*cnst_fish!$C$7*(1/cnst_fish!$C$8)^(R1959-1)</f>
        <v>112.02064848675771</v>
      </c>
      <c r="T1959" s="682">
        <f t="shared" si="281"/>
        <v>163.32188425590178</v>
      </c>
      <c r="W1959" s="818"/>
      <c r="X1959" s="818"/>
      <c r="Y1959" s="819"/>
      <c r="Z1959" s="820"/>
      <c r="AA1959" s="820"/>
      <c r="AB1959" s="821"/>
      <c r="AC1959" s="821"/>
      <c r="AD1959" s="253"/>
      <c r="AE1959" s="253"/>
    </row>
    <row r="1960" spans="1:31" ht="12.75" customHeight="1">
      <c r="A1960" t="s">
        <v>8905</v>
      </c>
      <c r="B1960" t="s">
        <v>8906</v>
      </c>
      <c r="C1960">
        <v>15171</v>
      </c>
      <c r="D1960" s="581"/>
      <c r="E1960" s="581"/>
      <c r="F1960" s="2">
        <f>(1/S1960)*cnst_fish!$C$6</f>
        <v>6.0129950673834844E-2</v>
      </c>
      <c r="G1960" s="2">
        <f t="shared" si="283"/>
        <v>1</v>
      </c>
      <c r="H1960" s="2">
        <f t="shared" si="283"/>
        <v>0.36449057933102513</v>
      </c>
      <c r="I1960" s="2">
        <f t="shared" si="276"/>
        <v>0</v>
      </c>
      <c r="J1960" s="389">
        <f t="shared" si="277"/>
        <v>0</v>
      </c>
      <c r="L1960" s="721">
        <v>45</v>
      </c>
      <c r="M1960" s="581"/>
      <c r="N1960" s="585" t="s">
        <v>4282</v>
      </c>
      <c r="O1960" s="586" t="s">
        <v>4681</v>
      </c>
      <c r="P1960" s="233">
        <f t="shared" si="278"/>
        <v>0</v>
      </c>
      <c r="Q1960" s="233">
        <f t="shared" si="279"/>
        <v>45</v>
      </c>
      <c r="R1960" s="2">
        <f t="shared" si="280"/>
        <v>3.7</v>
      </c>
      <c r="S1960" s="2">
        <f>(1/9)*cnst_fish!$C$7*(1/cnst_fish!$C$8)^(R1960-1)</f>
        <v>70.680250896153822</v>
      </c>
      <c r="T1960" s="682">
        <f t="shared" si="281"/>
        <v>272.77714160895511</v>
      </c>
      <c r="W1960" s="818"/>
      <c r="X1960" s="818"/>
      <c r="Y1960" s="819"/>
      <c r="Z1960" s="820"/>
      <c r="AA1960" s="820"/>
      <c r="AB1960" s="821"/>
      <c r="AC1960" s="821"/>
      <c r="AD1960" s="253"/>
      <c r="AE1960" s="253"/>
    </row>
    <row r="1961" spans="1:31" ht="12.75" customHeight="1">
      <c r="A1961" t="s">
        <v>6260</v>
      </c>
      <c r="B1961" t="s">
        <v>6259</v>
      </c>
      <c r="C1961">
        <v>3331</v>
      </c>
      <c r="D1961" s="581"/>
      <c r="E1961" s="581"/>
      <c r="F1961" s="2">
        <f>(1/S1961)*cnst_fish!$C$6</f>
        <v>3.7939434000887833E-2</v>
      </c>
      <c r="G1961" s="2">
        <f t="shared" si="283"/>
        <v>1</v>
      </c>
      <c r="H1961" s="2">
        <f t="shared" si="283"/>
        <v>0.36449057933102513</v>
      </c>
      <c r="I1961" s="2">
        <f t="shared" si="276"/>
        <v>0</v>
      </c>
      <c r="J1961" s="389">
        <f t="shared" si="277"/>
        <v>0</v>
      </c>
      <c r="L1961" s="721">
        <v>123</v>
      </c>
      <c r="M1961" s="581"/>
      <c r="N1961" s="585" t="s">
        <v>1738</v>
      </c>
      <c r="O1961" s="586" t="s">
        <v>4681</v>
      </c>
      <c r="P1961" s="233">
        <f t="shared" si="278"/>
        <v>0</v>
      </c>
      <c r="Q1961" s="233">
        <f t="shared" si="279"/>
        <v>123</v>
      </c>
      <c r="R1961" s="2">
        <f t="shared" si="280"/>
        <v>3.9</v>
      </c>
      <c r="S1961" s="2">
        <f>(1/9)*cnst_fish!$C$7*(1/cnst_fish!$C$8)^(R1961-1)</f>
        <v>112.02064848675771</v>
      </c>
      <c r="T1961" s="682">
        <f t="shared" si="281"/>
        <v>1181.6818684397599</v>
      </c>
      <c r="W1961" s="822"/>
      <c r="X1961" s="822"/>
      <c r="Y1961" s="819"/>
      <c r="Z1961" s="820"/>
      <c r="AA1961" s="820"/>
      <c r="AB1961" s="821"/>
      <c r="AC1961" s="821"/>
      <c r="AD1961" s="253"/>
      <c r="AE1961" s="253"/>
    </row>
    <row r="1962" spans="1:31" ht="12.75" customHeight="1">
      <c r="A1962" t="s">
        <v>3355</v>
      </c>
      <c r="B1962" t="s">
        <v>1145</v>
      </c>
      <c r="C1962">
        <v>2527</v>
      </c>
      <c r="D1962" s="581"/>
      <c r="E1962" s="581"/>
      <c r="F1962" s="2">
        <f>(1/S1962)*cnst_fish!$C$6</f>
        <v>1.6184185499703532E-2</v>
      </c>
      <c r="G1962" s="2">
        <f t="shared" si="283"/>
        <v>1</v>
      </c>
      <c r="H1962" s="2">
        <f t="shared" si="283"/>
        <v>0.36449057933102513</v>
      </c>
      <c r="I1962" s="2">
        <f t="shared" si="276"/>
        <v>0</v>
      </c>
      <c r="J1962" s="389">
        <f t="shared" si="277"/>
        <v>0</v>
      </c>
      <c r="L1962" s="721">
        <v>502</v>
      </c>
      <c r="M1962" s="581"/>
      <c r="N1962" s="585" t="s">
        <v>1738</v>
      </c>
      <c r="O1962" s="586" t="s">
        <v>4681</v>
      </c>
      <c r="P1962" s="233">
        <f t="shared" si="278"/>
        <v>0</v>
      </c>
      <c r="Q1962" s="233">
        <f t="shared" si="279"/>
        <v>502</v>
      </c>
      <c r="R1962" s="2">
        <f t="shared" si="280"/>
        <v>4.2699999999999996</v>
      </c>
      <c r="S1962" s="2">
        <f>(1/9)*cnst_fish!$C$7*(1/cnst_fish!$C$8)^(R1962-1)</f>
        <v>262.60203209348123</v>
      </c>
      <c r="T1962" s="682">
        <f t="shared" si="281"/>
        <v>11305.744785706171</v>
      </c>
      <c r="W1962" s="818"/>
      <c r="X1962" s="818"/>
      <c r="Y1962" s="819"/>
      <c r="Z1962" s="820"/>
      <c r="AA1962" s="820"/>
      <c r="AB1962" s="821"/>
      <c r="AC1962" s="821"/>
      <c r="AD1962" s="253"/>
      <c r="AE1962" s="253"/>
    </row>
    <row r="1963" spans="1:31" ht="12.75" customHeight="1">
      <c r="A1963" t="s">
        <v>52</v>
      </c>
      <c r="B1963" t="s">
        <v>1932</v>
      </c>
      <c r="C1963">
        <v>15174</v>
      </c>
      <c r="D1963" s="581"/>
      <c r="E1963" s="581"/>
      <c r="F1963" s="2">
        <f>(1/S1963)*cnst_fish!$C$6</f>
        <v>7.2292101150450983E-2</v>
      </c>
      <c r="G1963" s="2">
        <f t="shared" si="283"/>
        <v>1</v>
      </c>
      <c r="H1963" s="2">
        <f t="shared" si="283"/>
        <v>0.36449057933102513</v>
      </c>
      <c r="I1963" s="2">
        <f t="shared" si="276"/>
        <v>0</v>
      </c>
      <c r="J1963" s="389">
        <f t="shared" si="277"/>
        <v>0</v>
      </c>
      <c r="L1963" s="721">
        <v>50</v>
      </c>
      <c r="M1963" s="581"/>
      <c r="N1963" s="585" t="s">
        <v>1738</v>
      </c>
      <c r="O1963" s="586" t="s">
        <v>4681</v>
      </c>
      <c r="P1963" s="233">
        <f t="shared" si="278"/>
        <v>0</v>
      </c>
      <c r="Q1963" s="233">
        <f t="shared" si="279"/>
        <v>50</v>
      </c>
      <c r="R1963" s="2">
        <f t="shared" si="280"/>
        <v>3.62</v>
      </c>
      <c r="S1963" s="2">
        <f>(1/9)*cnst_fish!$C$7*(1/cnst_fish!$C$8)^(R1963-1)</f>
        <v>58.789272027867845</v>
      </c>
      <c r="T1963" s="682">
        <f t="shared" si="281"/>
        <v>252.09571552807975</v>
      </c>
      <c r="W1963" s="818"/>
      <c r="X1963" s="818"/>
      <c r="Y1963" s="819"/>
      <c r="Z1963" s="820"/>
      <c r="AA1963" s="820"/>
      <c r="AB1963" s="821"/>
      <c r="AC1963" s="821"/>
      <c r="AD1963" s="253"/>
      <c r="AE1963" s="253"/>
    </row>
    <row r="1964" spans="1:31" ht="12.75" customHeight="1">
      <c r="A1964" t="s">
        <v>2920</v>
      </c>
      <c r="B1964" t="s">
        <v>1392</v>
      </c>
      <c r="C1964">
        <v>2521</v>
      </c>
      <c r="D1964" s="581">
        <v>15817</v>
      </c>
      <c r="E1964" s="581"/>
      <c r="F1964" s="2">
        <f>(1/S1964)*cnst_fish!$C$6</f>
        <v>5.1178888253733429E-2</v>
      </c>
      <c r="G1964" s="2">
        <f t="shared" si="283"/>
        <v>1</v>
      </c>
      <c r="H1964" s="2">
        <f t="shared" si="283"/>
        <v>0.36449057933102513</v>
      </c>
      <c r="I1964" s="2">
        <f t="shared" si="276"/>
        <v>112646.98570036377</v>
      </c>
      <c r="J1964" s="389">
        <f t="shared" si="277"/>
        <v>0</v>
      </c>
      <c r="L1964" s="721">
        <v>49458</v>
      </c>
      <c r="M1964" s="581"/>
      <c r="N1964" s="585" t="s">
        <v>1738</v>
      </c>
      <c r="O1964" s="586" t="s">
        <v>4681</v>
      </c>
      <c r="P1964" s="233">
        <f t="shared" si="278"/>
        <v>15817</v>
      </c>
      <c r="Q1964" s="233">
        <f t="shared" si="279"/>
        <v>49458</v>
      </c>
      <c r="R1964" s="2">
        <f t="shared" si="280"/>
        <v>3.77</v>
      </c>
      <c r="S1964" s="2">
        <f>(1/9)*cnst_fish!$C$7*(1/cnst_fish!$C$8)^(R1964-1)</f>
        <v>83.042053960403649</v>
      </c>
      <c r="T1964" s="682">
        <f t="shared" si="281"/>
        <v>352234.59687479236</v>
      </c>
      <c r="W1964" s="818"/>
      <c r="X1964" s="818"/>
      <c r="Y1964" s="819"/>
      <c r="Z1964" s="820"/>
      <c r="AA1964" s="820"/>
      <c r="AB1964" s="821"/>
      <c r="AC1964" s="821"/>
      <c r="AD1964" s="253"/>
      <c r="AE1964" s="253"/>
    </row>
    <row r="1965" spans="1:31" ht="12.75" customHeight="1">
      <c r="A1965" t="s">
        <v>8359</v>
      </c>
      <c r="B1965" t="s">
        <v>8360</v>
      </c>
      <c r="C1965">
        <v>15182</v>
      </c>
      <c r="D1965" s="581"/>
      <c r="E1965" s="581"/>
      <c r="F1965" s="2">
        <f>(1/S1965)*cnst_fish!$C$6</f>
        <v>0.23938164528281752</v>
      </c>
      <c r="G1965" s="2">
        <f t="shared" si="283"/>
        <v>1</v>
      </c>
      <c r="H1965" s="2">
        <f t="shared" si="283"/>
        <v>0.36449057933102513</v>
      </c>
      <c r="I1965" s="2">
        <f t="shared" si="276"/>
        <v>0</v>
      </c>
      <c r="J1965" s="389">
        <f t="shared" si="277"/>
        <v>0</v>
      </c>
      <c r="L1965" s="721">
        <v>0</v>
      </c>
      <c r="M1965" s="581"/>
      <c r="N1965" s="585" t="s">
        <v>1738</v>
      </c>
      <c r="O1965" s="586" t="s">
        <v>4681</v>
      </c>
      <c r="P1965" s="233">
        <f t="shared" si="278"/>
        <v>0</v>
      </c>
      <c r="Q1965" s="233">
        <f t="shared" si="279"/>
        <v>0</v>
      </c>
      <c r="R1965" s="2">
        <f t="shared" si="280"/>
        <v>3.1</v>
      </c>
      <c r="S1965" s="2">
        <f>(1/9)*cnst_fish!$C$7*(1/cnst_fish!$C$8)^(R1965-1)</f>
        <v>17.754076320174157</v>
      </c>
      <c r="T1965" s="682">
        <f t="shared" si="281"/>
        <v>0</v>
      </c>
      <c r="W1965" s="818"/>
      <c r="X1965" s="818"/>
      <c r="Y1965" s="819"/>
      <c r="Z1965" s="820"/>
      <c r="AA1965" s="820"/>
      <c r="AB1965" s="821"/>
      <c r="AC1965" s="821"/>
      <c r="AD1965" s="253"/>
      <c r="AE1965" s="253"/>
    </row>
    <row r="1966" spans="1:31" ht="12.75" customHeight="1">
      <c r="A1966" t="s">
        <v>8765</v>
      </c>
      <c r="B1966" t="s">
        <v>8766</v>
      </c>
      <c r="C1966">
        <v>19638</v>
      </c>
      <c r="D1966" s="581"/>
      <c r="E1966" s="581"/>
      <c r="F1966" s="2">
        <f>(1/S1966)*cnst_fish!$C$6</f>
        <v>0.60129950673834842</v>
      </c>
      <c r="G1966" s="2">
        <f t="shared" si="283"/>
        <v>1</v>
      </c>
      <c r="H1966" s="2">
        <f t="shared" si="283"/>
        <v>0.36449057933102513</v>
      </c>
      <c r="I1966" s="2">
        <f t="shared" si="276"/>
        <v>0</v>
      </c>
      <c r="J1966" s="389">
        <f t="shared" si="277"/>
        <v>0</v>
      </c>
      <c r="L1966" s="721"/>
      <c r="M1966" s="581"/>
      <c r="N1966" s="585" t="s">
        <v>1738</v>
      </c>
      <c r="O1966" s="586" t="s">
        <v>4685</v>
      </c>
      <c r="P1966" s="233">
        <f t="shared" si="278"/>
        <v>0</v>
      </c>
      <c r="Q1966" s="233">
        <f t="shared" si="279"/>
        <v>0</v>
      </c>
      <c r="R1966" s="2">
        <f t="shared" si="280"/>
        <v>2.7</v>
      </c>
      <c r="S1966" s="2">
        <f>(1/9)*cnst_fish!$C$7*(1/cnst_fish!$C$8)^(R1966-1)</f>
        <v>7.0680250896153813</v>
      </c>
      <c r="T1966" s="682">
        <f t="shared" si="281"/>
        <v>0</v>
      </c>
      <c r="W1966" s="818"/>
      <c r="X1966" s="818"/>
      <c r="Y1966" s="819"/>
      <c r="Z1966" s="820"/>
      <c r="AA1966" s="820"/>
      <c r="AB1966" s="821"/>
      <c r="AC1966" s="821"/>
      <c r="AD1966" s="253"/>
      <c r="AE1966" s="253"/>
    </row>
    <row r="1967" spans="1:31" ht="12.75" customHeight="1">
      <c r="A1967" t="s">
        <v>6777</v>
      </c>
      <c r="B1967" t="s">
        <v>8767</v>
      </c>
      <c r="C1967">
        <v>17310</v>
      </c>
      <c r="D1967" s="581"/>
      <c r="E1967" s="581"/>
      <c r="F1967" s="2">
        <f>(1/S1967)*cnst_fish!$C$6</f>
        <v>2.3938164528281742</v>
      </c>
      <c r="G1967" s="2">
        <f t="shared" si="283"/>
        <v>1</v>
      </c>
      <c r="H1967" s="2">
        <f t="shared" si="283"/>
        <v>0.36449057933102513</v>
      </c>
      <c r="I1967" s="2">
        <f t="shared" si="276"/>
        <v>0</v>
      </c>
      <c r="J1967" s="389">
        <f t="shared" si="277"/>
        <v>0</v>
      </c>
      <c r="L1967" s="721"/>
      <c r="M1967" s="581"/>
      <c r="N1967" s="585" t="s">
        <v>1736</v>
      </c>
      <c r="O1967" s="586" t="s">
        <v>4691</v>
      </c>
      <c r="P1967" s="233">
        <f t="shared" si="278"/>
        <v>0</v>
      </c>
      <c r="Q1967" s="233">
        <f t="shared" si="279"/>
        <v>0</v>
      </c>
      <c r="R1967" s="2">
        <f t="shared" si="280"/>
        <v>2.1</v>
      </c>
      <c r="S1967" s="2">
        <f>(1/9)*cnst_fish!$C$7*(1/cnst_fish!$C$8)^(R1967-1)</f>
        <v>1.7754076320174161</v>
      </c>
      <c r="T1967" s="682">
        <f t="shared" si="281"/>
        <v>0</v>
      </c>
      <c r="W1967" s="818"/>
      <c r="X1967" s="818"/>
      <c r="Y1967" s="819"/>
      <c r="Z1967" s="820"/>
      <c r="AA1967" s="820"/>
      <c r="AB1967" s="821"/>
      <c r="AC1967" s="821"/>
      <c r="AD1967" s="253"/>
      <c r="AE1967" s="253"/>
    </row>
    <row r="1968" spans="1:31" ht="12.75" customHeight="1">
      <c r="A1968" t="s">
        <v>3338</v>
      </c>
      <c r="B1968" t="s">
        <v>3687</v>
      </c>
      <c r="C1968">
        <v>2802</v>
      </c>
      <c r="D1968" s="581"/>
      <c r="E1968" s="581"/>
      <c r="F1968" s="2">
        <f>(1/S1968)*cnst_fish!$C$6</f>
        <v>3.6231878188697476E-2</v>
      </c>
      <c r="G1968" s="2">
        <f t="shared" ref="G1968:H1987" si="284">G$7</f>
        <v>1</v>
      </c>
      <c r="H1968" s="2">
        <f t="shared" si="284"/>
        <v>0.36449057933102513</v>
      </c>
      <c r="I1968" s="2">
        <f t="shared" si="276"/>
        <v>0</v>
      </c>
      <c r="J1968" s="389">
        <f t="shared" si="277"/>
        <v>0</v>
      </c>
      <c r="L1968" s="721">
        <v>607</v>
      </c>
      <c r="M1968" s="581"/>
      <c r="N1968" s="585" t="s">
        <v>3785</v>
      </c>
      <c r="O1968" s="586" t="s">
        <v>4681</v>
      </c>
      <c r="P1968" s="233">
        <f t="shared" si="278"/>
        <v>0</v>
      </c>
      <c r="Q1968" s="233">
        <f t="shared" si="279"/>
        <v>607</v>
      </c>
      <c r="R1968" s="2">
        <f t="shared" si="280"/>
        <v>3.92</v>
      </c>
      <c r="S1968" s="2">
        <f>(1/9)*cnst_fish!$C$7*(1/cnst_fish!$C$8)^(R1968-1)</f>
        <v>117.30001900165877</v>
      </c>
      <c r="T1968" s="682">
        <f t="shared" si="281"/>
        <v>6106.3845628336703</v>
      </c>
      <c r="W1968" s="818"/>
      <c r="X1968" s="818"/>
      <c r="Y1968" s="819"/>
      <c r="Z1968" s="820"/>
      <c r="AA1968" s="820"/>
      <c r="AB1968" s="821"/>
      <c r="AC1968" s="821"/>
      <c r="AD1968" s="253"/>
      <c r="AE1968" s="253"/>
    </row>
    <row r="1969" spans="1:31" ht="12.75" customHeight="1">
      <c r="A1969" t="s">
        <v>1120</v>
      </c>
      <c r="B1969" t="s">
        <v>2874</v>
      </c>
      <c r="C1969">
        <v>2016</v>
      </c>
      <c r="D1969" s="581"/>
      <c r="E1969" s="581"/>
      <c r="F1969" s="2">
        <f>(1/S1969)*cnst_fish!$C$6</f>
        <v>6.1530557150722649E-2</v>
      </c>
      <c r="G1969" s="2">
        <f t="shared" si="284"/>
        <v>1</v>
      </c>
      <c r="H1969" s="2">
        <f t="shared" si="284"/>
        <v>0.36449057933102513</v>
      </c>
      <c r="I1969" s="2">
        <f t="shared" si="276"/>
        <v>0</v>
      </c>
      <c r="J1969" s="389">
        <f t="shared" si="277"/>
        <v>0</v>
      </c>
      <c r="L1969" s="721">
        <v>7890</v>
      </c>
      <c r="M1969" s="581"/>
      <c r="N1969" s="585" t="s">
        <v>3785</v>
      </c>
      <c r="O1969" s="586" t="s">
        <v>4681</v>
      </c>
      <c r="P1969" s="233">
        <f t="shared" si="278"/>
        <v>0</v>
      </c>
      <c r="Q1969" s="233">
        <f t="shared" si="279"/>
        <v>7890</v>
      </c>
      <c r="R1969" s="2">
        <f t="shared" si="280"/>
        <v>3.69</v>
      </c>
      <c r="S1969" s="2">
        <f>(1/9)*cnst_fish!$C$7*(1/cnst_fish!$C$8)^(R1969-1)</f>
        <v>69.071371962216759</v>
      </c>
      <c r="T1969" s="682">
        <f t="shared" si="281"/>
        <v>46738.251758021222</v>
      </c>
      <c r="W1969" s="818"/>
      <c r="X1969" s="818"/>
      <c r="Y1969" s="819"/>
      <c r="Z1969" s="820"/>
      <c r="AA1969" s="820"/>
      <c r="AB1969" s="821"/>
      <c r="AC1969" s="821"/>
      <c r="AD1969" s="253"/>
      <c r="AE1969" s="253"/>
    </row>
    <row r="1970" spans="1:31" ht="12.75" customHeight="1">
      <c r="A1970" t="s">
        <v>945</v>
      </c>
      <c r="B1970" t="s">
        <v>2875</v>
      </c>
      <c r="C1970">
        <v>2804</v>
      </c>
      <c r="D1970" s="581"/>
      <c r="E1970" s="581"/>
      <c r="F1970" s="2">
        <f>(1/S1970)*cnst_fish!$C$6</f>
        <v>3.3813556145554591E-2</v>
      </c>
      <c r="G1970" s="2">
        <f t="shared" si="284"/>
        <v>1</v>
      </c>
      <c r="H1970" s="2">
        <f t="shared" si="284"/>
        <v>0.36449057933102513</v>
      </c>
      <c r="I1970" s="2">
        <f t="shared" si="276"/>
        <v>0</v>
      </c>
      <c r="J1970" s="389">
        <f t="shared" si="277"/>
        <v>0</v>
      </c>
      <c r="L1970" s="721">
        <v>597</v>
      </c>
      <c r="M1970" s="581"/>
      <c r="N1970" s="585" t="s">
        <v>3785</v>
      </c>
      <c r="O1970" s="586" t="s">
        <v>4681</v>
      </c>
      <c r="P1970" s="233">
        <f t="shared" si="278"/>
        <v>0</v>
      </c>
      <c r="Q1970" s="233">
        <f t="shared" si="279"/>
        <v>597</v>
      </c>
      <c r="R1970" s="2">
        <f t="shared" si="280"/>
        <v>3.95</v>
      </c>
      <c r="S1970" s="2">
        <f>(1/9)*cnst_fish!$C$7*(1/cnst_fish!$C$8)^(R1970-1)</f>
        <v>125.68923486501552</v>
      </c>
      <c r="T1970" s="682">
        <f t="shared" si="281"/>
        <v>6435.3147277361904</v>
      </c>
      <c r="W1970" s="818"/>
      <c r="X1970" s="818"/>
      <c r="Y1970" s="819"/>
      <c r="Z1970" s="820"/>
      <c r="AA1970" s="820"/>
      <c r="AB1970" s="821"/>
      <c r="AC1970" s="821"/>
      <c r="AD1970" s="253"/>
      <c r="AE1970" s="253"/>
    </row>
    <row r="1971" spans="1:31" ht="12.75" customHeight="1">
      <c r="A1971" t="s">
        <v>1114</v>
      </c>
      <c r="B1971" t="s">
        <v>2876</v>
      </c>
      <c r="C1971">
        <v>2805</v>
      </c>
      <c r="D1971" s="581"/>
      <c r="E1971" s="581"/>
      <c r="F1971" s="2">
        <f>(1/S1971)*cnst_fish!$C$6</f>
        <v>2.8124890974018386E-2</v>
      </c>
      <c r="G1971" s="2">
        <f t="shared" si="284"/>
        <v>1</v>
      </c>
      <c r="H1971" s="2">
        <f t="shared" si="284"/>
        <v>0.36449057933102513</v>
      </c>
      <c r="I1971" s="2">
        <f t="shared" si="276"/>
        <v>0</v>
      </c>
      <c r="J1971" s="389">
        <f t="shared" si="277"/>
        <v>0</v>
      </c>
      <c r="L1971" s="721">
        <v>1163</v>
      </c>
      <c r="M1971" s="581"/>
      <c r="N1971" s="585" t="s">
        <v>1738</v>
      </c>
      <c r="O1971" s="586" t="s">
        <v>4681</v>
      </c>
      <c r="P1971" s="233">
        <f t="shared" si="278"/>
        <v>0</v>
      </c>
      <c r="Q1971" s="233">
        <f t="shared" si="279"/>
        <v>1163</v>
      </c>
      <c r="R1971" s="2">
        <f t="shared" si="280"/>
        <v>4.03</v>
      </c>
      <c r="S1971" s="2">
        <f>(1/9)*cnst_fish!$C$7*(1/cnst_fish!$C$8)^(R1971-1)</f>
        <v>151.11169689248311</v>
      </c>
      <c r="T1971" s="682">
        <f t="shared" si="281"/>
        <v>15072.148871744286</v>
      </c>
      <c r="W1971" s="818"/>
      <c r="X1971" s="818"/>
      <c r="Y1971" s="819"/>
      <c r="Z1971" s="820"/>
      <c r="AA1971" s="820"/>
      <c r="AB1971" s="821"/>
      <c r="AC1971" s="821"/>
      <c r="AD1971" s="253"/>
      <c r="AE1971" s="253"/>
    </row>
    <row r="1972" spans="1:31" ht="12.75" customHeight="1">
      <c r="A1972" t="s">
        <v>6772</v>
      </c>
      <c r="B1972" t="s">
        <v>8768</v>
      </c>
      <c r="C1972">
        <v>16110</v>
      </c>
      <c r="D1972" s="802"/>
      <c r="E1972" s="802"/>
      <c r="F1972" s="2">
        <f>(1/S1972)*cnst_fish!$C$6</f>
        <v>0.23938164528281752</v>
      </c>
      <c r="G1972" s="2">
        <f t="shared" si="284"/>
        <v>1</v>
      </c>
      <c r="H1972" s="2">
        <f t="shared" si="284"/>
        <v>0.36449057933102513</v>
      </c>
      <c r="I1972" s="2">
        <f t="shared" si="276"/>
        <v>0</v>
      </c>
      <c r="J1972" s="389">
        <f t="shared" si="277"/>
        <v>0</v>
      </c>
      <c r="L1972" s="803"/>
      <c r="M1972" s="802"/>
      <c r="N1972" s="804" t="s">
        <v>2311</v>
      </c>
      <c r="O1972" s="805" t="s">
        <v>4680</v>
      </c>
      <c r="P1972" s="233">
        <f t="shared" si="278"/>
        <v>0</v>
      </c>
      <c r="Q1972" s="233">
        <f t="shared" si="279"/>
        <v>0</v>
      </c>
      <c r="R1972" s="2">
        <f t="shared" si="280"/>
        <v>3.1</v>
      </c>
      <c r="S1972" s="2">
        <f>(1/9)*cnst_fish!$C$7*(1/cnst_fish!$C$8)^(R1972-1)</f>
        <v>17.754076320174157</v>
      </c>
      <c r="T1972" s="682">
        <f t="shared" si="281"/>
        <v>0</v>
      </c>
      <c r="W1972" s="818"/>
      <c r="X1972" s="818"/>
      <c r="Y1972" s="819"/>
      <c r="Z1972" s="820"/>
      <c r="AA1972" s="820"/>
      <c r="AB1972" s="821"/>
      <c r="AC1972" s="821"/>
      <c r="AD1972" s="253"/>
      <c r="AE1972" s="253"/>
    </row>
    <row r="1973" spans="1:31" ht="12.75" customHeight="1">
      <c r="A1973" t="s">
        <v>8907</v>
      </c>
      <c r="B1973" t="s">
        <v>8908</v>
      </c>
      <c r="C1973">
        <v>16111</v>
      </c>
      <c r="D1973" s="802"/>
      <c r="E1973" s="802"/>
      <c r="F1973" s="2">
        <f>(1/S1973)*cnst_fish!$C$6</f>
        <v>0.23938164528281752</v>
      </c>
      <c r="G1973" s="2">
        <f t="shared" si="284"/>
        <v>1</v>
      </c>
      <c r="H1973" s="2">
        <f t="shared" si="284"/>
        <v>0.36449057933102513</v>
      </c>
      <c r="I1973" s="2">
        <f t="shared" si="276"/>
        <v>0</v>
      </c>
      <c r="J1973" s="389">
        <f t="shared" si="277"/>
        <v>0</v>
      </c>
      <c r="L1973" s="803"/>
      <c r="M1973" s="802"/>
      <c r="N1973" s="804" t="s">
        <v>2311</v>
      </c>
      <c r="O1973" s="805"/>
      <c r="P1973" s="233">
        <f t="shared" si="278"/>
        <v>0</v>
      </c>
      <c r="Q1973" s="233">
        <f t="shared" si="279"/>
        <v>0</v>
      </c>
      <c r="R1973" s="2">
        <f t="shared" si="280"/>
        <v>3.1</v>
      </c>
      <c r="S1973" s="2">
        <f>(1/9)*cnst_fish!$C$7*(1/cnst_fish!$C$8)^(R1973-1)</f>
        <v>17.754076320174157</v>
      </c>
      <c r="T1973" s="682">
        <f t="shared" si="281"/>
        <v>0</v>
      </c>
      <c r="W1973" s="818"/>
      <c r="X1973" s="818"/>
      <c r="Y1973" s="819"/>
      <c r="Z1973" s="820"/>
      <c r="AA1973" s="820"/>
      <c r="AB1973" s="821"/>
      <c r="AC1973" s="821"/>
      <c r="AD1973" s="253"/>
      <c r="AE1973" s="253"/>
    </row>
    <row r="1974" spans="1:31" ht="12.75" customHeight="1">
      <c r="A1974" t="s">
        <v>3657</v>
      </c>
      <c r="B1974" t="s">
        <v>176</v>
      </c>
      <c r="C1974">
        <v>2637</v>
      </c>
      <c r="D1974" s="802"/>
      <c r="E1974" s="802"/>
      <c r="F1974" s="2">
        <f>(1/S1974)*cnst_fish!$C$6</f>
        <v>0.23938164528281752</v>
      </c>
      <c r="G1974" s="2">
        <f t="shared" si="284"/>
        <v>1</v>
      </c>
      <c r="H1974" s="2">
        <f t="shared" si="284"/>
        <v>0.36449057933102513</v>
      </c>
      <c r="I1974" s="2">
        <f t="shared" si="276"/>
        <v>0</v>
      </c>
      <c r="J1974" s="389">
        <f t="shared" si="277"/>
        <v>0</v>
      </c>
      <c r="L1974" s="803">
        <v>47297</v>
      </c>
      <c r="M1974" s="802">
        <v>909</v>
      </c>
      <c r="N1974" s="804" t="s">
        <v>2311</v>
      </c>
      <c r="O1974" s="805" t="s">
        <v>4680</v>
      </c>
      <c r="P1974" s="233">
        <f t="shared" si="278"/>
        <v>0</v>
      </c>
      <c r="Q1974" s="233">
        <f t="shared" si="279"/>
        <v>48206</v>
      </c>
      <c r="R1974" s="2">
        <f t="shared" si="280"/>
        <v>3.1</v>
      </c>
      <c r="S1974" s="2">
        <f>(1/9)*cnst_fish!$C$7*(1/cnst_fish!$C$8)^(R1974-1)</f>
        <v>17.754076320174157</v>
      </c>
      <c r="T1974" s="682">
        <f t="shared" si="281"/>
        <v>73400.083980843934</v>
      </c>
      <c r="W1974" s="818"/>
      <c r="X1974" s="818"/>
      <c r="Y1974" s="819"/>
      <c r="Z1974" s="820"/>
      <c r="AA1974" s="820"/>
      <c r="AB1974" s="821"/>
      <c r="AC1974" s="821"/>
      <c r="AD1974" s="253"/>
      <c r="AE1974" s="253"/>
    </row>
    <row r="1975" spans="1:31" ht="12.75" customHeight="1">
      <c r="A1975" t="s">
        <v>1705</v>
      </c>
      <c r="B1975" t="s">
        <v>4411</v>
      </c>
      <c r="C1975">
        <v>3467</v>
      </c>
      <c r="D1975" s="802"/>
      <c r="E1975" s="802"/>
      <c r="F1975" s="2">
        <f>(1/S1975)*cnst_fish!$C$6</f>
        <v>0.47762917572805397</v>
      </c>
      <c r="G1975" s="2">
        <f t="shared" si="284"/>
        <v>1</v>
      </c>
      <c r="H1975" s="2">
        <f t="shared" si="284"/>
        <v>0.36449057933102513</v>
      </c>
      <c r="I1975" s="2">
        <f t="shared" si="276"/>
        <v>0</v>
      </c>
      <c r="J1975" s="389">
        <f t="shared" si="277"/>
        <v>0</v>
      </c>
      <c r="L1975" s="803">
        <v>172</v>
      </c>
      <c r="M1975" s="802"/>
      <c r="N1975" s="804" t="s">
        <v>1737</v>
      </c>
      <c r="O1975" s="805" t="s">
        <v>4680</v>
      </c>
      <c r="P1975" s="233">
        <f t="shared" si="278"/>
        <v>0</v>
      </c>
      <c r="Q1975" s="233">
        <f t="shared" si="279"/>
        <v>172</v>
      </c>
      <c r="R1975" s="2">
        <f t="shared" si="280"/>
        <v>2.8</v>
      </c>
      <c r="S1975" s="2">
        <f>(1/9)*cnst_fish!$C$7*(1/cnst_fish!$C$8)^(R1975-1)</f>
        <v>8.8981163965155421</v>
      </c>
      <c r="T1975" s="682">
        <f t="shared" si="281"/>
        <v>131.25743323651415</v>
      </c>
      <c r="W1975" s="818"/>
      <c r="X1975" s="818"/>
      <c r="Y1975" s="819"/>
      <c r="Z1975" s="820"/>
      <c r="AA1975" s="820"/>
      <c r="AB1975" s="821"/>
      <c r="AC1975" s="821"/>
      <c r="AD1975" s="253"/>
      <c r="AE1975" s="253"/>
    </row>
    <row r="1976" spans="1:31" ht="12.75" customHeight="1">
      <c r="A1976" t="s">
        <v>6669</v>
      </c>
      <c r="B1976" t="s">
        <v>6668</v>
      </c>
      <c r="C1976">
        <v>16328</v>
      </c>
      <c r="D1976" s="802"/>
      <c r="E1976" s="802"/>
      <c r="F1976" s="2">
        <f>(1/S1976)*cnst_fish!$C$6</f>
        <v>3.0136363636363641</v>
      </c>
      <c r="G1976" s="2">
        <f t="shared" si="284"/>
        <v>1</v>
      </c>
      <c r="H1976" s="2">
        <f t="shared" si="284"/>
        <v>0.36449057933102513</v>
      </c>
      <c r="I1976" s="2">
        <f t="shared" si="276"/>
        <v>0</v>
      </c>
      <c r="J1976" s="389">
        <f t="shared" si="277"/>
        <v>0</v>
      </c>
      <c r="L1976" s="803">
        <v>0</v>
      </c>
      <c r="M1976" s="802"/>
      <c r="N1976" s="804" t="s">
        <v>3790</v>
      </c>
      <c r="O1976" s="805" t="s">
        <v>4680</v>
      </c>
      <c r="P1976" s="233">
        <f t="shared" si="278"/>
        <v>0</v>
      </c>
      <c r="Q1976" s="233">
        <f t="shared" si="279"/>
        <v>0</v>
      </c>
      <c r="R1976" s="2">
        <f t="shared" si="280"/>
        <v>2</v>
      </c>
      <c r="S1976" s="2">
        <f>(1/9)*cnst_fish!$C$7*(1/cnst_fish!$C$8)^(R1976-1)</f>
        <v>1.4102564102564099</v>
      </c>
      <c r="T1976" s="682">
        <f t="shared" si="281"/>
        <v>0</v>
      </c>
      <c r="W1976" s="818"/>
      <c r="X1976" s="818"/>
      <c r="Y1976" s="819"/>
      <c r="Z1976" s="820"/>
      <c r="AA1976" s="820"/>
      <c r="AB1976" s="821"/>
      <c r="AC1976" s="821"/>
      <c r="AD1976" s="253"/>
      <c r="AE1976" s="253"/>
    </row>
    <row r="1977" spans="1:31" ht="12.75" customHeight="1">
      <c r="A1977" t="s">
        <v>3352</v>
      </c>
      <c r="B1977" t="s">
        <v>3353</v>
      </c>
      <c r="C1977">
        <v>16323</v>
      </c>
      <c r="D1977" s="802"/>
      <c r="E1977" s="802"/>
      <c r="F1977" s="2">
        <f>(1/S1977)*cnst_fish!$C$6</f>
        <v>0.3314045734418738</v>
      </c>
      <c r="G1977" s="2">
        <f t="shared" si="284"/>
        <v>1</v>
      </c>
      <c r="H1977" s="2">
        <f t="shared" si="284"/>
        <v>0.36449057933102513</v>
      </c>
      <c r="I1977" s="2">
        <f t="shared" si="276"/>
        <v>0</v>
      </c>
      <c r="J1977" s="389">
        <f t="shared" si="277"/>
        <v>0</v>
      </c>
      <c r="L1977" s="803">
        <v>79</v>
      </c>
      <c r="M1977" s="802"/>
      <c r="N1977" s="804" t="s">
        <v>3790</v>
      </c>
      <c r="O1977" s="805" t="s">
        <v>4680</v>
      </c>
      <c r="P1977" s="233">
        <f t="shared" si="278"/>
        <v>0</v>
      </c>
      <c r="Q1977" s="233">
        <f t="shared" si="279"/>
        <v>79</v>
      </c>
      <c r="R1977" s="2">
        <f t="shared" si="280"/>
        <v>2.9587323501170402</v>
      </c>
      <c r="S1977" s="2">
        <f>(1/9)*cnst_fish!$C$7*(1/cnst_fish!$C$8)^(R1977-1)</f>
        <v>12.824204433453367</v>
      </c>
      <c r="T1977" s="682">
        <f t="shared" si="281"/>
        <v>86.887019898659901</v>
      </c>
      <c r="W1977" s="818"/>
      <c r="X1977" s="818"/>
      <c r="Y1977" s="819"/>
      <c r="Z1977" s="820"/>
      <c r="AA1977" s="820"/>
      <c r="AB1977" s="821"/>
      <c r="AC1977" s="821"/>
      <c r="AD1977" s="253"/>
      <c r="AE1977" s="253"/>
    </row>
    <row r="1978" spans="1:31" ht="12.75" customHeight="1">
      <c r="A1978" t="s">
        <v>3648</v>
      </c>
      <c r="B1978" t="s">
        <v>3649</v>
      </c>
      <c r="C1978">
        <v>2043</v>
      </c>
      <c r="D1978" s="802"/>
      <c r="E1978" s="802"/>
      <c r="F1978" s="2">
        <f>(1/S1978)*cnst_fish!$C$6</f>
        <v>3.9727464439222634E-2</v>
      </c>
      <c r="G1978" s="2">
        <f t="shared" si="284"/>
        <v>1</v>
      </c>
      <c r="H1978" s="2">
        <f t="shared" si="284"/>
        <v>0.36449057933102513</v>
      </c>
      <c r="I1978" s="2">
        <f t="shared" si="276"/>
        <v>0</v>
      </c>
      <c r="J1978" s="389">
        <f t="shared" si="277"/>
        <v>0</v>
      </c>
      <c r="L1978" s="803">
        <v>0</v>
      </c>
      <c r="M1978" s="802"/>
      <c r="N1978" s="804" t="s">
        <v>3785</v>
      </c>
      <c r="O1978" s="805" t="s">
        <v>4681</v>
      </c>
      <c r="P1978" s="233">
        <f t="shared" si="278"/>
        <v>0</v>
      </c>
      <c r="Q1978" s="233">
        <f t="shared" si="279"/>
        <v>0</v>
      </c>
      <c r="R1978" s="2">
        <f t="shared" si="280"/>
        <v>3.88</v>
      </c>
      <c r="S1978" s="2">
        <f>(1/9)*cnst_fish!$C$7*(1/cnst_fish!$C$8)^(R1978-1)</f>
        <v>106.97888878616692</v>
      </c>
      <c r="T1978" s="682">
        <f t="shared" si="281"/>
        <v>0</v>
      </c>
      <c r="W1978" s="818"/>
      <c r="X1978" s="818"/>
      <c r="Y1978" s="819"/>
      <c r="Z1978" s="820"/>
      <c r="AA1978" s="820"/>
      <c r="AB1978" s="821"/>
      <c r="AC1978" s="821"/>
      <c r="AD1978" s="253"/>
      <c r="AE1978" s="253"/>
    </row>
    <row r="1979" spans="1:31" ht="12.75" customHeight="1">
      <c r="A1979" t="s">
        <v>8769</v>
      </c>
      <c r="B1979" t="s">
        <v>8770</v>
      </c>
      <c r="C1979">
        <v>15213</v>
      </c>
      <c r="D1979" s="802"/>
      <c r="E1979" s="802"/>
      <c r="F1979" s="2">
        <f>(1/S1979)*cnst_fish!$C$6</f>
        <v>3.7939434000887833E-2</v>
      </c>
      <c r="G1979" s="2">
        <f t="shared" si="284"/>
        <v>1</v>
      </c>
      <c r="H1979" s="2">
        <f t="shared" si="284"/>
        <v>0.36449057933102513</v>
      </c>
      <c r="I1979" s="2">
        <f t="shared" si="276"/>
        <v>0</v>
      </c>
      <c r="J1979" s="389">
        <f t="shared" si="277"/>
        <v>0</v>
      </c>
      <c r="L1979" s="803">
        <v>63</v>
      </c>
      <c r="M1979" s="802"/>
      <c r="N1979" s="804" t="s">
        <v>1738</v>
      </c>
      <c r="O1979" s="805" t="s">
        <v>4681</v>
      </c>
      <c r="P1979" s="233">
        <f t="shared" si="278"/>
        <v>0</v>
      </c>
      <c r="Q1979" s="233">
        <f t="shared" si="279"/>
        <v>63</v>
      </c>
      <c r="R1979" s="2">
        <f t="shared" si="280"/>
        <v>3.9</v>
      </c>
      <c r="S1979" s="2">
        <f>(1/9)*cnst_fish!$C$7*(1/cnst_fish!$C$8)^(R1979-1)</f>
        <v>112.02064848675771</v>
      </c>
      <c r="T1979" s="682">
        <f t="shared" si="281"/>
        <v>605.25168871304777</v>
      </c>
      <c r="W1979" s="818"/>
      <c r="X1979" s="818"/>
      <c r="Y1979" s="819"/>
      <c r="Z1979" s="820"/>
      <c r="AA1979" s="820"/>
      <c r="AB1979" s="821"/>
      <c r="AC1979" s="821"/>
      <c r="AD1979" s="253"/>
      <c r="AE1979" s="253"/>
    </row>
    <row r="1980" spans="1:31" ht="12.75" customHeight="1">
      <c r="A1980" t="s">
        <v>1622</v>
      </c>
      <c r="B1980" t="s">
        <v>1289</v>
      </c>
      <c r="C1980">
        <v>3326</v>
      </c>
      <c r="D1980" s="802"/>
      <c r="E1980" s="802"/>
      <c r="F1980" s="2">
        <f>(1/S1980)*cnst_fish!$C$6</f>
        <v>9.5299549485983348E-2</v>
      </c>
      <c r="G1980" s="2">
        <f t="shared" si="284"/>
        <v>1</v>
      </c>
      <c r="H1980" s="2">
        <f t="shared" si="284"/>
        <v>0.36449057933102513</v>
      </c>
      <c r="I1980" s="2">
        <f t="shared" si="276"/>
        <v>0</v>
      </c>
      <c r="J1980" s="389">
        <f t="shared" si="277"/>
        <v>0</v>
      </c>
      <c r="L1980" s="803">
        <v>59475</v>
      </c>
      <c r="M1980" s="802"/>
      <c r="N1980" s="804" t="s">
        <v>1738</v>
      </c>
      <c r="O1980" s="805" t="s">
        <v>4681</v>
      </c>
      <c r="P1980" s="233">
        <f t="shared" si="278"/>
        <v>0</v>
      </c>
      <c r="Q1980" s="233">
        <f t="shared" si="279"/>
        <v>59475</v>
      </c>
      <c r="R1980" s="2">
        <f t="shared" si="280"/>
        <v>3.5</v>
      </c>
      <c r="S1980" s="2">
        <f>(1/9)*cnst_fish!$C$7*(1/cnst_fish!$C$8)^(R1980-1)</f>
        <v>44.596223412631026</v>
      </c>
      <c r="T1980" s="682">
        <f t="shared" si="281"/>
        <v>227473.02922875967</v>
      </c>
      <c r="W1980" s="818"/>
      <c r="X1980" s="818"/>
      <c r="Y1980" s="819"/>
      <c r="Z1980" s="820"/>
      <c r="AA1980" s="820"/>
      <c r="AB1980" s="821"/>
      <c r="AC1980" s="821"/>
      <c r="AD1980" s="253"/>
      <c r="AE1980" s="253"/>
    </row>
    <row r="1981" spans="1:31" ht="12.75" customHeight="1">
      <c r="A1981" t="s">
        <v>8771</v>
      </c>
      <c r="B1981" t="s">
        <v>8772</v>
      </c>
      <c r="C1981">
        <v>18714</v>
      </c>
      <c r="D1981" s="802"/>
      <c r="E1981" s="802"/>
      <c r="F1981" s="2">
        <f>(1/S1981)*cnst_fish!$C$6</f>
        <v>6.0129950673834844E-2</v>
      </c>
      <c r="G1981" s="2">
        <f t="shared" si="284"/>
        <v>1</v>
      </c>
      <c r="H1981" s="2">
        <f t="shared" si="284"/>
        <v>0.36449057933102513</v>
      </c>
      <c r="I1981" s="2">
        <f t="shared" si="276"/>
        <v>0</v>
      </c>
      <c r="J1981" s="389">
        <f t="shared" si="277"/>
        <v>0</v>
      </c>
      <c r="L1981" s="803">
        <v>16</v>
      </c>
      <c r="M1981" s="802"/>
      <c r="N1981" s="804" t="s">
        <v>1738</v>
      </c>
      <c r="O1981" s="805" t="s">
        <v>4681</v>
      </c>
      <c r="P1981" s="233">
        <f t="shared" si="278"/>
        <v>0</v>
      </c>
      <c r="Q1981" s="233">
        <f t="shared" si="279"/>
        <v>16</v>
      </c>
      <c r="R1981" s="2">
        <f t="shared" si="280"/>
        <v>3.7</v>
      </c>
      <c r="S1981" s="2">
        <f>(1/9)*cnst_fish!$C$7*(1/cnst_fish!$C$8)^(R1981-1)</f>
        <v>70.680250896153822</v>
      </c>
      <c r="T1981" s="682">
        <f t="shared" si="281"/>
        <v>96.987428127628476</v>
      </c>
      <c r="W1981" s="818"/>
      <c r="X1981" s="818"/>
      <c r="Y1981" s="819"/>
      <c r="Z1981" s="820"/>
      <c r="AA1981" s="820"/>
      <c r="AB1981" s="821"/>
      <c r="AC1981" s="821"/>
      <c r="AD1981" s="253"/>
      <c r="AE1981" s="253"/>
    </row>
    <row r="1982" spans="1:31" ht="12.75" customHeight="1">
      <c r="A1982" t="s">
        <v>8773</v>
      </c>
      <c r="B1982" t="s">
        <v>8774</v>
      </c>
      <c r="C1982">
        <v>18715</v>
      </c>
      <c r="D1982" s="802"/>
      <c r="E1982" s="802"/>
      <c r="F1982" s="2">
        <f>(1/S1982)*cnst_fish!$C$6</f>
        <v>4.7762917572805388E-2</v>
      </c>
      <c r="G1982" s="2">
        <f t="shared" si="284"/>
        <v>1</v>
      </c>
      <c r="H1982" s="2">
        <f t="shared" si="284"/>
        <v>0.36449057933102513</v>
      </c>
      <c r="I1982" s="2">
        <f t="shared" si="276"/>
        <v>0</v>
      </c>
      <c r="J1982" s="389">
        <f t="shared" si="277"/>
        <v>0</v>
      </c>
      <c r="L1982" s="803">
        <v>34</v>
      </c>
      <c r="M1982" s="802"/>
      <c r="N1982" s="804" t="s">
        <v>1738</v>
      </c>
      <c r="O1982" s="805" t="s">
        <v>4681</v>
      </c>
      <c r="P1982" s="233">
        <f t="shared" si="278"/>
        <v>0</v>
      </c>
      <c r="Q1982" s="233">
        <f t="shared" si="279"/>
        <v>34</v>
      </c>
      <c r="R1982" s="2">
        <f t="shared" si="280"/>
        <v>3.8</v>
      </c>
      <c r="S1982" s="2">
        <f>(1/9)*cnst_fish!$C$7*(1/cnst_fish!$C$8)^(R1982-1)</f>
        <v>88.981163965155432</v>
      </c>
      <c r="T1982" s="682">
        <f t="shared" si="281"/>
        <v>259.4623680256675</v>
      </c>
      <c r="W1982" s="818"/>
      <c r="X1982" s="818"/>
      <c r="Y1982" s="819"/>
      <c r="Z1982" s="820"/>
      <c r="AA1982" s="820"/>
      <c r="AB1982" s="821"/>
      <c r="AC1982" s="821"/>
      <c r="AD1982" s="253"/>
      <c r="AE1982" s="253"/>
    </row>
    <row r="1983" spans="1:31" ht="12.75" customHeight="1">
      <c r="A1983" t="s">
        <v>8909</v>
      </c>
      <c r="B1983" t="s">
        <v>8910</v>
      </c>
      <c r="C1983">
        <v>3328</v>
      </c>
      <c r="D1983" s="802"/>
      <c r="E1983" s="802"/>
      <c r="F1983" s="2">
        <f>(1/S1983)*cnst_fish!$C$6</f>
        <v>6.0129950673834844E-2</v>
      </c>
      <c r="G1983" s="2">
        <f t="shared" si="284"/>
        <v>1</v>
      </c>
      <c r="H1983" s="2">
        <f t="shared" si="284"/>
        <v>0.36449057933102513</v>
      </c>
      <c r="I1983" s="2">
        <f t="shared" si="276"/>
        <v>0</v>
      </c>
      <c r="J1983" s="389">
        <f t="shared" si="277"/>
        <v>0</v>
      </c>
      <c r="L1983" s="803">
        <v>0</v>
      </c>
      <c r="M1983" s="802"/>
      <c r="N1983" s="804" t="s">
        <v>4282</v>
      </c>
      <c r="O1983" s="805" t="s">
        <v>4681</v>
      </c>
      <c r="P1983" s="233">
        <f t="shared" si="278"/>
        <v>0</v>
      </c>
      <c r="Q1983" s="233">
        <f t="shared" si="279"/>
        <v>0</v>
      </c>
      <c r="R1983" s="2">
        <f t="shared" si="280"/>
        <v>3.7</v>
      </c>
      <c r="S1983" s="2">
        <f>(1/9)*cnst_fish!$C$7*(1/cnst_fish!$C$8)^(R1983-1)</f>
        <v>70.680250896153822</v>
      </c>
      <c r="T1983" s="682">
        <f t="shared" si="281"/>
        <v>0</v>
      </c>
      <c r="W1983" s="818"/>
      <c r="X1983" s="818"/>
      <c r="Y1983" s="819"/>
      <c r="Z1983" s="820"/>
      <c r="AA1983" s="820"/>
      <c r="AB1983" s="821"/>
      <c r="AC1983" s="821"/>
      <c r="AD1983" s="253"/>
      <c r="AE1983" s="253"/>
    </row>
    <row r="1984" spans="1:31" ht="12.75" customHeight="1">
      <c r="A1984" t="s">
        <v>8775</v>
      </c>
      <c r="B1984" t="s">
        <v>8776</v>
      </c>
      <c r="C1984">
        <v>20369</v>
      </c>
      <c r="D1984" s="802"/>
      <c r="E1984" s="802"/>
      <c r="F1984" s="2">
        <f>(1/S1984)*cnst_fish!$C$6</f>
        <v>7.5699122913220479E-2</v>
      </c>
      <c r="G1984" s="2">
        <f t="shared" si="284"/>
        <v>1</v>
      </c>
      <c r="H1984" s="2">
        <f t="shared" si="284"/>
        <v>0.36449057933102513</v>
      </c>
      <c r="I1984" s="2">
        <f t="shared" si="276"/>
        <v>0</v>
      </c>
      <c r="J1984" s="389">
        <f t="shared" si="277"/>
        <v>0</v>
      </c>
      <c r="L1984" s="803">
        <v>29</v>
      </c>
      <c r="M1984" s="802"/>
      <c r="N1984" s="804" t="s">
        <v>1738</v>
      </c>
      <c r="O1984" s="805" t="s">
        <v>4681</v>
      </c>
      <c r="P1984" s="233">
        <f t="shared" si="278"/>
        <v>0</v>
      </c>
      <c r="Q1984" s="233">
        <f t="shared" si="279"/>
        <v>29</v>
      </c>
      <c r="R1984" s="2">
        <f t="shared" si="280"/>
        <v>3.6</v>
      </c>
      <c r="S1984" s="2">
        <f>(1/9)*cnst_fish!$C$7*(1/cnst_fish!$C$8)^(R1984-1)</f>
        <v>56.143318924211187</v>
      </c>
      <c r="T1984" s="682">
        <f t="shared" si="281"/>
        <v>139.63473279230942</v>
      </c>
      <c r="W1984" s="818"/>
      <c r="X1984" s="818"/>
      <c r="Y1984" s="819"/>
      <c r="Z1984" s="820"/>
      <c r="AA1984" s="820"/>
      <c r="AB1984" s="821"/>
      <c r="AC1984" s="821"/>
      <c r="AD1984" s="253"/>
      <c r="AE1984" s="253"/>
    </row>
    <row r="1985" spans="1:31" ht="12.75" customHeight="1">
      <c r="A1985" s="403" t="s">
        <v>8958</v>
      </c>
      <c r="B1985" s="403" t="s">
        <v>8959</v>
      </c>
      <c r="C1985" s="403">
        <v>15206</v>
      </c>
      <c r="D1985" s="802"/>
      <c r="E1985" s="802"/>
      <c r="F1985" s="869">
        <f>(1/S1985)*cnst_fish!$C$6</f>
        <v>2.3938164528281767E-2</v>
      </c>
      <c r="G1985" s="869">
        <f t="shared" si="284"/>
        <v>1</v>
      </c>
      <c r="H1985" s="869">
        <f t="shared" si="284"/>
        <v>0.36449057933102513</v>
      </c>
      <c r="I1985" s="869">
        <f t="shared" si="276"/>
        <v>0</v>
      </c>
      <c r="J1985" s="389">
        <f t="shared" si="277"/>
        <v>0</v>
      </c>
      <c r="L1985" s="803">
        <v>16</v>
      </c>
      <c r="M1985" s="802"/>
      <c r="N1985" s="876" t="s">
        <v>1738</v>
      </c>
      <c r="O1985" s="880" t="s">
        <v>4681</v>
      </c>
      <c r="P1985" s="871">
        <f t="shared" si="278"/>
        <v>0</v>
      </c>
      <c r="Q1985" s="871">
        <f t="shared" si="279"/>
        <v>16</v>
      </c>
      <c r="R1985" s="869">
        <f t="shared" si="280"/>
        <v>4.0999999999999996</v>
      </c>
      <c r="S1985" s="869">
        <f>(1/9)*cnst_fish!$C$7*(1/cnst_fish!$C$8)^(R1985-1)</f>
        <v>177.54076320174144</v>
      </c>
      <c r="T1985" s="682">
        <f t="shared" si="281"/>
        <v>243.62140474080033</v>
      </c>
      <c r="W1985" s="818"/>
      <c r="X1985" s="818"/>
      <c r="Y1985" s="819"/>
      <c r="Z1985" s="820"/>
      <c r="AA1985" s="820"/>
      <c r="AB1985" s="821"/>
      <c r="AC1985" s="821"/>
      <c r="AD1985" s="253"/>
      <c r="AE1985" s="253"/>
    </row>
    <row r="1986" spans="1:31" ht="12.75" customHeight="1">
      <c r="A1986" s="403" t="s">
        <v>8982</v>
      </c>
      <c r="B1986" s="403" t="s">
        <v>8983</v>
      </c>
      <c r="C1986" s="403">
        <v>20368</v>
      </c>
      <c r="D1986" s="802"/>
      <c r="E1986" s="802"/>
      <c r="F1986" s="869">
        <f>(1/S1986)*cnst_fish!$C$6</f>
        <v>4.7762917572805388E-2</v>
      </c>
      <c r="G1986" s="869">
        <f t="shared" si="284"/>
        <v>1</v>
      </c>
      <c r="H1986" s="869">
        <f t="shared" si="284"/>
        <v>0.36449057933102513</v>
      </c>
      <c r="I1986" s="869">
        <f t="shared" si="276"/>
        <v>0</v>
      </c>
      <c r="J1986" s="389">
        <f t="shared" si="277"/>
        <v>0</v>
      </c>
      <c r="L1986" s="803">
        <v>2</v>
      </c>
      <c r="M1986" s="802"/>
      <c r="N1986" s="876" t="s">
        <v>1738</v>
      </c>
      <c r="O1986" s="880" t="s">
        <v>4681</v>
      </c>
      <c r="P1986" s="871">
        <f t="shared" si="278"/>
        <v>0</v>
      </c>
      <c r="Q1986" s="871">
        <f t="shared" si="279"/>
        <v>2</v>
      </c>
      <c r="R1986" s="869">
        <f t="shared" si="280"/>
        <v>3.8</v>
      </c>
      <c r="S1986" s="869">
        <f>(1/9)*cnst_fish!$C$7*(1/cnst_fish!$C$8)^(R1986-1)</f>
        <v>88.981163965155432</v>
      </c>
      <c r="T1986" s="682">
        <f t="shared" si="281"/>
        <v>15.262492236803972</v>
      </c>
      <c r="W1986" s="818"/>
      <c r="X1986" s="818"/>
      <c r="Y1986" s="819"/>
      <c r="Z1986" s="820"/>
      <c r="AA1986" s="820"/>
      <c r="AB1986" s="821"/>
      <c r="AC1986" s="821"/>
      <c r="AD1986" s="253"/>
      <c r="AE1986" s="253"/>
    </row>
    <row r="1987" spans="1:31" ht="12.75" customHeight="1">
      <c r="A1987" s="403" t="s">
        <v>8960</v>
      </c>
      <c r="B1987" s="403" t="s">
        <v>8961</v>
      </c>
      <c r="C1987" s="403">
        <v>15207</v>
      </c>
      <c r="D1987" s="802"/>
      <c r="E1987" s="802"/>
      <c r="F1987" s="869">
        <f>(1/S1987)*cnst_fish!$C$6</f>
        <v>6.0129950673834844E-2</v>
      </c>
      <c r="G1987" s="869">
        <f t="shared" si="284"/>
        <v>1</v>
      </c>
      <c r="H1987" s="869">
        <f t="shared" si="284"/>
        <v>0.36449057933102513</v>
      </c>
      <c r="I1987" s="869">
        <f t="shared" si="276"/>
        <v>0</v>
      </c>
      <c r="J1987" s="389">
        <f t="shared" si="277"/>
        <v>0</v>
      </c>
      <c r="L1987" s="803">
        <v>1</v>
      </c>
      <c r="M1987" s="802"/>
      <c r="N1987" s="876" t="s">
        <v>1738</v>
      </c>
      <c r="O1987" s="880" t="s">
        <v>4681</v>
      </c>
      <c r="P1987" s="871">
        <f t="shared" si="278"/>
        <v>0</v>
      </c>
      <c r="Q1987" s="871">
        <f t="shared" si="279"/>
        <v>1</v>
      </c>
      <c r="R1987" s="869">
        <f t="shared" si="280"/>
        <v>3.7</v>
      </c>
      <c r="S1987" s="869">
        <f>(1/9)*cnst_fish!$C$7*(1/cnst_fish!$C$8)^(R1987-1)</f>
        <v>70.680250896153822</v>
      </c>
      <c r="T1987" s="682">
        <f t="shared" si="281"/>
        <v>6.0617142579767798</v>
      </c>
      <c r="W1987" s="818"/>
      <c r="X1987" s="818"/>
      <c r="Y1987" s="819"/>
      <c r="Z1987" s="820"/>
      <c r="AA1987" s="820"/>
      <c r="AB1987" s="821"/>
      <c r="AC1987" s="821"/>
      <c r="AD1987" s="253"/>
      <c r="AE1987" s="253"/>
    </row>
    <row r="1988" spans="1:31" ht="12.75" customHeight="1">
      <c r="A1988" t="s">
        <v>201</v>
      </c>
      <c r="B1988" t="s">
        <v>202</v>
      </c>
      <c r="C1988">
        <v>18730</v>
      </c>
      <c r="D1988" s="802"/>
      <c r="E1988" s="802"/>
      <c r="F1988" s="2">
        <f>(1/S1988)*cnst_fish!$C$6</f>
        <v>5.8761225892708345E-2</v>
      </c>
      <c r="G1988" s="2">
        <f t="shared" ref="G1988:H2007" si="285">G$7</f>
        <v>1</v>
      </c>
      <c r="H1988" s="2">
        <f t="shared" si="285"/>
        <v>0.36449057933102513</v>
      </c>
      <c r="I1988" s="2">
        <f t="shared" si="276"/>
        <v>0</v>
      </c>
      <c r="J1988" s="389">
        <f t="shared" si="277"/>
        <v>0</v>
      </c>
      <c r="L1988" s="803">
        <v>276</v>
      </c>
      <c r="M1988" s="802"/>
      <c r="N1988" s="804" t="s">
        <v>1738</v>
      </c>
      <c r="O1988" s="805" t="s">
        <v>4681</v>
      </c>
      <c r="P1988" s="233">
        <f t="shared" si="278"/>
        <v>0</v>
      </c>
      <c r="Q1988" s="233">
        <f t="shared" si="279"/>
        <v>276</v>
      </c>
      <c r="R1988" s="2">
        <f t="shared" si="280"/>
        <v>3.71</v>
      </c>
      <c r="S1988" s="2">
        <f>(1/9)*cnst_fish!$C$7*(1/cnst_fish!$C$8)^(R1988-1)</f>
        <v>72.326605434679692</v>
      </c>
      <c r="T1988" s="682">
        <f t="shared" si="281"/>
        <v>1712.0030831052877</v>
      </c>
      <c r="W1988" s="818"/>
      <c r="X1988" s="818"/>
      <c r="Y1988" s="819"/>
      <c r="Z1988" s="820"/>
      <c r="AA1988" s="820"/>
      <c r="AB1988" s="821"/>
      <c r="AC1988" s="821"/>
      <c r="AD1988" s="253"/>
      <c r="AE1988" s="253"/>
    </row>
    <row r="1989" spans="1:31" ht="12.75" customHeight="1">
      <c r="A1989" t="s">
        <v>6675</v>
      </c>
      <c r="B1989" t="s">
        <v>6674</v>
      </c>
      <c r="C1989">
        <v>15208</v>
      </c>
      <c r="D1989" s="802"/>
      <c r="E1989" s="802"/>
      <c r="F1989" s="2">
        <f>(1/S1989)*cnst_fish!$C$6</f>
        <v>3.0136363636363641</v>
      </c>
      <c r="G1989" s="2">
        <f t="shared" si="285"/>
        <v>1</v>
      </c>
      <c r="H1989" s="2">
        <f t="shared" si="285"/>
        <v>0.36449057933102513</v>
      </c>
      <c r="I1989" s="2">
        <f t="shared" si="276"/>
        <v>0</v>
      </c>
      <c r="J1989" s="389">
        <f t="shared" si="277"/>
        <v>0</v>
      </c>
      <c r="L1989" s="803">
        <v>100</v>
      </c>
      <c r="M1989" s="802"/>
      <c r="N1989" s="804" t="s">
        <v>1738</v>
      </c>
      <c r="O1989" s="805" t="s">
        <v>4681</v>
      </c>
      <c r="P1989" s="233">
        <f t="shared" si="278"/>
        <v>0</v>
      </c>
      <c r="Q1989" s="233">
        <f t="shared" si="279"/>
        <v>100</v>
      </c>
      <c r="R1989" s="2">
        <f t="shared" si="280"/>
        <v>2</v>
      </c>
      <c r="S1989" s="2">
        <f>(1/9)*cnst_fish!$C$7*(1/cnst_fish!$C$8)^(R1989-1)</f>
        <v>1.4102564102564099</v>
      </c>
      <c r="T1989" s="682">
        <f t="shared" si="281"/>
        <v>12.094710023050606</v>
      </c>
      <c r="W1989" s="818"/>
      <c r="X1989" s="818"/>
      <c r="Y1989" s="819"/>
      <c r="Z1989" s="820"/>
      <c r="AA1989" s="820"/>
      <c r="AB1989" s="821"/>
      <c r="AC1989" s="821"/>
      <c r="AD1989" s="253"/>
      <c r="AE1989" s="253"/>
    </row>
    <row r="1990" spans="1:31" ht="12.75" customHeight="1">
      <c r="A1990" s="403" t="s">
        <v>8962</v>
      </c>
      <c r="B1990" s="403" t="s">
        <v>8963</v>
      </c>
      <c r="C1990" s="403">
        <v>15209</v>
      </c>
      <c r="D1990" s="802"/>
      <c r="E1990" s="802"/>
      <c r="F1990" s="869">
        <f>(1/S1990)*cnst_fish!$C$6</f>
        <v>6.0129950673834844E-2</v>
      </c>
      <c r="G1990" s="869">
        <f t="shared" si="285"/>
        <v>1</v>
      </c>
      <c r="H1990" s="869">
        <f t="shared" si="285"/>
        <v>0.36449057933102513</v>
      </c>
      <c r="I1990" s="869">
        <f t="shared" si="276"/>
        <v>0</v>
      </c>
      <c r="J1990" s="389">
        <f t="shared" si="277"/>
        <v>0</v>
      </c>
      <c r="L1990" s="803">
        <v>6</v>
      </c>
      <c r="M1990" s="802"/>
      <c r="N1990" s="876" t="s">
        <v>1738</v>
      </c>
      <c r="O1990" s="880" t="s">
        <v>4681</v>
      </c>
      <c r="P1990" s="871">
        <f t="shared" si="278"/>
        <v>0</v>
      </c>
      <c r="Q1990" s="871">
        <f t="shared" si="279"/>
        <v>6</v>
      </c>
      <c r="R1990" s="869">
        <f t="shared" si="280"/>
        <v>3.7</v>
      </c>
      <c r="S1990" s="869">
        <f>(1/9)*cnst_fish!$C$7*(1/cnst_fish!$C$8)^(R1990-1)</f>
        <v>70.680250896153822</v>
      </c>
      <c r="T1990" s="682">
        <f t="shared" si="281"/>
        <v>36.370285547860675</v>
      </c>
      <c r="W1990" s="818"/>
      <c r="X1990" s="818"/>
      <c r="Y1990" s="819"/>
      <c r="Z1990" s="820"/>
      <c r="AA1990" s="820"/>
      <c r="AB1990" s="821"/>
      <c r="AC1990" s="821"/>
      <c r="AD1990" s="253"/>
      <c r="AE1990" s="253"/>
    </row>
    <row r="1991" spans="1:31" ht="12.75" customHeight="1">
      <c r="A1991" t="s">
        <v>1992</v>
      </c>
      <c r="B1991" t="s">
        <v>1290</v>
      </c>
      <c r="C1991">
        <v>2523</v>
      </c>
      <c r="D1991" s="802"/>
      <c r="E1991" s="802"/>
      <c r="F1991" s="2">
        <f>(1/S1991)*cnst_fish!$C$6</f>
        <v>6.2963787943464855E-2</v>
      </c>
      <c r="G1991" s="2">
        <f t="shared" si="285"/>
        <v>1</v>
      </c>
      <c r="H1991" s="2">
        <f t="shared" si="285"/>
        <v>0.36449057933102513</v>
      </c>
      <c r="I1991" s="2">
        <f t="shared" ref="I1991:I2054" si="286">IF($F1991=0,0,D1991/$F1991*$H1991*$G1991)</f>
        <v>0</v>
      </c>
      <c r="J1991" s="389">
        <f t="shared" ref="J1991:J2054" si="287">IF($F1991=0,0,E1991/$F1991*$H1991*$G1991)</f>
        <v>0</v>
      </c>
      <c r="L1991" s="803">
        <v>10140</v>
      </c>
      <c r="M1991" s="802"/>
      <c r="N1991" s="804" t="s">
        <v>1738</v>
      </c>
      <c r="O1991" s="805" t="s">
        <v>4681</v>
      </c>
      <c r="P1991" s="233">
        <f t="shared" ref="P1991:P2054" si="288">D1991+E1991</f>
        <v>0</v>
      </c>
      <c r="Q1991" s="233">
        <f t="shared" ref="Q1991:Q2054" si="289">L1991+M1991</f>
        <v>10140</v>
      </c>
      <c r="R1991" s="2">
        <f t="shared" ref="R1991:R2054" si="290">VLOOKUP(B1991,constant_fish_trophic,3,FALSE)</f>
        <v>3.68</v>
      </c>
      <c r="S1991" s="2">
        <f>(1/9)*cnst_fish!$C$7*(1/cnst_fish!$C$8)^(R1991-1)</f>
        <v>67.499115583961881</v>
      </c>
      <c r="T1991" s="682">
        <f t="shared" ref="T1991:T2054" si="291">IF(F1991=0,0,Q1991/F1991*H1991*G1991)</f>
        <v>58699.366653975332</v>
      </c>
      <c r="W1991" s="818"/>
      <c r="X1991" s="818"/>
      <c r="Y1991" s="819"/>
      <c r="Z1991" s="820"/>
      <c r="AA1991" s="820"/>
      <c r="AB1991" s="821"/>
      <c r="AC1991" s="821"/>
      <c r="AD1991" s="253"/>
      <c r="AE1991" s="253"/>
    </row>
    <row r="1992" spans="1:31" ht="12.75" customHeight="1">
      <c r="A1992" t="s">
        <v>1993</v>
      </c>
      <c r="B1992" t="s">
        <v>1291</v>
      </c>
      <c r="C1992">
        <v>3325</v>
      </c>
      <c r="D1992" s="802"/>
      <c r="E1992" s="802"/>
      <c r="F1992" s="2">
        <f>(1/S1992)*cnst_fish!$C$6</f>
        <v>2.3393265378400998E-2</v>
      </c>
      <c r="G1992" s="2">
        <f t="shared" si="285"/>
        <v>1</v>
      </c>
      <c r="H1992" s="2">
        <f t="shared" si="285"/>
        <v>0.36449057933102513</v>
      </c>
      <c r="I1992" s="2">
        <f t="shared" si="286"/>
        <v>0</v>
      </c>
      <c r="J1992" s="389">
        <f t="shared" si="287"/>
        <v>0</v>
      </c>
      <c r="L1992" s="803">
        <v>3311</v>
      </c>
      <c r="M1992" s="802"/>
      <c r="N1992" s="804" t="s">
        <v>1738</v>
      </c>
      <c r="O1992" s="805" t="s">
        <v>4681</v>
      </c>
      <c r="P1992" s="233">
        <f t="shared" si="288"/>
        <v>0</v>
      </c>
      <c r="Q1992" s="233">
        <f t="shared" si="289"/>
        <v>3311</v>
      </c>
      <c r="R1992" s="2">
        <f t="shared" si="290"/>
        <v>4.1100000000000003</v>
      </c>
      <c r="S1992" s="2">
        <f>(1/9)*cnst_fish!$C$7*(1/cnst_fish!$C$8)^(R1992-1)</f>
        <v>181.67621882851913</v>
      </c>
      <c r="T1992" s="682">
        <f t="shared" si="291"/>
        <v>51588.706777091866</v>
      </c>
      <c r="W1992" s="818"/>
      <c r="X1992" s="818"/>
      <c r="Y1992" s="819"/>
      <c r="Z1992" s="820"/>
      <c r="AA1992" s="820"/>
      <c r="AB1992" s="821"/>
      <c r="AC1992" s="821"/>
      <c r="AD1992" s="253"/>
      <c r="AE1992" s="253"/>
    </row>
    <row r="1993" spans="1:31" ht="12.75" customHeight="1">
      <c r="A1993" t="s">
        <v>58</v>
      </c>
      <c r="B1993" t="s">
        <v>1292</v>
      </c>
      <c r="C1993">
        <v>2526</v>
      </c>
      <c r="D1993" s="802"/>
      <c r="E1993" s="802"/>
      <c r="F1993" s="2">
        <f>(1/S1993)*cnst_fish!$C$6</f>
        <v>0.10449387811364928</v>
      </c>
      <c r="G1993" s="2">
        <f t="shared" si="285"/>
        <v>1</v>
      </c>
      <c r="H1993" s="2">
        <f t="shared" si="285"/>
        <v>0.36449057933102513</v>
      </c>
      <c r="I1993" s="2">
        <f t="shared" si="286"/>
        <v>0</v>
      </c>
      <c r="J1993" s="389">
        <f t="shared" si="287"/>
        <v>0</v>
      </c>
      <c r="L1993" s="803">
        <v>366</v>
      </c>
      <c r="M1993" s="802"/>
      <c r="N1993" s="804" t="s">
        <v>1738</v>
      </c>
      <c r="O1993" s="805" t="s">
        <v>4681</v>
      </c>
      <c r="P1993" s="233">
        <f t="shared" si="288"/>
        <v>0</v>
      </c>
      <c r="Q1993" s="233">
        <f t="shared" si="289"/>
        <v>366</v>
      </c>
      <c r="R1993" s="2">
        <f t="shared" si="290"/>
        <v>3.46</v>
      </c>
      <c r="S1993" s="2">
        <f>(1/9)*cnst_fish!$C$7*(1/cnst_fish!$C$8)^(R1993-1)</f>
        <v>40.672239146657276</v>
      </c>
      <c r="T1993" s="682">
        <f t="shared" si="291"/>
        <v>1276.6638050323222</v>
      </c>
      <c r="W1993" s="818"/>
      <c r="X1993" s="818"/>
      <c r="Y1993" s="819"/>
      <c r="Z1993" s="820"/>
      <c r="AA1993" s="820"/>
      <c r="AB1993" s="821"/>
      <c r="AC1993" s="821"/>
      <c r="AD1993" s="253"/>
      <c r="AE1993" s="253"/>
    </row>
    <row r="1994" spans="1:31" ht="12.75" customHeight="1">
      <c r="A1994" s="403" t="s">
        <v>8964</v>
      </c>
      <c r="B1994" s="403" t="s">
        <v>8965</v>
      </c>
      <c r="C1994" s="403">
        <v>15211</v>
      </c>
      <c r="D1994" s="802"/>
      <c r="E1994" s="802"/>
      <c r="F1994" s="869">
        <f>(1/S1994)*cnst_fish!$C$6</f>
        <v>0.19014759972289441</v>
      </c>
      <c r="G1994" s="869">
        <f t="shared" si="285"/>
        <v>1</v>
      </c>
      <c r="H1994" s="869">
        <f t="shared" si="285"/>
        <v>0.36449057933102513</v>
      </c>
      <c r="I1994" s="869">
        <f t="shared" si="286"/>
        <v>0</v>
      </c>
      <c r="J1994" s="389">
        <f t="shared" si="287"/>
        <v>0</v>
      </c>
      <c r="L1994" s="803">
        <v>113</v>
      </c>
      <c r="M1994" s="802"/>
      <c r="N1994" s="876" t="s">
        <v>1738</v>
      </c>
      <c r="O1994" s="880" t="s">
        <v>4681</v>
      </c>
      <c r="P1994" s="871">
        <f t="shared" si="288"/>
        <v>0</v>
      </c>
      <c r="Q1994" s="871">
        <f t="shared" si="289"/>
        <v>113</v>
      </c>
      <c r="R1994" s="869">
        <f t="shared" si="290"/>
        <v>3.2</v>
      </c>
      <c r="S1994" s="869">
        <f>(1/9)*cnst_fish!$C$7*(1/cnst_fish!$C$8)^(R1994-1)</f>
        <v>22.351057842400341</v>
      </c>
      <c r="T1994" s="682">
        <f t="shared" si="291"/>
        <v>216.60770645766257</v>
      </c>
      <c r="W1994" s="818"/>
      <c r="X1994" s="818"/>
      <c r="Y1994" s="819"/>
      <c r="Z1994" s="820"/>
      <c r="AA1994" s="820"/>
      <c r="AB1994" s="821"/>
      <c r="AC1994" s="821"/>
      <c r="AD1994" s="253"/>
      <c r="AE1994" s="253"/>
    </row>
    <row r="1995" spans="1:31" ht="12.75" customHeight="1">
      <c r="A1995" s="403" t="s">
        <v>8984</v>
      </c>
      <c r="B1995" s="403" t="s">
        <v>8985</v>
      </c>
      <c r="C1995" s="403">
        <v>20370</v>
      </c>
      <c r="D1995" s="802"/>
      <c r="E1995" s="802"/>
      <c r="F1995" s="869">
        <f>(1/S1995)*cnst_fish!$C$6</f>
        <v>3.0136363636363642E-2</v>
      </c>
      <c r="G1995" s="869">
        <f t="shared" si="285"/>
        <v>1</v>
      </c>
      <c r="H1995" s="869">
        <f t="shared" si="285"/>
        <v>0.36449057933102513</v>
      </c>
      <c r="I1995" s="869">
        <f t="shared" si="286"/>
        <v>0</v>
      </c>
      <c r="J1995" s="389">
        <f t="shared" si="287"/>
        <v>0</v>
      </c>
      <c r="L1995" s="803"/>
      <c r="M1995" s="802"/>
      <c r="N1995" s="876" t="s">
        <v>1738</v>
      </c>
      <c r="O1995" s="880" t="s">
        <v>4681</v>
      </c>
      <c r="P1995" s="871">
        <f t="shared" si="288"/>
        <v>0</v>
      </c>
      <c r="Q1995" s="871">
        <f t="shared" si="289"/>
        <v>0</v>
      </c>
      <c r="R1995" s="869">
        <f t="shared" si="290"/>
        <v>4</v>
      </c>
      <c r="S1995" s="869">
        <f>(1/9)*cnst_fish!$C$7*(1/cnst_fish!$C$8)^(R1995-1)</f>
        <v>141.02564102564099</v>
      </c>
      <c r="T1995" s="682">
        <f t="shared" si="291"/>
        <v>0</v>
      </c>
      <c r="W1995" s="818"/>
      <c r="X1995" s="818"/>
      <c r="Y1995" s="819"/>
      <c r="Z1995" s="820"/>
      <c r="AA1995" s="820"/>
      <c r="AB1995" s="821"/>
      <c r="AC1995" s="821"/>
      <c r="AD1995" s="253"/>
      <c r="AE1995" s="253"/>
    </row>
    <row r="1996" spans="1:31" ht="12.75" customHeight="1">
      <c r="A1996" t="s">
        <v>2522</v>
      </c>
      <c r="B1996" t="s">
        <v>1293</v>
      </c>
      <c r="C1996">
        <v>3324</v>
      </c>
      <c r="D1996" s="802"/>
      <c r="E1996" s="802"/>
      <c r="F1996" s="2">
        <f>(1/S1996)*cnst_fish!$C$6</f>
        <v>2.7484690295134888E-2</v>
      </c>
      <c r="G1996" s="2">
        <f t="shared" si="285"/>
        <v>1</v>
      </c>
      <c r="H1996" s="2">
        <f t="shared" si="285"/>
        <v>0.36449057933102513</v>
      </c>
      <c r="I1996" s="2">
        <f t="shared" si="286"/>
        <v>0</v>
      </c>
      <c r="J1996" s="389">
        <f t="shared" si="287"/>
        <v>0</v>
      </c>
      <c r="L1996" s="803">
        <v>57641</v>
      </c>
      <c r="M1996" s="802"/>
      <c r="N1996" s="804" t="s">
        <v>1738</v>
      </c>
      <c r="O1996" s="805" t="s">
        <v>4681</v>
      </c>
      <c r="P1996" s="233">
        <f t="shared" si="288"/>
        <v>0</v>
      </c>
      <c r="Q1996" s="233">
        <f t="shared" si="289"/>
        <v>57641</v>
      </c>
      <c r="R1996" s="2">
        <f t="shared" si="290"/>
        <v>4.04</v>
      </c>
      <c r="S1996" s="2">
        <f>(1/9)*cnst_fish!$C$7*(1/cnst_fish!$C$8)^(R1996-1)</f>
        <v>154.63154048173138</v>
      </c>
      <c r="T1996" s="682">
        <f t="shared" si="291"/>
        <v>764411.06876647484</v>
      </c>
      <c r="W1996" s="818"/>
      <c r="X1996" s="818"/>
      <c r="Y1996" s="819"/>
      <c r="Z1996" s="820"/>
      <c r="AA1996" s="820"/>
      <c r="AB1996" s="821"/>
      <c r="AC1996" s="821"/>
      <c r="AD1996" s="253"/>
      <c r="AE1996" s="253"/>
    </row>
    <row r="1997" spans="1:31" ht="12.75" customHeight="1">
      <c r="A1997" t="s">
        <v>1613</v>
      </c>
      <c r="B1997" t="s">
        <v>1294</v>
      </c>
      <c r="C1997">
        <v>18588</v>
      </c>
      <c r="D1997" s="802"/>
      <c r="E1997" s="802"/>
      <c r="F1997" s="2">
        <f>(1/S1997)*cnst_fish!$C$6</f>
        <v>1.256292732912874E-2</v>
      </c>
      <c r="G1997" s="2">
        <f t="shared" si="285"/>
        <v>1</v>
      </c>
      <c r="H1997" s="2">
        <f t="shared" si="285"/>
        <v>0.36449057933102513</v>
      </c>
      <c r="I1997" s="2">
        <f t="shared" si="286"/>
        <v>0</v>
      </c>
      <c r="J1997" s="389">
        <f t="shared" si="287"/>
        <v>0</v>
      </c>
      <c r="L1997" s="803">
        <v>167</v>
      </c>
      <c r="M1997" s="802"/>
      <c r="N1997" s="804" t="s">
        <v>1738</v>
      </c>
      <c r="O1997" s="805" t="s">
        <v>4681</v>
      </c>
      <c r="P1997" s="233">
        <f t="shared" si="288"/>
        <v>0</v>
      </c>
      <c r="Q1997" s="233">
        <f t="shared" si="289"/>
        <v>167</v>
      </c>
      <c r="R1997" s="2">
        <f t="shared" si="290"/>
        <v>4.38</v>
      </c>
      <c r="S1997" s="2">
        <f>(1/9)*cnst_fish!$C$7*(1/cnst_fish!$C$8)^(R1997-1)</f>
        <v>338.2969501181334</v>
      </c>
      <c r="T1997" s="682">
        <f t="shared" si="291"/>
        <v>4845.2024877312278</v>
      </c>
      <c r="W1997" s="818"/>
      <c r="X1997" s="818"/>
      <c r="Y1997" s="819"/>
      <c r="Z1997" s="820"/>
      <c r="AA1997" s="820"/>
      <c r="AB1997" s="821"/>
      <c r="AC1997" s="821"/>
      <c r="AD1997" s="253"/>
      <c r="AE1997" s="253"/>
    </row>
    <row r="1998" spans="1:31" ht="12.75" customHeight="1">
      <c r="A1998" t="s">
        <v>8777</v>
      </c>
      <c r="B1998" t="s">
        <v>8778</v>
      </c>
      <c r="C1998">
        <v>18718</v>
      </c>
      <c r="D1998" s="802"/>
      <c r="E1998" s="802"/>
      <c r="F1998" s="2">
        <f>(1/S1998)*cnst_fish!$C$6</f>
        <v>4.7762917572805388E-2</v>
      </c>
      <c r="G1998" s="2">
        <f t="shared" si="285"/>
        <v>1</v>
      </c>
      <c r="H1998" s="2">
        <f t="shared" si="285"/>
        <v>0.36449057933102513</v>
      </c>
      <c r="I1998" s="2">
        <f t="shared" si="286"/>
        <v>0</v>
      </c>
      <c r="J1998" s="389">
        <f t="shared" si="287"/>
        <v>0</v>
      </c>
      <c r="L1998" s="803">
        <v>51</v>
      </c>
      <c r="M1998" s="802"/>
      <c r="N1998" s="804" t="s">
        <v>1738</v>
      </c>
      <c r="O1998" s="805" t="s">
        <v>4681</v>
      </c>
      <c r="P1998" s="233">
        <f t="shared" si="288"/>
        <v>0</v>
      </c>
      <c r="Q1998" s="233">
        <f t="shared" si="289"/>
        <v>51</v>
      </c>
      <c r="R1998" s="2">
        <f t="shared" si="290"/>
        <v>3.8</v>
      </c>
      <c r="S1998" s="2">
        <f>(1/9)*cnst_fish!$C$7*(1/cnst_fish!$C$8)^(R1998-1)</f>
        <v>88.981163965155432</v>
      </c>
      <c r="T1998" s="682">
        <f t="shared" si="291"/>
        <v>389.19355203850131</v>
      </c>
      <c r="W1998" s="818"/>
      <c r="X1998" s="818"/>
      <c r="Y1998" s="819"/>
      <c r="Z1998" s="820"/>
      <c r="AA1998" s="820"/>
      <c r="AB1998" s="821"/>
      <c r="AC1998" s="821"/>
      <c r="AD1998" s="253"/>
      <c r="AE1998" s="253"/>
    </row>
    <row r="1999" spans="1:31" ht="12.75" customHeight="1">
      <c r="A1999" t="s">
        <v>5454</v>
      </c>
      <c r="B1999" t="s">
        <v>1295</v>
      </c>
      <c r="C1999">
        <v>3327</v>
      </c>
      <c r="D1999" s="802"/>
      <c r="E1999" s="802"/>
      <c r="F1999" s="2">
        <f>(1/S1999)*cnst_fish!$C$6</f>
        <v>6.7466914312309487E-2</v>
      </c>
      <c r="G1999" s="2">
        <f t="shared" si="285"/>
        <v>1</v>
      </c>
      <c r="H1999" s="2">
        <f t="shared" si="285"/>
        <v>0.36449057933102513</v>
      </c>
      <c r="I1999" s="2">
        <f t="shared" si="286"/>
        <v>0</v>
      </c>
      <c r="J1999" s="389">
        <f t="shared" si="287"/>
        <v>0</v>
      </c>
      <c r="L1999" s="803">
        <v>70882</v>
      </c>
      <c r="M1999" s="802"/>
      <c r="N1999" s="804" t="s">
        <v>1738</v>
      </c>
      <c r="O1999" s="805" t="s">
        <v>4681</v>
      </c>
      <c r="P1999" s="233">
        <f t="shared" si="288"/>
        <v>0</v>
      </c>
      <c r="Q1999" s="233">
        <f t="shared" si="289"/>
        <v>70882</v>
      </c>
      <c r="R1999" s="2">
        <f t="shared" si="290"/>
        <v>3.65</v>
      </c>
      <c r="S1999" s="2">
        <f>(1/9)*cnst_fish!$C$7*(1/cnst_fish!$C$8)^(R1999-1)</f>
        <v>62.993839918725584</v>
      </c>
      <c r="T1999" s="682">
        <f t="shared" si="291"/>
        <v>382940.60885229963</v>
      </c>
      <c r="W1999" s="818"/>
      <c r="X1999" s="818"/>
      <c r="Y1999" s="819"/>
      <c r="Z1999" s="820"/>
      <c r="AA1999" s="820"/>
      <c r="AB1999" s="821"/>
      <c r="AC1999" s="821"/>
      <c r="AD1999" s="253"/>
      <c r="AE1999" s="253"/>
    </row>
    <row r="2000" spans="1:31" ht="12.75" customHeight="1">
      <c r="A2000" s="403" t="s">
        <v>8966</v>
      </c>
      <c r="B2000" s="403" t="s">
        <v>8967</v>
      </c>
      <c r="C2000" s="403">
        <v>15215</v>
      </c>
      <c r="D2000" s="802"/>
      <c r="E2000" s="802"/>
      <c r="F2000" s="869">
        <f>(1/S2000)*cnst_fish!$C$6</f>
        <v>0.60129950673834842</v>
      </c>
      <c r="G2000" s="869">
        <f t="shared" si="285"/>
        <v>1</v>
      </c>
      <c r="H2000" s="869">
        <f t="shared" si="285"/>
        <v>0.36449057933102513</v>
      </c>
      <c r="I2000" s="869">
        <f t="shared" si="286"/>
        <v>0</v>
      </c>
      <c r="J2000" s="389">
        <f t="shared" si="287"/>
        <v>0</v>
      </c>
      <c r="L2000" s="803">
        <v>14</v>
      </c>
      <c r="M2000" s="802"/>
      <c r="N2000" s="876" t="s">
        <v>1738</v>
      </c>
      <c r="O2000" s="880" t="s">
        <v>4681</v>
      </c>
      <c r="P2000" s="871">
        <f t="shared" si="288"/>
        <v>0</v>
      </c>
      <c r="Q2000" s="871">
        <f t="shared" si="289"/>
        <v>14</v>
      </c>
      <c r="R2000" s="869">
        <f t="shared" si="290"/>
        <v>2.7</v>
      </c>
      <c r="S2000" s="869">
        <f>(1/9)*cnst_fish!$C$7*(1/cnst_fish!$C$8)^(R2000-1)</f>
        <v>7.0680250896153813</v>
      </c>
      <c r="T2000" s="682">
        <f t="shared" si="291"/>
        <v>8.486399961167491</v>
      </c>
      <c r="W2000" s="818"/>
      <c r="X2000" s="818"/>
      <c r="Y2000" s="819"/>
      <c r="Z2000" s="820"/>
      <c r="AA2000" s="820"/>
      <c r="AB2000" s="821"/>
      <c r="AC2000" s="821"/>
      <c r="AD2000" s="253"/>
      <c r="AE2000" s="253"/>
    </row>
    <row r="2001" spans="1:31" ht="12.75" customHeight="1">
      <c r="A2001" s="403" t="s">
        <v>8980</v>
      </c>
      <c r="B2001" s="403" t="s">
        <v>8981</v>
      </c>
      <c r="C2001" s="403">
        <v>18719</v>
      </c>
      <c r="D2001" s="802"/>
      <c r="E2001" s="802"/>
      <c r="F2001" s="869">
        <f>(1/S2001)*cnst_fish!$C$6</f>
        <v>3.7939434000887833E-2</v>
      </c>
      <c r="G2001" s="869">
        <f t="shared" si="285"/>
        <v>1</v>
      </c>
      <c r="H2001" s="869">
        <f t="shared" si="285"/>
        <v>0.36449057933102513</v>
      </c>
      <c r="I2001" s="869">
        <f t="shared" si="286"/>
        <v>0</v>
      </c>
      <c r="J2001" s="389">
        <f t="shared" si="287"/>
        <v>0</v>
      </c>
      <c r="L2001" s="803">
        <v>7</v>
      </c>
      <c r="M2001" s="802"/>
      <c r="N2001" s="876" t="s">
        <v>1738</v>
      </c>
      <c r="O2001" s="880" t="s">
        <v>4681</v>
      </c>
      <c r="P2001" s="871">
        <f t="shared" si="288"/>
        <v>0</v>
      </c>
      <c r="Q2001" s="871">
        <f t="shared" si="289"/>
        <v>7</v>
      </c>
      <c r="R2001" s="869">
        <f t="shared" si="290"/>
        <v>3.9</v>
      </c>
      <c r="S2001" s="869">
        <f>(1/9)*cnst_fish!$C$7*(1/cnst_fish!$C$8)^(R2001-1)</f>
        <v>112.02064848675771</v>
      </c>
      <c r="T2001" s="682">
        <f t="shared" si="291"/>
        <v>67.250187634783089</v>
      </c>
      <c r="W2001" s="818"/>
      <c r="X2001" s="818"/>
      <c r="Y2001" s="819"/>
      <c r="Z2001" s="820"/>
      <c r="AA2001" s="820"/>
      <c r="AB2001" s="821"/>
      <c r="AC2001" s="821"/>
      <c r="AD2001" s="253"/>
      <c r="AE2001" s="253"/>
    </row>
    <row r="2002" spans="1:31" ht="12.75" customHeight="1">
      <c r="A2002" t="s">
        <v>6561</v>
      </c>
      <c r="B2002" t="s">
        <v>6560</v>
      </c>
      <c r="C2002">
        <v>19217</v>
      </c>
      <c r="D2002" s="802"/>
      <c r="E2002" s="802"/>
      <c r="F2002" s="2">
        <f>(1/S2002)*cnst_fish!$C$6</f>
        <v>3.0136363636363641</v>
      </c>
      <c r="G2002" s="2">
        <f t="shared" si="285"/>
        <v>1</v>
      </c>
      <c r="H2002" s="2">
        <f t="shared" si="285"/>
        <v>0.36449057933102513</v>
      </c>
      <c r="I2002" s="2">
        <f t="shared" si="286"/>
        <v>0</v>
      </c>
      <c r="J2002" s="389">
        <f t="shared" si="287"/>
        <v>0</v>
      </c>
      <c r="L2002" s="803">
        <v>0</v>
      </c>
      <c r="M2002" s="802"/>
      <c r="N2002" s="804" t="s">
        <v>1738</v>
      </c>
      <c r="O2002" s="805" t="s">
        <v>4681</v>
      </c>
      <c r="P2002" s="233">
        <f t="shared" si="288"/>
        <v>0</v>
      </c>
      <c r="Q2002" s="233">
        <f t="shared" si="289"/>
        <v>0</v>
      </c>
      <c r="R2002" s="2">
        <f t="shared" si="290"/>
        <v>2</v>
      </c>
      <c r="S2002" s="2">
        <f>(1/9)*cnst_fish!$C$7*(1/cnst_fish!$C$8)^(R2002-1)</f>
        <v>1.4102564102564099</v>
      </c>
      <c r="T2002" s="682">
        <f t="shared" si="291"/>
        <v>0</v>
      </c>
      <c r="W2002" s="818"/>
      <c r="X2002" s="818"/>
      <c r="Y2002" s="819"/>
      <c r="Z2002" s="820"/>
      <c r="AA2002" s="820"/>
      <c r="AB2002" s="821"/>
      <c r="AC2002" s="821"/>
      <c r="AD2002" s="253"/>
      <c r="AE2002" s="253"/>
    </row>
    <row r="2003" spans="1:31" ht="12.75" customHeight="1">
      <c r="A2003" t="s">
        <v>4125</v>
      </c>
      <c r="B2003" t="s">
        <v>1296</v>
      </c>
      <c r="C2003">
        <v>2524</v>
      </c>
      <c r="D2003" s="802"/>
      <c r="E2003" s="802"/>
      <c r="F2003" s="2">
        <f>(1/S2003)*cnst_fish!$C$6</f>
        <v>9.3130266898023228E-2</v>
      </c>
      <c r="G2003" s="2">
        <f t="shared" si="285"/>
        <v>1</v>
      </c>
      <c r="H2003" s="2">
        <f t="shared" si="285"/>
        <v>0.36449057933102513</v>
      </c>
      <c r="I2003" s="2">
        <f t="shared" si="286"/>
        <v>0</v>
      </c>
      <c r="J2003" s="389">
        <f t="shared" si="287"/>
        <v>0</v>
      </c>
      <c r="L2003" s="803"/>
      <c r="M2003" s="802"/>
      <c r="N2003" s="804" t="s">
        <v>1738</v>
      </c>
      <c r="O2003" s="805" t="s">
        <v>4681</v>
      </c>
      <c r="P2003" s="233">
        <f t="shared" si="288"/>
        <v>0</v>
      </c>
      <c r="Q2003" s="233">
        <f t="shared" si="289"/>
        <v>0</v>
      </c>
      <c r="R2003" s="2">
        <f t="shared" si="290"/>
        <v>3.51</v>
      </c>
      <c r="S2003" s="2">
        <f>(1/9)*cnst_fish!$C$7*(1/cnst_fish!$C$8)^(R2003-1)</f>
        <v>45.635002900332182</v>
      </c>
      <c r="T2003" s="682">
        <f t="shared" si="291"/>
        <v>0</v>
      </c>
      <c r="W2003" s="818"/>
      <c r="X2003" s="818"/>
      <c r="Y2003" s="819"/>
      <c r="Z2003" s="820"/>
      <c r="AA2003" s="820"/>
      <c r="AB2003" s="821"/>
      <c r="AC2003" s="821"/>
      <c r="AD2003" s="253"/>
      <c r="AE2003" s="253"/>
    </row>
    <row r="2004" spans="1:31" ht="12.75" customHeight="1">
      <c r="A2004" t="s">
        <v>56</v>
      </c>
      <c r="B2004" t="s">
        <v>2104</v>
      </c>
      <c r="C2004">
        <v>3329</v>
      </c>
      <c r="D2004" s="802"/>
      <c r="E2004" s="802"/>
      <c r="F2004" s="2">
        <f>(1/S2004)*cnst_fish!$C$6</f>
        <v>4.7762917572805388E-2</v>
      </c>
      <c r="G2004" s="2">
        <f t="shared" si="285"/>
        <v>1</v>
      </c>
      <c r="H2004" s="2">
        <f t="shared" si="285"/>
        <v>0.36449057933102513</v>
      </c>
      <c r="I2004" s="2">
        <f t="shared" si="286"/>
        <v>0</v>
      </c>
      <c r="J2004" s="389">
        <f t="shared" si="287"/>
        <v>0</v>
      </c>
      <c r="L2004" s="803">
        <v>479</v>
      </c>
      <c r="M2004" s="802"/>
      <c r="N2004" s="804" t="s">
        <v>1738</v>
      </c>
      <c r="O2004" s="805" t="s">
        <v>4681</v>
      </c>
      <c r="P2004" s="233">
        <f t="shared" si="288"/>
        <v>0</v>
      </c>
      <c r="Q2004" s="233">
        <f t="shared" si="289"/>
        <v>479</v>
      </c>
      <c r="R2004" s="2">
        <f t="shared" si="290"/>
        <v>3.8</v>
      </c>
      <c r="S2004" s="2">
        <f>(1/9)*cnst_fish!$C$7*(1/cnst_fish!$C$8)^(R2004-1)</f>
        <v>88.981163965155432</v>
      </c>
      <c r="T2004" s="682">
        <f t="shared" si="291"/>
        <v>3655.3668907145516</v>
      </c>
      <c r="W2004" s="818"/>
      <c r="X2004" s="818"/>
      <c r="Y2004" s="819"/>
      <c r="Z2004" s="820"/>
      <c r="AA2004" s="820"/>
      <c r="AB2004" s="821"/>
      <c r="AC2004" s="821"/>
      <c r="AD2004" s="253"/>
      <c r="AE2004" s="253"/>
    </row>
    <row r="2005" spans="1:31" ht="12.75" customHeight="1">
      <c r="A2005" s="403" t="s">
        <v>8978</v>
      </c>
      <c r="B2005" s="403" t="s">
        <v>8979</v>
      </c>
      <c r="C2005" s="403">
        <v>18661</v>
      </c>
      <c r="D2005" s="802"/>
      <c r="E2005" s="802"/>
      <c r="F2005" s="869">
        <f>(1/S2005)*cnst_fish!$C$6</f>
        <v>4.7762917572805388E-2</v>
      </c>
      <c r="G2005" s="869">
        <f t="shared" si="285"/>
        <v>1</v>
      </c>
      <c r="H2005" s="869">
        <f t="shared" si="285"/>
        <v>0.36449057933102513</v>
      </c>
      <c r="I2005" s="869">
        <f t="shared" si="286"/>
        <v>0</v>
      </c>
      <c r="J2005" s="389">
        <f t="shared" si="287"/>
        <v>0</v>
      </c>
      <c r="L2005" s="803">
        <v>15</v>
      </c>
      <c r="M2005" s="802"/>
      <c r="N2005" s="876" t="s">
        <v>1738</v>
      </c>
      <c r="O2005" s="880" t="s">
        <v>4681</v>
      </c>
      <c r="P2005" s="871">
        <f t="shared" si="288"/>
        <v>0</v>
      </c>
      <c r="Q2005" s="871">
        <f t="shared" si="289"/>
        <v>15</v>
      </c>
      <c r="R2005" s="869">
        <f t="shared" si="290"/>
        <v>3.8</v>
      </c>
      <c r="S2005" s="869">
        <f>(1/9)*cnst_fish!$C$7*(1/cnst_fish!$C$8)^(R2005-1)</f>
        <v>88.981163965155432</v>
      </c>
      <c r="T2005" s="682">
        <f t="shared" si="291"/>
        <v>114.4686917760298</v>
      </c>
      <c r="W2005" s="818"/>
      <c r="X2005" s="818"/>
      <c r="Y2005" s="819"/>
      <c r="Z2005" s="820"/>
      <c r="AA2005" s="820"/>
      <c r="AB2005" s="821"/>
      <c r="AC2005" s="821"/>
      <c r="AD2005" s="253"/>
      <c r="AE2005" s="253"/>
    </row>
    <row r="2006" spans="1:31" ht="12.75" customHeight="1">
      <c r="A2006" s="403" t="s">
        <v>8968</v>
      </c>
      <c r="B2006" s="403" t="s">
        <v>8969</v>
      </c>
      <c r="C2006" s="403">
        <v>15216</v>
      </c>
      <c r="D2006" s="802"/>
      <c r="E2006" s="802"/>
      <c r="F2006" s="869">
        <f>(1/S2006)*cnst_fish!$C$6</f>
        <v>6.0129950673834844E-2</v>
      </c>
      <c r="G2006" s="869">
        <f t="shared" si="285"/>
        <v>1</v>
      </c>
      <c r="H2006" s="869">
        <f t="shared" si="285"/>
        <v>0.36449057933102513</v>
      </c>
      <c r="I2006" s="869">
        <f t="shared" si="286"/>
        <v>0</v>
      </c>
      <c r="J2006" s="389">
        <f t="shared" si="287"/>
        <v>0</v>
      </c>
      <c r="L2006" s="803">
        <v>0</v>
      </c>
      <c r="M2006" s="802"/>
      <c r="N2006" s="876" t="s">
        <v>1738</v>
      </c>
      <c r="O2006" s="880" t="s">
        <v>4681</v>
      </c>
      <c r="P2006" s="871">
        <f t="shared" si="288"/>
        <v>0</v>
      </c>
      <c r="Q2006" s="871">
        <f t="shared" si="289"/>
        <v>0</v>
      </c>
      <c r="R2006" s="869">
        <f t="shared" si="290"/>
        <v>3.7</v>
      </c>
      <c r="S2006" s="869">
        <f>(1/9)*cnst_fish!$C$7*(1/cnst_fish!$C$8)^(R2006-1)</f>
        <v>70.680250896153822</v>
      </c>
      <c r="T2006" s="682">
        <f t="shared" si="291"/>
        <v>0</v>
      </c>
      <c r="W2006" s="818"/>
      <c r="X2006" s="818"/>
      <c r="Y2006" s="819"/>
      <c r="Z2006" s="820"/>
      <c r="AA2006" s="820"/>
      <c r="AB2006" s="821"/>
      <c r="AC2006" s="821"/>
      <c r="AD2006" s="253"/>
      <c r="AE2006" s="253"/>
    </row>
    <row r="2007" spans="1:31" ht="12.75" customHeight="1">
      <c r="A2007" s="403" t="s">
        <v>8976</v>
      </c>
      <c r="B2007" s="403" t="s">
        <v>8977</v>
      </c>
      <c r="C2007" s="403">
        <v>18587</v>
      </c>
      <c r="D2007" s="802"/>
      <c r="E2007" s="802"/>
      <c r="F2007" s="869">
        <f>(1/S2007)*cnst_fish!$C$6</f>
        <v>1.1997502458044018E-2</v>
      </c>
      <c r="G2007" s="869">
        <f t="shared" si="285"/>
        <v>1</v>
      </c>
      <c r="H2007" s="869">
        <f t="shared" si="285"/>
        <v>0.36449057933102513</v>
      </c>
      <c r="I2007" s="869">
        <f t="shared" si="286"/>
        <v>0</v>
      </c>
      <c r="J2007" s="389">
        <f t="shared" si="287"/>
        <v>0</v>
      </c>
      <c r="L2007" s="803">
        <v>3</v>
      </c>
      <c r="M2007" s="802"/>
      <c r="N2007" s="876" t="s">
        <v>1738</v>
      </c>
      <c r="O2007" s="880" t="s">
        <v>4681</v>
      </c>
      <c r="P2007" s="871">
        <f t="shared" si="288"/>
        <v>0</v>
      </c>
      <c r="Q2007" s="871">
        <f t="shared" si="289"/>
        <v>3</v>
      </c>
      <c r="R2007" s="869">
        <f t="shared" si="290"/>
        <v>4.4000000000000004</v>
      </c>
      <c r="S2007" s="869">
        <f>(1/9)*cnst_fish!$C$7*(1/cnst_fish!$C$8)^(R2007-1)</f>
        <v>354.24039418724885</v>
      </c>
      <c r="T2007" s="682">
        <f t="shared" si="291"/>
        <v>91.141613999831321</v>
      </c>
      <c r="W2007" s="818"/>
      <c r="X2007" s="818"/>
      <c r="Y2007" s="819"/>
      <c r="Z2007" s="820"/>
      <c r="AA2007" s="820"/>
      <c r="AB2007" s="821"/>
      <c r="AC2007" s="821"/>
      <c r="AD2007" s="253"/>
      <c r="AE2007" s="253"/>
    </row>
    <row r="2008" spans="1:31" ht="12.75" customHeight="1">
      <c r="A2008" t="s">
        <v>8779</v>
      </c>
      <c r="B2008" t="s">
        <v>8780</v>
      </c>
      <c r="C2008">
        <v>20372</v>
      </c>
      <c r="D2008" s="802"/>
      <c r="E2008" s="802"/>
      <c r="F2008" s="2">
        <f>(1/S2008)*cnst_fish!$C$6</f>
        <v>4.7762917572805388E-2</v>
      </c>
      <c r="G2008" s="2">
        <f t="shared" ref="G2008:H2027" si="292">G$7</f>
        <v>1</v>
      </c>
      <c r="H2008" s="2">
        <f t="shared" si="292"/>
        <v>0.36449057933102513</v>
      </c>
      <c r="I2008" s="2">
        <f t="shared" si="286"/>
        <v>0</v>
      </c>
      <c r="J2008" s="389">
        <f t="shared" si="287"/>
        <v>0</v>
      </c>
      <c r="L2008" s="803">
        <v>28</v>
      </c>
      <c r="M2008" s="802"/>
      <c r="N2008" s="804" t="s">
        <v>1738</v>
      </c>
      <c r="O2008" s="805" t="s">
        <v>4681</v>
      </c>
      <c r="P2008" s="233">
        <f t="shared" si="288"/>
        <v>0</v>
      </c>
      <c r="Q2008" s="233">
        <f t="shared" si="289"/>
        <v>28</v>
      </c>
      <c r="R2008" s="2">
        <f t="shared" si="290"/>
        <v>3.8</v>
      </c>
      <c r="S2008" s="2">
        <f>(1/9)*cnst_fish!$C$7*(1/cnst_fish!$C$8)^(R2008-1)</f>
        <v>88.981163965155432</v>
      </c>
      <c r="T2008" s="682">
        <f t="shared" si="291"/>
        <v>213.67489131525562</v>
      </c>
      <c r="W2008" s="822"/>
      <c r="X2008" s="822"/>
      <c r="Y2008" s="819"/>
      <c r="Z2008" s="820"/>
      <c r="AA2008" s="820"/>
      <c r="AB2008" s="821"/>
      <c r="AC2008" s="821"/>
      <c r="AD2008" s="253"/>
      <c r="AE2008" s="253"/>
    </row>
    <row r="2009" spans="1:31" ht="12.75" customHeight="1">
      <c r="A2009" t="s">
        <v>4212</v>
      </c>
      <c r="B2009" t="s">
        <v>8781</v>
      </c>
      <c r="C2009">
        <v>15217</v>
      </c>
      <c r="D2009" s="802"/>
      <c r="E2009" s="802"/>
      <c r="F2009" s="2">
        <f>(1/S2009)*cnst_fish!$C$6</f>
        <v>6.2963787943464855E-2</v>
      </c>
      <c r="G2009" s="2">
        <f t="shared" si="292"/>
        <v>1</v>
      </c>
      <c r="H2009" s="2">
        <f t="shared" si="292"/>
        <v>0.36449057933102513</v>
      </c>
      <c r="I2009" s="2">
        <f t="shared" si="286"/>
        <v>0</v>
      </c>
      <c r="J2009" s="389">
        <f t="shared" si="287"/>
        <v>0</v>
      </c>
      <c r="L2009" s="803"/>
      <c r="M2009" s="802"/>
      <c r="N2009" s="804" t="s">
        <v>1738</v>
      </c>
      <c r="O2009" s="805" t="s">
        <v>4681</v>
      </c>
      <c r="P2009" s="233">
        <f t="shared" si="288"/>
        <v>0</v>
      </c>
      <c r="Q2009" s="233">
        <f t="shared" si="289"/>
        <v>0</v>
      </c>
      <c r="R2009" s="2">
        <f t="shared" si="290"/>
        <v>3.68</v>
      </c>
      <c r="S2009" s="2">
        <f>(1/9)*cnst_fish!$C$7*(1/cnst_fish!$C$8)^(R2009-1)</f>
        <v>67.499115583961881</v>
      </c>
      <c r="T2009" s="682">
        <f t="shared" si="291"/>
        <v>0</v>
      </c>
      <c r="W2009" s="818"/>
      <c r="X2009" s="818"/>
      <c r="Y2009" s="819"/>
      <c r="Z2009" s="820"/>
      <c r="AA2009" s="820"/>
      <c r="AB2009" s="821"/>
      <c r="AC2009" s="821"/>
      <c r="AD2009" s="253"/>
      <c r="AE2009" s="253"/>
    </row>
    <row r="2010" spans="1:31" ht="12.75" customHeight="1">
      <c r="A2010" s="403" t="s">
        <v>8970</v>
      </c>
      <c r="B2010" s="403" t="s">
        <v>8971</v>
      </c>
      <c r="C2010" s="403">
        <v>15218</v>
      </c>
      <c r="D2010" s="802"/>
      <c r="E2010" s="802"/>
      <c r="F2010" s="869">
        <f>(1/S2010)*cnst_fish!$C$6</f>
        <v>1.9014759972289439E-2</v>
      </c>
      <c r="G2010" s="869">
        <f t="shared" si="292"/>
        <v>1</v>
      </c>
      <c r="H2010" s="869">
        <f t="shared" si="292"/>
        <v>0.36449057933102513</v>
      </c>
      <c r="I2010" s="869">
        <f t="shared" si="286"/>
        <v>0</v>
      </c>
      <c r="J2010" s="389">
        <f t="shared" si="287"/>
        <v>0</v>
      </c>
      <c r="L2010" s="803">
        <v>0</v>
      </c>
      <c r="M2010" s="802"/>
      <c r="N2010" s="876" t="s">
        <v>1738</v>
      </c>
      <c r="O2010" s="880" t="s">
        <v>4681</v>
      </c>
      <c r="P2010" s="871">
        <f t="shared" si="288"/>
        <v>0</v>
      </c>
      <c r="Q2010" s="871">
        <f t="shared" si="289"/>
        <v>0</v>
      </c>
      <c r="R2010" s="869">
        <f t="shared" si="290"/>
        <v>4.2</v>
      </c>
      <c r="S2010" s="869">
        <f>(1/9)*cnst_fish!$C$7*(1/cnst_fish!$C$8)^(R2010-1)</f>
        <v>223.51057842400343</v>
      </c>
      <c r="T2010" s="682">
        <f t="shared" si="291"/>
        <v>0</v>
      </c>
      <c r="W2010" s="818"/>
      <c r="X2010" s="818"/>
      <c r="Y2010" s="819"/>
      <c r="Z2010" s="820"/>
      <c r="AA2010" s="820"/>
      <c r="AB2010" s="821"/>
      <c r="AC2010" s="821"/>
      <c r="AD2010" s="253"/>
      <c r="AE2010" s="253"/>
    </row>
    <row r="2011" spans="1:31" ht="12.75" customHeight="1">
      <c r="A2011" s="403" t="s">
        <v>8972</v>
      </c>
      <c r="B2011" s="403" t="s">
        <v>8973</v>
      </c>
      <c r="C2011" s="403">
        <v>15219</v>
      </c>
      <c r="D2011" s="802"/>
      <c r="E2011" s="802"/>
      <c r="F2011" s="869">
        <f>(1/S2011)*cnst_fish!$C$6</f>
        <v>6.0129950673834844E-2</v>
      </c>
      <c r="G2011" s="869">
        <f t="shared" si="292"/>
        <v>1</v>
      </c>
      <c r="H2011" s="869">
        <f t="shared" si="292"/>
        <v>0.36449057933102513</v>
      </c>
      <c r="I2011" s="869">
        <f t="shared" si="286"/>
        <v>0</v>
      </c>
      <c r="J2011" s="389">
        <f t="shared" si="287"/>
        <v>0</v>
      </c>
      <c r="L2011" s="803">
        <v>2</v>
      </c>
      <c r="M2011" s="802"/>
      <c r="N2011" s="876" t="s">
        <v>1738</v>
      </c>
      <c r="O2011" s="880" t="s">
        <v>4681</v>
      </c>
      <c r="P2011" s="871">
        <f t="shared" si="288"/>
        <v>0</v>
      </c>
      <c r="Q2011" s="871">
        <f t="shared" si="289"/>
        <v>2</v>
      </c>
      <c r="R2011" s="869">
        <f t="shared" si="290"/>
        <v>3.7</v>
      </c>
      <c r="S2011" s="869">
        <f>(1/9)*cnst_fish!$C$7*(1/cnst_fish!$C$8)^(R2011-1)</f>
        <v>70.680250896153822</v>
      </c>
      <c r="T2011" s="682">
        <f t="shared" si="291"/>
        <v>12.12342851595356</v>
      </c>
      <c r="W2011" s="818"/>
      <c r="X2011" s="818"/>
      <c r="Y2011" s="819"/>
      <c r="Z2011" s="820"/>
      <c r="AA2011" s="820"/>
      <c r="AB2011" s="821"/>
      <c r="AC2011" s="821"/>
      <c r="AD2011" s="253"/>
      <c r="AE2011" s="253"/>
    </row>
    <row r="2012" spans="1:31" ht="12.75" customHeight="1">
      <c r="A2012" t="s">
        <v>4625</v>
      </c>
      <c r="B2012" t="s">
        <v>2105</v>
      </c>
      <c r="C2012">
        <v>2522</v>
      </c>
      <c r="D2012" s="802">
        <v>12354</v>
      </c>
      <c r="E2012" s="802"/>
      <c r="F2012" s="2">
        <f>(1/S2012)*cnst_fish!$C$6</f>
        <v>6.2963787943464855E-2</v>
      </c>
      <c r="G2012" s="2">
        <f t="shared" si="292"/>
        <v>1</v>
      </c>
      <c r="H2012" s="2">
        <f t="shared" si="292"/>
        <v>0.36449057933102513</v>
      </c>
      <c r="I2012" s="2">
        <f t="shared" si="286"/>
        <v>71515.97392931077</v>
      </c>
      <c r="J2012" s="389">
        <f t="shared" si="287"/>
        <v>0</v>
      </c>
      <c r="L2012" s="803">
        <v>52752</v>
      </c>
      <c r="M2012" s="802"/>
      <c r="N2012" s="804" t="s">
        <v>1738</v>
      </c>
      <c r="O2012" s="805" t="s">
        <v>4681</v>
      </c>
      <c r="P2012" s="233">
        <f t="shared" si="288"/>
        <v>12354</v>
      </c>
      <c r="Q2012" s="233">
        <f t="shared" si="289"/>
        <v>52752</v>
      </c>
      <c r="R2012" s="2">
        <f t="shared" si="290"/>
        <v>3.68</v>
      </c>
      <c r="S2012" s="2">
        <f>(1/9)*cnst_fish!$C$7*(1/cnst_fish!$C$8)^(R2012-1)</f>
        <v>67.499115583961881</v>
      </c>
      <c r="T2012" s="682">
        <f t="shared" si="291"/>
        <v>305375.64001287048</v>
      </c>
      <c r="W2012" s="818"/>
      <c r="X2012" s="818"/>
      <c r="Y2012" s="819"/>
      <c r="Z2012" s="820"/>
      <c r="AA2012" s="820"/>
      <c r="AB2012" s="821"/>
      <c r="AC2012" s="821"/>
      <c r="AD2012" s="253"/>
      <c r="AE2012" s="253"/>
    </row>
    <row r="2013" spans="1:31" ht="12.75" customHeight="1">
      <c r="A2013" t="s">
        <v>1952</v>
      </c>
      <c r="B2013" t="s">
        <v>1953</v>
      </c>
      <c r="C2013">
        <v>15221</v>
      </c>
      <c r="D2013" s="802"/>
      <c r="E2013" s="802"/>
      <c r="F2013" s="2">
        <f>(1/S2013)*cnst_fish!$C$6</f>
        <v>2.8124890974018386E-2</v>
      </c>
      <c r="G2013" s="2">
        <f t="shared" si="292"/>
        <v>1</v>
      </c>
      <c r="H2013" s="2">
        <f t="shared" si="292"/>
        <v>0.36449057933102513</v>
      </c>
      <c r="I2013" s="2">
        <f t="shared" si="286"/>
        <v>0</v>
      </c>
      <c r="J2013" s="389">
        <f t="shared" si="287"/>
        <v>0</v>
      </c>
      <c r="L2013" s="803">
        <v>117</v>
      </c>
      <c r="M2013" s="802"/>
      <c r="N2013" s="804" t="s">
        <v>1738</v>
      </c>
      <c r="O2013" s="805" t="s">
        <v>4681</v>
      </c>
      <c r="P2013" s="233">
        <f t="shared" si="288"/>
        <v>0</v>
      </c>
      <c r="Q2013" s="233">
        <f t="shared" si="289"/>
        <v>117</v>
      </c>
      <c r="R2013" s="2">
        <f t="shared" si="290"/>
        <v>4.03</v>
      </c>
      <c r="S2013" s="2">
        <f>(1/9)*cnst_fish!$C$7*(1/cnst_fish!$C$8)^(R2013-1)</f>
        <v>151.11169689248311</v>
      </c>
      <c r="T2013" s="682">
        <f t="shared" si="291"/>
        <v>1516.2866878710929</v>
      </c>
      <c r="W2013" s="818"/>
      <c r="X2013" s="818"/>
      <c r="Y2013" s="819"/>
      <c r="Z2013" s="820"/>
      <c r="AA2013" s="820"/>
      <c r="AB2013" s="821"/>
      <c r="AC2013" s="821"/>
      <c r="AD2013" s="253"/>
      <c r="AE2013" s="253"/>
    </row>
    <row r="2014" spans="1:31" ht="12.75" customHeight="1">
      <c r="A2014" t="s">
        <v>962</v>
      </c>
      <c r="B2014" t="s">
        <v>2106</v>
      </c>
      <c r="C2014">
        <v>15223</v>
      </c>
      <c r="D2014" s="802"/>
      <c r="E2014" s="802"/>
      <c r="F2014" s="2">
        <f>(1/S2014)*cnst_fish!$C$6</f>
        <v>7.3976000504507963E-2</v>
      </c>
      <c r="G2014" s="2">
        <f t="shared" si="292"/>
        <v>1</v>
      </c>
      <c r="H2014" s="2">
        <f t="shared" si="292"/>
        <v>0.36449057933102513</v>
      </c>
      <c r="I2014" s="2">
        <f t="shared" si="286"/>
        <v>0</v>
      </c>
      <c r="J2014" s="389">
        <f t="shared" si="287"/>
        <v>0</v>
      </c>
      <c r="L2014" s="803">
        <v>1139</v>
      </c>
      <c r="M2014" s="802"/>
      <c r="N2014" s="804" t="s">
        <v>1738</v>
      </c>
      <c r="O2014" s="805" t="s">
        <v>4681</v>
      </c>
      <c r="P2014" s="233">
        <f t="shared" si="288"/>
        <v>0</v>
      </c>
      <c r="Q2014" s="233">
        <f t="shared" si="289"/>
        <v>1139</v>
      </c>
      <c r="R2014" s="2">
        <f t="shared" si="290"/>
        <v>3.61</v>
      </c>
      <c r="S2014" s="2">
        <f>(1/9)*cnst_fish!$C$7*(1/cnst_fish!$C$8)^(R2014-1)</f>
        <v>57.451064818528707</v>
      </c>
      <c r="T2014" s="682">
        <f t="shared" si="291"/>
        <v>5612.0196689024688</v>
      </c>
      <c r="W2014" s="818"/>
      <c r="X2014" s="818"/>
      <c r="Y2014" s="819"/>
      <c r="Z2014" s="820"/>
      <c r="AA2014" s="820"/>
      <c r="AB2014" s="821"/>
      <c r="AC2014" s="821"/>
      <c r="AD2014" s="253"/>
      <c r="AE2014" s="253"/>
    </row>
    <row r="2015" spans="1:31" ht="12.75" customHeight="1">
      <c r="A2015" t="s">
        <v>8782</v>
      </c>
      <c r="B2015" t="s">
        <v>8783</v>
      </c>
      <c r="C2015">
        <v>18585</v>
      </c>
      <c r="D2015" s="802"/>
      <c r="E2015" s="802"/>
      <c r="F2015" s="2">
        <f>(1/S2015)*cnst_fish!$C$6</f>
        <v>0.15103960722494611</v>
      </c>
      <c r="G2015" s="2">
        <f t="shared" si="292"/>
        <v>1</v>
      </c>
      <c r="H2015" s="2">
        <f t="shared" si="292"/>
        <v>0.36449057933102513</v>
      </c>
      <c r="I2015" s="2">
        <f t="shared" si="286"/>
        <v>0</v>
      </c>
      <c r="J2015" s="389">
        <f t="shared" si="287"/>
        <v>0</v>
      </c>
      <c r="L2015" s="803">
        <v>312</v>
      </c>
      <c r="M2015" s="802"/>
      <c r="N2015" s="804" t="s">
        <v>1738</v>
      </c>
      <c r="O2015" s="805" t="s">
        <v>4681</v>
      </c>
      <c r="P2015" s="233">
        <f t="shared" si="288"/>
        <v>0</v>
      </c>
      <c r="Q2015" s="233">
        <f t="shared" si="289"/>
        <v>312</v>
      </c>
      <c r="R2015" s="2">
        <f t="shared" si="290"/>
        <v>3.3</v>
      </c>
      <c r="S2015" s="2">
        <f>(1/9)*cnst_fish!$C$7*(1/cnst_fish!$C$8)^(R2015-1)</f>
        <v>28.138314698279075</v>
      </c>
      <c r="T2015" s="682">
        <f t="shared" si="291"/>
        <v>752.92211652744129</v>
      </c>
      <c r="W2015" s="818"/>
      <c r="X2015" s="818"/>
      <c r="Y2015" s="819"/>
      <c r="Z2015" s="820"/>
      <c r="AA2015" s="820"/>
      <c r="AB2015" s="821"/>
      <c r="AC2015" s="821"/>
      <c r="AD2015" s="253"/>
      <c r="AE2015" s="253"/>
    </row>
    <row r="2016" spans="1:31" ht="12.75" customHeight="1">
      <c r="A2016" t="s">
        <v>9050</v>
      </c>
      <c r="B2016" t="s">
        <v>9051</v>
      </c>
      <c r="C2016">
        <v>15224</v>
      </c>
      <c r="D2016" s="802"/>
      <c r="E2016" s="802"/>
      <c r="F2016" s="869">
        <f>(1/S2016)*cnst_fish!$C$6</f>
        <v>9.5299549485983348E-2</v>
      </c>
      <c r="G2016" s="869">
        <f t="shared" si="292"/>
        <v>1</v>
      </c>
      <c r="H2016" s="869">
        <f t="shared" si="292"/>
        <v>0.36449057933102513</v>
      </c>
      <c r="I2016" s="869">
        <f t="shared" si="286"/>
        <v>0</v>
      </c>
      <c r="J2016" s="389">
        <f t="shared" si="287"/>
        <v>0</v>
      </c>
      <c r="L2016" s="803">
        <v>11</v>
      </c>
      <c r="M2016" s="802"/>
      <c r="N2016" s="876" t="s">
        <v>1738</v>
      </c>
      <c r="O2016" s="880" t="s">
        <v>4699</v>
      </c>
      <c r="P2016" s="871">
        <f t="shared" si="288"/>
        <v>0</v>
      </c>
      <c r="Q2016" s="871">
        <f t="shared" si="289"/>
        <v>11</v>
      </c>
      <c r="R2016" s="869">
        <f t="shared" si="290"/>
        <v>3.5</v>
      </c>
      <c r="S2016" s="869">
        <f>(1/9)*cnst_fish!$C$7*(1/cnst_fish!$C$8)^(R2016-1)</f>
        <v>44.596223412631026</v>
      </c>
      <c r="T2016" s="682">
        <f t="shared" si="291"/>
        <v>42.071514443318314</v>
      </c>
      <c r="W2016" s="818"/>
      <c r="X2016" s="818"/>
      <c r="Y2016" s="819"/>
      <c r="Z2016" s="820"/>
      <c r="AA2016" s="820"/>
      <c r="AB2016" s="821"/>
      <c r="AC2016" s="821"/>
      <c r="AD2016" s="253"/>
      <c r="AE2016" s="253"/>
    </row>
    <row r="2017" spans="1:31" ht="12.75" customHeight="1">
      <c r="A2017" t="s">
        <v>3457</v>
      </c>
      <c r="B2017" t="s">
        <v>5545</v>
      </c>
      <c r="C2017">
        <v>3387</v>
      </c>
      <c r="D2017" s="802"/>
      <c r="E2017" s="802"/>
      <c r="F2017" s="2">
        <f>(1/S2017)*cnst_fish!$C$6</f>
        <v>0.14481532779905856</v>
      </c>
      <c r="G2017" s="2">
        <f t="shared" si="292"/>
        <v>1</v>
      </c>
      <c r="H2017" s="2">
        <f t="shared" si="292"/>
        <v>0.36449057933102513</v>
      </c>
      <c r="I2017" s="2">
        <f t="shared" si="286"/>
        <v>0</v>
      </c>
      <c r="J2017" s="389">
        <f t="shared" si="287"/>
        <v>0</v>
      </c>
      <c r="L2017" s="803">
        <v>1219</v>
      </c>
      <c r="M2017" s="802"/>
      <c r="N2017" s="804" t="s">
        <v>3785</v>
      </c>
      <c r="O2017" s="805" t="s">
        <v>4681</v>
      </c>
      <c r="P2017" s="233">
        <f t="shared" si="288"/>
        <v>0</v>
      </c>
      <c r="Q2017" s="233">
        <f t="shared" si="289"/>
        <v>1219</v>
      </c>
      <c r="R2017" s="2">
        <f t="shared" si="290"/>
        <v>3.3182763159269002</v>
      </c>
      <c r="S2017" s="2">
        <f>(1/9)*cnst_fish!$C$7*(1/cnst_fish!$C$8)^(R2017-1)</f>
        <v>29.347722127157517</v>
      </c>
      <c r="T2017" s="682">
        <f t="shared" si="291"/>
        <v>3068.1421846521425</v>
      </c>
      <c r="W2017" s="818"/>
      <c r="X2017" s="818"/>
      <c r="Y2017" s="819"/>
      <c r="Z2017" s="820"/>
      <c r="AA2017" s="820"/>
      <c r="AB2017" s="821"/>
      <c r="AC2017" s="821"/>
      <c r="AD2017" s="253"/>
      <c r="AE2017" s="253"/>
    </row>
    <row r="2018" spans="1:31" ht="12.75" customHeight="1">
      <c r="A2018" t="s">
        <v>5261</v>
      </c>
      <c r="B2018" t="s">
        <v>2625</v>
      </c>
      <c r="C2018">
        <v>2326</v>
      </c>
      <c r="D2018" s="802"/>
      <c r="E2018" s="802"/>
      <c r="F2018" s="2">
        <f>(1/S2018)*cnst_fish!$C$6</f>
        <v>2.3938164528281767E-2</v>
      </c>
      <c r="G2018" s="2">
        <f t="shared" si="292"/>
        <v>1</v>
      </c>
      <c r="H2018" s="2">
        <f t="shared" si="292"/>
        <v>0.36449057933102513</v>
      </c>
      <c r="I2018" s="2">
        <f t="shared" si="286"/>
        <v>0</v>
      </c>
      <c r="J2018" s="389">
        <f t="shared" si="287"/>
        <v>0</v>
      </c>
      <c r="L2018" s="803">
        <v>207042</v>
      </c>
      <c r="M2018" s="802"/>
      <c r="N2018" s="804" t="s">
        <v>1738</v>
      </c>
      <c r="O2018" s="805" t="s">
        <v>4699</v>
      </c>
      <c r="P2018" s="233">
        <f t="shared" si="288"/>
        <v>0</v>
      </c>
      <c r="Q2018" s="233">
        <f t="shared" si="289"/>
        <v>207042</v>
      </c>
      <c r="R2018" s="2">
        <f t="shared" si="290"/>
        <v>4.0999999999999996</v>
      </c>
      <c r="S2018" s="2">
        <f>(1/9)*cnst_fish!$C$7*(1/cnst_fish!$C$8)^(R2018-1)</f>
        <v>177.54076320174144</v>
      </c>
      <c r="T2018" s="682">
        <f t="shared" si="291"/>
        <v>3152491.4300215491</v>
      </c>
      <c r="W2018" s="818"/>
      <c r="X2018" s="818"/>
      <c r="Y2018" s="819"/>
      <c r="Z2018" s="820"/>
      <c r="AA2018" s="820"/>
      <c r="AB2018" s="821"/>
      <c r="AC2018" s="821"/>
      <c r="AD2018" s="253"/>
      <c r="AE2018" s="253"/>
    </row>
    <row r="2019" spans="1:31" ht="12.75" customHeight="1">
      <c r="A2019" t="s">
        <v>3467</v>
      </c>
      <c r="B2019" t="s">
        <v>2626</v>
      </c>
      <c r="C2019">
        <v>3126</v>
      </c>
      <c r="D2019" s="802"/>
      <c r="E2019" s="802"/>
      <c r="F2019" s="2">
        <f>(1/S2019)*cnst_fish!$C$6</f>
        <v>8.8938714421809756E-2</v>
      </c>
      <c r="G2019" s="2">
        <f t="shared" si="292"/>
        <v>1</v>
      </c>
      <c r="H2019" s="2">
        <f t="shared" si="292"/>
        <v>0.36449057933102513</v>
      </c>
      <c r="I2019" s="2">
        <f t="shared" si="286"/>
        <v>0</v>
      </c>
      <c r="J2019" s="389">
        <f t="shared" si="287"/>
        <v>0</v>
      </c>
      <c r="L2019" s="803">
        <v>115277.12</v>
      </c>
      <c r="M2019" s="802"/>
      <c r="N2019" s="804" t="s">
        <v>1738</v>
      </c>
      <c r="O2019" s="805" t="s">
        <v>4699</v>
      </c>
      <c r="P2019" s="233">
        <f t="shared" si="288"/>
        <v>0</v>
      </c>
      <c r="Q2019" s="233">
        <f t="shared" si="289"/>
        <v>115277.12</v>
      </c>
      <c r="R2019" s="2">
        <f t="shared" si="290"/>
        <v>3.53</v>
      </c>
      <c r="S2019" s="2">
        <f>(1/9)*cnst_fish!$C$7*(1/cnst_fish!$C$8)^(R2019-1)</f>
        <v>47.785714327323419</v>
      </c>
      <c r="T2019" s="682">
        <f t="shared" si="291"/>
        <v>472431.20755193307</v>
      </c>
      <c r="W2019" s="818"/>
      <c r="X2019" s="818"/>
      <c r="Y2019" s="819"/>
      <c r="Z2019" s="820"/>
      <c r="AA2019" s="820"/>
      <c r="AB2019" s="821"/>
      <c r="AC2019" s="821"/>
      <c r="AD2019" s="253"/>
      <c r="AE2019" s="253"/>
    </row>
    <row r="2020" spans="1:31" ht="12.75" customHeight="1">
      <c r="A2020" t="s">
        <v>119</v>
      </c>
      <c r="B2020" t="s">
        <v>4610</v>
      </c>
      <c r="C2020">
        <v>2318</v>
      </c>
      <c r="D2020" s="802"/>
      <c r="E2020" s="802"/>
      <c r="F2020" s="2">
        <f>(1/S2020)*cnst_fish!$C$6</f>
        <v>2.5066335465503211E-2</v>
      </c>
      <c r="G2020" s="2">
        <f t="shared" si="292"/>
        <v>1</v>
      </c>
      <c r="H2020" s="2">
        <f t="shared" si="292"/>
        <v>0.36449057933102513</v>
      </c>
      <c r="I2020" s="2">
        <f t="shared" si="286"/>
        <v>0</v>
      </c>
      <c r="J2020" s="389">
        <f t="shared" si="287"/>
        <v>0</v>
      </c>
      <c r="L2020" s="803">
        <v>2718</v>
      </c>
      <c r="M2020" s="802"/>
      <c r="N2020" s="804" t="s">
        <v>1738</v>
      </c>
      <c r="O2020" s="805" t="s">
        <v>4699</v>
      </c>
      <c r="P2020" s="233">
        <f t="shared" si="288"/>
        <v>0</v>
      </c>
      <c r="Q2020" s="233">
        <f t="shared" si="289"/>
        <v>2718</v>
      </c>
      <c r="R2020" s="2">
        <f t="shared" si="290"/>
        <v>4.08</v>
      </c>
      <c r="S2020" s="2">
        <f>(1/9)*cnst_fish!$C$7*(1/cnst_fish!$C$8)^(R2020-1)</f>
        <v>169.55011257425062</v>
      </c>
      <c r="T2020" s="682">
        <f t="shared" si="291"/>
        <v>39522.545925595201</v>
      </c>
      <c r="W2020" s="818"/>
      <c r="X2020" s="818"/>
      <c r="Y2020" s="819"/>
      <c r="Z2020" s="820"/>
      <c r="AA2020" s="820"/>
      <c r="AB2020" s="821"/>
      <c r="AC2020" s="821"/>
      <c r="AD2020" s="253"/>
      <c r="AE2020" s="253"/>
    </row>
    <row r="2021" spans="1:31" ht="12.75" customHeight="1">
      <c r="A2021" t="s">
        <v>1591</v>
      </c>
      <c r="B2021" t="s">
        <v>1592</v>
      </c>
      <c r="C2021">
        <v>15237</v>
      </c>
      <c r="D2021" s="802"/>
      <c r="E2021" s="802"/>
      <c r="F2021" s="2">
        <f>(1/S2021)*cnst_fish!$C$6</f>
        <v>1.6946922663690963E-2</v>
      </c>
      <c r="G2021" s="2">
        <f t="shared" si="292"/>
        <v>1</v>
      </c>
      <c r="H2021" s="2">
        <f t="shared" si="292"/>
        <v>0.36449057933102513</v>
      </c>
      <c r="I2021" s="2">
        <f t="shared" si="286"/>
        <v>0</v>
      </c>
      <c r="J2021" s="389">
        <f t="shared" si="287"/>
        <v>0</v>
      </c>
      <c r="L2021" s="803">
        <v>4416</v>
      </c>
      <c r="M2021" s="802"/>
      <c r="N2021" s="804" t="s">
        <v>1738</v>
      </c>
      <c r="O2021" s="805" t="s">
        <v>4699</v>
      </c>
      <c r="P2021" s="233">
        <f t="shared" si="288"/>
        <v>0</v>
      </c>
      <c r="Q2021" s="233">
        <f t="shared" si="289"/>
        <v>4416</v>
      </c>
      <c r="R2021" s="2">
        <f t="shared" si="290"/>
        <v>4.25</v>
      </c>
      <c r="S2021" s="2">
        <f>(1/9)*cnst_fish!$C$7*(1/cnst_fish!$C$8)^(R2021-1)</f>
        <v>250.78299372343801</v>
      </c>
      <c r="T2021" s="682">
        <f t="shared" si="291"/>
        <v>94978.329120152222</v>
      </c>
      <c r="W2021" s="822"/>
      <c r="X2021" s="822"/>
      <c r="Y2021" s="819"/>
      <c r="Z2021" s="820"/>
      <c r="AA2021" s="820"/>
      <c r="AB2021" s="821"/>
      <c r="AC2021" s="821"/>
      <c r="AD2021" s="253"/>
      <c r="AE2021" s="253"/>
    </row>
    <row r="2022" spans="1:31" ht="12.75" customHeight="1">
      <c r="A2022" t="s">
        <v>3898</v>
      </c>
      <c r="B2022" t="s">
        <v>4611</v>
      </c>
      <c r="C2022">
        <v>3114</v>
      </c>
      <c r="D2022" s="802"/>
      <c r="E2022" s="802"/>
      <c r="F2022" s="2">
        <f>(1/S2022)*cnst_fish!$C$6</f>
        <v>5.7423657091346926E-2</v>
      </c>
      <c r="G2022" s="2">
        <f t="shared" si="292"/>
        <v>1</v>
      </c>
      <c r="H2022" s="2">
        <f t="shared" si="292"/>
        <v>0.36449057933102513</v>
      </c>
      <c r="I2022" s="2">
        <f t="shared" si="286"/>
        <v>0</v>
      </c>
      <c r="J2022" s="389">
        <f t="shared" si="287"/>
        <v>0</v>
      </c>
      <c r="L2022" s="803">
        <v>2497</v>
      </c>
      <c r="M2022" s="802"/>
      <c r="N2022" s="804" t="s">
        <v>1738</v>
      </c>
      <c r="O2022" s="805" t="s">
        <v>4699</v>
      </c>
      <c r="P2022" s="233">
        <f t="shared" si="288"/>
        <v>0</v>
      </c>
      <c r="Q2022" s="233">
        <f t="shared" si="289"/>
        <v>2497</v>
      </c>
      <c r="R2022" s="2">
        <f t="shared" si="290"/>
        <v>3.72</v>
      </c>
      <c r="S2022" s="2">
        <f>(1/9)*cnst_fish!$C$7*(1/cnst_fish!$C$8)^(R2022-1)</f>
        <v>74.011308496762837</v>
      </c>
      <c r="T2022" s="682">
        <f t="shared" si="291"/>
        <v>15849.442941987687</v>
      </c>
      <c r="W2022" s="818"/>
      <c r="X2022" s="818"/>
      <c r="Y2022" s="819"/>
      <c r="Z2022" s="820"/>
      <c r="AA2022" s="820"/>
      <c r="AB2022" s="821"/>
      <c r="AC2022" s="821"/>
      <c r="AD2022" s="253"/>
      <c r="AE2022" s="253"/>
    </row>
    <row r="2023" spans="1:31" ht="12.75" customHeight="1">
      <c r="A2023" t="s">
        <v>6477</v>
      </c>
      <c r="B2023" t="s">
        <v>6476</v>
      </c>
      <c r="C2023">
        <v>15238</v>
      </c>
      <c r="D2023" s="802"/>
      <c r="E2023" s="802"/>
      <c r="F2023" s="2">
        <f>(1/S2023)*cnst_fish!$C$6</f>
        <v>1.5103960722494611E-2</v>
      </c>
      <c r="G2023" s="2">
        <f t="shared" si="292"/>
        <v>1</v>
      </c>
      <c r="H2023" s="2">
        <f t="shared" si="292"/>
        <v>0.36449057933102513</v>
      </c>
      <c r="I2023" s="2">
        <f t="shared" si="286"/>
        <v>0</v>
      </c>
      <c r="J2023" s="389">
        <f t="shared" si="287"/>
        <v>0</v>
      </c>
      <c r="L2023" s="803">
        <v>3</v>
      </c>
      <c r="M2023" s="802"/>
      <c r="N2023" s="804" t="s">
        <v>1738</v>
      </c>
      <c r="O2023" s="805" t="s">
        <v>4699</v>
      </c>
      <c r="P2023" s="233">
        <f t="shared" si="288"/>
        <v>0</v>
      </c>
      <c r="Q2023" s="233">
        <f t="shared" si="289"/>
        <v>3</v>
      </c>
      <c r="R2023" s="2">
        <f t="shared" si="290"/>
        <v>4.3</v>
      </c>
      <c r="S2023" s="2">
        <f>(1/9)*cnst_fish!$C$7*(1/cnst_fish!$C$8)^(R2023-1)</f>
        <v>281.38314698279078</v>
      </c>
      <c r="T2023" s="682">
        <f t="shared" si="291"/>
        <v>72.396357358407812</v>
      </c>
      <c r="W2023" s="818"/>
      <c r="X2023" s="818"/>
      <c r="Y2023" s="819"/>
      <c r="Z2023" s="820"/>
      <c r="AA2023" s="820"/>
      <c r="AB2023" s="821"/>
      <c r="AC2023" s="821"/>
      <c r="AD2023" s="253"/>
      <c r="AE2023" s="253"/>
    </row>
    <row r="2024" spans="1:31" ht="12.75" customHeight="1">
      <c r="A2024" t="s">
        <v>8784</v>
      </c>
      <c r="B2024" t="s">
        <v>6621</v>
      </c>
      <c r="C2024">
        <v>15241</v>
      </c>
      <c r="D2024" s="802"/>
      <c r="E2024" s="802"/>
      <c r="F2024" s="2">
        <f>(1/S2024)*cnst_fish!$C$6</f>
        <v>3.0136363636363641</v>
      </c>
      <c r="G2024" s="2">
        <f t="shared" si="292"/>
        <v>1</v>
      </c>
      <c r="H2024" s="2">
        <f t="shared" si="292"/>
        <v>0.36449057933102513</v>
      </c>
      <c r="I2024" s="2">
        <f t="shared" si="286"/>
        <v>0</v>
      </c>
      <c r="J2024" s="389">
        <f t="shared" si="287"/>
        <v>0</v>
      </c>
      <c r="L2024" s="803"/>
      <c r="M2024" s="802">
        <v>14903</v>
      </c>
      <c r="N2024" s="804" t="s">
        <v>1738</v>
      </c>
      <c r="O2024" s="805" t="s">
        <v>4685</v>
      </c>
      <c r="P2024" s="233">
        <f t="shared" si="288"/>
        <v>0</v>
      </c>
      <c r="Q2024" s="233">
        <f t="shared" si="289"/>
        <v>14903</v>
      </c>
      <c r="R2024" s="2">
        <f t="shared" si="290"/>
        <v>2</v>
      </c>
      <c r="S2024" s="2">
        <f>(1/9)*cnst_fish!$C$7*(1/cnst_fish!$C$8)^(R2024-1)</f>
        <v>1.4102564102564099</v>
      </c>
      <c r="T2024" s="682">
        <f t="shared" si="291"/>
        <v>1802.4746347352318</v>
      </c>
      <c r="W2024" s="818"/>
      <c r="X2024" s="818"/>
      <c r="Y2024" s="819"/>
      <c r="Z2024" s="820"/>
      <c r="AA2024" s="820"/>
      <c r="AB2024" s="821"/>
      <c r="AC2024" s="821"/>
      <c r="AD2024" s="253"/>
      <c r="AE2024" s="253"/>
    </row>
    <row r="2025" spans="1:31" ht="12.75" customHeight="1">
      <c r="A2025" t="s">
        <v>2530</v>
      </c>
      <c r="B2025" t="s">
        <v>1307</v>
      </c>
      <c r="C2025">
        <v>18713</v>
      </c>
      <c r="D2025" s="802"/>
      <c r="E2025" s="802"/>
      <c r="F2025" s="2">
        <f>(1/S2025)*cnst_fish!$C$6</f>
        <v>2.6141530827766903</v>
      </c>
      <c r="G2025" s="2">
        <f t="shared" si="292"/>
        <v>1</v>
      </c>
      <c r="H2025" s="2">
        <f t="shared" si="292"/>
        <v>0.36449057933102513</v>
      </c>
      <c r="I2025" s="2">
        <f t="shared" si="286"/>
        <v>0</v>
      </c>
      <c r="J2025" s="389">
        <f t="shared" si="287"/>
        <v>0</v>
      </c>
      <c r="L2025" s="803">
        <v>485</v>
      </c>
      <c r="M2025" s="802"/>
      <c r="N2025" s="804" t="s">
        <v>1736</v>
      </c>
      <c r="O2025" s="805" t="s">
        <v>4691</v>
      </c>
      <c r="P2025" s="233">
        <f t="shared" si="288"/>
        <v>0</v>
      </c>
      <c r="Q2025" s="233">
        <f t="shared" si="289"/>
        <v>485</v>
      </c>
      <c r="R2025" s="2">
        <f t="shared" si="290"/>
        <v>2.0617598316454031</v>
      </c>
      <c r="S2025" s="2">
        <f>(1/9)*cnst_fish!$C$7*(1/cnst_fish!$C$8)^(R2025-1)</f>
        <v>1.6257655406644176</v>
      </c>
      <c r="T2025" s="682">
        <f t="shared" si="291"/>
        <v>67.623404359999427</v>
      </c>
      <c r="W2025" s="818"/>
      <c r="X2025" s="818"/>
      <c r="Y2025" s="819"/>
      <c r="Z2025" s="820"/>
      <c r="AA2025" s="820"/>
      <c r="AB2025" s="821"/>
      <c r="AC2025" s="821"/>
      <c r="AD2025" s="253"/>
      <c r="AE2025" s="253"/>
    </row>
    <row r="2026" spans="1:31" ht="12.75" customHeight="1">
      <c r="A2026" t="s">
        <v>9098</v>
      </c>
      <c r="B2026" t="s">
        <v>9099</v>
      </c>
      <c r="C2026">
        <v>19368</v>
      </c>
      <c r="D2026" s="802"/>
      <c r="E2026" s="802"/>
      <c r="F2026" s="869">
        <f>(1/S2026)*cnst_fish!$C$6</f>
        <v>2.6247675460949145</v>
      </c>
      <c r="G2026" s="869">
        <f t="shared" si="292"/>
        <v>1</v>
      </c>
      <c r="H2026" s="869">
        <f t="shared" si="292"/>
        <v>0.36449057933102513</v>
      </c>
      <c r="I2026" s="869">
        <f t="shared" si="286"/>
        <v>0</v>
      </c>
      <c r="J2026" s="389">
        <f t="shared" si="287"/>
        <v>0</v>
      </c>
      <c r="L2026" s="803">
        <v>286</v>
      </c>
      <c r="M2026" s="802"/>
      <c r="N2026" s="876" t="s">
        <v>1736</v>
      </c>
      <c r="O2026" s="883" t="s">
        <v>4691</v>
      </c>
      <c r="P2026" s="871">
        <f t="shared" si="288"/>
        <v>0</v>
      </c>
      <c r="Q2026" s="871">
        <f t="shared" si="289"/>
        <v>286</v>
      </c>
      <c r="R2026" s="869">
        <f t="shared" si="290"/>
        <v>2.06</v>
      </c>
      <c r="S2026" s="869">
        <f>(1/9)*cnst_fish!$C$7*(1/cnst_fish!$C$8)^(R2026-1)</f>
        <v>1.6191910046750917</v>
      </c>
      <c r="T2026" s="682">
        <f t="shared" si="291"/>
        <v>39.715633425811795</v>
      </c>
      <c r="W2026" s="818"/>
      <c r="X2026" s="818"/>
      <c r="Y2026" s="819"/>
      <c r="Z2026" s="820"/>
      <c r="AA2026" s="820"/>
      <c r="AB2026" s="821"/>
      <c r="AC2026" s="821"/>
      <c r="AD2026" s="253"/>
      <c r="AE2026" s="253"/>
    </row>
    <row r="2027" spans="1:31" ht="12.75" customHeight="1">
      <c r="A2027" t="s">
        <v>9114</v>
      </c>
      <c r="B2027" t="s">
        <v>9115</v>
      </c>
      <c r="C2027">
        <v>20596</v>
      </c>
      <c r="D2027" s="802"/>
      <c r="E2027" s="802"/>
      <c r="F2027" s="869">
        <f>(1/S2027)*cnst_fish!$C$6</f>
        <v>1.9014759972289452</v>
      </c>
      <c r="G2027" s="869">
        <f t="shared" si="292"/>
        <v>1</v>
      </c>
      <c r="H2027" s="869">
        <f t="shared" si="292"/>
        <v>0.36449057933102513</v>
      </c>
      <c r="I2027" s="869">
        <f t="shared" si="286"/>
        <v>0</v>
      </c>
      <c r="J2027" s="389">
        <f t="shared" si="287"/>
        <v>0</v>
      </c>
      <c r="L2027" s="803">
        <v>0</v>
      </c>
      <c r="M2027" s="802"/>
      <c r="N2027" s="876" t="s">
        <v>1737</v>
      </c>
      <c r="O2027" s="883" t="s">
        <v>4680</v>
      </c>
      <c r="P2027" s="871">
        <f t="shared" si="288"/>
        <v>0</v>
      </c>
      <c r="Q2027" s="871">
        <f t="shared" si="289"/>
        <v>0</v>
      </c>
      <c r="R2027" s="869">
        <f t="shared" si="290"/>
        <v>2.2000000000000002</v>
      </c>
      <c r="S2027" s="869">
        <f>(1/9)*cnst_fish!$C$7*(1/cnst_fish!$C$8)^(R2027-1)</f>
        <v>2.2351057842400328</v>
      </c>
      <c r="T2027" s="682">
        <f t="shared" si="291"/>
        <v>0</v>
      </c>
      <c r="W2027" s="818"/>
      <c r="X2027" s="818"/>
      <c r="Y2027" s="819"/>
      <c r="Z2027" s="820"/>
      <c r="AA2027" s="820"/>
      <c r="AB2027" s="821"/>
      <c r="AC2027" s="821"/>
      <c r="AD2027" s="253"/>
      <c r="AE2027" s="253"/>
    </row>
    <row r="2028" spans="1:31" ht="12.75" customHeight="1">
      <c r="A2028" t="s">
        <v>55</v>
      </c>
      <c r="B2028" t="s">
        <v>1933</v>
      </c>
      <c r="C2028">
        <v>3226</v>
      </c>
      <c r="D2028" s="802"/>
      <c r="E2028" s="802"/>
      <c r="F2028" s="2">
        <f>(1/S2028)*cnst_fish!$C$6</f>
        <v>8.3002437741509269E-2</v>
      </c>
      <c r="G2028" s="2">
        <f t="shared" ref="G2028:H2047" si="293">G$7</f>
        <v>1</v>
      </c>
      <c r="H2028" s="2">
        <f t="shared" si="293"/>
        <v>0.36449057933102513</v>
      </c>
      <c r="I2028" s="2">
        <f t="shared" si="286"/>
        <v>0</v>
      </c>
      <c r="J2028" s="389">
        <f t="shared" si="287"/>
        <v>0</v>
      </c>
      <c r="L2028" s="803">
        <v>21</v>
      </c>
      <c r="M2028" s="802"/>
      <c r="N2028" s="804" t="s">
        <v>1738</v>
      </c>
      <c r="O2028" s="805" t="s">
        <v>4681</v>
      </c>
      <c r="P2028" s="233">
        <f t="shared" si="288"/>
        <v>0</v>
      </c>
      <c r="Q2028" s="233">
        <f t="shared" si="289"/>
        <v>21</v>
      </c>
      <c r="R2028" s="2">
        <f t="shared" si="290"/>
        <v>3.56</v>
      </c>
      <c r="S2028" s="2">
        <f>(1/9)*cnst_fish!$C$7*(1/cnst_fish!$C$8)^(R2028-1)</f>
        <v>51.203315416296356</v>
      </c>
      <c r="T2028" s="682">
        <f t="shared" si="291"/>
        <v>92.21779955173092</v>
      </c>
      <c r="W2028" s="822"/>
      <c r="X2028" s="822"/>
      <c r="Y2028" s="819"/>
      <c r="Z2028" s="820"/>
      <c r="AA2028" s="820"/>
      <c r="AB2028" s="821"/>
      <c r="AC2028" s="821"/>
      <c r="AD2028" s="253"/>
      <c r="AE2028" s="253"/>
    </row>
    <row r="2029" spans="1:31" ht="12.75" customHeight="1">
      <c r="A2029" t="s">
        <v>732</v>
      </c>
      <c r="B2029" t="s">
        <v>2440</v>
      </c>
      <c r="C2029">
        <v>2711</v>
      </c>
      <c r="D2029" s="802"/>
      <c r="E2029" s="802"/>
      <c r="F2029" s="2">
        <f>(1/S2029)*cnst_fish!$C$6</f>
        <v>8.4935812883106004E-2</v>
      </c>
      <c r="G2029" s="2">
        <f t="shared" si="293"/>
        <v>1</v>
      </c>
      <c r="H2029" s="2">
        <f t="shared" si="293"/>
        <v>0.36449057933102513</v>
      </c>
      <c r="I2029" s="2">
        <f t="shared" si="286"/>
        <v>0</v>
      </c>
      <c r="J2029" s="389">
        <f t="shared" si="287"/>
        <v>0</v>
      </c>
      <c r="L2029" s="803">
        <v>21825</v>
      </c>
      <c r="M2029" s="802"/>
      <c r="N2029" s="804" t="s">
        <v>5197</v>
      </c>
      <c r="O2029" s="805" t="s">
        <v>4675</v>
      </c>
      <c r="P2029" s="233">
        <f t="shared" si="288"/>
        <v>0</v>
      </c>
      <c r="Q2029" s="233">
        <f t="shared" si="289"/>
        <v>21825</v>
      </c>
      <c r="R2029" s="2">
        <f t="shared" si="290"/>
        <v>3.55</v>
      </c>
      <c r="S2029" s="2">
        <f>(1/9)*cnst_fish!$C$7*(1/cnst_fish!$C$8)^(R2029-1)</f>
        <v>50.037785661145278</v>
      </c>
      <c r="T2029" s="682">
        <f t="shared" si="291"/>
        <v>93659.042327031158</v>
      </c>
      <c r="W2029" s="818"/>
      <c r="X2029" s="818"/>
      <c r="Y2029" s="819"/>
      <c r="Z2029" s="820"/>
      <c r="AA2029" s="820"/>
      <c r="AB2029" s="821"/>
      <c r="AC2029" s="821"/>
      <c r="AD2029" s="253"/>
      <c r="AE2029" s="253"/>
    </row>
    <row r="2030" spans="1:31" ht="12.75" customHeight="1">
      <c r="A2030" t="s">
        <v>6569</v>
      </c>
      <c r="B2030" t="s">
        <v>6568</v>
      </c>
      <c r="C2030">
        <v>17070</v>
      </c>
      <c r="D2030" s="802"/>
      <c r="E2030" s="802"/>
      <c r="F2030" s="2">
        <f>(1/S2030)*cnst_fish!$C$6</f>
        <v>3.0136363636363641</v>
      </c>
      <c r="G2030" s="2">
        <f t="shared" si="293"/>
        <v>1</v>
      </c>
      <c r="H2030" s="2">
        <f t="shared" si="293"/>
        <v>0.36449057933102513</v>
      </c>
      <c r="I2030" s="2">
        <f t="shared" si="286"/>
        <v>0</v>
      </c>
      <c r="J2030" s="389">
        <f t="shared" si="287"/>
        <v>0</v>
      </c>
      <c r="L2030" s="803">
        <v>21903</v>
      </c>
      <c r="M2030" s="802"/>
      <c r="N2030" s="804" t="s">
        <v>5197</v>
      </c>
      <c r="O2030" s="805" t="s">
        <v>4675</v>
      </c>
      <c r="P2030" s="233">
        <f t="shared" si="288"/>
        <v>0</v>
      </c>
      <c r="Q2030" s="233">
        <f t="shared" si="289"/>
        <v>21903</v>
      </c>
      <c r="R2030" s="2">
        <f t="shared" si="290"/>
        <v>2</v>
      </c>
      <c r="S2030" s="2">
        <f>(1/9)*cnst_fish!$C$7*(1/cnst_fish!$C$8)^(R2030-1)</f>
        <v>1.4102564102564099</v>
      </c>
      <c r="T2030" s="682">
        <f t="shared" si="291"/>
        <v>2649.1043363487743</v>
      </c>
      <c r="W2030" s="818"/>
      <c r="X2030" s="818"/>
      <c r="Y2030" s="819"/>
      <c r="Z2030" s="820"/>
      <c r="AA2030" s="820"/>
      <c r="AB2030" s="821"/>
      <c r="AC2030" s="821"/>
      <c r="AD2030" s="253"/>
      <c r="AE2030" s="253"/>
    </row>
    <row r="2031" spans="1:31" ht="12.75" customHeight="1">
      <c r="A2031" t="s">
        <v>200</v>
      </c>
      <c r="B2031" t="s">
        <v>5109</v>
      </c>
      <c r="C2031">
        <v>3561</v>
      </c>
      <c r="D2031" s="802"/>
      <c r="E2031" s="802"/>
      <c r="F2031" s="2">
        <f>(1/S2031)*cnst_fish!$C$6</f>
        <v>0.19014759972289441</v>
      </c>
      <c r="G2031" s="2">
        <f t="shared" si="293"/>
        <v>1</v>
      </c>
      <c r="H2031" s="2">
        <f t="shared" si="293"/>
        <v>0.36449057933102513</v>
      </c>
      <c r="I2031" s="2">
        <f t="shared" si="286"/>
        <v>0</v>
      </c>
      <c r="J2031" s="389">
        <f t="shared" si="287"/>
        <v>0</v>
      </c>
      <c r="L2031" s="803">
        <v>346716.05000000005</v>
      </c>
      <c r="M2031" s="802"/>
      <c r="N2031" s="804" t="s">
        <v>5197</v>
      </c>
      <c r="O2031" s="805" t="s">
        <v>4675</v>
      </c>
      <c r="P2031" s="233">
        <f t="shared" si="288"/>
        <v>0</v>
      </c>
      <c r="Q2031" s="233">
        <f t="shared" si="289"/>
        <v>346716.05000000005</v>
      </c>
      <c r="R2031" s="2">
        <f t="shared" si="290"/>
        <v>3.2</v>
      </c>
      <c r="S2031" s="2">
        <f>(1/9)*cnst_fish!$C$7*(1/cnst_fish!$C$8)^(R2031-1)</f>
        <v>22.351057842400341</v>
      </c>
      <c r="T2031" s="682">
        <f t="shared" si="291"/>
        <v>664613.87949168391</v>
      </c>
      <c r="W2031" s="818"/>
      <c r="X2031" s="818"/>
      <c r="Y2031" s="819"/>
      <c r="Z2031" s="820"/>
      <c r="AA2031" s="820"/>
      <c r="AB2031" s="821"/>
      <c r="AC2031" s="821"/>
      <c r="AD2031" s="253"/>
      <c r="AE2031" s="253"/>
    </row>
    <row r="2032" spans="1:31" ht="12.75" customHeight="1">
      <c r="A2032" t="s">
        <v>344</v>
      </c>
      <c r="B2032" t="s">
        <v>345</v>
      </c>
      <c r="C2032">
        <v>17043</v>
      </c>
      <c r="D2032" s="802"/>
      <c r="E2032" s="802"/>
      <c r="F2032" s="2">
        <f>(1/S2032)*cnst_fish!$C$6</f>
        <v>9.5299549485983424E-3</v>
      </c>
      <c r="G2032" s="2">
        <f t="shared" si="293"/>
        <v>1</v>
      </c>
      <c r="H2032" s="2">
        <f t="shared" si="293"/>
        <v>0.36449057933102513</v>
      </c>
      <c r="I2032" s="2">
        <f t="shared" si="286"/>
        <v>0</v>
      </c>
      <c r="J2032" s="389">
        <f t="shared" si="287"/>
        <v>0</v>
      </c>
      <c r="L2032" s="803">
        <v>7567</v>
      </c>
      <c r="M2032" s="802"/>
      <c r="N2032" s="804" t="s">
        <v>5197</v>
      </c>
      <c r="O2032" s="805" t="s">
        <v>4675</v>
      </c>
      <c r="P2032" s="233">
        <f t="shared" si="288"/>
        <v>0</v>
      </c>
      <c r="Q2032" s="233">
        <f t="shared" si="289"/>
        <v>7567</v>
      </c>
      <c r="R2032" s="2">
        <f t="shared" si="290"/>
        <v>4.5</v>
      </c>
      <c r="S2032" s="2">
        <f>(1/9)*cnst_fish!$C$7*(1/cnst_fish!$C$8)^(R2032-1)</f>
        <v>445.96223412630997</v>
      </c>
      <c r="T2032" s="682">
        <f t="shared" si="291"/>
        <v>289413.77253871766</v>
      </c>
      <c r="W2032" s="818"/>
      <c r="X2032" s="818"/>
      <c r="Y2032" s="819"/>
      <c r="Z2032" s="820"/>
      <c r="AA2032" s="820"/>
      <c r="AB2032" s="821"/>
      <c r="AC2032" s="821"/>
      <c r="AD2032" s="253"/>
      <c r="AE2032" s="253"/>
    </row>
    <row r="2033" spans="1:31" ht="12.75" customHeight="1">
      <c r="A2033" t="s">
        <v>2089</v>
      </c>
      <c r="B2033" t="s">
        <v>108</v>
      </c>
      <c r="C2033">
        <v>3427</v>
      </c>
      <c r="D2033" s="802"/>
      <c r="E2033" s="802"/>
      <c r="F2033" s="2">
        <f>(1/S2033)*cnst_fish!$C$6</f>
        <v>0.95299549485983426</v>
      </c>
      <c r="G2033" s="2">
        <f t="shared" si="293"/>
        <v>1</v>
      </c>
      <c r="H2033" s="2">
        <f t="shared" si="293"/>
        <v>0.36449057933102513</v>
      </c>
      <c r="I2033" s="2">
        <f t="shared" si="286"/>
        <v>0</v>
      </c>
      <c r="J2033" s="389">
        <f t="shared" si="287"/>
        <v>0</v>
      </c>
      <c r="L2033" s="803">
        <v>78459</v>
      </c>
      <c r="M2033" s="802"/>
      <c r="N2033" s="804" t="s">
        <v>2322</v>
      </c>
      <c r="O2033" s="805" t="s">
        <v>4680</v>
      </c>
      <c r="P2033" s="233">
        <f t="shared" si="288"/>
        <v>0</v>
      </c>
      <c r="Q2033" s="233">
        <f t="shared" si="289"/>
        <v>78459</v>
      </c>
      <c r="R2033" s="2">
        <f t="shared" si="290"/>
        <v>2.5</v>
      </c>
      <c r="S2033" s="2">
        <f>(1/9)*cnst_fish!$C$7*(1/cnst_fish!$C$8)^(R2033-1)</f>
        <v>4.4596223412630991</v>
      </c>
      <c r="T2033" s="682">
        <f t="shared" si="291"/>
        <v>30008.08137916644</v>
      </c>
      <c r="W2033" s="818"/>
      <c r="X2033" s="818"/>
      <c r="Y2033" s="819"/>
      <c r="Z2033" s="820"/>
      <c r="AA2033" s="820"/>
      <c r="AB2033" s="821"/>
      <c r="AC2033" s="821"/>
      <c r="AD2033" s="253"/>
      <c r="AE2033" s="253"/>
    </row>
    <row r="2034" spans="1:31" ht="12.75" customHeight="1">
      <c r="A2034" t="s">
        <v>3478</v>
      </c>
      <c r="B2034" t="s">
        <v>4612</v>
      </c>
      <c r="C2034">
        <v>3119</v>
      </c>
      <c r="D2034" s="802"/>
      <c r="E2034" s="802"/>
      <c r="F2034" s="2">
        <f>(1/S2034)*cnst_fish!$C$6</f>
        <v>9.5299549485983424E-3</v>
      </c>
      <c r="G2034" s="2">
        <f t="shared" si="293"/>
        <v>1</v>
      </c>
      <c r="H2034" s="2">
        <f t="shared" si="293"/>
        <v>0.36449057933102513</v>
      </c>
      <c r="I2034" s="2">
        <f t="shared" si="286"/>
        <v>0</v>
      </c>
      <c r="J2034" s="389">
        <f t="shared" si="287"/>
        <v>0</v>
      </c>
      <c r="L2034" s="803">
        <v>3353</v>
      </c>
      <c r="M2034" s="802"/>
      <c r="N2034" s="804" t="s">
        <v>1738</v>
      </c>
      <c r="O2034" s="805" t="s">
        <v>4699</v>
      </c>
      <c r="P2034" s="233">
        <f t="shared" si="288"/>
        <v>0</v>
      </c>
      <c r="Q2034" s="233">
        <f t="shared" si="289"/>
        <v>3353</v>
      </c>
      <c r="R2034" s="2">
        <f t="shared" si="290"/>
        <v>4.5</v>
      </c>
      <c r="S2034" s="2">
        <f>(1/9)*cnst_fish!$C$7*(1/cnst_fish!$C$8)^(R2034-1)</f>
        <v>445.96223412630997</v>
      </c>
      <c r="T2034" s="682">
        <f t="shared" si="291"/>
        <v>128241.62538949652</v>
      </c>
      <c r="W2034" s="818"/>
      <c r="X2034" s="818"/>
      <c r="Y2034" s="819"/>
      <c r="Z2034" s="820"/>
      <c r="AA2034" s="820"/>
      <c r="AB2034" s="821"/>
      <c r="AC2034" s="821"/>
      <c r="AD2034" s="253"/>
      <c r="AE2034" s="253"/>
    </row>
    <row r="2035" spans="1:31" ht="12.75" customHeight="1">
      <c r="A2035" t="s">
        <v>6460</v>
      </c>
      <c r="B2035" t="s">
        <v>6459</v>
      </c>
      <c r="C2035">
        <v>15247</v>
      </c>
      <c r="D2035" s="802"/>
      <c r="E2035" s="802"/>
      <c r="F2035" s="2">
        <f>(1/S2035)*cnst_fish!$C$6</f>
        <v>9.5299549485983424E-3</v>
      </c>
      <c r="G2035" s="2">
        <f t="shared" si="293"/>
        <v>1</v>
      </c>
      <c r="H2035" s="2">
        <f t="shared" si="293"/>
        <v>0.36449057933102513</v>
      </c>
      <c r="I2035" s="2">
        <f t="shared" si="286"/>
        <v>0</v>
      </c>
      <c r="J2035" s="389">
        <f t="shared" si="287"/>
        <v>0</v>
      </c>
      <c r="L2035" s="803"/>
      <c r="M2035" s="802"/>
      <c r="N2035" s="804" t="s">
        <v>1738</v>
      </c>
      <c r="O2035" s="805" t="s">
        <v>4699</v>
      </c>
      <c r="P2035" s="233">
        <f t="shared" si="288"/>
        <v>0</v>
      </c>
      <c r="Q2035" s="233">
        <f t="shared" si="289"/>
        <v>0</v>
      </c>
      <c r="R2035" s="2">
        <f t="shared" si="290"/>
        <v>4.5</v>
      </c>
      <c r="S2035" s="2">
        <f>(1/9)*cnst_fish!$C$7*(1/cnst_fish!$C$8)^(R2035-1)</f>
        <v>445.96223412630997</v>
      </c>
      <c r="T2035" s="682">
        <f t="shared" si="291"/>
        <v>0</v>
      </c>
      <c r="W2035" s="818"/>
      <c r="X2035" s="818"/>
      <c r="Y2035" s="819"/>
      <c r="Z2035" s="820"/>
      <c r="AA2035" s="820"/>
      <c r="AB2035" s="821"/>
      <c r="AC2035" s="821"/>
      <c r="AD2035" s="253"/>
      <c r="AE2035" s="253"/>
    </row>
    <row r="2036" spans="1:31" ht="12.75" customHeight="1">
      <c r="A2036" t="s">
        <v>2957</v>
      </c>
      <c r="B2036" t="s">
        <v>4613</v>
      </c>
      <c r="C2036">
        <v>3120</v>
      </c>
      <c r="D2036" s="802"/>
      <c r="E2036" s="802"/>
      <c r="F2036" s="2">
        <f>(1/S2036)*cnst_fish!$C$6</f>
        <v>2.5650205424007942E-2</v>
      </c>
      <c r="G2036" s="2">
        <f t="shared" si="293"/>
        <v>1</v>
      </c>
      <c r="H2036" s="2">
        <f t="shared" si="293"/>
        <v>0.36449057933102513</v>
      </c>
      <c r="I2036" s="2">
        <f t="shared" si="286"/>
        <v>0</v>
      </c>
      <c r="J2036" s="389">
        <f t="shared" si="287"/>
        <v>0</v>
      </c>
      <c r="L2036" s="803">
        <v>3159</v>
      </c>
      <c r="M2036" s="802"/>
      <c r="N2036" s="804" t="s">
        <v>1738</v>
      </c>
      <c r="O2036" s="805" t="s">
        <v>4699</v>
      </c>
      <c r="P2036" s="233">
        <f t="shared" si="288"/>
        <v>0</v>
      </c>
      <c r="Q2036" s="233">
        <f t="shared" si="289"/>
        <v>3159</v>
      </c>
      <c r="R2036" s="2">
        <f t="shared" si="290"/>
        <v>4.07</v>
      </c>
      <c r="S2036" s="2">
        <f>(1/9)*cnst_fish!$C$7*(1/cnst_fish!$C$8)^(R2036-1)</f>
        <v>165.6906808248057</v>
      </c>
      <c r="T2036" s="682">
        <f t="shared" si="291"/>
        <v>44889.532893526193</v>
      </c>
      <c r="W2036" s="818"/>
      <c r="X2036" s="818"/>
      <c r="Y2036" s="819"/>
      <c r="Z2036" s="820"/>
      <c r="AA2036" s="820"/>
      <c r="AB2036" s="821"/>
      <c r="AC2036" s="821"/>
      <c r="AD2036" s="253"/>
      <c r="AE2036" s="253"/>
    </row>
    <row r="2037" spans="1:31" ht="12.75" customHeight="1">
      <c r="A2037" t="s">
        <v>9052</v>
      </c>
      <c r="B2037" t="s">
        <v>9053</v>
      </c>
      <c r="C2037">
        <v>15249</v>
      </c>
      <c r="D2037" s="802"/>
      <c r="E2037" s="802"/>
      <c r="F2037" s="869">
        <f>(1/S2037)*cnst_fish!$C$6</f>
        <v>1.5103960722494611E-2</v>
      </c>
      <c r="G2037" s="869">
        <f t="shared" si="293"/>
        <v>1</v>
      </c>
      <c r="H2037" s="869">
        <f t="shared" si="293"/>
        <v>0.36449057933102513</v>
      </c>
      <c r="I2037" s="869">
        <f t="shared" si="286"/>
        <v>0</v>
      </c>
      <c r="J2037" s="389">
        <f t="shared" si="287"/>
        <v>0</v>
      </c>
      <c r="L2037" s="803">
        <v>39</v>
      </c>
      <c r="M2037" s="802"/>
      <c r="N2037" s="876" t="s">
        <v>1738</v>
      </c>
      <c r="O2037" s="880" t="s">
        <v>4699</v>
      </c>
      <c r="P2037" s="871">
        <f t="shared" si="288"/>
        <v>0</v>
      </c>
      <c r="Q2037" s="871">
        <f t="shared" si="289"/>
        <v>39</v>
      </c>
      <c r="R2037" s="869">
        <f t="shared" si="290"/>
        <v>4.3</v>
      </c>
      <c r="S2037" s="869">
        <f>(1/9)*cnst_fish!$C$7*(1/cnst_fish!$C$8)^(R2037-1)</f>
        <v>281.38314698279078</v>
      </c>
      <c r="T2037" s="682">
        <f t="shared" si="291"/>
        <v>941.1526456593017</v>
      </c>
      <c r="W2037" s="818"/>
      <c r="X2037" s="818"/>
      <c r="Y2037" s="819"/>
      <c r="Z2037" s="820"/>
      <c r="AA2037" s="820"/>
      <c r="AB2037" s="821"/>
      <c r="AC2037" s="821"/>
      <c r="AD2037" s="253"/>
      <c r="AE2037" s="253"/>
    </row>
    <row r="2038" spans="1:31" ht="12.75" customHeight="1">
      <c r="A2038" t="s">
        <v>4209</v>
      </c>
      <c r="B2038" t="s">
        <v>8785</v>
      </c>
      <c r="C2038">
        <v>2321</v>
      </c>
      <c r="D2038" s="802"/>
      <c r="E2038" s="802"/>
      <c r="F2038" s="2">
        <f>(1/S2038)*cnst_fish!$C$6</f>
        <v>3.0136363636363642E-2</v>
      </c>
      <c r="G2038" s="2">
        <f t="shared" si="293"/>
        <v>1</v>
      </c>
      <c r="H2038" s="2">
        <f t="shared" si="293"/>
        <v>0.36449057933102513</v>
      </c>
      <c r="I2038" s="2">
        <f t="shared" si="286"/>
        <v>0</v>
      </c>
      <c r="J2038" s="389">
        <f t="shared" si="287"/>
        <v>0</v>
      </c>
      <c r="L2038" s="803"/>
      <c r="M2038" s="802"/>
      <c r="N2038" s="804" t="s">
        <v>1738</v>
      </c>
      <c r="O2038" s="805" t="s">
        <v>4681</v>
      </c>
      <c r="P2038" s="233">
        <f t="shared" si="288"/>
        <v>0</v>
      </c>
      <c r="Q2038" s="233">
        <f t="shared" si="289"/>
        <v>0</v>
      </c>
      <c r="R2038" s="2">
        <f t="shared" si="290"/>
        <v>4</v>
      </c>
      <c r="S2038" s="2">
        <f>(1/9)*cnst_fish!$C$7*(1/cnst_fish!$C$8)^(R2038-1)</f>
        <v>141.02564102564099</v>
      </c>
      <c r="T2038" s="682">
        <f t="shared" si="291"/>
        <v>0</v>
      </c>
      <c r="W2038" s="818"/>
      <c r="X2038" s="818"/>
      <c r="Y2038" s="819"/>
      <c r="Z2038" s="820"/>
      <c r="AA2038" s="820"/>
      <c r="AB2038" s="821"/>
      <c r="AC2038" s="821"/>
      <c r="AD2038" s="253"/>
      <c r="AE2038" s="253"/>
    </row>
    <row r="2039" spans="1:31" ht="12.75" customHeight="1">
      <c r="A2039" t="s">
        <v>6473</v>
      </c>
      <c r="B2039" t="s">
        <v>6472</v>
      </c>
      <c r="C2039">
        <v>15250</v>
      </c>
      <c r="D2039" s="802"/>
      <c r="E2039" s="802"/>
      <c r="F2039" s="2">
        <f>(1/S2039)*cnst_fish!$C$6</f>
        <v>9.5299549485983424E-3</v>
      </c>
      <c r="G2039" s="2">
        <f t="shared" si="293"/>
        <v>1</v>
      </c>
      <c r="H2039" s="2">
        <f t="shared" si="293"/>
        <v>0.36449057933102513</v>
      </c>
      <c r="I2039" s="2">
        <f t="shared" si="286"/>
        <v>0</v>
      </c>
      <c r="J2039" s="389">
        <f t="shared" si="287"/>
        <v>0</v>
      </c>
      <c r="L2039" s="803">
        <v>481</v>
      </c>
      <c r="M2039" s="802"/>
      <c r="N2039" s="804" t="s">
        <v>1738</v>
      </c>
      <c r="O2039" s="805" t="s">
        <v>4699</v>
      </c>
      <c r="P2039" s="233">
        <f t="shared" si="288"/>
        <v>0</v>
      </c>
      <c r="Q2039" s="233">
        <f t="shared" si="289"/>
        <v>481</v>
      </c>
      <c r="R2039" s="2">
        <f t="shared" si="290"/>
        <v>4.5</v>
      </c>
      <c r="S2039" s="2">
        <f>(1/9)*cnst_fish!$C$7*(1/cnst_fish!$C$8)^(R2039-1)</f>
        <v>445.96223412630997</v>
      </c>
      <c r="T2039" s="682">
        <f t="shared" si="291"/>
        <v>18396.725861123719</v>
      </c>
      <c r="W2039" s="818"/>
      <c r="X2039" s="818"/>
      <c r="Y2039" s="819"/>
      <c r="Z2039" s="820"/>
      <c r="AA2039" s="820"/>
      <c r="AB2039" s="821"/>
      <c r="AC2039" s="821"/>
      <c r="AD2039" s="253"/>
      <c r="AE2039" s="253"/>
    </row>
    <row r="2040" spans="1:31" ht="12.75" customHeight="1">
      <c r="A2040" t="s">
        <v>4850</v>
      </c>
      <c r="B2040" t="s">
        <v>4614</v>
      </c>
      <c r="C2040">
        <v>2320</v>
      </c>
      <c r="D2040" s="802"/>
      <c r="E2040" s="802"/>
      <c r="F2040" s="2">
        <f>(1/S2040)*cnst_fish!$C$6</f>
        <v>1.3774975896121007E-2</v>
      </c>
      <c r="G2040" s="2">
        <f t="shared" si="293"/>
        <v>1</v>
      </c>
      <c r="H2040" s="2">
        <f t="shared" si="293"/>
        <v>0.36449057933102513</v>
      </c>
      <c r="I2040" s="2">
        <f t="shared" si="286"/>
        <v>0</v>
      </c>
      <c r="J2040" s="389">
        <f t="shared" si="287"/>
        <v>0</v>
      </c>
      <c r="L2040" s="803">
        <v>120296</v>
      </c>
      <c r="M2040" s="802"/>
      <c r="N2040" s="804" t="s">
        <v>1738</v>
      </c>
      <c r="O2040" s="805" t="s">
        <v>4699</v>
      </c>
      <c r="P2040" s="233">
        <f t="shared" si="288"/>
        <v>0</v>
      </c>
      <c r="Q2040" s="233">
        <f t="shared" si="289"/>
        <v>120296</v>
      </c>
      <c r="R2040" s="2">
        <f t="shared" si="290"/>
        <v>4.34</v>
      </c>
      <c r="S2040" s="2">
        <f>(1/9)*cnst_fish!$C$7*(1/cnst_fish!$C$8)^(R2040-1)</f>
        <v>308.53048542878304</v>
      </c>
      <c r="T2040" s="682">
        <f t="shared" si="291"/>
        <v>3183073.3543099789</v>
      </c>
      <c r="W2040" s="818"/>
      <c r="X2040" s="818"/>
      <c r="Y2040" s="819"/>
      <c r="Z2040" s="820"/>
      <c r="AA2040" s="820"/>
      <c r="AB2040" s="821"/>
      <c r="AC2040" s="821"/>
      <c r="AD2040" s="253"/>
      <c r="AE2040" s="253"/>
    </row>
    <row r="2041" spans="1:31" ht="12.75" customHeight="1">
      <c r="A2041" t="s">
        <v>6237</v>
      </c>
      <c r="B2041" t="s">
        <v>6236</v>
      </c>
      <c r="C2041">
        <v>15251</v>
      </c>
      <c r="D2041" s="802"/>
      <c r="E2041" s="802"/>
      <c r="F2041" s="2">
        <f>(1/S2041)*cnst_fish!$C$6</f>
        <v>9.5299549485983424E-3</v>
      </c>
      <c r="G2041" s="2">
        <f t="shared" si="293"/>
        <v>1</v>
      </c>
      <c r="H2041" s="2">
        <f t="shared" si="293"/>
        <v>0.36449057933102513</v>
      </c>
      <c r="I2041" s="2">
        <f t="shared" si="286"/>
        <v>0</v>
      </c>
      <c r="J2041" s="389">
        <f t="shared" si="287"/>
        <v>0</v>
      </c>
      <c r="L2041" s="803">
        <v>3</v>
      </c>
      <c r="M2041" s="802"/>
      <c r="N2041" s="804" t="s">
        <v>1738</v>
      </c>
      <c r="O2041" s="805" t="s">
        <v>4699</v>
      </c>
      <c r="P2041" s="233">
        <f t="shared" si="288"/>
        <v>0</v>
      </c>
      <c r="Q2041" s="233">
        <f t="shared" si="289"/>
        <v>3</v>
      </c>
      <c r="R2041" s="2">
        <f t="shared" si="290"/>
        <v>4.5</v>
      </c>
      <c r="S2041" s="2">
        <f>(1/9)*cnst_fish!$C$7*(1/cnst_fish!$C$8)^(R2041-1)</f>
        <v>445.96223412630997</v>
      </c>
      <c r="T2041" s="682">
        <f t="shared" si="291"/>
        <v>114.74049393632258</v>
      </c>
      <c r="W2041" s="818"/>
      <c r="X2041" s="818"/>
      <c r="Y2041" s="819"/>
      <c r="Z2041" s="820"/>
      <c r="AA2041" s="820"/>
      <c r="AB2041" s="821"/>
      <c r="AC2041" s="821"/>
      <c r="AD2041" s="253"/>
      <c r="AE2041" s="253"/>
    </row>
    <row r="2042" spans="1:31" ht="12.75" customHeight="1">
      <c r="A2042" t="s">
        <v>4665</v>
      </c>
      <c r="B2042" t="s">
        <v>2107</v>
      </c>
      <c r="C2042">
        <v>2509</v>
      </c>
      <c r="D2042" s="802"/>
      <c r="E2042" s="802"/>
      <c r="F2042" s="2">
        <f>(1/S2042)*cnst_fish!$C$6</f>
        <v>0.15103960722494611</v>
      </c>
      <c r="G2042" s="2">
        <f t="shared" si="293"/>
        <v>1</v>
      </c>
      <c r="H2042" s="2">
        <f t="shared" si="293"/>
        <v>0.36449057933102513</v>
      </c>
      <c r="I2042" s="2">
        <f t="shared" si="286"/>
        <v>0</v>
      </c>
      <c r="J2042" s="389">
        <f t="shared" si="287"/>
        <v>0</v>
      </c>
      <c r="L2042" s="803">
        <v>2462</v>
      </c>
      <c r="M2042" s="802"/>
      <c r="N2042" s="804" t="s">
        <v>1738</v>
      </c>
      <c r="O2042" s="805" t="s">
        <v>4681</v>
      </c>
      <c r="P2042" s="233">
        <f t="shared" si="288"/>
        <v>0</v>
      </c>
      <c r="Q2042" s="233">
        <f t="shared" si="289"/>
        <v>2462</v>
      </c>
      <c r="R2042" s="2">
        <f t="shared" si="290"/>
        <v>3.3</v>
      </c>
      <c r="S2042" s="2">
        <f>(1/9)*cnst_fish!$C$7*(1/cnst_fish!$C$8)^(R2042-1)</f>
        <v>28.138314698279075</v>
      </c>
      <c r="T2042" s="682">
        <f t="shared" si="291"/>
        <v>5941.3277272133355</v>
      </c>
      <c r="W2042" s="818"/>
      <c r="X2042" s="818"/>
      <c r="Y2042" s="819"/>
      <c r="Z2042" s="820"/>
      <c r="AA2042" s="820"/>
      <c r="AB2042" s="821"/>
      <c r="AC2042" s="821"/>
      <c r="AD2042" s="253"/>
      <c r="AE2042" s="253"/>
    </row>
    <row r="2043" spans="1:31" ht="12.75" customHeight="1">
      <c r="A2043" t="s">
        <v>3326</v>
      </c>
      <c r="B2043" t="s">
        <v>245</v>
      </c>
      <c r="C2043">
        <v>2511</v>
      </c>
      <c r="D2043" s="802"/>
      <c r="E2043" s="802"/>
      <c r="F2043" s="2">
        <f>(1/S2043)*cnst_fish!$C$6</f>
        <v>0.11724405960509449</v>
      </c>
      <c r="G2043" s="2">
        <f t="shared" si="293"/>
        <v>1</v>
      </c>
      <c r="H2043" s="2">
        <f t="shared" si="293"/>
        <v>0.36449057933102513</v>
      </c>
      <c r="I2043" s="2">
        <f t="shared" si="286"/>
        <v>0</v>
      </c>
      <c r="J2043" s="389">
        <f t="shared" si="287"/>
        <v>0</v>
      </c>
      <c r="L2043" s="803">
        <v>1094</v>
      </c>
      <c r="M2043" s="802"/>
      <c r="N2043" s="804" t="s">
        <v>1738</v>
      </c>
      <c r="O2043" s="805" t="s">
        <v>4681</v>
      </c>
      <c r="P2043" s="233">
        <f t="shared" si="288"/>
        <v>0</v>
      </c>
      <c r="Q2043" s="233">
        <f t="shared" si="289"/>
        <v>1094</v>
      </c>
      <c r="R2043" s="2">
        <f t="shared" si="290"/>
        <v>3.41</v>
      </c>
      <c r="S2043" s="2">
        <f>(1/9)*cnst_fish!$C$7*(1/cnst_fish!$C$8)^(R2043-1)</f>
        <v>36.24917129545836</v>
      </c>
      <c r="T2043" s="682">
        <f t="shared" si="291"/>
        <v>3401.0481650945403</v>
      </c>
      <c r="W2043" s="818"/>
      <c r="X2043" s="818"/>
      <c r="Y2043" s="819"/>
      <c r="Z2043" s="820"/>
      <c r="AA2043" s="820"/>
      <c r="AB2043" s="821"/>
      <c r="AC2043" s="821"/>
      <c r="AD2043" s="253"/>
      <c r="AE2043" s="253"/>
    </row>
    <row r="2044" spans="1:31" ht="12.75" customHeight="1">
      <c r="A2044" t="s">
        <v>3409</v>
      </c>
      <c r="B2044" t="s">
        <v>246</v>
      </c>
      <c r="C2044">
        <v>3317</v>
      </c>
      <c r="D2044" s="802"/>
      <c r="E2044" s="802"/>
      <c r="F2044" s="2">
        <f>(1/S2044)*cnst_fish!$C$6</f>
        <v>0.11997502458044032</v>
      </c>
      <c r="G2044" s="2">
        <f t="shared" si="293"/>
        <v>1</v>
      </c>
      <c r="H2044" s="2">
        <f t="shared" si="293"/>
        <v>0.36449057933102513</v>
      </c>
      <c r="I2044" s="2">
        <f t="shared" si="286"/>
        <v>0</v>
      </c>
      <c r="J2044" s="389">
        <f t="shared" si="287"/>
        <v>0</v>
      </c>
      <c r="L2044" s="803">
        <v>807</v>
      </c>
      <c r="M2044" s="802"/>
      <c r="N2044" s="804" t="s">
        <v>1738</v>
      </c>
      <c r="O2044" s="805" t="s">
        <v>4681</v>
      </c>
      <c r="P2044" s="233">
        <f t="shared" si="288"/>
        <v>0</v>
      </c>
      <c r="Q2044" s="233">
        <f t="shared" si="289"/>
        <v>807</v>
      </c>
      <c r="R2044" s="2">
        <f t="shared" si="290"/>
        <v>3.4</v>
      </c>
      <c r="S2044" s="2">
        <f>(1/9)*cnst_fish!$C$7*(1/cnst_fish!$C$8)^(R2044-1)</f>
        <v>35.424039418724846</v>
      </c>
      <c r="T2044" s="682">
        <f t="shared" si="291"/>
        <v>2451.7094165954595</v>
      </c>
      <c r="W2044" s="822"/>
      <c r="X2044" s="822"/>
      <c r="Y2044" s="819"/>
      <c r="Z2044" s="820"/>
      <c r="AA2044" s="820"/>
      <c r="AB2044" s="821"/>
      <c r="AC2044" s="821"/>
      <c r="AD2044" s="253"/>
      <c r="AE2044" s="253"/>
    </row>
    <row r="2045" spans="1:31" ht="12.75" customHeight="1">
      <c r="A2045" t="s">
        <v>5529</v>
      </c>
      <c r="B2045" t="s">
        <v>247</v>
      </c>
      <c r="C2045">
        <v>3318</v>
      </c>
      <c r="D2045" s="802"/>
      <c r="E2045" s="802"/>
      <c r="F2045" s="2">
        <f>(1/S2045)*cnst_fish!$C$6</f>
        <v>0.11997502458044032</v>
      </c>
      <c r="G2045" s="2">
        <f t="shared" si="293"/>
        <v>1</v>
      </c>
      <c r="H2045" s="2">
        <f t="shared" si="293"/>
        <v>0.36449057933102513</v>
      </c>
      <c r="I2045" s="2">
        <f t="shared" si="286"/>
        <v>0</v>
      </c>
      <c r="J2045" s="389">
        <f t="shared" si="287"/>
        <v>0</v>
      </c>
      <c r="L2045" s="803">
        <v>8970</v>
      </c>
      <c r="M2045" s="802"/>
      <c r="N2045" s="804" t="s">
        <v>1738</v>
      </c>
      <c r="O2045" s="805" t="s">
        <v>4681</v>
      </c>
      <c r="P2045" s="233">
        <f t="shared" si="288"/>
        <v>0</v>
      </c>
      <c r="Q2045" s="233">
        <f t="shared" si="289"/>
        <v>8970</v>
      </c>
      <c r="R2045" s="2">
        <f t="shared" si="290"/>
        <v>3.4</v>
      </c>
      <c r="S2045" s="2">
        <f>(1/9)*cnst_fish!$C$7*(1/cnst_fish!$C$8)^(R2045-1)</f>
        <v>35.424039418724846</v>
      </c>
      <c r="T2045" s="682">
        <f t="shared" si="291"/>
        <v>27251.342585949533</v>
      </c>
      <c r="W2045" s="818"/>
      <c r="X2045" s="818"/>
      <c r="Y2045" s="819"/>
      <c r="Z2045" s="820"/>
      <c r="AA2045" s="820"/>
      <c r="AB2045" s="821"/>
      <c r="AC2045" s="821"/>
      <c r="AD2045" s="253"/>
      <c r="AE2045" s="253"/>
    </row>
    <row r="2046" spans="1:31" ht="12.75" customHeight="1">
      <c r="A2046" t="s">
        <v>4719</v>
      </c>
      <c r="B2046" t="s">
        <v>4312</v>
      </c>
      <c r="C2046">
        <v>2508</v>
      </c>
      <c r="D2046" s="802"/>
      <c r="E2046" s="802"/>
      <c r="F2046" s="2">
        <f>(1/S2046)*cnst_fish!$C$6</f>
        <v>0.12562927329128742</v>
      </c>
      <c r="G2046" s="2">
        <f t="shared" si="293"/>
        <v>1</v>
      </c>
      <c r="H2046" s="2">
        <f t="shared" si="293"/>
        <v>0.36449057933102513</v>
      </c>
      <c r="I2046" s="2">
        <f t="shared" si="286"/>
        <v>0</v>
      </c>
      <c r="J2046" s="389">
        <f t="shared" si="287"/>
        <v>0</v>
      </c>
      <c r="L2046" s="803">
        <v>5631</v>
      </c>
      <c r="M2046" s="802"/>
      <c r="N2046" s="804" t="s">
        <v>1738</v>
      </c>
      <c r="O2046" s="805" t="s">
        <v>4681</v>
      </c>
      <c r="P2046" s="233">
        <f t="shared" si="288"/>
        <v>0</v>
      </c>
      <c r="Q2046" s="233">
        <f t="shared" si="289"/>
        <v>5631</v>
      </c>
      <c r="R2046" s="2">
        <f t="shared" si="290"/>
        <v>3.38</v>
      </c>
      <c r="S2046" s="2">
        <f>(1/9)*cnst_fish!$C$7*(1/cnst_fish!$C$8)^(R2046-1)</f>
        <v>33.829695011813328</v>
      </c>
      <c r="T2046" s="682">
        <f t="shared" si="291"/>
        <v>16337.326472104514</v>
      </c>
      <c r="W2046" s="818"/>
      <c r="X2046" s="818"/>
      <c r="Y2046" s="819"/>
      <c r="Z2046" s="820"/>
      <c r="AA2046" s="820"/>
      <c r="AB2046" s="821"/>
      <c r="AC2046" s="821"/>
      <c r="AD2046" s="253"/>
      <c r="AE2046" s="253"/>
    </row>
    <row r="2047" spans="1:31" ht="12.75" customHeight="1">
      <c r="A2047" t="s">
        <v>2844</v>
      </c>
      <c r="B2047" t="s">
        <v>608</v>
      </c>
      <c r="C2047">
        <v>15252</v>
      </c>
      <c r="D2047" s="802"/>
      <c r="E2047" s="802"/>
      <c r="F2047" s="2">
        <f>(1/S2047)*cnst_fish!$C$6</f>
        <v>2.0374682394767439E-2</v>
      </c>
      <c r="G2047" s="2">
        <f t="shared" si="293"/>
        <v>1</v>
      </c>
      <c r="H2047" s="2">
        <f t="shared" si="293"/>
        <v>0.36449057933102513</v>
      </c>
      <c r="I2047" s="2">
        <f t="shared" si="286"/>
        <v>0</v>
      </c>
      <c r="J2047" s="389">
        <f t="shared" si="287"/>
        <v>0</v>
      </c>
      <c r="L2047" s="803">
        <v>318</v>
      </c>
      <c r="M2047" s="802"/>
      <c r="N2047" s="804" t="s">
        <v>1738</v>
      </c>
      <c r="O2047" s="805" t="s">
        <v>4699</v>
      </c>
      <c r="P2047" s="233">
        <f t="shared" si="288"/>
        <v>0</v>
      </c>
      <c r="Q2047" s="233">
        <f t="shared" si="289"/>
        <v>318</v>
      </c>
      <c r="R2047" s="2">
        <f t="shared" si="290"/>
        <v>4.17</v>
      </c>
      <c r="S2047" s="2">
        <f>(1/9)*cnst_fish!$C$7*(1/cnst_fish!$C$8)^(R2047-1)</f>
        <v>208.59220858782425</v>
      </c>
      <c r="T2047" s="682">
        <f t="shared" si="291"/>
        <v>5688.82508112289</v>
      </c>
    </row>
    <row r="2048" spans="1:31" ht="12.75" customHeight="1">
      <c r="A2048" t="s">
        <v>2981</v>
      </c>
      <c r="B2048" t="s">
        <v>524</v>
      </c>
      <c r="C2048">
        <v>3069</v>
      </c>
      <c r="D2048" s="802"/>
      <c r="E2048" s="802"/>
      <c r="F2048" s="2">
        <f>(1/S2048)*cnst_fish!$C$6</f>
        <v>3.8823156944206696E-2</v>
      </c>
      <c r="G2048" s="2">
        <f t="shared" ref="G2048:H2067" si="294">G$7</f>
        <v>1</v>
      </c>
      <c r="H2048" s="2">
        <f t="shared" si="294"/>
        <v>0.36449057933102513</v>
      </c>
      <c r="I2048" s="2">
        <f t="shared" si="286"/>
        <v>0</v>
      </c>
      <c r="J2048" s="389">
        <f t="shared" si="287"/>
        <v>0</v>
      </c>
      <c r="L2048" s="803">
        <v>56649.279999999999</v>
      </c>
      <c r="M2048" s="802"/>
      <c r="N2048" s="804" t="s">
        <v>2319</v>
      </c>
      <c r="O2048" s="805" t="s">
        <v>4681</v>
      </c>
      <c r="P2048" s="233">
        <f t="shared" si="288"/>
        <v>0</v>
      </c>
      <c r="Q2048" s="233">
        <f t="shared" si="289"/>
        <v>56649.279999999999</v>
      </c>
      <c r="R2048" s="2">
        <f t="shared" si="290"/>
        <v>3.89</v>
      </c>
      <c r="S2048" s="2">
        <f>(1/9)*cnst_fish!$C$7*(1/cnst_fish!$C$8)^(R2048-1)</f>
        <v>109.47074721686684</v>
      </c>
      <c r="T2048" s="682">
        <f t="shared" si="291"/>
        <v>531850.8465336595</v>
      </c>
    </row>
    <row r="2049" spans="1:20" ht="12.75" customHeight="1">
      <c r="A2049" t="s">
        <v>4287</v>
      </c>
      <c r="B2049" t="s">
        <v>8786</v>
      </c>
      <c r="C2049">
        <v>2423</v>
      </c>
      <c r="D2049" s="802"/>
      <c r="E2049" s="802"/>
      <c r="F2049" s="2">
        <f>(1/S2049)*cnst_fish!$C$6</f>
        <v>2.3938164528281767E-2</v>
      </c>
      <c r="G2049" s="2">
        <f t="shared" si="294"/>
        <v>1</v>
      </c>
      <c r="H2049" s="2">
        <f t="shared" si="294"/>
        <v>0.36449057933102513</v>
      </c>
      <c r="I2049" s="2">
        <f t="shared" si="286"/>
        <v>0</v>
      </c>
      <c r="J2049" s="389">
        <f t="shared" si="287"/>
        <v>0</v>
      </c>
      <c r="L2049" s="803"/>
      <c r="M2049" s="802"/>
      <c r="N2049" s="804" t="s">
        <v>1738</v>
      </c>
      <c r="O2049" s="805" t="s">
        <v>4681</v>
      </c>
      <c r="P2049" s="233">
        <f t="shared" si="288"/>
        <v>0</v>
      </c>
      <c r="Q2049" s="233">
        <f t="shared" si="289"/>
        <v>0</v>
      </c>
      <c r="R2049" s="2">
        <f t="shared" si="290"/>
        <v>4.0999999999999996</v>
      </c>
      <c r="S2049" s="2">
        <f>(1/9)*cnst_fish!$C$7*(1/cnst_fish!$C$8)^(R2049-1)</f>
        <v>177.54076320174144</v>
      </c>
      <c r="T2049" s="682">
        <f t="shared" si="291"/>
        <v>0</v>
      </c>
    </row>
    <row r="2050" spans="1:20" ht="12.75" customHeight="1">
      <c r="A2050" t="s">
        <v>6270</v>
      </c>
      <c r="B2050" t="s">
        <v>6269</v>
      </c>
      <c r="C2050">
        <v>19318</v>
      </c>
      <c r="D2050" s="802"/>
      <c r="E2050" s="802"/>
      <c r="F2050" s="2">
        <f>(1/S2050)*cnst_fish!$C$6</f>
        <v>3.0136363636363641</v>
      </c>
      <c r="G2050" s="2">
        <f t="shared" si="294"/>
        <v>1</v>
      </c>
      <c r="H2050" s="2">
        <f t="shared" si="294"/>
        <v>0.36449057933102513</v>
      </c>
      <c r="I2050" s="2">
        <f t="shared" si="286"/>
        <v>0</v>
      </c>
      <c r="J2050" s="389">
        <f t="shared" si="287"/>
        <v>0</v>
      </c>
      <c r="L2050" s="803">
        <v>60</v>
      </c>
      <c r="M2050" s="802"/>
      <c r="N2050" s="804" t="s">
        <v>2319</v>
      </c>
      <c r="O2050" s="805" t="s">
        <v>4681</v>
      </c>
      <c r="P2050" s="233">
        <f t="shared" si="288"/>
        <v>0</v>
      </c>
      <c r="Q2050" s="233">
        <f t="shared" si="289"/>
        <v>60</v>
      </c>
      <c r="R2050" s="2">
        <f t="shared" si="290"/>
        <v>2</v>
      </c>
      <c r="S2050" s="2">
        <f>(1/9)*cnst_fish!$C$7*(1/cnst_fish!$C$8)^(R2050-1)</f>
        <v>1.4102564102564099</v>
      </c>
      <c r="T2050" s="682">
        <f t="shared" si="291"/>
        <v>7.2568260138303637</v>
      </c>
    </row>
    <row r="2051" spans="1:20" ht="12.75" customHeight="1">
      <c r="A2051" t="s">
        <v>6334</v>
      </c>
      <c r="B2051" t="s">
        <v>6333</v>
      </c>
      <c r="C2051">
        <v>2284</v>
      </c>
      <c r="D2051" s="802"/>
      <c r="E2051" s="802"/>
      <c r="F2051" s="2">
        <f>(1/S2051)*cnst_fish!$C$6</f>
        <v>0.11997502458044032</v>
      </c>
      <c r="G2051" s="2">
        <f t="shared" si="294"/>
        <v>1</v>
      </c>
      <c r="H2051" s="2">
        <f t="shared" si="294"/>
        <v>0.36449057933102513</v>
      </c>
      <c r="I2051" s="2">
        <f t="shared" si="286"/>
        <v>0</v>
      </c>
      <c r="J2051" s="389">
        <f t="shared" si="287"/>
        <v>0</v>
      </c>
      <c r="L2051" s="803">
        <v>148</v>
      </c>
      <c r="M2051" s="802"/>
      <c r="N2051" s="804" t="s">
        <v>2319</v>
      </c>
      <c r="O2051" s="805" t="s">
        <v>4681</v>
      </c>
      <c r="P2051" s="233">
        <f t="shared" si="288"/>
        <v>0</v>
      </c>
      <c r="Q2051" s="233">
        <f t="shared" si="289"/>
        <v>148</v>
      </c>
      <c r="R2051" s="2">
        <f t="shared" si="290"/>
        <v>3.4</v>
      </c>
      <c r="S2051" s="2">
        <f>(1/9)*cnst_fish!$C$7*(1/cnst_fish!$C$8)^(R2051-1)</f>
        <v>35.424039418724846</v>
      </c>
      <c r="T2051" s="682">
        <f t="shared" si="291"/>
        <v>449.63196239916738</v>
      </c>
    </row>
    <row r="2052" spans="1:20" ht="12.75" customHeight="1">
      <c r="A2052" t="s">
        <v>6555</v>
      </c>
      <c r="B2052" t="s">
        <v>6554</v>
      </c>
      <c r="C2052">
        <v>15260</v>
      </c>
      <c r="D2052" s="802"/>
      <c r="E2052" s="802"/>
      <c r="F2052" s="2">
        <f>(1/S2052)*cnst_fish!$C$6</f>
        <v>4.7762917572805388E-2</v>
      </c>
      <c r="G2052" s="2">
        <f t="shared" si="294"/>
        <v>1</v>
      </c>
      <c r="H2052" s="2">
        <f t="shared" si="294"/>
        <v>0.36449057933102513</v>
      </c>
      <c r="I2052" s="2">
        <f t="shared" si="286"/>
        <v>0</v>
      </c>
      <c r="J2052" s="389">
        <f t="shared" si="287"/>
        <v>0</v>
      </c>
      <c r="L2052" s="803">
        <v>30</v>
      </c>
      <c r="M2052" s="802"/>
      <c r="N2052" s="804" t="s">
        <v>2319</v>
      </c>
      <c r="O2052" s="805" t="s">
        <v>4681</v>
      </c>
      <c r="P2052" s="233">
        <f t="shared" si="288"/>
        <v>0</v>
      </c>
      <c r="Q2052" s="233">
        <f t="shared" si="289"/>
        <v>30</v>
      </c>
      <c r="R2052" s="2">
        <f t="shared" si="290"/>
        <v>3.8</v>
      </c>
      <c r="S2052" s="2">
        <f>(1/9)*cnst_fish!$C$7*(1/cnst_fish!$C$8)^(R2052-1)</f>
        <v>88.981163965155432</v>
      </c>
      <c r="T2052" s="682">
        <f t="shared" si="291"/>
        <v>228.9373835520596</v>
      </c>
    </row>
    <row r="2053" spans="1:20" ht="12.75" customHeight="1">
      <c r="A2053" t="s">
        <v>6336</v>
      </c>
      <c r="B2053" t="s">
        <v>6335</v>
      </c>
      <c r="C2053">
        <v>2283</v>
      </c>
      <c r="D2053" s="802"/>
      <c r="E2053" s="802"/>
      <c r="F2053" s="2">
        <f>(1/S2053)*cnst_fish!$C$6</f>
        <v>3.0136363636363641</v>
      </c>
      <c r="G2053" s="2">
        <f t="shared" si="294"/>
        <v>1</v>
      </c>
      <c r="H2053" s="2">
        <f t="shared" si="294"/>
        <v>0.36449057933102513</v>
      </c>
      <c r="I2053" s="2">
        <f t="shared" si="286"/>
        <v>0</v>
      </c>
      <c r="J2053" s="389">
        <f t="shared" si="287"/>
        <v>0</v>
      </c>
      <c r="L2053" s="803">
        <v>0</v>
      </c>
      <c r="M2053" s="802"/>
      <c r="N2053" s="804" t="s">
        <v>2319</v>
      </c>
      <c r="O2053" s="805" t="s">
        <v>4681</v>
      </c>
      <c r="P2053" s="233">
        <f t="shared" si="288"/>
        <v>0</v>
      </c>
      <c r="Q2053" s="233">
        <f t="shared" si="289"/>
        <v>0</v>
      </c>
      <c r="R2053" s="2">
        <f t="shared" si="290"/>
        <v>2</v>
      </c>
      <c r="S2053" s="2">
        <f>(1/9)*cnst_fish!$C$7*(1/cnst_fish!$C$8)^(R2053-1)</f>
        <v>1.4102564102564099</v>
      </c>
      <c r="T2053" s="682">
        <f t="shared" si="291"/>
        <v>0</v>
      </c>
    </row>
    <row r="2054" spans="1:20" ht="12.75" customHeight="1">
      <c r="A2054" t="s">
        <v>8361</v>
      </c>
      <c r="B2054" t="s">
        <v>8362</v>
      </c>
      <c r="C2054">
        <v>6785</v>
      </c>
      <c r="D2054" s="802"/>
      <c r="E2054" s="802"/>
      <c r="F2054" s="2">
        <f>(1/S2054)*cnst_fish!$C$6</f>
        <v>8.3002437741509269E-2</v>
      </c>
      <c r="G2054" s="2">
        <f t="shared" si="294"/>
        <v>1</v>
      </c>
      <c r="H2054" s="2">
        <f t="shared" si="294"/>
        <v>0.36449057933102513</v>
      </c>
      <c r="I2054" s="2">
        <f t="shared" si="286"/>
        <v>0</v>
      </c>
      <c r="J2054" s="389">
        <f t="shared" si="287"/>
        <v>0</v>
      </c>
      <c r="L2054" s="803"/>
      <c r="M2054" s="802">
        <v>3300</v>
      </c>
      <c r="N2054" s="804" t="s">
        <v>1738</v>
      </c>
      <c r="O2054" s="805" t="s">
        <v>4685</v>
      </c>
      <c r="P2054" s="233">
        <f t="shared" si="288"/>
        <v>0</v>
      </c>
      <c r="Q2054" s="233">
        <f t="shared" si="289"/>
        <v>3300</v>
      </c>
      <c r="R2054" s="2">
        <f t="shared" si="290"/>
        <v>3.56</v>
      </c>
      <c r="S2054" s="2">
        <f>(1/9)*cnst_fish!$C$7*(1/cnst_fish!$C$8)^(R2054-1)</f>
        <v>51.203315416296356</v>
      </c>
      <c r="T2054" s="682">
        <f t="shared" si="291"/>
        <v>14491.368500986287</v>
      </c>
    </row>
    <row r="2055" spans="1:20" ht="12.75" customHeight="1">
      <c r="A2055" t="s">
        <v>2697</v>
      </c>
      <c r="B2055" t="s">
        <v>109</v>
      </c>
      <c r="C2055">
        <v>2610</v>
      </c>
      <c r="D2055" s="802"/>
      <c r="E2055" s="802"/>
      <c r="F2055" s="2">
        <f>(1/S2055)*cnst_fish!$C$6</f>
        <v>1.9014759972289452</v>
      </c>
      <c r="G2055" s="2">
        <f t="shared" si="294"/>
        <v>1</v>
      </c>
      <c r="H2055" s="2">
        <f t="shared" si="294"/>
        <v>0.36449057933102513</v>
      </c>
      <c r="I2055" s="2">
        <f t="shared" ref="I2055:I2118" si="295">IF($F2055=0,0,D2055/$F2055*$H2055*$G2055)</f>
        <v>0</v>
      </c>
      <c r="J2055" s="389">
        <f t="shared" ref="J2055:J2118" si="296">IF($F2055=0,0,E2055/$F2055*$H2055*$G2055)</f>
        <v>0</v>
      </c>
      <c r="L2055" s="803">
        <v>525</v>
      </c>
      <c r="M2055" s="802"/>
      <c r="N2055" s="804" t="s">
        <v>2322</v>
      </c>
      <c r="O2055" s="805" t="s">
        <v>4680</v>
      </c>
      <c r="P2055" s="233">
        <f t="shared" ref="P2055:P2118" si="297">D2055+E2055</f>
        <v>0</v>
      </c>
      <c r="Q2055" s="233">
        <f t="shared" ref="Q2055:Q2118" si="298">L2055+M2055</f>
        <v>525</v>
      </c>
      <c r="R2055" s="2">
        <f t="shared" ref="R2055:R2118" si="299">VLOOKUP(B2055,constant_fish_trophic,3,FALSE)</f>
        <v>2.2000000000000002</v>
      </c>
      <c r="S2055" s="2">
        <f>(1/9)*cnst_fish!$C$7*(1/cnst_fish!$C$8)^(R2055-1)</f>
        <v>2.2351057842400328</v>
      </c>
      <c r="T2055" s="682">
        <f t="shared" ref="T2055:T2118" si="300">IF(F2055=0,0,Q2055/F2055*H2055*G2055)</f>
        <v>100.6363237967016</v>
      </c>
    </row>
    <row r="2056" spans="1:20" ht="12.75" customHeight="1">
      <c r="A2056" t="s">
        <v>1425</v>
      </c>
      <c r="B2056" t="s">
        <v>110</v>
      </c>
      <c r="C2056">
        <v>16659</v>
      </c>
      <c r="D2056" s="802"/>
      <c r="E2056" s="802"/>
      <c r="F2056" s="2">
        <f>(1/S2056)*cnst_fish!$C$6</f>
        <v>1.0179208487545861</v>
      </c>
      <c r="G2056" s="2">
        <f t="shared" si="294"/>
        <v>1</v>
      </c>
      <c r="H2056" s="2">
        <f t="shared" si="294"/>
        <v>0.36449057933102513</v>
      </c>
      <c r="I2056" s="2">
        <f t="shared" si="295"/>
        <v>0</v>
      </c>
      <c r="J2056" s="389">
        <f t="shared" si="296"/>
        <v>0</v>
      </c>
      <c r="L2056" s="803">
        <v>181</v>
      </c>
      <c r="M2056" s="802"/>
      <c r="N2056" s="804" t="s">
        <v>2322</v>
      </c>
      <c r="O2056" s="805" t="s">
        <v>4680</v>
      </c>
      <c r="P2056" s="233">
        <f t="shared" si="297"/>
        <v>0</v>
      </c>
      <c r="Q2056" s="233">
        <f t="shared" si="298"/>
        <v>181</v>
      </c>
      <c r="R2056" s="2">
        <f t="shared" si="299"/>
        <v>2.4713768380352099</v>
      </c>
      <c r="S2056" s="2">
        <f>(1/9)*cnst_fish!$C$7*(1/cnst_fish!$C$8)^(R2056-1)</f>
        <v>4.1751772794513675</v>
      </c>
      <c r="T2056" s="682">
        <f t="shared" si="300"/>
        <v>64.811320978082392</v>
      </c>
    </row>
    <row r="2057" spans="1:20" ht="12.75" customHeight="1">
      <c r="A2057" t="s">
        <v>426</v>
      </c>
      <c r="B2057" t="s">
        <v>1872</v>
      </c>
      <c r="C2057">
        <v>15277</v>
      </c>
      <c r="D2057" s="802"/>
      <c r="E2057" s="802"/>
      <c r="F2057" s="2">
        <f>(1/S2057)*cnst_fish!$C$6</f>
        <v>0.51178888253733446</v>
      </c>
      <c r="G2057" s="2">
        <f t="shared" si="294"/>
        <v>1</v>
      </c>
      <c r="H2057" s="2">
        <f t="shared" si="294"/>
        <v>0.36449057933102513</v>
      </c>
      <c r="I2057" s="2">
        <f t="shared" si="295"/>
        <v>0</v>
      </c>
      <c r="J2057" s="389">
        <f t="shared" si="296"/>
        <v>0</v>
      </c>
      <c r="L2057" s="803"/>
      <c r="M2057" s="802">
        <v>0</v>
      </c>
      <c r="N2057" s="804" t="s">
        <v>1738</v>
      </c>
      <c r="O2057" s="805" t="s">
        <v>4685</v>
      </c>
      <c r="P2057" s="233">
        <f t="shared" si="297"/>
        <v>0</v>
      </c>
      <c r="Q2057" s="233">
        <f t="shared" si="298"/>
        <v>0</v>
      </c>
      <c r="R2057" s="2">
        <f t="shared" si="299"/>
        <v>2.77</v>
      </c>
      <c r="S2057" s="2">
        <f>(1/9)*cnst_fish!$C$7*(1/cnst_fish!$C$8)^(R2057-1)</f>
        <v>8.3042053960403628</v>
      </c>
      <c r="T2057" s="682">
        <f t="shared" si="300"/>
        <v>0</v>
      </c>
    </row>
    <row r="2058" spans="1:20" ht="12.75" customHeight="1">
      <c r="A2058" t="s">
        <v>4284</v>
      </c>
      <c r="B2058" t="s">
        <v>8787</v>
      </c>
      <c r="C2058">
        <v>3263</v>
      </c>
      <c r="D2058" s="802"/>
      <c r="E2058" s="802"/>
      <c r="F2058" s="2">
        <f>(1/S2058)*cnst_fish!$C$6</f>
        <v>0.47762917572805397</v>
      </c>
      <c r="G2058" s="2">
        <f t="shared" si="294"/>
        <v>1</v>
      </c>
      <c r="H2058" s="2">
        <f t="shared" si="294"/>
        <v>0.36449057933102513</v>
      </c>
      <c r="I2058" s="2">
        <f t="shared" si="295"/>
        <v>0</v>
      </c>
      <c r="J2058" s="389">
        <f t="shared" si="296"/>
        <v>0</v>
      </c>
      <c r="L2058" s="803"/>
      <c r="M2058" s="802"/>
      <c r="N2058" s="804" t="s">
        <v>1738</v>
      </c>
      <c r="O2058" s="805" t="s">
        <v>4681</v>
      </c>
      <c r="P2058" s="233">
        <f t="shared" si="297"/>
        <v>0</v>
      </c>
      <c r="Q2058" s="233">
        <f t="shared" si="298"/>
        <v>0</v>
      </c>
      <c r="R2058" s="2">
        <f t="shared" si="299"/>
        <v>2.8</v>
      </c>
      <c r="S2058" s="2">
        <f>(1/9)*cnst_fish!$C$7*(1/cnst_fish!$C$8)^(R2058-1)</f>
        <v>8.8981163965155421</v>
      </c>
      <c r="T2058" s="682">
        <f t="shared" si="300"/>
        <v>0</v>
      </c>
    </row>
    <row r="2059" spans="1:20" ht="12.75" customHeight="1">
      <c r="A2059" t="s">
        <v>4267</v>
      </c>
      <c r="B2059" t="s">
        <v>8788</v>
      </c>
      <c r="C2059">
        <v>15287</v>
      </c>
      <c r="D2059" s="802"/>
      <c r="E2059" s="802"/>
      <c r="F2059" s="2">
        <f>(1/S2059)*cnst_fish!$C$6</f>
        <v>1.1997502458044034</v>
      </c>
      <c r="G2059" s="2">
        <f t="shared" si="294"/>
        <v>1</v>
      </c>
      <c r="H2059" s="2">
        <f t="shared" si="294"/>
        <v>0.36449057933102513</v>
      </c>
      <c r="I2059" s="2">
        <f t="shared" si="295"/>
        <v>0</v>
      </c>
      <c r="J2059" s="389">
        <f t="shared" si="296"/>
        <v>0</v>
      </c>
      <c r="L2059" s="803"/>
      <c r="M2059" s="802"/>
      <c r="N2059" s="804" t="s">
        <v>1738</v>
      </c>
      <c r="O2059" s="805" t="s">
        <v>4681</v>
      </c>
      <c r="P2059" s="233">
        <f t="shared" si="297"/>
        <v>0</v>
      </c>
      <c r="Q2059" s="233">
        <f t="shared" si="298"/>
        <v>0</v>
      </c>
      <c r="R2059" s="2">
        <f t="shared" si="299"/>
        <v>2.4</v>
      </c>
      <c r="S2059" s="2">
        <f>(1/9)*cnst_fish!$C$7*(1/cnst_fish!$C$8)^(R2059-1)</f>
        <v>3.5424039418724838</v>
      </c>
      <c r="T2059" s="682">
        <f t="shared" si="300"/>
        <v>0</v>
      </c>
    </row>
    <row r="2060" spans="1:20" ht="12.75" customHeight="1">
      <c r="A2060" t="s">
        <v>8363</v>
      </c>
      <c r="B2060" t="s">
        <v>8364</v>
      </c>
      <c r="C2060">
        <v>15290</v>
      </c>
      <c r="D2060" s="802"/>
      <c r="E2060" s="802"/>
      <c r="F2060" s="2">
        <f>(1/S2060)*cnst_fish!$C$6</f>
        <v>3.0136363636363641</v>
      </c>
      <c r="G2060" s="2">
        <f t="shared" si="294"/>
        <v>1</v>
      </c>
      <c r="H2060" s="2">
        <f t="shared" si="294"/>
        <v>0.36449057933102513</v>
      </c>
      <c r="I2060" s="2">
        <f t="shared" si="295"/>
        <v>0</v>
      </c>
      <c r="J2060" s="389">
        <f t="shared" si="296"/>
        <v>0</v>
      </c>
      <c r="L2060" s="803">
        <v>10</v>
      </c>
      <c r="M2060" s="802"/>
      <c r="N2060" s="804" t="s">
        <v>1738</v>
      </c>
      <c r="O2060" s="805" t="s">
        <v>4681</v>
      </c>
      <c r="P2060" s="233">
        <f t="shared" si="297"/>
        <v>0</v>
      </c>
      <c r="Q2060" s="233">
        <f t="shared" si="298"/>
        <v>10</v>
      </c>
      <c r="R2060" s="2">
        <f t="shared" si="299"/>
        <v>2</v>
      </c>
      <c r="S2060" s="2">
        <f>(1/9)*cnst_fish!$C$7*(1/cnst_fish!$C$8)^(R2060-1)</f>
        <v>1.4102564102564099</v>
      </c>
      <c r="T2060" s="682">
        <f t="shared" si="300"/>
        <v>1.2094710023050605</v>
      </c>
    </row>
    <row r="2061" spans="1:20" ht="12.75" customHeight="1">
      <c r="A2061" t="s">
        <v>4217</v>
      </c>
      <c r="B2061" t="s">
        <v>8365</v>
      </c>
      <c r="C2061">
        <v>2463</v>
      </c>
      <c r="D2061" s="802"/>
      <c r="E2061" s="802"/>
      <c r="F2061" s="2">
        <f>(1/S2061)*cnst_fish!$C$6</f>
        <v>3.0136363636363641</v>
      </c>
      <c r="G2061" s="2">
        <f t="shared" si="294"/>
        <v>1</v>
      </c>
      <c r="H2061" s="2">
        <f t="shared" si="294"/>
        <v>0.36449057933102513</v>
      </c>
      <c r="I2061" s="2">
        <f t="shared" si="295"/>
        <v>0</v>
      </c>
      <c r="J2061" s="389">
        <f t="shared" si="296"/>
        <v>0</v>
      </c>
      <c r="L2061" s="803">
        <v>25</v>
      </c>
      <c r="M2061" s="802"/>
      <c r="N2061" s="804" t="s">
        <v>1738</v>
      </c>
      <c r="O2061" s="805" t="s">
        <v>4681</v>
      </c>
      <c r="P2061" s="233">
        <f t="shared" si="297"/>
        <v>0</v>
      </c>
      <c r="Q2061" s="233">
        <f t="shared" si="298"/>
        <v>25</v>
      </c>
      <c r="R2061" s="2">
        <f t="shared" si="299"/>
        <v>2</v>
      </c>
      <c r="S2061" s="2">
        <f>(1/9)*cnst_fish!$C$7*(1/cnst_fish!$C$8)^(R2061-1)</f>
        <v>1.4102564102564099</v>
      </c>
      <c r="T2061" s="682">
        <f t="shared" si="300"/>
        <v>3.0236775057626515</v>
      </c>
    </row>
    <row r="2062" spans="1:20" ht="12.75" customHeight="1">
      <c r="A2062" t="s">
        <v>3180</v>
      </c>
      <c r="B2062" t="s">
        <v>1467</v>
      </c>
      <c r="C2062">
        <v>3262</v>
      </c>
      <c r="D2062" s="802"/>
      <c r="E2062" s="802"/>
      <c r="F2062" s="2">
        <f>(1/S2062)*cnst_fish!$C$6</f>
        <v>1.4760152601876353</v>
      </c>
      <c r="G2062" s="2">
        <f t="shared" si="294"/>
        <v>1</v>
      </c>
      <c r="H2062" s="2">
        <f t="shared" si="294"/>
        <v>0.36449057933102513</v>
      </c>
      <c r="I2062" s="2">
        <f t="shared" si="295"/>
        <v>0</v>
      </c>
      <c r="J2062" s="389">
        <f t="shared" si="296"/>
        <v>0</v>
      </c>
      <c r="L2062" s="803">
        <v>130386.25</v>
      </c>
      <c r="M2062" s="802"/>
      <c r="N2062" s="804" t="s">
        <v>1738</v>
      </c>
      <c r="O2062" s="805" t="s">
        <v>4681</v>
      </c>
      <c r="P2062" s="233">
        <f t="shared" si="297"/>
        <v>0</v>
      </c>
      <c r="Q2062" s="233">
        <f t="shared" si="298"/>
        <v>130386.25</v>
      </c>
      <c r="R2062" s="2">
        <f t="shared" si="299"/>
        <v>2.31</v>
      </c>
      <c r="S2062" s="2">
        <f>(1/9)*cnst_fish!$C$7*(1/cnst_fish!$C$8)^(R2062-1)</f>
        <v>2.8793740245339521</v>
      </c>
      <c r="T2062" s="682">
        <f t="shared" si="300"/>
        <v>32197.878356121073</v>
      </c>
    </row>
    <row r="2063" spans="1:20" ht="12.75" customHeight="1">
      <c r="A2063" t="s">
        <v>4096</v>
      </c>
      <c r="B2063" t="s">
        <v>1308</v>
      </c>
      <c r="C2063">
        <v>2706</v>
      </c>
      <c r="D2063" s="802"/>
      <c r="E2063" s="802"/>
      <c r="F2063" s="2">
        <f>(1/S2063)*cnst_fish!$C$6</f>
        <v>2.3938164528281742</v>
      </c>
      <c r="G2063" s="2">
        <f t="shared" si="294"/>
        <v>1</v>
      </c>
      <c r="H2063" s="2">
        <f t="shared" si="294"/>
        <v>0.36449057933102513</v>
      </c>
      <c r="I2063" s="2">
        <f t="shared" si="295"/>
        <v>0</v>
      </c>
      <c r="J2063" s="389">
        <f t="shared" si="296"/>
        <v>0</v>
      </c>
      <c r="L2063" s="803">
        <v>380</v>
      </c>
      <c r="M2063" s="802"/>
      <c r="N2063" s="804" t="s">
        <v>1736</v>
      </c>
      <c r="O2063" s="805" t="s">
        <v>4691</v>
      </c>
      <c r="P2063" s="233">
        <f t="shared" si="297"/>
        <v>0</v>
      </c>
      <c r="Q2063" s="233">
        <f t="shared" si="298"/>
        <v>380</v>
      </c>
      <c r="R2063" s="2">
        <f t="shared" si="299"/>
        <v>2.1</v>
      </c>
      <c r="S2063" s="2">
        <f>(1/9)*cnst_fish!$C$7*(1/cnst_fish!$C$8)^(R2063-1)</f>
        <v>1.7754076320174161</v>
      </c>
      <c r="T2063" s="682">
        <f t="shared" si="300"/>
        <v>57.860083625940135</v>
      </c>
    </row>
    <row r="2064" spans="1:20" ht="12.75" customHeight="1">
      <c r="A2064" t="s">
        <v>1702</v>
      </c>
      <c r="B2064" t="s">
        <v>1468</v>
      </c>
      <c r="C2064">
        <v>3099</v>
      </c>
      <c r="D2064" s="802"/>
      <c r="E2064" s="802"/>
      <c r="F2064" s="2">
        <f>(1/S2064)*cnst_fish!$C$6</f>
        <v>0.15455777163012493</v>
      </c>
      <c r="G2064" s="2">
        <f t="shared" si="294"/>
        <v>1</v>
      </c>
      <c r="H2064" s="2">
        <f t="shared" si="294"/>
        <v>0.36449057933102513</v>
      </c>
      <c r="I2064" s="2">
        <f t="shared" si="295"/>
        <v>0</v>
      </c>
      <c r="J2064" s="389">
        <f t="shared" si="296"/>
        <v>0</v>
      </c>
      <c r="L2064" s="803">
        <v>18854</v>
      </c>
      <c r="M2064" s="802"/>
      <c r="N2064" s="804" t="s">
        <v>1738</v>
      </c>
      <c r="O2064" s="805" t="s">
        <v>4681</v>
      </c>
      <c r="P2064" s="233">
        <f t="shared" si="297"/>
        <v>0</v>
      </c>
      <c r="Q2064" s="233">
        <f t="shared" si="298"/>
        <v>18854</v>
      </c>
      <c r="R2064" s="2">
        <f t="shared" si="299"/>
        <v>3.29</v>
      </c>
      <c r="S2064" s="2">
        <f>(1/9)*cnst_fish!$C$7*(1/cnst_fish!$C$8)^(R2064-1)</f>
        <v>27.497808458126283</v>
      </c>
      <c r="T2064" s="682">
        <f t="shared" si="300"/>
        <v>44463.020592409353</v>
      </c>
    </row>
    <row r="2065" spans="1:20" ht="12.75" customHeight="1">
      <c r="A2065" t="s">
        <v>5224</v>
      </c>
      <c r="B2065" t="s">
        <v>234</v>
      </c>
      <c r="C2065">
        <v>15315</v>
      </c>
      <c r="D2065" s="802"/>
      <c r="E2065" s="802"/>
      <c r="F2065" s="2">
        <f>(1/S2065)*cnst_fish!$C$6</f>
        <v>0.12855555498429813</v>
      </c>
      <c r="G2065" s="2">
        <f t="shared" si="294"/>
        <v>1</v>
      </c>
      <c r="H2065" s="2">
        <f t="shared" si="294"/>
        <v>0.36449057933102513</v>
      </c>
      <c r="I2065" s="2">
        <f t="shared" si="295"/>
        <v>0</v>
      </c>
      <c r="J2065" s="389">
        <f t="shared" si="296"/>
        <v>0</v>
      </c>
      <c r="L2065" s="803">
        <v>1172</v>
      </c>
      <c r="M2065" s="802"/>
      <c r="N2065" s="804" t="s">
        <v>1738</v>
      </c>
      <c r="O2065" s="805" t="s">
        <v>4681</v>
      </c>
      <c r="P2065" s="233">
        <f t="shared" si="297"/>
        <v>0</v>
      </c>
      <c r="Q2065" s="233">
        <f t="shared" si="298"/>
        <v>1172</v>
      </c>
      <c r="R2065" s="2">
        <f t="shared" si="299"/>
        <v>3.37</v>
      </c>
      <c r="S2065" s="2">
        <f>(1/9)*cnst_fish!$C$7*(1/cnst_fish!$C$8)^(R2065-1)</f>
        <v>33.059637139127112</v>
      </c>
      <c r="T2065" s="682">
        <f t="shared" si="300"/>
        <v>3322.9443801797433</v>
      </c>
    </row>
    <row r="2066" spans="1:20" ht="12.75" customHeight="1">
      <c r="A2066" t="s">
        <v>3165</v>
      </c>
      <c r="B2066" t="s">
        <v>4388</v>
      </c>
      <c r="C2066">
        <v>2180</v>
      </c>
      <c r="D2066" s="802"/>
      <c r="E2066" s="802"/>
      <c r="F2066" s="2">
        <f>(1/S2066)*cnst_fish!$C$6</f>
        <v>0.14424170509541331</v>
      </c>
      <c r="G2066" s="2">
        <f t="shared" si="294"/>
        <v>1</v>
      </c>
      <c r="H2066" s="2">
        <f t="shared" si="294"/>
        <v>0.36449057933102513</v>
      </c>
      <c r="I2066" s="2">
        <f t="shared" si="295"/>
        <v>0</v>
      </c>
      <c r="J2066" s="389">
        <f t="shared" si="296"/>
        <v>0</v>
      </c>
      <c r="L2066" s="803"/>
      <c r="M2066" s="802">
        <v>120025.14</v>
      </c>
      <c r="N2066" s="804" t="s">
        <v>1738</v>
      </c>
      <c r="O2066" s="805" t="s">
        <v>4685</v>
      </c>
      <c r="P2066" s="233">
        <f t="shared" si="297"/>
        <v>0</v>
      </c>
      <c r="Q2066" s="233">
        <f t="shared" si="298"/>
        <v>120025.14</v>
      </c>
      <c r="R2066" s="2">
        <f t="shared" si="299"/>
        <v>3.32</v>
      </c>
      <c r="S2066" s="2">
        <f>(1/9)*cnst_fish!$C$7*(1/cnst_fish!$C$8)^(R2066-1)</f>
        <v>29.464432614608246</v>
      </c>
      <c r="T2066" s="682">
        <f t="shared" si="300"/>
        <v>303296.69760870375</v>
      </c>
    </row>
    <row r="2067" spans="1:20" ht="12.75" customHeight="1">
      <c r="A2067" t="s">
        <v>4958</v>
      </c>
      <c r="B2067" t="s">
        <v>8789</v>
      </c>
      <c r="C2067">
        <v>15319</v>
      </c>
      <c r="D2067" s="802"/>
      <c r="E2067" s="802"/>
      <c r="F2067" s="2">
        <f>(1/S2067)*cnst_fish!$C$6</f>
        <v>1.1997502458044018E-2</v>
      </c>
      <c r="G2067" s="2">
        <f t="shared" si="294"/>
        <v>1</v>
      </c>
      <c r="H2067" s="2">
        <f t="shared" si="294"/>
        <v>0.36449057933102513</v>
      </c>
      <c r="I2067" s="2">
        <f t="shared" si="295"/>
        <v>0</v>
      </c>
      <c r="J2067" s="389">
        <f t="shared" si="296"/>
        <v>0</v>
      </c>
      <c r="L2067" s="803"/>
      <c r="M2067" s="802"/>
      <c r="N2067" s="804" t="s">
        <v>1738</v>
      </c>
      <c r="O2067" s="805" t="s">
        <v>4685</v>
      </c>
      <c r="P2067" s="233">
        <f t="shared" si="297"/>
        <v>0</v>
      </c>
      <c r="Q2067" s="233">
        <f t="shared" si="298"/>
        <v>0</v>
      </c>
      <c r="R2067" s="2">
        <f t="shared" si="299"/>
        <v>4.4000000000000004</v>
      </c>
      <c r="S2067" s="2">
        <f>(1/9)*cnst_fish!$C$7*(1/cnst_fish!$C$8)^(R2067-1)</f>
        <v>354.24039418724885</v>
      </c>
      <c r="T2067" s="682">
        <f t="shared" si="300"/>
        <v>0</v>
      </c>
    </row>
    <row r="2068" spans="1:20" ht="12.75" customHeight="1">
      <c r="A2068" t="s">
        <v>6632</v>
      </c>
      <c r="B2068" t="s">
        <v>4389</v>
      </c>
      <c r="C2068">
        <v>2973</v>
      </c>
      <c r="D2068" s="802"/>
      <c r="E2068" s="802"/>
      <c r="F2068" s="2">
        <f>(1/S2068)*cnst_fish!$C$6</f>
        <v>1.2855555498429807E-2</v>
      </c>
      <c r="G2068" s="2">
        <f t="shared" ref="G2068:H2087" si="301">G$7</f>
        <v>1</v>
      </c>
      <c r="H2068" s="2">
        <f t="shared" si="301"/>
        <v>0.36449057933102513</v>
      </c>
      <c r="I2068" s="2">
        <f t="shared" si="295"/>
        <v>0</v>
      </c>
      <c r="J2068" s="389">
        <f t="shared" si="296"/>
        <v>0</v>
      </c>
      <c r="L2068" s="803">
        <v>2</v>
      </c>
      <c r="M2068" s="802">
        <v>11186.01</v>
      </c>
      <c r="N2068" s="804" t="s">
        <v>1738</v>
      </c>
      <c r="O2068" s="805" t="s">
        <v>4685</v>
      </c>
      <c r="P2068" s="233">
        <f t="shared" si="297"/>
        <v>0</v>
      </c>
      <c r="Q2068" s="233">
        <f t="shared" si="298"/>
        <v>11188.01</v>
      </c>
      <c r="R2068" s="2">
        <f t="shared" si="299"/>
        <v>4.37</v>
      </c>
      <c r="S2068" s="2">
        <f>(1/9)*cnst_fish!$C$7*(1/cnst_fish!$C$8)^(R2068-1)</f>
        <v>330.59637139127125</v>
      </c>
      <c r="T2068" s="682">
        <f t="shared" si="300"/>
        <v>317211.04910319782</v>
      </c>
    </row>
    <row r="2069" spans="1:20" ht="12.75" customHeight="1">
      <c r="A2069" t="s">
        <v>4215</v>
      </c>
      <c r="B2069" t="s">
        <v>8790</v>
      </c>
      <c r="C2069">
        <v>3082</v>
      </c>
      <c r="D2069" s="802"/>
      <c r="E2069" s="802"/>
      <c r="F2069" s="2">
        <f>(1/S2069)*cnst_fish!$C$6</f>
        <v>9.5299549485983424E-3</v>
      </c>
      <c r="G2069" s="2">
        <f t="shared" si="301"/>
        <v>1</v>
      </c>
      <c r="H2069" s="2">
        <f t="shared" si="301"/>
        <v>0.36449057933102513</v>
      </c>
      <c r="I2069" s="2">
        <f t="shared" si="295"/>
        <v>0</v>
      </c>
      <c r="J2069" s="389">
        <f t="shared" si="296"/>
        <v>0</v>
      </c>
      <c r="L2069" s="803"/>
      <c r="M2069" s="802"/>
      <c r="N2069" s="804" t="s">
        <v>1738</v>
      </c>
      <c r="O2069" s="805" t="s">
        <v>4685</v>
      </c>
      <c r="P2069" s="233">
        <f t="shared" si="297"/>
        <v>0</v>
      </c>
      <c r="Q2069" s="233">
        <f t="shared" si="298"/>
        <v>0</v>
      </c>
      <c r="R2069" s="2">
        <f t="shared" si="299"/>
        <v>4.5</v>
      </c>
      <c r="S2069" s="2">
        <f>(1/9)*cnst_fish!$C$7*(1/cnst_fish!$C$8)^(R2069-1)</f>
        <v>445.96223412630997</v>
      </c>
      <c r="T2069" s="682">
        <f t="shared" si="300"/>
        <v>0</v>
      </c>
    </row>
    <row r="2070" spans="1:20" ht="12.75" customHeight="1">
      <c r="A2070" t="s">
        <v>431</v>
      </c>
      <c r="B2070" t="s">
        <v>8791</v>
      </c>
      <c r="C2070">
        <v>17223</v>
      </c>
      <c r="D2070" s="802"/>
      <c r="E2070" s="802"/>
      <c r="F2070" s="2">
        <f>(1/S2070)*cnst_fish!$C$6</f>
        <v>2.3938164528281742</v>
      </c>
      <c r="G2070" s="2">
        <f t="shared" si="301"/>
        <v>1</v>
      </c>
      <c r="H2070" s="2">
        <f t="shared" si="301"/>
        <v>0.36449057933102513</v>
      </c>
      <c r="I2070" s="2">
        <f t="shared" si="295"/>
        <v>0</v>
      </c>
      <c r="J2070" s="389">
        <f t="shared" si="296"/>
        <v>0</v>
      </c>
      <c r="L2070" s="803"/>
      <c r="M2070" s="802"/>
      <c r="N2070" s="804" t="s">
        <v>1736</v>
      </c>
      <c r="O2070" s="805" t="s">
        <v>4691</v>
      </c>
      <c r="P2070" s="233">
        <f t="shared" si="297"/>
        <v>0</v>
      </c>
      <c r="Q2070" s="233">
        <f t="shared" si="298"/>
        <v>0</v>
      </c>
      <c r="R2070" s="2">
        <f t="shared" si="299"/>
        <v>2.1</v>
      </c>
      <c r="S2070" s="2">
        <f>(1/9)*cnst_fish!$C$7*(1/cnst_fish!$C$8)^(R2070-1)</f>
        <v>1.7754076320174161</v>
      </c>
      <c r="T2070" s="682">
        <f t="shared" si="300"/>
        <v>0</v>
      </c>
    </row>
    <row r="2071" spans="1:20" ht="12.75" customHeight="1">
      <c r="A2071" t="s">
        <v>2629</v>
      </c>
      <c r="B2071" t="s">
        <v>2789</v>
      </c>
      <c r="C2071">
        <v>2553</v>
      </c>
      <c r="D2071" s="802"/>
      <c r="E2071" s="802"/>
      <c r="F2071" s="2">
        <f>(1/S2071)*cnst_fish!$C$6</f>
        <v>0.19457670629544385</v>
      </c>
      <c r="G2071" s="2">
        <f t="shared" si="301"/>
        <v>1</v>
      </c>
      <c r="H2071" s="2">
        <f t="shared" si="301"/>
        <v>0.36449057933102513</v>
      </c>
      <c r="I2071" s="2">
        <f t="shared" si="295"/>
        <v>0</v>
      </c>
      <c r="J2071" s="389">
        <f t="shared" si="296"/>
        <v>0</v>
      </c>
      <c r="L2071" s="803">
        <v>405</v>
      </c>
      <c r="M2071" s="802"/>
      <c r="N2071" s="804" t="s">
        <v>1741</v>
      </c>
      <c r="O2071" s="805" t="s">
        <v>4681</v>
      </c>
      <c r="P2071" s="233">
        <f t="shared" si="297"/>
        <v>0</v>
      </c>
      <c r="Q2071" s="233">
        <f t="shared" si="298"/>
        <v>405</v>
      </c>
      <c r="R2071" s="2">
        <f t="shared" si="299"/>
        <v>3.19</v>
      </c>
      <c r="S2071" s="2">
        <f>(1/9)*cnst_fish!$C$7*(1/cnst_fish!$C$8)^(R2071-1)</f>
        <v>21.84228565132987</v>
      </c>
      <c r="T2071" s="682">
        <f t="shared" si="300"/>
        <v>758.66575932744001</v>
      </c>
    </row>
    <row r="2072" spans="1:20" ht="12.75" customHeight="1">
      <c r="A2072" t="s">
        <v>4253</v>
      </c>
      <c r="B2072" t="s">
        <v>6622</v>
      </c>
      <c r="C2072">
        <v>15344</v>
      </c>
      <c r="D2072" s="802"/>
      <c r="E2072" s="802"/>
      <c r="F2072" s="2">
        <f>(1/S2072)*cnst_fish!$C$6</f>
        <v>3.0136363636363641</v>
      </c>
      <c r="G2072" s="2">
        <f t="shared" si="301"/>
        <v>1</v>
      </c>
      <c r="H2072" s="2">
        <f t="shared" si="301"/>
        <v>0.36449057933102513</v>
      </c>
      <c r="I2072" s="2">
        <f t="shared" si="295"/>
        <v>0</v>
      </c>
      <c r="J2072" s="389">
        <f t="shared" si="296"/>
        <v>0</v>
      </c>
      <c r="L2072" s="803">
        <v>46</v>
      </c>
      <c r="M2072" s="802"/>
      <c r="N2072" s="804" t="s">
        <v>1741</v>
      </c>
      <c r="O2072" s="805" t="s">
        <v>4681</v>
      </c>
      <c r="P2072" s="233">
        <f t="shared" si="297"/>
        <v>0</v>
      </c>
      <c r="Q2072" s="233">
        <f t="shared" si="298"/>
        <v>46</v>
      </c>
      <c r="R2072" s="2">
        <f t="shared" si="299"/>
        <v>2</v>
      </c>
      <c r="S2072" s="2">
        <f>(1/9)*cnst_fish!$C$7*(1/cnst_fish!$C$8)^(R2072-1)</f>
        <v>1.4102564102564099</v>
      </c>
      <c r="T2072" s="682">
        <f t="shared" si="300"/>
        <v>5.5635666106032788</v>
      </c>
    </row>
    <row r="2073" spans="1:20" ht="12.75" customHeight="1">
      <c r="A2073" t="s">
        <v>4341</v>
      </c>
      <c r="B2073" t="s">
        <v>2790</v>
      </c>
      <c r="C2073">
        <v>3367</v>
      </c>
      <c r="D2073" s="802"/>
      <c r="E2073" s="802"/>
      <c r="F2073" s="2">
        <f>(1/S2073)*cnst_fish!$C$6</f>
        <v>0.22340394999204924</v>
      </c>
      <c r="G2073" s="2">
        <f t="shared" si="301"/>
        <v>1</v>
      </c>
      <c r="H2073" s="2">
        <f t="shared" si="301"/>
        <v>0.36449057933102513</v>
      </c>
      <c r="I2073" s="2">
        <f t="shared" si="295"/>
        <v>0</v>
      </c>
      <c r="J2073" s="389">
        <f t="shared" si="296"/>
        <v>0</v>
      </c>
      <c r="L2073" s="803">
        <v>28269</v>
      </c>
      <c r="M2073" s="802">
        <v>1548</v>
      </c>
      <c r="N2073" s="804" t="s">
        <v>1741</v>
      </c>
      <c r="O2073" s="805" t="s">
        <v>4681</v>
      </c>
      <c r="P2073" s="233">
        <f t="shared" si="297"/>
        <v>0</v>
      </c>
      <c r="Q2073" s="233">
        <f t="shared" si="298"/>
        <v>29817</v>
      </c>
      <c r="R2073" s="2">
        <f t="shared" si="299"/>
        <v>3.13</v>
      </c>
      <c r="S2073" s="2">
        <f>(1/9)*cnst_fish!$C$7*(1/cnst_fish!$C$8)^(R2073-1)</f>
        <v>19.023835523728447</v>
      </c>
      <c r="T2073" s="682">
        <f t="shared" si="300"/>
        <v>48647.374427802024</v>
      </c>
    </row>
    <row r="2074" spans="1:20" ht="12.75" customHeight="1">
      <c r="A2074" t="s">
        <v>6788</v>
      </c>
      <c r="B2074" t="s">
        <v>2790</v>
      </c>
      <c r="C2074">
        <v>18628</v>
      </c>
      <c r="D2074" s="802"/>
      <c r="E2074" s="802"/>
      <c r="F2074" s="2">
        <f>(1/S2074)*cnst_fish!$C$6</f>
        <v>0.22340394999204924</v>
      </c>
      <c r="G2074" s="2">
        <f t="shared" si="301"/>
        <v>1</v>
      </c>
      <c r="H2074" s="2">
        <f t="shared" si="301"/>
        <v>0.36449057933102513</v>
      </c>
      <c r="I2074" s="2">
        <f t="shared" si="295"/>
        <v>0</v>
      </c>
      <c r="J2074" s="389">
        <f t="shared" si="296"/>
        <v>0</v>
      </c>
      <c r="L2074" s="803"/>
      <c r="M2074" s="802"/>
      <c r="N2074" s="804" t="s">
        <v>1741</v>
      </c>
      <c r="O2074" s="805" t="s">
        <v>4681</v>
      </c>
      <c r="P2074" s="233">
        <f t="shared" si="297"/>
        <v>0</v>
      </c>
      <c r="Q2074" s="233">
        <f t="shared" si="298"/>
        <v>0</v>
      </c>
      <c r="R2074" s="2">
        <f t="shared" si="299"/>
        <v>3.13</v>
      </c>
      <c r="S2074" s="2">
        <f>(1/9)*cnst_fish!$C$7*(1/cnst_fish!$C$8)^(R2074-1)</f>
        <v>19.023835523728447</v>
      </c>
      <c r="T2074" s="682">
        <f t="shared" si="300"/>
        <v>0</v>
      </c>
    </row>
    <row r="2075" spans="1:20" ht="12.75" customHeight="1">
      <c r="A2075" t="s">
        <v>3315</v>
      </c>
      <c r="B2075" t="s">
        <v>2791</v>
      </c>
      <c r="C2075">
        <v>2552</v>
      </c>
      <c r="D2075" s="802"/>
      <c r="E2075" s="802"/>
      <c r="F2075" s="2">
        <f>(1/S2075)*cnst_fish!$C$6</f>
        <v>0.11724405960509449</v>
      </c>
      <c r="G2075" s="2">
        <f t="shared" si="301"/>
        <v>1</v>
      </c>
      <c r="H2075" s="2">
        <f t="shared" si="301"/>
        <v>0.36449057933102513</v>
      </c>
      <c r="I2075" s="2">
        <f t="shared" si="295"/>
        <v>0</v>
      </c>
      <c r="J2075" s="389">
        <f t="shared" si="296"/>
        <v>0</v>
      </c>
      <c r="L2075" s="803">
        <v>14671</v>
      </c>
      <c r="M2075" s="802"/>
      <c r="N2075" s="804" t="s">
        <v>1741</v>
      </c>
      <c r="O2075" s="805" t="s">
        <v>4681</v>
      </c>
      <c r="P2075" s="233">
        <f t="shared" si="297"/>
        <v>0</v>
      </c>
      <c r="Q2075" s="233">
        <f t="shared" si="298"/>
        <v>14671</v>
      </c>
      <c r="R2075" s="2">
        <f t="shared" si="299"/>
        <v>3.41</v>
      </c>
      <c r="S2075" s="2">
        <f>(1/9)*cnst_fish!$C$7*(1/cnst_fish!$C$8)^(R2075-1)</f>
        <v>36.24917129545836</v>
      </c>
      <c r="T2075" s="682">
        <f t="shared" si="300"/>
        <v>45609.485950733091</v>
      </c>
    </row>
    <row r="2076" spans="1:20" ht="12.75" customHeight="1">
      <c r="A2076" t="s">
        <v>6653</v>
      </c>
      <c r="B2076" t="s">
        <v>1309</v>
      </c>
      <c r="C2076">
        <v>2705</v>
      </c>
      <c r="D2076" s="802"/>
      <c r="E2076" s="802"/>
      <c r="F2076" s="2">
        <f>(1/S2076)*cnst_fish!$C$6</f>
        <v>2.3938164528281742</v>
      </c>
      <c r="G2076" s="2">
        <f t="shared" si="301"/>
        <v>1</v>
      </c>
      <c r="H2076" s="2">
        <f t="shared" si="301"/>
        <v>0.36449057933102513</v>
      </c>
      <c r="I2076" s="2">
        <f t="shared" si="295"/>
        <v>0</v>
      </c>
      <c r="J2076" s="389">
        <f t="shared" si="296"/>
        <v>0</v>
      </c>
      <c r="L2076" s="803">
        <v>946</v>
      </c>
      <c r="M2076" s="802"/>
      <c r="N2076" s="804" t="s">
        <v>1736</v>
      </c>
      <c r="O2076" s="805" t="s">
        <v>4691</v>
      </c>
      <c r="P2076" s="233">
        <f t="shared" si="297"/>
        <v>0</v>
      </c>
      <c r="Q2076" s="233">
        <f t="shared" si="298"/>
        <v>946</v>
      </c>
      <c r="R2076" s="2">
        <f t="shared" si="299"/>
        <v>2.1</v>
      </c>
      <c r="S2076" s="2">
        <f>(1/9)*cnst_fish!$C$7*(1/cnst_fish!$C$8)^(R2076-1)</f>
        <v>1.7754076320174161</v>
      </c>
      <c r="T2076" s="682">
        <f t="shared" si="300"/>
        <v>144.04115555299833</v>
      </c>
    </row>
    <row r="2077" spans="1:20" ht="12.75" customHeight="1">
      <c r="A2077" t="s">
        <v>3857</v>
      </c>
      <c r="B2077" t="s">
        <v>3858</v>
      </c>
      <c r="C2077">
        <v>3549</v>
      </c>
      <c r="D2077" s="802"/>
      <c r="E2077" s="802"/>
      <c r="F2077" s="2">
        <f>(1/S2077)*cnst_fish!$C$6</f>
        <v>2.3938164528281742</v>
      </c>
      <c r="G2077" s="2">
        <f t="shared" si="301"/>
        <v>1</v>
      </c>
      <c r="H2077" s="2">
        <f t="shared" si="301"/>
        <v>0.36449057933102513</v>
      </c>
      <c r="I2077" s="2">
        <f t="shared" si="295"/>
        <v>0</v>
      </c>
      <c r="J2077" s="389">
        <f t="shared" si="296"/>
        <v>0</v>
      </c>
      <c r="L2077" s="803">
        <v>605</v>
      </c>
      <c r="M2077" s="802"/>
      <c r="N2077" s="804" t="s">
        <v>1736</v>
      </c>
      <c r="O2077" s="805" t="s">
        <v>4691</v>
      </c>
      <c r="P2077" s="233">
        <f t="shared" si="297"/>
        <v>0</v>
      </c>
      <c r="Q2077" s="233">
        <f t="shared" si="298"/>
        <v>605</v>
      </c>
      <c r="R2077" s="2">
        <f t="shared" si="299"/>
        <v>2.1</v>
      </c>
      <c r="S2077" s="2">
        <f>(1/9)*cnst_fish!$C$7*(1/cnst_fish!$C$8)^(R2077-1)</f>
        <v>1.7754076320174161</v>
      </c>
      <c r="T2077" s="682">
        <f t="shared" si="300"/>
        <v>92.119343667615212</v>
      </c>
    </row>
    <row r="2078" spans="1:20" ht="12.75" customHeight="1">
      <c r="A2078" t="s">
        <v>2654</v>
      </c>
      <c r="B2078" t="s">
        <v>5267</v>
      </c>
      <c r="C2078">
        <v>3438</v>
      </c>
      <c r="D2078" s="802"/>
      <c r="E2078" s="802"/>
      <c r="F2078" s="2">
        <f>(1/S2078)*cnst_fish!$C$6</f>
        <v>1.9014759972289452</v>
      </c>
      <c r="G2078" s="2">
        <f t="shared" si="301"/>
        <v>1</v>
      </c>
      <c r="H2078" s="2">
        <f t="shared" si="301"/>
        <v>0.36449057933102513</v>
      </c>
      <c r="I2078" s="2">
        <f t="shared" si="295"/>
        <v>0</v>
      </c>
      <c r="J2078" s="389">
        <f t="shared" si="296"/>
        <v>0</v>
      </c>
      <c r="L2078" s="803">
        <v>87</v>
      </c>
      <c r="M2078" s="802"/>
      <c r="N2078" s="804" t="s">
        <v>2322</v>
      </c>
      <c r="O2078" s="805" t="s">
        <v>4680</v>
      </c>
      <c r="P2078" s="233">
        <f t="shared" si="297"/>
        <v>0</v>
      </c>
      <c r="Q2078" s="233">
        <f t="shared" si="298"/>
        <v>87</v>
      </c>
      <c r="R2078" s="2">
        <f t="shared" si="299"/>
        <v>2.2000000000000002</v>
      </c>
      <c r="S2078" s="2">
        <f>(1/9)*cnst_fish!$C$7*(1/cnst_fish!$C$8)^(R2078-1)</f>
        <v>2.2351057842400328</v>
      </c>
      <c r="T2078" s="682">
        <f t="shared" si="300"/>
        <v>16.676876514881979</v>
      </c>
    </row>
    <row r="2079" spans="1:20" ht="12.75" customHeight="1">
      <c r="A2079" t="s">
        <v>3989</v>
      </c>
      <c r="B2079" t="s">
        <v>2877</v>
      </c>
      <c r="C2079">
        <v>2033</v>
      </c>
      <c r="D2079" s="802"/>
      <c r="E2079" s="802"/>
      <c r="F2079" s="2">
        <f>(1/S2079)*cnst_fish!$C$6</f>
        <v>1.8158954798513597E-2</v>
      </c>
      <c r="G2079" s="2">
        <f t="shared" si="301"/>
        <v>1</v>
      </c>
      <c r="H2079" s="2">
        <f t="shared" si="301"/>
        <v>0.36449057933102513</v>
      </c>
      <c r="I2079" s="2">
        <f t="shared" si="295"/>
        <v>0</v>
      </c>
      <c r="J2079" s="389">
        <f t="shared" si="296"/>
        <v>0</v>
      </c>
      <c r="L2079" s="803">
        <v>163</v>
      </c>
      <c r="M2079" s="802"/>
      <c r="N2079" s="804" t="s">
        <v>3785</v>
      </c>
      <c r="O2079" s="805" t="s">
        <v>4681</v>
      </c>
      <c r="P2079" s="233">
        <f t="shared" si="297"/>
        <v>0</v>
      </c>
      <c r="Q2079" s="233">
        <f t="shared" si="298"/>
        <v>163</v>
      </c>
      <c r="R2079" s="2">
        <f t="shared" si="299"/>
        <v>4.22</v>
      </c>
      <c r="S2079" s="2">
        <f>(1/9)*cnst_fish!$C$7*(1/cnst_fish!$C$8)^(R2079-1)</f>
        <v>234.0443074591432</v>
      </c>
      <c r="T2079" s="682">
        <f t="shared" si="300"/>
        <v>3271.7722517719067</v>
      </c>
    </row>
    <row r="2080" spans="1:20" ht="12.75" customHeight="1">
      <c r="A2080" t="s">
        <v>585</v>
      </c>
      <c r="B2080" t="s">
        <v>2878</v>
      </c>
      <c r="C2080">
        <v>15351</v>
      </c>
      <c r="D2080" s="802"/>
      <c r="E2080" s="802"/>
      <c r="F2080" s="2">
        <f>(1/S2080)*cnst_fish!$C$6</f>
        <v>1.6946922663690963E-2</v>
      </c>
      <c r="G2080" s="2">
        <f t="shared" si="301"/>
        <v>1</v>
      </c>
      <c r="H2080" s="2">
        <f t="shared" si="301"/>
        <v>0.36449057933102513</v>
      </c>
      <c r="I2080" s="2">
        <f t="shared" si="295"/>
        <v>0</v>
      </c>
      <c r="J2080" s="389">
        <f t="shared" si="296"/>
        <v>0</v>
      </c>
      <c r="L2080" s="803">
        <v>4.05</v>
      </c>
      <c r="M2080" s="802"/>
      <c r="N2080" s="804" t="s">
        <v>3785</v>
      </c>
      <c r="O2080" s="805" t="s">
        <v>4681</v>
      </c>
      <c r="P2080" s="233">
        <f t="shared" si="297"/>
        <v>0</v>
      </c>
      <c r="Q2080" s="233">
        <f t="shared" si="298"/>
        <v>4.05</v>
      </c>
      <c r="R2080" s="2">
        <f t="shared" si="299"/>
        <v>4.25</v>
      </c>
      <c r="S2080" s="2">
        <f>(1/9)*cnst_fish!$C$7*(1/cnst_fish!$C$8)^(R2080-1)</f>
        <v>250.78299372343801</v>
      </c>
      <c r="T2080" s="682">
        <f t="shared" si="300"/>
        <v>87.106483907748299</v>
      </c>
    </row>
    <row r="2081" spans="1:20" ht="12.75" customHeight="1">
      <c r="A2081" t="s">
        <v>3650</v>
      </c>
      <c r="B2081" t="s">
        <v>2879</v>
      </c>
      <c r="C2081">
        <v>2833</v>
      </c>
      <c r="D2081" s="802"/>
      <c r="E2081" s="802"/>
      <c r="F2081" s="2">
        <f>(1/S2081)*cnst_fish!$C$6</f>
        <v>1.9014759972289439E-2</v>
      </c>
      <c r="G2081" s="2">
        <f t="shared" si="301"/>
        <v>1</v>
      </c>
      <c r="H2081" s="2">
        <f t="shared" si="301"/>
        <v>0.36449057933102513</v>
      </c>
      <c r="I2081" s="2">
        <f t="shared" si="295"/>
        <v>0</v>
      </c>
      <c r="J2081" s="389">
        <f t="shared" si="296"/>
        <v>0</v>
      </c>
      <c r="L2081" s="803">
        <v>0</v>
      </c>
      <c r="M2081" s="802"/>
      <c r="N2081" s="804" t="s">
        <v>3785</v>
      </c>
      <c r="O2081" s="805" t="s">
        <v>4681</v>
      </c>
      <c r="P2081" s="233">
        <f t="shared" si="297"/>
        <v>0</v>
      </c>
      <c r="Q2081" s="233">
        <f t="shared" si="298"/>
        <v>0</v>
      </c>
      <c r="R2081" s="2">
        <f t="shared" si="299"/>
        <v>4.2</v>
      </c>
      <c r="S2081" s="2">
        <f>(1/9)*cnst_fish!$C$7*(1/cnst_fish!$C$8)^(R2081-1)</f>
        <v>223.51057842400343</v>
      </c>
      <c r="T2081" s="682">
        <f t="shared" si="300"/>
        <v>0</v>
      </c>
    </row>
    <row r="2082" spans="1:20" ht="12.75" customHeight="1">
      <c r="A2082" t="s">
        <v>439</v>
      </c>
      <c r="B2082" t="s">
        <v>6363</v>
      </c>
      <c r="C2082">
        <v>2201</v>
      </c>
      <c r="D2082" s="802"/>
      <c r="E2082" s="802"/>
      <c r="F2082" s="2">
        <f>(1/S2082)*cnst_fish!$C$6</f>
        <v>2.3938164528281767E-2</v>
      </c>
      <c r="G2082" s="2">
        <f t="shared" si="301"/>
        <v>1</v>
      </c>
      <c r="H2082" s="2">
        <f t="shared" si="301"/>
        <v>0.36449057933102513</v>
      </c>
      <c r="I2082" s="2">
        <f t="shared" si="295"/>
        <v>0</v>
      </c>
      <c r="J2082" s="389">
        <f t="shared" si="296"/>
        <v>0</v>
      </c>
      <c r="L2082" s="803"/>
      <c r="M2082" s="802">
        <v>237.57999999999998</v>
      </c>
      <c r="N2082" s="804" t="s">
        <v>1738</v>
      </c>
      <c r="O2082" s="805" t="s">
        <v>4685</v>
      </c>
      <c r="P2082" s="233">
        <f t="shared" si="297"/>
        <v>0</v>
      </c>
      <c r="Q2082" s="233">
        <f t="shared" si="298"/>
        <v>237.57999999999998</v>
      </c>
      <c r="R2082" s="2">
        <f t="shared" si="299"/>
        <v>4.0999999999999996</v>
      </c>
      <c r="S2082" s="2">
        <f>(1/9)*cnst_fish!$C$7*(1/cnst_fish!$C$8)^(R2082-1)</f>
        <v>177.54076320174144</v>
      </c>
      <c r="T2082" s="682">
        <f t="shared" si="300"/>
        <v>3617.4733336449585</v>
      </c>
    </row>
    <row r="2083" spans="1:20" ht="12.75" customHeight="1">
      <c r="A2083" t="s">
        <v>2932</v>
      </c>
      <c r="B2083" t="s">
        <v>235</v>
      </c>
      <c r="C2083">
        <v>2367</v>
      </c>
      <c r="D2083" s="802"/>
      <c r="E2083" s="802"/>
      <c r="F2083" s="2">
        <f>(1/S2083)*cnst_fish!$C$6</f>
        <v>0.11997502458044032</v>
      </c>
      <c r="G2083" s="2">
        <f t="shared" si="301"/>
        <v>1</v>
      </c>
      <c r="H2083" s="2">
        <f t="shared" si="301"/>
        <v>0.36449057933102513</v>
      </c>
      <c r="I2083" s="2">
        <f t="shared" si="295"/>
        <v>0</v>
      </c>
      <c r="J2083" s="389">
        <f t="shared" si="296"/>
        <v>0</v>
      </c>
      <c r="L2083" s="803">
        <v>204534.55000000002</v>
      </c>
      <c r="M2083" s="802"/>
      <c r="N2083" s="804" t="s">
        <v>1738</v>
      </c>
      <c r="O2083" s="805" t="s">
        <v>4681</v>
      </c>
      <c r="P2083" s="233">
        <f t="shared" si="297"/>
        <v>0</v>
      </c>
      <c r="Q2083" s="233">
        <f t="shared" si="298"/>
        <v>204534.55000000002</v>
      </c>
      <c r="R2083" s="2">
        <f t="shared" si="299"/>
        <v>3.4</v>
      </c>
      <c r="S2083" s="2">
        <f>(1/9)*cnst_fish!$C$7*(1/cnst_fish!$C$8)^(R2083-1)</f>
        <v>35.424039418724846</v>
      </c>
      <c r="T2083" s="682">
        <f t="shared" si="300"/>
        <v>621386.96685763926</v>
      </c>
    </row>
    <row r="2084" spans="1:20" ht="12.75" customHeight="1">
      <c r="A2084" t="s">
        <v>433</v>
      </c>
      <c r="B2084" t="s">
        <v>235</v>
      </c>
      <c r="C2084">
        <v>3201</v>
      </c>
      <c r="D2084" s="802"/>
      <c r="E2084" s="802"/>
      <c r="F2084" s="2">
        <f>(1/S2084)*cnst_fish!$C$6</f>
        <v>0.11997502458044032</v>
      </c>
      <c r="G2084" s="2">
        <f t="shared" si="301"/>
        <v>1</v>
      </c>
      <c r="H2084" s="2">
        <f t="shared" si="301"/>
        <v>0.36449057933102513</v>
      </c>
      <c r="I2084" s="2">
        <f t="shared" si="295"/>
        <v>0</v>
      </c>
      <c r="J2084" s="389">
        <f t="shared" si="296"/>
        <v>0</v>
      </c>
      <c r="L2084" s="803"/>
      <c r="M2084" s="802"/>
      <c r="N2084" s="804" t="s">
        <v>1738</v>
      </c>
      <c r="O2084" s="805" t="s">
        <v>4681</v>
      </c>
      <c r="P2084" s="233">
        <f t="shared" si="297"/>
        <v>0</v>
      </c>
      <c r="Q2084" s="233">
        <f t="shared" si="298"/>
        <v>0</v>
      </c>
      <c r="R2084" s="2">
        <f t="shared" si="299"/>
        <v>3.4</v>
      </c>
      <c r="S2084" s="2">
        <f>(1/9)*cnst_fish!$C$7*(1/cnst_fish!$C$8)^(R2084-1)</f>
        <v>35.424039418724846</v>
      </c>
      <c r="T2084" s="682">
        <f t="shared" si="300"/>
        <v>0</v>
      </c>
    </row>
    <row r="2085" spans="1:20" ht="12.75" customHeight="1">
      <c r="A2085" t="s">
        <v>528</v>
      </c>
      <c r="B2085" t="s">
        <v>236</v>
      </c>
      <c r="C2085">
        <v>18581</v>
      </c>
      <c r="D2085" s="802"/>
      <c r="E2085" s="802"/>
      <c r="F2085" s="2">
        <f>(1/S2085)*cnst_fish!$C$6</f>
        <v>0.12276960190187568</v>
      </c>
      <c r="G2085" s="2">
        <f t="shared" si="301"/>
        <v>1</v>
      </c>
      <c r="H2085" s="2">
        <f t="shared" si="301"/>
        <v>0.36449057933102513</v>
      </c>
      <c r="I2085" s="2">
        <f t="shared" si="295"/>
        <v>0</v>
      </c>
      <c r="J2085" s="389">
        <f t="shared" si="296"/>
        <v>0</v>
      </c>
      <c r="L2085" s="803">
        <v>150</v>
      </c>
      <c r="M2085" s="802"/>
      <c r="N2085" s="804" t="s">
        <v>1738</v>
      </c>
      <c r="O2085" s="805" t="s">
        <v>4681</v>
      </c>
      <c r="P2085" s="233">
        <f t="shared" si="297"/>
        <v>0</v>
      </c>
      <c r="Q2085" s="233">
        <f t="shared" si="298"/>
        <v>150</v>
      </c>
      <c r="R2085" s="2">
        <f t="shared" si="299"/>
        <v>3.39</v>
      </c>
      <c r="S2085" s="2">
        <f>(1/9)*cnst_fish!$C$7*(1/cnst_fish!$C$8)^(R2085-1)</f>
        <v>34.617689836583793</v>
      </c>
      <c r="T2085" s="682">
        <f t="shared" si="300"/>
        <v>445.33488789311184</v>
      </c>
    </row>
    <row r="2086" spans="1:20" ht="12.75" customHeight="1">
      <c r="A2086" t="s">
        <v>3354</v>
      </c>
      <c r="B2086" t="s">
        <v>237</v>
      </c>
      <c r="C2086">
        <v>3227</v>
      </c>
      <c r="D2086" s="802"/>
      <c r="E2086" s="802"/>
      <c r="F2086" s="2">
        <f>(1/S2086)*cnst_fish!$C$6</f>
        <v>0.41599762155986941</v>
      </c>
      <c r="G2086" s="2">
        <f t="shared" si="301"/>
        <v>1</v>
      </c>
      <c r="H2086" s="2">
        <f t="shared" si="301"/>
        <v>0.36449057933102513</v>
      </c>
      <c r="I2086" s="2">
        <f t="shared" si="295"/>
        <v>0</v>
      </c>
      <c r="J2086" s="389">
        <f t="shared" si="296"/>
        <v>0</v>
      </c>
      <c r="L2086" s="803">
        <v>728</v>
      </c>
      <c r="M2086" s="802"/>
      <c r="N2086" s="804" t="s">
        <v>1738</v>
      </c>
      <c r="O2086" s="805" t="s">
        <v>4681</v>
      </c>
      <c r="P2086" s="233">
        <f t="shared" si="297"/>
        <v>0</v>
      </c>
      <c r="Q2086" s="233">
        <f t="shared" si="298"/>
        <v>728</v>
      </c>
      <c r="R2086" s="2">
        <f t="shared" si="299"/>
        <v>2.86</v>
      </c>
      <c r="S2086" s="2">
        <f>(1/9)*cnst_fish!$C$7*(1/cnst_fish!$C$8)^(R2086-1)</f>
        <v>10.216404565160115</v>
      </c>
      <c r="T2086" s="682">
        <f t="shared" si="300"/>
        <v>637.86216074506547</v>
      </c>
    </row>
    <row r="2087" spans="1:20" ht="12.75" customHeight="1">
      <c r="A2087" t="s">
        <v>3702</v>
      </c>
      <c r="B2087" t="s">
        <v>238</v>
      </c>
      <c r="C2087">
        <v>2384</v>
      </c>
      <c r="D2087" s="802"/>
      <c r="E2087" s="802"/>
      <c r="F2087" s="2">
        <f>(1/S2087)*cnst_fish!$C$6</f>
        <v>0.16561163607618423</v>
      </c>
      <c r="G2087" s="2">
        <f t="shared" si="301"/>
        <v>1</v>
      </c>
      <c r="H2087" s="2">
        <f t="shared" si="301"/>
        <v>0.36449057933102513</v>
      </c>
      <c r="I2087" s="2">
        <f t="shared" si="295"/>
        <v>0</v>
      </c>
      <c r="J2087" s="389">
        <f t="shared" si="296"/>
        <v>0</v>
      </c>
      <c r="L2087" s="803">
        <v>7078</v>
      </c>
      <c r="M2087" s="802">
        <v>1468</v>
      </c>
      <c r="N2087" s="804" t="s">
        <v>1738</v>
      </c>
      <c r="O2087" s="805" t="s">
        <v>4681</v>
      </c>
      <c r="P2087" s="233">
        <f t="shared" si="297"/>
        <v>0</v>
      </c>
      <c r="Q2087" s="233">
        <f t="shared" si="298"/>
        <v>8546</v>
      </c>
      <c r="R2087" s="2">
        <f t="shared" si="299"/>
        <v>3.26</v>
      </c>
      <c r="S2087" s="2">
        <f>(1/9)*cnst_fish!$C$7*(1/cnst_fish!$C$8)^(R2087-1)</f>
        <v>25.662448006038215</v>
      </c>
      <c r="T2087" s="682">
        <f t="shared" si="300"/>
        <v>18808.681350928844</v>
      </c>
    </row>
    <row r="2088" spans="1:20" ht="12.75" customHeight="1">
      <c r="A2088" t="s">
        <v>4365</v>
      </c>
      <c r="B2088" t="s">
        <v>239</v>
      </c>
      <c r="C2088">
        <v>2568</v>
      </c>
      <c r="D2088" s="802"/>
      <c r="E2088" s="802"/>
      <c r="F2088" s="2">
        <f>(1/S2088)*cnst_fish!$C$6</f>
        <v>2.7484690295134888E-2</v>
      </c>
      <c r="G2088" s="2">
        <f t="shared" ref="G2088:H2107" si="302">G$7</f>
        <v>1</v>
      </c>
      <c r="H2088" s="2">
        <f t="shared" si="302"/>
        <v>0.36449057933102513</v>
      </c>
      <c r="I2088" s="2">
        <f t="shared" si="295"/>
        <v>0</v>
      </c>
      <c r="J2088" s="389">
        <f t="shared" si="296"/>
        <v>0</v>
      </c>
      <c r="L2088" s="803">
        <v>31</v>
      </c>
      <c r="M2088" s="802"/>
      <c r="N2088" s="804" t="s">
        <v>1738</v>
      </c>
      <c r="O2088" s="805" t="s">
        <v>4681</v>
      </c>
      <c r="P2088" s="233">
        <f t="shared" si="297"/>
        <v>0</v>
      </c>
      <c r="Q2088" s="233">
        <f t="shared" si="298"/>
        <v>31</v>
      </c>
      <c r="R2088" s="2">
        <f t="shared" si="299"/>
        <v>4.04</v>
      </c>
      <c r="S2088" s="2">
        <f>(1/9)*cnst_fish!$C$7*(1/cnst_fish!$C$8)^(R2088-1)</f>
        <v>154.63154048173138</v>
      </c>
      <c r="T2088" s="682">
        <f t="shared" si="300"/>
        <v>411.1091606974328</v>
      </c>
    </row>
    <row r="2089" spans="1:20" ht="12.75" customHeight="1">
      <c r="A2089" t="s">
        <v>1608</v>
      </c>
      <c r="B2089" t="s">
        <v>4801</v>
      </c>
      <c r="C2089">
        <v>3375</v>
      </c>
      <c r="D2089" s="802"/>
      <c r="E2089" s="802"/>
      <c r="F2089" s="2">
        <f>(1/S2089)*cnst_fish!$C$6</f>
        <v>6.9038420626592392E-2</v>
      </c>
      <c r="G2089" s="2">
        <f t="shared" si="302"/>
        <v>1</v>
      </c>
      <c r="H2089" s="2">
        <f t="shared" si="302"/>
        <v>0.36449057933102513</v>
      </c>
      <c r="I2089" s="2">
        <f t="shared" si="295"/>
        <v>0</v>
      </c>
      <c r="J2089" s="389">
        <f t="shared" si="296"/>
        <v>0</v>
      </c>
      <c r="L2089" s="803">
        <v>4</v>
      </c>
      <c r="M2089" s="802"/>
      <c r="N2089" s="804" t="s">
        <v>1738</v>
      </c>
      <c r="O2089" s="805" t="s">
        <v>4681</v>
      </c>
      <c r="P2089" s="233">
        <f t="shared" si="297"/>
        <v>0</v>
      </c>
      <c r="Q2089" s="233">
        <f t="shared" si="298"/>
        <v>4</v>
      </c>
      <c r="R2089" s="2">
        <f t="shared" si="299"/>
        <v>3.64</v>
      </c>
      <c r="S2089" s="2">
        <f>(1/9)*cnst_fish!$C$7*(1/cnst_fish!$C$8)^(R2089-1)</f>
        <v>61.559925059510611</v>
      </c>
      <c r="T2089" s="682">
        <f t="shared" si="300"/>
        <v>21.118129645661664</v>
      </c>
    </row>
    <row r="2090" spans="1:20" ht="12.75" customHeight="1">
      <c r="A2090" s="403" t="s">
        <v>8974</v>
      </c>
      <c r="B2090" s="403" t="s">
        <v>8975</v>
      </c>
      <c r="C2090" s="403">
        <v>15376</v>
      </c>
      <c r="D2090" s="802"/>
      <c r="E2090" s="802"/>
      <c r="F2090" s="869">
        <f>(1/S2090)*cnst_fish!$C$6</f>
        <v>9.5299549485983424E-3</v>
      </c>
      <c r="G2090" s="869">
        <f t="shared" si="302"/>
        <v>1</v>
      </c>
      <c r="H2090" s="869">
        <f t="shared" si="302"/>
        <v>0.36449057933102513</v>
      </c>
      <c r="I2090" s="869">
        <f t="shared" si="295"/>
        <v>0</v>
      </c>
      <c r="J2090" s="389">
        <f t="shared" si="296"/>
        <v>0</v>
      </c>
      <c r="L2090" s="803">
        <v>11</v>
      </c>
      <c r="M2090" s="802"/>
      <c r="N2090" s="876" t="s">
        <v>1738</v>
      </c>
      <c r="O2090" s="880" t="s">
        <v>4699</v>
      </c>
      <c r="P2090" s="871">
        <f t="shared" si="297"/>
        <v>0</v>
      </c>
      <c r="Q2090" s="871">
        <f t="shared" si="298"/>
        <v>11</v>
      </c>
      <c r="R2090" s="869">
        <f t="shared" si="299"/>
        <v>4.5</v>
      </c>
      <c r="S2090" s="869">
        <f>(1/9)*cnst_fish!$C$7*(1/cnst_fish!$C$8)^(R2090-1)</f>
        <v>445.96223412630997</v>
      </c>
      <c r="T2090" s="682">
        <f t="shared" si="300"/>
        <v>420.71514443318273</v>
      </c>
    </row>
    <row r="2091" spans="1:20" ht="12.75" customHeight="1">
      <c r="A2091" t="s">
        <v>3114</v>
      </c>
      <c r="B2091" t="s">
        <v>5201</v>
      </c>
      <c r="C2091">
        <v>3048</v>
      </c>
      <c r="D2091" s="802"/>
      <c r="E2091" s="802"/>
      <c r="F2091" s="2">
        <f>(1/S2091)*cnst_fish!$C$6</f>
        <v>9.5299549485983424E-3</v>
      </c>
      <c r="G2091" s="2">
        <f t="shared" si="302"/>
        <v>1</v>
      </c>
      <c r="H2091" s="2">
        <f t="shared" si="302"/>
        <v>0.36449057933102513</v>
      </c>
      <c r="I2091" s="2">
        <f t="shared" si="295"/>
        <v>0</v>
      </c>
      <c r="J2091" s="389">
        <f t="shared" si="296"/>
        <v>0</v>
      </c>
      <c r="L2091" s="803">
        <v>30139</v>
      </c>
      <c r="M2091" s="802"/>
      <c r="N2091" s="804" t="s">
        <v>1738</v>
      </c>
      <c r="O2091" s="805" t="s">
        <v>4699</v>
      </c>
      <c r="P2091" s="233">
        <f t="shared" si="297"/>
        <v>0</v>
      </c>
      <c r="Q2091" s="233">
        <f t="shared" si="298"/>
        <v>30139</v>
      </c>
      <c r="R2091" s="2">
        <f t="shared" si="299"/>
        <v>4.5</v>
      </c>
      <c r="S2091" s="2">
        <f>(1/9)*cnst_fish!$C$7*(1/cnst_fish!$C$8)^(R2091-1)</f>
        <v>445.96223412630997</v>
      </c>
      <c r="T2091" s="682">
        <f t="shared" si="300"/>
        <v>1152721.2489156087</v>
      </c>
    </row>
    <row r="2092" spans="1:20" ht="12.75" customHeight="1">
      <c r="A2092" t="s">
        <v>6513</v>
      </c>
      <c r="B2092" t="s">
        <v>6512</v>
      </c>
      <c r="C2092">
        <v>15378</v>
      </c>
      <c r="D2092" s="802"/>
      <c r="E2092" s="802"/>
      <c r="F2092" s="2">
        <f>(1/S2092)*cnst_fish!$C$6</f>
        <v>9.5299549485983424E-3</v>
      </c>
      <c r="G2092" s="2">
        <f t="shared" si="302"/>
        <v>1</v>
      </c>
      <c r="H2092" s="2">
        <f t="shared" si="302"/>
        <v>0.36449057933102513</v>
      </c>
      <c r="I2092" s="2">
        <f t="shared" si="295"/>
        <v>0</v>
      </c>
      <c r="J2092" s="389">
        <f t="shared" si="296"/>
        <v>0</v>
      </c>
      <c r="L2092" s="803">
        <v>792</v>
      </c>
      <c r="M2092" s="802"/>
      <c r="N2092" s="804" t="s">
        <v>1738</v>
      </c>
      <c r="O2092" s="805" t="s">
        <v>4699</v>
      </c>
      <c r="P2092" s="233">
        <f t="shared" si="297"/>
        <v>0</v>
      </c>
      <c r="Q2092" s="233">
        <f t="shared" si="298"/>
        <v>792</v>
      </c>
      <c r="R2092" s="2">
        <f t="shared" si="299"/>
        <v>4.5</v>
      </c>
      <c r="S2092" s="2">
        <f>(1/9)*cnst_fish!$C$7*(1/cnst_fish!$C$8)^(R2092-1)</f>
        <v>445.96223412630997</v>
      </c>
      <c r="T2092" s="682">
        <f t="shared" si="300"/>
        <v>30291.490399189159</v>
      </c>
    </row>
    <row r="2093" spans="1:20" ht="12.75" customHeight="1">
      <c r="A2093" t="s">
        <v>306</v>
      </c>
      <c r="B2093" t="s">
        <v>4584</v>
      </c>
      <c r="C2093">
        <v>15383</v>
      </c>
      <c r="D2093" s="802"/>
      <c r="E2093" s="802"/>
      <c r="F2093" s="2">
        <f>(1/S2093)*cnst_fish!$C$6</f>
        <v>9.5299549485983424E-3</v>
      </c>
      <c r="G2093" s="2">
        <f t="shared" si="302"/>
        <v>1</v>
      </c>
      <c r="H2093" s="2">
        <f t="shared" si="302"/>
        <v>0.36449057933102513</v>
      </c>
      <c r="I2093" s="2">
        <f t="shared" si="295"/>
        <v>0</v>
      </c>
      <c r="J2093" s="389">
        <f t="shared" si="296"/>
        <v>0</v>
      </c>
      <c r="L2093" s="803">
        <v>1410</v>
      </c>
      <c r="M2093" s="802"/>
      <c r="N2093" s="804" t="s">
        <v>1738</v>
      </c>
      <c r="O2093" s="805" t="s">
        <v>4699</v>
      </c>
      <c r="P2093" s="233">
        <f t="shared" si="297"/>
        <v>0</v>
      </c>
      <c r="Q2093" s="233">
        <f t="shared" si="298"/>
        <v>1410</v>
      </c>
      <c r="R2093" s="2">
        <f t="shared" si="299"/>
        <v>4.5</v>
      </c>
      <c r="S2093" s="2">
        <f>(1/9)*cnst_fish!$C$7*(1/cnst_fish!$C$8)^(R2093-1)</f>
        <v>445.96223412630997</v>
      </c>
      <c r="T2093" s="682">
        <f t="shared" si="300"/>
        <v>53928.032150071616</v>
      </c>
    </row>
    <row r="2094" spans="1:20" ht="12.75" customHeight="1">
      <c r="A2094" t="s">
        <v>2214</v>
      </c>
      <c r="B2094" t="s">
        <v>571</v>
      </c>
      <c r="C2094">
        <v>15384</v>
      </c>
      <c r="D2094" s="802"/>
      <c r="E2094" s="802"/>
      <c r="F2094" s="2">
        <f>(1/S2094)*cnst_fish!$C$6</f>
        <v>9.7519361156519751E-3</v>
      </c>
      <c r="G2094" s="2">
        <f t="shared" si="302"/>
        <v>1</v>
      </c>
      <c r="H2094" s="2">
        <f t="shared" si="302"/>
        <v>0.36449057933102513</v>
      </c>
      <c r="I2094" s="2">
        <f t="shared" si="295"/>
        <v>0</v>
      </c>
      <c r="J2094" s="389">
        <f t="shared" si="296"/>
        <v>0</v>
      </c>
      <c r="L2094" s="803">
        <v>175</v>
      </c>
      <c r="M2094" s="802"/>
      <c r="N2094" s="804" t="s">
        <v>1738</v>
      </c>
      <c r="O2094" s="805" t="s">
        <v>4699</v>
      </c>
      <c r="P2094" s="233">
        <f t="shared" si="297"/>
        <v>0</v>
      </c>
      <c r="Q2094" s="233">
        <f t="shared" si="298"/>
        <v>175</v>
      </c>
      <c r="R2094" s="2">
        <f t="shared" si="299"/>
        <v>4.49</v>
      </c>
      <c r="S2094" s="2">
        <f>(1/9)*cnst_fish!$C$7*(1/cnst_fish!$C$8)^(R2094-1)</f>
        <v>435.81089432883982</v>
      </c>
      <c r="T2094" s="682">
        <f t="shared" si="300"/>
        <v>6540.8397498166887</v>
      </c>
    </row>
    <row r="2095" spans="1:20" ht="12.75" customHeight="1">
      <c r="A2095" t="s">
        <v>8366</v>
      </c>
      <c r="B2095" t="s">
        <v>8367</v>
      </c>
      <c r="C2095">
        <v>16089</v>
      </c>
      <c r="D2095" s="802"/>
      <c r="E2095" s="802"/>
      <c r="F2095" s="2">
        <f>(1/S2095)*cnst_fish!$C$6</f>
        <v>0.19014759972289441</v>
      </c>
      <c r="G2095" s="2">
        <f t="shared" si="302"/>
        <v>1</v>
      </c>
      <c r="H2095" s="2">
        <f t="shared" si="302"/>
        <v>0.36449057933102513</v>
      </c>
      <c r="I2095" s="2">
        <f t="shared" si="295"/>
        <v>0</v>
      </c>
      <c r="J2095" s="389">
        <f t="shared" si="296"/>
        <v>0</v>
      </c>
      <c r="L2095" s="803">
        <v>6</v>
      </c>
      <c r="M2095" s="802"/>
      <c r="N2095" s="804" t="s">
        <v>1738</v>
      </c>
      <c r="O2095" s="805" t="s">
        <v>4699</v>
      </c>
      <c r="P2095" s="233">
        <f t="shared" si="297"/>
        <v>0</v>
      </c>
      <c r="Q2095" s="233">
        <f t="shared" si="298"/>
        <v>6</v>
      </c>
      <c r="R2095" s="2">
        <f t="shared" si="299"/>
        <v>3.2</v>
      </c>
      <c r="S2095" s="2">
        <f>(1/9)*cnst_fish!$C$7*(1/cnst_fish!$C$8)^(R2095-1)</f>
        <v>22.351057842400341</v>
      </c>
      <c r="T2095" s="682">
        <f t="shared" si="300"/>
        <v>11.501294148194475</v>
      </c>
    </row>
    <row r="2096" spans="1:20" ht="12.75" customHeight="1">
      <c r="A2096" t="s">
        <v>209</v>
      </c>
      <c r="B2096" t="s">
        <v>210</v>
      </c>
      <c r="C2096">
        <v>15387</v>
      </c>
      <c r="D2096" s="802"/>
      <c r="E2096" s="802"/>
      <c r="F2096" s="2">
        <f>(1/S2096)*cnst_fish!$C$6</f>
        <v>2.7484690295134888E-2</v>
      </c>
      <c r="G2096" s="2">
        <f t="shared" si="302"/>
        <v>1</v>
      </c>
      <c r="H2096" s="2">
        <f t="shared" si="302"/>
        <v>0.36449057933102513</v>
      </c>
      <c r="I2096" s="2">
        <f t="shared" si="295"/>
        <v>0</v>
      </c>
      <c r="J2096" s="389">
        <f t="shared" si="296"/>
        <v>0</v>
      </c>
      <c r="L2096" s="803">
        <v>170</v>
      </c>
      <c r="M2096" s="802"/>
      <c r="N2096" s="804" t="s">
        <v>1738</v>
      </c>
      <c r="O2096" s="805" t="s">
        <v>4699</v>
      </c>
      <c r="P2096" s="233">
        <f t="shared" si="297"/>
        <v>0</v>
      </c>
      <c r="Q2096" s="233">
        <f t="shared" si="298"/>
        <v>170</v>
      </c>
      <c r="R2096" s="2">
        <f t="shared" si="299"/>
        <v>4.04</v>
      </c>
      <c r="S2096" s="2">
        <f>(1/9)*cnst_fish!$C$7*(1/cnst_fish!$C$8)^(R2096-1)</f>
        <v>154.63154048173138</v>
      </c>
      <c r="T2096" s="682">
        <f t="shared" si="300"/>
        <v>2254.4695909214051</v>
      </c>
    </row>
    <row r="2097" spans="1:20" ht="12.75" customHeight="1">
      <c r="A2097" t="s">
        <v>855</v>
      </c>
      <c r="B2097" t="s">
        <v>572</v>
      </c>
      <c r="C2097">
        <v>2255</v>
      </c>
      <c r="D2097" s="802"/>
      <c r="E2097" s="802"/>
      <c r="F2097" s="2">
        <f>(1/S2097)*cnst_fish!$C$6</f>
        <v>1.4424170509541314E-2</v>
      </c>
      <c r="G2097" s="2">
        <f t="shared" si="302"/>
        <v>1</v>
      </c>
      <c r="H2097" s="2">
        <f t="shared" si="302"/>
        <v>0.36449057933102513</v>
      </c>
      <c r="I2097" s="2">
        <f t="shared" si="295"/>
        <v>0</v>
      </c>
      <c r="J2097" s="389">
        <f t="shared" si="296"/>
        <v>0</v>
      </c>
      <c r="L2097" s="803">
        <v>177593.63</v>
      </c>
      <c r="M2097" s="802"/>
      <c r="N2097" s="804" t="s">
        <v>1738</v>
      </c>
      <c r="O2097" s="805" t="s">
        <v>4699</v>
      </c>
      <c r="P2097" s="233">
        <f t="shared" si="297"/>
        <v>0</v>
      </c>
      <c r="Q2097" s="233">
        <f t="shared" si="298"/>
        <v>177593.63</v>
      </c>
      <c r="R2097" s="2">
        <f t="shared" si="299"/>
        <v>4.32</v>
      </c>
      <c r="S2097" s="2">
        <f>(1/9)*cnst_fish!$C$7*(1/cnst_fish!$C$8)^(R2097-1)</f>
        <v>294.64432614608279</v>
      </c>
      <c r="T2097" s="682">
        <f t="shared" si="300"/>
        <v>4487689.9535665689</v>
      </c>
    </row>
    <row r="2098" spans="1:20" ht="12.75" customHeight="1">
      <c r="A2098" t="s">
        <v>3581</v>
      </c>
      <c r="B2098" t="s">
        <v>3780</v>
      </c>
      <c r="C2098">
        <v>2028</v>
      </c>
      <c r="D2098" s="802"/>
      <c r="E2098" s="802"/>
      <c r="F2098" s="2">
        <f>(1/S2098)*cnst_fish!$C$6</f>
        <v>2.5066335465503211E-2</v>
      </c>
      <c r="G2098" s="2">
        <f t="shared" si="302"/>
        <v>1</v>
      </c>
      <c r="H2098" s="2">
        <f t="shared" si="302"/>
        <v>0.36449057933102513</v>
      </c>
      <c r="I2098" s="2">
        <f t="shared" si="295"/>
        <v>0</v>
      </c>
      <c r="J2098" s="389">
        <f t="shared" si="296"/>
        <v>0</v>
      </c>
      <c r="L2098" s="803">
        <v>55</v>
      </c>
      <c r="M2098" s="802"/>
      <c r="N2098" s="804" t="s">
        <v>3785</v>
      </c>
      <c r="O2098" s="805" t="s">
        <v>4681</v>
      </c>
      <c r="P2098" s="233">
        <f t="shared" si="297"/>
        <v>0</v>
      </c>
      <c r="Q2098" s="233">
        <f t="shared" si="298"/>
        <v>55</v>
      </c>
      <c r="R2098" s="2">
        <f t="shared" si="299"/>
        <v>4.08</v>
      </c>
      <c r="S2098" s="2">
        <f>(1/9)*cnst_fish!$C$7*(1/cnst_fish!$C$8)^(R2098-1)</f>
        <v>169.55011257425062</v>
      </c>
      <c r="T2098" s="682">
        <f t="shared" si="300"/>
        <v>799.7571839248476</v>
      </c>
    </row>
    <row r="2099" spans="1:20" ht="12.75" customHeight="1">
      <c r="A2099" t="s">
        <v>8368</v>
      </c>
      <c r="B2099" t="s">
        <v>8369</v>
      </c>
      <c r="C2099">
        <v>2824</v>
      </c>
      <c r="D2099" s="802"/>
      <c r="E2099" s="802"/>
      <c r="F2099" s="2">
        <f>(1/S2099)*cnst_fish!$C$6</f>
        <v>1.5103960722494611E-2</v>
      </c>
      <c r="G2099" s="2">
        <f t="shared" si="302"/>
        <v>1</v>
      </c>
      <c r="H2099" s="2">
        <f t="shared" si="302"/>
        <v>0.36449057933102513</v>
      </c>
      <c r="I2099" s="2">
        <f t="shared" si="295"/>
        <v>0</v>
      </c>
      <c r="J2099" s="389">
        <f t="shared" si="296"/>
        <v>0</v>
      </c>
      <c r="L2099" s="803">
        <v>67</v>
      </c>
      <c r="M2099" s="802"/>
      <c r="N2099" s="804" t="s">
        <v>3785</v>
      </c>
      <c r="O2099" s="805" t="s">
        <v>4681</v>
      </c>
      <c r="P2099" s="233">
        <f t="shared" si="297"/>
        <v>0</v>
      </c>
      <c r="Q2099" s="233">
        <f t="shared" si="298"/>
        <v>67</v>
      </c>
      <c r="R2099" s="2">
        <f t="shared" si="299"/>
        <v>4.3</v>
      </c>
      <c r="S2099" s="2">
        <f>(1/9)*cnst_fish!$C$7*(1/cnst_fish!$C$8)^(R2099-1)</f>
        <v>281.38314698279078</v>
      </c>
      <c r="T2099" s="682">
        <f t="shared" si="300"/>
        <v>1616.8519810044411</v>
      </c>
    </row>
    <row r="2100" spans="1:20" ht="12.75" customHeight="1">
      <c r="A2100" t="s">
        <v>6276</v>
      </c>
      <c r="B2100" t="s">
        <v>6275</v>
      </c>
      <c r="C2100">
        <v>2823</v>
      </c>
      <c r="D2100" s="802"/>
      <c r="E2100" s="802"/>
      <c r="F2100" s="2">
        <f>(1/S2100)*cnst_fish!$C$6</f>
        <v>3.7939434000887833E-2</v>
      </c>
      <c r="G2100" s="2">
        <f t="shared" si="302"/>
        <v>1</v>
      </c>
      <c r="H2100" s="2">
        <f t="shared" si="302"/>
        <v>0.36449057933102513</v>
      </c>
      <c r="I2100" s="2">
        <f t="shared" si="295"/>
        <v>0</v>
      </c>
      <c r="J2100" s="389">
        <f t="shared" si="296"/>
        <v>0</v>
      </c>
      <c r="L2100" s="803">
        <v>0</v>
      </c>
      <c r="M2100" s="802"/>
      <c r="N2100" s="804" t="s">
        <v>3785</v>
      </c>
      <c r="O2100" s="805" t="s">
        <v>4681</v>
      </c>
      <c r="P2100" s="233">
        <f t="shared" si="297"/>
        <v>0</v>
      </c>
      <c r="Q2100" s="233">
        <f t="shared" si="298"/>
        <v>0</v>
      </c>
      <c r="R2100" s="2">
        <f t="shared" si="299"/>
        <v>3.9</v>
      </c>
      <c r="S2100" s="2">
        <f>(1/9)*cnst_fish!$C$7*(1/cnst_fish!$C$8)^(R2100-1)</f>
        <v>112.02064848675771</v>
      </c>
      <c r="T2100" s="682">
        <f t="shared" si="300"/>
        <v>0</v>
      </c>
    </row>
    <row r="2101" spans="1:20" ht="12.75" customHeight="1">
      <c r="A2101" t="s">
        <v>4081</v>
      </c>
      <c r="B2101" t="s">
        <v>4378</v>
      </c>
      <c r="C2101">
        <v>2822</v>
      </c>
      <c r="D2101" s="802"/>
      <c r="E2101" s="802"/>
      <c r="F2101" s="2">
        <f>(1/S2101)*cnst_fish!$C$6</f>
        <v>9.5299549485983424E-3</v>
      </c>
      <c r="G2101" s="2">
        <f t="shared" si="302"/>
        <v>1</v>
      </c>
      <c r="H2101" s="2">
        <f t="shared" si="302"/>
        <v>0.36449057933102513</v>
      </c>
      <c r="I2101" s="2">
        <f t="shared" si="295"/>
        <v>0</v>
      </c>
      <c r="J2101" s="389">
        <f t="shared" si="296"/>
        <v>0</v>
      </c>
      <c r="L2101" s="803">
        <v>41.18</v>
      </c>
      <c r="M2101" s="802"/>
      <c r="N2101" s="804" t="s">
        <v>3785</v>
      </c>
      <c r="O2101" s="805" t="s">
        <v>4681</v>
      </c>
      <c r="P2101" s="233">
        <f t="shared" si="297"/>
        <v>0</v>
      </c>
      <c r="Q2101" s="233">
        <f t="shared" si="298"/>
        <v>41.18</v>
      </c>
      <c r="R2101" s="2">
        <f t="shared" si="299"/>
        <v>4.5</v>
      </c>
      <c r="S2101" s="2">
        <f>(1/9)*cnst_fish!$C$7*(1/cnst_fish!$C$8)^(R2101-1)</f>
        <v>445.96223412630997</v>
      </c>
      <c r="T2101" s="682">
        <f t="shared" si="300"/>
        <v>1575.0045134325878</v>
      </c>
    </row>
    <row r="2102" spans="1:20" ht="12.75" customHeight="1">
      <c r="A2102" t="s">
        <v>126</v>
      </c>
      <c r="B2102" t="s">
        <v>4379</v>
      </c>
      <c r="C2102">
        <v>2027</v>
      </c>
      <c r="D2102" s="802"/>
      <c r="E2102" s="802"/>
      <c r="F2102" s="2">
        <f>(1/S2102)*cnst_fish!$C$6</f>
        <v>2.4495756009854434E-2</v>
      </c>
      <c r="G2102" s="2">
        <f t="shared" si="302"/>
        <v>1</v>
      </c>
      <c r="H2102" s="2">
        <f t="shared" si="302"/>
        <v>0.36449057933102513</v>
      </c>
      <c r="I2102" s="2">
        <f t="shared" si="295"/>
        <v>0</v>
      </c>
      <c r="J2102" s="389">
        <f t="shared" si="296"/>
        <v>0</v>
      </c>
      <c r="L2102" s="803">
        <v>10625</v>
      </c>
      <c r="M2102" s="802"/>
      <c r="N2102" s="804" t="s">
        <v>3785</v>
      </c>
      <c r="O2102" s="805" t="s">
        <v>4681</v>
      </c>
      <c r="P2102" s="233">
        <f t="shared" si="297"/>
        <v>0</v>
      </c>
      <c r="Q2102" s="233">
        <f t="shared" si="298"/>
        <v>10625</v>
      </c>
      <c r="R2102" s="2">
        <f t="shared" si="299"/>
        <v>4.09</v>
      </c>
      <c r="S2102" s="2">
        <f>(1/9)*cnst_fish!$C$7*(1/cnst_fish!$C$8)^(R2102-1)</f>
        <v>173.49944203764363</v>
      </c>
      <c r="T2102" s="682">
        <f t="shared" si="300"/>
        <v>158097.28035477587</v>
      </c>
    </row>
    <row r="2103" spans="1:20" ht="12.75" customHeight="1">
      <c r="A2103" t="s">
        <v>5259</v>
      </c>
      <c r="B2103" t="s">
        <v>4802</v>
      </c>
      <c r="C2103">
        <v>3205</v>
      </c>
      <c r="D2103" s="802"/>
      <c r="E2103" s="802"/>
      <c r="F2103" s="2">
        <f>(1/S2103)*cnst_fish!$C$6</f>
        <v>2.1334911593031029E-2</v>
      </c>
      <c r="G2103" s="2">
        <f t="shared" si="302"/>
        <v>1</v>
      </c>
      <c r="H2103" s="2">
        <f t="shared" si="302"/>
        <v>0.36449057933102513</v>
      </c>
      <c r="I2103" s="2">
        <f t="shared" si="295"/>
        <v>0</v>
      </c>
      <c r="J2103" s="389">
        <f t="shared" si="296"/>
        <v>0</v>
      </c>
      <c r="L2103" s="803">
        <v>466</v>
      </c>
      <c r="M2103" s="802"/>
      <c r="N2103" s="804" t="s">
        <v>1738</v>
      </c>
      <c r="O2103" s="805" t="s">
        <v>4681</v>
      </c>
      <c r="P2103" s="233">
        <f t="shared" si="297"/>
        <v>0</v>
      </c>
      <c r="Q2103" s="233">
        <f t="shared" si="298"/>
        <v>466</v>
      </c>
      <c r="R2103" s="2">
        <f t="shared" si="299"/>
        <v>4.1500000000000004</v>
      </c>
      <c r="S2103" s="2">
        <f>(1/9)*cnst_fish!$C$7*(1/cnst_fish!$C$8)^(R2103-1)</f>
        <v>199.20401270320929</v>
      </c>
      <c r="T2103" s="682">
        <f t="shared" si="300"/>
        <v>7961.2521114800147</v>
      </c>
    </row>
    <row r="2104" spans="1:20" ht="12.75" customHeight="1">
      <c r="A2104" t="s">
        <v>6571</v>
      </c>
      <c r="B2104" t="s">
        <v>6570</v>
      </c>
      <c r="C2104">
        <v>3652</v>
      </c>
      <c r="D2104" s="802"/>
      <c r="E2104" s="802"/>
      <c r="F2104" s="2">
        <f>(1/S2104)*cnst_fish!$C$6</f>
        <v>0.30136363636363639</v>
      </c>
      <c r="G2104" s="2">
        <f t="shared" si="302"/>
        <v>1</v>
      </c>
      <c r="H2104" s="2">
        <f t="shared" si="302"/>
        <v>0.36449057933102513</v>
      </c>
      <c r="I2104" s="2">
        <f t="shared" si="295"/>
        <v>0</v>
      </c>
      <c r="J2104" s="389">
        <f t="shared" si="296"/>
        <v>0</v>
      </c>
      <c r="L2104" s="803">
        <v>1609</v>
      </c>
      <c r="M2104" s="802"/>
      <c r="N2104" s="804" t="s">
        <v>1738</v>
      </c>
      <c r="O2104" s="805" t="s">
        <v>4681</v>
      </c>
      <c r="P2104" s="233">
        <f t="shared" si="297"/>
        <v>0</v>
      </c>
      <c r="Q2104" s="233">
        <f t="shared" si="298"/>
        <v>1609</v>
      </c>
      <c r="R2104" s="2">
        <f t="shared" si="299"/>
        <v>3</v>
      </c>
      <c r="S2104" s="2">
        <f>(1/9)*cnst_fish!$C$7*(1/cnst_fish!$C$8)^(R2104-1)</f>
        <v>14.1025641025641</v>
      </c>
      <c r="T2104" s="682">
        <f t="shared" si="300"/>
        <v>1946.0388427088426</v>
      </c>
    </row>
    <row r="2105" spans="1:20" ht="12.75" customHeight="1">
      <c r="A2105" t="s">
        <v>2019</v>
      </c>
      <c r="B2105" t="s">
        <v>1895</v>
      </c>
      <c r="C2105">
        <v>2400</v>
      </c>
      <c r="D2105" s="802"/>
      <c r="E2105" s="802"/>
      <c r="F2105" s="2">
        <f>(1/S2105)*cnst_fish!$C$6</f>
        <v>8.4935812883106004E-2</v>
      </c>
      <c r="G2105" s="2">
        <f t="shared" si="302"/>
        <v>1</v>
      </c>
      <c r="H2105" s="2">
        <f t="shared" si="302"/>
        <v>0.36449057933102513</v>
      </c>
      <c r="I2105" s="2">
        <f t="shared" si="295"/>
        <v>0</v>
      </c>
      <c r="J2105" s="389">
        <f t="shared" si="296"/>
        <v>0</v>
      </c>
      <c r="L2105" s="803">
        <v>2432</v>
      </c>
      <c r="M2105" s="802"/>
      <c r="N2105" s="804" t="s">
        <v>1738</v>
      </c>
      <c r="O2105" s="805" t="s">
        <v>4681</v>
      </c>
      <c r="P2105" s="233">
        <f t="shared" si="297"/>
        <v>0</v>
      </c>
      <c r="Q2105" s="233">
        <f t="shared" si="298"/>
        <v>2432</v>
      </c>
      <c r="R2105" s="2">
        <f t="shared" si="299"/>
        <v>3.55</v>
      </c>
      <c r="S2105" s="2">
        <f>(1/9)*cnst_fish!$C$7*(1/cnst_fish!$C$8)^(R2105-1)</f>
        <v>50.037785661145278</v>
      </c>
      <c r="T2105" s="682">
        <f t="shared" si="300"/>
        <v>10436.599813944549</v>
      </c>
    </row>
    <row r="2106" spans="1:20" ht="12.75" customHeight="1">
      <c r="A2106" t="s">
        <v>6789</v>
      </c>
      <c r="B2106" t="s">
        <v>5990</v>
      </c>
      <c r="C2106">
        <v>18519</v>
      </c>
      <c r="D2106" s="802"/>
      <c r="E2106" s="802"/>
      <c r="F2106" s="2">
        <f>(1/S2106)*cnst_fish!$C$6</f>
        <v>30.136363636363644</v>
      </c>
      <c r="G2106" s="2">
        <f t="shared" si="302"/>
        <v>1</v>
      </c>
      <c r="H2106" s="2">
        <f t="shared" si="302"/>
        <v>0.36449057933102513</v>
      </c>
      <c r="I2106" s="2">
        <f t="shared" si="295"/>
        <v>0</v>
      </c>
      <c r="J2106" s="389">
        <f t="shared" si="296"/>
        <v>0</v>
      </c>
      <c r="L2106" s="803"/>
      <c r="M2106" s="802"/>
      <c r="N2106" s="804" t="s">
        <v>1740</v>
      </c>
      <c r="O2106" s="805" t="s">
        <v>4671</v>
      </c>
      <c r="P2106" s="233">
        <f t="shared" si="297"/>
        <v>0</v>
      </c>
      <c r="Q2106" s="233">
        <f t="shared" si="298"/>
        <v>0</v>
      </c>
      <c r="R2106" s="2">
        <f t="shared" si="299"/>
        <v>1</v>
      </c>
      <c r="S2106" s="2">
        <f>(1/9)*cnst_fish!$C$7*(1/cnst_fish!$C$8)^(R2106-1)</f>
        <v>0.141025641025641</v>
      </c>
      <c r="T2106" s="682">
        <f t="shared" si="300"/>
        <v>0</v>
      </c>
    </row>
    <row r="2107" spans="1:20" ht="12.75" customHeight="1">
      <c r="A2107" t="s">
        <v>6790</v>
      </c>
      <c r="B2107" t="s">
        <v>5991</v>
      </c>
      <c r="C2107">
        <v>18518</v>
      </c>
      <c r="D2107" s="802"/>
      <c r="E2107" s="802"/>
      <c r="F2107" s="2">
        <f>(1/S2107)*cnst_fish!$C$6</f>
        <v>30.136363636363644</v>
      </c>
      <c r="G2107" s="2">
        <f t="shared" si="302"/>
        <v>1</v>
      </c>
      <c r="H2107" s="2">
        <f t="shared" si="302"/>
        <v>0.36449057933102513</v>
      </c>
      <c r="I2107" s="2">
        <f t="shared" si="295"/>
        <v>0</v>
      </c>
      <c r="J2107" s="389">
        <f t="shared" si="296"/>
        <v>0</v>
      </c>
      <c r="L2107" s="803"/>
      <c r="M2107" s="802"/>
      <c r="N2107" s="804" t="s">
        <v>1740</v>
      </c>
      <c r="O2107" s="805" t="s">
        <v>4671</v>
      </c>
      <c r="P2107" s="233">
        <f t="shared" si="297"/>
        <v>0</v>
      </c>
      <c r="Q2107" s="233">
        <f t="shared" si="298"/>
        <v>0</v>
      </c>
      <c r="R2107" s="2">
        <f t="shared" si="299"/>
        <v>1</v>
      </c>
      <c r="S2107" s="2">
        <f>(1/9)*cnst_fish!$C$7*(1/cnst_fish!$C$8)^(R2107-1)</f>
        <v>0.141025641025641</v>
      </c>
      <c r="T2107" s="682">
        <f t="shared" si="300"/>
        <v>0</v>
      </c>
    </row>
    <row r="2108" spans="1:20" ht="12.75" customHeight="1">
      <c r="A2108" t="s">
        <v>2684</v>
      </c>
      <c r="B2108" t="s">
        <v>1921</v>
      </c>
      <c r="C2108">
        <v>2773</v>
      </c>
      <c r="D2108" s="802"/>
      <c r="E2108" s="802"/>
      <c r="F2108" s="2">
        <f>(1/S2108)*cnst_fish!$C$6</f>
        <v>30.136363636363644</v>
      </c>
      <c r="G2108" s="2">
        <f t="shared" ref="G2108:H2127" si="303">G$7</f>
        <v>1</v>
      </c>
      <c r="H2108" s="2">
        <f t="shared" si="303"/>
        <v>0.36449057933102513</v>
      </c>
      <c r="I2108" s="2">
        <f t="shared" si="295"/>
        <v>0</v>
      </c>
      <c r="J2108" s="389">
        <f t="shared" si="296"/>
        <v>0</v>
      </c>
      <c r="L2108" s="803"/>
      <c r="M2108" s="802">
        <v>0</v>
      </c>
      <c r="N2108" s="804" t="s">
        <v>1740</v>
      </c>
      <c r="O2108" s="805" t="s">
        <v>4671</v>
      </c>
      <c r="P2108" s="233">
        <f t="shared" si="297"/>
        <v>0</v>
      </c>
      <c r="Q2108" s="233">
        <f t="shared" si="298"/>
        <v>0</v>
      </c>
      <c r="R2108" s="2">
        <f t="shared" si="299"/>
        <v>1</v>
      </c>
      <c r="S2108" s="2">
        <f>(1/9)*cnst_fish!$C$7*(1/cnst_fish!$C$8)^(R2108-1)</f>
        <v>0.141025641025641</v>
      </c>
      <c r="T2108" s="682">
        <f t="shared" si="300"/>
        <v>0</v>
      </c>
    </row>
    <row r="2109" spans="1:20" ht="12.75" customHeight="1">
      <c r="A2109" t="s">
        <v>1084</v>
      </c>
      <c r="B2109" t="s">
        <v>1310</v>
      </c>
      <c r="C2109">
        <v>2696</v>
      </c>
      <c r="D2109" s="802"/>
      <c r="E2109" s="802"/>
      <c r="F2109" s="2">
        <f>(1/S2109)*cnst_fish!$C$6</f>
        <v>2.3938164528281742</v>
      </c>
      <c r="G2109" s="2">
        <f t="shared" si="303"/>
        <v>1</v>
      </c>
      <c r="H2109" s="2">
        <f t="shared" si="303"/>
        <v>0.36449057933102513</v>
      </c>
      <c r="I2109" s="2">
        <f t="shared" si="295"/>
        <v>0</v>
      </c>
      <c r="J2109" s="389">
        <f t="shared" si="296"/>
        <v>0</v>
      </c>
      <c r="L2109" s="803"/>
      <c r="M2109" s="802"/>
      <c r="N2109" s="804" t="s">
        <v>1736</v>
      </c>
      <c r="O2109" s="805" t="s">
        <v>4691</v>
      </c>
      <c r="P2109" s="233">
        <f t="shared" si="297"/>
        <v>0</v>
      </c>
      <c r="Q2109" s="233">
        <f t="shared" si="298"/>
        <v>0</v>
      </c>
      <c r="R2109" s="2">
        <f t="shared" si="299"/>
        <v>2.1</v>
      </c>
      <c r="S2109" s="2">
        <f>(1/9)*cnst_fish!$C$7*(1/cnst_fish!$C$8)^(R2109-1)</f>
        <v>1.7754076320174161</v>
      </c>
      <c r="T2109" s="682">
        <f t="shared" si="300"/>
        <v>0</v>
      </c>
    </row>
    <row r="2110" spans="1:20" ht="12.75" customHeight="1">
      <c r="A2110" t="s">
        <v>2526</v>
      </c>
      <c r="B2110" t="s">
        <v>1311</v>
      </c>
      <c r="C2110">
        <v>17369</v>
      </c>
      <c r="D2110" s="802"/>
      <c r="E2110" s="802"/>
      <c r="F2110" s="2">
        <f>(1/S2110)*cnst_fish!$C$6</f>
        <v>2.3938164528281742</v>
      </c>
      <c r="G2110" s="2">
        <f t="shared" si="303"/>
        <v>1</v>
      </c>
      <c r="H2110" s="2">
        <f t="shared" si="303"/>
        <v>0.36449057933102513</v>
      </c>
      <c r="I2110" s="2">
        <f t="shared" si="295"/>
        <v>0</v>
      </c>
      <c r="J2110" s="389">
        <f t="shared" si="296"/>
        <v>0</v>
      </c>
      <c r="L2110" s="803">
        <v>6599</v>
      </c>
      <c r="M2110" s="802"/>
      <c r="N2110" s="804" t="s">
        <v>1736</v>
      </c>
      <c r="O2110" s="805" t="s">
        <v>4691</v>
      </c>
      <c r="P2110" s="233">
        <f t="shared" si="297"/>
        <v>0</v>
      </c>
      <c r="Q2110" s="233">
        <f t="shared" si="298"/>
        <v>6599</v>
      </c>
      <c r="R2110" s="2">
        <f t="shared" si="299"/>
        <v>2.1</v>
      </c>
      <c r="S2110" s="2">
        <f>(1/9)*cnst_fish!$C$7*(1/cnst_fish!$C$8)^(R2110-1)</f>
        <v>1.7754076320174161</v>
      </c>
      <c r="T2110" s="682">
        <f t="shared" si="300"/>
        <v>1004.7860311778395</v>
      </c>
    </row>
    <row r="2111" spans="1:20" ht="12.75" customHeight="1">
      <c r="A2111" t="s">
        <v>3632</v>
      </c>
      <c r="B2111" t="s">
        <v>4601</v>
      </c>
      <c r="C2111">
        <v>3538</v>
      </c>
      <c r="D2111" s="802"/>
      <c r="E2111" s="802"/>
      <c r="F2111" s="2">
        <f>(1/S2111)*cnst_fish!$C$6</f>
        <v>2.3938164528281742</v>
      </c>
      <c r="G2111" s="2">
        <f t="shared" si="303"/>
        <v>1</v>
      </c>
      <c r="H2111" s="2">
        <f t="shared" si="303"/>
        <v>0.36449057933102513</v>
      </c>
      <c r="I2111" s="2">
        <f t="shared" si="295"/>
        <v>0</v>
      </c>
      <c r="J2111" s="389">
        <f t="shared" si="296"/>
        <v>0</v>
      </c>
      <c r="L2111" s="803">
        <v>82784</v>
      </c>
      <c r="M2111" s="802"/>
      <c r="N2111" s="804" t="s">
        <v>1736</v>
      </c>
      <c r="O2111" s="805" t="s">
        <v>4691</v>
      </c>
      <c r="P2111" s="233">
        <f t="shared" si="297"/>
        <v>0</v>
      </c>
      <c r="Q2111" s="233">
        <f t="shared" si="298"/>
        <v>82784</v>
      </c>
      <c r="R2111" s="2">
        <f t="shared" si="299"/>
        <v>2.1</v>
      </c>
      <c r="S2111" s="2">
        <f>(1/9)*cnst_fish!$C$7*(1/cnst_fish!$C$8)^(R2111-1)</f>
        <v>1.7754076320174161</v>
      </c>
      <c r="T2111" s="682">
        <f t="shared" si="300"/>
        <v>12604.971481289022</v>
      </c>
    </row>
    <row r="2112" spans="1:20" ht="12.75" customHeight="1">
      <c r="A2112" t="s">
        <v>2554</v>
      </c>
      <c r="B2112" t="s">
        <v>4602</v>
      </c>
      <c r="C2112">
        <v>3658</v>
      </c>
      <c r="D2112" s="802"/>
      <c r="E2112" s="802"/>
      <c r="F2112" s="2">
        <f>(1/S2112)*cnst_fish!$C$6</f>
        <v>2.3938164528281742</v>
      </c>
      <c r="G2112" s="2">
        <f t="shared" si="303"/>
        <v>1</v>
      </c>
      <c r="H2112" s="2">
        <f t="shared" si="303"/>
        <v>0.36449057933102513</v>
      </c>
      <c r="I2112" s="2">
        <f t="shared" si="295"/>
        <v>0</v>
      </c>
      <c r="J2112" s="389">
        <f t="shared" si="296"/>
        <v>0</v>
      </c>
      <c r="L2112" s="803">
        <v>908</v>
      </c>
      <c r="M2112" s="802"/>
      <c r="N2112" s="804" t="s">
        <v>1736</v>
      </c>
      <c r="O2112" s="805" t="s">
        <v>4691</v>
      </c>
      <c r="P2112" s="233">
        <f t="shared" si="297"/>
        <v>0</v>
      </c>
      <c r="Q2112" s="233">
        <f t="shared" si="298"/>
        <v>908</v>
      </c>
      <c r="R2112" s="2">
        <f t="shared" si="299"/>
        <v>2.1</v>
      </c>
      <c r="S2112" s="2">
        <f>(1/9)*cnst_fish!$C$7*(1/cnst_fish!$C$8)^(R2112-1)</f>
        <v>1.7754076320174161</v>
      </c>
      <c r="T2112" s="682">
        <f t="shared" si="300"/>
        <v>138.25514719040433</v>
      </c>
    </row>
    <row r="2113" spans="1:20" ht="12.75" customHeight="1">
      <c r="A2113" t="s">
        <v>6691</v>
      </c>
      <c r="B2113" t="s">
        <v>6690</v>
      </c>
      <c r="C2113">
        <v>17381</v>
      </c>
      <c r="D2113" s="802"/>
      <c r="E2113" s="802"/>
      <c r="F2113" s="2">
        <f>(1/S2113)*cnst_fish!$C$6</f>
        <v>3.0136363636363641</v>
      </c>
      <c r="G2113" s="2">
        <f t="shared" si="303"/>
        <v>1</v>
      </c>
      <c r="H2113" s="2">
        <f t="shared" si="303"/>
        <v>0.36449057933102513</v>
      </c>
      <c r="I2113" s="2">
        <f t="shared" si="295"/>
        <v>0</v>
      </c>
      <c r="J2113" s="389">
        <f t="shared" si="296"/>
        <v>0</v>
      </c>
      <c r="L2113" s="803">
        <v>0</v>
      </c>
      <c r="M2113" s="802"/>
      <c r="N2113" s="804" t="s">
        <v>1736</v>
      </c>
      <c r="O2113" s="805" t="s">
        <v>4691</v>
      </c>
      <c r="P2113" s="233">
        <f t="shared" si="297"/>
        <v>0</v>
      </c>
      <c r="Q2113" s="233">
        <f t="shared" si="298"/>
        <v>0</v>
      </c>
      <c r="R2113" s="2">
        <f t="shared" si="299"/>
        <v>2</v>
      </c>
      <c r="S2113" s="2">
        <f>(1/9)*cnst_fish!$C$7*(1/cnst_fish!$C$8)^(R2113-1)</f>
        <v>1.4102564102564099</v>
      </c>
      <c r="T2113" s="682">
        <f t="shared" si="300"/>
        <v>0</v>
      </c>
    </row>
    <row r="2114" spans="1:20" ht="12.75" customHeight="1">
      <c r="A2114" t="s">
        <v>5160</v>
      </c>
      <c r="B2114" t="s">
        <v>1896</v>
      </c>
      <c r="C2114">
        <v>2376</v>
      </c>
      <c r="D2114" s="802"/>
      <c r="E2114" s="802"/>
      <c r="F2114" s="2">
        <f>(1/S2114)*cnst_fish!$C$6</f>
        <v>0.15455777163012493</v>
      </c>
      <c r="G2114" s="2">
        <f t="shared" si="303"/>
        <v>1</v>
      </c>
      <c r="H2114" s="2">
        <f t="shared" si="303"/>
        <v>0.36449057933102513</v>
      </c>
      <c r="I2114" s="2">
        <f t="shared" si="295"/>
        <v>0</v>
      </c>
      <c r="J2114" s="389">
        <f t="shared" si="296"/>
        <v>0</v>
      </c>
      <c r="L2114" s="803">
        <v>7131</v>
      </c>
      <c r="M2114" s="802"/>
      <c r="N2114" s="804" t="s">
        <v>1738</v>
      </c>
      <c r="O2114" s="805" t="s">
        <v>4681</v>
      </c>
      <c r="P2114" s="233">
        <f t="shared" si="297"/>
        <v>0</v>
      </c>
      <c r="Q2114" s="233">
        <f t="shared" si="298"/>
        <v>7131</v>
      </c>
      <c r="R2114" s="2">
        <f t="shared" si="299"/>
        <v>3.29</v>
      </c>
      <c r="S2114" s="2">
        <f>(1/9)*cnst_fish!$C$7*(1/cnst_fish!$C$8)^(R2114-1)</f>
        <v>27.497808458126283</v>
      </c>
      <c r="T2114" s="682">
        <f t="shared" si="300"/>
        <v>16816.898262674826</v>
      </c>
    </row>
    <row r="2115" spans="1:20" ht="12.75" customHeight="1">
      <c r="A2115" t="s">
        <v>6731</v>
      </c>
      <c r="B2115" t="s">
        <v>6730</v>
      </c>
      <c r="C2115">
        <v>18284</v>
      </c>
      <c r="D2115" s="802"/>
      <c r="E2115" s="802"/>
      <c r="F2115" s="2">
        <f>(1/S2115)*cnst_fish!$C$6</f>
        <v>3.0136363636363641</v>
      </c>
      <c r="G2115" s="2">
        <f t="shared" si="303"/>
        <v>1</v>
      </c>
      <c r="H2115" s="2">
        <f t="shared" si="303"/>
        <v>0.36449057933102513</v>
      </c>
      <c r="I2115" s="2">
        <f t="shared" si="295"/>
        <v>0</v>
      </c>
      <c r="J2115" s="389">
        <f t="shared" si="296"/>
        <v>0</v>
      </c>
      <c r="L2115" s="803">
        <v>50</v>
      </c>
      <c r="M2115" s="802"/>
      <c r="N2115" s="804" t="s">
        <v>1449</v>
      </c>
      <c r="O2115" s="805"/>
      <c r="P2115" s="233">
        <f t="shared" si="297"/>
        <v>0</v>
      </c>
      <c r="Q2115" s="233">
        <f t="shared" si="298"/>
        <v>50</v>
      </c>
      <c r="R2115" s="2">
        <f t="shared" si="299"/>
        <v>2</v>
      </c>
      <c r="S2115" s="2">
        <f>(1/9)*cnst_fish!$C$7*(1/cnst_fish!$C$8)^(R2115-1)</f>
        <v>1.4102564102564099</v>
      </c>
      <c r="T2115" s="682">
        <f t="shared" si="300"/>
        <v>6.047355011525303</v>
      </c>
    </row>
    <row r="2116" spans="1:20" ht="12.75" customHeight="1">
      <c r="A2116" t="s">
        <v>6399</v>
      </c>
      <c r="B2116" t="s">
        <v>6398</v>
      </c>
      <c r="C2116">
        <v>18285</v>
      </c>
      <c r="D2116" s="802"/>
      <c r="E2116" s="802"/>
      <c r="F2116" s="2">
        <f>(1/S2116)*cnst_fish!$C$6</f>
        <v>3.0136363636363641</v>
      </c>
      <c r="G2116" s="2">
        <f t="shared" si="303"/>
        <v>1</v>
      </c>
      <c r="H2116" s="2">
        <f t="shared" si="303"/>
        <v>0.36449057933102513</v>
      </c>
      <c r="I2116" s="2">
        <f t="shared" si="295"/>
        <v>0</v>
      </c>
      <c r="J2116" s="389">
        <f t="shared" si="296"/>
        <v>0</v>
      </c>
      <c r="L2116" s="803">
        <v>18</v>
      </c>
      <c r="M2116" s="802"/>
      <c r="N2116" s="804" t="s">
        <v>1449</v>
      </c>
      <c r="O2116" s="805"/>
      <c r="P2116" s="233">
        <f t="shared" si="297"/>
        <v>0</v>
      </c>
      <c r="Q2116" s="233">
        <f t="shared" si="298"/>
        <v>18</v>
      </c>
      <c r="R2116" s="2">
        <f t="shared" si="299"/>
        <v>2</v>
      </c>
      <c r="S2116" s="2">
        <f>(1/9)*cnst_fish!$C$7*(1/cnst_fish!$C$8)^(R2116-1)</f>
        <v>1.4102564102564099</v>
      </c>
      <c r="T2116" s="682">
        <f t="shared" si="300"/>
        <v>2.177047804149109</v>
      </c>
    </row>
    <row r="2117" spans="1:20" ht="12.75" customHeight="1">
      <c r="A2117" t="s">
        <v>1449</v>
      </c>
      <c r="B2117" t="s">
        <v>6676</v>
      </c>
      <c r="C2117">
        <v>2757</v>
      </c>
      <c r="D2117" s="802"/>
      <c r="E2117" s="802"/>
      <c r="F2117" s="2">
        <f>(1/S2117)*cnst_fish!$C$6</f>
        <v>1.5103960722494616</v>
      </c>
      <c r="G2117" s="2">
        <f t="shared" si="303"/>
        <v>1</v>
      </c>
      <c r="H2117" s="2">
        <f t="shared" si="303"/>
        <v>0.36449057933102513</v>
      </c>
      <c r="I2117" s="2">
        <f t="shared" si="295"/>
        <v>0</v>
      </c>
      <c r="J2117" s="389">
        <f t="shared" si="296"/>
        <v>0</v>
      </c>
      <c r="L2117" s="803">
        <v>217.56</v>
      </c>
      <c r="M2117" s="802"/>
      <c r="N2117" s="804" t="s">
        <v>1449</v>
      </c>
      <c r="O2117" s="805"/>
      <c r="P2117" s="233">
        <f t="shared" si="297"/>
        <v>0</v>
      </c>
      <c r="Q2117" s="233">
        <f t="shared" si="298"/>
        <v>217.56</v>
      </c>
      <c r="R2117" s="2">
        <f t="shared" si="299"/>
        <v>2.2999999999999998</v>
      </c>
      <c r="S2117" s="2">
        <f>(1/9)*cnst_fish!$C$7*(1/cnst_fish!$C$8)^(R2117-1)</f>
        <v>2.8138314698279068</v>
      </c>
      <c r="T2117" s="682">
        <f t="shared" si="300"/>
        <v>52.501838356317336</v>
      </c>
    </row>
    <row r="2118" spans="1:20" ht="12.75" customHeight="1">
      <c r="A2118" t="s">
        <v>8370</v>
      </c>
      <c r="B2118" t="s">
        <v>8371</v>
      </c>
      <c r="C2118">
        <v>20449</v>
      </c>
      <c r="D2118" s="802"/>
      <c r="E2118" s="802"/>
      <c r="F2118" s="2">
        <f>(1/S2118)*cnst_fish!$C$6</f>
        <v>3.0136363636363641</v>
      </c>
      <c r="G2118" s="2">
        <f t="shared" si="303"/>
        <v>1</v>
      </c>
      <c r="H2118" s="2">
        <f t="shared" si="303"/>
        <v>0.36449057933102513</v>
      </c>
      <c r="I2118" s="2">
        <f t="shared" si="295"/>
        <v>0</v>
      </c>
      <c r="J2118" s="389">
        <f t="shared" si="296"/>
        <v>0</v>
      </c>
      <c r="L2118" s="803"/>
      <c r="M2118" s="802">
        <v>4</v>
      </c>
      <c r="N2118" s="804" t="s">
        <v>1449</v>
      </c>
      <c r="O2118" s="805"/>
      <c r="P2118" s="233">
        <f t="shared" si="297"/>
        <v>0</v>
      </c>
      <c r="Q2118" s="233">
        <f t="shared" si="298"/>
        <v>4</v>
      </c>
      <c r="R2118" s="2">
        <f t="shared" si="299"/>
        <v>2</v>
      </c>
      <c r="S2118" s="2">
        <f>(1/9)*cnst_fish!$C$7*(1/cnst_fish!$C$8)^(R2118-1)</f>
        <v>1.4102564102564099</v>
      </c>
      <c r="T2118" s="682">
        <f t="shared" si="300"/>
        <v>0.48378840092202419</v>
      </c>
    </row>
    <row r="2119" spans="1:20" ht="12.75" customHeight="1">
      <c r="A2119" t="s">
        <v>72</v>
      </c>
      <c r="B2119" t="s">
        <v>4109</v>
      </c>
      <c r="C2119">
        <v>2100</v>
      </c>
      <c r="D2119" s="802"/>
      <c r="E2119" s="802"/>
      <c r="F2119" s="2">
        <f>(1/S2119)*cnst_fish!$C$6</f>
        <v>0.27484690295134895</v>
      </c>
      <c r="G2119" s="2">
        <f t="shared" si="303"/>
        <v>1</v>
      </c>
      <c r="H2119" s="2">
        <f t="shared" si="303"/>
        <v>0.36449057933102513</v>
      </c>
      <c r="I2119" s="2">
        <f t="shared" ref="I2119:I2182" si="304">IF($F2119=0,0,D2119/$F2119*$H2119*$G2119)</f>
        <v>0</v>
      </c>
      <c r="J2119" s="389">
        <f t="shared" ref="J2119:J2182" si="305">IF($F2119=0,0,E2119/$F2119*$H2119*$G2119)</f>
        <v>0</v>
      </c>
      <c r="L2119" s="803">
        <v>8</v>
      </c>
      <c r="M2119" s="802"/>
      <c r="N2119" s="804" t="s">
        <v>1738</v>
      </c>
      <c r="O2119" s="805" t="s">
        <v>4699</v>
      </c>
      <c r="P2119" s="233">
        <f t="shared" ref="P2119:P2182" si="306">D2119+E2119</f>
        <v>0</v>
      </c>
      <c r="Q2119" s="233">
        <f t="shared" ref="Q2119:Q2182" si="307">L2119+M2119</f>
        <v>8</v>
      </c>
      <c r="R2119" s="2">
        <f t="shared" ref="R2119:R2182" si="308">VLOOKUP(B2119,constant_fish_trophic,3,FALSE)</f>
        <v>3.04</v>
      </c>
      <c r="S2119" s="2">
        <f>(1/9)*cnst_fish!$C$7*(1/cnst_fish!$C$8)^(R2119-1)</f>
        <v>15.463154048173134</v>
      </c>
      <c r="T2119" s="682">
        <f t="shared" ref="T2119:T2182" si="309">IF(F2119=0,0,Q2119/F2119*H2119*G2119)</f>
        <v>10.609268663159552</v>
      </c>
    </row>
    <row r="2120" spans="1:20" ht="12.75" customHeight="1">
      <c r="A2120" t="s">
        <v>1229</v>
      </c>
      <c r="B2120" t="s">
        <v>4110</v>
      </c>
      <c r="C2120">
        <v>2911</v>
      </c>
      <c r="D2120" s="802"/>
      <c r="E2120" s="802"/>
      <c r="F2120" s="2">
        <f>(1/S2120)*cnst_fish!$C$6</f>
        <v>0.11997502458044032</v>
      </c>
      <c r="G2120" s="2">
        <f t="shared" si="303"/>
        <v>1</v>
      </c>
      <c r="H2120" s="2">
        <f t="shared" si="303"/>
        <v>0.36449057933102513</v>
      </c>
      <c r="I2120" s="2">
        <f t="shared" si="304"/>
        <v>0</v>
      </c>
      <c r="J2120" s="389">
        <f t="shared" si="305"/>
        <v>0</v>
      </c>
      <c r="L2120" s="803">
        <v>9047</v>
      </c>
      <c r="M2120" s="802"/>
      <c r="N2120" s="804" t="s">
        <v>1738</v>
      </c>
      <c r="O2120" s="805" t="s">
        <v>4699</v>
      </c>
      <c r="P2120" s="233">
        <f t="shared" si="306"/>
        <v>0</v>
      </c>
      <c r="Q2120" s="233">
        <f t="shared" si="307"/>
        <v>9047</v>
      </c>
      <c r="R2120" s="2">
        <f t="shared" si="308"/>
        <v>3.4</v>
      </c>
      <c r="S2120" s="2">
        <f>(1/9)*cnst_fish!$C$7*(1/cnst_fish!$C$8)^(R2120-1)</f>
        <v>35.424039418724846</v>
      </c>
      <c r="T2120" s="682">
        <f t="shared" si="309"/>
        <v>27485.272728549102</v>
      </c>
    </row>
    <row r="2121" spans="1:20" ht="12.75" customHeight="1">
      <c r="A2121" t="s">
        <v>3797</v>
      </c>
      <c r="B2121" t="s">
        <v>4111</v>
      </c>
      <c r="C2121">
        <v>2102</v>
      </c>
      <c r="D2121" s="802"/>
      <c r="E2121" s="802"/>
      <c r="F2121" s="2">
        <f>(1/S2121)*cnst_fish!$C$6</f>
        <v>0.30136363636363639</v>
      </c>
      <c r="G2121" s="2">
        <f t="shared" si="303"/>
        <v>1</v>
      </c>
      <c r="H2121" s="2">
        <f t="shared" si="303"/>
        <v>0.36449057933102513</v>
      </c>
      <c r="I2121" s="2">
        <f t="shared" si="304"/>
        <v>0</v>
      </c>
      <c r="J2121" s="389">
        <f t="shared" si="305"/>
        <v>0</v>
      </c>
      <c r="L2121" s="803">
        <v>539507.14</v>
      </c>
      <c r="M2121" s="802"/>
      <c r="N2121" s="804" t="s">
        <v>1738</v>
      </c>
      <c r="O2121" s="805" t="s">
        <v>4699</v>
      </c>
      <c r="P2121" s="233">
        <f t="shared" si="306"/>
        <v>0</v>
      </c>
      <c r="Q2121" s="233">
        <f t="shared" si="307"/>
        <v>539507.14</v>
      </c>
      <c r="R2121" s="2">
        <f t="shared" si="308"/>
        <v>3</v>
      </c>
      <c r="S2121" s="2">
        <f>(1/9)*cnst_fish!$C$7*(1/cnst_fish!$C$8)^(R2121-1)</f>
        <v>14.1025641025641</v>
      </c>
      <c r="T2121" s="682">
        <f t="shared" si="309"/>
        <v>652518.24136653671</v>
      </c>
    </row>
    <row r="2122" spans="1:20" ht="12.75" customHeight="1">
      <c r="A2122" t="s">
        <v>4045</v>
      </c>
      <c r="B2122" t="s">
        <v>4380</v>
      </c>
      <c r="C2122">
        <v>2831</v>
      </c>
      <c r="D2122" s="802"/>
      <c r="E2122" s="802"/>
      <c r="F2122" s="2">
        <f>(1/S2122)*cnst_fish!$C$6</f>
        <v>1.5103960722494611E-2</v>
      </c>
      <c r="G2122" s="2">
        <f t="shared" si="303"/>
        <v>1</v>
      </c>
      <c r="H2122" s="2">
        <f t="shared" si="303"/>
        <v>0.36449057933102513</v>
      </c>
      <c r="I2122" s="2">
        <f t="shared" si="304"/>
        <v>0</v>
      </c>
      <c r="J2122" s="389">
        <f t="shared" si="305"/>
        <v>0</v>
      </c>
      <c r="L2122" s="803">
        <v>8314</v>
      </c>
      <c r="M2122" s="802"/>
      <c r="N2122" s="804" t="s">
        <v>3785</v>
      </c>
      <c r="O2122" s="805" t="s">
        <v>4681</v>
      </c>
      <c r="P2122" s="233">
        <f t="shared" si="306"/>
        <v>0</v>
      </c>
      <c r="Q2122" s="233">
        <f t="shared" si="307"/>
        <v>8314</v>
      </c>
      <c r="R2122" s="2">
        <f t="shared" si="308"/>
        <v>4.3</v>
      </c>
      <c r="S2122" s="2">
        <f>(1/9)*cnst_fish!$C$7*(1/cnst_fish!$C$8)^(R2122-1)</f>
        <v>281.38314698279078</v>
      </c>
      <c r="T2122" s="682">
        <f t="shared" si="309"/>
        <v>200634.43835926754</v>
      </c>
    </row>
    <row r="2123" spans="1:20" ht="12.75" customHeight="1">
      <c r="A2123" t="s">
        <v>4627</v>
      </c>
      <c r="B2123" t="s">
        <v>5281</v>
      </c>
      <c r="C2123">
        <v>2832</v>
      </c>
      <c r="D2123" s="802"/>
      <c r="E2123" s="802"/>
      <c r="F2123" s="2">
        <f>(1/S2123)*cnst_fish!$C$6</f>
        <v>2.0849269714511572E-2</v>
      </c>
      <c r="G2123" s="2">
        <f t="shared" si="303"/>
        <v>1</v>
      </c>
      <c r="H2123" s="2">
        <f t="shared" si="303"/>
        <v>0.36449057933102513</v>
      </c>
      <c r="I2123" s="2">
        <f t="shared" si="304"/>
        <v>0</v>
      </c>
      <c r="J2123" s="389">
        <f t="shared" si="305"/>
        <v>0</v>
      </c>
      <c r="L2123" s="803">
        <v>62</v>
      </c>
      <c r="M2123" s="802"/>
      <c r="N2123" s="804" t="s">
        <v>3785</v>
      </c>
      <c r="O2123" s="805" t="s">
        <v>4681</v>
      </c>
      <c r="P2123" s="233">
        <f t="shared" si="306"/>
        <v>0</v>
      </c>
      <c r="Q2123" s="233">
        <f t="shared" si="307"/>
        <v>62</v>
      </c>
      <c r="R2123" s="2">
        <f t="shared" si="308"/>
        <v>4.16</v>
      </c>
      <c r="S2123" s="2">
        <f>(1/9)*cnst_fish!$C$7*(1/cnst_fish!$C$8)^(R2123-1)</f>
        <v>203.84407023340017</v>
      </c>
      <c r="T2123" s="682">
        <f t="shared" si="309"/>
        <v>1083.8948427433188</v>
      </c>
    </row>
    <row r="2124" spans="1:20" ht="12.75" customHeight="1">
      <c r="A2124" t="s">
        <v>2596</v>
      </c>
      <c r="B2124" t="s">
        <v>5282</v>
      </c>
      <c r="C2124">
        <v>2830</v>
      </c>
      <c r="D2124" s="802"/>
      <c r="E2124" s="802"/>
      <c r="F2124" s="2">
        <f>(1/S2124)*cnst_fish!$C$6</f>
        <v>2.0849269714511572E-2</v>
      </c>
      <c r="G2124" s="2">
        <f t="shared" si="303"/>
        <v>1</v>
      </c>
      <c r="H2124" s="2">
        <f t="shared" si="303"/>
        <v>0.36449057933102513</v>
      </c>
      <c r="I2124" s="2">
        <f t="shared" si="304"/>
        <v>0</v>
      </c>
      <c r="J2124" s="389">
        <f t="shared" si="305"/>
        <v>0</v>
      </c>
      <c r="L2124" s="803"/>
      <c r="M2124" s="802"/>
      <c r="N2124" s="804" t="s">
        <v>3785</v>
      </c>
      <c r="O2124" s="805" t="s">
        <v>4681</v>
      </c>
      <c r="P2124" s="233">
        <f t="shared" si="306"/>
        <v>0</v>
      </c>
      <c r="Q2124" s="233">
        <f t="shared" si="307"/>
        <v>0</v>
      </c>
      <c r="R2124" s="2">
        <f t="shared" si="308"/>
        <v>4.16</v>
      </c>
      <c r="S2124" s="2">
        <f>(1/9)*cnst_fish!$C$7*(1/cnst_fish!$C$8)^(R2124-1)</f>
        <v>203.84407023340017</v>
      </c>
      <c r="T2124" s="682">
        <f t="shared" si="309"/>
        <v>0</v>
      </c>
    </row>
    <row r="2125" spans="1:20" ht="12.75" customHeight="1">
      <c r="A2125" t="s">
        <v>195</v>
      </c>
      <c r="B2125" t="s">
        <v>5283</v>
      </c>
      <c r="C2125">
        <v>2834</v>
      </c>
      <c r="D2125" s="802">
        <v>252</v>
      </c>
      <c r="E2125" s="802"/>
      <c r="F2125" s="2">
        <f>(1/S2125)*cnst_fish!$C$6</f>
        <v>1.5103960722494611E-2</v>
      </c>
      <c r="G2125" s="2">
        <f t="shared" si="303"/>
        <v>1</v>
      </c>
      <c r="H2125" s="2">
        <f t="shared" si="303"/>
        <v>0.36449057933102513</v>
      </c>
      <c r="I2125" s="2">
        <f t="shared" si="304"/>
        <v>6081.2940181062568</v>
      </c>
      <c r="J2125" s="389">
        <f t="shared" si="305"/>
        <v>0</v>
      </c>
      <c r="L2125" s="803">
        <v>13714</v>
      </c>
      <c r="M2125" s="802"/>
      <c r="N2125" s="804" t="s">
        <v>3785</v>
      </c>
      <c r="O2125" s="805" t="s">
        <v>4681</v>
      </c>
      <c r="P2125" s="233">
        <f t="shared" si="306"/>
        <v>252</v>
      </c>
      <c r="Q2125" s="233">
        <f t="shared" si="307"/>
        <v>13714</v>
      </c>
      <c r="R2125" s="2">
        <f t="shared" si="308"/>
        <v>4.3</v>
      </c>
      <c r="S2125" s="2">
        <f>(1/9)*cnst_fish!$C$7*(1/cnst_fish!$C$8)^(R2125-1)</f>
        <v>281.38314698279078</v>
      </c>
      <c r="T2125" s="682">
        <f t="shared" si="309"/>
        <v>330947.88160440163</v>
      </c>
    </row>
    <row r="2126" spans="1:20" ht="12.75" customHeight="1">
      <c r="A2126" t="s">
        <v>2258</v>
      </c>
      <c r="B2126" t="s">
        <v>6737</v>
      </c>
      <c r="C2126">
        <v>15408</v>
      </c>
      <c r="D2126" s="802"/>
      <c r="E2126" s="802"/>
      <c r="F2126" s="2">
        <f>(1/S2126)*cnst_fish!$C$6</f>
        <v>3.2291695426024204E-2</v>
      </c>
      <c r="G2126" s="2">
        <f t="shared" si="303"/>
        <v>1</v>
      </c>
      <c r="H2126" s="2">
        <f t="shared" si="303"/>
        <v>0.36449057933102513</v>
      </c>
      <c r="I2126" s="2">
        <f t="shared" si="304"/>
        <v>0</v>
      </c>
      <c r="J2126" s="389">
        <f t="shared" si="305"/>
        <v>0</v>
      </c>
      <c r="L2126" s="803">
        <v>165</v>
      </c>
      <c r="M2126" s="802"/>
      <c r="N2126" s="804" t="s">
        <v>3785</v>
      </c>
      <c r="O2126" s="805" t="s">
        <v>4681</v>
      </c>
      <c r="P2126" s="233">
        <f t="shared" si="306"/>
        <v>0</v>
      </c>
      <c r="Q2126" s="233">
        <f t="shared" si="307"/>
        <v>165</v>
      </c>
      <c r="R2126" s="2">
        <f t="shared" si="308"/>
        <v>3.97</v>
      </c>
      <c r="S2126" s="2">
        <f>(1/9)*cnst_fish!$C$7*(1/cnst_fish!$C$8)^(R2126-1)</f>
        <v>131.61278600983218</v>
      </c>
      <c r="T2126" s="682">
        <f t="shared" si="309"/>
        <v>1862.4276240742363</v>
      </c>
    </row>
    <row r="2127" spans="1:20" ht="12.75" customHeight="1">
      <c r="A2127" t="s">
        <v>6356</v>
      </c>
      <c r="B2127" t="s">
        <v>6355</v>
      </c>
      <c r="C2127">
        <v>2034</v>
      </c>
      <c r="D2127" s="802"/>
      <c r="E2127" s="802"/>
      <c r="F2127" s="2">
        <f>(1/S2127)*cnst_fish!$C$6</f>
        <v>1.5103960722494611E-2</v>
      </c>
      <c r="G2127" s="2">
        <f t="shared" si="303"/>
        <v>1</v>
      </c>
      <c r="H2127" s="2">
        <f t="shared" si="303"/>
        <v>0.36449057933102513</v>
      </c>
      <c r="I2127" s="2">
        <f t="shared" si="304"/>
        <v>0</v>
      </c>
      <c r="J2127" s="389">
        <f t="shared" si="305"/>
        <v>0</v>
      </c>
      <c r="L2127" s="803"/>
      <c r="M2127" s="802"/>
      <c r="N2127" s="804" t="s">
        <v>3785</v>
      </c>
      <c r="O2127" s="805" t="s">
        <v>4681</v>
      </c>
      <c r="P2127" s="233">
        <f t="shared" si="306"/>
        <v>0</v>
      </c>
      <c r="Q2127" s="233">
        <f t="shared" si="307"/>
        <v>0</v>
      </c>
      <c r="R2127" s="2">
        <f t="shared" si="308"/>
        <v>4.3</v>
      </c>
      <c r="S2127" s="2">
        <f>(1/9)*cnst_fish!$C$7*(1/cnst_fish!$C$8)^(R2127-1)</f>
        <v>281.38314698279078</v>
      </c>
      <c r="T2127" s="682">
        <f t="shared" si="309"/>
        <v>0</v>
      </c>
    </row>
    <row r="2128" spans="1:20" ht="12.75" customHeight="1">
      <c r="A2128" t="s">
        <v>1378</v>
      </c>
      <c r="B2128" t="s">
        <v>5284</v>
      </c>
      <c r="C2128">
        <v>15416</v>
      </c>
      <c r="D2128" s="802"/>
      <c r="E2128" s="802"/>
      <c r="F2128" s="2">
        <f>(1/S2128)*cnst_fish!$C$6</f>
        <v>2.3393265378400998E-2</v>
      </c>
      <c r="G2128" s="2">
        <f t="shared" ref="G2128:H2147" si="310">G$7</f>
        <v>1</v>
      </c>
      <c r="H2128" s="2">
        <f t="shared" si="310"/>
        <v>0.36449057933102513</v>
      </c>
      <c r="I2128" s="2">
        <f t="shared" si="304"/>
        <v>0</v>
      </c>
      <c r="J2128" s="389">
        <f t="shared" si="305"/>
        <v>0</v>
      </c>
      <c r="L2128" s="803">
        <v>2002</v>
      </c>
      <c r="M2128" s="802"/>
      <c r="N2128" s="804" t="s">
        <v>3785</v>
      </c>
      <c r="O2128" s="805" t="s">
        <v>4681</v>
      </c>
      <c r="P2128" s="233">
        <f t="shared" si="306"/>
        <v>0</v>
      </c>
      <c r="Q2128" s="233">
        <f t="shared" si="307"/>
        <v>2002</v>
      </c>
      <c r="R2128" s="2">
        <f t="shared" si="308"/>
        <v>4.1100000000000003</v>
      </c>
      <c r="S2128" s="2">
        <f>(1/9)*cnst_fish!$C$7*(1/cnst_fish!$C$8)^(R2128-1)</f>
        <v>181.67621882851913</v>
      </c>
      <c r="T2128" s="682">
        <f t="shared" si="309"/>
        <v>31193.171539636944</v>
      </c>
    </row>
    <row r="2129" spans="1:20" ht="12.75" customHeight="1">
      <c r="A2129" t="s">
        <v>1958</v>
      </c>
      <c r="B2129" t="s">
        <v>1959</v>
      </c>
      <c r="C2129">
        <v>15418</v>
      </c>
      <c r="D2129" s="802"/>
      <c r="E2129" s="802"/>
      <c r="F2129" s="2">
        <f>(1/S2129)*cnst_fish!$C$6</f>
        <v>2.1831865524078106E-2</v>
      </c>
      <c r="G2129" s="2">
        <f t="shared" si="310"/>
        <v>1</v>
      </c>
      <c r="H2129" s="2">
        <f t="shared" si="310"/>
        <v>0.36449057933102513</v>
      </c>
      <c r="I2129" s="2">
        <f t="shared" si="304"/>
        <v>0</v>
      </c>
      <c r="J2129" s="389">
        <f t="shared" si="305"/>
        <v>0</v>
      </c>
      <c r="L2129" s="803">
        <v>1053</v>
      </c>
      <c r="M2129" s="802"/>
      <c r="N2129" s="804" t="s">
        <v>3785</v>
      </c>
      <c r="O2129" s="805" t="s">
        <v>4681</v>
      </c>
      <c r="P2129" s="233">
        <f t="shared" si="306"/>
        <v>0</v>
      </c>
      <c r="Q2129" s="233">
        <f t="shared" si="307"/>
        <v>1053</v>
      </c>
      <c r="R2129" s="2">
        <f t="shared" si="308"/>
        <v>4.1399999999999997</v>
      </c>
      <c r="S2129" s="2">
        <f>(1/9)*cnst_fish!$C$7*(1/cnst_fish!$C$8)^(R2129-1)</f>
        <v>194.66957577732992</v>
      </c>
      <c r="T2129" s="682">
        <f t="shared" si="309"/>
        <v>17580.200812993808</v>
      </c>
    </row>
    <row r="2130" spans="1:20" ht="12.75" customHeight="1">
      <c r="A2130" t="s">
        <v>3691</v>
      </c>
      <c r="B2130" t="s">
        <v>5285</v>
      </c>
      <c r="C2130">
        <v>2046</v>
      </c>
      <c r="D2130" s="802"/>
      <c r="E2130" s="802"/>
      <c r="F2130" s="2">
        <f>(1/S2130)*cnst_fish!$C$6</f>
        <v>2.6859062362848789E-2</v>
      </c>
      <c r="G2130" s="2">
        <f t="shared" si="310"/>
        <v>1</v>
      </c>
      <c r="H2130" s="2">
        <f t="shared" si="310"/>
        <v>0.36449057933102513</v>
      </c>
      <c r="I2130" s="2">
        <f t="shared" si="304"/>
        <v>0</v>
      </c>
      <c r="J2130" s="389">
        <f t="shared" si="305"/>
        <v>0</v>
      </c>
      <c r="L2130" s="803">
        <v>5951</v>
      </c>
      <c r="M2130" s="802"/>
      <c r="N2130" s="804" t="s">
        <v>3785</v>
      </c>
      <c r="O2130" s="805" t="s">
        <v>4681</v>
      </c>
      <c r="P2130" s="233">
        <f t="shared" si="306"/>
        <v>0</v>
      </c>
      <c r="Q2130" s="233">
        <f t="shared" si="307"/>
        <v>5951</v>
      </c>
      <c r="R2130" s="2">
        <f t="shared" si="308"/>
        <v>4.05</v>
      </c>
      <c r="S2130" s="2">
        <f>(1/9)*cnst_fish!$C$7*(1/cnst_fish!$C$8)^(R2130-1)</f>
        <v>158.23337176053329</v>
      </c>
      <c r="T2130" s="682">
        <f t="shared" si="309"/>
        <v>80757.973167342847</v>
      </c>
    </row>
    <row r="2131" spans="1:20" ht="12.75" customHeight="1">
      <c r="A2131" t="s">
        <v>939</v>
      </c>
      <c r="B2131" t="s">
        <v>5286</v>
      </c>
      <c r="C2131">
        <v>2842</v>
      </c>
      <c r="D2131" s="802"/>
      <c r="E2131" s="802"/>
      <c r="F2131" s="2">
        <f>(1/S2131)*cnst_fish!$C$6</f>
        <v>2.6859062362848789E-2</v>
      </c>
      <c r="G2131" s="2">
        <f t="shared" si="310"/>
        <v>1</v>
      </c>
      <c r="H2131" s="2">
        <f t="shared" si="310"/>
        <v>0.36449057933102513</v>
      </c>
      <c r="I2131" s="2">
        <f t="shared" si="304"/>
        <v>0</v>
      </c>
      <c r="J2131" s="389">
        <f t="shared" si="305"/>
        <v>0</v>
      </c>
      <c r="L2131" s="803">
        <v>339</v>
      </c>
      <c r="M2131" s="802"/>
      <c r="N2131" s="804" t="s">
        <v>3785</v>
      </c>
      <c r="O2131" s="805" t="s">
        <v>4681</v>
      </c>
      <c r="P2131" s="233">
        <f t="shared" si="306"/>
        <v>0</v>
      </c>
      <c r="Q2131" s="233">
        <f t="shared" si="307"/>
        <v>339</v>
      </c>
      <c r="R2131" s="2">
        <f t="shared" si="308"/>
        <v>4.05</v>
      </c>
      <c r="S2131" s="2">
        <f>(1/9)*cnst_fish!$C$7*(1/cnst_fish!$C$8)^(R2131-1)</f>
        <v>158.23337176053329</v>
      </c>
      <c r="T2131" s="682">
        <f t="shared" si="309"/>
        <v>4600.3953795545667</v>
      </c>
    </row>
    <row r="2132" spans="1:20" ht="12.75" customHeight="1">
      <c r="A2132" t="s">
        <v>1123</v>
      </c>
      <c r="B2132" t="s">
        <v>556</v>
      </c>
      <c r="C2132">
        <v>3392</v>
      </c>
      <c r="D2132" s="802"/>
      <c r="E2132" s="802"/>
      <c r="F2132" s="2">
        <f>(1/S2132)*cnst_fish!$C$6</f>
        <v>0.75699122913220485</v>
      </c>
      <c r="G2132" s="2">
        <f t="shared" si="310"/>
        <v>1</v>
      </c>
      <c r="H2132" s="2">
        <f t="shared" si="310"/>
        <v>0.36449057933102513</v>
      </c>
      <c r="I2132" s="2">
        <f t="shared" si="304"/>
        <v>0</v>
      </c>
      <c r="J2132" s="389">
        <f t="shared" si="305"/>
        <v>0</v>
      </c>
      <c r="L2132" s="803">
        <v>6334</v>
      </c>
      <c r="M2132" s="802"/>
      <c r="N2132" s="804" t="s">
        <v>2322</v>
      </c>
      <c r="O2132" s="805" t="s">
        <v>4680</v>
      </c>
      <c r="P2132" s="233">
        <f t="shared" si="306"/>
        <v>0</v>
      </c>
      <c r="Q2132" s="233">
        <f t="shared" si="307"/>
        <v>6334</v>
      </c>
      <c r="R2132" s="2">
        <f t="shared" si="308"/>
        <v>2.6</v>
      </c>
      <c r="S2132" s="2">
        <f>(1/9)*cnst_fish!$C$7*(1/cnst_fish!$C$8)^(R2132-1)</f>
        <v>5.6143318924211183</v>
      </c>
      <c r="T2132" s="682">
        <f t="shared" si="309"/>
        <v>3049.8151638154754</v>
      </c>
    </row>
    <row r="2133" spans="1:20" ht="12.75" customHeight="1">
      <c r="A2133" t="s">
        <v>5406</v>
      </c>
      <c r="B2133" t="s">
        <v>557</v>
      </c>
      <c r="C2133">
        <v>3391</v>
      </c>
      <c r="D2133" s="802"/>
      <c r="E2133" s="802"/>
      <c r="F2133" s="2">
        <f>(1/S2133)*cnst_fish!$C$6</f>
        <v>1.5103960722494616</v>
      </c>
      <c r="G2133" s="2">
        <f t="shared" si="310"/>
        <v>1</v>
      </c>
      <c r="H2133" s="2">
        <f t="shared" si="310"/>
        <v>0.36449057933102513</v>
      </c>
      <c r="I2133" s="2">
        <f t="shared" si="304"/>
        <v>0</v>
      </c>
      <c r="J2133" s="389">
        <f t="shared" si="305"/>
        <v>0</v>
      </c>
      <c r="L2133" s="803">
        <v>222071</v>
      </c>
      <c r="M2133" s="802"/>
      <c r="N2133" s="804" t="s">
        <v>2322</v>
      </c>
      <c r="O2133" s="805" t="s">
        <v>4680</v>
      </c>
      <c r="P2133" s="233">
        <f t="shared" si="306"/>
        <v>0</v>
      </c>
      <c r="Q2133" s="233">
        <f t="shared" si="307"/>
        <v>222071</v>
      </c>
      <c r="R2133" s="2">
        <f t="shared" si="308"/>
        <v>2.2999999999999998</v>
      </c>
      <c r="S2133" s="2">
        <f>(1/9)*cnst_fish!$C$7*(1/cnst_fish!$C$8)^(R2133-1)</f>
        <v>2.8138314698279068</v>
      </c>
      <c r="T2133" s="682">
        <f t="shared" si="309"/>
        <v>53590.438249796593</v>
      </c>
    </row>
    <row r="2134" spans="1:20" ht="12.75" customHeight="1">
      <c r="A2134" t="s">
        <v>9054</v>
      </c>
      <c r="B2134" t="s">
        <v>9055</v>
      </c>
      <c r="C2134">
        <v>15447</v>
      </c>
      <c r="D2134" s="802"/>
      <c r="E2134" s="802"/>
      <c r="F2134" s="869">
        <f>(1/S2134)*cnst_fish!$C$6</f>
        <v>0.11997502458044032</v>
      </c>
      <c r="G2134" s="869">
        <f t="shared" si="310"/>
        <v>1</v>
      </c>
      <c r="H2134" s="869">
        <f t="shared" si="310"/>
        <v>0.36449057933102513</v>
      </c>
      <c r="I2134" s="869">
        <f t="shared" si="304"/>
        <v>0</v>
      </c>
      <c r="J2134" s="389">
        <f t="shared" si="305"/>
        <v>0</v>
      </c>
      <c r="L2134" s="803">
        <v>208</v>
      </c>
      <c r="M2134" s="802"/>
      <c r="N2134" s="876" t="s">
        <v>1738</v>
      </c>
      <c r="O2134" s="880" t="s">
        <v>4681</v>
      </c>
      <c r="P2134" s="871">
        <f t="shared" si="306"/>
        <v>0</v>
      </c>
      <c r="Q2134" s="871">
        <f t="shared" si="307"/>
        <v>208</v>
      </c>
      <c r="R2134" s="869">
        <f t="shared" si="308"/>
        <v>3.4</v>
      </c>
      <c r="S2134" s="869">
        <f>(1/9)*cnst_fish!$C$7*(1/cnst_fish!$C$8)^(R2134-1)</f>
        <v>35.424039418724846</v>
      </c>
      <c r="T2134" s="682">
        <f t="shared" si="309"/>
        <v>631.91519039882985</v>
      </c>
    </row>
    <row r="2135" spans="1:20" ht="12.75" customHeight="1">
      <c r="A2135" t="s">
        <v>9108</v>
      </c>
      <c r="B2135" t="s">
        <v>9109</v>
      </c>
      <c r="C2135">
        <v>20474</v>
      </c>
      <c r="D2135" s="802"/>
      <c r="E2135" s="802"/>
      <c r="F2135" s="869">
        <f>(1/S2135)*cnst_fish!$C$6</f>
        <v>0.11997502458044032</v>
      </c>
      <c r="G2135" s="869">
        <f t="shared" si="310"/>
        <v>1</v>
      </c>
      <c r="H2135" s="869">
        <f t="shared" si="310"/>
        <v>0.36449057933102513</v>
      </c>
      <c r="I2135" s="869">
        <f t="shared" si="304"/>
        <v>0</v>
      </c>
      <c r="J2135" s="389">
        <f t="shared" si="305"/>
        <v>0</v>
      </c>
      <c r="L2135" s="803">
        <v>7</v>
      </c>
      <c r="M2135" s="802"/>
      <c r="N2135" s="876" t="s">
        <v>1738</v>
      </c>
      <c r="O2135" s="883" t="s">
        <v>4699</v>
      </c>
      <c r="P2135" s="871">
        <f t="shared" si="306"/>
        <v>0</v>
      </c>
      <c r="Q2135" s="871">
        <f t="shared" si="307"/>
        <v>7</v>
      </c>
      <c r="R2135" s="869">
        <f t="shared" si="308"/>
        <v>3.4</v>
      </c>
      <c r="S2135" s="869">
        <f>(1/9)*cnst_fish!$C$7*(1/cnst_fish!$C$8)^(R2135-1)</f>
        <v>35.424039418724846</v>
      </c>
      <c r="T2135" s="682">
        <f t="shared" si="309"/>
        <v>21.266376599960619</v>
      </c>
    </row>
    <row r="2136" spans="1:20" ht="12.75" customHeight="1">
      <c r="A2136" t="s">
        <v>1090</v>
      </c>
      <c r="B2136" t="s">
        <v>1897</v>
      </c>
      <c r="C2136">
        <v>2399</v>
      </c>
      <c r="D2136" s="802"/>
      <c r="E2136" s="802"/>
      <c r="F2136" s="2">
        <f>(1/S2136)*cnst_fish!$C$6</f>
        <v>3.7939434000887833E-2</v>
      </c>
      <c r="G2136" s="2">
        <f t="shared" si="310"/>
        <v>1</v>
      </c>
      <c r="H2136" s="2">
        <f t="shared" si="310"/>
        <v>0.36449057933102513</v>
      </c>
      <c r="I2136" s="2">
        <f t="shared" si="304"/>
        <v>0</v>
      </c>
      <c r="J2136" s="389">
        <f t="shared" si="305"/>
        <v>0</v>
      </c>
      <c r="L2136" s="803">
        <v>6056</v>
      </c>
      <c r="M2136" s="802"/>
      <c r="N2136" s="804" t="s">
        <v>1738</v>
      </c>
      <c r="O2136" s="805" t="s">
        <v>4681</v>
      </c>
      <c r="P2136" s="233">
        <f t="shared" si="306"/>
        <v>0</v>
      </c>
      <c r="Q2136" s="233">
        <f t="shared" si="307"/>
        <v>6056</v>
      </c>
      <c r="R2136" s="2">
        <f t="shared" si="308"/>
        <v>3.9</v>
      </c>
      <c r="S2136" s="2">
        <f>(1/9)*cnst_fish!$C$7*(1/cnst_fish!$C$8)^(R2136-1)</f>
        <v>112.02064848675771</v>
      </c>
      <c r="T2136" s="682">
        <f t="shared" si="309"/>
        <v>58181.019473749482</v>
      </c>
    </row>
    <row r="2137" spans="1:20" ht="12.75" customHeight="1">
      <c r="A2137" t="s">
        <v>2921</v>
      </c>
      <c r="B2137" t="s">
        <v>2617</v>
      </c>
      <c r="C2137">
        <v>2567</v>
      </c>
      <c r="D2137" s="802"/>
      <c r="E2137" s="802"/>
      <c r="F2137" s="2">
        <f>(1/S2137)*cnst_fish!$C$6</f>
        <v>0.43560298545661363</v>
      </c>
      <c r="G2137" s="2">
        <f t="shared" si="310"/>
        <v>1</v>
      </c>
      <c r="H2137" s="2">
        <f t="shared" si="310"/>
        <v>0.36449057933102513</v>
      </c>
      <c r="I2137" s="2">
        <f t="shared" si="304"/>
        <v>0</v>
      </c>
      <c r="J2137" s="389">
        <f t="shared" si="305"/>
        <v>0</v>
      </c>
      <c r="L2137" s="803">
        <v>2195</v>
      </c>
      <c r="M2137" s="802"/>
      <c r="N2137" s="804" t="s">
        <v>1738</v>
      </c>
      <c r="O2137" s="805" t="s">
        <v>4681</v>
      </c>
      <c r="P2137" s="233">
        <f t="shared" si="306"/>
        <v>0</v>
      </c>
      <c r="Q2137" s="233">
        <f t="shared" si="307"/>
        <v>2195</v>
      </c>
      <c r="R2137" s="2">
        <f t="shared" si="308"/>
        <v>2.84</v>
      </c>
      <c r="S2137" s="2">
        <f>(1/9)*cnst_fish!$C$7*(1/cnst_fish!$C$8)^(R2137-1)</f>
        <v>9.7565906155234625</v>
      </c>
      <c r="T2137" s="682">
        <f t="shared" si="309"/>
        <v>1836.6651477215055</v>
      </c>
    </row>
    <row r="2138" spans="1:20" ht="12.75" customHeight="1">
      <c r="A2138" t="s">
        <v>8911</v>
      </c>
      <c r="B2138" t="s">
        <v>8912</v>
      </c>
      <c r="C2138">
        <v>20038</v>
      </c>
      <c r="D2138" s="802"/>
      <c r="E2138" s="802"/>
      <c r="F2138" s="2">
        <f>(1/S2138)*cnst_fish!$C$6</f>
        <v>0.47762917572805397</v>
      </c>
      <c r="G2138" s="2">
        <f t="shared" si="310"/>
        <v>1</v>
      </c>
      <c r="H2138" s="2">
        <f t="shared" si="310"/>
        <v>0.36449057933102513</v>
      </c>
      <c r="I2138" s="2">
        <f t="shared" si="304"/>
        <v>0</v>
      </c>
      <c r="J2138" s="389">
        <f t="shared" si="305"/>
        <v>0</v>
      </c>
      <c r="L2138" s="803">
        <v>5</v>
      </c>
      <c r="M2138" s="802"/>
      <c r="N2138" s="804" t="s">
        <v>4282</v>
      </c>
      <c r="O2138" s="805" t="s">
        <v>4681</v>
      </c>
      <c r="P2138" s="233">
        <f t="shared" si="306"/>
        <v>0</v>
      </c>
      <c r="Q2138" s="233">
        <f t="shared" si="307"/>
        <v>5</v>
      </c>
      <c r="R2138" s="2">
        <f t="shared" si="308"/>
        <v>2.8</v>
      </c>
      <c r="S2138" s="2">
        <f>(1/9)*cnst_fish!$C$7*(1/cnst_fish!$C$8)^(R2138-1)</f>
        <v>8.8981163965155421</v>
      </c>
      <c r="T2138" s="682">
        <f t="shared" si="309"/>
        <v>3.8156230592009921</v>
      </c>
    </row>
    <row r="2139" spans="1:20" ht="12.75" customHeight="1">
      <c r="A2139" t="s">
        <v>1350</v>
      </c>
      <c r="B2139" t="s">
        <v>2618</v>
      </c>
      <c r="C2139">
        <v>3088</v>
      </c>
      <c r="D2139" s="802"/>
      <c r="E2139" s="802"/>
      <c r="F2139" s="2">
        <f>(1/S2139)*cnst_fish!$C$6</f>
        <v>9.5299549485983424E-3</v>
      </c>
      <c r="G2139" s="2">
        <f t="shared" si="310"/>
        <v>1</v>
      </c>
      <c r="H2139" s="2">
        <f t="shared" si="310"/>
        <v>0.36449057933102513</v>
      </c>
      <c r="I2139" s="2">
        <f t="shared" si="304"/>
        <v>0</v>
      </c>
      <c r="J2139" s="389">
        <f t="shared" si="305"/>
        <v>0</v>
      </c>
      <c r="L2139" s="803">
        <v>2</v>
      </c>
      <c r="M2139" s="802"/>
      <c r="N2139" s="804" t="s">
        <v>2319</v>
      </c>
      <c r="O2139" s="805" t="s">
        <v>4681</v>
      </c>
      <c r="P2139" s="233">
        <f t="shared" si="306"/>
        <v>0</v>
      </c>
      <c r="Q2139" s="233">
        <f t="shared" si="307"/>
        <v>2</v>
      </c>
      <c r="R2139" s="2">
        <f t="shared" si="308"/>
        <v>4.5</v>
      </c>
      <c r="S2139" s="2">
        <f>(1/9)*cnst_fish!$C$7*(1/cnst_fish!$C$8)^(R2139-1)</f>
        <v>445.96223412630997</v>
      </c>
      <c r="T2139" s="682">
        <f t="shared" si="309"/>
        <v>76.493662624215048</v>
      </c>
    </row>
    <row r="2140" spans="1:20" ht="12.75" customHeight="1">
      <c r="A2140" t="s">
        <v>5155</v>
      </c>
      <c r="B2140" t="s">
        <v>836</v>
      </c>
      <c r="C2140">
        <v>3622</v>
      </c>
      <c r="D2140" s="802"/>
      <c r="E2140" s="802"/>
      <c r="F2140" s="2">
        <f>(1/S2140)*cnst_fish!$C$6</f>
        <v>1.5103960722494616</v>
      </c>
      <c r="G2140" s="2">
        <f t="shared" si="310"/>
        <v>1</v>
      </c>
      <c r="H2140" s="2">
        <f t="shared" si="310"/>
        <v>0.36449057933102513</v>
      </c>
      <c r="I2140" s="2">
        <f t="shared" si="304"/>
        <v>0</v>
      </c>
      <c r="J2140" s="389">
        <f t="shared" si="305"/>
        <v>0</v>
      </c>
      <c r="L2140" s="803">
        <v>2172</v>
      </c>
      <c r="M2140" s="802"/>
      <c r="N2140" s="804" t="s">
        <v>1738</v>
      </c>
      <c r="O2140" s="805"/>
      <c r="P2140" s="233">
        <f t="shared" si="306"/>
        <v>0</v>
      </c>
      <c r="Q2140" s="233">
        <f t="shared" si="307"/>
        <v>2172</v>
      </c>
      <c r="R2140" s="2">
        <f t="shared" si="308"/>
        <v>2.2999999999999998</v>
      </c>
      <c r="S2140" s="2">
        <f>(1/9)*cnst_fish!$C$7*(1/cnst_fish!$C$8)^(R2140-1)</f>
        <v>2.8138314698279068</v>
      </c>
      <c r="T2140" s="682">
        <f t="shared" si="309"/>
        <v>524.14962727487239</v>
      </c>
    </row>
    <row r="2141" spans="1:20" ht="12.75" customHeight="1">
      <c r="A2141" t="s">
        <v>9080</v>
      </c>
      <c r="B2141" t="s">
        <v>9081</v>
      </c>
      <c r="C2141">
        <v>18364</v>
      </c>
      <c r="D2141" s="802"/>
      <c r="E2141" s="802"/>
      <c r="F2141" s="869">
        <f>(1/S2141)*cnst_fish!$C$6</f>
        <v>1.5103960722494616</v>
      </c>
      <c r="G2141" s="869">
        <f t="shared" si="310"/>
        <v>1</v>
      </c>
      <c r="H2141" s="869">
        <f t="shared" si="310"/>
        <v>0.36449057933102513</v>
      </c>
      <c r="I2141" s="869">
        <f t="shared" si="304"/>
        <v>0</v>
      </c>
      <c r="J2141" s="389">
        <f t="shared" si="305"/>
        <v>0</v>
      </c>
      <c r="L2141" s="803">
        <v>1</v>
      </c>
      <c r="M2141" s="802"/>
      <c r="N2141" s="876" t="s">
        <v>1736</v>
      </c>
      <c r="O2141" s="883" t="s">
        <v>4691</v>
      </c>
      <c r="P2141" s="871">
        <f t="shared" si="306"/>
        <v>0</v>
      </c>
      <c r="Q2141" s="871">
        <f t="shared" si="307"/>
        <v>1</v>
      </c>
      <c r="R2141" s="869">
        <f t="shared" si="308"/>
        <v>2.2999999999999998</v>
      </c>
      <c r="S2141" s="869">
        <f>(1/9)*cnst_fish!$C$7*(1/cnst_fish!$C$8)^(R2141-1)</f>
        <v>2.8138314698279068</v>
      </c>
      <c r="T2141" s="682">
        <f t="shared" si="309"/>
        <v>0.24132119119469267</v>
      </c>
    </row>
    <row r="2142" spans="1:20" ht="12.75" customHeight="1">
      <c r="A2142" t="s">
        <v>6685</v>
      </c>
      <c r="B2142" t="s">
        <v>4112</v>
      </c>
      <c r="C2142">
        <v>2110</v>
      </c>
      <c r="D2142" s="802"/>
      <c r="E2142" s="802"/>
      <c r="F2142" s="2">
        <f>(1/S2142)*cnst_fish!$C$6</f>
        <v>0.17745606522761614</v>
      </c>
      <c r="G2142" s="2">
        <f t="shared" si="310"/>
        <v>1</v>
      </c>
      <c r="H2142" s="2">
        <f t="shared" si="310"/>
        <v>0.36449057933102513</v>
      </c>
      <c r="I2142" s="2">
        <f t="shared" si="304"/>
        <v>0</v>
      </c>
      <c r="J2142" s="389">
        <f t="shared" si="305"/>
        <v>0</v>
      </c>
      <c r="L2142" s="803">
        <v>348985</v>
      </c>
      <c r="M2142" s="802"/>
      <c r="N2142" s="804" t="s">
        <v>103</v>
      </c>
      <c r="O2142" s="805" t="s">
        <v>4699</v>
      </c>
      <c r="P2142" s="233">
        <f t="shared" si="306"/>
        <v>0</v>
      </c>
      <c r="Q2142" s="233">
        <f t="shared" si="307"/>
        <v>348985</v>
      </c>
      <c r="R2142" s="2">
        <f t="shared" si="308"/>
        <v>3.23</v>
      </c>
      <c r="S2142" s="2">
        <f>(1/9)*cnst_fish!$C$7*(1/cnst_fish!$C$8)^(R2142-1)</f>
        <v>23.94958997061434</v>
      </c>
      <c r="T2142" s="682">
        <f t="shared" si="309"/>
        <v>716806.97227610089</v>
      </c>
    </row>
    <row r="2143" spans="1:20" ht="12.75" customHeight="1">
      <c r="A2143" t="s">
        <v>6452</v>
      </c>
      <c r="B2143" t="s">
        <v>6451</v>
      </c>
      <c r="C2143">
        <v>15484</v>
      </c>
      <c r="D2143" s="802"/>
      <c r="E2143" s="802"/>
      <c r="F2143" s="2">
        <f>(1/S2143)*cnst_fish!$C$6</f>
        <v>0.60129950673834842</v>
      </c>
      <c r="G2143" s="2">
        <f t="shared" si="310"/>
        <v>1</v>
      </c>
      <c r="H2143" s="2">
        <f t="shared" si="310"/>
        <v>0.36449057933102513</v>
      </c>
      <c r="I2143" s="2">
        <f t="shared" si="304"/>
        <v>0</v>
      </c>
      <c r="J2143" s="389">
        <f t="shared" si="305"/>
        <v>0</v>
      </c>
      <c r="L2143" s="803"/>
      <c r="M2143" s="802">
        <v>8330</v>
      </c>
      <c r="N2143" s="804" t="s">
        <v>1738</v>
      </c>
      <c r="O2143" s="805" t="s">
        <v>4685</v>
      </c>
      <c r="P2143" s="233">
        <f t="shared" si="306"/>
        <v>0</v>
      </c>
      <c r="Q2143" s="233">
        <f t="shared" si="307"/>
        <v>8330</v>
      </c>
      <c r="R2143" s="2">
        <f t="shared" si="308"/>
        <v>2.7</v>
      </c>
      <c r="S2143" s="2">
        <f>(1/9)*cnst_fish!$C$7*(1/cnst_fish!$C$8)^(R2143-1)</f>
        <v>7.0680250896153813</v>
      </c>
      <c r="T2143" s="682">
        <f t="shared" si="309"/>
        <v>5049.4079768946576</v>
      </c>
    </row>
    <row r="2144" spans="1:20" ht="12.75" customHeight="1">
      <c r="A2144" t="s">
        <v>2845</v>
      </c>
      <c r="B2144" t="s">
        <v>558</v>
      </c>
      <c r="C2144">
        <v>18708</v>
      </c>
      <c r="D2144" s="802"/>
      <c r="E2144" s="802"/>
      <c r="F2144" s="2">
        <f>(1/S2144)*cnst_fish!$C$6</f>
        <v>1.6489759707671106</v>
      </c>
      <c r="G2144" s="2">
        <f t="shared" si="310"/>
        <v>1</v>
      </c>
      <c r="H2144" s="2">
        <f t="shared" si="310"/>
        <v>0.36449057933102513</v>
      </c>
      <c r="I2144" s="2">
        <f t="shared" si="304"/>
        <v>0</v>
      </c>
      <c r="J2144" s="389">
        <f t="shared" si="305"/>
        <v>0</v>
      </c>
      <c r="L2144" s="803">
        <v>11777</v>
      </c>
      <c r="M2144" s="802"/>
      <c r="N2144" s="804" t="s">
        <v>2322</v>
      </c>
      <c r="O2144" s="805" t="s">
        <v>4680</v>
      </c>
      <c r="P2144" s="233">
        <f t="shared" si="306"/>
        <v>0</v>
      </c>
      <c r="Q2144" s="233">
        <f t="shared" si="307"/>
        <v>11777</v>
      </c>
      <c r="R2144" s="2">
        <f t="shared" si="308"/>
        <v>2.2618765205246363</v>
      </c>
      <c r="S2144" s="2">
        <f>(1/9)*cnst_fish!$C$7*(1/cnst_fish!$C$8)^(R2144-1)</f>
        <v>2.5773571448848234</v>
      </c>
      <c r="T2144" s="682">
        <f t="shared" si="309"/>
        <v>2603.1947274432055</v>
      </c>
    </row>
    <row r="2145" spans="1:20" ht="12.75" customHeight="1">
      <c r="A2145" t="s">
        <v>6308</v>
      </c>
      <c r="B2145" t="s">
        <v>6307</v>
      </c>
      <c r="C2145">
        <v>18293</v>
      </c>
      <c r="D2145" s="802"/>
      <c r="E2145" s="802"/>
      <c r="F2145" s="2">
        <f>(1/S2145)*cnst_fish!$C$6</f>
        <v>3.0136363636363641</v>
      </c>
      <c r="G2145" s="2">
        <f t="shared" si="310"/>
        <v>1</v>
      </c>
      <c r="H2145" s="2">
        <f t="shared" si="310"/>
        <v>0.36449057933102513</v>
      </c>
      <c r="I2145" s="2">
        <f t="shared" si="304"/>
        <v>0</v>
      </c>
      <c r="J2145" s="389">
        <f t="shared" si="305"/>
        <v>0</v>
      </c>
      <c r="L2145" s="803">
        <v>29465</v>
      </c>
      <c r="M2145" s="802"/>
      <c r="N2145" s="804" t="s">
        <v>1738</v>
      </c>
      <c r="O2145" s="805"/>
      <c r="P2145" s="233">
        <f t="shared" si="306"/>
        <v>0</v>
      </c>
      <c r="Q2145" s="233">
        <f t="shared" si="307"/>
        <v>29465</v>
      </c>
      <c r="R2145" s="2">
        <f t="shared" si="308"/>
        <v>2</v>
      </c>
      <c r="S2145" s="2">
        <f>(1/9)*cnst_fish!$C$7*(1/cnst_fish!$C$8)^(R2145-1)</f>
        <v>1.4102564102564099</v>
      </c>
      <c r="T2145" s="682">
        <f t="shared" si="309"/>
        <v>3563.7063082918608</v>
      </c>
    </row>
    <row r="2146" spans="1:20" ht="12.75" customHeight="1">
      <c r="A2146" t="s">
        <v>4318</v>
      </c>
      <c r="B2146" t="s">
        <v>4113</v>
      </c>
      <c r="C2146">
        <v>2913</v>
      </c>
      <c r="D2146" s="802"/>
      <c r="E2146" s="802"/>
      <c r="F2146" s="2">
        <f>(1/S2146)*cnst_fish!$C$6</f>
        <v>0.61530557150722631</v>
      </c>
      <c r="G2146" s="2">
        <f t="shared" si="310"/>
        <v>1</v>
      </c>
      <c r="H2146" s="2">
        <f t="shared" si="310"/>
        <v>0.36449057933102513</v>
      </c>
      <c r="I2146" s="2">
        <f t="shared" si="304"/>
        <v>0</v>
      </c>
      <c r="J2146" s="389">
        <f t="shared" si="305"/>
        <v>0</v>
      </c>
      <c r="L2146" s="803">
        <v>345422</v>
      </c>
      <c r="M2146" s="802"/>
      <c r="N2146" s="804" t="s">
        <v>1738</v>
      </c>
      <c r="O2146" s="805" t="s">
        <v>4699</v>
      </c>
      <c r="P2146" s="233">
        <f t="shared" si="306"/>
        <v>0</v>
      </c>
      <c r="Q2146" s="233">
        <f t="shared" si="307"/>
        <v>345422</v>
      </c>
      <c r="R2146" s="2">
        <f t="shared" si="308"/>
        <v>2.69</v>
      </c>
      <c r="S2146" s="2">
        <f>(1/9)*cnst_fish!$C$7*(1/cnst_fish!$C$8)^(R2146-1)</f>
        <v>6.9071371962216777</v>
      </c>
      <c r="T2146" s="682">
        <f t="shared" si="309"/>
        <v>204618.76297540191</v>
      </c>
    </row>
    <row r="2147" spans="1:20" ht="12.75" customHeight="1">
      <c r="A2147" t="s">
        <v>3316</v>
      </c>
      <c r="B2147" t="s">
        <v>573</v>
      </c>
      <c r="C2147">
        <v>3309</v>
      </c>
      <c r="D2147" s="802"/>
      <c r="E2147" s="802"/>
      <c r="F2147" s="2">
        <f>(1/S2147)*cnst_fish!$C$6</f>
        <v>5.6116535073067304E-2</v>
      </c>
      <c r="G2147" s="2">
        <f t="shared" si="310"/>
        <v>1</v>
      </c>
      <c r="H2147" s="2">
        <f t="shared" si="310"/>
        <v>0.36449057933102513</v>
      </c>
      <c r="I2147" s="2">
        <f t="shared" si="304"/>
        <v>0</v>
      </c>
      <c r="J2147" s="389">
        <f t="shared" si="305"/>
        <v>0</v>
      </c>
      <c r="L2147" s="803">
        <v>69863</v>
      </c>
      <c r="M2147" s="802"/>
      <c r="N2147" s="804" t="s">
        <v>1738</v>
      </c>
      <c r="O2147" s="805" t="s">
        <v>4699</v>
      </c>
      <c r="P2147" s="233">
        <f t="shared" si="306"/>
        <v>0</v>
      </c>
      <c r="Q2147" s="233">
        <f t="shared" si="307"/>
        <v>69863</v>
      </c>
      <c r="R2147" s="2">
        <f t="shared" si="308"/>
        <v>3.73</v>
      </c>
      <c r="S2147" s="2">
        <f>(1/9)*cnst_fish!$C$7*(1/cnst_fish!$C$8)^(R2147-1)</f>
        <v>75.735253334266432</v>
      </c>
      <c r="T2147" s="682">
        <f t="shared" si="309"/>
        <v>453777.2211104469</v>
      </c>
    </row>
    <row r="2148" spans="1:20" ht="12.75" customHeight="1">
      <c r="A2148" t="s">
        <v>1658</v>
      </c>
      <c r="B2148" t="s">
        <v>1659</v>
      </c>
      <c r="C2148">
        <v>15490</v>
      </c>
      <c r="D2148" s="802"/>
      <c r="E2148" s="802"/>
      <c r="F2148" s="2">
        <f>(1/S2148)*cnst_fish!$C$6</f>
        <v>0.11997502458044032</v>
      </c>
      <c r="G2148" s="2">
        <f t="shared" ref="G2148:H2167" si="311">G$7</f>
        <v>1</v>
      </c>
      <c r="H2148" s="2">
        <f t="shared" si="311"/>
        <v>0.36449057933102513</v>
      </c>
      <c r="I2148" s="2">
        <f t="shared" si="304"/>
        <v>0</v>
      </c>
      <c r="J2148" s="389">
        <f t="shared" si="305"/>
        <v>0</v>
      </c>
      <c r="L2148" s="803">
        <v>409</v>
      </c>
      <c r="M2148" s="802"/>
      <c r="N2148" s="804" t="s">
        <v>1738</v>
      </c>
      <c r="O2148" s="805" t="s">
        <v>4699</v>
      </c>
      <c r="P2148" s="233">
        <f t="shared" si="306"/>
        <v>0</v>
      </c>
      <c r="Q2148" s="233">
        <f t="shared" si="307"/>
        <v>409</v>
      </c>
      <c r="R2148" s="2">
        <f t="shared" si="308"/>
        <v>3.4</v>
      </c>
      <c r="S2148" s="2">
        <f>(1/9)*cnst_fish!$C$7*(1/cnst_fish!$C$8)^(R2148-1)</f>
        <v>35.424039418724846</v>
      </c>
      <c r="T2148" s="682">
        <f t="shared" si="309"/>
        <v>1242.564004197699</v>
      </c>
    </row>
    <row r="2149" spans="1:20" ht="12.75" customHeight="1">
      <c r="A2149" t="s">
        <v>1041</v>
      </c>
      <c r="B2149" t="s">
        <v>574</v>
      </c>
      <c r="C2149">
        <v>2504</v>
      </c>
      <c r="D2149" s="802"/>
      <c r="E2149" s="802"/>
      <c r="F2149" s="2">
        <f>(1/S2149)*cnst_fish!$C$6</f>
        <v>2.8124890974018386E-2</v>
      </c>
      <c r="G2149" s="2">
        <f t="shared" si="311"/>
        <v>1</v>
      </c>
      <c r="H2149" s="2">
        <f t="shared" si="311"/>
        <v>0.36449057933102513</v>
      </c>
      <c r="I2149" s="2">
        <f t="shared" si="304"/>
        <v>0</v>
      </c>
      <c r="J2149" s="389">
        <f t="shared" si="305"/>
        <v>0</v>
      </c>
      <c r="L2149" s="803">
        <v>7173</v>
      </c>
      <c r="M2149" s="802"/>
      <c r="N2149" s="804" t="s">
        <v>1738</v>
      </c>
      <c r="O2149" s="805" t="s">
        <v>4699</v>
      </c>
      <c r="P2149" s="233">
        <f t="shared" si="306"/>
        <v>0</v>
      </c>
      <c r="Q2149" s="233">
        <f t="shared" si="307"/>
        <v>7173</v>
      </c>
      <c r="R2149" s="2">
        <f t="shared" si="308"/>
        <v>4.03</v>
      </c>
      <c r="S2149" s="2">
        <f>(1/9)*cnst_fish!$C$7*(1/cnst_fish!$C$8)^(R2149-1)</f>
        <v>151.11169689248311</v>
      </c>
      <c r="T2149" s="682">
        <f t="shared" si="309"/>
        <v>92960.03771025085</v>
      </c>
    </row>
    <row r="2150" spans="1:20" ht="12.75" customHeight="1">
      <c r="A2150" t="s">
        <v>9090</v>
      </c>
      <c r="B2150" t="s">
        <v>9091</v>
      </c>
      <c r="C2150">
        <v>19059</v>
      </c>
      <c r="D2150" s="802"/>
      <c r="E2150" s="802"/>
      <c r="F2150" s="869">
        <f>(1/S2150)*cnst_fish!$C$6</f>
        <v>7.5699122913220479E-2</v>
      </c>
      <c r="G2150" s="869">
        <f t="shared" si="311"/>
        <v>1</v>
      </c>
      <c r="H2150" s="869">
        <f t="shared" si="311"/>
        <v>0.36449057933102513</v>
      </c>
      <c r="I2150" s="869">
        <f t="shared" si="304"/>
        <v>0</v>
      </c>
      <c r="J2150" s="389">
        <f t="shared" si="305"/>
        <v>0</v>
      </c>
      <c r="L2150" s="803">
        <v>428</v>
      </c>
      <c r="M2150" s="802"/>
      <c r="N2150" s="876" t="s">
        <v>1738</v>
      </c>
      <c r="O2150" s="883" t="s">
        <v>4699</v>
      </c>
      <c r="P2150" s="871">
        <f t="shared" si="306"/>
        <v>0</v>
      </c>
      <c r="Q2150" s="871">
        <f t="shared" si="307"/>
        <v>428</v>
      </c>
      <c r="R2150" s="869">
        <f t="shared" si="308"/>
        <v>3.6</v>
      </c>
      <c r="S2150" s="869">
        <f>(1/9)*cnst_fish!$C$7*(1/cnst_fish!$C$8)^(R2150-1)</f>
        <v>56.143318924211187</v>
      </c>
      <c r="T2150" s="682">
        <f t="shared" si="309"/>
        <v>2060.8160563830493</v>
      </c>
    </row>
    <row r="2151" spans="1:20" ht="12.75" customHeight="1">
      <c r="A2151" t="s">
        <v>5069</v>
      </c>
      <c r="B2151" t="s">
        <v>378</v>
      </c>
      <c r="C2151">
        <v>3500</v>
      </c>
      <c r="D2151" s="802"/>
      <c r="E2151" s="802"/>
      <c r="F2151" s="2">
        <f>(1/S2151)*cnst_fish!$C$6</f>
        <v>3.0136363636363641</v>
      </c>
      <c r="G2151" s="2">
        <f t="shared" si="311"/>
        <v>1</v>
      </c>
      <c r="H2151" s="2">
        <f t="shared" si="311"/>
        <v>0.36449057933102513</v>
      </c>
      <c r="I2151" s="2">
        <f t="shared" si="304"/>
        <v>0</v>
      </c>
      <c r="J2151" s="389">
        <f t="shared" si="305"/>
        <v>0</v>
      </c>
      <c r="L2151" s="803">
        <v>35479</v>
      </c>
      <c r="M2151" s="802"/>
      <c r="N2151" s="804" t="s">
        <v>1736</v>
      </c>
      <c r="O2151" s="805" t="s">
        <v>4691</v>
      </c>
      <c r="P2151" s="233">
        <f t="shared" si="306"/>
        <v>0</v>
      </c>
      <c r="Q2151" s="233">
        <f t="shared" si="307"/>
        <v>35479</v>
      </c>
      <c r="R2151" s="2">
        <f t="shared" si="308"/>
        <v>2</v>
      </c>
      <c r="S2151" s="2">
        <f>(1/9)*cnst_fish!$C$7*(1/cnst_fish!$C$8)^(R2151-1)</f>
        <v>1.4102564102564099</v>
      </c>
      <c r="T2151" s="682">
        <f t="shared" si="309"/>
        <v>4291.0821690781249</v>
      </c>
    </row>
    <row r="2152" spans="1:20" ht="12.75" customHeight="1">
      <c r="A2152" t="s">
        <v>4073</v>
      </c>
      <c r="B2152" t="s">
        <v>837</v>
      </c>
      <c r="C2152">
        <v>3619</v>
      </c>
      <c r="D2152" s="802">
        <v>4474</v>
      </c>
      <c r="E2152" s="802"/>
      <c r="F2152" s="2">
        <f>(1/S2152)*cnst_fish!$C$6</f>
        <v>1.5103960722494616</v>
      </c>
      <c r="G2152" s="2">
        <f t="shared" si="311"/>
        <v>1</v>
      </c>
      <c r="H2152" s="2">
        <f t="shared" si="311"/>
        <v>0.36449057933102513</v>
      </c>
      <c r="I2152" s="2">
        <f t="shared" si="304"/>
        <v>1079.6710094050547</v>
      </c>
      <c r="J2152" s="389">
        <f t="shared" si="305"/>
        <v>0</v>
      </c>
      <c r="L2152" s="803">
        <v>25962</v>
      </c>
      <c r="M2152" s="802"/>
      <c r="N2152" s="804" t="s">
        <v>1736</v>
      </c>
      <c r="O2152" s="805" t="s">
        <v>4691</v>
      </c>
      <c r="P2152" s="233">
        <f t="shared" si="306"/>
        <v>4474</v>
      </c>
      <c r="Q2152" s="233">
        <f t="shared" si="307"/>
        <v>25962</v>
      </c>
      <c r="R2152" s="2">
        <f t="shared" si="308"/>
        <v>2.2999999999999998</v>
      </c>
      <c r="S2152" s="2">
        <f>(1/9)*cnst_fish!$C$7*(1/cnst_fish!$C$8)^(R2152-1)</f>
        <v>2.8138314698279068</v>
      </c>
      <c r="T2152" s="682">
        <f t="shared" si="309"/>
        <v>6265.180765796611</v>
      </c>
    </row>
    <row r="2153" spans="1:20" ht="12.75" customHeight="1">
      <c r="A2153" t="s">
        <v>6225</v>
      </c>
      <c r="B2153" t="s">
        <v>6224</v>
      </c>
      <c r="C2153">
        <v>2209</v>
      </c>
      <c r="D2153" s="802"/>
      <c r="E2153" s="802"/>
      <c r="F2153" s="2">
        <f>(1/S2153)*cnst_fish!$C$6</f>
        <v>4.7762917572805388E-2</v>
      </c>
      <c r="G2153" s="2">
        <f t="shared" si="311"/>
        <v>1</v>
      </c>
      <c r="H2153" s="2">
        <f t="shared" si="311"/>
        <v>0.36449057933102513</v>
      </c>
      <c r="I2153" s="2">
        <f t="shared" si="304"/>
        <v>0</v>
      </c>
      <c r="J2153" s="389">
        <f t="shared" si="305"/>
        <v>0</v>
      </c>
      <c r="L2153" s="803">
        <v>6</v>
      </c>
      <c r="M2153" s="802"/>
      <c r="N2153" s="804" t="s">
        <v>1738</v>
      </c>
      <c r="O2153" s="805" t="s">
        <v>4681</v>
      </c>
      <c r="P2153" s="233">
        <f t="shared" si="306"/>
        <v>0</v>
      </c>
      <c r="Q2153" s="233">
        <f t="shared" si="307"/>
        <v>6</v>
      </c>
      <c r="R2153" s="2">
        <f t="shared" si="308"/>
        <v>3.8</v>
      </c>
      <c r="S2153" s="2">
        <f>(1/9)*cnst_fish!$C$7*(1/cnst_fish!$C$8)^(R2153-1)</f>
        <v>88.981163965155432</v>
      </c>
      <c r="T2153" s="682">
        <f t="shared" si="309"/>
        <v>45.787476710411916</v>
      </c>
    </row>
    <row r="2154" spans="1:20" ht="12.75" customHeight="1">
      <c r="A2154" t="s">
        <v>6343</v>
      </c>
      <c r="B2154" t="s">
        <v>6342</v>
      </c>
      <c r="C2154">
        <v>15520</v>
      </c>
      <c r="D2154" s="802"/>
      <c r="E2154" s="802"/>
      <c r="F2154" s="2">
        <f>(1/S2154)*cnst_fish!$C$6</f>
        <v>0.19014759972289441</v>
      </c>
      <c r="G2154" s="2">
        <f t="shared" si="311"/>
        <v>1</v>
      </c>
      <c r="H2154" s="2">
        <f t="shared" si="311"/>
        <v>0.36449057933102513</v>
      </c>
      <c r="I2154" s="2">
        <f t="shared" si="304"/>
        <v>0</v>
      </c>
      <c r="J2154" s="389">
        <f t="shared" si="305"/>
        <v>0</v>
      </c>
      <c r="L2154" s="803">
        <v>389</v>
      </c>
      <c r="M2154" s="802"/>
      <c r="N2154" s="804" t="s">
        <v>1738</v>
      </c>
      <c r="O2154" s="805" t="s">
        <v>4681</v>
      </c>
      <c r="P2154" s="233">
        <f t="shared" si="306"/>
        <v>0</v>
      </c>
      <c r="Q2154" s="233">
        <f t="shared" si="307"/>
        <v>389</v>
      </c>
      <c r="R2154" s="2">
        <f t="shared" si="308"/>
        <v>3.2</v>
      </c>
      <c r="S2154" s="2">
        <f>(1/9)*cnst_fish!$C$7*(1/cnst_fish!$C$8)^(R2154-1)</f>
        <v>22.351057842400341</v>
      </c>
      <c r="T2154" s="682">
        <f t="shared" si="309"/>
        <v>745.6672372746084</v>
      </c>
    </row>
    <row r="2155" spans="1:20" ht="12.75" customHeight="1">
      <c r="A2155" t="s">
        <v>8913</v>
      </c>
      <c r="B2155" t="s">
        <v>8914</v>
      </c>
      <c r="C2155">
        <v>15526</v>
      </c>
      <c r="D2155" s="802"/>
      <c r="E2155" s="802"/>
      <c r="F2155" s="2">
        <f>(1/S2155)*cnst_fish!$C$6</f>
        <v>9.5299549485983348E-2</v>
      </c>
      <c r="G2155" s="2">
        <f t="shared" si="311"/>
        <v>1</v>
      </c>
      <c r="H2155" s="2">
        <f t="shared" si="311"/>
        <v>0.36449057933102513</v>
      </c>
      <c r="I2155" s="2">
        <f t="shared" si="304"/>
        <v>0</v>
      </c>
      <c r="J2155" s="389">
        <f t="shared" si="305"/>
        <v>0</v>
      </c>
      <c r="L2155" s="803">
        <v>0</v>
      </c>
      <c r="M2155" s="802"/>
      <c r="N2155" s="804" t="s">
        <v>4282</v>
      </c>
      <c r="O2155" s="805" t="s">
        <v>4681</v>
      </c>
      <c r="P2155" s="233">
        <f t="shared" si="306"/>
        <v>0</v>
      </c>
      <c r="Q2155" s="233">
        <f t="shared" si="307"/>
        <v>0</v>
      </c>
      <c r="R2155" s="2">
        <f t="shared" si="308"/>
        <v>3.5</v>
      </c>
      <c r="S2155" s="2">
        <f>(1/9)*cnst_fish!$C$7*(1/cnst_fish!$C$8)^(R2155-1)</f>
        <v>44.596223412631026</v>
      </c>
      <c r="T2155" s="682">
        <f t="shared" si="309"/>
        <v>0</v>
      </c>
    </row>
    <row r="2156" spans="1:20" ht="12.75" customHeight="1">
      <c r="A2156" t="s">
        <v>6254</v>
      </c>
      <c r="B2156" t="s">
        <v>6253</v>
      </c>
      <c r="C2156">
        <v>19258</v>
      </c>
      <c r="D2156" s="802"/>
      <c r="E2156" s="802"/>
      <c r="F2156" s="2">
        <f>(1/S2156)*cnst_fish!$C$6</f>
        <v>6.0129950673834844E-2</v>
      </c>
      <c r="G2156" s="2">
        <f t="shared" si="311"/>
        <v>1</v>
      </c>
      <c r="H2156" s="2">
        <f t="shared" si="311"/>
        <v>0.36449057933102513</v>
      </c>
      <c r="I2156" s="2">
        <f t="shared" si="304"/>
        <v>0</v>
      </c>
      <c r="J2156" s="389">
        <f t="shared" si="305"/>
        <v>0</v>
      </c>
      <c r="L2156" s="803">
        <v>0</v>
      </c>
      <c r="M2156" s="802"/>
      <c r="N2156" s="804" t="s">
        <v>1738</v>
      </c>
      <c r="O2156" s="805" t="s">
        <v>4681</v>
      </c>
      <c r="P2156" s="233">
        <f t="shared" si="306"/>
        <v>0</v>
      </c>
      <c r="Q2156" s="233">
        <f t="shared" si="307"/>
        <v>0</v>
      </c>
      <c r="R2156" s="2">
        <f t="shared" si="308"/>
        <v>3.7</v>
      </c>
      <c r="S2156" s="2">
        <f>(1/9)*cnst_fish!$C$7*(1/cnst_fish!$C$8)^(R2156-1)</f>
        <v>70.680250896153822</v>
      </c>
      <c r="T2156" s="682">
        <f t="shared" si="309"/>
        <v>0</v>
      </c>
    </row>
    <row r="2157" spans="1:20" ht="12.75" customHeight="1">
      <c r="A2157" t="s">
        <v>6646</v>
      </c>
      <c r="B2157" t="s">
        <v>6645</v>
      </c>
      <c r="C2157">
        <v>19257</v>
      </c>
      <c r="D2157" s="802"/>
      <c r="E2157" s="802"/>
      <c r="F2157" s="2">
        <f>(1/S2157)*cnst_fish!$C$6</f>
        <v>3.7939434000887833E-2</v>
      </c>
      <c r="G2157" s="2">
        <f t="shared" si="311"/>
        <v>1</v>
      </c>
      <c r="H2157" s="2">
        <f t="shared" si="311"/>
        <v>0.36449057933102513</v>
      </c>
      <c r="I2157" s="2">
        <f t="shared" si="304"/>
        <v>0</v>
      </c>
      <c r="J2157" s="389">
        <f t="shared" si="305"/>
        <v>0</v>
      </c>
      <c r="L2157" s="803">
        <v>72</v>
      </c>
      <c r="M2157" s="802"/>
      <c r="N2157" s="804" t="s">
        <v>1738</v>
      </c>
      <c r="O2157" s="805" t="s">
        <v>4681</v>
      </c>
      <c r="P2157" s="233">
        <f t="shared" si="306"/>
        <v>0</v>
      </c>
      <c r="Q2157" s="233">
        <f t="shared" si="307"/>
        <v>72</v>
      </c>
      <c r="R2157" s="2">
        <f t="shared" si="308"/>
        <v>3.9</v>
      </c>
      <c r="S2157" s="2">
        <f>(1/9)*cnst_fish!$C$7*(1/cnst_fish!$C$8)^(R2157-1)</f>
        <v>112.02064848675771</v>
      </c>
      <c r="T2157" s="682">
        <f t="shared" si="309"/>
        <v>691.71621567205466</v>
      </c>
    </row>
    <row r="2158" spans="1:20" ht="12.75" customHeight="1">
      <c r="A2158" t="s">
        <v>3988</v>
      </c>
      <c r="B2158" t="s">
        <v>4313</v>
      </c>
      <c r="C2158">
        <v>3095</v>
      </c>
      <c r="D2158" s="802"/>
      <c r="E2158" s="802"/>
      <c r="F2158" s="2">
        <f>(1/S2158)*cnst_fish!$C$6</f>
        <v>1.6184185499703532E-2</v>
      </c>
      <c r="G2158" s="2">
        <f t="shared" si="311"/>
        <v>1</v>
      </c>
      <c r="H2158" s="2">
        <f t="shared" si="311"/>
        <v>0.36449057933102513</v>
      </c>
      <c r="I2158" s="2">
        <f t="shared" si="304"/>
        <v>0</v>
      </c>
      <c r="J2158" s="389">
        <f t="shared" si="305"/>
        <v>0</v>
      </c>
      <c r="L2158" s="803">
        <v>0</v>
      </c>
      <c r="M2158" s="802"/>
      <c r="N2158" s="804" t="s">
        <v>1738</v>
      </c>
      <c r="O2158" s="805" t="s">
        <v>4681</v>
      </c>
      <c r="P2158" s="233">
        <f t="shared" si="306"/>
        <v>0</v>
      </c>
      <c r="Q2158" s="233">
        <f t="shared" si="307"/>
        <v>0</v>
      </c>
      <c r="R2158" s="2">
        <f t="shared" si="308"/>
        <v>4.2699999999999996</v>
      </c>
      <c r="S2158" s="2">
        <f>(1/9)*cnst_fish!$C$7*(1/cnst_fish!$C$8)^(R2158-1)</f>
        <v>262.60203209348123</v>
      </c>
      <c r="T2158" s="682">
        <f t="shared" si="309"/>
        <v>0</v>
      </c>
    </row>
    <row r="2159" spans="1:20" ht="12.75" customHeight="1">
      <c r="A2159" t="s">
        <v>6491</v>
      </c>
      <c r="B2159" t="s">
        <v>6490</v>
      </c>
      <c r="C2159">
        <v>15540</v>
      </c>
      <c r="D2159" s="802"/>
      <c r="E2159" s="802"/>
      <c r="F2159" s="2">
        <f>(1/S2159)*cnst_fish!$C$6</f>
        <v>0.47762917572805397</v>
      </c>
      <c r="G2159" s="2">
        <f t="shared" si="311"/>
        <v>1</v>
      </c>
      <c r="H2159" s="2">
        <f t="shared" si="311"/>
        <v>0.36449057933102513</v>
      </c>
      <c r="I2159" s="2">
        <f t="shared" si="304"/>
        <v>0</v>
      </c>
      <c r="J2159" s="389">
        <f t="shared" si="305"/>
        <v>0</v>
      </c>
      <c r="L2159" s="803"/>
      <c r="M2159" s="802">
        <v>31</v>
      </c>
      <c r="N2159" s="804" t="s">
        <v>3786</v>
      </c>
      <c r="O2159" s="805" t="s">
        <v>4685</v>
      </c>
      <c r="P2159" s="233">
        <f t="shared" si="306"/>
        <v>0</v>
      </c>
      <c r="Q2159" s="233">
        <f t="shared" si="307"/>
        <v>31</v>
      </c>
      <c r="R2159" s="2">
        <f t="shared" si="308"/>
        <v>2.8</v>
      </c>
      <c r="S2159" s="2">
        <f>(1/9)*cnst_fish!$C$7*(1/cnst_fish!$C$8)^(R2159-1)</f>
        <v>8.8981163965155421</v>
      </c>
      <c r="T2159" s="682">
        <f t="shared" si="309"/>
        <v>23.656862967046155</v>
      </c>
    </row>
    <row r="2160" spans="1:20" ht="12.75" customHeight="1">
      <c r="A2160" t="s">
        <v>871</v>
      </c>
      <c r="B2160" t="s">
        <v>2619</v>
      </c>
      <c r="C2160">
        <v>2199</v>
      </c>
      <c r="D2160" s="802"/>
      <c r="E2160" s="802"/>
      <c r="F2160" s="2">
        <f>(1/S2160)*cnst_fish!$C$6</f>
        <v>1.3461419163458574E-2</v>
      </c>
      <c r="G2160" s="2">
        <f t="shared" si="311"/>
        <v>1</v>
      </c>
      <c r="H2160" s="2">
        <f t="shared" si="311"/>
        <v>0.36449057933102513</v>
      </c>
      <c r="I2160" s="2">
        <f t="shared" si="304"/>
        <v>0</v>
      </c>
      <c r="J2160" s="389">
        <f t="shared" si="305"/>
        <v>0</v>
      </c>
      <c r="L2160" s="803">
        <v>156782.28</v>
      </c>
      <c r="M2160" s="802">
        <v>0</v>
      </c>
      <c r="N2160" s="804" t="s">
        <v>1738</v>
      </c>
      <c r="O2160" s="805" t="s">
        <v>4681</v>
      </c>
      <c r="P2160" s="233">
        <f t="shared" si="306"/>
        <v>0</v>
      </c>
      <c r="Q2160" s="233">
        <f t="shared" si="307"/>
        <v>156782.28</v>
      </c>
      <c r="R2160" s="2">
        <f t="shared" si="308"/>
        <v>4.3499999999999996</v>
      </c>
      <c r="S2160" s="2">
        <f>(1/9)*cnst_fish!$C$7*(1/cnst_fish!$C$8)^(R2160-1)</f>
        <v>315.71708364425297</v>
      </c>
      <c r="T2160" s="682">
        <f t="shared" si="309"/>
        <v>4245144.0945515325</v>
      </c>
    </row>
    <row r="2161" spans="1:20" ht="12.75" customHeight="1">
      <c r="A2161" t="s">
        <v>912</v>
      </c>
      <c r="B2161" t="s">
        <v>4390</v>
      </c>
      <c r="C2161">
        <v>2946</v>
      </c>
      <c r="D2161" s="802"/>
      <c r="E2161" s="802"/>
      <c r="F2161" s="2">
        <f>(1/S2161)*cnst_fish!$C$6</f>
        <v>0.45613232168782086</v>
      </c>
      <c r="G2161" s="2">
        <f t="shared" si="311"/>
        <v>1</v>
      </c>
      <c r="H2161" s="2">
        <f t="shared" si="311"/>
        <v>0.36449057933102513</v>
      </c>
      <c r="I2161" s="2">
        <f t="shared" si="304"/>
        <v>0</v>
      </c>
      <c r="J2161" s="389">
        <f t="shared" si="305"/>
        <v>0</v>
      </c>
      <c r="L2161" s="803"/>
      <c r="M2161" s="802">
        <v>21125</v>
      </c>
      <c r="N2161" s="804" t="s">
        <v>1738</v>
      </c>
      <c r="O2161" s="805" t="s">
        <v>4685</v>
      </c>
      <c r="P2161" s="233">
        <f t="shared" si="306"/>
        <v>0</v>
      </c>
      <c r="Q2161" s="233">
        <f t="shared" si="307"/>
        <v>21125</v>
      </c>
      <c r="R2161" s="2">
        <f t="shared" si="308"/>
        <v>2.82</v>
      </c>
      <c r="S2161" s="2">
        <f>(1/9)*cnst_fish!$C$7*(1/cnst_fish!$C$8)^(R2161-1)</f>
        <v>9.3174717026712273</v>
      </c>
      <c r="T2161" s="682">
        <f t="shared" si="309"/>
        <v>16880.767098188076</v>
      </c>
    </row>
    <row r="2162" spans="1:20" ht="12.75" customHeight="1">
      <c r="A2162" t="s">
        <v>6223</v>
      </c>
      <c r="B2162" t="s">
        <v>6222</v>
      </c>
      <c r="C2162">
        <v>15569</v>
      </c>
      <c r="D2162" s="802"/>
      <c r="E2162" s="802"/>
      <c r="F2162" s="2">
        <f>(1/S2162)*cnst_fish!$C$6</f>
        <v>9.5299549485983424E-3</v>
      </c>
      <c r="G2162" s="2">
        <f t="shared" si="311"/>
        <v>1</v>
      </c>
      <c r="H2162" s="2">
        <f t="shared" si="311"/>
        <v>0.36449057933102513</v>
      </c>
      <c r="I2162" s="2">
        <f t="shared" si="304"/>
        <v>0</v>
      </c>
      <c r="J2162" s="389">
        <f t="shared" si="305"/>
        <v>0</v>
      </c>
      <c r="L2162" s="803">
        <v>0</v>
      </c>
      <c r="M2162" s="802"/>
      <c r="N2162" s="804" t="s">
        <v>1738</v>
      </c>
      <c r="O2162" s="805" t="s">
        <v>4681</v>
      </c>
      <c r="P2162" s="233">
        <f t="shared" si="306"/>
        <v>0</v>
      </c>
      <c r="Q2162" s="233">
        <f t="shared" si="307"/>
        <v>0</v>
      </c>
      <c r="R2162" s="2">
        <f t="shared" si="308"/>
        <v>4.5</v>
      </c>
      <c r="S2162" s="2">
        <f>(1/9)*cnst_fish!$C$7*(1/cnst_fish!$C$8)^(R2162-1)</f>
        <v>445.96223412630997</v>
      </c>
      <c r="T2162" s="682">
        <f t="shared" si="309"/>
        <v>0</v>
      </c>
    </row>
    <row r="2163" spans="1:20" ht="12.75" customHeight="1">
      <c r="A2163" t="s">
        <v>8792</v>
      </c>
      <c r="B2163" t="s">
        <v>8793</v>
      </c>
      <c r="C2163">
        <v>14768</v>
      </c>
      <c r="D2163" s="802"/>
      <c r="E2163" s="802"/>
      <c r="F2163" s="2">
        <f>(1/S2163)*cnst_fish!$C$6</f>
        <v>0.37939434000887845</v>
      </c>
      <c r="G2163" s="2">
        <f t="shared" si="311"/>
        <v>1</v>
      </c>
      <c r="H2163" s="2">
        <f t="shared" si="311"/>
        <v>0.36449057933102513</v>
      </c>
      <c r="I2163" s="2">
        <f t="shared" si="304"/>
        <v>0</v>
      </c>
      <c r="J2163" s="389">
        <f t="shared" si="305"/>
        <v>0</v>
      </c>
      <c r="L2163" s="803"/>
      <c r="M2163" s="802"/>
      <c r="N2163" s="804" t="s">
        <v>1738</v>
      </c>
      <c r="O2163" s="805" t="s">
        <v>4685</v>
      </c>
      <c r="P2163" s="233">
        <f t="shared" si="306"/>
        <v>0</v>
      </c>
      <c r="Q2163" s="233">
        <f t="shared" si="307"/>
        <v>0</v>
      </c>
      <c r="R2163" s="2">
        <f t="shared" si="308"/>
        <v>2.9</v>
      </c>
      <c r="S2163" s="2">
        <f>(1/9)*cnst_fish!$C$7*(1/cnst_fish!$C$8)^(R2163-1)</f>
        <v>11.20206484867577</v>
      </c>
      <c r="T2163" s="682">
        <f t="shared" si="309"/>
        <v>0</v>
      </c>
    </row>
    <row r="2164" spans="1:20" ht="12.75" customHeight="1">
      <c r="A2164" t="s">
        <v>4286</v>
      </c>
      <c r="B2164" t="s">
        <v>8794</v>
      </c>
      <c r="C2164">
        <v>14241</v>
      </c>
      <c r="D2164" s="802"/>
      <c r="E2164" s="802"/>
      <c r="F2164" s="2">
        <f>(1/S2164)*cnst_fish!$C$6</f>
        <v>9.5299549485983348E-2</v>
      </c>
      <c r="G2164" s="2">
        <f t="shared" si="311"/>
        <v>1</v>
      </c>
      <c r="H2164" s="2">
        <f t="shared" si="311"/>
        <v>0.36449057933102513</v>
      </c>
      <c r="I2164" s="2">
        <f t="shared" si="304"/>
        <v>0</v>
      </c>
      <c r="J2164" s="389">
        <f t="shared" si="305"/>
        <v>0</v>
      </c>
      <c r="L2164" s="803"/>
      <c r="M2164" s="802"/>
      <c r="N2164" s="804" t="s">
        <v>1738</v>
      </c>
      <c r="O2164" s="805" t="s">
        <v>4685</v>
      </c>
      <c r="P2164" s="233">
        <f t="shared" si="306"/>
        <v>0</v>
      </c>
      <c r="Q2164" s="233">
        <f t="shared" si="307"/>
        <v>0</v>
      </c>
      <c r="R2164" s="2">
        <f t="shared" si="308"/>
        <v>3.5</v>
      </c>
      <c r="S2164" s="2">
        <f>(1/9)*cnst_fish!$C$7*(1/cnst_fish!$C$8)^(R2164-1)</f>
        <v>44.596223412631026</v>
      </c>
      <c r="T2164" s="682">
        <f t="shared" si="309"/>
        <v>0</v>
      </c>
    </row>
    <row r="2165" spans="1:20" ht="12.75" customHeight="1">
      <c r="A2165" t="s">
        <v>9068</v>
      </c>
      <c r="B2165" t="s">
        <v>9069</v>
      </c>
      <c r="C2165">
        <v>17224</v>
      </c>
      <c r="D2165" s="802"/>
      <c r="E2165" s="802"/>
      <c r="F2165" s="869">
        <f>(1/S2165)*cnst_fish!$C$6</f>
        <v>2.3938164528281742</v>
      </c>
      <c r="G2165" s="869">
        <f t="shared" si="311"/>
        <v>1</v>
      </c>
      <c r="H2165" s="869">
        <f t="shared" si="311"/>
        <v>0.36449057933102513</v>
      </c>
      <c r="I2165" s="869">
        <f t="shared" si="304"/>
        <v>0</v>
      </c>
      <c r="J2165" s="389">
        <f t="shared" si="305"/>
        <v>0</v>
      </c>
      <c r="L2165" s="803">
        <v>1205</v>
      </c>
      <c r="M2165" s="802"/>
      <c r="N2165" s="876" t="s">
        <v>2314</v>
      </c>
      <c r="O2165" s="883" t="s">
        <v>4691</v>
      </c>
      <c r="P2165" s="871">
        <f t="shared" si="306"/>
        <v>0</v>
      </c>
      <c r="Q2165" s="871">
        <f t="shared" si="307"/>
        <v>1205</v>
      </c>
      <c r="R2165" s="869">
        <f t="shared" si="308"/>
        <v>2.1</v>
      </c>
      <c r="S2165" s="869">
        <f>(1/9)*cnst_fish!$C$7*(1/cnst_fish!$C$8)^(R2165-1)</f>
        <v>1.7754076320174161</v>
      </c>
      <c r="T2165" s="682">
        <f t="shared" si="309"/>
        <v>183.47737044541543</v>
      </c>
    </row>
    <row r="2166" spans="1:20" ht="12.75" customHeight="1">
      <c r="A2166" t="s">
        <v>6771</v>
      </c>
      <c r="B2166" t="s">
        <v>8795</v>
      </c>
      <c r="C2166">
        <v>6821</v>
      </c>
      <c r="D2166" s="802"/>
      <c r="E2166" s="802"/>
      <c r="F2166" s="2">
        <f>(1/S2166)*cnst_fish!$C$6</f>
        <v>0.11997502458044032</v>
      </c>
      <c r="G2166" s="2">
        <f t="shared" si="311"/>
        <v>1</v>
      </c>
      <c r="H2166" s="2">
        <f t="shared" si="311"/>
        <v>0.36449057933102513</v>
      </c>
      <c r="I2166" s="2">
        <f t="shared" si="304"/>
        <v>0</v>
      </c>
      <c r="J2166" s="389">
        <f t="shared" si="305"/>
        <v>0</v>
      </c>
      <c r="L2166" s="803"/>
      <c r="M2166" s="802"/>
      <c r="N2166" s="804" t="s">
        <v>1738</v>
      </c>
      <c r="O2166" s="805" t="s">
        <v>4681</v>
      </c>
      <c r="P2166" s="233">
        <f t="shared" si="306"/>
        <v>0</v>
      </c>
      <c r="Q2166" s="233">
        <f t="shared" si="307"/>
        <v>0</v>
      </c>
      <c r="R2166" s="2">
        <f t="shared" si="308"/>
        <v>3.4</v>
      </c>
      <c r="S2166" s="2">
        <f>(1/9)*cnst_fish!$C$7*(1/cnst_fish!$C$8)^(R2166-1)</f>
        <v>35.424039418724846</v>
      </c>
      <c r="T2166" s="682">
        <f t="shared" si="309"/>
        <v>0</v>
      </c>
    </row>
    <row r="2167" spans="1:20" ht="12.75" customHeight="1">
      <c r="A2167" t="s">
        <v>6797</v>
      </c>
      <c r="B2167" t="s">
        <v>8796</v>
      </c>
      <c r="C2167">
        <v>6822</v>
      </c>
      <c r="D2167" s="802"/>
      <c r="E2167" s="802"/>
      <c r="F2167" s="2">
        <f>(1/S2167)*cnst_fish!$C$6</f>
        <v>7.5699122913220479E-2</v>
      </c>
      <c r="G2167" s="2">
        <f t="shared" si="311"/>
        <v>1</v>
      </c>
      <c r="H2167" s="2">
        <f t="shared" si="311"/>
        <v>0.36449057933102513</v>
      </c>
      <c r="I2167" s="2">
        <f t="shared" si="304"/>
        <v>0</v>
      </c>
      <c r="J2167" s="389">
        <f t="shared" si="305"/>
        <v>0</v>
      </c>
      <c r="L2167" s="803"/>
      <c r="M2167" s="802"/>
      <c r="N2167" s="804" t="s">
        <v>1738</v>
      </c>
      <c r="O2167" s="805" t="s">
        <v>4681</v>
      </c>
      <c r="P2167" s="233">
        <f t="shared" si="306"/>
        <v>0</v>
      </c>
      <c r="Q2167" s="233">
        <f t="shared" si="307"/>
        <v>0</v>
      </c>
      <c r="R2167" s="2">
        <f t="shared" si="308"/>
        <v>3.6</v>
      </c>
      <c r="S2167" s="2">
        <f>(1/9)*cnst_fish!$C$7*(1/cnst_fish!$C$8)^(R2167-1)</f>
        <v>56.143318924211187</v>
      </c>
      <c r="T2167" s="682">
        <f t="shared" si="309"/>
        <v>0</v>
      </c>
    </row>
    <row r="2168" spans="1:20" ht="12.75" customHeight="1">
      <c r="A2168" t="s">
        <v>2953</v>
      </c>
      <c r="B2168" t="s">
        <v>2954</v>
      </c>
      <c r="C2168">
        <v>15600</v>
      </c>
      <c r="D2168" s="802"/>
      <c r="E2168" s="802"/>
      <c r="F2168" s="2">
        <f>(1/S2168)*cnst_fish!$C$6</f>
        <v>1.4424170509541314E-2</v>
      </c>
      <c r="G2168" s="2">
        <f t="shared" ref="G2168:H2187" si="312">G$7</f>
        <v>1</v>
      </c>
      <c r="H2168" s="2">
        <f t="shared" si="312"/>
        <v>0.36449057933102513</v>
      </c>
      <c r="I2168" s="2">
        <f t="shared" si="304"/>
        <v>0</v>
      </c>
      <c r="J2168" s="389">
        <f t="shared" si="305"/>
        <v>0</v>
      </c>
      <c r="L2168" s="803">
        <v>27</v>
      </c>
      <c r="M2168" s="802"/>
      <c r="N2168" s="804" t="s">
        <v>1738</v>
      </c>
      <c r="O2168" s="805" t="s">
        <v>4699</v>
      </c>
      <c r="P2168" s="233">
        <f t="shared" si="306"/>
        <v>0</v>
      </c>
      <c r="Q2168" s="233">
        <f t="shared" si="307"/>
        <v>27</v>
      </c>
      <c r="R2168" s="2">
        <f t="shared" si="308"/>
        <v>4.32</v>
      </c>
      <c r="S2168" s="2">
        <f>(1/9)*cnst_fish!$C$7*(1/cnst_fish!$C$8)^(R2168-1)</f>
        <v>294.64432614608279</v>
      </c>
      <c r="T2168" s="682">
        <f t="shared" si="309"/>
        <v>682.27463308395329</v>
      </c>
    </row>
    <row r="2169" spans="1:20" ht="12.75" customHeight="1">
      <c r="A2169" t="s">
        <v>5218</v>
      </c>
      <c r="B2169" t="s">
        <v>2620</v>
      </c>
      <c r="C2169">
        <v>2424</v>
      </c>
      <c r="D2169" s="802"/>
      <c r="E2169" s="802"/>
      <c r="F2169" s="2">
        <f>(1/S2169)*cnst_fish!$C$6</f>
        <v>0.14424170509541331</v>
      </c>
      <c r="G2169" s="2">
        <f t="shared" si="312"/>
        <v>1</v>
      </c>
      <c r="H2169" s="2">
        <f t="shared" si="312"/>
        <v>0.36449057933102513</v>
      </c>
      <c r="I2169" s="2">
        <f t="shared" si="304"/>
        <v>0</v>
      </c>
      <c r="J2169" s="389">
        <f t="shared" si="305"/>
        <v>0</v>
      </c>
      <c r="L2169" s="803">
        <v>119</v>
      </c>
      <c r="M2169" s="802"/>
      <c r="N2169" s="804" t="s">
        <v>1738</v>
      </c>
      <c r="O2169" s="805" t="s">
        <v>4681</v>
      </c>
      <c r="P2169" s="233">
        <f t="shared" si="306"/>
        <v>0</v>
      </c>
      <c r="Q2169" s="233">
        <f t="shared" si="307"/>
        <v>119</v>
      </c>
      <c r="R2169" s="2">
        <f t="shared" si="308"/>
        <v>3.32</v>
      </c>
      <c r="S2169" s="2">
        <f>(1/9)*cnst_fish!$C$7*(1/cnst_fish!$C$8)^(R2169-1)</f>
        <v>29.464432614608246</v>
      </c>
      <c r="T2169" s="682">
        <f t="shared" si="309"/>
        <v>300.7062271740383</v>
      </c>
    </row>
    <row r="2170" spans="1:20" ht="12.75" customHeight="1">
      <c r="A2170" t="s">
        <v>60</v>
      </c>
      <c r="B2170" t="s">
        <v>4500</v>
      </c>
      <c r="C2170">
        <v>3225</v>
      </c>
      <c r="D2170" s="802"/>
      <c r="E2170" s="802"/>
      <c r="F2170" s="2">
        <f>(1/S2170)*cnst_fish!$C$6</f>
        <v>8.6914222116951781E-2</v>
      </c>
      <c r="G2170" s="2">
        <f t="shared" si="312"/>
        <v>1</v>
      </c>
      <c r="H2170" s="2">
        <f t="shared" si="312"/>
        <v>0.36449057933102513</v>
      </c>
      <c r="I2170" s="2">
        <f t="shared" si="304"/>
        <v>0</v>
      </c>
      <c r="J2170" s="389">
        <f t="shared" si="305"/>
        <v>0</v>
      </c>
      <c r="L2170" s="803">
        <v>1</v>
      </c>
      <c r="M2170" s="802"/>
      <c r="N2170" s="804" t="s">
        <v>1738</v>
      </c>
      <c r="O2170" s="805" t="s">
        <v>4681</v>
      </c>
      <c r="P2170" s="233">
        <f t="shared" si="306"/>
        <v>0</v>
      </c>
      <c r="Q2170" s="233">
        <f t="shared" si="307"/>
        <v>1</v>
      </c>
      <c r="R2170" s="2">
        <f t="shared" si="308"/>
        <v>3.54</v>
      </c>
      <c r="S2170" s="2">
        <f>(1/9)*cnst_fish!$C$7*(1/cnst_fish!$C$8)^(R2170-1)</f>
        <v>48.898786602280119</v>
      </c>
      <c r="T2170" s="682">
        <f t="shared" si="309"/>
        <v>4.1936816605292355</v>
      </c>
    </row>
    <row r="2171" spans="1:20" ht="12.75" customHeight="1">
      <c r="A2171" t="s">
        <v>2286</v>
      </c>
      <c r="B2171" t="s">
        <v>4603</v>
      </c>
      <c r="C2171">
        <v>17571</v>
      </c>
      <c r="D2171" s="802"/>
      <c r="E2171" s="802"/>
      <c r="F2171" s="2">
        <f>(1/S2171)*cnst_fish!$C$6</f>
        <v>2.6141530827766903</v>
      </c>
      <c r="G2171" s="2">
        <f t="shared" si="312"/>
        <v>1</v>
      </c>
      <c r="H2171" s="2">
        <f t="shared" si="312"/>
        <v>0.36449057933102513</v>
      </c>
      <c r="I2171" s="2">
        <f t="shared" si="304"/>
        <v>0</v>
      </c>
      <c r="J2171" s="389">
        <f t="shared" si="305"/>
        <v>0</v>
      </c>
      <c r="L2171" s="803">
        <v>3310</v>
      </c>
      <c r="M2171" s="802"/>
      <c r="N2171" s="804" t="s">
        <v>1736</v>
      </c>
      <c r="O2171" s="805" t="s">
        <v>4691</v>
      </c>
      <c r="P2171" s="233">
        <f t="shared" si="306"/>
        <v>0</v>
      </c>
      <c r="Q2171" s="233">
        <f t="shared" si="307"/>
        <v>3310</v>
      </c>
      <c r="R2171" s="2">
        <f t="shared" si="308"/>
        <v>2.0617598316454031</v>
      </c>
      <c r="S2171" s="2">
        <f>(1/9)*cnst_fish!$C$7*(1/cnst_fish!$C$8)^(R2171-1)</f>
        <v>1.6257655406644176</v>
      </c>
      <c r="T2171" s="682">
        <f t="shared" si="309"/>
        <v>461.51230604453224</v>
      </c>
    </row>
    <row r="2172" spans="1:20" ht="12.75" customHeight="1">
      <c r="A2172" t="s">
        <v>6697</v>
      </c>
      <c r="B2172" t="s">
        <v>6696</v>
      </c>
      <c r="C2172">
        <v>18577</v>
      </c>
      <c r="D2172" s="802"/>
      <c r="E2172" s="802"/>
      <c r="F2172" s="2">
        <f>(1/S2172)*cnst_fish!$C$6</f>
        <v>3.0136363636363641</v>
      </c>
      <c r="G2172" s="2">
        <f t="shared" si="312"/>
        <v>1</v>
      </c>
      <c r="H2172" s="2">
        <f t="shared" si="312"/>
        <v>0.36449057933102513</v>
      </c>
      <c r="I2172" s="2">
        <f t="shared" si="304"/>
        <v>0</v>
      </c>
      <c r="J2172" s="389">
        <f t="shared" si="305"/>
        <v>0</v>
      </c>
      <c r="L2172" s="803">
        <v>5</v>
      </c>
      <c r="M2172" s="802"/>
      <c r="N2172" s="804" t="s">
        <v>1736</v>
      </c>
      <c r="O2172" s="805" t="s">
        <v>4691</v>
      </c>
      <c r="P2172" s="233">
        <f t="shared" si="306"/>
        <v>0</v>
      </c>
      <c r="Q2172" s="233">
        <f t="shared" si="307"/>
        <v>5</v>
      </c>
      <c r="R2172" s="2">
        <f t="shared" si="308"/>
        <v>2</v>
      </c>
      <c r="S2172" s="2">
        <f>(1/9)*cnst_fish!$C$7*(1/cnst_fish!$C$8)^(R2172-1)</f>
        <v>1.4102564102564099</v>
      </c>
      <c r="T2172" s="682">
        <f t="shared" si="309"/>
        <v>0.60473550115253027</v>
      </c>
    </row>
    <row r="2173" spans="1:20" ht="12.75" customHeight="1">
      <c r="A2173" t="s">
        <v>2545</v>
      </c>
      <c r="B2173" t="s">
        <v>1506</v>
      </c>
      <c r="C2173">
        <v>2904</v>
      </c>
      <c r="D2173" s="802"/>
      <c r="E2173" s="802"/>
      <c r="F2173" s="2">
        <f>(1/S2173)*cnst_fish!$C$6</f>
        <v>2.7484690295134913</v>
      </c>
      <c r="G2173" s="2">
        <f t="shared" si="312"/>
        <v>1</v>
      </c>
      <c r="H2173" s="2">
        <f t="shared" si="312"/>
        <v>0.36449057933102513</v>
      </c>
      <c r="I2173" s="2">
        <f t="shared" si="304"/>
        <v>0</v>
      </c>
      <c r="J2173" s="389">
        <f t="shared" si="305"/>
        <v>0</v>
      </c>
      <c r="L2173" s="803">
        <v>309040</v>
      </c>
      <c r="M2173" s="802">
        <v>238339.14</v>
      </c>
      <c r="N2173" s="804" t="s">
        <v>1738</v>
      </c>
      <c r="O2173" s="805" t="s">
        <v>4685</v>
      </c>
      <c r="P2173" s="233">
        <f t="shared" si="306"/>
        <v>0</v>
      </c>
      <c r="Q2173" s="233">
        <f t="shared" si="307"/>
        <v>547379.14</v>
      </c>
      <c r="R2173" s="2">
        <f t="shared" si="308"/>
        <v>2.04</v>
      </c>
      <c r="S2173" s="2">
        <f>(1/9)*cnst_fish!$C$7*(1/cnst_fish!$C$8)^(R2173-1)</f>
        <v>1.5463154048173124</v>
      </c>
      <c r="T2173" s="682">
        <f t="shared" si="309"/>
        <v>72591.154460865277</v>
      </c>
    </row>
    <row r="2174" spans="1:20" ht="12.75" customHeight="1">
      <c r="A2174" t="s">
        <v>3019</v>
      </c>
      <c r="B2174" t="s">
        <v>1507</v>
      </c>
      <c r="C2174">
        <v>2905</v>
      </c>
      <c r="D2174" s="802"/>
      <c r="E2174" s="802"/>
      <c r="F2174" s="2">
        <f>(1/S2174)*cnst_fish!$C$6</f>
        <v>0.99790878883162693</v>
      </c>
      <c r="G2174" s="2">
        <f t="shared" si="312"/>
        <v>1</v>
      </c>
      <c r="H2174" s="2">
        <f t="shared" si="312"/>
        <v>0.36449057933102513</v>
      </c>
      <c r="I2174" s="2">
        <f t="shared" si="304"/>
        <v>0</v>
      </c>
      <c r="J2174" s="389">
        <f t="shared" si="305"/>
        <v>0</v>
      </c>
      <c r="L2174" s="803">
        <v>793</v>
      </c>
      <c r="M2174" s="802"/>
      <c r="N2174" s="804" t="s">
        <v>1738</v>
      </c>
      <c r="O2174" s="805" t="s">
        <v>4685</v>
      </c>
      <c r="P2174" s="233">
        <f t="shared" si="306"/>
        <v>0</v>
      </c>
      <c r="Q2174" s="233">
        <f t="shared" si="307"/>
        <v>793</v>
      </c>
      <c r="R2174" s="2">
        <f t="shared" si="308"/>
        <v>2.48</v>
      </c>
      <c r="S2174" s="2">
        <f>(1/9)*cnst_fish!$C$7*(1/cnst_fish!$C$8)^(R2174-1)</f>
        <v>4.2589062723618172</v>
      </c>
      <c r="T2174" s="682">
        <f t="shared" si="309"/>
        <v>289.64674191107025</v>
      </c>
    </row>
    <row r="2175" spans="1:20" ht="12.75" customHeight="1">
      <c r="A2175" t="s">
        <v>8797</v>
      </c>
      <c r="B2175" t="s">
        <v>8798</v>
      </c>
      <c r="C2175">
        <v>15622</v>
      </c>
      <c r="D2175" s="802"/>
      <c r="E2175" s="802"/>
      <c r="F2175" s="2">
        <f>(1/S2175)*cnst_fish!$C$6</f>
        <v>0.23938164528281752</v>
      </c>
      <c r="G2175" s="2">
        <f t="shared" si="312"/>
        <v>1</v>
      </c>
      <c r="H2175" s="2">
        <f t="shared" si="312"/>
        <v>0.36449057933102513</v>
      </c>
      <c r="I2175" s="2">
        <f t="shared" si="304"/>
        <v>0</v>
      </c>
      <c r="J2175" s="389">
        <f t="shared" si="305"/>
        <v>0</v>
      </c>
      <c r="L2175" s="803">
        <v>0</v>
      </c>
      <c r="M2175" s="802"/>
      <c r="N2175" s="804" t="s">
        <v>1738</v>
      </c>
      <c r="O2175" s="805" t="s">
        <v>4681</v>
      </c>
      <c r="P2175" s="233">
        <f t="shared" si="306"/>
        <v>0</v>
      </c>
      <c r="Q2175" s="233">
        <f t="shared" si="307"/>
        <v>0</v>
      </c>
      <c r="R2175" s="2">
        <f t="shared" si="308"/>
        <v>3.1</v>
      </c>
      <c r="S2175" s="2">
        <f>(1/9)*cnst_fish!$C$7*(1/cnst_fish!$C$8)^(R2175-1)</f>
        <v>17.754076320174157</v>
      </c>
      <c r="T2175" s="682">
        <f t="shared" si="309"/>
        <v>0</v>
      </c>
    </row>
    <row r="2176" spans="1:20" ht="12.75" customHeight="1">
      <c r="A2176" t="s">
        <v>3018</v>
      </c>
      <c r="B2176" t="s">
        <v>2434</v>
      </c>
      <c r="C2176">
        <v>2288</v>
      </c>
      <c r="D2176" s="802"/>
      <c r="E2176" s="802"/>
      <c r="F2176" s="2">
        <f>(1/S2176)*cnst_fish!$C$6</f>
        <v>9.5299549485983348E-2</v>
      </c>
      <c r="G2176" s="2">
        <f t="shared" si="312"/>
        <v>1</v>
      </c>
      <c r="H2176" s="2">
        <f t="shared" si="312"/>
        <v>0.36449057933102513</v>
      </c>
      <c r="I2176" s="2">
        <f t="shared" si="304"/>
        <v>0</v>
      </c>
      <c r="J2176" s="389">
        <f t="shared" si="305"/>
        <v>0</v>
      </c>
      <c r="L2176" s="803">
        <v>13317.94</v>
      </c>
      <c r="M2176" s="802"/>
      <c r="N2176" s="804" t="s">
        <v>1738</v>
      </c>
      <c r="O2176" s="805" t="s">
        <v>4681</v>
      </c>
      <c r="P2176" s="233">
        <f t="shared" si="306"/>
        <v>0</v>
      </c>
      <c r="Q2176" s="233">
        <f t="shared" si="307"/>
        <v>13317.94</v>
      </c>
      <c r="R2176" s="2">
        <f t="shared" si="308"/>
        <v>3.5</v>
      </c>
      <c r="S2176" s="2">
        <f>(1/9)*cnst_fish!$C$7*(1/cnst_fish!$C$8)^(R2176-1)</f>
        <v>44.596223412631026</v>
      </c>
      <c r="T2176" s="682">
        <f t="shared" si="309"/>
        <v>50936.900460476973</v>
      </c>
    </row>
    <row r="2177" spans="1:20" ht="12.75" customHeight="1">
      <c r="A2177" t="s">
        <v>8372</v>
      </c>
      <c r="B2177" t="s">
        <v>8373</v>
      </c>
      <c r="C2177">
        <v>15623</v>
      </c>
      <c r="D2177" s="802"/>
      <c r="E2177" s="802"/>
      <c r="F2177" s="2">
        <f>(1/S2177)*cnst_fish!$C$6</f>
        <v>9.5299549485983348E-2</v>
      </c>
      <c r="G2177" s="2">
        <f t="shared" si="312"/>
        <v>1</v>
      </c>
      <c r="H2177" s="2">
        <f t="shared" si="312"/>
        <v>0.36449057933102513</v>
      </c>
      <c r="I2177" s="2">
        <f t="shared" si="304"/>
        <v>0</v>
      </c>
      <c r="J2177" s="389">
        <f t="shared" si="305"/>
        <v>0</v>
      </c>
      <c r="L2177" s="803">
        <v>130</v>
      </c>
      <c r="M2177" s="802"/>
      <c r="N2177" s="804" t="s">
        <v>1738</v>
      </c>
      <c r="O2177" s="805" t="s">
        <v>4681</v>
      </c>
      <c r="P2177" s="233">
        <f t="shared" si="306"/>
        <v>0</v>
      </c>
      <c r="Q2177" s="233">
        <f t="shared" si="307"/>
        <v>130</v>
      </c>
      <c r="R2177" s="2">
        <f t="shared" si="308"/>
        <v>3.5</v>
      </c>
      <c r="S2177" s="2">
        <f>(1/9)*cnst_fish!$C$7*(1/cnst_fish!$C$8)^(R2177-1)</f>
        <v>44.596223412631026</v>
      </c>
      <c r="T2177" s="682">
        <f t="shared" si="309"/>
        <v>497.20880705739819</v>
      </c>
    </row>
    <row r="2178" spans="1:20" ht="12.75" customHeight="1">
      <c r="A2178" t="s">
        <v>5496</v>
      </c>
      <c r="B2178" t="s">
        <v>3725</v>
      </c>
      <c r="C2178">
        <v>3603</v>
      </c>
      <c r="D2178" s="802"/>
      <c r="E2178" s="802"/>
      <c r="F2178" s="2">
        <f>(1/S2178)*cnst_fish!$C$6</f>
        <v>1.1997502458044034</v>
      </c>
      <c r="G2178" s="2">
        <f t="shared" si="312"/>
        <v>1</v>
      </c>
      <c r="H2178" s="2">
        <f t="shared" si="312"/>
        <v>0.36449057933102513</v>
      </c>
      <c r="I2178" s="2">
        <f t="shared" si="304"/>
        <v>0</v>
      </c>
      <c r="J2178" s="389">
        <f t="shared" si="305"/>
        <v>0</v>
      </c>
      <c r="L2178" s="803">
        <v>418.51</v>
      </c>
      <c r="M2178" s="802"/>
      <c r="N2178" s="804" t="s">
        <v>2310</v>
      </c>
      <c r="O2178" s="805"/>
      <c r="P2178" s="233">
        <f t="shared" si="306"/>
        <v>0</v>
      </c>
      <c r="Q2178" s="233">
        <f t="shared" si="307"/>
        <v>418.51</v>
      </c>
      <c r="R2178" s="2">
        <f t="shared" si="308"/>
        <v>2.4</v>
      </c>
      <c r="S2178" s="2">
        <f>(1/9)*cnst_fish!$C$7*(1/cnst_fish!$C$8)^(R2178-1)</f>
        <v>3.5424039418724838</v>
      </c>
      <c r="T2178" s="682">
        <f t="shared" si="309"/>
        <v>127.14558958356453</v>
      </c>
    </row>
    <row r="2179" spans="1:20" ht="12.75" customHeight="1">
      <c r="A2179" t="s">
        <v>5511</v>
      </c>
      <c r="B2179" t="s">
        <v>3725</v>
      </c>
      <c r="C2179">
        <v>3604</v>
      </c>
      <c r="D2179" s="802"/>
      <c r="E2179" s="802"/>
      <c r="F2179" s="2">
        <f>(1/S2179)*cnst_fish!$C$6</f>
        <v>1.1997502458044034</v>
      </c>
      <c r="G2179" s="2">
        <f t="shared" si="312"/>
        <v>1</v>
      </c>
      <c r="H2179" s="2">
        <f t="shared" si="312"/>
        <v>0.36449057933102513</v>
      </c>
      <c r="I2179" s="2">
        <f t="shared" si="304"/>
        <v>0</v>
      </c>
      <c r="J2179" s="389">
        <f t="shared" si="305"/>
        <v>0</v>
      </c>
      <c r="L2179" s="803"/>
      <c r="M2179" s="802">
        <v>29</v>
      </c>
      <c r="N2179" s="804" t="s">
        <v>2310</v>
      </c>
      <c r="O2179" s="805"/>
      <c r="P2179" s="233">
        <f t="shared" si="306"/>
        <v>0</v>
      </c>
      <c r="Q2179" s="233">
        <f t="shared" si="307"/>
        <v>29</v>
      </c>
      <c r="R2179" s="2">
        <f t="shared" si="308"/>
        <v>2.4</v>
      </c>
      <c r="S2179" s="2">
        <f>(1/9)*cnst_fish!$C$7*(1/cnst_fish!$C$8)^(R2179-1)</f>
        <v>3.5424039418724838</v>
      </c>
      <c r="T2179" s="682">
        <f t="shared" si="309"/>
        <v>8.8103560199836846</v>
      </c>
    </row>
    <row r="2180" spans="1:20" ht="12.75" customHeight="1">
      <c r="A2180" t="s">
        <v>3708</v>
      </c>
      <c r="B2180" t="s">
        <v>2435</v>
      </c>
      <c r="C2180">
        <v>3374</v>
      </c>
      <c r="D2180" s="802"/>
      <c r="E2180" s="802"/>
      <c r="F2180" s="2">
        <f>(1/S2180)*cnst_fish!$C$6</f>
        <v>0.11724405960509449</v>
      </c>
      <c r="G2180" s="2">
        <f t="shared" si="312"/>
        <v>1</v>
      </c>
      <c r="H2180" s="2">
        <f t="shared" si="312"/>
        <v>0.36449057933102513</v>
      </c>
      <c r="I2180" s="2">
        <f t="shared" si="304"/>
        <v>0</v>
      </c>
      <c r="J2180" s="389">
        <f t="shared" si="305"/>
        <v>0</v>
      </c>
      <c r="L2180" s="803">
        <v>11627</v>
      </c>
      <c r="M2180" s="802"/>
      <c r="N2180" s="804" t="s">
        <v>1738</v>
      </c>
      <c r="O2180" s="805" t="s">
        <v>4681</v>
      </c>
      <c r="P2180" s="233">
        <f t="shared" si="306"/>
        <v>0</v>
      </c>
      <c r="Q2180" s="233">
        <f t="shared" si="307"/>
        <v>11627</v>
      </c>
      <c r="R2180" s="2">
        <f t="shared" si="308"/>
        <v>3.41</v>
      </c>
      <c r="S2180" s="2">
        <f>(1/9)*cnst_fish!$C$7*(1/cnst_fish!$C$8)^(R2180-1)</f>
        <v>36.24917129545836</v>
      </c>
      <c r="T2180" s="682">
        <f t="shared" si="309"/>
        <v>36146.240416411536</v>
      </c>
    </row>
    <row r="2181" spans="1:20" ht="12.75" customHeight="1">
      <c r="A2181" t="s">
        <v>4455</v>
      </c>
      <c r="B2181" t="s">
        <v>4021</v>
      </c>
      <c r="C2181">
        <v>3305</v>
      </c>
      <c r="D2181" s="802">
        <v>2</v>
      </c>
      <c r="E2181" s="802"/>
      <c r="F2181" s="2">
        <f>(1/S2181)*cnst_fish!$C$6</f>
        <v>9.979087888316248E-3</v>
      </c>
      <c r="G2181" s="2">
        <f t="shared" si="312"/>
        <v>1</v>
      </c>
      <c r="H2181" s="2">
        <f t="shared" si="312"/>
        <v>0.36449057933102513</v>
      </c>
      <c r="I2181" s="2">
        <f t="shared" si="304"/>
        <v>73.05088068375052</v>
      </c>
      <c r="J2181" s="389">
        <f t="shared" si="305"/>
        <v>0</v>
      </c>
      <c r="L2181" s="803">
        <v>306</v>
      </c>
      <c r="M2181" s="802"/>
      <c r="N2181" s="804" t="s">
        <v>1738</v>
      </c>
      <c r="O2181" s="805" t="s">
        <v>4699</v>
      </c>
      <c r="P2181" s="233">
        <f t="shared" si="306"/>
        <v>2</v>
      </c>
      <c r="Q2181" s="233">
        <f t="shared" si="307"/>
        <v>306</v>
      </c>
      <c r="R2181" s="2">
        <f t="shared" si="308"/>
        <v>4.4800000000000004</v>
      </c>
      <c r="S2181" s="2">
        <f>(1/9)*cnst_fish!$C$7*(1/cnst_fish!$C$8)^(R2181-1)</f>
        <v>425.89062723618264</v>
      </c>
      <c r="T2181" s="682">
        <f t="shared" si="309"/>
        <v>11176.784744613831</v>
      </c>
    </row>
    <row r="2182" spans="1:20" ht="12.75" customHeight="1">
      <c r="A2182" t="s">
        <v>1701</v>
      </c>
      <c r="B2182" t="s">
        <v>323</v>
      </c>
      <c r="C2182">
        <v>2502</v>
      </c>
      <c r="D2182" s="802"/>
      <c r="E2182" s="802"/>
      <c r="F2182" s="2">
        <f>(1/S2182)*cnst_fish!$C$6</f>
        <v>9.5299549485983424E-3</v>
      </c>
      <c r="G2182" s="2">
        <f t="shared" si="312"/>
        <v>1</v>
      </c>
      <c r="H2182" s="2">
        <f t="shared" si="312"/>
        <v>0.36449057933102513</v>
      </c>
      <c r="I2182" s="2">
        <f t="shared" si="304"/>
        <v>0</v>
      </c>
      <c r="J2182" s="389">
        <f t="shared" si="305"/>
        <v>0</v>
      </c>
      <c r="L2182" s="803">
        <v>500.41</v>
      </c>
      <c r="M2182" s="802"/>
      <c r="N2182" s="804" t="s">
        <v>1738</v>
      </c>
      <c r="O2182" s="805" t="s">
        <v>4699</v>
      </c>
      <c r="P2182" s="233">
        <f t="shared" si="306"/>
        <v>0</v>
      </c>
      <c r="Q2182" s="233">
        <f t="shared" si="307"/>
        <v>500.41</v>
      </c>
      <c r="R2182" s="2">
        <f t="shared" si="308"/>
        <v>4.5</v>
      </c>
      <c r="S2182" s="2">
        <f>(1/9)*cnst_fish!$C$7*(1/cnst_fish!$C$8)^(R2182-1)</f>
        <v>445.96223412630997</v>
      </c>
      <c r="T2182" s="682">
        <f t="shared" si="309"/>
        <v>19139.096856891727</v>
      </c>
    </row>
    <row r="2183" spans="1:20" ht="12.75" customHeight="1">
      <c r="A2183" t="s">
        <v>4716</v>
      </c>
      <c r="B2183" t="s">
        <v>324</v>
      </c>
      <c r="C2183">
        <v>2501</v>
      </c>
      <c r="D2183" s="802"/>
      <c r="E2183" s="802"/>
      <c r="F2183" s="2">
        <f>(1/S2183)*cnst_fish!$C$6</f>
        <v>7.926671266484709E-3</v>
      </c>
      <c r="G2183" s="2">
        <f t="shared" si="312"/>
        <v>1</v>
      </c>
      <c r="H2183" s="2">
        <f t="shared" si="312"/>
        <v>0.36449057933102513</v>
      </c>
      <c r="I2183" s="2">
        <f t="shared" ref="I2183:I2246" si="313">IF($F2183=0,0,D2183/$F2183*$H2183*$G2183)</f>
        <v>0</v>
      </c>
      <c r="J2183" s="389">
        <f t="shared" ref="J2183:J2246" si="314">IF($F2183=0,0,E2183/$F2183*$H2183*$G2183)</f>
        <v>0</v>
      </c>
      <c r="L2183" s="803">
        <v>9644.619999999999</v>
      </c>
      <c r="M2183" s="802"/>
      <c r="N2183" s="804" t="s">
        <v>1738</v>
      </c>
      <c r="O2183" s="805" t="s">
        <v>4699</v>
      </c>
      <c r="P2183" s="233">
        <f t="shared" ref="P2183:P2246" si="315">D2183+E2183</f>
        <v>0</v>
      </c>
      <c r="Q2183" s="233">
        <f t="shared" ref="Q2183:Q2246" si="316">L2183+M2183</f>
        <v>9644.619999999999</v>
      </c>
      <c r="R2183" s="2">
        <f t="shared" ref="R2183:R2246" si="317">VLOOKUP(B2183,constant_fish_trophic,3,FALSE)</f>
        <v>4.58</v>
      </c>
      <c r="S2183" s="2">
        <f>(1/9)*cnst_fish!$C$7*(1/cnst_fish!$C$8)^(R2183-1)</f>
        <v>536.16453327258694</v>
      </c>
      <c r="T2183" s="682">
        <f t="shared" ref="T2183:T2246" si="318">IF(F2183=0,0,Q2183/F2183*H2183*G2183)</f>
        <v>443486.6809843845</v>
      </c>
    </row>
    <row r="2184" spans="1:20" ht="12.75" customHeight="1">
      <c r="A2184" t="s">
        <v>6505</v>
      </c>
      <c r="B2184" t="s">
        <v>6504</v>
      </c>
      <c r="C2184">
        <v>3304</v>
      </c>
      <c r="D2184" s="802"/>
      <c r="E2184" s="802"/>
      <c r="F2184" s="2">
        <f>(1/S2184)*cnst_fish!$C$6</f>
        <v>9.5299549485983424E-3</v>
      </c>
      <c r="G2184" s="2">
        <f t="shared" si="312"/>
        <v>1</v>
      </c>
      <c r="H2184" s="2">
        <f t="shared" si="312"/>
        <v>0.36449057933102513</v>
      </c>
      <c r="I2184" s="2">
        <f t="shared" si="313"/>
        <v>0</v>
      </c>
      <c r="J2184" s="389">
        <f t="shared" si="314"/>
        <v>0</v>
      </c>
      <c r="L2184" s="803">
        <v>24</v>
      </c>
      <c r="M2184" s="802"/>
      <c r="N2184" s="804" t="s">
        <v>1738</v>
      </c>
      <c r="O2184" s="805" t="s">
        <v>4699</v>
      </c>
      <c r="P2184" s="233">
        <f t="shared" si="315"/>
        <v>0</v>
      </c>
      <c r="Q2184" s="233">
        <f t="shared" si="316"/>
        <v>24</v>
      </c>
      <c r="R2184" s="2">
        <f t="shared" si="317"/>
        <v>4.5</v>
      </c>
      <c r="S2184" s="2">
        <f>(1/9)*cnst_fish!$C$7*(1/cnst_fish!$C$8)^(R2184-1)</f>
        <v>445.96223412630997</v>
      </c>
      <c r="T2184" s="682">
        <f t="shared" si="318"/>
        <v>917.92395149058063</v>
      </c>
    </row>
    <row r="2185" spans="1:20" ht="12.75" customHeight="1">
      <c r="A2185" t="s">
        <v>6611</v>
      </c>
      <c r="B2185" t="s">
        <v>6610</v>
      </c>
      <c r="C2185">
        <v>3307</v>
      </c>
      <c r="D2185" s="802"/>
      <c r="E2185" s="802"/>
      <c r="F2185" s="2">
        <f>(1/S2185)*cnst_fish!$C$6</f>
        <v>1.1997502458044018E-2</v>
      </c>
      <c r="G2185" s="2">
        <f t="shared" si="312"/>
        <v>1</v>
      </c>
      <c r="H2185" s="2">
        <f t="shared" si="312"/>
        <v>0.36449057933102513</v>
      </c>
      <c r="I2185" s="2">
        <f t="shared" si="313"/>
        <v>0</v>
      </c>
      <c r="J2185" s="389">
        <f t="shared" si="314"/>
        <v>0</v>
      </c>
      <c r="L2185" s="803">
        <v>0</v>
      </c>
      <c r="M2185" s="802"/>
      <c r="N2185" s="804" t="s">
        <v>1738</v>
      </c>
      <c r="O2185" s="805" t="s">
        <v>4699</v>
      </c>
      <c r="P2185" s="233">
        <f t="shared" si="315"/>
        <v>0</v>
      </c>
      <c r="Q2185" s="233">
        <f t="shared" si="316"/>
        <v>0</v>
      </c>
      <c r="R2185" s="2">
        <f t="shared" si="317"/>
        <v>4.4000000000000004</v>
      </c>
      <c r="S2185" s="2">
        <f>(1/9)*cnst_fish!$C$7*(1/cnst_fish!$C$8)^(R2185-1)</f>
        <v>354.24039418724885</v>
      </c>
      <c r="T2185" s="682">
        <f t="shared" si="318"/>
        <v>0</v>
      </c>
    </row>
    <row r="2186" spans="1:20" ht="12.75" customHeight="1">
      <c r="A2186" t="s">
        <v>2623</v>
      </c>
      <c r="B2186" t="s">
        <v>2273</v>
      </c>
      <c r="C2186">
        <v>3306</v>
      </c>
      <c r="D2186" s="802"/>
      <c r="E2186" s="802"/>
      <c r="F2186" s="2">
        <f>(1/S2186)*cnst_fish!$C$6</f>
        <v>1.581578846116358E-2</v>
      </c>
      <c r="G2186" s="2">
        <f t="shared" si="312"/>
        <v>1</v>
      </c>
      <c r="H2186" s="2">
        <f t="shared" si="312"/>
        <v>0.36449057933102513</v>
      </c>
      <c r="I2186" s="2">
        <f t="shared" si="313"/>
        <v>0</v>
      </c>
      <c r="J2186" s="389">
        <f t="shared" si="314"/>
        <v>0</v>
      </c>
      <c r="L2186" s="803">
        <v>203</v>
      </c>
      <c r="M2186" s="802"/>
      <c r="N2186" s="804" t="s">
        <v>1738</v>
      </c>
      <c r="O2186" s="805" t="s">
        <v>4699</v>
      </c>
      <c r="P2186" s="233">
        <f t="shared" si="315"/>
        <v>0</v>
      </c>
      <c r="Q2186" s="233">
        <f t="shared" si="316"/>
        <v>203</v>
      </c>
      <c r="R2186" s="2">
        <f t="shared" si="317"/>
        <v>4.28</v>
      </c>
      <c r="S2186" s="2">
        <f>(1/9)*cnst_fish!$C$7*(1/cnst_fish!$C$8)^(R2186-1)</f>
        <v>268.71881919994547</v>
      </c>
      <c r="T2186" s="682">
        <f t="shared" si="318"/>
        <v>4678.3369533481027</v>
      </c>
    </row>
    <row r="2187" spans="1:20" ht="12.75" customHeight="1">
      <c r="A2187" t="s">
        <v>2382</v>
      </c>
      <c r="B2187" t="s">
        <v>76</v>
      </c>
      <c r="C2187">
        <v>2130</v>
      </c>
      <c r="D2187" s="802"/>
      <c r="E2187" s="802"/>
      <c r="F2187" s="2">
        <f>(1/S2187)*cnst_fish!$C$6</f>
        <v>0.16946922663690964</v>
      </c>
      <c r="G2187" s="2">
        <f t="shared" si="312"/>
        <v>1</v>
      </c>
      <c r="H2187" s="2">
        <f t="shared" si="312"/>
        <v>0.36449057933102513</v>
      </c>
      <c r="I2187" s="2">
        <f t="shared" si="313"/>
        <v>0</v>
      </c>
      <c r="J2187" s="389">
        <f t="shared" si="314"/>
        <v>0</v>
      </c>
      <c r="L2187" s="803">
        <v>5962</v>
      </c>
      <c r="M2187" s="802"/>
      <c r="N2187" s="804" t="s">
        <v>1738</v>
      </c>
      <c r="O2187" s="805" t="s">
        <v>4685</v>
      </c>
      <c r="P2187" s="233">
        <f t="shared" si="315"/>
        <v>0</v>
      </c>
      <c r="Q2187" s="233">
        <f t="shared" si="316"/>
        <v>5962</v>
      </c>
      <c r="R2187" s="2">
        <f t="shared" si="317"/>
        <v>3.25</v>
      </c>
      <c r="S2187" s="2">
        <f>(1/9)*cnst_fish!$C$7*(1/cnst_fish!$C$8)^(R2187-1)</f>
        <v>25.078299372343796</v>
      </c>
      <c r="T2187" s="682">
        <f t="shared" si="318"/>
        <v>12822.934742172725</v>
      </c>
    </row>
    <row r="2188" spans="1:20" ht="12.75" customHeight="1">
      <c r="A2188" t="s">
        <v>3853</v>
      </c>
      <c r="B2188" t="s">
        <v>3854</v>
      </c>
      <c r="C2188">
        <v>18375</v>
      </c>
      <c r="D2188" s="802"/>
      <c r="E2188" s="802"/>
      <c r="F2188" s="2">
        <f>(1/S2188)*cnst_fish!$C$6</f>
        <v>0.14481532779905856</v>
      </c>
      <c r="G2188" s="2">
        <f t="shared" ref="G2188:H2207" si="319">G$7</f>
        <v>1</v>
      </c>
      <c r="H2188" s="2">
        <f t="shared" si="319"/>
        <v>0.36449057933102513</v>
      </c>
      <c r="I2188" s="2">
        <f t="shared" si="313"/>
        <v>0</v>
      </c>
      <c r="J2188" s="389">
        <f t="shared" si="314"/>
        <v>0</v>
      </c>
      <c r="L2188" s="803">
        <v>75</v>
      </c>
      <c r="M2188" s="802"/>
      <c r="N2188" s="804" t="s">
        <v>1736</v>
      </c>
      <c r="O2188" s="805" t="s">
        <v>4691</v>
      </c>
      <c r="P2188" s="233">
        <f t="shared" si="315"/>
        <v>0</v>
      </c>
      <c r="Q2188" s="233">
        <f t="shared" si="316"/>
        <v>75</v>
      </c>
      <c r="R2188" s="2">
        <f t="shared" si="317"/>
        <v>3.3182763159269002</v>
      </c>
      <c r="S2188" s="2">
        <f>(1/9)*cnst_fish!$C$7*(1/cnst_fish!$C$8)^(R2188-1)</f>
        <v>29.347722127157517</v>
      </c>
      <c r="T2188" s="682">
        <f t="shared" si="318"/>
        <v>188.77002776776922</v>
      </c>
    </row>
    <row r="2189" spans="1:20" ht="12.75" customHeight="1">
      <c r="A2189" t="s">
        <v>5073</v>
      </c>
      <c r="B2189" t="s">
        <v>4412</v>
      </c>
      <c r="C2189">
        <v>16342</v>
      </c>
      <c r="D2189" s="802"/>
      <c r="E2189" s="802"/>
      <c r="F2189" s="2">
        <f>(1/S2189)*cnst_fish!$C$6</f>
        <v>0.3314045734418738</v>
      </c>
      <c r="G2189" s="2">
        <f t="shared" si="319"/>
        <v>1</v>
      </c>
      <c r="H2189" s="2">
        <f t="shared" si="319"/>
        <v>0.36449057933102513</v>
      </c>
      <c r="I2189" s="2">
        <f t="shared" si="313"/>
        <v>0</v>
      </c>
      <c r="J2189" s="389">
        <f t="shared" si="314"/>
        <v>0</v>
      </c>
      <c r="L2189" s="803">
        <v>891</v>
      </c>
      <c r="M2189" s="802"/>
      <c r="N2189" s="804" t="s">
        <v>3790</v>
      </c>
      <c r="O2189" s="805" t="s">
        <v>4680</v>
      </c>
      <c r="P2189" s="233">
        <f t="shared" si="315"/>
        <v>0</v>
      </c>
      <c r="Q2189" s="233">
        <f t="shared" si="316"/>
        <v>891</v>
      </c>
      <c r="R2189" s="2">
        <f t="shared" si="317"/>
        <v>2.9587323501170402</v>
      </c>
      <c r="S2189" s="2">
        <f>(1/9)*cnst_fish!$C$7*(1/cnst_fish!$C$8)^(R2189-1)</f>
        <v>12.824204433453367</v>
      </c>
      <c r="T2189" s="682">
        <f t="shared" si="318"/>
        <v>979.95360417349332</v>
      </c>
    </row>
    <row r="2190" spans="1:20" ht="12.75" customHeight="1">
      <c r="A2190" t="s">
        <v>4486</v>
      </c>
      <c r="B2190" t="s">
        <v>5362</v>
      </c>
      <c r="C2190">
        <v>3017</v>
      </c>
      <c r="D2190" s="802">
        <v>3357</v>
      </c>
      <c r="E2190" s="802"/>
      <c r="F2190" s="2">
        <f>(1/S2190)*cnst_fish!$C$6</f>
        <v>0.10692785320993656</v>
      </c>
      <c r="G2190" s="2">
        <f t="shared" si="319"/>
        <v>1</v>
      </c>
      <c r="H2190" s="2">
        <f t="shared" si="319"/>
        <v>0.36449057933102513</v>
      </c>
      <c r="I2190" s="2">
        <f t="shared" si="313"/>
        <v>11443.181903333541</v>
      </c>
      <c r="J2190" s="389">
        <f t="shared" si="314"/>
        <v>0</v>
      </c>
      <c r="L2190" s="803">
        <v>3396705</v>
      </c>
      <c r="M2190" s="802"/>
      <c r="N2190" s="804" t="s">
        <v>1738</v>
      </c>
      <c r="O2190" s="805" t="s">
        <v>4681</v>
      </c>
      <c r="P2190" s="233">
        <f t="shared" si="315"/>
        <v>3357</v>
      </c>
      <c r="Q2190" s="233">
        <f t="shared" si="316"/>
        <v>3396705</v>
      </c>
      <c r="R2190" s="2">
        <f t="shared" si="317"/>
        <v>3.45</v>
      </c>
      <c r="S2190" s="2">
        <f>(1/9)*cnst_fish!$C$7*(1/cnst_fish!$C$8)^(R2190-1)</f>
        <v>39.746425953729492</v>
      </c>
      <c r="T2190" s="682">
        <f t="shared" si="318"/>
        <v>11578526.418517295</v>
      </c>
    </row>
    <row r="2191" spans="1:20" ht="12.75" customHeight="1">
      <c r="A2191" t="s">
        <v>2871</v>
      </c>
      <c r="B2191" t="s">
        <v>2274</v>
      </c>
      <c r="C2191">
        <v>2496</v>
      </c>
      <c r="D2191" s="802">
        <v>2742</v>
      </c>
      <c r="E2191" s="802"/>
      <c r="F2191" s="2">
        <f>(1/S2191)*cnst_fish!$C$6</f>
        <v>1.4760152601876367E-2</v>
      </c>
      <c r="G2191" s="2">
        <f t="shared" si="319"/>
        <v>1</v>
      </c>
      <c r="H2191" s="2">
        <f t="shared" si="319"/>
        <v>0.36449057933102513</v>
      </c>
      <c r="I2191" s="2">
        <f t="shared" si="313"/>
        <v>67711.574228481841</v>
      </c>
      <c r="J2191" s="389">
        <f t="shared" si="314"/>
        <v>0</v>
      </c>
      <c r="L2191" s="803">
        <v>234227.8</v>
      </c>
      <c r="M2191" s="802"/>
      <c r="N2191" s="804" t="s">
        <v>2843</v>
      </c>
      <c r="O2191" s="805" t="s">
        <v>4699</v>
      </c>
      <c r="P2191" s="233">
        <f t="shared" si="315"/>
        <v>2742</v>
      </c>
      <c r="Q2191" s="233">
        <f t="shared" si="316"/>
        <v>234227.8</v>
      </c>
      <c r="R2191" s="2">
        <f t="shared" si="317"/>
        <v>4.3099999999999996</v>
      </c>
      <c r="S2191" s="2">
        <f>(1/9)*cnst_fish!$C$7*(1/cnst_fish!$C$8)^(R2191-1)</f>
        <v>287.93740245339495</v>
      </c>
      <c r="T2191" s="682">
        <f t="shared" si="318"/>
        <v>5784074.7870437624</v>
      </c>
    </row>
    <row r="2192" spans="1:20" ht="12.75" customHeight="1">
      <c r="A2192" t="s">
        <v>4609</v>
      </c>
      <c r="B2192" t="s">
        <v>2275</v>
      </c>
      <c r="C2192">
        <v>2497</v>
      </c>
      <c r="D2192" s="802">
        <v>15</v>
      </c>
      <c r="E2192" s="802"/>
      <c r="F2192" s="2">
        <f>(1/S2192)*cnst_fish!$C$6</f>
        <v>1.3774975896121007E-2</v>
      </c>
      <c r="G2192" s="2">
        <f t="shared" si="319"/>
        <v>1</v>
      </c>
      <c r="H2192" s="2">
        <f t="shared" si="319"/>
        <v>0.36449057933102513</v>
      </c>
      <c r="I2192" s="2">
        <f t="shared" si="313"/>
        <v>396.90513661842186</v>
      </c>
      <c r="J2192" s="389">
        <f t="shared" si="314"/>
        <v>0</v>
      </c>
      <c r="L2192" s="803">
        <v>1560625.24</v>
      </c>
      <c r="M2192" s="802"/>
      <c r="N2192" s="804" t="s">
        <v>2843</v>
      </c>
      <c r="O2192" s="805" t="s">
        <v>4699</v>
      </c>
      <c r="P2192" s="233">
        <f t="shared" si="315"/>
        <v>15</v>
      </c>
      <c r="Q2192" s="233">
        <f t="shared" si="316"/>
        <v>1560625.24</v>
      </c>
      <c r="R2192" s="2">
        <f t="shared" si="317"/>
        <v>4.34</v>
      </c>
      <c r="S2192" s="2">
        <f>(1/9)*cnst_fish!$C$7*(1/cnst_fish!$C$8)^(R2192-1)</f>
        <v>308.53048542878304</v>
      </c>
      <c r="T2192" s="682">
        <f t="shared" si="318"/>
        <v>41294678.272823833</v>
      </c>
    </row>
    <row r="2193" spans="1:20" ht="12.75" customHeight="1">
      <c r="A2193" t="s">
        <v>5126</v>
      </c>
      <c r="B2193" t="s">
        <v>2276</v>
      </c>
      <c r="C2193">
        <v>3297</v>
      </c>
      <c r="D2193" s="802"/>
      <c r="E2193" s="802"/>
      <c r="F2193" s="2">
        <f>(1/S2193)*cnst_fish!$C$6</f>
        <v>2.234039499920492E-2</v>
      </c>
      <c r="G2193" s="2">
        <f t="shared" si="319"/>
        <v>1</v>
      </c>
      <c r="H2193" s="2">
        <f t="shared" si="319"/>
        <v>0.36449057933102513</v>
      </c>
      <c r="I2193" s="2">
        <f t="shared" si="313"/>
        <v>0</v>
      </c>
      <c r="J2193" s="389">
        <f t="shared" si="314"/>
        <v>0</v>
      </c>
      <c r="L2193" s="803">
        <v>1660.01</v>
      </c>
      <c r="M2193" s="802"/>
      <c r="N2193" s="804" t="s">
        <v>2843</v>
      </c>
      <c r="O2193" s="805" t="s">
        <v>4699</v>
      </c>
      <c r="P2193" s="233">
        <f t="shared" si="315"/>
        <v>0</v>
      </c>
      <c r="Q2193" s="233">
        <f t="shared" si="316"/>
        <v>1660.01</v>
      </c>
      <c r="R2193" s="2">
        <f t="shared" si="317"/>
        <v>4.13</v>
      </c>
      <c r="S2193" s="2">
        <f>(1/9)*cnst_fish!$C$7*(1/cnst_fish!$C$8)^(R2193-1)</f>
        <v>190.23835523728451</v>
      </c>
      <c r="T2193" s="682">
        <f t="shared" si="318"/>
        <v>27083.585881844461</v>
      </c>
    </row>
    <row r="2194" spans="1:20" ht="12.75" customHeight="1">
      <c r="A2194" t="s">
        <v>2861</v>
      </c>
      <c r="B2194" t="s">
        <v>2277</v>
      </c>
      <c r="C2194">
        <v>3298</v>
      </c>
      <c r="D2194" s="802"/>
      <c r="E2194" s="802"/>
      <c r="F2194" s="2">
        <f>(1/S2194)*cnst_fish!$C$6</f>
        <v>3.5407139951132149E-2</v>
      </c>
      <c r="G2194" s="2">
        <f t="shared" si="319"/>
        <v>1</v>
      </c>
      <c r="H2194" s="2">
        <f t="shared" si="319"/>
        <v>0.36449057933102513</v>
      </c>
      <c r="I2194" s="2">
        <f t="shared" si="313"/>
        <v>0</v>
      </c>
      <c r="J2194" s="389">
        <f t="shared" si="314"/>
        <v>0</v>
      </c>
      <c r="L2194" s="803">
        <v>17135.96</v>
      </c>
      <c r="M2194" s="802"/>
      <c r="N2194" s="804" t="s">
        <v>2843</v>
      </c>
      <c r="O2194" s="805" t="s">
        <v>4699</v>
      </c>
      <c r="P2194" s="233">
        <f t="shared" si="315"/>
        <v>0</v>
      </c>
      <c r="Q2194" s="233">
        <f t="shared" si="316"/>
        <v>17135.96</v>
      </c>
      <c r="R2194" s="2">
        <f t="shared" si="317"/>
        <v>3.93</v>
      </c>
      <c r="S2194" s="2">
        <f>(1/9)*cnst_fish!$C$7*(1/cnst_fish!$C$8)^(R2194-1)</f>
        <v>120.03228743879681</v>
      </c>
      <c r="T2194" s="682">
        <f t="shared" si="318"/>
        <v>176402.16059285408</v>
      </c>
    </row>
    <row r="2195" spans="1:20" ht="12.75" customHeight="1">
      <c r="A2195" t="s">
        <v>2872</v>
      </c>
      <c r="B2195" t="s">
        <v>2278</v>
      </c>
      <c r="C2195">
        <v>2498</v>
      </c>
      <c r="D2195" s="802">
        <v>237</v>
      </c>
      <c r="E2195" s="802"/>
      <c r="F2195" s="2">
        <f>(1/S2195)*cnst_fish!$C$6</f>
        <v>9.7519361156519751E-3</v>
      </c>
      <c r="G2195" s="2">
        <f t="shared" si="319"/>
        <v>1</v>
      </c>
      <c r="H2195" s="2">
        <f t="shared" si="319"/>
        <v>0.36449057933102513</v>
      </c>
      <c r="I2195" s="2">
        <f t="shared" si="313"/>
        <v>8858.1658326088873</v>
      </c>
      <c r="J2195" s="389">
        <f t="shared" si="314"/>
        <v>0</v>
      </c>
      <c r="L2195" s="803">
        <v>423594.66</v>
      </c>
      <c r="M2195" s="802"/>
      <c r="N2195" s="804" t="s">
        <v>2843</v>
      </c>
      <c r="O2195" s="805" t="s">
        <v>4699</v>
      </c>
      <c r="P2195" s="233">
        <f t="shared" si="315"/>
        <v>237</v>
      </c>
      <c r="Q2195" s="233">
        <f t="shared" si="316"/>
        <v>423594.66</v>
      </c>
      <c r="R2195" s="2">
        <f t="shared" si="317"/>
        <v>4.49</v>
      </c>
      <c r="S2195" s="2">
        <f>(1/9)*cnst_fish!$C$7*(1/cnst_fish!$C$8)^(R2195-1)</f>
        <v>435.81089432883982</v>
      </c>
      <c r="T2195" s="682">
        <f t="shared" si="318"/>
        <v>15832370.22821763</v>
      </c>
    </row>
    <row r="2196" spans="1:20" ht="12.75" customHeight="1">
      <c r="A2196" t="s">
        <v>4607</v>
      </c>
      <c r="B2196" t="s">
        <v>2279</v>
      </c>
      <c r="C2196">
        <v>18734</v>
      </c>
      <c r="D2196" s="802"/>
      <c r="E2196" s="802"/>
      <c r="F2196" s="2">
        <f>(1/S2196)*cnst_fish!$C$6</f>
        <v>1.8581931192461935E-2</v>
      </c>
      <c r="G2196" s="2">
        <f t="shared" si="319"/>
        <v>1</v>
      </c>
      <c r="H2196" s="2">
        <f t="shared" si="319"/>
        <v>0.36449057933102513</v>
      </c>
      <c r="I2196" s="2">
        <f t="shared" si="313"/>
        <v>0</v>
      </c>
      <c r="J2196" s="389">
        <f t="shared" si="314"/>
        <v>0</v>
      </c>
      <c r="L2196" s="803">
        <v>13862</v>
      </c>
      <c r="M2196" s="802"/>
      <c r="N2196" s="804" t="s">
        <v>2843</v>
      </c>
      <c r="O2196" s="805" t="s">
        <v>4699</v>
      </c>
      <c r="P2196" s="233">
        <f t="shared" si="315"/>
        <v>0</v>
      </c>
      <c r="Q2196" s="233">
        <f t="shared" si="316"/>
        <v>13862</v>
      </c>
      <c r="R2196" s="2">
        <f t="shared" si="317"/>
        <v>4.21</v>
      </c>
      <c r="S2196" s="2">
        <f>(1/9)*cnst_fish!$C$7*(1/cnst_fish!$C$8)^(R2196-1)</f>
        <v>228.71680860190045</v>
      </c>
      <c r="T2196" s="682">
        <f t="shared" si="318"/>
        <v>271907.60520824272</v>
      </c>
    </row>
    <row r="2197" spans="1:20" ht="12.75" customHeight="1">
      <c r="A2197" t="s">
        <v>1327</v>
      </c>
      <c r="B2197" t="s">
        <v>2280</v>
      </c>
      <c r="C2197">
        <v>3296</v>
      </c>
      <c r="D2197" s="802">
        <v>511</v>
      </c>
      <c r="E2197" s="802"/>
      <c r="F2197" s="2">
        <f>(1/S2197)*cnst_fish!$C$6</f>
        <v>1.1196720767792065E-2</v>
      </c>
      <c r="G2197" s="2">
        <f t="shared" si="319"/>
        <v>1</v>
      </c>
      <c r="H2197" s="2">
        <f t="shared" si="319"/>
        <v>0.36449057933102513</v>
      </c>
      <c r="I2197" s="2">
        <f t="shared" si="313"/>
        <v>16634.753147897096</v>
      </c>
      <c r="J2197" s="389">
        <f t="shared" si="314"/>
        <v>0</v>
      </c>
      <c r="L2197" s="803">
        <v>30105.97</v>
      </c>
      <c r="M2197" s="802"/>
      <c r="N2197" s="804" t="s">
        <v>2843</v>
      </c>
      <c r="O2197" s="805" t="s">
        <v>4699</v>
      </c>
      <c r="P2197" s="233">
        <f t="shared" si="315"/>
        <v>511</v>
      </c>
      <c r="Q2197" s="233">
        <f t="shared" si="316"/>
        <v>30105.97</v>
      </c>
      <c r="R2197" s="2">
        <f t="shared" si="317"/>
        <v>4.43</v>
      </c>
      <c r="S2197" s="2">
        <f>(1/9)*cnst_fish!$C$7*(1/cnst_fish!$C$8)^(R2197-1)</f>
        <v>379.57542106661629</v>
      </c>
      <c r="T2197" s="682">
        <f t="shared" si="318"/>
        <v>980049.6658082105</v>
      </c>
    </row>
    <row r="2198" spans="1:20" ht="12.75" customHeight="1">
      <c r="A2198" t="s">
        <v>4399</v>
      </c>
      <c r="B2198" t="s">
        <v>2281</v>
      </c>
      <c r="C2198">
        <v>2495</v>
      </c>
      <c r="D2198" s="802"/>
      <c r="E2198" s="802"/>
      <c r="F2198" s="2">
        <f>(1/S2198)*cnst_fish!$C$6</f>
        <v>9.5299549485983424E-3</v>
      </c>
      <c r="G2198" s="2">
        <f t="shared" si="319"/>
        <v>1</v>
      </c>
      <c r="H2198" s="2">
        <f t="shared" si="319"/>
        <v>0.36449057933102513</v>
      </c>
      <c r="I2198" s="2">
        <f t="shared" si="313"/>
        <v>0</v>
      </c>
      <c r="J2198" s="389">
        <f t="shared" si="314"/>
        <v>0</v>
      </c>
      <c r="L2198" s="803">
        <v>226030.49</v>
      </c>
      <c r="M2198" s="802"/>
      <c r="N2198" s="804" t="s">
        <v>2843</v>
      </c>
      <c r="O2198" s="805" t="s">
        <v>4699</v>
      </c>
      <c r="P2198" s="233">
        <f t="shared" si="315"/>
        <v>0</v>
      </c>
      <c r="Q2198" s="233">
        <f t="shared" si="316"/>
        <v>226030.49</v>
      </c>
      <c r="R2198" s="2">
        <f t="shared" si="317"/>
        <v>4.5</v>
      </c>
      <c r="S2198" s="2">
        <f>(1/9)*cnst_fish!$C$7*(1/cnst_fish!$C$8)^(R2198-1)</f>
        <v>445.96223412630997</v>
      </c>
      <c r="T2198" s="682">
        <f t="shared" si="318"/>
        <v>8644950.0224230066</v>
      </c>
    </row>
    <row r="2199" spans="1:20" ht="12.75" customHeight="1">
      <c r="A2199" t="s">
        <v>4162</v>
      </c>
      <c r="B2199" t="s">
        <v>77</v>
      </c>
      <c r="C2199">
        <v>2122</v>
      </c>
      <c r="D2199" s="802"/>
      <c r="E2199" s="802"/>
      <c r="F2199" s="2">
        <f>(1/S2199)*cnst_fish!$C$6</f>
        <v>0.23938164528281752</v>
      </c>
      <c r="G2199" s="2">
        <f t="shared" si="319"/>
        <v>1</v>
      </c>
      <c r="H2199" s="2">
        <f t="shared" si="319"/>
        <v>0.36449057933102513</v>
      </c>
      <c r="I2199" s="2">
        <f t="shared" si="313"/>
        <v>0</v>
      </c>
      <c r="J2199" s="389">
        <f t="shared" si="314"/>
        <v>0</v>
      </c>
      <c r="L2199" s="803"/>
      <c r="M2199" s="802">
        <v>262</v>
      </c>
      <c r="N2199" s="804" t="s">
        <v>1738</v>
      </c>
      <c r="O2199" s="805" t="s">
        <v>4685</v>
      </c>
      <c r="P2199" s="233">
        <f t="shared" si="315"/>
        <v>0</v>
      </c>
      <c r="Q2199" s="233">
        <f t="shared" si="316"/>
        <v>262</v>
      </c>
      <c r="R2199" s="2">
        <f t="shared" si="317"/>
        <v>3.1</v>
      </c>
      <c r="S2199" s="2">
        <f>(1/9)*cnst_fish!$C$7*(1/cnst_fish!$C$8)^(R2199-1)</f>
        <v>17.754076320174157</v>
      </c>
      <c r="T2199" s="682">
        <f t="shared" si="318"/>
        <v>398.93005026306076</v>
      </c>
    </row>
    <row r="2200" spans="1:20" ht="12.75" customHeight="1">
      <c r="A2200" t="s">
        <v>2666</v>
      </c>
      <c r="B2200" t="s">
        <v>2667</v>
      </c>
      <c r="C2200">
        <v>16282</v>
      </c>
      <c r="D2200" s="802"/>
      <c r="E2200" s="802"/>
      <c r="F2200" s="2">
        <f>(1/S2200)*cnst_fish!$C$6</f>
        <v>0.14481532779905856</v>
      </c>
      <c r="G2200" s="2">
        <f t="shared" si="319"/>
        <v>1</v>
      </c>
      <c r="H2200" s="2">
        <f t="shared" si="319"/>
        <v>0.36449057933102513</v>
      </c>
      <c r="I2200" s="2">
        <f t="shared" si="313"/>
        <v>0</v>
      </c>
      <c r="J2200" s="389">
        <f t="shared" si="314"/>
        <v>0</v>
      </c>
      <c r="L2200" s="803">
        <v>0</v>
      </c>
      <c r="M2200" s="802"/>
      <c r="N2200" s="804" t="s">
        <v>3790</v>
      </c>
      <c r="O2200" s="805" t="s">
        <v>4680</v>
      </c>
      <c r="P2200" s="233">
        <f t="shared" si="315"/>
        <v>0</v>
      </c>
      <c r="Q2200" s="233">
        <f t="shared" si="316"/>
        <v>0</v>
      </c>
      <c r="R2200" s="2">
        <f t="shared" si="317"/>
        <v>3.3182763159269002</v>
      </c>
      <c r="S2200" s="2">
        <f>(1/9)*cnst_fish!$C$7*(1/cnst_fish!$C$8)^(R2200-1)</f>
        <v>29.347722127157517</v>
      </c>
      <c r="T2200" s="682">
        <f t="shared" si="318"/>
        <v>0</v>
      </c>
    </row>
    <row r="2201" spans="1:20" ht="12.75" customHeight="1">
      <c r="A2201" t="s">
        <v>6702</v>
      </c>
      <c r="B2201" t="s">
        <v>418</v>
      </c>
      <c r="C2201">
        <v>19134</v>
      </c>
      <c r="D2201" s="802"/>
      <c r="E2201" s="802"/>
      <c r="F2201" s="2">
        <f>(1/S2201)*cnst_fish!$C$6</f>
        <v>0.69038420626592389</v>
      </c>
      <c r="G2201" s="2">
        <f t="shared" si="319"/>
        <v>1</v>
      </c>
      <c r="H2201" s="2">
        <f t="shared" si="319"/>
        <v>0.36449057933102513</v>
      </c>
      <c r="I2201" s="2">
        <f t="shared" si="313"/>
        <v>0</v>
      </c>
      <c r="J2201" s="389">
        <f t="shared" si="314"/>
        <v>0</v>
      </c>
      <c r="L2201" s="803"/>
      <c r="M2201" s="802">
        <v>2033</v>
      </c>
      <c r="N2201" s="804" t="s">
        <v>1738</v>
      </c>
      <c r="O2201" s="805" t="s">
        <v>4685</v>
      </c>
      <c r="P2201" s="233">
        <f t="shared" si="315"/>
        <v>0</v>
      </c>
      <c r="Q2201" s="233">
        <f t="shared" si="316"/>
        <v>2033</v>
      </c>
      <c r="R2201" s="2">
        <f t="shared" si="317"/>
        <v>2.64</v>
      </c>
      <c r="S2201" s="2">
        <f>(1/9)*cnst_fish!$C$7*(1/cnst_fish!$C$8)^(R2201-1)</f>
        <v>6.1559925059510627</v>
      </c>
      <c r="T2201" s="682">
        <f t="shared" si="318"/>
        <v>1073.3289392407542</v>
      </c>
    </row>
    <row r="2202" spans="1:20" ht="12.75" customHeight="1">
      <c r="A2202" t="s">
        <v>1706</v>
      </c>
      <c r="B2202" t="s">
        <v>4314</v>
      </c>
      <c r="C2202">
        <v>2465</v>
      </c>
      <c r="D2202" s="802"/>
      <c r="E2202" s="802"/>
      <c r="F2202" s="2">
        <f>(1/S2202)*cnst_fish!$C$6</f>
        <v>5.4839166784473523E-2</v>
      </c>
      <c r="G2202" s="2">
        <f t="shared" si="319"/>
        <v>1</v>
      </c>
      <c r="H2202" s="2">
        <f t="shared" si="319"/>
        <v>0.36449057933102513</v>
      </c>
      <c r="I2202" s="2">
        <f t="shared" si="313"/>
        <v>0</v>
      </c>
      <c r="J2202" s="389">
        <f t="shared" si="314"/>
        <v>0</v>
      </c>
      <c r="L2202" s="803">
        <v>39139</v>
      </c>
      <c r="M2202" s="802"/>
      <c r="N2202" s="804" t="s">
        <v>1738</v>
      </c>
      <c r="O2202" s="805" t="s">
        <v>4681</v>
      </c>
      <c r="P2202" s="233">
        <f t="shared" si="315"/>
        <v>0</v>
      </c>
      <c r="Q2202" s="233">
        <f t="shared" si="316"/>
        <v>39139</v>
      </c>
      <c r="R2202" s="2">
        <f t="shared" si="317"/>
        <v>3.74</v>
      </c>
      <c r="S2202" s="2">
        <f>(1/9)*cnst_fish!$C$7*(1/cnst_fish!$C$8)^(R2202-1)</f>
        <v>77.499354005562537</v>
      </c>
      <c r="T2202" s="682">
        <f t="shared" si="318"/>
        <v>260138.83180435252</v>
      </c>
    </row>
    <row r="2203" spans="1:20" ht="12.75" customHeight="1">
      <c r="A2203" t="s">
        <v>166</v>
      </c>
      <c r="B2203" t="s">
        <v>4876</v>
      </c>
      <c r="C2203">
        <v>2466</v>
      </c>
      <c r="D2203" s="802"/>
      <c r="E2203" s="802"/>
      <c r="F2203" s="2">
        <f>(1/S2203)*cnst_fish!$C$6</f>
        <v>4.1599762155986937E-2</v>
      </c>
      <c r="G2203" s="2">
        <f t="shared" si="319"/>
        <v>1</v>
      </c>
      <c r="H2203" s="2">
        <f t="shared" si="319"/>
        <v>0.36449057933102513</v>
      </c>
      <c r="I2203" s="2">
        <f t="shared" si="313"/>
        <v>0</v>
      </c>
      <c r="J2203" s="389">
        <f t="shared" si="314"/>
        <v>0</v>
      </c>
      <c r="L2203" s="803">
        <v>0</v>
      </c>
      <c r="M2203" s="802"/>
      <c r="N2203" s="804" t="s">
        <v>1738</v>
      </c>
      <c r="O2203" s="805" t="s">
        <v>4681</v>
      </c>
      <c r="P2203" s="233">
        <f t="shared" si="315"/>
        <v>0</v>
      </c>
      <c r="Q2203" s="233">
        <f t="shared" si="316"/>
        <v>0</v>
      </c>
      <c r="R2203" s="2">
        <f t="shared" si="317"/>
        <v>3.86</v>
      </c>
      <c r="S2203" s="2">
        <f>(1/9)*cnst_fish!$C$7*(1/cnst_fish!$C$8)^(R2203-1)</f>
        <v>102.16404565160117</v>
      </c>
      <c r="T2203" s="682">
        <f t="shared" si="318"/>
        <v>0</v>
      </c>
    </row>
    <row r="2204" spans="1:20" ht="12.75" customHeight="1">
      <c r="A2204" t="s">
        <v>3224</v>
      </c>
      <c r="B2204" t="s">
        <v>2781</v>
      </c>
      <c r="C2204">
        <v>2154</v>
      </c>
      <c r="D2204" s="802"/>
      <c r="E2204" s="802"/>
      <c r="F2204" s="2">
        <f>(1/S2204)*cnst_fish!$C$6</f>
        <v>9.7519361156519699E-2</v>
      </c>
      <c r="G2204" s="2">
        <f t="shared" si="319"/>
        <v>1</v>
      </c>
      <c r="H2204" s="2">
        <f t="shared" si="319"/>
        <v>0.36449057933102513</v>
      </c>
      <c r="I2204" s="2">
        <f t="shared" si="313"/>
        <v>0</v>
      </c>
      <c r="J2204" s="389">
        <f t="shared" si="314"/>
        <v>0</v>
      </c>
      <c r="L2204" s="803">
        <v>15</v>
      </c>
      <c r="M2204" s="802">
        <v>1031</v>
      </c>
      <c r="N2204" s="804" t="s">
        <v>1738</v>
      </c>
      <c r="O2204" s="805" t="s">
        <v>4685</v>
      </c>
      <c r="P2204" s="233">
        <f t="shared" si="315"/>
        <v>0</v>
      </c>
      <c r="Q2204" s="233">
        <f t="shared" si="316"/>
        <v>1046</v>
      </c>
      <c r="R2204" s="2">
        <f t="shared" si="317"/>
        <v>3.49</v>
      </c>
      <c r="S2204" s="2">
        <f>(1/9)*cnst_fish!$C$7*(1/cnst_fish!$C$8)^(R2204-1)</f>
        <v>43.581089432884006</v>
      </c>
      <c r="T2204" s="682">
        <f t="shared" si="318"/>
        <v>3909.5533590332916</v>
      </c>
    </row>
    <row r="2205" spans="1:20" ht="12.75" customHeight="1">
      <c r="A2205" t="s">
        <v>276</v>
      </c>
      <c r="B2205" t="s">
        <v>4604</v>
      </c>
      <c r="C2205">
        <v>17573</v>
      </c>
      <c r="D2205" s="802"/>
      <c r="E2205" s="802"/>
      <c r="F2205" s="2">
        <f>(1/S2205)*cnst_fish!$C$6</f>
        <v>2.6141530827766903</v>
      </c>
      <c r="G2205" s="2">
        <f t="shared" si="319"/>
        <v>1</v>
      </c>
      <c r="H2205" s="2">
        <f t="shared" si="319"/>
        <v>0.36449057933102513</v>
      </c>
      <c r="I2205" s="2">
        <f t="shared" si="313"/>
        <v>0</v>
      </c>
      <c r="J2205" s="389">
        <f t="shared" si="314"/>
        <v>0</v>
      </c>
      <c r="L2205" s="803">
        <v>1355</v>
      </c>
      <c r="M2205" s="802"/>
      <c r="N2205" s="804" t="s">
        <v>1736</v>
      </c>
      <c r="O2205" s="805" t="s">
        <v>4691</v>
      </c>
      <c r="P2205" s="233">
        <f t="shared" si="315"/>
        <v>0</v>
      </c>
      <c r="Q2205" s="233">
        <f t="shared" si="316"/>
        <v>1355</v>
      </c>
      <c r="R2205" s="2">
        <f t="shared" si="317"/>
        <v>2.0617598316454031</v>
      </c>
      <c r="S2205" s="2">
        <f>(1/9)*cnst_fish!$C$7*(1/cnst_fish!$C$8)^(R2205-1)</f>
        <v>1.6257655406644176</v>
      </c>
      <c r="T2205" s="682">
        <f t="shared" si="318"/>
        <v>188.92724310886439</v>
      </c>
    </row>
    <row r="2206" spans="1:20" ht="12.75" customHeight="1">
      <c r="A2206" t="s">
        <v>6209</v>
      </c>
      <c r="B2206" t="s">
        <v>6208</v>
      </c>
      <c r="C2206">
        <v>16946</v>
      </c>
      <c r="D2206" s="802"/>
      <c r="E2206" s="802"/>
      <c r="F2206" s="2">
        <f>(1/S2206)*cnst_fish!$C$6</f>
        <v>3.0136363636363641</v>
      </c>
      <c r="G2206" s="2">
        <f t="shared" si="319"/>
        <v>1</v>
      </c>
      <c r="H2206" s="2">
        <f t="shared" si="319"/>
        <v>0.36449057933102513</v>
      </c>
      <c r="I2206" s="2">
        <f t="shared" si="313"/>
        <v>0</v>
      </c>
      <c r="J2206" s="389">
        <f t="shared" si="314"/>
        <v>0</v>
      </c>
      <c r="L2206" s="803">
        <v>10</v>
      </c>
      <c r="M2206" s="802"/>
      <c r="N2206" s="804" t="s">
        <v>5197</v>
      </c>
      <c r="O2206" s="805" t="s">
        <v>4675</v>
      </c>
      <c r="P2206" s="233">
        <f t="shared" si="315"/>
        <v>0</v>
      </c>
      <c r="Q2206" s="233">
        <f t="shared" si="316"/>
        <v>10</v>
      </c>
      <c r="R2206" s="2">
        <f t="shared" si="317"/>
        <v>2</v>
      </c>
      <c r="S2206" s="2">
        <f>(1/9)*cnst_fish!$C$7*(1/cnst_fish!$C$8)^(R2206-1)</f>
        <v>1.4102564102564099</v>
      </c>
      <c r="T2206" s="682">
        <f t="shared" si="318"/>
        <v>1.2094710023050605</v>
      </c>
    </row>
    <row r="2207" spans="1:20" ht="12.75" customHeight="1">
      <c r="A2207" t="s">
        <v>4445</v>
      </c>
      <c r="B2207" t="s">
        <v>5110</v>
      </c>
      <c r="C2207">
        <v>3567</v>
      </c>
      <c r="D2207" s="802"/>
      <c r="E2207" s="802"/>
      <c r="F2207" s="2">
        <f>(1/S2207)*cnst_fish!$C$6</f>
        <v>1.581578846116358E-2</v>
      </c>
      <c r="G2207" s="2">
        <f t="shared" si="319"/>
        <v>1</v>
      </c>
      <c r="H2207" s="2">
        <f t="shared" si="319"/>
        <v>0.36449057933102513</v>
      </c>
      <c r="I2207" s="2">
        <f t="shared" si="313"/>
        <v>0</v>
      </c>
      <c r="J2207" s="389">
        <f t="shared" si="314"/>
        <v>0</v>
      </c>
      <c r="L2207" s="803">
        <v>98792</v>
      </c>
      <c r="M2207" s="802"/>
      <c r="N2207" s="804" t="s">
        <v>5197</v>
      </c>
      <c r="O2207" s="805" t="s">
        <v>4675</v>
      </c>
      <c r="P2207" s="233">
        <f t="shared" si="315"/>
        <v>0</v>
      </c>
      <c r="Q2207" s="233">
        <f t="shared" si="316"/>
        <v>98792</v>
      </c>
      <c r="R2207" s="2">
        <f t="shared" si="317"/>
        <v>4.28</v>
      </c>
      <c r="S2207" s="2">
        <f>(1/9)*cnst_fish!$C$7*(1/cnst_fish!$C$8)^(R2207-1)</f>
        <v>268.71881919994547</v>
      </c>
      <c r="T2207" s="682">
        <f t="shared" si="318"/>
        <v>2276759.9226362845</v>
      </c>
    </row>
    <row r="2208" spans="1:20" ht="12.75" customHeight="1">
      <c r="A2208" t="s">
        <v>3995</v>
      </c>
      <c r="B2208" t="s">
        <v>5111</v>
      </c>
      <c r="C2208">
        <v>3566</v>
      </c>
      <c r="D2208" s="802"/>
      <c r="E2208" s="802"/>
      <c r="F2208" s="2">
        <f>(1/S2208)*cnst_fish!$C$6</f>
        <v>2.945037624971374E-2</v>
      </c>
      <c r="G2208" s="2">
        <f t="shared" ref="G2208:H2227" si="320">G$7</f>
        <v>1</v>
      </c>
      <c r="H2208" s="2">
        <f t="shared" si="320"/>
        <v>0.36449057933102513</v>
      </c>
      <c r="I2208" s="2">
        <f t="shared" si="313"/>
        <v>0</v>
      </c>
      <c r="J2208" s="389">
        <f t="shared" si="314"/>
        <v>0</v>
      </c>
      <c r="L2208" s="803">
        <v>1168</v>
      </c>
      <c r="M2208" s="802"/>
      <c r="N2208" s="804" t="s">
        <v>5197</v>
      </c>
      <c r="O2208" s="805" t="s">
        <v>4675</v>
      </c>
      <c r="P2208" s="233">
        <f t="shared" si="315"/>
        <v>0</v>
      </c>
      <c r="Q2208" s="233">
        <f t="shared" si="316"/>
        <v>1168</v>
      </c>
      <c r="R2208" s="2">
        <f t="shared" si="317"/>
        <v>4.01</v>
      </c>
      <c r="S2208" s="2">
        <f>(1/9)*cnst_fish!$C$7*(1/cnst_fish!$C$8)^(R2208-1)</f>
        <v>144.31055019343972</v>
      </c>
      <c r="T2208" s="682">
        <f t="shared" si="318"/>
        <v>14455.672587978412</v>
      </c>
    </row>
    <row r="2209" spans="1:20" ht="12.75" customHeight="1">
      <c r="A2209" t="s">
        <v>8799</v>
      </c>
      <c r="B2209" t="s">
        <v>8800</v>
      </c>
      <c r="C2209">
        <v>16947</v>
      </c>
      <c r="D2209" s="802"/>
      <c r="E2209" s="802"/>
      <c r="F2209" s="2">
        <f>(1/S2209)*cnst_fish!$C$6</f>
        <v>6.5931179849025079E-2</v>
      </c>
      <c r="G2209" s="2">
        <f t="shared" si="320"/>
        <v>1</v>
      </c>
      <c r="H2209" s="2">
        <f t="shared" si="320"/>
        <v>0.36449057933102513</v>
      </c>
      <c r="I2209" s="2">
        <f t="shared" si="313"/>
        <v>0</v>
      </c>
      <c r="J2209" s="389">
        <f t="shared" si="314"/>
        <v>0</v>
      </c>
      <c r="L2209" s="803">
        <v>289</v>
      </c>
      <c r="M2209" s="802"/>
      <c r="N2209" s="804" t="s">
        <v>5197</v>
      </c>
      <c r="O2209" s="805" t="s">
        <v>4675</v>
      </c>
      <c r="P2209" s="233">
        <f t="shared" si="315"/>
        <v>0</v>
      </c>
      <c r="Q2209" s="233">
        <f t="shared" si="316"/>
        <v>289</v>
      </c>
      <c r="R2209" s="2">
        <f t="shared" si="317"/>
        <v>3.66</v>
      </c>
      <c r="S2209" s="2">
        <f>(1/9)*cnst_fish!$C$7*(1/cnst_fish!$C$8)^(R2209-1)</f>
        <v>64.461154945687568</v>
      </c>
      <c r="T2209" s="682">
        <f t="shared" si="318"/>
        <v>1597.6928923140435</v>
      </c>
    </row>
    <row r="2210" spans="1:20" ht="12.75" customHeight="1">
      <c r="A2210" t="s">
        <v>3914</v>
      </c>
      <c r="B2210" t="s">
        <v>2610</v>
      </c>
      <c r="C2210">
        <v>17821</v>
      </c>
      <c r="D2210" s="802"/>
      <c r="E2210" s="802"/>
      <c r="F2210" s="2">
        <f>(1/S2210)*cnst_fish!$C$6</f>
        <v>3.1663335279055209</v>
      </c>
      <c r="G2210" s="2">
        <f t="shared" si="320"/>
        <v>1</v>
      </c>
      <c r="H2210" s="2">
        <f t="shared" si="320"/>
        <v>0.36449057933102513</v>
      </c>
      <c r="I2210" s="2">
        <f t="shared" si="313"/>
        <v>0</v>
      </c>
      <c r="J2210" s="389">
        <f t="shared" si="314"/>
        <v>0</v>
      </c>
      <c r="L2210" s="803"/>
      <c r="M2210" s="802"/>
      <c r="N2210" s="804" t="s">
        <v>1736</v>
      </c>
      <c r="O2210" s="805" t="s">
        <v>4691</v>
      </c>
      <c r="P2210" s="233">
        <f t="shared" si="315"/>
        <v>0</v>
      </c>
      <c r="Q2210" s="233">
        <f t="shared" si="316"/>
        <v>0</v>
      </c>
      <c r="R2210" s="2">
        <f t="shared" si="317"/>
        <v>1.9785341879407026</v>
      </c>
      <c r="S2210" s="2">
        <f>(1/9)*cnst_fish!$C$7*(1/cnst_fish!$C$8)^(R2210-1)</f>
        <v>1.3422464697871885</v>
      </c>
      <c r="T2210" s="682">
        <f t="shared" si="318"/>
        <v>0</v>
      </c>
    </row>
    <row r="2211" spans="1:20" ht="12.75" customHeight="1">
      <c r="A2211" t="s">
        <v>2471</v>
      </c>
      <c r="B2211" t="s">
        <v>2472</v>
      </c>
      <c r="C2211">
        <v>19135</v>
      </c>
      <c r="D2211" s="802"/>
      <c r="E2211" s="802"/>
      <c r="F2211" s="2">
        <f>(1/S2211)*cnst_fish!$C$6</f>
        <v>0.2878000384237327</v>
      </c>
      <c r="G2211" s="2">
        <f t="shared" si="320"/>
        <v>1</v>
      </c>
      <c r="H2211" s="2">
        <f t="shared" si="320"/>
        <v>0.36449057933102513</v>
      </c>
      <c r="I2211" s="2">
        <f t="shared" si="313"/>
        <v>0</v>
      </c>
      <c r="J2211" s="389">
        <f t="shared" si="314"/>
        <v>0</v>
      </c>
      <c r="L2211" s="803"/>
      <c r="M2211" s="802">
        <v>884.68</v>
      </c>
      <c r="N2211" s="804" t="s">
        <v>1738</v>
      </c>
      <c r="O2211" s="805" t="s">
        <v>4685</v>
      </c>
      <c r="P2211" s="233">
        <f t="shared" si="315"/>
        <v>0</v>
      </c>
      <c r="Q2211" s="233">
        <f t="shared" si="316"/>
        <v>884.68</v>
      </c>
      <c r="R2211" s="2">
        <f t="shared" si="317"/>
        <v>3.02</v>
      </c>
      <c r="S2211" s="2">
        <f>(1/9)*cnst_fish!$C$7*(1/cnst_fish!$C$8)^(R2211-1)</f>
        <v>14.767197472512686</v>
      </c>
      <c r="T2211" s="682">
        <f t="shared" si="318"/>
        <v>1120.4221079630706</v>
      </c>
    </row>
    <row r="2212" spans="1:20" ht="12.75" customHeight="1">
      <c r="A2212" t="s">
        <v>8801</v>
      </c>
      <c r="B2212" t="s">
        <v>8802</v>
      </c>
      <c r="C2212">
        <v>15718</v>
      </c>
      <c r="D2212" s="802"/>
      <c r="E2212" s="802"/>
      <c r="F2212" s="2">
        <f>(1/S2212)*cnst_fish!$C$6</f>
        <v>3.0136363636363641</v>
      </c>
      <c r="G2212" s="2">
        <f t="shared" si="320"/>
        <v>1</v>
      </c>
      <c r="H2212" s="2">
        <f t="shared" si="320"/>
        <v>0.36449057933102513</v>
      </c>
      <c r="I2212" s="2">
        <f t="shared" si="313"/>
        <v>0</v>
      </c>
      <c r="J2212" s="389">
        <f t="shared" si="314"/>
        <v>0</v>
      </c>
      <c r="L2212" s="803"/>
      <c r="M2212" s="802"/>
      <c r="N2212" s="804" t="s">
        <v>1738</v>
      </c>
      <c r="O2212" s="805" t="s">
        <v>4685</v>
      </c>
      <c r="P2212" s="233">
        <f t="shared" si="315"/>
        <v>0</v>
      </c>
      <c r="Q2212" s="233">
        <f t="shared" si="316"/>
        <v>0</v>
      </c>
      <c r="R2212" s="2">
        <f t="shared" si="317"/>
        <v>2</v>
      </c>
      <c r="S2212" s="2">
        <f>(1/9)*cnst_fish!$C$7*(1/cnst_fish!$C$8)^(R2212-1)</f>
        <v>1.4102564102564099</v>
      </c>
      <c r="T2212" s="682">
        <f t="shared" si="318"/>
        <v>0</v>
      </c>
    </row>
    <row r="2213" spans="1:20" ht="12.75" customHeight="1">
      <c r="A2213" t="s">
        <v>2946</v>
      </c>
      <c r="B2213" t="s">
        <v>5287</v>
      </c>
      <c r="C2213">
        <v>2065</v>
      </c>
      <c r="D2213" s="802"/>
      <c r="E2213" s="802"/>
      <c r="F2213" s="2">
        <f>(1/S2213)*cnst_fish!$C$6</f>
        <v>1.4760152601876367E-2</v>
      </c>
      <c r="G2213" s="2">
        <f t="shared" si="320"/>
        <v>1</v>
      </c>
      <c r="H2213" s="2">
        <f t="shared" si="320"/>
        <v>0.36449057933102513</v>
      </c>
      <c r="I2213" s="2">
        <f t="shared" si="313"/>
        <v>0</v>
      </c>
      <c r="J2213" s="389">
        <f t="shared" si="314"/>
        <v>0</v>
      </c>
      <c r="L2213" s="803">
        <v>74</v>
      </c>
      <c r="M2213" s="802"/>
      <c r="N2213" s="804" t="s">
        <v>1738</v>
      </c>
      <c r="O2213" s="805" t="s">
        <v>4681</v>
      </c>
      <c r="P2213" s="233">
        <f t="shared" si="315"/>
        <v>0</v>
      </c>
      <c r="Q2213" s="233">
        <f t="shared" si="316"/>
        <v>74</v>
      </c>
      <c r="R2213" s="2">
        <f t="shared" si="317"/>
        <v>4.3099999999999996</v>
      </c>
      <c r="S2213" s="2">
        <f>(1/9)*cnst_fish!$C$7*(1/cnst_fish!$C$8)^(R2213-1)</f>
        <v>287.93740245339495</v>
      </c>
      <c r="T2213" s="682">
        <f t="shared" si="318"/>
        <v>1827.372900403959</v>
      </c>
    </row>
    <row r="2214" spans="1:20" ht="12.75" customHeight="1">
      <c r="A2214" t="s">
        <v>9056</v>
      </c>
      <c r="B2214" t="s">
        <v>9057</v>
      </c>
      <c r="C2214">
        <v>15732</v>
      </c>
      <c r="D2214" s="802"/>
      <c r="E2214" s="802"/>
      <c r="F2214" s="869">
        <f>(1/S2214)*cnst_fish!$C$6</f>
        <v>3.0136363636363642E-2</v>
      </c>
      <c r="G2214" s="869">
        <f t="shared" si="320"/>
        <v>1</v>
      </c>
      <c r="H2214" s="869">
        <f t="shared" si="320"/>
        <v>0.36449057933102513</v>
      </c>
      <c r="I2214" s="869">
        <f t="shared" si="313"/>
        <v>0</v>
      </c>
      <c r="J2214" s="389">
        <f t="shared" si="314"/>
        <v>0</v>
      </c>
      <c r="L2214" s="803">
        <v>12</v>
      </c>
      <c r="M2214" s="802"/>
      <c r="N2214" s="876" t="s">
        <v>1738</v>
      </c>
      <c r="O2214" s="880" t="s">
        <v>4681</v>
      </c>
      <c r="P2214" s="871">
        <f t="shared" si="315"/>
        <v>0</v>
      </c>
      <c r="Q2214" s="871">
        <f t="shared" si="316"/>
        <v>12</v>
      </c>
      <c r="R2214" s="869">
        <f t="shared" si="317"/>
        <v>4</v>
      </c>
      <c r="S2214" s="869">
        <f>(1/9)*cnst_fish!$C$7*(1/cnst_fish!$C$8)^(R2214-1)</f>
        <v>141.02564102564099</v>
      </c>
      <c r="T2214" s="682">
        <f t="shared" si="318"/>
        <v>145.13652027660729</v>
      </c>
    </row>
    <row r="2215" spans="1:20" ht="12.75" customHeight="1">
      <c r="A2215" t="s">
        <v>2100</v>
      </c>
      <c r="B2215" t="s">
        <v>2436</v>
      </c>
      <c r="C2215">
        <v>2345</v>
      </c>
      <c r="D2215" s="802"/>
      <c r="E2215" s="802"/>
      <c r="F2215" s="2">
        <f>(1/S2215)*cnst_fish!$C$6</f>
        <v>2.6247675460949162E-2</v>
      </c>
      <c r="G2215" s="2">
        <f t="shared" si="320"/>
        <v>1</v>
      </c>
      <c r="H2215" s="2">
        <f t="shared" si="320"/>
        <v>0.36449057933102513</v>
      </c>
      <c r="I2215" s="2">
        <f t="shared" si="313"/>
        <v>0</v>
      </c>
      <c r="J2215" s="389">
        <f t="shared" si="314"/>
        <v>0</v>
      </c>
      <c r="L2215" s="803">
        <v>0</v>
      </c>
      <c r="M2215" s="802"/>
      <c r="N2215" s="804" t="s">
        <v>1738</v>
      </c>
      <c r="O2215" s="805" t="s">
        <v>4681</v>
      </c>
      <c r="P2215" s="233">
        <f t="shared" si="315"/>
        <v>0</v>
      </c>
      <c r="Q2215" s="233">
        <f t="shared" si="316"/>
        <v>0</v>
      </c>
      <c r="R2215" s="2">
        <f t="shared" si="317"/>
        <v>4.0599999999999996</v>
      </c>
      <c r="S2215" s="2">
        <f>(1/9)*cnst_fish!$C$7*(1/cnst_fish!$C$8)^(R2215-1)</f>
        <v>161.91910046750908</v>
      </c>
      <c r="T2215" s="682">
        <f t="shared" si="318"/>
        <v>0</v>
      </c>
    </row>
    <row r="2216" spans="1:20" ht="12.75" customHeight="1">
      <c r="A2216" t="s">
        <v>3377</v>
      </c>
      <c r="B2216" t="s">
        <v>3378</v>
      </c>
      <c r="C2216">
        <v>19136</v>
      </c>
      <c r="D2216" s="802"/>
      <c r="E2216" s="802"/>
      <c r="F2216" s="2">
        <f>(1/S2216)*cnst_fish!$C$6</f>
        <v>0.2133491159303107</v>
      </c>
      <c r="G2216" s="2">
        <f t="shared" si="320"/>
        <v>1</v>
      </c>
      <c r="H2216" s="2">
        <f t="shared" si="320"/>
        <v>0.36449057933102513</v>
      </c>
      <c r="I2216" s="2">
        <f t="shared" si="313"/>
        <v>0</v>
      </c>
      <c r="J2216" s="389">
        <f t="shared" si="314"/>
        <v>0</v>
      </c>
      <c r="L2216" s="803"/>
      <c r="M2216" s="802">
        <v>246.79</v>
      </c>
      <c r="N2216" s="804" t="s">
        <v>1738</v>
      </c>
      <c r="O2216" s="805" t="s">
        <v>4685</v>
      </c>
      <c r="P2216" s="233">
        <f t="shared" si="315"/>
        <v>0</v>
      </c>
      <c r="Q2216" s="233">
        <f t="shared" si="316"/>
        <v>246.79</v>
      </c>
      <c r="R2216" s="2">
        <f t="shared" si="317"/>
        <v>3.15</v>
      </c>
      <c r="S2216" s="2">
        <f>(1/9)*cnst_fish!$C$7*(1/cnst_fish!$C$8)^(R2216-1)</f>
        <v>19.920401270320887</v>
      </c>
      <c r="T2216" s="682">
        <f t="shared" si="318"/>
        <v>421.62176150046116</v>
      </c>
    </row>
    <row r="2217" spans="1:20" ht="12.75" customHeight="1">
      <c r="A2217" t="s">
        <v>5530</v>
      </c>
      <c r="B2217" t="s">
        <v>4877</v>
      </c>
      <c r="C2217">
        <v>3041</v>
      </c>
      <c r="D2217" s="802"/>
      <c r="E2217" s="802"/>
      <c r="F2217" s="2">
        <f>(1/S2217)*cnst_fish!$C$6</f>
        <v>5.7423657091346926E-2</v>
      </c>
      <c r="G2217" s="2">
        <f t="shared" si="320"/>
        <v>1</v>
      </c>
      <c r="H2217" s="2">
        <f t="shared" si="320"/>
        <v>0.36449057933102513</v>
      </c>
      <c r="I2217" s="2">
        <f t="shared" si="313"/>
        <v>0</v>
      </c>
      <c r="J2217" s="389">
        <f t="shared" si="314"/>
        <v>0</v>
      </c>
      <c r="L2217" s="803">
        <v>166</v>
      </c>
      <c r="M2217" s="802"/>
      <c r="N2217" s="804" t="s">
        <v>1738</v>
      </c>
      <c r="O2217" s="805" t="s">
        <v>4681</v>
      </c>
      <c r="P2217" s="233">
        <f t="shared" si="315"/>
        <v>0</v>
      </c>
      <c r="Q2217" s="233">
        <f t="shared" si="316"/>
        <v>166</v>
      </c>
      <c r="R2217" s="2">
        <f t="shared" si="317"/>
        <v>3.72</v>
      </c>
      <c r="S2217" s="2">
        <f>(1/9)*cnst_fish!$C$7*(1/cnst_fish!$C$8)^(R2217-1)</f>
        <v>74.011308496762837</v>
      </c>
      <c r="T2217" s="682">
        <f t="shared" si="318"/>
        <v>1053.6674122426737</v>
      </c>
    </row>
    <row r="2218" spans="1:20" ht="12.75" customHeight="1">
      <c r="A2218" t="s">
        <v>2181</v>
      </c>
      <c r="B2218" t="s">
        <v>2182</v>
      </c>
      <c r="C2218">
        <v>3231</v>
      </c>
      <c r="D2218" s="802"/>
      <c r="E2218" s="802"/>
      <c r="F2218" s="2">
        <f>(1/S2218)*cnst_fish!$C$6</f>
        <v>1.5103960722494611E-2</v>
      </c>
      <c r="G2218" s="2">
        <f t="shared" si="320"/>
        <v>1</v>
      </c>
      <c r="H2218" s="2">
        <f t="shared" si="320"/>
        <v>0.36449057933102513</v>
      </c>
      <c r="I2218" s="2">
        <f t="shared" si="313"/>
        <v>0</v>
      </c>
      <c r="J2218" s="389">
        <f t="shared" si="314"/>
        <v>0</v>
      </c>
      <c r="L2218" s="803">
        <v>78</v>
      </c>
      <c r="M2218" s="802"/>
      <c r="N2218" s="804" t="s">
        <v>1738</v>
      </c>
      <c r="O2218" s="805" t="s">
        <v>4681</v>
      </c>
      <c r="P2218" s="233">
        <f t="shared" si="315"/>
        <v>0</v>
      </c>
      <c r="Q2218" s="233">
        <f t="shared" si="316"/>
        <v>78</v>
      </c>
      <c r="R2218" s="2">
        <f t="shared" si="317"/>
        <v>4.3</v>
      </c>
      <c r="S2218" s="2">
        <f>(1/9)*cnst_fish!$C$7*(1/cnst_fish!$C$8)^(R2218-1)</f>
        <v>281.38314698279078</v>
      </c>
      <c r="T2218" s="682">
        <f t="shared" si="318"/>
        <v>1882.3052913186034</v>
      </c>
    </row>
    <row r="2219" spans="1:20" ht="12.75" customHeight="1">
      <c r="A2219" t="s">
        <v>2055</v>
      </c>
      <c r="B2219" t="s">
        <v>575</v>
      </c>
      <c r="C2219">
        <v>3116</v>
      </c>
      <c r="D2219" s="802"/>
      <c r="E2219" s="802"/>
      <c r="F2219" s="2">
        <f>(1/S2219)*cnst_fish!$C$6</f>
        <v>5.4839166784473523E-2</v>
      </c>
      <c r="G2219" s="2">
        <f t="shared" si="320"/>
        <v>1</v>
      </c>
      <c r="H2219" s="2">
        <f t="shared" si="320"/>
        <v>0.36449057933102513</v>
      </c>
      <c r="I2219" s="2">
        <f t="shared" si="313"/>
        <v>0</v>
      </c>
      <c r="J2219" s="389">
        <f t="shared" si="314"/>
        <v>0</v>
      </c>
      <c r="L2219" s="803">
        <v>61</v>
      </c>
      <c r="M2219" s="802"/>
      <c r="N2219" s="804" t="s">
        <v>1738</v>
      </c>
      <c r="O2219" s="805" t="s">
        <v>4699</v>
      </c>
      <c r="P2219" s="233">
        <f t="shared" si="315"/>
        <v>0</v>
      </c>
      <c r="Q2219" s="233">
        <f t="shared" si="316"/>
        <v>61</v>
      </c>
      <c r="R2219" s="2">
        <f t="shared" si="317"/>
        <v>3.74</v>
      </c>
      <c r="S2219" s="2">
        <f>(1/9)*cnst_fish!$C$7*(1/cnst_fish!$C$8)^(R2219-1)</f>
        <v>77.499354005562537</v>
      </c>
      <c r="T2219" s="682">
        <f t="shared" si="318"/>
        <v>405.43878842243038</v>
      </c>
    </row>
    <row r="2220" spans="1:20" ht="12.75" customHeight="1">
      <c r="A2220" t="s">
        <v>526</v>
      </c>
      <c r="B2220" t="s">
        <v>2886</v>
      </c>
      <c r="C2220">
        <v>2319</v>
      </c>
      <c r="D2220" s="802"/>
      <c r="E2220" s="802"/>
      <c r="F2220" s="2">
        <f>(1/S2220)*cnst_fish!$C$6</f>
        <v>9.5299549485983348E-2</v>
      </c>
      <c r="G2220" s="2">
        <f t="shared" si="320"/>
        <v>1</v>
      </c>
      <c r="H2220" s="2">
        <f t="shared" si="320"/>
        <v>0.36449057933102513</v>
      </c>
      <c r="I2220" s="2">
        <f t="shared" si="313"/>
        <v>0</v>
      </c>
      <c r="J2220" s="389">
        <f t="shared" si="314"/>
        <v>0</v>
      </c>
      <c r="L2220" s="803">
        <v>124</v>
      </c>
      <c r="M2220" s="802"/>
      <c r="N2220" s="804" t="s">
        <v>1738</v>
      </c>
      <c r="O2220" s="805" t="s">
        <v>4699</v>
      </c>
      <c r="P2220" s="233">
        <f t="shared" si="315"/>
        <v>0</v>
      </c>
      <c r="Q2220" s="233">
        <f t="shared" si="316"/>
        <v>124</v>
      </c>
      <c r="R2220" s="2">
        <f t="shared" si="317"/>
        <v>3.5</v>
      </c>
      <c r="S2220" s="2">
        <f>(1/9)*cnst_fish!$C$7*(1/cnst_fish!$C$8)^(R2220-1)</f>
        <v>44.596223412631026</v>
      </c>
      <c r="T2220" s="682">
        <f t="shared" si="318"/>
        <v>474.26070827013365</v>
      </c>
    </row>
    <row r="2221" spans="1:20" ht="12.75" customHeight="1">
      <c r="A2221" t="s">
        <v>8374</v>
      </c>
      <c r="B2221" t="s">
        <v>8375</v>
      </c>
      <c r="C2221">
        <v>15753</v>
      </c>
      <c r="D2221" s="802"/>
      <c r="E2221" s="802"/>
      <c r="F2221" s="2">
        <f>(1/S2221)*cnst_fish!$C$6</f>
        <v>3.0136363636363642E-2</v>
      </c>
      <c r="G2221" s="2">
        <f t="shared" si="320"/>
        <v>1</v>
      </c>
      <c r="H2221" s="2">
        <f t="shared" si="320"/>
        <v>0.36449057933102513</v>
      </c>
      <c r="I2221" s="2">
        <f t="shared" si="313"/>
        <v>0</v>
      </c>
      <c r="J2221" s="389">
        <f t="shared" si="314"/>
        <v>0</v>
      </c>
      <c r="L2221" s="803">
        <v>2</v>
      </c>
      <c r="M2221" s="802"/>
      <c r="N2221" s="804" t="s">
        <v>1738</v>
      </c>
      <c r="O2221" s="805" t="s">
        <v>4699</v>
      </c>
      <c r="P2221" s="233">
        <f t="shared" si="315"/>
        <v>0</v>
      </c>
      <c r="Q2221" s="233">
        <f t="shared" si="316"/>
        <v>2</v>
      </c>
      <c r="R2221" s="2">
        <f t="shared" si="317"/>
        <v>4</v>
      </c>
      <c r="S2221" s="2">
        <f>(1/9)*cnst_fish!$C$7*(1/cnst_fish!$C$8)^(R2221-1)</f>
        <v>141.02564102564099</v>
      </c>
      <c r="T2221" s="682">
        <f t="shared" si="318"/>
        <v>24.189420046101212</v>
      </c>
    </row>
    <row r="2222" spans="1:20" ht="12.75" customHeight="1">
      <c r="A2222" t="s">
        <v>892</v>
      </c>
      <c r="B2222" t="s">
        <v>2887</v>
      </c>
      <c r="C2222">
        <v>15758</v>
      </c>
      <c r="D2222" s="802"/>
      <c r="E2222" s="802"/>
      <c r="F2222" s="2">
        <f>(1/S2222)*cnst_fish!$C$6</f>
        <v>5.7423657091346926E-2</v>
      </c>
      <c r="G2222" s="2">
        <f t="shared" si="320"/>
        <v>1</v>
      </c>
      <c r="H2222" s="2">
        <f t="shared" si="320"/>
        <v>0.36449057933102513</v>
      </c>
      <c r="I2222" s="2">
        <f t="shared" si="313"/>
        <v>0</v>
      </c>
      <c r="J2222" s="389">
        <f t="shared" si="314"/>
        <v>0</v>
      </c>
      <c r="L2222" s="803">
        <v>565</v>
      </c>
      <c r="M2222" s="802"/>
      <c r="N2222" s="804" t="s">
        <v>1738</v>
      </c>
      <c r="O2222" s="805" t="s">
        <v>4699</v>
      </c>
      <c r="P2222" s="233">
        <f t="shared" si="315"/>
        <v>0</v>
      </c>
      <c r="Q2222" s="233">
        <f t="shared" si="316"/>
        <v>565</v>
      </c>
      <c r="R2222" s="2">
        <f t="shared" si="317"/>
        <v>3.72</v>
      </c>
      <c r="S2222" s="2">
        <f>(1/9)*cnst_fish!$C$7*(1/cnst_fish!$C$8)^(R2222-1)</f>
        <v>74.011308496762837</v>
      </c>
      <c r="T2222" s="682">
        <f t="shared" si="318"/>
        <v>3586.277638054883</v>
      </c>
    </row>
    <row r="2223" spans="1:20" ht="12.75" customHeight="1">
      <c r="A2223" t="s">
        <v>2119</v>
      </c>
      <c r="B2223" t="s">
        <v>2888</v>
      </c>
      <c r="C2223">
        <v>3117</v>
      </c>
      <c r="D2223" s="802"/>
      <c r="E2223" s="802"/>
      <c r="F2223" s="2">
        <f>(1/S2223)*cnst_fish!$C$6</f>
        <v>5.6116535073067304E-2</v>
      </c>
      <c r="G2223" s="2">
        <f t="shared" si="320"/>
        <v>1</v>
      </c>
      <c r="H2223" s="2">
        <f t="shared" si="320"/>
        <v>0.36449057933102513</v>
      </c>
      <c r="I2223" s="2">
        <f t="shared" si="313"/>
        <v>0</v>
      </c>
      <c r="J2223" s="389">
        <f t="shared" si="314"/>
        <v>0</v>
      </c>
      <c r="L2223" s="803">
        <v>67</v>
      </c>
      <c r="M2223" s="802"/>
      <c r="N2223" s="804" t="s">
        <v>1738</v>
      </c>
      <c r="O2223" s="805" t="s">
        <v>4699</v>
      </c>
      <c r="P2223" s="233">
        <f t="shared" si="315"/>
        <v>0</v>
      </c>
      <c r="Q2223" s="233">
        <f t="shared" si="316"/>
        <v>67</v>
      </c>
      <c r="R2223" s="2">
        <f t="shared" si="317"/>
        <v>3.73</v>
      </c>
      <c r="S2223" s="2">
        <f>(1/9)*cnst_fish!$C$7*(1/cnst_fish!$C$8)^(R2223-1)</f>
        <v>75.735253334266432</v>
      </c>
      <c r="T2223" s="682">
        <f t="shared" si="318"/>
        <v>435.18133796716347</v>
      </c>
    </row>
    <row r="2224" spans="1:20" ht="12.75" customHeight="1">
      <c r="A2224" t="s">
        <v>5186</v>
      </c>
      <c r="B2224" t="s">
        <v>2889</v>
      </c>
      <c r="C2224">
        <v>3115</v>
      </c>
      <c r="D2224" s="802"/>
      <c r="E2224" s="802"/>
      <c r="F2224" s="2">
        <f>(1/S2224)*cnst_fish!$C$6</f>
        <v>6.5931179849025079E-2</v>
      </c>
      <c r="G2224" s="2">
        <f t="shared" si="320"/>
        <v>1</v>
      </c>
      <c r="H2224" s="2">
        <f t="shared" si="320"/>
        <v>0.36449057933102513</v>
      </c>
      <c r="I2224" s="2">
        <f t="shared" si="313"/>
        <v>0</v>
      </c>
      <c r="J2224" s="389">
        <f t="shared" si="314"/>
        <v>0</v>
      </c>
      <c r="L2224" s="803">
        <v>5153</v>
      </c>
      <c r="M2224" s="802"/>
      <c r="N2224" s="804" t="s">
        <v>1738</v>
      </c>
      <c r="O2224" s="805" t="s">
        <v>4699</v>
      </c>
      <c r="P2224" s="233">
        <f t="shared" si="315"/>
        <v>0</v>
      </c>
      <c r="Q2224" s="233">
        <f t="shared" si="316"/>
        <v>5153</v>
      </c>
      <c r="R2224" s="2">
        <f t="shared" si="317"/>
        <v>3.66</v>
      </c>
      <c r="S2224" s="2">
        <f>(1/9)*cnst_fish!$C$7*(1/cnst_fish!$C$8)^(R2224-1)</f>
        <v>64.461154945687568</v>
      </c>
      <c r="T2224" s="682">
        <f t="shared" si="318"/>
        <v>28487.582955343481</v>
      </c>
    </row>
    <row r="2225" spans="1:20" ht="12.75" customHeight="1">
      <c r="A2225" t="s">
        <v>44</v>
      </c>
      <c r="B2225" t="s">
        <v>995</v>
      </c>
      <c r="C2225">
        <v>2433</v>
      </c>
      <c r="D2225" s="802"/>
      <c r="E2225" s="802"/>
      <c r="F2225" s="2">
        <f>(1/S2225)*cnst_fish!$C$6</f>
        <v>1.9910898001319833E-2</v>
      </c>
      <c r="G2225" s="2">
        <f t="shared" si="320"/>
        <v>1</v>
      </c>
      <c r="H2225" s="2">
        <f t="shared" si="320"/>
        <v>0.36449057933102513</v>
      </c>
      <c r="I2225" s="2">
        <f t="shared" si="313"/>
        <v>0</v>
      </c>
      <c r="J2225" s="389">
        <f t="shared" si="314"/>
        <v>0</v>
      </c>
      <c r="L2225" s="803">
        <v>1117</v>
      </c>
      <c r="M2225" s="802"/>
      <c r="N2225" s="804" t="s">
        <v>1738</v>
      </c>
      <c r="O2225" s="805" t="s">
        <v>4681</v>
      </c>
      <c r="P2225" s="233">
        <f t="shared" si="315"/>
        <v>0</v>
      </c>
      <c r="Q2225" s="233">
        <f t="shared" si="316"/>
        <v>1117</v>
      </c>
      <c r="R2225" s="2">
        <f t="shared" si="317"/>
        <v>4.18</v>
      </c>
      <c r="S2225" s="2">
        <f>(1/9)*cnst_fish!$C$7*(1/cnst_fish!$C$8)^(R2225-1)</f>
        <v>213.4509452922857</v>
      </c>
      <c r="T2225" s="682">
        <f t="shared" si="318"/>
        <v>20447.896276991993</v>
      </c>
    </row>
    <row r="2226" spans="1:20" ht="12.75" customHeight="1">
      <c r="A2226" t="s">
        <v>2183</v>
      </c>
      <c r="B2226" t="s">
        <v>2184</v>
      </c>
      <c r="C2226">
        <v>3232</v>
      </c>
      <c r="D2226" s="802"/>
      <c r="E2226" s="802"/>
      <c r="F2226" s="2">
        <f>(1/S2226)*cnst_fish!$C$6</f>
        <v>1.9910898001319833E-2</v>
      </c>
      <c r="G2226" s="2">
        <f t="shared" si="320"/>
        <v>1</v>
      </c>
      <c r="H2226" s="2">
        <f t="shared" si="320"/>
        <v>0.36449057933102513</v>
      </c>
      <c r="I2226" s="2">
        <f t="shared" si="313"/>
        <v>0</v>
      </c>
      <c r="J2226" s="389">
        <f t="shared" si="314"/>
        <v>0</v>
      </c>
      <c r="L2226" s="803">
        <v>1482</v>
      </c>
      <c r="M2226" s="802"/>
      <c r="N2226" s="804" t="s">
        <v>1738</v>
      </c>
      <c r="O2226" s="805" t="s">
        <v>4681</v>
      </c>
      <c r="P2226" s="233">
        <f t="shared" si="315"/>
        <v>0</v>
      </c>
      <c r="Q2226" s="233">
        <f t="shared" si="316"/>
        <v>1482</v>
      </c>
      <c r="R2226" s="2">
        <f t="shared" si="317"/>
        <v>4.18</v>
      </c>
      <c r="S2226" s="2">
        <f>(1/9)*cnst_fish!$C$7*(1/cnst_fish!$C$8)^(R2226-1)</f>
        <v>213.4509452922857</v>
      </c>
      <c r="T2226" s="682">
        <f t="shared" si="318"/>
        <v>27129.617083708261</v>
      </c>
    </row>
    <row r="2227" spans="1:20" ht="12.75" customHeight="1">
      <c r="A2227" t="s">
        <v>8915</v>
      </c>
      <c r="B2227" t="s">
        <v>8916</v>
      </c>
      <c r="C2227">
        <v>15763</v>
      </c>
      <c r="D2227" s="802"/>
      <c r="E2227" s="802"/>
      <c r="F2227" s="2">
        <f>(1/S2227)*cnst_fish!$C$6</f>
        <v>1.1997502458044018E-2</v>
      </c>
      <c r="G2227" s="2">
        <f t="shared" si="320"/>
        <v>1</v>
      </c>
      <c r="H2227" s="2">
        <f t="shared" si="320"/>
        <v>0.36449057933102513</v>
      </c>
      <c r="I2227" s="2">
        <f t="shared" si="313"/>
        <v>0</v>
      </c>
      <c r="J2227" s="389">
        <f t="shared" si="314"/>
        <v>0</v>
      </c>
      <c r="L2227" s="803">
        <v>21</v>
      </c>
      <c r="M2227" s="802"/>
      <c r="N2227" s="804" t="s">
        <v>4282</v>
      </c>
      <c r="O2227" s="805" t="s">
        <v>4681</v>
      </c>
      <c r="P2227" s="233">
        <f t="shared" si="315"/>
        <v>0</v>
      </c>
      <c r="Q2227" s="233">
        <f t="shared" si="316"/>
        <v>21</v>
      </c>
      <c r="R2227" s="2">
        <f t="shared" si="317"/>
        <v>4.4000000000000004</v>
      </c>
      <c r="S2227" s="2">
        <f>(1/9)*cnst_fish!$C$7*(1/cnst_fish!$C$8)^(R2227-1)</f>
        <v>354.24039418724885</v>
      </c>
      <c r="T2227" s="682">
        <f t="shared" si="318"/>
        <v>637.99129799881928</v>
      </c>
    </row>
    <row r="2228" spans="1:20" ht="12.75" customHeight="1">
      <c r="A2228" t="s">
        <v>9062</v>
      </c>
      <c r="B2228" t="s">
        <v>9063</v>
      </c>
      <c r="C2228">
        <v>16072</v>
      </c>
      <c r="D2228" s="802"/>
      <c r="E2228" s="802"/>
      <c r="F2228" s="869">
        <f>(1/S2228)*cnst_fish!$C$6</f>
        <v>9.1010363210297068E-2</v>
      </c>
      <c r="G2228" s="869">
        <f t="shared" ref="G2228:H2247" si="321">G$7</f>
        <v>1</v>
      </c>
      <c r="H2228" s="869">
        <f t="shared" si="321"/>
        <v>0.36449057933102513</v>
      </c>
      <c r="I2228" s="869">
        <f t="shared" si="313"/>
        <v>0</v>
      </c>
      <c r="J2228" s="389">
        <f t="shared" si="314"/>
        <v>0</v>
      </c>
      <c r="L2228" s="803">
        <v>5479</v>
      </c>
      <c r="M2228" s="802"/>
      <c r="N2228" s="876" t="s">
        <v>1738</v>
      </c>
      <c r="O2228" s="880" t="s">
        <v>4699</v>
      </c>
      <c r="P2228" s="871">
        <f t="shared" si="315"/>
        <v>0</v>
      </c>
      <c r="Q2228" s="871">
        <f t="shared" si="316"/>
        <v>5479</v>
      </c>
      <c r="R2228" s="869">
        <f t="shared" si="317"/>
        <v>3.52</v>
      </c>
      <c r="S2228" s="869">
        <f>(1/9)*cnst_fish!$C$7*(1/cnst_fish!$C$8)^(R2228-1)</f>
        <v>46.69797867062185</v>
      </c>
      <c r="T2228" s="682">
        <f t="shared" si="318"/>
        <v>21943.038283894439</v>
      </c>
    </row>
    <row r="2229" spans="1:20" ht="12.75" customHeight="1">
      <c r="A2229" t="s">
        <v>203</v>
      </c>
      <c r="B2229" t="s">
        <v>204</v>
      </c>
      <c r="C2229">
        <v>15765</v>
      </c>
      <c r="D2229" s="802"/>
      <c r="E2229" s="802"/>
      <c r="F2229" s="2">
        <f>(1/S2229)*cnst_fish!$C$6</f>
        <v>9.5299549485983424E-3</v>
      </c>
      <c r="G2229" s="2">
        <f t="shared" si="321"/>
        <v>1</v>
      </c>
      <c r="H2229" s="2">
        <f t="shared" si="321"/>
        <v>0.36449057933102513</v>
      </c>
      <c r="I2229" s="2">
        <f t="shared" si="313"/>
        <v>0</v>
      </c>
      <c r="J2229" s="389">
        <f t="shared" si="314"/>
        <v>0</v>
      </c>
      <c r="L2229" s="803">
        <v>3</v>
      </c>
      <c r="M2229" s="802"/>
      <c r="N2229" s="804" t="s">
        <v>1738</v>
      </c>
      <c r="O2229" s="805" t="s">
        <v>4699</v>
      </c>
      <c r="P2229" s="233">
        <f t="shared" si="315"/>
        <v>0</v>
      </c>
      <c r="Q2229" s="233">
        <f t="shared" si="316"/>
        <v>3</v>
      </c>
      <c r="R2229" s="2">
        <f t="shared" si="317"/>
        <v>4.5</v>
      </c>
      <c r="S2229" s="2">
        <f>(1/9)*cnst_fish!$C$7*(1/cnst_fish!$C$8)^(R2229-1)</f>
        <v>445.96223412630997</v>
      </c>
      <c r="T2229" s="682">
        <f t="shared" si="318"/>
        <v>114.74049393632258</v>
      </c>
    </row>
    <row r="2230" spans="1:20" ht="12.75" customHeight="1">
      <c r="A2230" t="s">
        <v>3800</v>
      </c>
      <c r="B2230" t="s">
        <v>5108</v>
      </c>
      <c r="C2230">
        <v>3038</v>
      </c>
      <c r="D2230" s="802"/>
      <c r="E2230" s="802"/>
      <c r="F2230" s="2">
        <f>(1/S2230)*cnst_fish!$C$6</f>
        <v>2.6247675460949162E-2</v>
      </c>
      <c r="G2230" s="2">
        <f t="shared" si="321"/>
        <v>1</v>
      </c>
      <c r="H2230" s="2">
        <f t="shared" si="321"/>
        <v>0.36449057933102513</v>
      </c>
      <c r="I2230" s="2">
        <f t="shared" si="313"/>
        <v>0</v>
      </c>
      <c r="J2230" s="389">
        <f t="shared" si="314"/>
        <v>0</v>
      </c>
      <c r="L2230" s="803">
        <v>7</v>
      </c>
      <c r="M2230" s="802"/>
      <c r="N2230" s="804" t="s">
        <v>1738</v>
      </c>
      <c r="O2230" s="805" t="s">
        <v>4699</v>
      </c>
      <c r="P2230" s="233">
        <f t="shared" si="315"/>
        <v>0</v>
      </c>
      <c r="Q2230" s="233">
        <f t="shared" si="316"/>
        <v>7</v>
      </c>
      <c r="R2230" s="2">
        <f t="shared" si="317"/>
        <v>4.0599999999999996</v>
      </c>
      <c r="S2230" s="2">
        <f>(1/9)*cnst_fish!$C$7*(1/cnst_fish!$C$8)^(R2230-1)</f>
        <v>161.91910046750908</v>
      </c>
      <c r="T2230" s="682">
        <f t="shared" si="318"/>
        <v>97.206095797441407</v>
      </c>
    </row>
    <row r="2231" spans="1:20" ht="12.75" customHeight="1">
      <c r="A2231" t="s">
        <v>6497</v>
      </c>
      <c r="B2231" t="s">
        <v>6496</v>
      </c>
      <c r="C2231">
        <v>16082</v>
      </c>
      <c r="D2231" s="802"/>
      <c r="E2231" s="802"/>
      <c r="F2231" s="2">
        <f>(1/S2231)*cnst_fish!$C$6</f>
        <v>3.0136363636363641</v>
      </c>
      <c r="G2231" s="2">
        <f t="shared" si="321"/>
        <v>1</v>
      </c>
      <c r="H2231" s="2">
        <f t="shared" si="321"/>
        <v>0.36449057933102513</v>
      </c>
      <c r="I2231" s="2">
        <f t="shared" si="313"/>
        <v>0</v>
      </c>
      <c r="J2231" s="389">
        <f t="shared" si="314"/>
        <v>0</v>
      </c>
      <c r="L2231" s="803">
        <v>0</v>
      </c>
      <c r="M2231" s="802"/>
      <c r="N2231" s="804" t="s">
        <v>1738</v>
      </c>
      <c r="O2231" s="805" t="s">
        <v>4699</v>
      </c>
      <c r="P2231" s="233">
        <f t="shared" si="315"/>
        <v>0</v>
      </c>
      <c r="Q2231" s="233">
        <f t="shared" si="316"/>
        <v>0</v>
      </c>
      <c r="R2231" s="2">
        <f t="shared" si="317"/>
        <v>2</v>
      </c>
      <c r="S2231" s="2">
        <f>(1/9)*cnst_fish!$C$7*(1/cnst_fish!$C$8)^(R2231-1)</f>
        <v>1.4102564102564099</v>
      </c>
      <c r="T2231" s="682">
        <f t="shared" si="318"/>
        <v>0</v>
      </c>
    </row>
    <row r="2232" spans="1:20" ht="12.75" customHeight="1">
      <c r="A2232" t="s">
        <v>1042</v>
      </c>
      <c r="B2232" t="s">
        <v>3055</v>
      </c>
      <c r="C2232">
        <v>3105</v>
      </c>
      <c r="D2232" s="802"/>
      <c r="E2232" s="802"/>
      <c r="F2232" s="2">
        <f>(1/S2232)*cnst_fish!$C$6</f>
        <v>0.10211530705467774</v>
      </c>
      <c r="G2232" s="2">
        <f t="shared" si="321"/>
        <v>1</v>
      </c>
      <c r="H2232" s="2">
        <f t="shared" si="321"/>
        <v>0.36449057933102513</v>
      </c>
      <c r="I2232" s="2">
        <f t="shared" si="313"/>
        <v>0</v>
      </c>
      <c r="J2232" s="389">
        <f t="shared" si="314"/>
        <v>0</v>
      </c>
      <c r="L2232" s="803">
        <v>376983</v>
      </c>
      <c r="M2232" s="802"/>
      <c r="N2232" s="804" t="s">
        <v>2313</v>
      </c>
      <c r="O2232" s="805" t="s">
        <v>4699</v>
      </c>
      <c r="P2232" s="233">
        <f t="shared" si="315"/>
        <v>0</v>
      </c>
      <c r="Q2232" s="233">
        <f t="shared" si="316"/>
        <v>376983</v>
      </c>
      <c r="R2232" s="2">
        <f t="shared" si="317"/>
        <v>3.47</v>
      </c>
      <c r="S2232" s="2">
        <f>(1/9)*cnst_fish!$C$7*(1/cnst_fish!$C$8)^(R2232-1)</f>
        <v>41.619617299141382</v>
      </c>
      <c r="T2232" s="682">
        <f t="shared" si="318"/>
        <v>1345603.8671496457</v>
      </c>
    </row>
    <row r="2233" spans="1:20" ht="12.75" customHeight="1">
      <c r="A2233" t="s">
        <v>5367</v>
      </c>
      <c r="B2233" t="s">
        <v>3056</v>
      </c>
      <c r="C2233">
        <v>2313</v>
      </c>
      <c r="D2233" s="802"/>
      <c r="E2233" s="802"/>
      <c r="F2233" s="2">
        <f>(1/S2233)*cnst_fish!$C$6</f>
        <v>3.5407139951132149E-2</v>
      </c>
      <c r="G2233" s="2">
        <f t="shared" si="321"/>
        <v>1</v>
      </c>
      <c r="H2233" s="2">
        <f t="shared" si="321"/>
        <v>0.36449057933102513</v>
      </c>
      <c r="I2233" s="2">
        <f t="shared" si="313"/>
        <v>0</v>
      </c>
      <c r="J2233" s="389">
        <f t="shared" si="314"/>
        <v>0</v>
      </c>
      <c r="L2233" s="803">
        <v>4387</v>
      </c>
      <c r="M2233" s="802"/>
      <c r="N2233" s="804" t="s">
        <v>2313</v>
      </c>
      <c r="O2233" s="805" t="s">
        <v>4699</v>
      </c>
      <c r="P2233" s="233">
        <f t="shared" si="315"/>
        <v>0</v>
      </c>
      <c r="Q2233" s="233">
        <f t="shared" si="316"/>
        <v>4387</v>
      </c>
      <c r="R2233" s="2">
        <f t="shared" si="317"/>
        <v>3.93</v>
      </c>
      <c r="S2233" s="2">
        <f>(1/9)*cnst_fish!$C$7*(1/cnst_fish!$C$8)^(R2233-1)</f>
        <v>120.03228743879681</v>
      </c>
      <c r="T2233" s="682">
        <f t="shared" si="318"/>
        <v>45160.952670340674</v>
      </c>
    </row>
    <row r="2234" spans="1:20" ht="12.75" customHeight="1">
      <c r="A2234" t="s">
        <v>1051</v>
      </c>
      <c r="B2234" t="s">
        <v>3057</v>
      </c>
      <c r="C2234">
        <v>2308</v>
      </c>
      <c r="D2234" s="802"/>
      <c r="E2234" s="802"/>
      <c r="F2234" s="2">
        <f>(1/S2234)*cnst_fish!$C$6</f>
        <v>0.11997502458044032</v>
      </c>
      <c r="G2234" s="2">
        <f t="shared" si="321"/>
        <v>1</v>
      </c>
      <c r="H2234" s="2">
        <f t="shared" si="321"/>
        <v>0.36449057933102513</v>
      </c>
      <c r="I2234" s="2">
        <f t="shared" si="313"/>
        <v>0</v>
      </c>
      <c r="J2234" s="389">
        <f t="shared" si="314"/>
        <v>0</v>
      </c>
      <c r="L2234" s="803">
        <v>188458</v>
      </c>
      <c r="M2234" s="802"/>
      <c r="N2234" s="804" t="s">
        <v>2313</v>
      </c>
      <c r="O2234" s="805" t="s">
        <v>4699</v>
      </c>
      <c r="P2234" s="233">
        <f t="shared" si="315"/>
        <v>0</v>
      </c>
      <c r="Q2234" s="233">
        <f t="shared" si="316"/>
        <v>188458</v>
      </c>
      <c r="R2234" s="2">
        <f t="shared" si="317"/>
        <v>3.4</v>
      </c>
      <c r="S2234" s="2">
        <f>(1/9)*cnst_fish!$C$7*(1/cnst_fish!$C$8)^(R2234-1)</f>
        <v>35.424039418724846</v>
      </c>
      <c r="T2234" s="682">
        <f t="shared" si="318"/>
        <v>572545.54303933971</v>
      </c>
    </row>
    <row r="2235" spans="1:20" ht="12.75" customHeight="1">
      <c r="A2235" t="s">
        <v>3430</v>
      </c>
      <c r="B2235" t="s">
        <v>4777</v>
      </c>
      <c r="C2235">
        <v>2312</v>
      </c>
      <c r="D2235" s="802"/>
      <c r="E2235" s="802"/>
      <c r="F2235" s="2">
        <f>(1/S2235)*cnst_fish!$C$6</f>
        <v>3.0838329721915438E-2</v>
      </c>
      <c r="G2235" s="2">
        <f t="shared" si="321"/>
        <v>1</v>
      </c>
      <c r="H2235" s="2">
        <f t="shared" si="321"/>
        <v>0.36449057933102513</v>
      </c>
      <c r="I2235" s="2">
        <f t="shared" si="313"/>
        <v>0</v>
      </c>
      <c r="J2235" s="389">
        <f t="shared" si="314"/>
        <v>0</v>
      </c>
      <c r="L2235" s="803">
        <v>3524</v>
      </c>
      <c r="M2235" s="802"/>
      <c r="N2235" s="804" t="s">
        <v>1738</v>
      </c>
      <c r="O2235" s="805" t="s">
        <v>4699</v>
      </c>
      <c r="P2235" s="233">
        <f t="shared" si="315"/>
        <v>0</v>
      </c>
      <c r="Q2235" s="233">
        <f t="shared" si="316"/>
        <v>3524</v>
      </c>
      <c r="R2235" s="2">
        <f t="shared" si="317"/>
        <v>3.99</v>
      </c>
      <c r="S2235" s="2">
        <f>(1/9)*cnst_fish!$C$7*(1/cnst_fish!$C$8)^(R2235-1)</f>
        <v>137.81550551940927</v>
      </c>
      <c r="T2235" s="682">
        <f t="shared" si="318"/>
        <v>41651.568458641916</v>
      </c>
    </row>
    <row r="2236" spans="1:20" ht="12.75" customHeight="1">
      <c r="A2236" t="s">
        <v>1886</v>
      </c>
      <c r="B2236" t="s">
        <v>4778</v>
      </c>
      <c r="C2236">
        <v>2311</v>
      </c>
      <c r="D2236" s="802"/>
      <c r="E2236" s="802"/>
      <c r="F2236" s="2">
        <f>(1/S2236)*cnst_fish!$C$6</f>
        <v>7.7462381998898044E-2</v>
      </c>
      <c r="G2236" s="2">
        <f t="shared" si="321"/>
        <v>1</v>
      </c>
      <c r="H2236" s="2">
        <f t="shared" si="321"/>
        <v>0.36449057933102513</v>
      </c>
      <c r="I2236" s="2">
        <f t="shared" si="313"/>
        <v>0</v>
      </c>
      <c r="J2236" s="389">
        <f t="shared" si="314"/>
        <v>0</v>
      </c>
      <c r="L2236" s="803">
        <v>18990.650000000001</v>
      </c>
      <c r="M2236" s="802"/>
      <c r="N2236" s="804" t="s">
        <v>2313</v>
      </c>
      <c r="O2236" s="805" t="s">
        <v>4699</v>
      </c>
      <c r="P2236" s="233">
        <f t="shared" si="315"/>
        <v>0</v>
      </c>
      <c r="Q2236" s="233">
        <f t="shared" si="316"/>
        <v>18990.650000000001</v>
      </c>
      <c r="R2236" s="2">
        <f t="shared" si="317"/>
        <v>3.59</v>
      </c>
      <c r="S2236" s="2">
        <f>(1/9)*cnst_fish!$C$7*(1/cnst_fish!$C$8)^(R2236-1)</f>
        <v>54.865340960731871</v>
      </c>
      <c r="T2236" s="682">
        <f t="shared" si="318"/>
        <v>89358.380697242203</v>
      </c>
    </row>
    <row r="2237" spans="1:20" ht="12.75" customHeight="1">
      <c r="A2237" t="s">
        <v>1226</v>
      </c>
      <c r="B2237" t="s">
        <v>4054</v>
      </c>
      <c r="C2237">
        <v>2309</v>
      </c>
      <c r="D2237" s="802"/>
      <c r="E2237" s="802"/>
      <c r="F2237" s="2">
        <f>(1/S2237)*cnst_fish!$C$6</f>
        <v>9.7519361156519699E-2</v>
      </c>
      <c r="G2237" s="2">
        <f t="shared" si="321"/>
        <v>1</v>
      </c>
      <c r="H2237" s="2">
        <f t="shared" si="321"/>
        <v>0.36449057933102513</v>
      </c>
      <c r="I2237" s="2">
        <f t="shared" si="313"/>
        <v>0</v>
      </c>
      <c r="J2237" s="389">
        <f t="shared" si="314"/>
        <v>0</v>
      </c>
      <c r="L2237" s="803">
        <v>542896</v>
      </c>
      <c r="M2237" s="802"/>
      <c r="N2237" s="804" t="s">
        <v>2313</v>
      </c>
      <c r="O2237" s="805" t="s">
        <v>4699</v>
      </c>
      <c r="P2237" s="233">
        <f t="shared" si="315"/>
        <v>0</v>
      </c>
      <c r="Q2237" s="233">
        <f t="shared" si="316"/>
        <v>542896</v>
      </c>
      <c r="R2237" s="2">
        <f t="shared" si="317"/>
        <v>3.49</v>
      </c>
      <c r="S2237" s="2">
        <f>(1/9)*cnst_fish!$C$7*(1/cnst_fish!$C$8)^(R2237-1)</f>
        <v>43.581089432884006</v>
      </c>
      <c r="T2237" s="682">
        <f t="shared" si="318"/>
        <v>2029140.4210379901</v>
      </c>
    </row>
    <row r="2238" spans="1:20" ht="12.75" customHeight="1">
      <c r="A2238" t="s">
        <v>3347</v>
      </c>
      <c r="B2238" t="s">
        <v>4055</v>
      </c>
      <c r="C2238">
        <v>2307</v>
      </c>
      <c r="D2238" s="802"/>
      <c r="E2238" s="802"/>
      <c r="F2238" s="2">
        <f>(1/S2238)*cnst_fish!$C$6</f>
        <v>0.14424170509541331</v>
      </c>
      <c r="G2238" s="2">
        <f t="shared" si="321"/>
        <v>1</v>
      </c>
      <c r="H2238" s="2">
        <f t="shared" si="321"/>
        <v>0.36449057933102513</v>
      </c>
      <c r="I2238" s="2">
        <f t="shared" si="313"/>
        <v>0</v>
      </c>
      <c r="J2238" s="389">
        <f t="shared" si="314"/>
        <v>0</v>
      </c>
      <c r="L2238" s="803">
        <v>4884</v>
      </c>
      <c r="M2238" s="802"/>
      <c r="N2238" s="804" t="s">
        <v>2313</v>
      </c>
      <c r="O2238" s="805" t="s">
        <v>4699</v>
      </c>
      <c r="P2238" s="233">
        <f t="shared" si="315"/>
        <v>0</v>
      </c>
      <c r="Q2238" s="233">
        <f t="shared" si="316"/>
        <v>4884</v>
      </c>
      <c r="R2238" s="2">
        <f t="shared" si="317"/>
        <v>3.32</v>
      </c>
      <c r="S2238" s="2">
        <f>(1/9)*cnst_fish!$C$7*(1/cnst_fish!$C$8)^(R2238-1)</f>
        <v>29.464432614608246</v>
      </c>
      <c r="T2238" s="682">
        <f t="shared" si="318"/>
        <v>12341.590029563049</v>
      </c>
    </row>
    <row r="2239" spans="1:20" ht="12.75" customHeight="1">
      <c r="A2239" t="s">
        <v>1050</v>
      </c>
      <c r="B2239" t="s">
        <v>4056</v>
      </c>
      <c r="C2239">
        <v>2305</v>
      </c>
      <c r="D2239" s="802"/>
      <c r="E2239" s="802"/>
      <c r="F2239" s="2">
        <f>(1/S2239)*cnst_fish!$C$6</f>
        <v>7.9266712664847111E-2</v>
      </c>
      <c r="G2239" s="2">
        <f t="shared" si="321"/>
        <v>1</v>
      </c>
      <c r="H2239" s="2">
        <f t="shared" si="321"/>
        <v>0.36449057933102513</v>
      </c>
      <c r="I2239" s="2">
        <f t="shared" si="313"/>
        <v>0</v>
      </c>
      <c r="J2239" s="389">
        <f t="shared" si="314"/>
        <v>0</v>
      </c>
      <c r="L2239" s="803">
        <v>432950.03</v>
      </c>
      <c r="M2239" s="802"/>
      <c r="N2239" s="804" t="s">
        <v>2313</v>
      </c>
      <c r="O2239" s="805" t="s">
        <v>4699</v>
      </c>
      <c r="P2239" s="233">
        <f t="shared" si="315"/>
        <v>0</v>
      </c>
      <c r="Q2239" s="233">
        <f t="shared" si="316"/>
        <v>432950.03</v>
      </c>
      <c r="R2239" s="2">
        <f t="shared" si="317"/>
        <v>3.58</v>
      </c>
      <c r="S2239" s="2">
        <f>(1/9)*cnst_fish!$C$7*(1/cnst_fish!$C$8)^(R2239-1)</f>
        <v>53.616453327258682</v>
      </c>
      <c r="T2239" s="682">
        <f t="shared" si="318"/>
        <v>1990825.681434724</v>
      </c>
    </row>
    <row r="2240" spans="1:20" ht="12.75" customHeight="1">
      <c r="A2240" t="s">
        <v>1891</v>
      </c>
      <c r="B2240" t="s">
        <v>4057</v>
      </c>
      <c r="C2240">
        <v>2310</v>
      </c>
      <c r="D2240" s="802"/>
      <c r="E2240" s="802"/>
      <c r="F2240" s="2">
        <f>(1/S2240)*cnst_fish!$C$6</f>
        <v>8.3002437741509269E-2</v>
      </c>
      <c r="G2240" s="2">
        <f t="shared" si="321"/>
        <v>1</v>
      </c>
      <c r="H2240" s="2">
        <f t="shared" si="321"/>
        <v>0.36449057933102513</v>
      </c>
      <c r="I2240" s="2">
        <f t="shared" si="313"/>
        <v>0</v>
      </c>
      <c r="J2240" s="389">
        <f t="shared" si="314"/>
        <v>0</v>
      </c>
      <c r="L2240" s="803">
        <v>681</v>
      </c>
      <c r="M2240" s="802"/>
      <c r="N2240" s="804" t="s">
        <v>2313</v>
      </c>
      <c r="O2240" s="805" t="s">
        <v>4699</v>
      </c>
      <c r="P2240" s="233">
        <f t="shared" si="315"/>
        <v>0</v>
      </c>
      <c r="Q2240" s="233">
        <f t="shared" si="316"/>
        <v>681</v>
      </c>
      <c r="R2240" s="2">
        <f t="shared" si="317"/>
        <v>3.56</v>
      </c>
      <c r="S2240" s="2">
        <f>(1/9)*cnst_fish!$C$7*(1/cnst_fish!$C$8)^(R2240-1)</f>
        <v>51.203315416296356</v>
      </c>
      <c r="T2240" s="682">
        <f t="shared" si="318"/>
        <v>2990.4914997489882</v>
      </c>
    </row>
    <row r="2241" spans="1:20" ht="12.75" customHeight="1">
      <c r="A2241" t="s">
        <v>4624</v>
      </c>
      <c r="B2241" t="s">
        <v>4058</v>
      </c>
      <c r="C2241">
        <v>2306</v>
      </c>
      <c r="D2241" s="802"/>
      <c r="E2241" s="802"/>
      <c r="F2241" s="2">
        <f>(1/S2241)*cnst_fish!$C$6</f>
        <v>6.9038420626592392E-2</v>
      </c>
      <c r="G2241" s="2">
        <f t="shared" si="321"/>
        <v>1</v>
      </c>
      <c r="H2241" s="2">
        <f t="shared" si="321"/>
        <v>0.36449057933102513</v>
      </c>
      <c r="I2241" s="2">
        <f t="shared" si="313"/>
        <v>0</v>
      </c>
      <c r="J2241" s="389">
        <f t="shared" si="314"/>
        <v>0</v>
      </c>
      <c r="L2241" s="803">
        <v>140258</v>
      </c>
      <c r="M2241" s="802"/>
      <c r="N2241" s="804" t="s">
        <v>2313</v>
      </c>
      <c r="O2241" s="805" t="s">
        <v>4699</v>
      </c>
      <c r="P2241" s="233">
        <f t="shared" si="315"/>
        <v>0</v>
      </c>
      <c r="Q2241" s="233">
        <f t="shared" si="316"/>
        <v>140258</v>
      </c>
      <c r="R2241" s="2">
        <f t="shared" si="317"/>
        <v>3.64</v>
      </c>
      <c r="S2241" s="2">
        <f>(1/9)*cnst_fish!$C$7*(1/cnst_fish!$C$8)^(R2241-1)</f>
        <v>61.559925059510611</v>
      </c>
      <c r="T2241" s="682">
        <f t="shared" si="318"/>
        <v>740496.65696030343</v>
      </c>
    </row>
    <row r="2242" spans="1:20" ht="12.75" customHeight="1">
      <c r="A2242" t="s">
        <v>2113</v>
      </c>
      <c r="B2242" t="s">
        <v>4059</v>
      </c>
      <c r="C2242">
        <v>3106</v>
      </c>
      <c r="D2242" s="802"/>
      <c r="E2242" s="802"/>
      <c r="F2242" s="2">
        <f>(1/S2242)*cnst_fish!$C$6</f>
        <v>9.7519361156519699E-2</v>
      </c>
      <c r="G2242" s="2">
        <f t="shared" si="321"/>
        <v>1</v>
      </c>
      <c r="H2242" s="2">
        <f t="shared" si="321"/>
        <v>0.36449057933102513</v>
      </c>
      <c r="I2242" s="2">
        <f t="shared" si="313"/>
        <v>0</v>
      </c>
      <c r="J2242" s="389">
        <f t="shared" si="314"/>
        <v>0</v>
      </c>
      <c r="L2242" s="803">
        <v>59202</v>
      </c>
      <c r="M2242" s="802"/>
      <c r="N2242" s="804" t="s">
        <v>2313</v>
      </c>
      <c r="O2242" s="805" t="s">
        <v>4699</v>
      </c>
      <c r="P2242" s="233">
        <f t="shared" si="315"/>
        <v>0</v>
      </c>
      <c r="Q2242" s="233">
        <f t="shared" si="316"/>
        <v>59202</v>
      </c>
      <c r="R2242" s="2">
        <f t="shared" si="317"/>
        <v>3.49</v>
      </c>
      <c r="S2242" s="2">
        <f>(1/9)*cnst_fish!$C$7*(1/cnst_fish!$C$8)^(R2242-1)</f>
        <v>43.581089432884006</v>
      </c>
      <c r="T2242" s="682">
        <f t="shared" si="318"/>
        <v>221274.73992494162</v>
      </c>
    </row>
    <row r="2243" spans="1:20" ht="12.75" customHeight="1">
      <c r="A2243" t="s">
        <v>334</v>
      </c>
      <c r="B2243" t="s">
        <v>335</v>
      </c>
      <c r="C2243">
        <v>17178</v>
      </c>
      <c r="D2243" s="802"/>
      <c r="E2243" s="802"/>
      <c r="F2243" s="2">
        <f>(1/S2243)*cnst_fish!$C$6</f>
        <v>0.14481532779905856</v>
      </c>
      <c r="G2243" s="2">
        <f t="shared" si="321"/>
        <v>1</v>
      </c>
      <c r="H2243" s="2">
        <f t="shared" si="321"/>
        <v>0.36449057933102513</v>
      </c>
      <c r="I2243" s="2">
        <f t="shared" si="313"/>
        <v>0</v>
      </c>
      <c r="J2243" s="389">
        <f t="shared" si="314"/>
        <v>0</v>
      </c>
      <c r="L2243" s="803">
        <v>0</v>
      </c>
      <c r="M2243" s="802"/>
      <c r="N2243" s="804" t="s">
        <v>1736</v>
      </c>
      <c r="O2243" s="805" t="s">
        <v>4691</v>
      </c>
      <c r="P2243" s="233">
        <f t="shared" si="315"/>
        <v>0</v>
      </c>
      <c r="Q2243" s="233">
        <f t="shared" si="316"/>
        <v>0</v>
      </c>
      <c r="R2243" s="2">
        <f t="shared" si="317"/>
        <v>3.3182763159269002</v>
      </c>
      <c r="S2243" s="2">
        <f>(1/9)*cnst_fish!$C$7*(1/cnst_fish!$C$8)^(R2243-1)</f>
        <v>29.347722127157517</v>
      </c>
      <c r="T2243" s="682">
        <f t="shared" si="318"/>
        <v>0</v>
      </c>
    </row>
    <row r="2244" spans="1:20" ht="12.75" customHeight="1">
      <c r="A2244" t="s">
        <v>9066</v>
      </c>
      <c r="B2244" t="s">
        <v>9067</v>
      </c>
      <c r="C2244">
        <v>17180</v>
      </c>
      <c r="D2244" s="802"/>
      <c r="E2244" s="802"/>
      <c r="F2244" s="869">
        <f>(1/S2244)*cnst_fish!$C$6</f>
        <v>1.4095836303336922</v>
      </c>
      <c r="G2244" s="869">
        <f t="shared" si="321"/>
        <v>1</v>
      </c>
      <c r="H2244" s="869">
        <f t="shared" si="321"/>
        <v>0.36449057933102513</v>
      </c>
      <c r="I2244" s="869">
        <f t="shared" si="313"/>
        <v>0</v>
      </c>
      <c r="J2244" s="389">
        <f t="shared" si="314"/>
        <v>0</v>
      </c>
      <c r="L2244" s="803">
        <v>27</v>
      </c>
      <c r="M2244" s="802"/>
      <c r="N2244" s="876" t="s">
        <v>1736</v>
      </c>
      <c r="O2244" s="883" t="s">
        <v>4691</v>
      </c>
      <c r="P2244" s="871">
        <f t="shared" si="315"/>
        <v>0</v>
      </c>
      <c r="Q2244" s="871">
        <f t="shared" si="316"/>
        <v>27</v>
      </c>
      <c r="R2244" s="869">
        <f t="shared" si="317"/>
        <v>2.33</v>
      </c>
      <c r="S2244" s="869">
        <f>(1/9)*cnst_fish!$C$7*(1/cnst_fish!$C$8)^(R2244-1)</f>
        <v>3.0150747416057131</v>
      </c>
      <c r="T2244" s="682">
        <f t="shared" si="318"/>
        <v>6.9816685084573171</v>
      </c>
    </row>
    <row r="2245" spans="1:20" ht="12.75" customHeight="1">
      <c r="A2245" t="s">
        <v>3026</v>
      </c>
      <c r="B2245" t="s">
        <v>5268</v>
      </c>
      <c r="C2245">
        <v>3419</v>
      </c>
      <c r="D2245" s="802"/>
      <c r="E2245" s="802"/>
      <c r="F2245" s="2">
        <f>(1/S2245)*cnst_fish!$C$6</f>
        <v>0.60129950673834842</v>
      </c>
      <c r="G2245" s="2">
        <f t="shared" si="321"/>
        <v>1</v>
      </c>
      <c r="H2245" s="2">
        <f t="shared" si="321"/>
        <v>0.36449057933102513</v>
      </c>
      <c r="I2245" s="2">
        <f t="shared" si="313"/>
        <v>0</v>
      </c>
      <c r="J2245" s="389">
        <f t="shared" si="314"/>
        <v>0</v>
      </c>
      <c r="L2245" s="803">
        <v>248235</v>
      </c>
      <c r="M2245" s="802"/>
      <c r="N2245" s="804" t="s">
        <v>2322</v>
      </c>
      <c r="O2245" s="805" t="s">
        <v>4680</v>
      </c>
      <c r="P2245" s="233">
        <f t="shared" si="315"/>
        <v>0</v>
      </c>
      <c r="Q2245" s="233">
        <f t="shared" si="316"/>
        <v>248235</v>
      </c>
      <c r="R2245" s="2">
        <f t="shared" si="317"/>
        <v>2.7</v>
      </c>
      <c r="S2245" s="2">
        <f>(1/9)*cnst_fish!$C$7*(1/cnst_fish!$C$8)^(R2245-1)</f>
        <v>7.0680250896153813</v>
      </c>
      <c r="T2245" s="682">
        <f t="shared" si="318"/>
        <v>150472.96388288657</v>
      </c>
    </row>
    <row r="2246" spans="1:20" ht="12.75" customHeight="1">
      <c r="A2246" t="s">
        <v>584</v>
      </c>
      <c r="B2246" t="s">
        <v>1057</v>
      </c>
      <c r="C2246">
        <v>15778</v>
      </c>
      <c r="D2246" s="802"/>
      <c r="E2246" s="802"/>
      <c r="F2246" s="2">
        <f>(1/S2246)*cnst_fish!$C$6</f>
        <v>0.10211530705467774</v>
      </c>
      <c r="G2246" s="2">
        <f t="shared" si="321"/>
        <v>1</v>
      </c>
      <c r="H2246" s="2">
        <f t="shared" si="321"/>
        <v>0.36449057933102513</v>
      </c>
      <c r="I2246" s="2">
        <f t="shared" si="313"/>
        <v>0</v>
      </c>
      <c r="J2246" s="389">
        <f t="shared" si="314"/>
        <v>0</v>
      </c>
      <c r="L2246" s="803">
        <v>0</v>
      </c>
      <c r="M2246" s="802"/>
      <c r="N2246" s="804" t="s">
        <v>1738</v>
      </c>
      <c r="O2246" s="805" t="s">
        <v>4681</v>
      </c>
      <c r="P2246" s="233">
        <f t="shared" si="315"/>
        <v>0</v>
      </c>
      <c r="Q2246" s="233">
        <f t="shared" si="316"/>
        <v>0</v>
      </c>
      <c r="R2246" s="2">
        <f t="shared" si="317"/>
        <v>3.47</v>
      </c>
      <c r="S2246" s="2">
        <f>(1/9)*cnst_fish!$C$7*(1/cnst_fish!$C$8)^(R2246-1)</f>
        <v>41.619617299141382</v>
      </c>
      <c r="T2246" s="682">
        <f t="shared" si="318"/>
        <v>0</v>
      </c>
    </row>
    <row r="2247" spans="1:20" ht="12.75" customHeight="1">
      <c r="A2247" t="s">
        <v>1122</v>
      </c>
      <c r="B2247" t="s">
        <v>5332</v>
      </c>
      <c r="C2247">
        <v>18999</v>
      </c>
      <c r="D2247" s="802"/>
      <c r="E2247" s="802"/>
      <c r="F2247" s="2">
        <f>(1/S2247)*cnst_fish!$C$6</f>
        <v>6.4430402969999093E-2</v>
      </c>
      <c r="G2247" s="2">
        <f t="shared" si="321"/>
        <v>1</v>
      </c>
      <c r="H2247" s="2">
        <f t="shared" si="321"/>
        <v>0.36449057933102513</v>
      </c>
      <c r="I2247" s="2">
        <f t="shared" ref="I2247:I2310" si="322">IF($F2247=0,0,D2247/$F2247*$H2247*$G2247)</f>
        <v>0</v>
      </c>
      <c r="J2247" s="389">
        <f t="shared" ref="J2247:J2310" si="323">IF($F2247=0,0,E2247/$F2247*$H2247*$G2247)</f>
        <v>0</v>
      </c>
      <c r="L2247" s="803">
        <v>0</v>
      </c>
      <c r="M2247" s="802"/>
      <c r="N2247" s="804" t="s">
        <v>1738</v>
      </c>
      <c r="O2247" s="805" t="s">
        <v>4681</v>
      </c>
      <c r="P2247" s="233">
        <f t="shared" ref="P2247:P2310" si="324">D2247+E2247</f>
        <v>0</v>
      </c>
      <c r="Q2247" s="233">
        <f t="shared" ref="Q2247:Q2310" si="325">L2247+M2247</f>
        <v>0</v>
      </c>
      <c r="R2247" s="2">
        <f t="shared" ref="R2247:R2310" si="326">VLOOKUP(B2247,constant_fish_trophic,3,FALSE)</f>
        <v>3.67</v>
      </c>
      <c r="S2247" s="2">
        <f>(1/9)*cnst_fish!$C$7*(1/cnst_fish!$C$8)^(R2247-1)</f>
        <v>65.962648130245896</v>
      </c>
      <c r="T2247" s="682">
        <f t="shared" ref="T2247:T2310" si="327">IF(F2247=0,0,Q2247/F2247*H2247*G2247)</f>
        <v>0</v>
      </c>
    </row>
    <row r="2248" spans="1:20" ht="12.75" customHeight="1">
      <c r="A2248" t="s">
        <v>6475</v>
      </c>
      <c r="B2248" t="s">
        <v>6474</v>
      </c>
      <c r="C2248">
        <v>15781</v>
      </c>
      <c r="D2248" s="802"/>
      <c r="E2248" s="802"/>
      <c r="F2248" s="2">
        <f>(1/S2248)*cnst_fish!$C$6</f>
        <v>9.5299549485983348E-2</v>
      </c>
      <c r="G2248" s="2">
        <f t="shared" ref="G2248:H2267" si="328">G$7</f>
        <v>1</v>
      </c>
      <c r="H2248" s="2">
        <f t="shared" si="328"/>
        <v>0.36449057933102513</v>
      </c>
      <c r="I2248" s="2">
        <f t="shared" si="322"/>
        <v>0</v>
      </c>
      <c r="J2248" s="389">
        <f t="shared" si="323"/>
        <v>0</v>
      </c>
      <c r="L2248" s="803">
        <v>9</v>
      </c>
      <c r="M2248" s="802"/>
      <c r="N2248" s="804" t="s">
        <v>1738</v>
      </c>
      <c r="O2248" s="805" t="s">
        <v>4681</v>
      </c>
      <c r="P2248" s="233">
        <f t="shared" si="324"/>
        <v>0</v>
      </c>
      <c r="Q2248" s="233">
        <f t="shared" si="325"/>
        <v>9</v>
      </c>
      <c r="R2248" s="2">
        <f t="shared" si="326"/>
        <v>3.5</v>
      </c>
      <c r="S2248" s="2">
        <f>(1/9)*cnst_fish!$C$7*(1/cnst_fish!$C$8)^(R2248-1)</f>
        <v>44.596223412631026</v>
      </c>
      <c r="T2248" s="682">
        <f t="shared" si="327"/>
        <v>34.422148180896798</v>
      </c>
    </row>
    <row r="2249" spans="1:20" ht="12.75" customHeight="1">
      <c r="A2249" t="s">
        <v>6705</v>
      </c>
      <c r="B2249" t="s">
        <v>5550</v>
      </c>
      <c r="C2249">
        <v>2447</v>
      </c>
      <c r="D2249" s="802"/>
      <c r="E2249" s="802"/>
      <c r="F2249" s="2">
        <f>(1/S2249)*cnst_fish!$C$6</f>
        <v>0.14760152601876345</v>
      </c>
      <c r="G2249" s="2">
        <f t="shared" si="328"/>
        <v>1</v>
      </c>
      <c r="H2249" s="2">
        <f t="shared" si="328"/>
        <v>0.36449057933102513</v>
      </c>
      <c r="I2249" s="2">
        <f t="shared" si="322"/>
        <v>0</v>
      </c>
      <c r="J2249" s="389">
        <f t="shared" si="323"/>
        <v>0</v>
      </c>
      <c r="L2249" s="803"/>
      <c r="M2249" s="802"/>
      <c r="N2249" s="804" t="s">
        <v>1738</v>
      </c>
      <c r="O2249" s="805" t="s">
        <v>4681</v>
      </c>
      <c r="P2249" s="233">
        <f t="shared" si="324"/>
        <v>0</v>
      </c>
      <c r="Q2249" s="233">
        <f t="shared" si="325"/>
        <v>0</v>
      </c>
      <c r="R2249" s="2">
        <f t="shared" si="326"/>
        <v>3.31</v>
      </c>
      <c r="S2249" s="2">
        <f>(1/9)*cnst_fish!$C$7*(1/cnst_fish!$C$8)^(R2249-1)</f>
        <v>28.793740245339542</v>
      </c>
      <c r="T2249" s="682">
        <f t="shared" si="327"/>
        <v>0</v>
      </c>
    </row>
    <row r="2250" spans="1:20" ht="12.75" customHeight="1">
      <c r="A2250" t="s">
        <v>6706</v>
      </c>
      <c r="B2250" t="s">
        <v>5474</v>
      </c>
      <c r="C2250">
        <v>3242</v>
      </c>
      <c r="D2250" s="802"/>
      <c r="E2250" s="802"/>
      <c r="F2250" s="2">
        <f>(1/S2250)*cnst_fish!$C$6</f>
        <v>0.10692785320993656</v>
      </c>
      <c r="G2250" s="2">
        <f t="shared" si="328"/>
        <v>1</v>
      </c>
      <c r="H2250" s="2">
        <f t="shared" si="328"/>
        <v>0.36449057933102513</v>
      </c>
      <c r="I2250" s="2">
        <f t="shared" si="322"/>
        <v>0</v>
      </c>
      <c r="J2250" s="389">
        <f t="shared" si="323"/>
        <v>0</v>
      </c>
      <c r="L2250" s="803">
        <v>0</v>
      </c>
      <c r="M2250" s="802"/>
      <c r="N2250" s="804" t="s">
        <v>1738</v>
      </c>
      <c r="O2250" s="805" t="s">
        <v>4681</v>
      </c>
      <c r="P2250" s="233">
        <f t="shared" si="324"/>
        <v>0</v>
      </c>
      <c r="Q2250" s="233">
        <f t="shared" si="325"/>
        <v>0</v>
      </c>
      <c r="R2250" s="2">
        <f t="shared" si="326"/>
        <v>3.45</v>
      </c>
      <c r="S2250" s="2">
        <f>(1/9)*cnst_fish!$C$7*(1/cnst_fish!$C$8)^(R2250-1)</f>
        <v>39.746425953729492</v>
      </c>
      <c r="T2250" s="682">
        <f t="shared" si="327"/>
        <v>0</v>
      </c>
    </row>
    <row r="2251" spans="1:20" ht="12.75" customHeight="1">
      <c r="A2251" t="s">
        <v>4231</v>
      </c>
      <c r="B2251" t="s">
        <v>8803</v>
      </c>
      <c r="C2251">
        <v>17372</v>
      </c>
      <c r="D2251" s="802"/>
      <c r="E2251" s="802"/>
      <c r="F2251" s="2">
        <f>(1/S2251)*cnst_fish!$C$6</f>
        <v>2.6141530827766903</v>
      </c>
      <c r="G2251" s="2">
        <f t="shared" si="328"/>
        <v>1</v>
      </c>
      <c r="H2251" s="2">
        <f t="shared" si="328"/>
        <v>0.36449057933102513</v>
      </c>
      <c r="I2251" s="2">
        <f t="shared" si="322"/>
        <v>0</v>
      </c>
      <c r="J2251" s="389">
        <f t="shared" si="323"/>
        <v>0</v>
      </c>
      <c r="L2251" s="803"/>
      <c r="M2251" s="802"/>
      <c r="N2251" s="804" t="s">
        <v>1736</v>
      </c>
      <c r="O2251" s="805" t="s">
        <v>4691</v>
      </c>
      <c r="P2251" s="233">
        <f t="shared" si="324"/>
        <v>0</v>
      </c>
      <c r="Q2251" s="233">
        <f t="shared" si="325"/>
        <v>0</v>
      </c>
      <c r="R2251" s="2">
        <f t="shared" si="326"/>
        <v>2.0617598316454031</v>
      </c>
      <c r="S2251" s="2">
        <f>(1/9)*cnst_fish!$C$7*(1/cnst_fish!$C$8)^(R2251-1)</f>
        <v>1.6257655406644176</v>
      </c>
      <c r="T2251" s="682">
        <f t="shared" si="327"/>
        <v>0</v>
      </c>
    </row>
    <row r="2252" spans="1:20" ht="12.75" customHeight="1">
      <c r="A2252" t="s">
        <v>4094</v>
      </c>
      <c r="B2252" t="s">
        <v>4605</v>
      </c>
      <c r="C2252">
        <v>18707</v>
      </c>
      <c r="D2252" s="802"/>
      <c r="E2252" s="802"/>
      <c r="F2252" s="2">
        <f>(1/S2252)*cnst_fish!$C$6</f>
        <v>2.6141530827766903</v>
      </c>
      <c r="G2252" s="2">
        <f t="shared" si="328"/>
        <v>1</v>
      </c>
      <c r="H2252" s="2">
        <f t="shared" si="328"/>
        <v>0.36449057933102513</v>
      </c>
      <c r="I2252" s="2">
        <f t="shared" si="322"/>
        <v>0</v>
      </c>
      <c r="J2252" s="389">
        <f t="shared" si="323"/>
        <v>0</v>
      </c>
      <c r="L2252" s="803">
        <v>752</v>
      </c>
      <c r="M2252" s="802"/>
      <c r="N2252" s="804" t="s">
        <v>1736</v>
      </c>
      <c r="O2252" s="805" t="s">
        <v>4691</v>
      </c>
      <c r="P2252" s="233">
        <f t="shared" si="324"/>
        <v>0</v>
      </c>
      <c r="Q2252" s="233">
        <f t="shared" si="325"/>
        <v>752</v>
      </c>
      <c r="R2252" s="2">
        <f t="shared" si="326"/>
        <v>2.0617598316454031</v>
      </c>
      <c r="S2252" s="2">
        <f>(1/9)*cnst_fish!$C$7*(1/cnst_fish!$C$8)^(R2252-1)</f>
        <v>1.6257655406644176</v>
      </c>
      <c r="T2252" s="682">
        <f t="shared" si="327"/>
        <v>104.85113418292694</v>
      </c>
    </row>
    <row r="2253" spans="1:20" ht="12.75" customHeight="1">
      <c r="A2253" t="s">
        <v>3875</v>
      </c>
      <c r="B2253" t="s">
        <v>3876</v>
      </c>
      <c r="C2253">
        <v>15799</v>
      </c>
      <c r="D2253" s="802"/>
      <c r="E2253" s="802"/>
      <c r="F2253" s="2">
        <f>(1/S2253)*cnst_fish!$C$6</f>
        <v>3.0136363636363642E-2</v>
      </c>
      <c r="G2253" s="2">
        <f t="shared" si="328"/>
        <v>1</v>
      </c>
      <c r="H2253" s="2">
        <f t="shared" si="328"/>
        <v>0.36449057933102513</v>
      </c>
      <c r="I2253" s="2">
        <f t="shared" si="322"/>
        <v>0</v>
      </c>
      <c r="J2253" s="389">
        <f t="shared" si="323"/>
        <v>0</v>
      </c>
      <c r="L2253" s="803">
        <v>0</v>
      </c>
      <c r="M2253" s="802"/>
      <c r="N2253" s="804" t="s">
        <v>3785</v>
      </c>
      <c r="O2253" s="805" t="s">
        <v>4681</v>
      </c>
      <c r="P2253" s="233">
        <f t="shared" si="324"/>
        <v>0</v>
      </c>
      <c r="Q2253" s="233">
        <f t="shared" si="325"/>
        <v>0</v>
      </c>
      <c r="R2253" s="2">
        <f t="shared" si="326"/>
        <v>4</v>
      </c>
      <c r="S2253" s="2">
        <f>(1/9)*cnst_fish!$C$7*(1/cnst_fish!$C$8)^(R2253-1)</f>
        <v>141.02564102564099</v>
      </c>
      <c r="T2253" s="682">
        <f t="shared" si="327"/>
        <v>0</v>
      </c>
    </row>
    <row r="2254" spans="1:20" ht="12.75" customHeight="1">
      <c r="A2254" t="s">
        <v>8804</v>
      </c>
      <c r="B2254" t="s">
        <v>8805</v>
      </c>
      <c r="C2254">
        <v>2829</v>
      </c>
      <c r="D2254" s="802"/>
      <c r="E2254" s="802"/>
      <c r="F2254" s="2">
        <f>(1/S2254)*cnst_fish!$C$6</f>
        <v>6.0129950673834844E-2</v>
      </c>
      <c r="G2254" s="2">
        <f t="shared" si="328"/>
        <v>1</v>
      </c>
      <c r="H2254" s="2">
        <f t="shared" si="328"/>
        <v>0.36449057933102513</v>
      </c>
      <c r="I2254" s="2">
        <f t="shared" si="322"/>
        <v>0</v>
      </c>
      <c r="J2254" s="389">
        <f t="shared" si="323"/>
        <v>0</v>
      </c>
      <c r="L2254" s="803">
        <v>4</v>
      </c>
      <c r="M2254" s="802"/>
      <c r="N2254" s="804" t="s">
        <v>3785</v>
      </c>
      <c r="O2254" s="805" t="s">
        <v>4681</v>
      </c>
      <c r="P2254" s="233">
        <f t="shared" si="324"/>
        <v>0</v>
      </c>
      <c r="Q2254" s="233">
        <f t="shared" si="325"/>
        <v>4</v>
      </c>
      <c r="R2254" s="2">
        <f t="shared" si="326"/>
        <v>3.7</v>
      </c>
      <c r="S2254" s="2">
        <f>(1/9)*cnst_fish!$C$7*(1/cnst_fish!$C$8)^(R2254-1)</f>
        <v>70.680250896153822</v>
      </c>
      <c r="T2254" s="682">
        <f t="shared" si="327"/>
        <v>24.246857031907119</v>
      </c>
    </row>
    <row r="2255" spans="1:20" ht="12.75" customHeight="1">
      <c r="A2255" t="s">
        <v>2604</v>
      </c>
      <c r="B2255" t="s">
        <v>3452</v>
      </c>
      <c r="C2255">
        <v>3587</v>
      </c>
      <c r="D2255" s="802"/>
      <c r="E2255" s="802"/>
      <c r="F2255" s="2">
        <f>(1/S2255)*cnst_fish!$C$6</f>
        <v>3.0136363636363641</v>
      </c>
      <c r="G2255" s="2">
        <f t="shared" si="328"/>
        <v>1</v>
      </c>
      <c r="H2255" s="2">
        <f t="shared" si="328"/>
        <v>0.36449057933102513</v>
      </c>
      <c r="I2255" s="2">
        <f t="shared" si="322"/>
        <v>0</v>
      </c>
      <c r="J2255" s="389">
        <f t="shared" si="323"/>
        <v>0</v>
      </c>
      <c r="L2255" s="803"/>
      <c r="M2255" s="802">
        <v>0</v>
      </c>
      <c r="N2255" s="804" t="s">
        <v>1738</v>
      </c>
      <c r="O2255" s="805"/>
      <c r="P2255" s="233">
        <f t="shared" si="324"/>
        <v>0</v>
      </c>
      <c r="Q2255" s="233">
        <f t="shared" si="325"/>
        <v>0</v>
      </c>
      <c r="R2255" s="2">
        <f t="shared" si="326"/>
        <v>2</v>
      </c>
      <c r="S2255" s="2">
        <f>(1/9)*cnst_fish!$C$7*(1/cnst_fish!$C$8)^(R2255-1)</f>
        <v>1.4102564102564099</v>
      </c>
      <c r="T2255" s="682">
        <f t="shared" si="327"/>
        <v>0</v>
      </c>
    </row>
    <row r="2256" spans="1:20" ht="12.75" customHeight="1">
      <c r="A2256" t="s">
        <v>3534</v>
      </c>
      <c r="B2256" t="s">
        <v>5333</v>
      </c>
      <c r="C2256">
        <v>3269</v>
      </c>
      <c r="D2256" s="802"/>
      <c r="E2256" s="802"/>
      <c r="F2256" s="2">
        <f>(1/S2256)*cnst_fish!$C$6</f>
        <v>1.7341667202478851E-2</v>
      </c>
      <c r="G2256" s="2">
        <f t="shared" si="328"/>
        <v>1</v>
      </c>
      <c r="H2256" s="2">
        <f t="shared" si="328"/>
        <v>0.36449057933102513</v>
      </c>
      <c r="I2256" s="2">
        <f t="shared" si="322"/>
        <v>0</v>
      </c>
      <c r="J2256" s="389">
        <f t="shared" si="323"/>
        <v>0</v>
      </c>
      <c r="L2256" s="803">
        <v>290371.05</v>
      </c>
      <c r="M2256" s="802"/>
      <c r="N2256" s="804" t="s">
        <v>1738</v>
      </c>
      <c r="O2256" s="805" t="s">
        <v>4681</v>
      </c>
      <c r="P2256" s="233">
        <f t="shared" si="324"/>
        <v>0</v>
      </c>
      <c r="Q2256" s="233">
        <f t="shared" si="325"/>
        <v>290371.05</v>
      </c>
      <c r="R2256" s="2">
        <f t="shared" si="326"/>
        <v>4.24</v>
      </c>
      <c r="S2256" s="2">
        <f>(1/9)*cnst_fish!$C$7*(1/cnst_fish!$C$8)^(R2256-1)</f>
        <v>245.0744758492711</v>
      </c>
      <c r="T2256" s="682">
        <f t="shared" si="327"/>
        <v>6103075.9614813412</v>
      </c>
    </row>
    <row r="2257" spans="1:20" ht="12.75" customHeight="1">
      <c r="A2257" t="s">
        <v>3416</v>
      </c>
      <c r="B2257" t="s">
        <v>5334</v>
      </c>
      <c r="C2257">
        <v>2468</v>
      </c>
      <c r="D2257" s="802"/>
      <c r="E2257" s="802"/>
      <c r="F2257" s="2">
        <f>(1/S2257)*cnst_fish!$C$6</f>
        <v>1.0692785320993655E-2</v>
      </c>
      <c r="G2257" s="2">
        <f t="shared" si="328"/>
        <v>1</v>
      </c>
      <c r="H2257" s="2">
        <f t="shared" si="328"/>
        <v>0.36449057933102513</v>
      </c>
      <c r="I2257" s="2">
        <f t="shared" si="322"/>
        <v>0</v>
      </c>
      <c r="J2257" s="389">
        <f t="shared" si="323"/>
        <v>0</v>
      </c>
      <c r="L2257" s="803">
        <v>1150493.1200000001</v>
      </c>
      <c r="M2257" s="802"/>
      <c r="N2257" s="804" t="s">
        <v>1738</v>
      </c>
      <c r="O2257" s="805" t="s">
        <v>4681</v>
      </c>
      <c r="P2257" s="233">
        <f t="shared" si="324"/>
        <v>0</v>
      </c>
      <c r="Q2257" s="233">
        <f t="shared" si="325"/>
        <v>1150493.1200000001</v>
      </c>
      <c r="R2257" s="2">
        <f t="shared" si="326"/>
        <v>4.45</v>
      </c>
      <c r="S2257" s="2">
        <f>(1/9)*cnst_fish!$C$7*(1/cnst_fish!$C$8)^(R2257-1)</f>
        <v>397.46425953729499</v>
      </c>
      <c r="T2257" s="682">
        <f t="shared" si="327"/>
        <v>39217462.170669489</v>
      </c>
    </row>
    <row r="2258" spans="1:20" ht="12.75" customHeight="1">
      <c r="A2258" t="s">
        <v>2930</v>
      </c>
      <c r="B2258" t="s">
        <v>4391</v>
      </c>
      <c r="C2258">
        <v>3321</v>
      </c>
      <c r="D2258" s="802"/>
      <c r="E2258" s="802"/>
      <c r="F2258" s="2">
        <f>(1/S2258)*cnst_fish!$C$6</f>
        <v>1.4424170509541332</v>
      </c>
      <c r="G2258" s="2">
        <f t="shared" si="328"/>
        <v>1</v>
      </c>
      <c r="H2258" s="2">
        <f t="shared" si="328"/>
        <v>0.36449057933102513</v>
      </c>
      <c r="I2258" s="2">
        <f t="shared" si="322"/>
        <v>0</v>
      </c>
      <c r="J2258" s="389">
        <f t="shared" si="323"/>
        <v>0</v>
      </c>
      <c r="L2258" s="803"/>
      <c r="M2258" s="802">
        <v>44804</v>
      </c>
      <c r="N2258" s="804" t="s">
        <v>1738</v>
      </c>
      <c r="O2258" s="805" t="s">
        <v>4685</v>
      </c>
      <c r="P2258" s="233">
        <f t="shared" si="324"/>
        <v>0</v>
      </c>
      <c r="Q2258" s="233">
        <f t="shared" si="325"/>
        <v>44804</v>
      </c>
      <c r="R2258" s="2">
        <f t="shared" si="326"/>
        <v>2.3199999999999998</v>
      </c>
      <c r="S2258" s="2">
        <f>(1/9)*cnst_fish!$C$7*(1/cnst_fish!$C$8)^(R2258-1)</f>
        <v>2.946443261460824</v>
      </c>
      <c r="T2258" s="682">
        <f t="shared" si="327"/>
        <v>11321.715800256816</v>
      </c>
    </row>
    <row r="2259" spans="1:20" ht="12.75" customHeight="1">
      <c r="A2259" t="s">
        <v>745</v>
      </c>
      <c r="B2259" t="s">
        <v>746</v>
      </c>
      <c r="C2259">
        <v>15804</v>
      </c>
      <c r="D2259" s="802"/>
      <c r="E2259" s="802"/>
      <c r="F2259" s="2">
        <f>(1/S2259)*cnst_fish!$C$6</f>
        <v>0.62963787943464877</v>
      </c>
      <c r="G2259" s="2">
        <f t="shared" si="328"/>
        <v>1</v>
      </c>
      <c r="H2259" s="2">
        <f t="shared" si="328"/>
        <v>0.36449057933102513</v>
      </c>
      <c r="I2259" s="2">
        <f t="shared" si="322"/>
        <v>0</v>
      </c>
      <c r="J2259" s="389">
        <f t="shared" si="323"/>
        <v>0</v>
      </c>
      <c r="L2259" s="803"/>
      <c r="M2259" s="802">
        <v>18684</v>
      </c>
      <c r="N2259" s="804" t="s">
        <v>1738</v>
      </c>
      <c r="O2259" s="805" t="s">
        <v>4685</v>
      </c>
      <c r="P2259" s="233">
        <f t="shared" si="324"/>
        <v>0</v>
      </c>
      <c r="Q2259" s="233">
        <f t="shared" si="325"/>
        <v>18684</v>
      </c>
      <c r="R2259" s="2">
        <f t="shared" si="326"/>
        <v>2.68</v>
      </c>
      <c r="S2259" s="2">
        <f>(1/9)*cnst_fish!$C$7*(1/cnst_fish!$C$8)^(R2259-1)</f>
        <v>6.7499115583961862</v>
      </c>
      <c r="T2259" s="682">
        <f t="shared" si="327"/>
        <v>10815.966139673321</v>
      </c>
    </row>
    <row r="2260" spans="1:20" ht="12.75" customHeight="1">
      <c r="A2260" t="s">
        <v>435</v>
      </c>
      <c r="B2260" t="s">
        <v>8806</v>
      </c>
      <c r="C2260">
        <v>17470</v>
      </c>
      <c r="D2260" s="802"/>
      <c r="E2260" s="802"/>
      <c r="F2260" s="2">
        <f>(1/S2260)*cnst_fish!$C$6</f>
        <v>2.3938164528281742</v>
      </c>
      <c r="G2260" s="2">
        <f t="shared" si="328"/>
        <v>1</v>
      </c>
      <c r="H2260" s="2">
        <f t="shared" si="328"/>
        <v>0.36449057933102513</v>
      </c>
      <c r="I2260" s="2">
        <f t="shared" si="322"/>
        <v>0</v>
      </c>
      <c r="J2260" s="389">
        <f t="shared" si="323"/>
        <v>0</v>
      </c>
      <c r="L2260" s="803"/>
      <c r="M2260" s="802"/>
      <c r="N2260" s="804" t="s">
        <v>1736</v>
      </c>
      <c r="O2260" s="805" t="s">
        <v>4691</v>
      </c>
      <c r="P2260" s="233">
        <f t="shared" si="324"/>
        <v>0</v>
      </c>
      <c r="Q2260" s="233">
        <f t="shared" si="325"/>
        <v>0</v>
      </c>
      <c r="R2260" s="2">
        <f t="shared" si="326"/>
        <v>2.1</v>
      </c>
      <c r="S2260" s="2">
        <f>(1/9)*cnst_fish!$C$7*(1/cnst_fish!$C$8)^(R2260-1)</f>
        <v>1.7754076320174161</v>
      </c>
      <c r="T2260" s="682">
        <f t="shared" si="327"/>
        <v>0</v>
      </c>
    </row>
    <row r="2261" spans="1:20" ht="12.75" customHeight="1">
      <c r="A2261" t="s">
        <v>4259</v>
      </c>
      <c r="B2261" t="s">
        <v>8807</v>
      </c>
      <c r="C2261">
        <v>3558</v>
      </c>
      <c r="D2261" s="802"/>
      <c r="E2261" s="802"/>
      <c r="F2261" s="2">
        <f>(1/S2261)*cnst_fish!$C$6</f>
        <v>2.3938164528281742</v>
      </c>
      <c r="G2261" s="2">
        <f t="shared" si="328"/>
        <v>1</v>
      </c>
      <c r="H2261" s="2">
        <f t="shared" si="328"/>
        <v>0.36449057933102513</v>
      </c>
      <c r="I2261" s="2">
        <f t="shared" si="322"/>
        <v>0</v>
      </c>
      <c r="J2261" s="389">
        <f t="shared" si="323"/>
        <v>0</v>
      </c>
      <c r="L2261" s="803"/>
      <c r="M2261" s="802"/>
      <c r="N2261" s="804" t="s">
        <v>1736</v>
      </c>
      <c r="O2261" s="805" t="s">
        <v>4691</v>
      </c>
      <c r="P2261" s="233">
        <f t="shared" si="324"/>
        <v>0</v>
      </c>
      <c r="Q2261" s="233">
        <f t="shared" si="325"/>
        <v>0</v>
      </c>
      <c r="R2261" s="2">
        <f t="shared" si="326"/>
        <v>2.1</v>
      </c>
      <c r="S2261" s="2">
        <f>(1/9)*cnst_fish!$C$7*(1/cnst_fish!$C$8)^(R2261-1)</f>
        <v>1.7754076320174161</v>
      </c>
      <c r="T2261" s="682">
        <f t="shared" si="327"/>
        <v>0</v>
      </c>
    </row>
    <row r="2262" spans="1:20" ht="12.75" customHeight="1">
      <c r="A2262" t="s">
        <v>450</v>
      </c>
      <c r="B2262" t="s">
        <v>8808</v>
      </c>
      <c r="C2262">
        <v>2709</v>
      </c>
      <c r="D2262" s="802"/>
      <c r="E2262" s="802"/>
      <c r="F2262" s="2">
        <f>(1/S2262)*cnst_fish!$C$6</f>
        <v>2.3938164528281742</v>
      </c>
      <c r="G2262" s="2">
        <f t="shared" si="328"/>
        <v>1</v>
      </c>
      <c r="H2262" s="2">
        <f t="shared" si="328"/>
        <v>0.36449057933102513</v>
      </c>
      <c r="I2262" s="2">
        <f t="shared" si="322"/>
        <v>0</v>
      </c>
      <c r="J2262" s="389">
        <f t="shared" si="323"/>
        <v>0</v>
      </c>
      <c r="L2262" s="803"/>
      <c r="M2262" s="802"/>
      <c r="N2262" s="804" t="s">
        <v>1736</v>
      </c>
      <c r="O2262" s="805" t="s">
        <v>4680</v>
      </c>
      <c r="P2262" s="233">
        <f t="shared" si="324"/>
        <v>0</v>
      </c>
      <c r="Q2262" s="233">
        <f t="shared" si="325"/>
        <v>0</v>
      </c>
      <c r="R2262" s="2">
        <f t="shared" si="326"/>
        <v>2.1</v>
      </c>
      <c r="S2262" s="2">
        <f>(1/9)*cnst_fish!$C$7*(1/cnst_fish!$C$8)^(R2262-1)</f>
        <v>1.7754076320174161</v>
      </c>
      <c r="T2262" s="682">
        <f t="shared" si="327"/>
        <v>0</v>
      </c>
    </row>
    <row r="2263" spans="1:20" ht="12.75" customHeight="1">
      <c r="A2263" t="s">
        <v>8809</v>
      </c>
      <c r="B2263" t="s">
        <v>8808</v>
      </c>
      <c r="C2263">
        <v>20239</v>
      </c>
      <c r="D2263" s="802"/>
      <c r="E2263" s="802"/>
      <c r="F2263" s="2">
        <f>(1/S2263)*cnst_fish!$C$6</f>
        <v>2.3938164528281742</v>
      </c>
      <c r="G2263" s="2">
        <f t="shared" si="328"/>
        <v>1</v>
      </c>
      <c r="H2263" s="2">
        <f t="shared" si="328"/>
        <v>0.36449057933102513</v>
      </c>
      <c r="I2263" s="2">
        <f t="shared" si="322"/>
        <v>0</v>
      </c>
      <c r="J2263" s="389">
        <f t="shared" si="323"/>
        <v>0</v>
      </c>
      <c r="L2263" s="803"/>
      <c r="M2263" s="802"/>
      <c r="N2263" s="804" t="s">
        <v>1736</v>
      </c>
      <c r="O2263" s="805" t="s">
        <v>4691</v>
      </c>
      <c r="P2263" s="233">
        <f t="shared" si="324"/>
        <v>0</v>
      </c>
      <c r="Q2263" s="233">
        <f t="shared" si="325"/>
        <v>0</v>
      </c>
      <c r="R2263" s="2">
        <f t="shared" si="326"/>
        <v>2.1</v>
      </c>
      <c r="S2263" s="2">
        <f>(1/9)*cnst_fish!$C$7*(1/cnst_fish!$C$8)^(R2263-1)</f>
        <v>1.7754076320174161</v>
      </c>
      <c r="T2263" s="682">
        <f t="shared" si="327"/>
        <v>0</v>
      </c>
    </row>
    <row r="2264" spans="1:20" ht="12.75" customHeight="1">
      <c r="A2264" t="s">
        <v>444</v>
      </c>
      <c r="B2264" t="s">
        <v>8810</v>
      </c>
      <c r="C2264">
        <v>17471</v>
      </c>
      <c r="D2264" s="802"/>
      <c r="E2264" s="802"/>
      <c r="F2264" s="2">
        <f>(1/S2264)*cnst_fish!$C$6</f>
        <v>2.3938164528281742</v>
      </c>
      <c r="G2264" s="2">
        <f t="shared" si="328"/>
        <v>1</v>
      </c>
      <c r="H2264" s="2">
        <f t="shared" si="328"/>
        <v>0.36449057933102513</v>
      </c>
      <c r="I2264" s="2">
        <f t="shared" si="322"/>
        <v>0</v>
      </c>
      <c r="J2264" s="389">
        <f t="shared" si="323"/>
        <v>0</v>
      </c>
      <c r="L2264" s="803"/>
      <c r="M2264" s="802"/>
      <c r="N2264" s="804" t="s">
        <v>1736</v>
      </c>
      <c r="O2264" s="805" t="s">
        <v>4691</v>
      </c>
      <c r="P2264" s="233">
        <f t="shared" si="324"/>
        <v>0</v>
      </c>
      <c r="Q2264" s="233">
        <f t="shared" si="325"/>
        <v>0</v>
      </c>
      <c r="R2264" s="2">
        <f t="shared" si="326"/>
        <v>2.1</v>
      </c>
      <c r="S2264" s="2">
        <f>(1/9)*cnst_fish!$C$7*(1/cnst_fish!$C$8)^(R2264-1)</f>
        <v>1.7754076320174161</v>
      </c>
      <c r="T2264" s="682">
        <f t="shared" si="327"/>
        <v>0</v>
      </c>
    </row>
    <row r="2265" spans="1:20" ht="12.75" customHeight="1">
      <c r="A2265" t="s">
        <v>447</v>
      </c>
      <c r="B2265" t="s">
        <v>8811</v>
      </c>
      <c r="C2265">
        <v>2710</v>
      </c>
      <c r="D2265" s="802"/>
      <c r="E2265" s="802"/>
      <c r="F2265" s="2">
        <f>(1/S2265)*cnst_fish!$C$6</f>
        <v>2.3938164528281742</v>
      </c>
      <c r="G2265" s="2">
        <f t="shared" si="328"/>
        <v>1</v>
      </c>
      <c r="H2265" s="2">
        <f t="shared" si="328"/>
        <v>0.36449057933102513</v>
      </c>
      <c r="I2265" s="2">
        <f t="shared" si="322"/>
        <v>0</v>
      </c>
      <c r="J2265" s="389">
        <f t="shared" si="323"/>
        <v>0</v>
      </c>
      <c r="L2265" s="803"/>
      <c r="M2265" s="802"/>
      <c r="N2265" s="804" t="s">
        <v>1736</v>
      </c>
      <c r="O2265" s="805" t="s">
        <v>4680</v>
      </c>
      <c r="P2265" s="233">
        <f t="shared" si="324"/>
        <v>0</v>
      </c>
      <c r="Q2265" s="233">
        <f t="shared" si="325"/>
        <v>0</v>
      </c>
      <c r="R2265" s="2">
        <f t="shared" si="326"/>
        <v>2.1</v>
      </c>
      <c r="S2265" s="2">
        <f>(1/9)*cnst_fish!$C$7*(1/cnst_fish!$C$8)^(R2265-1)</f>
        <v>1.7754076320174161</v>
      </c>
      <c r="T2265" s="682">
        <f t="shared" si="327"/>
        <v>0</v>
      </c>
    </row>
    <row r="2266" spans="1:20" ht="12.75" customHeight="1">
      <c r="A2266" t="s">
        <v>8812</v>
      </c>
      <c r="B2266" t="s">
        <v>8813</v>
      </c>
      <c r="C2266">
        <v>3335</v>
      </c>
      <c r="D2266" s="802"/>
      <c r="E2266" s="802"/>
      <c r="F2266" s="2">
        <f>(1/S2266)*cnst_fish!$C$6</f>
        <v>6.0129950673834844E-2</v>
      </c>
      <c r="G2266" s="2">
        <f t="shared" si="328"/>
        <v>1</v>
      </c>
      <c r="H2266" s="2">
        <f t="shared" si="328"/>
        <v>0.36449057933102513</v>
      </c>
      <c r="I2266" s="2">
        <f t="shared" si="322"/>
        <v>0</v>
      </c>
      <c r="J2266" s="389">
        <f t="shared" si="323"/>
        <v>0</v>
      </c>
      <c r="L2266" s="803">
        <v>5</v>
      </c>
      <c r="M2266" s="802"/>
      <c r="N2266" s="804" t="s">
        <v>1738</v>
      </c>
      <c r="O2266" s="805" t="s">
        <v>4681</v>
      </c>
      <c r="P2266" s="233">
        <f t="shared" si="324"/>
        <v>0</v>
      </c>
      <c r="Q2266" s="233">
        <f t="shared" si="325"/>
        <v>5</v>
      </c>
      <c r="R2266" s="2">
        <f t="shared" si="326"/>
        <v>3.7</v>
      </c>
      <c r="S2266" s="2">
        <f>(1/9)*cnst_fish!$C$7*(1/cnst_fish!$C$8)^(R2266-1)</f>
        <v>70.680250896153822</v>
      </c>
      <c r="T2266" s="682">
        <f t="shared" si="327"/>
        <v>30.308571289883897</v>
      </c>
    </row>
    <row r="2267" spans="1:20" ht="12.75" customHeight="1">
      <c r="A2267" t="s">
        <v>3282</v>
      </c>
      <c r="B2267" t="s">
        <v>3147</v>
      </c>
      <c r="C2267">
        <v>3334</v>
      </c>
      <c r="D2267" s="802"/>
      <c r="E2267" s="802"/>
      <c r="F2267" s="2">
        <f>(1/S2267)*cnst_fish!$C$6</f>
        <v>7.0646532025323075E-2</v>
      </c>
      <c r="G2267" s="2">
        <f t="shared" si="328"/>
        <v>1</v>
      </c>
      <c r="H2267" s="2">
        <f t="shared" si="328"/>
        <v>0.36449057933102513</v>
      </c>
      <c r="I2267" s="2">
        <f t="shared" si="322"/>
        <v>0</v>
      </c>
      <c r="J2267" s="389">
        <f t="shared" si="323"/>
        <v>0</v>
      </c>
      <c r="L2267" s="803">
        <v>23456</v>
      </c>
      <c r="M2267" s="802"/>
      <c r="N2267" s="804" t="s">
        <v>1738</v>
      </c>
      <c r="O2267" s="805" t="s">
        <v>4681</v>
      </c>
      <c r="P2267" s="233">
        <f t="shared" si="324"/>
        <v>0</v>
      </c>
      <c r="Q2267" s="233">
        <f t="shared" si="325"/>
        <v>23456</v>
      </c>
      <c r="R2267" s="2">
        <f t="shared" si="326"/>
        <v>3.63</v>
      </c>
      <c r="S2267" s="2">
        <f>(1/9)*cnst_fish!$C$7*(1/cnst_fish!$C$8)^(R2267-1)</f>
        <v>60.158650087404119</v>
      </c>
      <c r="T2267" s="682">
        <f t="shared" si="327"/>
        <v>121017.84452383283</v>
      </c>
    </row>
    <row r="2268" spans="1:20" ht="12.75" customHeight="1">
      <c r="A2268" t="s">
        <v>6707</v>
      </c>
      <c r="B2268" t="s">
        <v>3726</v>
      </c>
      <c r="C2268">
        <v>2749</v>
      </c>
      <c r="D2268" s="802"/>
      <c r="E2268" s="802"/>
      <c r="F2268" s="2">
        <f>(1/S2268)*cnst_fish!$C$6</f>
        <v>1.6946922663690973</v>
      </c>
      <c r="G2268" s="2">
        <f t="shared" ref="G2268:H2287" si="329">G$7</f>
        <v>1</v>
      </c>
      <c r="H2268" s="2">
        <f t="shared" si="329"/>
        <v>0.36449057933102513</v>
      </c>
      <c r="I2268" s="2">
        <f t="shared" si="322"/>
        <v>0</v>
      </c>
      <c r="J2268" s="389">
        <f t="shared" si="323"/>
        <v>0</v>
      </c>
      <c r="L2268" s="803"/>
      <c r="M2268" s="802">
        <v>0</v>
      </c>
      <c r="N2268" s="804" t="s">
        <v>2310</v>
      </c>
      <c r="O2268" s="805"/>
      <c r="P2268" s="233">
        <f t="shared" si="324"/>
        <v>0</v>
      </c>
      <c r="Q2268" s="233">
        <f t="shared" si="325"/>
        <v>0</v>
      </c>
      <c r="R2268" s="2">
        <f t="shared" si="326"/>
        <v>2.25</v>
      </c>
      <c r="S2268" s="2">
        <f>(1/9)*cnst_fish!$C$7*(1/cnst_fish!$C$8)^(R2268-1)</f>
        <v>2.5078299372343786</v>
      </c>
      <c r="T2268" s="682">
        <f t="shared" si="327"/>
        <v>0</v>
      </c>
    </row>
    <row r="2269" spans="1:20" ht="12.75" customHeight="1">
      <c r="A2269" t="s">
        <v>6709</v>
      </c>
      <c r="B2269" t="s">
        <v>6708</v>
      </c>
      <c r="C2269">
        <v>15834</v>
      </c>
      <c r="D2269" s="802"/>
      <c r="E2269" s="802"/>
      <c r="F2269" s="2">
        <f>(1/S2269)*cnst_fish!$C$6</f>
        <v>0.60129950673834842</v>
      </c>
      <c r="G2269" s="2">
        <f t="shared" si="329"/>
        <v>1</v>
      </c>
      <c r="H2269" s="2">
        <f t="shared" si="329"/>
        <v>0.36449057933102513</v>
      </c>
      <c r="I2269" s="2">
        <f t="shared" si="322"/>
        <v>0</v>
      </c>
      <c r="J2269" s="389">
        <f t="shared" si="323"/>
        <v>0</v>
      </c>
      <c r="L2269" s="803"/>
      <c r="M2269" s="802">
        <v>3050</v>
      </c>
      <c r="N2269" s="804" t="s">
        <v>1738</v>
      </c>
      <c r="O2269" s="805" t="s">
        <v>4685</v>
      </c>
      <c r="P2269" s="233">
        <f t="shared" si="324"/>
        <v>0</v>
      </c>
      <c r="Q2269" s="233">
        <f t="shared" si="325"/>
        <v>3050</v>
      </c>
      <c r="R2269" s="2">
        <f t="shared" si="326"/>
        <v>2.7</v>
      </c>
      <c r="S2269" s="2">
        <f>(1/9)*cnst_fish!$C$7*(1/cnst_fish!$C$8)^(R2269-1)</f>
        <v>7.0680250896153813</v>
      </c>
      <c r="T2269" s="682">
        <f t="shared" si="327"/>
        <v>1848.8228486829178</v>
      </c>
    </row>
    <row r="2270" spans="1:20" ht="12.75" customHeight="1">
      <c r="A2270" t="s">
        <v>3808</v>
      </c>
      <c r="B2270" t="s">
        <v>4012</v>
      </c>
      <c r="C2270">
        <v>15836</v>
      </c>
      <c r="D2270" s="802"/>
      <c r="E2270" s="802"/>
      <c r="F2270" s="2">
        <f>(1/S2270)*cnst_fish!$C$6</f>
        <v>0.28124890974018413</v>
      </c>
      <c r="G2270" s="2">
        <f t="shared" si="329"/>
        <v>1</v>
      </c>
      <c r="H2270" s="2">
        <f t="shared" si="329"/>
        <v>0.36449057933102513</v>
      </c>
      <c r="I2270" s="2">
        <f t="shared" si="322"/>
        <v>0</v>
      </c>
      <c r="J2270" s="389">
        <f t="shared" si="323"/>
        <v>0</v>
      </c>
      <c r="L2270" s="803">
        <v>0</v>
      </c>
      <c r="M2270" s="802"/>
      <c r="N2270" s="804" t="s">
        <v>5195</v>
      </c>
      <c r="O2270" s="805" t="s">
        <v>4681</v>
      </c>
      <c r="P2270" s="233">
        <f t="shared" si="324"/>
        <v>0</v>
      </c>
      <c r="Q2270" s="233">
        <f t="shared" si="325"/>
        <v>0</v>
      </c>
      <c r="R2270" s="2">
        <f t="shared" si="326"/>
        <v>3.03</v>
      </c>
      <c r="S2270" s="2">
        <f>(1/9)*cnst_fish!$C$7*(1/cnst_fish!$C$8)^(R2270-1)</f>
        <v>15.111169689248294</v>
      </c>
      <c r="T2270" s="682">
        <f t="shared" si="327"/>
        <v>0</v>
      </c>
    </row>
    <row r="2271" spans="1:20" ht="12.75" customHeight="1">
      <c r="A2271" t="s">
        <v>2523</v>
      </c>
      <c r="B2271" t="s">
        <v>4013</v>
      </c>
      <c r="C2271">
        <v>3019</v>
      </c>
      <c r="D2271" s="802"/>
      <c r="E2271" s="802"/>
      <c r="F2271" s="2">
        <f>(1/S2271)*cnst_fish!$C$6</f>
        <v>0.17341667202478855</v>
      </c>
      <c r="G2271" s="2">
        <f t="shared" si="329"/>
        <v>1</v>
      </c>
      <c r="H2271" s="2">
        <f t="shared" si="329"/>
        <v>0.36449057933102513</v>
      </c>
      <c r="I2271" s="2">
        <f t="shared" si="322"/>
        <v>0</v>
      </c>
      <c r="J2271" s="389">
        <f t="shared" si="323"/>
        <v>0</v>
      </c>
      <c r="L2271" s="803">
        <v>36243</v>
      </c>
      <c r="M2271" s="802"/>
      <c r="N2271" s="804" t="s">
        <v>1738</v>
      </c>
      <c r="O2271" s="805" t="s">
        <v>4681</v>
      </c>
      <c r="P2271" s="233">
        <f t="shared" si="324"/>
        <v>0</v>
      </c>
      <c r="Q2271" s="233">
        <f t="shared" si="325"/>
        <v>36243</v>
      </c>
      <c r="R2271" s="2">
        <f t="shared" si="326"/>
        <v>3.24</v>
      </c>
      <c r="S2271" s="2">
        <f>(1/9)*cnst_fish!$C$7*(1/cnst_fish!$C$8)^(R2271-1)</f>
        <v>24.507447584927103</v>
      </c>
      <c r="T2271" s="682">
        <f t="shared" si="327"/>
        <v>76176.251755114092</v>
      </c>
    </row>
    <row r="2272" spans="1:20" ht="12.75" customHeight="1">
      <c r="A2272" t="s">
        <v>197</v>
      </c>
      <c r="B2272" t="s">
        <v>4014</v>
      </c>
      <c r="C2272">
        <v>2235</v>
      </c>
      <c r="D2272" s="802"/>
      <c r="E2272" s="802"/>
      <c r="F2272" s="2">
        <f>(1/S2272)*cnst_fish!$C$6</f>
        <v>5.6116535073067304E-2</v>
      </c>
      <c r="G2272" s="2">
        <f t="shared" si="329"/>
        <v>1</v>
      </c>
      <c r="H2272" s="2">
        <f t="shared" si="329"/>
        <v>0.36449057933102513</v>
      </c>
      <c r="I2272" s="2">
        <f t="shared" si="322"/>
        <v>0</v>
      </c>
      <c r="J2272" s="389">
        <f t="shared" si="323"/>
        <v>0</v>
      </c>
      <c r="L2272" s="803">
        <v>9582</v>
      </c>
      <c r="M2272" s="802"/>
      <c r="N2272" s="804" t="s">
        <v>1738</v>
      </c>
      <c r="O2272" s="805" t="s">
        <v>4681</v>
      </c>
      <c r="P2272" s="233">
        <f t="shared" si="324"/>
        <v>0</v>
      </c>
      <c r="Q2272" s="233">
        <f t="shared" si="325"/>
        <v>9582</v>
      </c>
      <c r="R2272" s="2">
        <f t="shared" si="326"/>
        <v>3.73</v>
      </c>
      <c r="S2272" s="2">
        <f>(1/9)*cnst_fish!$C$7*(1/cnst_fish!$C$8)^(R2272-1)</f>
        <v>75.735253334266432</v>
      </c>
      <c r="T2272" s="682">
        <f t="shared" si="327"/>
        <v>62237.426573154633</v>
      </c>
    </row>
    <row r="2273" spans="1:20" ht="12.75" customHeight="1">
      <c r="A2273" t="s">
        <v>2020</v>
      </c>
      <c r="B2273" t="s">
        <v>3689</v>
      </c>
      <c r="C2273">
        <v>3020</v>
      </c>
      <c r="D2273" s="802"/>
      <c r="E2273" s="802"/>
      <c r="F2273" s="2">
        <f>(1/S2273)*cnst_fish!$C$6</f>
        <v>4.4574948243432784E-2</v>
      </c>
      <c r="G2273" s="2">
        <f t="shared" si="329"/>
        <v>1</v>
      </c>
      <c r="H2273" s="2">
        <f t="shared" si="329"/>
        <v>0.36449057933102513</v>
      </c>
      <c r="I2273" s="2">
        <f t="shared" si="322"/>
        <v>0</v>
      </c>
      <c r="J2273" s="389">
        <f t="shared" si="323"/>
        <v>0</v>
      </c>
      <c r="L2273" s="803">
        <v>1839</v>
      </c>
      <c r="M2273" s="802"/>
      <c r="N2273" s="804" t="s">
        <v>1738</v>
      </c>
      <c r="O2273" s="805" t="s">
        <v>4681</v>
      </c>
      <c r="P2273" s="233">
        <f t="shared" si="324"/>
        <v>0</v>
      </c>
      <c r="Q2273" s="233">
        <f t="shared" si="325"/>
        <v>1839</v>
      </c>
      <c r="R2273" s="2">
        <f t="shared" si="326"/>
        <v>3.83</v>
      </c>
      <c r="S2273" s="2">
        <f>(1/9)*cnst_fish!$C$7*(1/cnst_fish!$C$8)^(R2273-1)</f>
        <v>95.345034991176945</v>
      </c>
      <c r="T2273" s="682">
        <f t="shared" si="327"/>
        <v>15037.553644013711</v>
      </c>
    </row>
    <row r="2274" spans="1:20" ht="12.75" customHeight="1">
      <c r="A2274" t="s">
        <v>8917</v>
      </c>
      <c r="B2274" t="s">
        <v>8918</v>
      </c>
      <c r="C2274">
        <v>6456</v>
      </c>
      <c r="D2274" s="802"/>
      <c r="E2274" s="802"/>
      <c r="F2274" s="2">
        <f>(1/S2274)*cnst_fish!$C$6</f>
        <v>2.3938164528281742</v>
      </c>
      <c r="G2274" s="2">
        <f t="shared" si="329"/>
        <v>1</v>
      </c>
      <c r="H2274" s="2">
        <f t="shared" si="329"/>
        <v>0.36449057933102513</v>
      </c>
      <c r="I2274" s="2">
        <f t="shared" si="322"/>
        <v>0</v>
      </c>
      <c r="J2274" s="389">
        <f t="shared" si="323"/>
        <v>0</v>
      </c>
      <c r="L2274" s="803"/>
      <c r="M2274" s="802"/>
      <c r="N2274" s="804" t="s">
        <v>1736</v>
      </c>
      <c r="O2274" s="805"/>
      <c r="P2274" s="233">
        <f t="shared" si="324"/>
        <v>0</v>
      </c>
      <c r="Q2274" s="233">
        <f t="shared" si="325"/>
        <v>0</v>
      </c>
      <c r="R2274" s="2">
        <f t="shared" si="326"/>
        <v>2.1</v>
      </c>
      <c r="S2274" s="2">
        <f>(1/9)*cnst_fish!$C$7*(1/cnst_fish!$C$8)^(R2274-1)</f>
        <v>1.7754076320174161</v>
      </c>
      <c r="T2274" s="682">
        <f t="shared" si="327"/>
        <v>0</v>
      </c>
    </row>
    <row r="2275" spans="1:20" ht="12.75" customHeight="1">
      <c r="A2275" t="s">
        <v>1187</v>
      </c>
      <c r="B2275" t="s">
        <v>382</v>
      </c>
      <c r="C2275">
        <v>3653</v>
      </c>
      <c r="D2275" s="802"/>
      <c r="E2275" s="802"/>
      <c r="F2275" s="2">
        <f>(1/S2275)*cnst_fish!$C$6</f>
        <v>0.14481532779905856</v>
      </c>
      <c r="G2275" s="2">
        <f t="shared" si="329"/>
        <v>1</v>
      </c>
      <c r="H2275" s="2">
        <f t="shared" si="329"/>
        <v>0.36449057933102513</v>
      </c>
      <c r="I2275" s="2">
        <f t="shared" si="322"/>
        <v>0</v>
      </c>
      <c r="J2275" s="389">
        <f t="shared" si="323"/>
        <v>0</v>
      </c>
      <c r="L2275" s="803">
        <v>49</v>
      </c>
      <c r="M2275" s="802"/>
      <c r="N2275" s="804" t="s">
        <v>1736</v>
      </c>
      <c r="O2275" s="805" t="s">
        <v>4691</v>
      </c>
      <c r="P2275" s="233">
        <f t="shared" si="324"/>
        <v>0</v>
      </c>
      <c r="Q2275" s="233">
        <f t="shared" si="325"/>
        <v>49</v>
      </c>
      <c r="R2275" s="2">
        <f t="shared" si="326"/>
        <v>3.3182763159269002</v>
      </c>
      <c r="S2275" s="2">
        <f>(1/9)*cnst_fish!$C$7*(1/cnst_fish!$C$8)^(R2275-1)</f>
        <v>29.347722127157517</v>
      </c>
      <c r="T2275" s="682">
        <f t="shared" si="327"/>
        <v>123.32975147494255</v>
      </c>
    </row>
    <row r="2276" spans="1:20" ht="12.75" customHeight="1">
      <c r="A2276" t="s">
        <v>1089</v>
      </c>
      <c r="B2276" t="s">
        <v>2611</v>
      </c>
      <c r="C2276">
        <v>2656</v>
      </c>
      <c r="D2276" s="802"/>
      <c r="E2276" s="802"/>
      <c r="F2276" s="2">
        <f>(1/S2276)*cnst_fish!$C$6</f>
        <v>2.3938164528281742</v>
      </c>
      <c r="G2276" s="2">
        <f t="shared" si="329"/>
        <v>1</v>
      </c>
      <c r="H2276" s="2">
        <f t="shared" si="329"/>
        <v>0.36449057933102513</v>
      </c>
      <c r="I2276" s="2">
        <f t="shared" si="322"/>
        <v>0</v>
      </c>
      <c r="J2276" s="389">
        <f t="shared" si="323"/>
        <v>0</v>
      </c>
      <c r="L2276" s="803">
        <v>7855</v>
      </c>
      <c r="M2276" s="802"/>
      <c r="N2276" s="804" t="s">
        <v>1736</v>
      </c>
      <c r="O2276" s="805" t="s">
        <v>4691</v>
      </c>
      <c r="P2276" s="233">
        <f t="shared" si="324"/>
        <v>0</v>
      </c>
      <c r="Q2276" s="233">
        <f t="shared" si="325"/>
        <v>7855</v>
      </c>
      <c r="R2276" s="2">
        <f t="shared" si="326"/>
        <v>2.1</v>
      </c>
      <c r="S2276" s="2">
        <f>(1/9)*cnst_fish!$C$7*(1/cnst_fish!$C$8)^(R2276-1)</f>
        <v>1.7754076320174161</v>
      </c>
      <c r="T2276" s="682">
        <f t="shared" si="327"/>
        <v>1196.0288338993678</v>
      </c>
    </row>
    <row r="2277" spans="1:20" ht="12.75" customHeight="1">
      <c r="A2277" t="s">
        <v>8814</v>
      </c>
      <c r="B2277" t="s">
        <v>8815</v>
      </c>
      <c r="C2277">
        <v>17776</v>
      </c>
      <c r="D2277" s="802"/>
      <c r="E2277" s="802"/>
      <c r="F2277" s="2">
        <f>(1/S2277)*cnst_fish!$C$6</f>
        <v>2.3938164528281742</v>
      </c>
      <c r="G2277" s="2">
        <f t="shared" si="329"/>
        <v>1</v>
      </c>
      <c r="H2277" s="2">
        <f t="shared" si="329"/>
        <v>0.36449057933102513</v>
      </c>
      <c r="I2277" s="2">
        <f t="shared" si="322"/>
        <v>0</v>
      </c>
      <c r="J2277" s="389">
        <f t="shared" si="323"/>
        <v>0</v>
      </c>
      <c r="L2277" s="803"/>
      <c r="M2277" s="802"/>
      <c r="N2277" s="804" t="s">
        <v>1736</v>
      </c>
      <c r="O2277" s="805" t="s">
        <v>4691</v>
      </c>
      <c r="P2277" s="233">
        <f t="shared" si="324"/>
        <v>0</v>
      </c>
      <c r="Q2277" s="233">
        <f t="shared" si="325"/>
        <v>0</v>
      </c>
      <c r="R2277" s="2">
        <f t="shared" si="326"/>
        <v>2.1</v>
      </c>
      <c r="S2277" s="2">
        <f>(1/9)*cnst_fish!$C$7*(1/cnst_fish!$C$8)^(R2277-1)</f>
        <v>1.7754076320174161</v>
      </c>
      <c r="T2277" s="682">
        <f t="shared" si="327"/>
        <v>0</v>
      </c>
    </row>
    <row r="2278" spans="1:20" ht="12.75" customHeight="1">
      <c r="A2278" t="s">
        <v>3133</v>
      </c>
      <c r="B2278" t="s">
        <v>4060</v>
      </c>
      <c r="C2278">
        <v>15861</v>
      </c>
      <c r="D2278" s="802"/>
      <c r="E2278" s="802"/>
      <c r="F2278" s="2">
        <f>(1/S2278)*cnst_fish!$C$6</f>
        <v>1.0211530705467781E-2</v>
      </c>
      <c r="G2278" s="2">
        <f t="shared" si="329"/>
        <v>1</v>
      </c>
      <c r="H2278" s="2">
        <f t="shared" si="329"/>
        <v>0.36449057933102513</v>
      </c>
      <c r="I2278" s="2">
        <f t="shared" si="322"/>
        <v>0</v>
      </c>
      <c r="J2278" s="389">
        <f t="shared" si="323"/>
        <v>0</v>
      </c>
      <c r="L2278" s="803">
        <v>249</v>
      </c>
      <c r="M2278" s="802"/>
      <c r="N2278" s="804" t="s">
        <v>1738</v>
      </c>
      <c r="O2278" s="805" t="s">
        <v>4699</v>
      </c>
      <c r="P2278" s="233">
        <f t="shared" si="324"/>
        <v>0</v>
      </c>
      <c r="Q2278" s="233">
        <f t="shared" si="325"/>
        <v>249</v>
      </c>
      <c r="R2278" s="2">
        <f t="shared" si="326"/>
        <v>4.47</v>
      </c>
      <c r="S2278" s="2">
        <f>(1/9)*cnst_fish!$C$7*(1/cnst_fish!$C$8)^(R2278-1)</f>
        <v>416.19617299141356</v>
      </c>
      <c r="T2278" s="682">
        <f t="shared" si="327"/>
        <v>8887.8109336564648</v>
      </c>
    </row>
    <row r="2279" spans="1:20" ht="12.75" customHeight="1">
      <c r="A2279" t="s">
        <v>969</v>
      </c>
      <c r="B2279" t="s">
        <v>4061</v>
      </c>
      <c r="C2279">
        <v>2998</v>
      </c>
      <c r="D2279" s="802"/>
      <c r="E2279" s="802"/>
      <c r="F2279" s="2">
        <f>(1/S2279)*cnst_fish!$C$6</f>
        <v>1.0941852286935309E-2</v>
      </c>
      <c r="G2279" s="2">
        <f t="shared" si="329"/>
        <v>1</v>
      </c>
      <c r="H2279" s="2">
        <f t="shared" si="329"/>
        <v>0.36449057933102513</v>
      </c>
      <c r="I2279" s="2">
        <f t="shared" si="322"/>
        <v>0</v>
      </c>
      <c r="J2279" s="389">
        <f t="shared" si="323"/>
        <v>0</v>
      </c>
      <c r="L2279" s="803">
        <v>25515</v>
      </c>
      <c r="M2279" s="802"/>
      <c r="N2279" s="804" t="s">
        <v>1738</v>
      </c>
      <c r="O2279" s="805" t="s">
        <v>4699</v>
      </c>
      <c r="P2279" s="233">
        <f t="shared" si="324"/>
        <v>0</v>
      </c>
      <c r="Q2279" s="233">
        <f t="shared" si="325"/>
        <v>25515</v>
      </c>
      <c r="R2279" s="2">
        <f t="shared" si="326"/>
        <v>4.4400000000000004</v>
      </c>
      <c r="S2279" s="2">
        <f>(1/9)*cnst_fish!$C$7*(1/cnst_fish!$C$8)^(R2279-1)</f>
        <v>388.41686841948564</v>
      </c>
      <c r="T2279" s="682">
        <f t="shared" si="327"/>
        <v>849945.41031552583</v>
      </c>
    </row>
    <row r="2280" spans="1:20" ht="12.75" customHeight="1">
      <c r="A2280" t="s">
        <v>6487</v>
      </c>
      <c r="B2280" t="s">
        <v>6486</v>
      </c>
      <c r="C2280">
        <v>16196</v>
      </c>
      <c r="D2280" s="802"/>
      <c r="E2280" s="802"/>
      <c r="F2280" s="2">
        <f>(1/S2280)*cnst_fish!$C$6</f>
        <v>3.0136363636363641</v>
      </c>
      <c r="G2280" s="2">
        <f t="shared" si="329"/>
        <v>1</v>
      </c>
      <c r="H2280" s="2">
        <f t="shared" si="329"/>
        <v>0.36449057933102513</v>
      </c>
      <c r="I2280" s="2">
        <f t="shared" si="322"/>
        <v>0</v>
      </c>
      <c r="J2280" s="389">
        <f t="shared" si="323"/>
        <v>0</v>
      </c>
      <c r="L2280" s="803">
        <v>191</v>
      </c>
      <c r="M2280" s="802"/>
      <c r="N2280" s="804" t="s">
        <v>2311</v>
      </c>
      <c r="O2280" s="805" t="s">
        <v>4680</v>
      </c>
      <c r="P2280" s="233">
        <f t="shared" si="324"/>
        <v>0</v>
      </c>
      <c r="Q2280" s="233">
        <f t="shared" si="325"/>
        <v>191</v>
      </c>
      <c r="R2280" s="2">
        <f t="shared" si="326"/>
        <v>2</v>
      </c>
      <c r="S2280" s="2">
        <f>(1/9)*cnst_fish!$C$7*(1/cnst_fish!$C$8)^(R2280-1)</f>
        <v>1.4102564102564099</v>
      </c>
      <c r="T2280" s="682">
        <f t="shared" si="327"/>
        <v>23.100896144026656</v>
      </c>
    </row>
    <row r="2281" spans="1:20" ht="12.75" customHeight="1">
      <c r="A2281" t="s">
        <v>4974</v>
      </c>
      <c r="B2281" t="s">
        <v>8816</v>
      </c>
      <c r="C2281">
        <v>18538</v>
      </c>
      <c r="D2281" s="802"/>
      <c r="E2281" s="802"/>
      <c r="F2281" s="2">
        <f>(1/S2281)*cnst_fish!$C$6</f>
        <v>30.136363636363644</v>
      </c>
      <c r="G2281" s="2">
        <f t="shared" si="329"/>
        <v>1</v>
      </c>
      <c r="H2281" s="2">
        <f t="shared" si="329"/>
        <v>0.36449057933102513</v>
      </c>
      <c r="I2281" s="2">
        <f t="shared" si="322"/>
        <v>0</v>
      </c>
      <c r="J2281" s="389">
        <f t="shared" si="323"/>
        <v>0</v>
      </c>
      <c r="L2281" s="803"/>
      <c r="M2281" s="802"/>
      <c r="N2281" s="804" t="s">
        <v>1740</v>
      </c>
      <c r="O2281" s="805" t="s">
        <v>4671</v>
      </c>
      <c r="P2281" s="233">
        <f t="shared" si="324"/>
        <v>0</v>
      </c>
      <c r="Q2281" s="233">
        <f t="shared" si="325"/>
        <v>0</v>
      </c>
      <c r="R2281" s="2">
        <f t="shared" si="326"/>
        <v>1</v>
      </c>
      <c r="S2281" s="2">
        <f>(1/9)*cnst_fish!$C$7*(1/cnst_fish!$C$8)^(R2281-1)</f>
        <v>0.141025641025641</v>
      </c>
      <c r="T2281" s="682">
        <f t="shared" si="327"/>
        <v>0</v>
      </c>
    </row>
    <row r="2282" spans="1:20" ht="12.75" customHeight="1">
      <c r="A2282" t="s">
        <v>4371</v>
      </c>
      <c r="B2282" t="s">
        <v>1730</v>
      </c>
      <c r="C2282">
        <v>2775</v>
      </c>
      <c r="D2282" s="802"/>
      <c r="E2282" s="802"/>
      <c r="F2282" s="2">
        <f>(1/S2282)*cnst_fish!$C$6</f>
        <v>30.136363636363644</v>
      </c>
      <c r="G2282" s="2">
        <f t="shared" si="329"/>
        <v>1</v>
      </c>
      <c r="H2282" s="2">
        <f t="shared" si="329"/>
        <v>0.36449057933102513</v>
      </c>
      <c r="I2282" s="2">
        <f t="shared" si="322"/>
        <v>0</v>
      </c>
      <c r="J2282" s="389">
        <f t="shared" si="323"/>
        <v>0</v>
      </c>
      <c r="L2282" s="803">
        <v>113</v>
      </c>
      <c r="M2282" s="802"/>
      <c r="N2282" s="804" t="s">
        <v>1740</v>
      </c>
      <c r="O2282" s="805" t="s">
        <v>4671</v>
      </c>
      <c r="P2282" s="233">
        <f t="shared" si="324"/>
        <v>0</v>
      </c>
      <c r="Q2282" s="233">
        <f t="shared" si="325"/>
        <v>113</v>
      </c>
      <c r="R2282" s="2">
        <f t="shared" si="326"/>
        <v>1</v>
      </c>
      <c r="S2282" s="2">
        <f>(1/9)*cnst_fish!$C$7*(1/cnst_fish!$C$8)^(R2282-1)</f>
        <v>0.141025641025641</v>
      </c>
      <c r="T2282" s="682">
        <f t="shared" si="327"/>
        <v>1.3667022326047185</v>
      </c>
    </row>
    <row r="2283" spans="1:20" ht="12.75" customHeight="1">
      <c r="A2283" t="s">
        <v>8376</v>
      </c>
      <c r="B2283" t="s">
        <v>8377</v>
      </c>
      <c r="C2283">
        <v>20407</v>
      </c>
      <c r="D2283" s="802"/>
      <c r="E2283" s="802"/>
      <c r="F2283" s="2">
        <f>(1/S2283)*cnst_fish!$C$6</f>
        <v>30.136363636363644</v>
      </c>
      <c r="G2283" s="2">
        <f t="shared" si="329"/>
        <v>1</v>
      </c>
      <c r="H2283" s="2">
        <f t="shared" si="329"/>
        <v>0.36449057933102513</v>
      </c>
      <c r="I2283" s="2">
        <f t="shared" si="322"/>
        <v>0</v>
      </c>
      <c r="J2283" s="389">
        <f t="shared" si="323"/>
        <v>0</v>
      </c>
      <c r="L2283" s="803">
        <v>0</v>
      </c>
      <c r="M2283" s="802"/>
      <c r="N2283" s="804" t="s">
        <v>1740</v>
      </c>
      <c r="O2283" s="805" t="s">
        <v>4671</v>
      </c>
      <c r="P2283" s="233">
        <f t="shared" si="324"/>
        <v>0</v>
      </c>
      <c r="Q2283" s="233">
        <f t="shared" si="325"/>
        <v>0</v>
      </c>
      <c r="R2283" s="2">
        <f t="shared" si="326"/>
        <v>1</v>
      </c>
      <c r="S2283" s="2">
        <f>(1/9)*cnst_fish!$C$7*(1/cnst_fish!$C$8)^(R2283-1)</f>
        <v>0.141025641025641</v>
      </c>
      <c r="T2283" s="682">
        <f t="shared" si="327"/>
        <v>0</v>
      </c>
    </row>
    <row r="2284" spans="1:20" ht="12.75" customHeight="1">
      <c r="A2284" t="s">
        <v>6713</v>
      </c>
      <c r="B2284" t="s">
        <v>1810</v>
      </c>
      <c r="C2284">
        <v>2356</v>
      </c>
      <c r="D2284" s="802"/>
      <c r="E2284" s="802"/>
      <c r="F2284" s="2">
        <f>(1/S2284)*cnst_fish!$C$6</f>
        <v>0.12855555498429813</v>
      </c>
      <c r="G2284" s="2">
        <f t="shared" si="329"/>
        <v>1</v>
      </c>
      <c r="H2284" s="2">
        <f t="shared" si="329"/>
        <v>0.36449057933102513</v>
      </c>
      <c r="I2284" s="2">
        <f t="shared" si="322"/>
        <v>0</v>
      </c>
      <c r="J2284" s="389">
        <f t="shared" si="323"/>
        <v>0</v>
      </c>
      <c r="L2284" s="803">
        <v>2735</v>
      </c>
      <c r="M2284" s="802"/>
      <c r="N2284" s="804" t="s">
        <v>1738</v>
      </c>
      <c r="O2284" s="805" t="s">
        <v>4681</v>
      </c>
      <c r="P2284" s="233">
        <f t="shared" si="324"/>
        <v>0</v>
      </c>
      <c r="Q2284" s="233">
        <f t="shared" si="325"/>
        <v>2735</v>
      </c>
      <c r="R2284" s="2">
        <f t="shared" si="326"/>
        <v>3.37</v>
      </c>
      <c r="S2284" s="2">
        <f>(1/9)*cnst_fish!$C$7*(1/cnst_fish!$C$8)^(R2284-1)</f>
        <v>33.059637139127112</v>
      </c>
      <c r="T2284" s="682">
        <f t="shared" si="327"/>
        <v>7754.4819793443667</v>
      </c>
    </row>
    <row r="2285" spans="1:20" ht="12.75" customHeight="1">
      <c r="A2285" t="s">
        <v>1380</v>
      </c>
      <c r="B2285" t="s">
        <v>1811</v>
      </c>
      <c r="C2285">
        <v>3155</v>
      </c>
      <c r="D2285" s="802"/>
      <c r="E2285" s="802"/>
      <c r="F2285" s="2">
        <f>(1/S2285)*cnst_fish!$C$6</f>
        <v>4.2568745094767511E-2</v>
      </c>
      <c r="G2285" s="2">
        <f t="shared" si="329"/>
        <v>1</v>
      </c>
      <c r="H2285" s="2">
        <f t="shared" si="329"/>
        <v>0.36449057933102513</v>
      </c>
      <c r="I2285" s="2">
        <f t="shared" si="322"/>
        <v>0</v>
      </c>
      <c r="J2285" s="389">
        <f t="shared" si="323"/>
        <v>0</v>
      </c>
      <c r="L2285" s="803">
        <v>11871</v>
      </c>
      <c r="M2285" s="802"/>
      <c r="N2285" s="804" t="s">
        <v>1738</v>
      </c>
      <c r="O2285" s="805" t="s">
        <v>4681</v>
      </c>
      <c r="P2285" s="233">
        <f t="shared" si="324"/>
        <v>0</v>
      </c>
      <c r="Q2285" s="233">
        <f t="shared" si="325"/>
        <v>11871</v>
      </c>
      <c r="R2285" s="2">
        <f t="shared" si="326"/>
        <v>3.85</v>
      </c>
      <c r="S2285" s="2">
        <f>(1/9)*cnst_fish!$C$7*(1/cnst_fish!$C$8)^(R2285-1)</f>
        <v>99.838508054173388</v>
      </c>
      <c r="T2285" s="682">
        <f t="shared" si="327"/>
        <v>101644.23822233961</v>
      </c>
    </row>
    <row r="2286" spans="1:20" ht="12.75" customHeight="1">
      <c r="A2286" t="s">
        <v>3153</v>
      </c>
      <c r="B2286" t="s">
        <v>1812</v>
      </c>
      <c r="C2286">
        <v>3154</v>
      </c>
      <c r="D2286" s="802"/>
      <c r="E2286" s="802"/>
      <c r="F2286" s="2">
        <f>(1/S2286)*cnst_fish!$C$6</f>
        <v>0.10449387811364928</v>
      </c>
      <c r="G2286" s="2">
        <f t="shared" si="329"/>
        <v>1</v>
      </c>
      <c r="H2286" s="2">
        <f t="shared" si="329"/>
        <v>0.36449057933102513</v>
      </c>
      <c r="I2286" s="2">
        <f t="shared" si="322"/>
        <v>0</v>
      </c>
      <c r="J2286" s="389">
        <f t="shared" si="323"/>
        <v>0</v>
      </c>
      <c r="L2286" s="803">
        <v>172</v>
      </c>
      <c r="M2286" s="802"/>
      <c r="N2286" s="804" t="s">
        <v>1738</v>
      </c>
      <c r="O2286" s="805" t="s">
        <v>4681</v>
      </c>
      <c r="P2286" s="233">
        <f t="shared" si="324"/>
        <v>0</v>
      </c>
      <c r="Q2286" s="233">
        <f t="shared" si="325"/>
        <v>172</v>
      </c>
      <c r="R2286" s="2">
        <f t="shared" si="326"/>
        <v>3.46</v>
      </c>
      <c r="S2286" s="2">
        <f>(1/9)*cnst_fish!$C$7*(1/cnst_fish!$C$8)^(R2286-1)</f>
        <v>40.672239146657276</v>
      </c>
      <c r="T2286" s="682">
        <f t="shared" si="327"/>
        <v>599.96222531573619</v>
      </c>
    </row>
    <row r="2287" spans="1:20" ht="12.75" customHeight="1">
      <c r="A2287" t="s">
        <v>9058</v>
      </c>
      <c r="B2287" t="s">
        <v>9059</v>
      </c>
      <c r="C2287">
        <v>15891</v>
      </c>
      <c r="D2287" s="802"/>
      <c r="E2287" s="802"/>
      <c r="F2287" s="869">
        <f>(1/S2287)*cnst_fish!$C$6</f>
        <v>6.0129950673834844E-2</v>
      </c>
      <c r="G2287" s="869">
        <f t="shared" si="329"/>
        <v>1</v>
      </c>
      <c r="H2287" s="869">
        <f t="shared" si="329"/>
        <v>0.36449057933102513</v>
      </c>
      <c r="I2287" s="869">
        <f t="shared" si="322"/>
        <v>0</v>
      </c>
      <c r="J2287" s="389">
        <f t="shared" si="323"/>
        <v>0</v>
      </c>
      <c r="L2287" s="803">
        <v>0.28999999999999998</v>
      </c>
      <c r="M2287" s="802"/>
      <c r="N2287" s="876" t="s">
        <v>1738</v>
      </c>
      <c r="O2287" s="880" t="s">
        <v>4681</v>
      </c>
      <c r="P2287" s="871">
        <f t="shared" si="324"/>
        <v>0</v>
      </c>
      <c r="Q2287" s="871">
        <f t="shared" si="325"/>
        <v>0.28999999999999998</v>
      </c>
      <c r="R2287" s="869">
        <f t="shared" si="326"/>
        <v>3.7</v>
      </c>
      <c r="S2287" s="869">
        <f>(1/9)*cnst_fish!$C$7*(1/cnst_fish!$C$8)^(R2287-1)</f>
        <v>70.680250896153822</v>
      </c>
      <c r="T2287" s="682">
        <f t="shared" si="327"/>
        <v>1.7578971348132659</v>
      </c>
    </row>
    <row r="2288" spans="1:20" ht="12.75" customHeight="1">
      <c r="A2288" t="s">
        <v>4074</v>
      </c>
      <c r="B2288" t="s">
        <v>1912</v>
      </c>
      <c r="C2288">
        <v>2777</v>
      </c>
      <c r="D2288" s="802"/>
      <c r="E2288" s="802"/>
      <c r="F2288" s="2">
        <f>(1/S2288)*cnst_fish!$C$6</f>
        <v>30.136363636363644</v>
      </c>
      <c r="G2288" s="2">
        <f t="shared" ref="G2288:H2307" si="330">G$7</f>
        <v>1</v>
      </c>
      <c r="H2288" s="2">
        <f t="shared" si="330"/>
        <v>0.36449057933102513</v>
      </c>
      <c r="I2288" s="2">
        <f t="shared" si="322"/>
        <v>0</v>
      </c>
      <c r="J2288" s="389">
        <f t="shared" si="323"/>
        <v>0</v>
      </c>
      <c r="L2288" s="803">
        <v>3087</v>
      </c>
      <c r="M2288" s="802"/>
      <c r="N2288" s="804" t="s">
        <v>1740</v>
      </c>
      <c r="O2288" s="805" t="s">
        <v>4671</v>
      </c>
      <c r="P2288" s="233">
        <f t="shared" si="324"/>
        <v>0</v>
      </c>
      <c r="Q2288" s="233">
        <f t="shared" si="325"/>
        <v>3087</v>
      </c>
      <c r="R2288" s="2">
        <f t="shared" si="326"/>
        <v>1</v>
      </c>
      <c r="S2288" s="2">
        <f>(1/9)*cnst_fish!$C$7*(1/cnst_fish!$C$8)^(R2288-1)</f>
        <v>0.141025641025641</v>
      </c>
      <c r="T2288" s="682">
        <f t="shared" si="327"/>
        <v>37.336369841157214</v>
      </c>
    </row>
    <row r="2289" spans="1:20" ht="12.75" customHeight="1">
      <c r="A2289" t="s">
        <v>5993</v>
      </c>
      <c r="B2289" t="s">
        <v>1912</v>
      </c>
      <c r="C2289">
        <v>3630</v>
      </c>
      <c r="D2289" s="802"/>
      <c r="E2289" s="802"/>
      <c r="F2289" s="2">
        <f>(1/S2289)*cnst_fish!$C$6</f>
        <v>30.136363636363644</v>
      </c>
      <c r="G2289" s="2">
        <f t="shared" si="330"/>
        <v>1</v>
      </c>
      <c r="H2289" s="2">
        <f t="shared" si="330"/>
        <v>0.36449057933102513</v>
      </c>
      <c r="I2289" s="2">
        <f t="shared" si="322"/>
        <v>0</v>
      </c>
      <c r="J2289" s="389">
        <f t="shared" si="323"/>
        <v>0</v>
      </c>
      <c r="L2289" s="803"/>
      <c r="M2289" s="802"/>
      <c r="N2289" s="804" t="s">
        <v>1740</v>
      </c>
      <c r="O2289" s="805" t="s">
        <v>4671</v>
      </c>
      <c r="P2289" s="233">
        <f t="shared" si="324"/>
        <v>0</v>
      </c>
      <c r="Q2289" s="233">
        <f t="shared" si="325"/>
        <v>0</v>
      </c>
      <c r="R2289" s="2">
        <f t="shared" si="326"/>
        <v>1</v>
      </c>
      <c r="S2289" s="2">
        <f>(1/9)*cnst_fish!$C$7*(1/cnst_fish!$C$8)^(R2289-1)</f>
        <v>0.141025641025641</v>
      </c>
      <c r="T2289" s="682">
        <f t="shared" si="327"/>
        <v>0</v>
      </c>
    </row>
    <row r="2290" spans="1:20" ht="12.75" customHeight="1">
      <c r="A2290" t="s">
        <v>5408</v>
      </c>
      <c r="B2290" t="s">
        <v>1813</v>
      </c>
      <c r="C2290">
        <v>2402</v>
      </c>
      <c r="D2290" s="802"/>
      <c r="E2290" s="802"/>
      <c r="F2290" s="2">
        <f>(1/S2290)*cnst_fish!$C$6</f>
        <v>9.5299549485983348E-2</v>
      </c>
      <c r="G2290" s="2">
        <f t="shared" si="330"/>
        <v>1</v>
      </c>
      <c r="H2290" s="2">
        <f t="shared" si="330"/>
        <v>0.36449057933102513</v>
      </c>
      <c r="I2290" s="2">
        <f t="shared" si="322"/>
        <v>0</v>
      </c>
      <c r="J2290" s="389">
        <f t="shared" si="323"/>
        <v>0</v>
      </c>
      <c r="L2290" s="803">
        <v>120176.62</v>
      </c>
      <c r="M2290" s="802"/>
      <c r="N2290" s="804" t="s">
        <v>1738</v>
      </c>
      <c r="O2290" s="805" t="s">
        <v>4681</v>
      </c>
      <c r="P2290" s="233">
        <f t="shared" si="324"/>
        <v>0</v>
      </c>
      <c r="Q2290" s="233">
        <f t="shared" si="325"/>
        <v>120176.62</v>
      </c>
      <c r="R2290" s="2">
        <f t="shared" si="326"/>
        <v>3.5</v>
      </c>
      <c r="S2290" s="2">
        <f>(1/9)*cnst_fish!$C$7*(1/cnst_fish!$C$8)^(R2290-1)</f>
        <v>44.596223412631026</v>
      </c>
      <c r="T2290" s="682">
        <f t="shared" si="327"/>
        <v>459637.4912799251</v>
      </c>
    </row>
    <row r="2291" spans="1:20" ht="12.75" customHeight="1">
      <c r="A2291" t="s">
        <v>4124</v>
      </c>
      <c r="B2291" t="s">
        <v>5129</v>
      </c>
      <c r="C2291">
        <v>16352</v>
      </c>
      <c r="D2291" s="802"/>
      <c r="E2291" s="802"/>
      <c r="F2291" s="2">
        <f>(1/S2291)*cnst_fish!$C$6</f>
        <v>0.3314045734418738</v>
      </c>
      <c r="G2291" s="2">
        <f t="shared" si="330"/>
        <v>1</v>
      </c>
      <c r="H2291" s="2">
        <f t="shared" si="330"/>
        <v>0.36449057933102513</v>
      </c>
      <c r="I2291" s="2">
        <f t="shared" si="322"/>
        <v>0</v>
      </c>
      <c r="J2291" s="389">
        <f t="shared" si="323"/>
        <v>0</v>
      </c>
      <c r="L2291" s="803"/>
      <c r="M2291" s="802"/>
      <c r="N2291" s="804" t="s">
        <v>2322</v>
      </c>
      <c r="O2291" s="805" t="s">
        <v>4680</v>
      </c>
      <c r="P2291" s="233">
        <f t="shared" si="324"/>
        <v>0</v>
      </c>
      <c r="Q2291" s="233">
        <f t="shared" si="325"/>
        <v>0</v>
      </c>
      <c r="R2291" s="2">
        <f t="shared" si="326"/>
        <v>2.9587323501170402</v>
      </c>
      <c r="S2291" s="2">
        <f>(1/9)*cnst_fish!$C$7*(1/cnst_fish!$C$8)^(R2291-1)</f>
        <v>12.824204433453367</v>
      </c>
      <c r="T2291" s="682">
        <f t="shared" si="327"/>
        <v>0</v>
      </c>
    </row>
    <row r="2292" spans="1:20" ht="12.75" customHeight="1">
      <c r="A2292" t="s">
        <v>5431</v>
      </c>
      <c r="B2292" t="s">
        <v>3148</v>
      </c>
      <c r="C2292">
        <v>15903</v>
      </c>
      <c r="D2292" s="802"/>
      <c r="E2292" s="802"/>
      <c r="F2292" s="2">
        <f>(1/S2292)*cnst_fish!$C$6</f>
        <v>1.256292732912874E-2</v>
      </c>
      <c r="G2292" s="2">
        <f t="shared" si="330"/>
        <v>1</v>
      </c>
      <c r="H2292" s="2">
        <f t="shared" si="330"/>
        <v>0.36449057933102513</v>
      </c>
      <c r="I2292" s="2">
        <f t="shared" si="322"/>
        <v>0</v>
      </c>
      <c r="J2292" s="389">
        <f t="shared" si="323"/>
        <v>0</v>
      </c>
      <c r="L2292" s="803">
        <v>222</v>
      </c>
      <c r="M2292" s="802"/>
      <c r="N2292" s="804" t="s">
        <v>1738</v>
      </c>
      <c r="O2292" s="805" t="s">
        <v>4681</v>
      </c>
      <c r="P2292" s="233">
        <f t="shared" si="324"/>
        <v>0</v>
      </c>
      <c r="Q2292" s="233">
        <f t="shared" si="325"/>
        <v>222</v>
      </c>
      <c r="R2292" s="2">
        <f t="shared" si="326"/>
        <v>4.38</v>
      </c>
      <c r="S2292" s="2">
        <f>(1/9)*cnst_fish!$C$7*(1/cnst_fish!$C$8)^(R2292-1)</f>
        <v>338.2969501181334</v>
      </c>
      <c r="T2292" s="682">
        <f t="shared" si="327"/>
        <v>6440.9278579421107</v>
      </c>
    </row>
    <row r="2293" spans="1:20" ht="12.75" customHeight="1">
      <c r="A2293" t="s">
        <v>6684</v>
      </c>
      <c r="B2293" t="s">
        <v>6683</v>
      </c>
      <c r="C2293">
        <v>2434</v>
      </c>
      <c r="D2293" s="802"/>
      <c r="E2293" s="802"/>
      <c r="F2293" s="2">
        <f>(1/S2293)*cnst_fish!$C$6</f>
        <v>3.0136363636363641</v>
      </c>
      <c r="G2293" s="2">
        <f t="shared" si="330"/>
        <v>1</v>
      </c>
      <c r="H2293" s="2">
        <f t="shared" si="330"/>
        <v>0.36449057933102513</v>
      </c>
      <c r="I2293" s="2">
        <f t="shared" si="322"/>
        <v>0</v>
      </c>
      <c r="J2293" s="389">
        <f t="shared" si="323"/>
        <v>0</v>
      </c>
      <c r="L2293" s="803"/>
      <c r="M2293" s="802"/>
      <c r="N2293" s="804" t="s">
        <v>1738</v>
      </c>
      <c r="O2293" s="805" t="s">
        <v>4681</v>
      </c>
      <c r="P2293" s="233">
        <f t="shared" si="324"/>
        <v>0</v>
      </c>
      <c r="Q2293" s="233">
        <f t="shared" si="325"/>
        <v>0</v>
      </c>
      <c r="R2293" s="2">
        <f t="shared" si="326"/>
        <v>2</v>
      </c>
      <c r="S2293" s="2">
        <f>(1/9)*cnst_fish!$C$7*(1/cnst_fish!$C$8)^(R2293-1)</f>
        <v>1.4102564102564099</v>
      </c>
      <c r="T2293" s="682">
        <f t="shared" si="327"/>
        <v>0</v>
      </c>
    </row>
    <row r="2294" spans="1:20" ht="12.75" customHeight="1">
      <c r="A2294" t="s">
        <v>1839</v>
      </c>
      <c r="B2294" t="s">
        <v>3102</v>
      </c>
      <c r="C2294">
        <v>2225</v>
      </c>
      <c r="D2294" s="802"/>
      <c r="E2294" s="802"/>
      <c r="F2294" s="2">
        <f>(1/S2294)*cnst_fish!$C$6</f>
        <v>4.8875458843134996E-2</v>
      </c>
      <c r="G2294" s="2">
        <f t="shared" si="330"/>
        <v>1</v>
      </c>
      <c r="H2294" s="2">
        <f t="shared" si="330"/>
        <v>0.36449057933102513</v>
      </c>
      <c r="I2294" s="2">
        <f t="shared" si="322"/>
        <v>0</v>
      </c>
      <c r="J2294" s="389">
        <f t="shared" si="323"/>
        <v>0</v>
      </c>
      <c r="L2294" s="803">
        <v>6335</v>
      </c>
      <c r="M2294" s="802"/>
      <c r="N2294" s="804" t="s">
        <v>1738</v>
      </c>
      <c r="O2294" s="805" t="s">
        <v>4681</v>
      </c>
      <c r="P2294" s="233">
        <f t="shared" si="324"/>
        <v>0</v>
      </c>
      <c r="Q2294" s="233">
        <f t="shared" si="325"/>
        <v>6335</v>
      </c>
      <c r="R2294" s="2">
        <f t="shared" si="326"/>
        <v>3.79</v>
      </c>
      <c r="S2294" s="2">
        <f>(1/9)*cnst_fish!$C$7*(1/cnst_fish!$C$8)^(R2294-1)</f>
        <v>86.955705390721903</v>
      </c>
      <c r="T2294" s="682">
        <f t="shared" si="327"/>
        <v>47243.501641036179</v>
      </c>
    </row>
    <row r="2295" spans="1:20" ht="12.75" customHeight="1">
      <c r="A2295" t="s">
        <v>1892</v>
      </c>
      <c r="B2295" t="s">
        <v>3278</v>
      </c>
      <c r="C2295">
        <v>2226</v>
      </c>
      <c r="D2295" s="802"/>
      <c r="E2295" s="802"/>
      <c r="F2295" s="2">
        <f>(1/S2295)*cnst_fish!$C$6</f>
        <v>6.9038420626592392E-2</v>
      </c>
      <c r="G2295" s="2">
        <f t="shared" si="330"/>
        <v>1</v>
      </c>
      <c r="H2295" s="2">
        <f t="shared" si="330"/>
        <v>0.36449057933102513</v>
      </c>
      <c r="I2295" s="2">
        <f t="shared" si="322"/>
        <v>0</v>
      </c>
      <c r="J2295" s="389">
        <f t="shared" si="323"/>
        <v>0</v>
      </c>
      <c r="L2295" s="803">
        <v>478</v>
      </c>
      <c r="M2295" s="802"/>
      <c r="N2295" s="804" t="s">
        <v>3788</v>
      </c>
      <c r="O2295" s="805" t="s">
        <v>4681</v>
      </c>
      <c r="P2295" s="233">
        <f t="shared" si="324"/>
        <v>0</v>
      </c>
      <c r="Q2295" s="233">
        <f t="shared" si="325"/>
        <v>478</v>
      </c>
      <c r="R2295" s="2">
        <f t="shared" si="326"/>
        <v>3.64</v>
      </c>
      <c r="S2295" s="2">
        <f>(1/9)*cnst_fish!$C$7*(1/cnst_fish!$C$8)^(R2295-1)</f>
        <v>61.559925059510611</v>
      </c>
      <c r="T2295" s="682">
        <f t="shared" si="327"/>
        <v>2523.6164926565689</v>
      </c>
    </row>
    <row r="2296" spans="1:20" ht="12.75" customHeight="1">
      <c r="A2296" t="s">
        <v>900</v>
      </c>
      <c r="B2296" t="s">
        <v>1905</v>
      </c>
      <c r="C2296">
        <v>2227</v>
      </c>
      <c r="D2296" s="802"/>
      <c r="E2296" s="802"/>
      <c r="F2296" s="2">
        <f>(1/S2296)*cnst_fish!$C$6</f>
        <v>1.9014759972289439E-2</v>
      </c>
      <c r="G2296" s="2">
        <f t="shared" si="330"/>
        <v>1</v>
      </c>
      <c r="H2296" s="2">
        <f t="shared" si="330"/>
        <v>0.36449057933102513</v>
      </c>
      <c r="I2296" s="2">
        <f t="shared" si="322"/>
        <v>0</v>
      </c>
      <c r="J2296" s="389">
        <f t="shared" si="323"/>
        <v>0</v>
      </c>
      <c r="L2296" s="803">
        <v>2309</v>
      </c>
      <c r="M2296" s="802"/>
      <c r="N2296" s="804" t="s">
        <v>3788</v>
      </c>
      <c r="O2296" s="805" t="s">
        <v>4681</v>
      </c>
      <c r="P2296" s="233">
        <f t="shared" si="324"/>
        <v>0</v>
      </c>
      <c r="Q2296" s="233">
        <f t="shared" si="325"/>
        <v>2309</v>
      </c>
      <c r="R2296" s="2">
        <f t="shared" si="326"/>
        <v>4.2</v>
      </c>
      <c r="S2296" s="2">
        <f>(1/9)*cnst_fish!$C$7*(1/cnst_fish!$C$8)^(R2296-1)</f>
        <v>223.51057842400343</v>
      </c>
      <c r="T2296" s="682">
        <f t="shared" si="327"/>
        <v>44260.813646968403</v>
      </c>
    </row>
    <row r="2297" spans="1:20" ht="12.75" customHeight="1">
      <c r="A2297" t="s">
        <v>3469</v>
      </c>
      <c r="B2297" t="s">
        <v>1814</v>
      </c>
      <c r="C2297">
        <v>15945</v>
      </c>
      <c r="D2297" s="802"/>
      <c r="E2297" s="802"/>
      <c r="F2297" s="2">
        <f>(1/S2297)*cnst_fish!$C$6</f>
        <v>1.4424170509541332</v>
      </c>
      <c r="G2297" s="2">
        <f t="shared" si="330"/>
        <v>1</v>
      </c>
      <c r="H2297" s="2">
        <f t="shared" si="330"/>
        <v>0.36449057933102513</v>
      </c>
      <c r="I2297" s="2">
        <f t="shared" si="322"/>
        <v>0</v>
      </c>
      <c r="J2297" s="389">
        <f t="shared" si="323"/>
        <v>0</v>
      </c>
      <c r="L2297" s="803">
        <v>2161</v>
      </c>
      <c r="M2297" s="802"/>
      <c r="N2297" s="804" t="s">
        <v>1738</v>
      </c>
      <c r="O2297" s="805" t="s">
        <v>4681</v>
      </c>
      <c r="P2297" s="233">
        <f t="shared" si="324"/>
        <v>0</v>
      </c>
      <c r="Q2297" s="233">
        <f t="shared" si="325"/>
        <v>2161</v>
      </c>
      <c r="R2297" s="2">
        <f t="shared" si="326"/>
        <v>2.3199999999999998</v>
      </c>
      <c r="S2297" s="2">
        <f>(1/9)*cnst_fish!$C$7*(1/cnst_fish!$C$8)^(R2297-1)</f>
        <v>2.946443261460824</v>
      </c>
      <c r="T2297" s="682">
        <f t="shared" si="327"/>
        <v>546.07240077571146</v>
      </c>
    </row>
    <row r="2298" spans="1:20" ht="12.75" customHeight="1">
      <c r="A2298" t="s">
        <v>8378</v>
      </c>
      <c r="B2298" t="s">
        <v>8379</v>
      </c>
      <c r="C2298">
        <v>20405</v>
      </c>
      <c r="D2298" s="802"/>
      <c r="E2298" s="802"/>
      <c r="F2298" s="2">
        <f>(1/S2298)*cnst_fish!$C$6</f>
        <v>0.60129950673834842</v>
      </c>
      <c r="G2298" s="2">
        <f t="shared" si="330"/>
        <v>1</v>
      </c>
      <c r="H2298" s="2">
        <f t="shared" si="330"/>
        <v>0.36449057933102513</v>
      </c>
      <c r="I2298" s="2">
        <f t="shared" si="322"/>
        <v>0</v>
      </c>
      <c r="J2298" s="389">
        <f t="shared" si="323"/>
        <v>0</v>
      </c>
      <c r="L2298" s="803"/>
      <c r="M2298" s="802"/>
      <c r="N2298" s="804" t="s">
        <v>1738</v>
      </c>
      <c r="O2298" s="805" t="s">
        <v>4685</v>
      </c>
      <c r="P2298" s="233">
        <f t="shared" si="324"/>
        <v>0</v>
      </c>
      <c r="Q2298" s="233">
        <f t="shared" si="325"/>
        <v>0</v>
      </c>
      <c r="R2298" s="2">
        <f t="shared" si="326"/>
        <v>2.7</v>
      </c>
      <c r="S2298" s="2">
        <f>(1/9)*cnst_fish!$C$7*(1/cnst_fish!$C$8)^(R2298-1)</f>
        <v>7.0680250896153813</v>
      </c>
      <c r="T2298" s="682">
        <f t="shared" si="327"/>
        <v>0</v>
      </c>
    </row>
    <row r="2299" spans="1:20" ht="12.75" customHeight="1">
      <c r="A2299" t="s">
        <v>2447</v>
      </c>
      <c r="B2299" t="s">
        <v>1026</v>
      </c>
      <c r="C2299">
        <v>15958</v>
      </c>
      <c r="D2299" s="802"/>
      <c r="E2299" s="802"/>
      <c r="F2299" s="2">
        <f>(1/S2299)*cnst_fish!$C$6</f>
        <v>1.4095836303336913E-2</v>
      </c>
      <c r="G2299" s="2">
        <f t="shared" si="330"/>
        <v>1</v>
      </c>
      <c r="H2299" s="2">
        <f t="shared" si="330"/>
        <v>0.36449057933102513</v>
      </c>
      <c r="I2299" s="2">
        <f t="shared" si="322"/>
        <v>0</v>
      </c>
      <c r="J2299" s="389">
        <f t="shared" si="323"/>
        <v>0</v>
      </c>
      <c r="L2299" s="803">
        <v>1048</v>
      </c>
      <c r="M2299" s="802"/>
      <c r="N2299" s="804" t="s">
        <v>1738</v>
      </c>
      <c r="O2299" s="805" t="s">
        <v>4681</v>
      </c>
      <c r="P2299" s="233">
        <f t="shared" si="324"/>
        <v>0</v>
      </c>
      <c r="Q2299" s="233">
        <f t="shared" si="325"/>
        <v>1048</v>
      </c>
      <c r="R2299" s="2">
        <f t="shared" si="326"/>
        <v>4.33</v>
      </c>
      <c r="S2299" s="2">
        <f>(1/9)*cnst_fish!$C$7*(1/cnst_fish!$C$8)^(R2299-1)</f>
        <v>301.50747416057146</v>
      </c>
      <c r="T2299" s="682">
        <f t="shared" si="327"/>
        <v>27099.217025419526</v>
      </c>
    </row>
    <row r="2300" spans="1:20" ht="12.75" customHeight="1">
      <c r="A2300" t="s">
        <v>1482</v>
      </c>
      <c r="B2300" t="s">
        <v>4568</v>
      </c>
      <c r="C2300">
        <v>3540</v>
      </c>
      <c r="D2300" s="802"/>
      <c r="E2300" s="802"/>
      <c r="F2300" s="2">
        <f>(1/S2300)*cnst_fish!$C$6</f>
        <v>2.3938164528281742</v>
      </c>
      <c r="G2300" s="2">
        <f t="shared" si="330"/>
        <v>1</v>
      </c>
      <c r="H2300" s="2">
        <f t="shared" si="330"/>
        <v>0.36449057933102513</v>
      </c>
      <c r="I2300" s="2">
        <f t="shared" si="322"/>
        <v>0</v>
      </c>
      <c r="J2300" s="389">
        <f t="shared" si="323"/>
        <v>0</v>
      </c>
      <c r="L2300" s="803">
        <v>20781</v>
      </c>
      <c r="M2300" s="802"/>
      <c r="N2300" s="804" t="s">
        <v>1736</v>
      </c>
      <c r="O2300" s="805" t="s">
        <v>4691</v>
      </c>
      <c r="P2300" s="233">
        <f t="shared" si="324"/>
        <v>0</v>
      </c>
      <c r="Q2300" s="233">
        <f t="shared" si="325"/>
        <v>20781</v>
      </c>
      <c r="R2300" s="2">
        <f t="shared" si="326"/>
        <v>2.1</v>
      </c>
      <c r="S2300" s="2">
        <f>(1/9)*cnst_fish!$C$7*(1/cnst_fish!$C$8)^(R2300-1)</f>
        <v>1.7754076320174161</v>
      </c>
      <c r="T2300" s="682">
        <f t="shared" si="327"/>
        <v>3164.1852574491104</v>
      </c>
    </row>
    <row r="2301" spans="1:20" ht="12.75" customHeight="1">
      <c r="A2301" t="s">
        <v>733</v>
      </c>
      <c r="B2301" t="s">
        <v>1418</v>
      </c>
      <c r="C2301">
        <v>3544</v>
      </c>
      <c r="D2301" s="802"/>
      <c r="E2301" s="802"/>
      <c r="F2301" s="2">
        <f>(1/S2301)*cnst_fish!$C$6</f>
        <v>2.3938164528281742</v>
      </c>
      <c r="G2301" s="2">
        <f t="shared" si="330"/>
        <v>1</v>
      </c>
      <c r="H2301" s="2">
        <f t="shared" si="330"/>
        <v>0.36449057933102513</v>
      </c>
      <c r="I2301" s="2">
        <f t="shared" si="322"/>
        <v>0</v>
      </c>
      <c r="J2301" s="389">
        <f t="shared" si="323"/>
        <v>0</v>
      </c>
      <c r="L2301" s="803"/>
      <c r="M2301" s="802"/>
      <c r="N2301" s="804" t="s">
        <v>1736</v>
      </c>
      <c r="O2301" s="805" t="s">
        <v>4691</v>
      </c>
      <c r="P2301" s="233">
        <f t="shared" si="324"/>
        <v>0</v>
      </c>
      <c r="Q2301" s="233">
        <f t="shared" si="325"/>
        <v>0</v>
      </c>
      <c r="R2301" s="2">
        <f t="shared" si="326"/>
        <v>2.1</v>
      </c>
      <c r="S2301" s="2">
        <f>(1/9)*cnst_fish!$C$7*(1/cnst_fish!$C$8)^(R2301-1)</f>
        <v>1.7754076320174161</v>
      </c>
      <c r="T2301" s="682">
        <f t="shared" si="327"/>
        <v>0</v>
      </c>
    </row>
    <row r="2302" spans="1:20" ht="12.75" customHeight="1">
      <c r="A2302" t="s">
        <v>340</v>
      </c>
      <c r="B2302" t="s">
        <v>341</v>
      </c>
      <c r="C2302">
        <v>17577</v>
      </c>
      <c r="D2302" s="802"/>
      <c r="E2302" s="802"/>
      <c r="F2302" s="2">
        <f>(1/S2302)*cnst_fish!$C$6</f>
        <v>0.14481532779905856</v>
      </c>
      <c r="G2302" s="2">
        <f t="shared" si="330"/>
        <v>1</v>
      </c>
      <c r="H2302" s="2">
        <f t="shared" si="330"/>
        <v>0.36449057933102513</v>
      </c>
      <c r="I2302" s="2">
        <f t="shared" si="322"/>
        <v>0</v>
      </c>
      <c r="J2302" s="389">
        <f t="shared" si="323"/>
        <v>0</v>
      </c>
      <c r="L2302" s="803">
        <v>506</v>
      </c>
      <c r="M2302" s="802"/>
      <c r="N2302" s="804" t="s">
        <v>1736</v>
      </c>
      <c r="O2302" s="805" t="s">
        <v>4691</v>
      </c>
      <c r="P2302" s="233">
        <f t="shared" si="324"/>
        <v>0</v>
      </c>
      <c r="Q2302" s="233">
        <f t="shared" si="325"/>
        <v>506</v>
      </c>
      <c r="R2302" s="2">
        <f t="shared" si="326"/>
        <v>3.3182763159269002</v>
      </c>
      <c r="S2302" s="2">
        <f>(1/9)*cnst_fish!$C$7*(1/cnst_fish!$C$8)^(R2302-1)</f>
        <v>29.347722127157517</v>
      </c>
      <c r="T2302" s="682">
        <f t="shared" si="327"/>
        <v>1273.5684540065495</v>
      </c>
    </row>
    <row r="2303" spans="1:20" ht="12.75" customHeight="1">
      <c r="A2303" t="s">
        <v>4280</v>
      </c>
      <c r="B2303" t="s">
        <v>6722</v>
      </c>
      <c r="C2303">
        <v>17580</v>
      </c>
      <c r="D2303" s="802"/>
      <c r="E2303" s="802"/>
      <c r="F2303" s="2">
        <f>(1/S2303)*cnst_fish!$C$6</f>
        <v>3.0136363636363641</v>
      </c>
      <c r="G2303" s="2">
        <f t="shared" si="330"/>
        <v>1</v>
      </c>
      <c r="H2303" s="2">
        <f t="shared" si="330"/>
        <v>0.36449057933102513</v>
      </c>
      <c r="I2303" s="2">
        <f t="shared" si="322"/>
        <v>0</v>
      </c>
      <c r="J2303" s="389">
        <f t="shared" si="323"/>
        <v>0</v>
      </c>
      <c r="L2303" s="803">
        <v>120</v>
      </c>
      <c r="M2303" s="802"/>
      <c r="N2303" s="804" t="s">
        <v>1736</v>
      </c>
      <c r="O2303" s="805" t="s">
        <v>4691</v>
      </c>
      <c r="P2303" s="233">
        <f t="shared" si="324"/>
        <v>0</v>
      </c>
      <c r="Q2303" s="233">
        <f t="shared" si="325"/>
        <v>120</v>
      </c>
      <c r="R2303" s="2">
        <f t="shared" si="326"/>
        <v>2</v>
      </c>
      <c r="S2303" s="2">
        <f>(1/9)*cnst_fish!$C$7*(1/cnst_fish!$C$8)^(R2303-1)</f>
        <v>1.4102564102564099</v>
      </c>
      <c r="T2303" s="682">
        <f t="shared" si="327"/>
        <v>14.513652027660727</v>
      </c>
    </row>
    <row r="2304" spans="1:20" ht="12.75" customHeight="1">
      <c r="A2304" t="s">
        <v>4970</v>
      </c>
      <c r="B2304" t="s">
        <v>8817</v>
      </c>
      <c r="C2304">
        <v>2416</v>
      </c>
      <c r="D2304" s="802"/>
      <c r="E2304" s="802"/>
      <c r="F2304" s="2">
        <f>(1/S2304)*cnst_fish!$C$6</f>
        <v>3.0136363636363641</v>
      </c>
      <c r="G2304" s="2">
        <f t="shared" si="330"/>
        <v>1</v>
      </c>
      <c r="H2304" s="2">
        <f t="shared" si="330"/>
        <v>0.36449057933102513</v>
      </c>
      <c r="I2304" s="2">
        <f t="shared" si="322"/>
        <v>0</v>
      </c>
      <c r="J2304" s="389">
        <f t="shared" si="323"/>
        <v>0</v>
      </c>
      <c r="L2304" s="803"/>
      <c r="M2304" s="802"/>
      <c r="N2304" s="804" t="s">
        <v>1738</v>
      </c>
      <c r="O2304" s="805" t="s">
        <v>4685</v>
      </c>
      <c r="P2304" s="233">
        <f t="shared" si="324"/>
        <v>0</v>
      </c>
      <c r="Q2304" s="233">
        <f t="shared" si="325"/>
        <v>0</v>
      </c>
      <c r="R2304" s="2">
        <f t="shared" si="326"/>
        <v>2</v>
      </c>
      <c r="S2304" s="2">
        <f>(1/9)*cnst_fish!$C$7*(1/cnst_fish!$C$8)^(R2304-1)</f>
        <v>1.4102564102564099</v>
      </c>
      <c r="T2304" s="682">
        <f t="shared" si="327"/>
        <v>0</v>
      </c>
    </row>
    <row r="2305" spans="1:20" ht="12.75" customHeight="1">
      <c r="A2305" t="s">
        <v>3323</v>
      </c>
      <c r="B2305" t="s">
        <v>2782</v>
      </c>
      <c r="C2305">
        <v>15973</v>
      </c>
      <c r="D2305" s="802"/>
      <c r="E2305" s="802"/>
      <c r="F2305" s="2">
        <f>(1/S2305)*cnst_fish!$C$6</f>
        <v>0.20849269714511576</v>
      </c>
      <c r="G2305" s="2">
        <f t="shared" si="330"/>
        <v>1</v>
      </c>
      <c r="H2305" s="2">
        <f t="shared" si="330"/>
        <v>0.36449057933102513</v>
      </c>
      <c r="I2305" s="2">
        <f t="shared" si="322"/>
        <v>0</v>
      </c>
      <c r="J2305" s="389">
        <f t="shared" si="323"/>
        <v>0</v>
      </c>
      <c r="L2305" s="803">
        <v>146</v>
      </c>
      <c r="M2305" s="802">
        <v>101</v>
      </c>
      <c r="N2305" s="804" t="s">
        <v>1738</v>
      </c>
      <c r="O2305" s="805" t="s">
        <v>4685</v>
      </c>
      <c r="P2305" s="233">
        <f t="shared" si="324"/>
        <v>0</v>
      </c>
      <c r="Q2305" s="233">
        <f t="shared" si="325"/>
        <v>247</v>
      </c>
      <c r="R2305" s="2">
        <f t="shared" si="326"/>
        <v>3.16</v>
      </c>
      <c r="S2305" s="2">
        <f>(1/9)*cnst_fish!$C$7*(1/cnst_fish!$C$8)^(R2305-1)</f>
        <v>20.384407023340014</v>
      </c>
      <c r="T2305" s="682">
        <f t="shared" si="327"/>
        <v>431.80971960903173</v>
      </c>
    </row>
    <row r="2306" spans="1:20" ht="12.75" customHeight="1">
      <c r="A2306" t="s">
        <v>6799</v>
      </c>
      <c r="B2306" t="s">
        <v>6799</v>
      </c>
      <c r="C2306">
        <v>15981</v>
      </c>
      <c r="D2306" s="802"/>
      <c r="E2306" s="802"/>
      <c r="F2306" s="2">
        <f>(1/S2306)*cnst_fish!$C$6</f>
        <v>9.5299549485983424E-3</v>
      </c>
      <c r="G2306" s="2">
        <f t="shared" si="330"/>
        <v>1</v>
      </c>
      <c r="H2306" s="2">
        <f t="shared" si="330"/>
        <v>0.36449057933102513</v>
      </c>
      <c r="I2306" s="2">
        <f t="shared" si="322"/>
        <v>0</v>
      </c>
      <c r="J2306" s="389">
        <f t="shared" si="323"/>
        <v>0</v>
      </c>
      <c r="L2306" s="803"/>
      <c r="M2306" s="802"/>
      <c r="N2306" s="804" t="s">
        <v>1738</v>
      </c>
      <c r="O2306" s="805" t="s">
        <v>4685</v>
      </c>
      <c r="P2306" s="233">
        <f t="shared" si="324"/>
        <v>0</v>
      </c>
      <c r="Q2306" s="233">
        <f t="shared" si="325"/>
        <v>0</v>
      </c>
      <c r="R2306" s="2">
        <f t="shared" si="326"/>
        <v>4.5</v>
      </c>
      <c r="S2306" s="2">
        <f>(1/9)*cnst_fish!$C$7*(1/cnst_fish!$C$8)^(R2306-1)</f>
        <v>445.96223412630997</v>
      </c>
      <c r="T2306" s="682">
        <f t="shared" si="327"/>
        <v>0</v>
      </c>
    </row>
    <row r="2307" spans="1:20" ht="12.75" customHeight="1">
      <c r="A2307" t="s">
        <v>8818</v>
      </c>
      <c r="B2307" t="s">
        <v>8819</v>
      </c>
      <c r="C2307">
        <v>19212</v>
      </c>
      <c r="D2307" s="802"/>
      <c r="E2307" s="802"/>
      <c r="F2307" s="2">
        <f>(1/S2307)*cnst_fish!$C$6</f>
        <v>6.0129950673834844E-2</v>
      </c>
      <c r="G2307" s="2">
        <f t="shared" si="330"/>
        <v>1</v>
      </c>
      <c r="H2307" s="2">
        <f t="shared" si="330"/>
        <v>0.36449057933102513</v>
      </c>
      <c r="I2307" s="2">
        <f t="shared" si="322"/>
        <v>0</v>
      </c>
      <c r="J2307" s="389">
        <f t="shared" si="323"/>
        <v>0</v>
      </c>
      <c r="L2307" s="803"/>
      <c r="M2307" s="802"/>
      <c r="N2307" s="804" t="s">
        <v>1738</v>
      </c>
      <c r="O2307" s="805" t="s">
        <v>4685</v>
      </c>
      <c r="P2307" s="233">
        <f t="shared" si="324"/>
        <v>0</v>
      </c>
      <c r="Q2307" s="233">
        <f t="shared" si="325"/>
        <v>0</v>
      </c>
      <c r="R2307" s="2">
        <f t="shared" si="326"/>
        <v>3.7</v>
      </c>
      <c r="S2307" s="2">
        <f>(1/9)*cnst_fish!$C$7*(1/cnst_fish!$C$8)^(R2307-1)</f>
        <v>70.680250896153822</v>
      </c>
      <c r="T2307" s="682">
        <f t="shared" si="327"/>
        <v>0</v>
      </c>
    </row>
    <row r="2308" spans="1:20" ht="12.75" customHeight="1">
      <c r="A2308" t="s">
        <v>9060</v>
      </c>
      <c r="B2308" t="s">
        <v>9061</v>
      </c>
      <c r="C2308">
        <v>15995</v>
      </c>
      <c r="D2308" s="802"/>
      <c r="E2308" s="802"/>
      <c r="F2308" s="869">
        <f>(1/S2308)*cnst_fish!$C$6</f>
        <v>9.5299549485983348E-2</v>
      </c>
      <c r="G2308" s="869">
        <f t="shared" ref="G2308:H2327" si="331">G$7</f>
        <v>1</v>
      </c>
      <c r="H2308" s="869">
        <f t="shared" si="331"/>
        <v>0.36449057933102513</v>
      </c>
      <c r="I2308" s="869">
        <f t="shared" si="322"/>
        <v>0</v>
      </c>
      <c r="J2308" s="389">
        <f t="shared" si="323"/>
        <v>0</v>
      </c>
      <c r="L2308" s="803">
        <v>22</v>
      </c>
      <c r="M2308" s="802"/>
      <c r="N2308" s="876" t="s">
        <v>1738</v>
      </c>
      <c r="O2308" s="880" t="s">
        <v>4681</v>
      </c>
      <c r="P2308" s="871">
        <f t="shared" si="324"/>
        <v>0</v>
      </c>
      <c r="Q2308" s="871">
        <f t="shared" si="325"/>
        <v>22</v>
      </c>
      <c r="R2308" s="869">
        <f t="shared" si="326"/>
        <v>3.5</v>
      </c>
      <c r="S2308" s="869">
        <f>(1/9)*cnst_fish!$C$7*(1/cnst_fish!$C$8)^(R2308-1)</f>
        <v>44.596223412631026</v>
      </c>
      <c r="T2308" s="682">
        <f t="shared" si="327"/>
        <v>84.143028886636628</v>
      </c>
    </row>
    <row r="2309" spans="1:20" ht="12.75" customHeight="1">
      <c r="A2309" t="s">
        <v>8380</v>
      </c>
      <c r="B2309" t="s">
        <v>8381</v>
      </c>
      <c r="C2309">
        <v>15998</v>
      </c>
      <c r="D2309" s="802"/>
      <c r="E2309" s="802"/>
      <c r="F2309" s="2">
        <f>(1/S2309)*cnst_fish!$C$6</f>
        <v>0.37939434000887845</v>
      </c>
      <c r="G2309" s="2">
        <f t="shared" si="331"/>
        <v>1</v>
      </c>
      <c r="H2309" s="2">
        <f t="shared" si="331"/>
        <v>0.36449057933102513</v>
      </c>
      <c r="I2309" s="2">
        <f t="shared" si="322"/>
        <v>0</v>
      </c>
      <c r="J2309" s="389">
        <f t="shared" si="323"/>
        <v>0</v>
      </c>
      <c r="L2309" s="803"/>
      <c r="M2309" s="802">
        <v>220</v>
      </c>
      <c r="N2309" s="804" t="s">
        <v>1738</v>
      </c>
      <c r="O2309" s="805" t="s">
        <v>4685</v>
      </c>
      <c r="P2309" s="233">
        <f t="shared" si="324"/>
        <v>0</v>
      </c>
      <c r="Q2309" s="233">
        <f t="shared" si="325"/>
        <v>220</v>
      </c>
      <c r="R2309" s="2">
        <f t="shared" si="326"/>
        <v>2.9</v>
      </c>
      <c r="S2309" s="2">
        <f>(1/9)*cnst_fish!$C$7*(1/cnst_fish!$C$8)^(R2309-1)</f>
        <v>11.20206484867577</v>
      </c>
      <c r="T2309" s="682">
        <f t="shared" si="327"/>
        <v>211.35773256646107</v>
      </c>
    </row>
    <row r="2310" spans="1:20" ht="12.75" customHeight="1">
      <c r="A2310" t="s">
        <v>4084</v>
      </c>
      <c r="B2310" t="s">
        <v>2282</v>
      </c>
      <c r="C2310">
        <v>2503</v>
      </c>
      <c r="D2310" s="802">
        <v>782</v>
      </c>
      <c r="E2310" s="802"/>
      <c r="F2310" s="2">
        <f>(1/S2310)*cnst_fish!$C$6</f>
        <v>9.7519361156519751E-3</v>
      </c>
      <c r="G2310" s="2">
        <f t="shared" si="331"/>
        <v>1</v>
      </c>
      <c r="H2310" s="2">
        <f t="shared" si="331"/>
        <v>0.36449057933102513</v>
      </c>
      <c r="I2310" s="2">
        <f t="shared" si="322"/>
        <v>29228.209624895146</v>
      </c>
      <c r="J2310" s="389">
        <f t="shared" si="323"/>
        <v>0</v>
      </c>
      <c r="L2310" s="803">
        <v>116638.13999999998</v>
      </c>
      <c r="M2310" s="802"/>
      <c r="N2310" s="804" t="s">
        <v>4084</v>
      </c>
      <c r="O2310" s="805" t="s">
        <v>4699</v>
      </c>
      <c r="P2310" s="233">
        <f t="shared" si="324"/>
        <v>782</v>
      </c>
      <c r="Q2310" s="233">
        <f t="shared" si="325"/>
        <v>116638.13999999998</v>
      </c>
      <c r="R2310" s="2">
        <f t="shared" si="326"/>
        <v>4.49</v>
      </c>
      <c r="S2310" s="2">
        <f>(1/9)*cnst_fish!$C$7*(1/cnst_fish!$C$8)^(R2310-1)</f>
        <v>435.81089432883982</v>
      </c>
      <c r="T2310" s="682">
        <f t="shared" si="327"/>
        <v>4359493.6140381936</v>
      </c>
    </row>
    <row r="2311" spans="1:20" ht="12.75" customHeight="1">
      <c r="A2311" t="s">
        <v>3899</v>
      </c>
      <c r="B2311" t="s">
        <v>1628</v>
      </c>
      <c r="C2311">
        <v>2600</v>
      </c>
      <c r="D2311" s="802"/>
      <c r="E2311" s="802"/>
      <c r="F2311" s="2">
        <f>(1/S2311)*cnst_fish!$C$6</f>
        <v>0.60129950673834842</v>
      </c>
      <c r="G2311" s="2">
        <f t="shared" si="331"/>
        <v>1</v>
      </c>
      <c r="H2311" s="2">
        <f t="shared" si="331"/>
        <v>0.36449057933102513</v>
      </c>
      <c r="I2311" s="2">
        <f t="shared" ref="I2311:I2327" si="332">IF($F2311=0,0,D2311/$F2311*$H2311*$G2311)</f>
        <v>0</v>
      </c>
      <c r="J2311" s="389">
        <f t="shared" ref="J2311:J2327" si="333">IF($F2311=0,0,E2311/$F2311*$H2311*$G2311)</f>
        <v>0</v>
      </c>
      <c r="L2311" s="803">
        <v>44725</v>
      </c>
      <c r="M2311" s="802"/>
      <c r="N2311" s="804" t="s">
        <v>2322</v>
      </c>
      <c r="O2311" s="805" t="s">
        <v>4680</v>
      </c>
      <c r="P2311" s="233">
        <f t="shared" ref="P2311:P2327" si="334">D2311+E2311</f>
        <v>0</v>
      </c>
      <c r="Q2311" s="233">
        <f t="shared" ref="Q2311:Q2327" si="335">L2311+M2311</f>
        <v>44725</v>
      </c>
      <c r="R2311" s="2">
        <f t="shared" ref="R2311:R2327" si="336">VLOOKUP(B2311,constant_fish_trophic,3,FALSE)</f>
        <v>2.7</v>
      </c>
      <c r="S2311" s="2">
        <f>(1/9)*cnst_fish!$C$7*(1/cnst_fish!$C$8)^(R2311-1)</f>
        <v>7.0680250896153813</v>
      </c>
      <c r="T2311" s="682">
        <f t="shared" ref="T2311:T2327" si="337">IF(F2311=0,0,Q2311/F2311*H2311*G2311)</f>
        <v>27111.017018801147</v>
      </c>
    </row>
    <row r="2312" spans="1:20" ht="12.75" customHeight="1">
      <c r="A2312" t="s">
        <v>2069</v>
      </c>
      <c r="B2312" t="s">
        <v>1629</v>
      </c>
      <c r="C2312">
        <v>3418</v>
      </c>
      <c r="D2312" s="802"/>
      <c r="E2312" s="802"/>
      <c r="F2312" s="2">
        <f>(1/S2312)*cnst_fish!$C$6</f>
        <v>0.60129950673834842</v>
      </c>
      <c r="G2312" s="2">
        <f t="shared" si="331"/>
        <v>1</v>
      </c>
      <c r="H2312" s="2">
        <f t="shared" si="331"/>
        <v>0.36449057933102513</v>
      </c>
      <c r="I2312" s="2">
        <f t="shared" si="332"/>
        <v>0</v>
      </c>
      <c r="J2312" s="389">
        <f t="shared" si="333"/>
        <v>0</v>
      </c>
      <c r="L2312" s="803">
        <v>448</v>
      </c>
      <c r="M2312" s="802"/>
      <c r="N2312" s="804" t="s">
        <v>2322</v>
      </c>
      <c r="O2312" s="805" t="s">
        <v>4680</v>
      </c>
      <c r="P2312" s="233">
        <f t="shared" si="334"/>
        <v>0</v>
      </c>
      <c r="Q2312" s="233">
        <f t="shared" si="335"/>
        <v>448</v>
      </c>
      <c r="R2312" s="2">
        <f t="shared" si="336"/>
        <v>2.7</v>
      </c>
      <c r="S2312" s="2">
        <f>(1/9)*cnst_fish!$C$7*(1/cnst_fish!$C$8)^(R2312-1)</f>
        <v>7.0680250896153813</v>
      </c>
      <c r="T2312" s="682">
        <f t="shared" si="337"/>
        <v>271.56479875735971</v>
      </c>
    </row>
    <row r="2313" spans="1:20" ht="12.75" customHeight="1">
      <c r="A2313" t="s">
        <v>2585</v>
      </c>
      <c r="B2313" t="s">
        <v>6729</v>
      </c>
      <c r="C2313">
        <v>2582</v>
      </c>
      <c r="D2313" s="802"/>
      <c r="E2313" s="802"/>
      <c r="F2313" s="2">
        <f>(1/S2313)*cnst_fish!$C$6</f>
        <v>1.5103960722494616</v>
      </c>
      <c r="G2313" s="2">
        <f t="shared" si="331"/>
        <v>1</v>
      </c>
      <c r="H2313" s="2">
        <f t="shared" si="331"/>
        <v>0.36449057933102513</v>
      </c>
      <c r="I2313" s="2">
        <f t="shared" si="332"/>
        <v>0</v>
      </c>
      <c r="J2313" s="389">
        <f t="shared" si="333"/>
        <v>0</v>
      </c>
      <c r="L2313" s="803">
        <v>1055</v>
      </c>
      <c r="M2313" s="802"/>
      <c r="N2313" s="804" t="s">
        <v>2322</v>
      </c>
      <c r="O2313" s="805" t="s">
        <v>4680</v>
      </c>
      <c r="P2313" s="233">
        <f t="shared" si="334"/>
        <v>0</v>
      </c>
      <c r="Q2313" s="233">
        <f t="shared" si="335"/>
        <v>1055</v>
      </c>
      <c r="R2313" s="2">
        <f t="shared" si="336"/>
        <v>2.2999999999999998</v>
      </c>
      <c r="S2313" s="2">
        <f>(1/9)*cnst_fish!$C$7*(1/cnst_fish!$C$8)^(R2313-1)</f>
        <v>2.8138314698279068</v>
      </c>
      <c r="T2313" s="682">
        <f t="shared" si="337"/>
        <v>254.59385671040073</v>
      </c>
    </row>
    <row r="2314" spans="1:20" ht="12.75" customHeight="1">
      <c r="A2314" t="s">
        <v>1587</v>
      </c>
      <c r="B2314" t="s">
        <v>1588</v>
      </c>
      <c r="C2314">
        <v>16030</v>
      </c>
      <c r="D2314" s="802"/>
      <c r="E2314" s="802"/>
      <c r="F2314" s="2">
        <f>(1/S2314)*cnst_fish!$C$6</f>
        <v>0.21831865524078092</v>
      </c>
      <c r="G2314" s="2">
        <f t="shared" si="331"/>
        <v>1</v>
      </c>
      <c r="H2314" s="2">
        <f t="shared" si="331"/>
        <v>0.36449057933102513</v>
      </c>
      <c r="I2314" s="2">
        <f t="shared" si="332"/>
        <v>0</v>
      </c>
      <c r="J2314" s="389">
        <f t="shared" si="333"/>
        <v>0</v>
      </c>
      <c r="L2314" s="803">
        <v>99</v>
      </c>
      <c r="M2314" s="802"/>
      <c r="N2314" s="804" t="s">
        <v>1738</v>
      </c>
      <c r="O2314" s="805" t="s">
        <v>4681</v>
      </c>
      <c r="P2314" s="233">
        <f t="shared" si="334"/>
        <v>0</v>
      </c>
      <c r="Q2314" s="233">
        <f t="shared" si="335"/>
        <v>99</v>
      </c>
      <c r="R2314" s="2">
        <f t="shared" si="336"/>
        <v>3.14</v>
      </c>
      <c r="S2314" s="2">
        <f>(1/9)*cnst_fish!$C$7*(1/cnst_fish!$C$8)^(R2314-1)</f>
        <v>19.466957577733005</v>
      </c>
      <c r="T2314" s="682">
        <f t="shared" si="337"/>
        <v>165.2839392674633</v>
      </c>
    </row>
    <row r="2315" spans="1:20" ht="12.75" customHeight="1">
      <c r="A2315" t="s">
        <v>6390</v>
      </c>
      <c r="B2315" t="s">
        <v>6389</v>
      </c>
      <c r="C2315">
        <v>16037</v>
      </c>
      <c r="D2315" s="802"/>
      <c r="E2315" s="802"/>
      <c r="F2315" s="2">
        <f>(1/S2315)*cnst_fish!$C$6</f>
        <v>3.0136363636363641</v>
      </c>
      <c r="G2315" s="2">
        <f t="shared" si="331"/>
        <v>1</v>
      </c>
      <c r="H2315" s="2">
        <f t="shared" si="331"/>
        <v>0.36449057933102513</v>
      </c>
      <c r="I2315" s="2">
        <f t="shared" si="332"/>
        <v>0</v>
      </c>
      <c r="J2315" s="389">
        <f t="shared" si="333"/>
        <v>0</v>
      </c>
      <c r="L2315" s="803"/>
      <c r="M2315" s="802"/>
      <c r="N2315" s="804" t="s">
        <v>1738</v>
      </c>
      <c r="O2315" s="805" t="s">
        <v>4685</v>
      </c>
      <c r="P2315" s="233">
        <f t="shared" si="334"/>
        <v>0</v>
      </c>
      <c r="Q2315" s="233">
        <f t="shared" si="335"/>
        <v>0</v>
      </c>
      <c r="R2315" s="2">
        <f t="shared" si="336"/>
        <v>2</v>
      </c>
      <c r="S2315" s="2">
        <f>(1/9)*cnst_fish!$C$7*(1/cnst_fish!$C$8)^(R2315-1)</f>
        <v>1.4102564102564099</v>
      </c>
      <c r="T2315" s="682">
        <f t="shared" si="337"/>
        <v>0</v>
      </c>
    </row>
    <row r="2316" spans="1:20" ht="12.75" customHeight="1">
      <c r="A2316" t="s">
        <v>5470</v>
      </c>
      <c r="B2316" t="s">
        <v>5471</v>
      </c>
      <c r="C2316">
        <v>16042</v>
      </c>
      <c r="D2316" s="802"/>
      <c r="E2316" s="802"/>
      <c r="F2316" s="2">
        <f>(1/S2316)*cnst_fish!$C$6</f>
        <v>0.15634746627722768</v>
      </c>
      <c r="G2316" s="2">
        <f t="shared" si="331"/>
        <v>1</v>
      </c>
      <c r="H2316" s="2">
        <f t="shared" si="331"/>
        <v>0.36449057933102513</v>
      </c>
      <c r="I2316" s="2">
        <f t="shared" si="332"/>
        <v>0</v>
      </c>
      <c r="J2316" s="389">
        <f t="shared" si="333"/>
        <v>0</v>
      </c>
      <c r="L2316" s="803">
        <v>0.05</v>
      </c>
      <c r="M2316" s="802"/>
      <c r="N2316" s="804" t="s">
        <v>1738</v>
      </c>
      <c r="O2316" s="805" t="s">
        <v>4681</v>
      </c>
      <c r="P2316" s="233">
        <f t="shared" si="334"/>
        <v>0</v>
      </c>
      <c r="Q2316" s="233">
        <f t="shared" si="335"/>
        <v>0.05</v>
      </c>
      <c r="R2316" s="2">
        <f t="shared" si="336"/>
        <v>3.2850000000000001</v>
      </c>
      <c r="S2316" s="2">
        <f>(1/9)*cnst_fish!$C$7*(1/cnst_fish!$C$8)^(R2316-1)</f>
        <v>27.18304364756451</v>
      </c>
      <c r="T2316" s="682">
        <f t="shared" si="337"/>
        <v>0.11656427443625095</v>
      </c>
    </row>
    <row r="2317" spans="1:20" ht="12.75" customHeight="1">
      <c r="A2317" t="s">
        <v>6524</v>
      </c>
      <c r="B2317" t="s">
        <v>6523</v>
      </c>
      <c r="C2317">
        <v>19223</v>
      </c>
      <c r="D2317" s="802"/>
      <c r="E2317" s="802"/>
      <c r="F2317" s="2">
        <f>(1/S2317)*cnst_fish!$C$6</f>
        <v>6.0129950673834844E-2</v>
      </c>
      <c r="G2317" s="2">
        <f t="shared" si="331"/>
        <v>1</v>
      </c>
      <c r="H2317" s="2">
        <f t="shared" si="331"/>
        <v>0.36449057933102513</v>
      </c>
      <c r="I2317" s="2">
        <f t="shared" si="332"/>
        <v>0</v>
      </c>
      <c r="J2317" s="389">
        <f t="shared" si="333"/>
        <v>0</v>
      </c>
      <c r="L2317" s="803">
        <v>1487</v>
      </c>
      <c r="M2317" s="802"/>
      <c r="N2317" s="804" t="s">
        <v>1738</v>
      </c>
      <c r="O2317" s="805" t="s">
        <v>4681</v>
      </c>
      <c r="P2317" s="233">
        <f t="shared" si="334"/>
        <v>0</v>
      </c>
      <c r="Q2317" s="233">
        <f t="shared" si="335"/>
        <v>1487</v>
      </c>
      <c r="R2317" s="2">
        <f t="shared" si="336"/>
        <v>3.7</v>
      </c>
      <c r="S2317" s="2">
        <f>(1/9)*cnst_fish!$C$7*(1/cnst_fish!$C$8)^(R2317-1)</f>
        <v>70.680250896153822</v>
      </c>
      <c r="T2317" s="682">
        <f t="shared" si="337"/>
        <v>9013.7691016114713</v>
      </c>
    </row>
    <row r="2318" spans="1:20" ht="12.75" customHeight="1">
      <c r="A2318" t="s">
        <v>3802</v>
      </c>
      <c r="B2318" t="s">
        <v>3149</v>
      </c>
      <c r="C2318">
        <v>3043</v>
      </c>
      <c r="D2318" s="802"/>
      <c r="E2318" s="802"/>
      <c r="F2318" s="2">
        <f>(1/S2318)*cnst_fish!$C$6</f>
        <v>1.315499985341953E-2</v>
      </c>
      <c r="G2318" s="2">
        <f t="shared" si="331"/>
        <v>1</v>
      </c>
      <c r="H2318" s="2">
        <f t="shared" si="331"/>
        <v>0.36449057933102513</v>
      </c>
      <c r="I2318" s="2">
        <f t="shared" si="332"/>
        <v>0</v>
      </c>
      <c r="J2318" s="389">
        <f t="shared" si="333"/>
        <v>0</v>
      </c>
      <c r="L2318" s="803">
        <v>5</v>
      </c>
      <c r="M2318" s="802"/>
      <c r="N2318" s="804" t="s">
        <v>1738</v>
      </c>
      <c r="O2318" s="805" t="s">
        <v>4681</v>
      </c>
      <c r="P2318" s="233">
        <f t="shared" si="334"/>
        <v>0</v>
      </c>
      <c r="Q2318" s="233">
        <f t="shared" si="335"/>
        <v>5</v>
      </c>
      <c r="R2318" s="2">
        <f t="shared" si="336"/>
        <v>4.3600000000000003</v>
      </c>
      <c r="S2318" s="2">
        <f>(1/9)*cnst_fish!$C$7*(1/cnst_fish!$C$8)^(R2318-1)</f>
        <v>323.07107923648124</v>
      </c>
      <c r="T2318" s="682">
        <f t="shared" si="337"/>
        <v>138.5368998070642</v>
      </c>
    </row>
    <row r="2319" spans="1:20" ht="12.75" customHeight="1">
      <c r="A2319" t="s">
        <v>3358</v>
      </c>
      <c r="B2319" t="s">
        <v>5361</v>
      </c>
      <c r="C2319">
        <v>3044</v>
      </c>
      <c r="D2319" s="802"/>
      <c r="E2319" s="802"/>
      <c r="F2319" s="2">
        <f>(1/S2319)*cnst_fish!$C$6</f>
        <v>9.5299549485983424E-3</v>
      </c>
      <c r="G2319" s="2">
        <f t="shared" si="331"/>
        <v>1</v>
      </c>
      <c r="H2319" s="2">
        <f t="shared" si="331"/>
        <v>0.36449057933102513</v>
      </c>
      <c r="I2319" s="2">
        <f t="shared" si="332"/>
        <v>0</v>
      </c>
      <c r="J2319" s="389">
        <f t="shared" si="333"/>
        <v>0</v>
      </c>
      <c r="L2319" s="803">
        <v>451</v>
      </c>
      <c r="M2319" s="802"/>
      <c r="N2319" s="804" t="s">
        <v>1738</v>
      </c>
      <c r="O2319" s="805" t="s">
        <v>4681</v>
      </c>
      <c r="P2319" s="233">
        <f t="shared" si="334"/>
        <v>0</v>
      </c>
      <c r="Q2319" s="233">
        <f t="shared" si="335"/>
        <v>451</v>
      </c>
      <c r="R2319" s="2">
        <f t="shared" si="336"/>
        <v>4.5</v>
      </c>
      <c r="S2319" s="2">
        <f>(1/9)*cnst_fish!$C$7*(1/cnst_fish!$C$8)^(R2319-1)</f>
        <v>445.96223412630997</v>
      </c>
      <c r="T2319" s="682">
        <f t="shared" si="337"/>
        <v>17249.320921760493</v>
      </c>
    </row>
    <row r="2320" spans="1:20" ht="12.75" customHeight="1">
      <c r="A2320" t="s">
        <v>3309</v>
      </c>
      <c r="B2320" t="s">
        <v>2729</v>
      </c>
      <c r="C2320">
        <v>18586</v>
      </c>
      <c r="D2320" s="802"/>
      <c r="E2320" s="802"/>
      <c r="F2320" s="2">
        <f>(1/S2320)*cnst_fish!$C$6</f>
        <v>3.1556646698079359E-2</v>
      </c>
      <c r="G2320" s="2">
        <f t="shared" si="331"/>
        <v>1</v>
      </c>
      <c r="H2320" s="2">
        <f t="shared" si="331"/>
        <v>0.36449057933102513</v>
      </c>
      <c r="I2320" s="2">
        <f t="shared" si="332"/>
        <v>0</v>
      </c>
      <c r="J2320" s="389">
        <f t="shared" si="333"/>
        <v>0</v>
      </c>
      <c r="L2320" s="803">
        <v>318</v>
      </c>
      <c r="M2320" s="802"/>
      <c r="N2320" s="804" t="s">
        <v>1738</v>
      </c>
      <c r="O2320" s="805" t="s">
        <v>4681</v>
      </c>
      <c r="P2320" s="233">
        <f t="shared" si="334"/>
        <v>0</v>
      </c>
      <c r="Q2320" s="233">
        <f t="shared" si="335"/>
        <v>318</v>
      </c>
      <c r="R2320" s="2">
        <f t="shared" si="336"/>
        <v>3.98</v>
      </c>
      <c r="S2320" s="2">
        <f>(1/9)*cnst_fish!$C$7*(1/cnst_fish!$C$8)^(R2320-1)</f>
        <v>134.67844161840773</v>
      </c>
      <c r="T2320" s="682">
        <f t="shared" si="337"/>
        <v>3673.0139718654118</v>
      </c>
    </row>
    <row r="2321" spans="1:20" ht="12.75" customHeight="1">
      <c r="A2321" t="s">
        <v>8919</v>
      </c>
      <c r="B2321" t="s">
        <v>8920</v>
      </c>
      <c r="C2321">
        <v>16059</v>
      </c>
      <c r="D2321" s="802"/>
      <c r="E2321" s="802"/>
      <c r="F2321" s="2">
        <f>(1/S2321)*cnst_fish!$C$6</f>
        <v>9.5299549485983424E-3</v>
      </c>
      <c r="G2321" s="2">
        <f t="shared" si="331"/>
        <v>1</v>
      </c>
      <c r="H2321" s="2">
        <f t="shared" si="331"/>
        <v>0.36449057933102513</v>
      </c>
      <c r="I2321" s="2">
        <f t="shared" si="332"/>
        <v>0</v>
      </c>
      <c r="J2321" s="389">
        <f t="shared" si="333"/>
        <v>0</v>
      </c>
      <c r="L2321" s="803">
        <v>3304</v>
      </c>
      <c r="M2321" s="802"/>
      <c r="N2321" s="804" t="s">
        <v>4282</v>
      </c>
      <c r="O2321" s="805" t="s">
        <v>4681</v>
      </c>
      <c r="P2321" s="233">
        <f t="shared" si="334"/>
        <v>0</v>
      </c>
      <c r="Q2321" s="233">
        <f t="shared" si="335"/>
        <v>3304</v>
      </c>
      <c r="R2321" s="2">
        <f t="shared" si="336"/>
        <v>4.5</v>
      </c>
      <c r="S2321" s="2">
        <f>(1/9)*cnst_fish!$C$7*(1/cnst_fish!$C$8)^(R2321-1)</f>
        <v>445.96223412630997</v>
      </c>
      <c r="T2321" s="682">
        <f t="shared" si="337"/>
        <v>126367.53065520327</v>
      </c>
    </row>
    <row r="2322" spans="1:20" ht="12.75" customHeight="1">
      <c r="A2322" t="s">
        <v>3283</v>
      </c>
      <c r="B2322" t="s">
        <v>3781</v>
      </c>
      <c r="C2322">
        <v>2250</v>
      </c>
      <c r="D2322" s="802"/>
      <c r="E2322" s="802"/>
      <c r="F2322" s="2">
        <f>(1/S2322)*cnst_fish!$C$6</f>
        <v>9.5299549485983424E-3</v>
      </c>
      <c r="G2322" s="2">
        <f t="shared" si="331"/>
        <v>1</v>
      </c>
      <c r="H2322" s="2">
        <f t="shared" si="331"/>
        <v>0.36449057933102513</v>
      </c>
      <c r="I2322" s="2">
        <f t="shared" si="332"/>
        <v>0</v>
      </c>
      <c r="J2322" s="389">
        <f t="shared" si="333"/>
        <v>0</v>
      </c>
      <c r="L2322" s="803">
        <v>20094</v>
      </c>
      <c r="M2322" s="802"/>
      <c r="N2322" s="804" t="s">
        <v>1738</v>
      </c>
      <c r="O2322" s="805" t="s">
        <v>4681</v>
      </c>
      <c r="P2322" s="233">
        <f t="shared" si="334"/>
        <v>0</v>
      </c>
      <c r="Q2322" s="233">
        <f t="shared" si="335"/>
        <v>20094</v>
      </c>
      <c r="R2322" s="2">
        <f t="shared" si="336"/>
        <v>4.5</v>
      </c>
      <c r="S2322" s="2">
        <f>(1/9)*cnst_fish!$C$7*(1/cnst_fish!$C$8)^(R2322-1)</f>
        <v>445.96223412630997</v>
      </c>
      <c r="T2322" s="682">
        <f t="shared" si="337"/>
        <v>768531.8283854886</v>
      </c>
    </row>
    <row r="2323" spans="1:20" ht="12.75" customHeight="1">
      <c r="A2323" t="s">
        <v>1857</v>
      </c>
      <c r="B2323" t="s">
        <v>2612</v>
      </c>
      <c r="C2323">
        <v>18711</v>
      </c>
      <c r="D2323" s="802"/>
      <c r="E2323" s="802"/>
      <c r="F2323" s="2">
        <f>(1/S2323)*cnst_fish!$C$6</f>
        <v>3.1663335279055209</v>
      </c>
      <c r="G2323" s="2">
        <f t="shared" si="331"/>
        <v>1</v>
      </c>
      <c r="H2323" s="2">
        <f t="shared" si="331"/>
        <v>0.36449057933102513</v>
      </c>
      <c r="I2323" s="2">
        <f t="shared" si="332"/>
        <v>0</v>
      </c>
      <c r="J2323" s="389">
        <f t="shared" si="333"/>
        <v>0</v>
      </c>
      <c r="L2323" s="803">
        <v>50</v>
      </c>
      <c r="M2323" s="802"/>
      <c r="N2323" s="804" t="s">
        <v>1736</v>
      </c>
      <c r="O2323" s="805" t="s">
        <v>4691</v>
      </c>
      <c r="P2323" s="233">
        <f t="shared" si="334"/>
        <v>0</v>
      </c>
      <c r="Q2323" s="233">
        <f t="shared" si="335"/>
        <v>50</v>
      </c>
      <c r="R2323" s="2">
        <f t="shared" si="336"/>
        <v>1.9785341879407026</v>
      </c>
      <c r="S2323" s="2">
        <f>(1/9)*cnst_fish!$C$7*(1/cnst_fish!$C$8)^(R2323-1)</f>
        <v>1.3422464697871885</v>
      </c>
      <c r="T2323" s="682">
        <f t="shared" si="337"/>
        <v>5.7557199220912434</v>
      </c>
    </row>
    <row r="2324" spans="1:20" ht="12.75" customHeight="1">
      <c r="A2324" t="s">
        <v>4135</v>
      </c>
      <c r="B2324" t="s">
        <v>570</v>
      </c>
      <c r="C2324">
        <v>3254</v>
      </c>
      <c r="D2324" s="802"/>
      <c r="E2324" s="802"/>
      <c r="F2324" s="2">
        <f>(1/S2324)*cnst_fish!$C$6</f>
        <v>0.10211530705467774</v>
      </c>
      <c r="G2324" s="2">
        <f t="shared" si="331"/>
        <v>1</v>
      </c>
      <c r="H2324" s="2">
        <f t="shared" si="331"/>
        <v>0.36449057933102513</v>
      </c>
      <c r="I2324" s="2">
        <f t="shared" si="332"/>
        <v>0</v>
      </c>
      <c r="J2324" s="389">
        <f t="shared" si="333"/>
        <v>0</v>
      </c>
      <c r="L2324" s="803">
        <v>96</v>
      </c>
      <c r="M2324" s="802"/>
      <c r="N2324" s="804" t="s">
        <v>1738</v>
      </c>
      <c r="O2324" s="805" t="s">
        <v>4681</v>
      </c>
      <c r="P2324" s="233">
        <f t="shared" si="334"/>
        <v>0</v>
      </c>
      <c r="Q2324" s="233">
        <f t="shared" si="335"/>
        <v>96</v>
      </c>
      <c r="R2324" s="2">
        <f t="shared" si="336"/>
        <v>3.47</v>
      </c>
      <c r="S2324" s="2">
        <f>(1/9)*cnst_fish!$C$7*(1/cnst_fish!$C$8)^(R2324-1)</f>
        <v>41.619617299141382</v>
      </c>
      <c r="T2324" s="682">
        <f t="shared" si="337"/>
        <v>342.66259021326152</v>
      </c>
    </row>
    <row r="2325" spans="1:20" ht="12.75" customHeight="1">
      <c r="A2325" t="s">
        <v>3694</v>
      </c>
      <c r="B2325" t="s">
        <v>1922</v>
      </c>
      <c r="C2325">
        <v>2793</v>
      </c>
      <c r="D2325" s="802"/>
      <c r="E2325" s="802"/>
      <c r="F2325" s="2">
        <f>(1/S2325)*cnst_fish!$C$6</f>
        <v>30.136363636363644</v>
      </c>
      <c r="G2325" s="2">
        <f t="shared" si="331"/>
        <v>1</v>
      </c>
      <c r="H2325" s="2">
        <f t="shared" si="331"/>
        <v>0.36449057933102513</v>
      </c>
      <c r="I2325" s="2">
        <f t="shared" si="332"/>
        <v>0</v>
      </c>
      <c r="J2325" s="389">
        <f t="shared" si="333"/>
        <v>0</v>
      </c>
      <c r="L2325" s="803">
        <v>0</v>
      </c>
      <c r="M2325" s="802"/>
      <c r="N2325" s="804" t="s">
        <v>1740</v>
      </c>
      <c r="O2325" s="805" t="s">
        <v>4671</v>
      </c>
      <c r="P2325" s="233">
        <f t="shared" si="334"/>
        <v>0</v>
      </c>
      <c r="Q2325" s="233">
        <f t="shared" si="335"/>
        <v>0</v>
      </c>
      <c r="R2325" s="2">
        <f t="shared" si="336"/>
        <v>1</v>
      </c>
      <c r="S2325" s="2">
        <f>(1/9)*cnst_fish!$C$7*(1/cnst_fish!$C$8)^(R2325-1)</f>
        <v>0.141025641025641</v>
      </c>
      <c r="T2325" s="682">
        <f t="shared" si="337"/>
        <v>0</v>
      </c>
    </row>
    <row r="2326" spans="1:20" ht="12.75" customHeight="1">
      <c r="A2326" t="s">
        <v>3801</v>
      </c>
      <c r="B2326" t="s">
        <v>6734</v>
      </c>
      <c r="C2326">
        <v>17523</v>
      </c>
      <c r="D2326" s="802"/>
      <c r="E2326" s="802"/>
      <c r="F2326" s="2">
        <f>(1/S2326)*cnst_fish!$C$6</f>
        <v>3.2747250784370503</v>
      </c>
      <c r="G2326" s="2">
        <f t="shared" si="331"/>
        <v>1</v>
      </c>
      <c r="H2326" s="2">
        <f t="shared" si="331"/>
        <v>0.36449057933102513</v>
      </c>
      <c r="I2326" s="2">
        <f t="shared" si="332"/>
        <v>0</v>
      </c>
      <c r="J2326" s="389">
        <f t="shared" si="333"/>
        <v>0</v>
      </c>
      <c r="L2326" s="803">
        <v>14</v>
      </c>
      <c r="M2326" s="802"/>
      <c r="N2326" s="804" t="s">
        <v>1736</v>
      </c>
      <c r="O2326" s="805" t="s">
        <v>4691</v>
      </c>
      <c r="P2326" s="233">
        <f t="shared" si="334"/>
        <v>0</v>
      </c>
      <c r="Q2326" s="233">
        <f t="shared" si="335"/>
        <v>14</v>
      </c>
      <c r="R2326" s="2">
        <f t="shared" si="336"/>
        <v>1.9639160018591753</v>
      </c>
      <c r="S2326" s="2">
        <f>(1/9)*cnst_fish!$C$7*(1/cnst_fish!$C$8)^(R2326-1)</f>
        <v>1.2978188697380439</v>
      </c>
      <c r="T2326" s="682">
        <f t="shared" si="337"/>
        <v>1.5582584761801841</v>
      </c>
    </row>
    <row r="2327" spans="1:20" s="888" customFormat="1" ht="12.75" customHeight="1">
      <c r="A2327" s="20" t="s">
        <v>3425</v>
      </c>
      <c r="B2327" s="20" t="s">
        <v>6735</v>
      </c>
      <c r="C2327" s="20">
        <v>17524</v>
      </c>
      <c r="D2327" s="582"/>
      <c r="E2327" s="582"/>
      <c r="F2327" s="57">
        <f>(1/S2327)*cnst_fish!$C$6</f>
        <v>3.2747250784370503</v>
      </c>
      <c r="G2327" s="57">
        <f t="shared" si="331"/>
        <v>1</v>
      </c>
      <c r="H2327" s="57">
        <f t="shared" si="331"/>
        <v>0.36449057933102513</v>
      </c>
      <c r="I2327" s="57">
        <f t="shared" si="332"/>
        <v>0</v>
      </c>
      <c r="J2327" s="81">
        <f t="shared" si="333"/>
        <v>0</v>
      </c>
      <c r="L2327" s="722">
        <v>27390</v>
      </c>
      <c r="M2327" s="582"/>
      <c r="N2327" s="839" t="s">
        <v>1736</v>
      </c>
      <c r="O2327" s="840" t="s">
        <v>4691</v>
      </c>
      <c r="P2327" s="235">
        <f t="shared" si="334"/>
        <v>0</v>
      </c>
      <c r="Q2327" s="235">
        <f t="shared" si="335"/>
        <v>27390</v>
      </c>
      <c r="R2327" s="57">
        <f t="shared" si="336"/>
        <v>1.9639160018591753</v>
      </c>
      <c r="S2327" s="57">
        <f>(1/9)*cnst_fish!$C$7*(1/cnst_fish!$C$8)^(R2327-1)</f>
        <v>1.2978188697380439</v>
      </c>
      <c r="T2327" s="683">
        <f t="shared" si="337"/>
        <v>3048.6214044696599</v>
      </c>
    </row>
  </sheetData>
  <sortState xmlns:xlrd2="http://schemas.microsoft.com/office/spreadsheetml/2017/richdata2" ref="A7:T2327">
    <sortCondition ref="B7:B2327"/>
  </sortState>
  <phoneticPr fontId="5" type="noConversion"/>
  <hyperlinks>
    <hyperlink ref="E2" location="eqf" tooltip="Go to eqf" display="eqf" xr:uid="{00000000-0004-0000-2700-000000000000}"/>
    <hyperlink ref="D3" location="ef_fish!A1" tooltip="Go to ef_fish" display="ef_fish" xr:uid="{00000000-0004-0000-2700-000001000000}"/>
    <hyperlink ref="F2" location="iyf" display="iyf" xr:uid="{00000000-0004-0000-2700-000002000000}"/>
    <hyperlink ref="G2" location="constant_fish_trophic" display="constant_fish_trophic" xr:uid="{00000000-0004-0000-2700-000003000000}"/>
    <hyperlink ref="D2" location="fish_yield_w" display="fish_capture_yield" xr:uid="{00000000-0004-0000-2700-000004000000}"/>
    <hyperlink ref="H2" location="cnst_fish!A1" display="cnst_fish" xr:uid="{00000000-0004-0000-2700-000005000000}"/>
  </hyperlinks>
  <pageMargins left="0.75" right="0.75" top="1" bottom="1" header="0.5" footer="0.5"/>
  <pageSetup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8">
    <tabColor theme="4"/>
    <pageSetUpPr autoPageBreaks="0"/>
  </sheetPr>
  <dimension ref="A1:N538"/>
  <sheetViews>
    <sheetView zoomScaleNormal="100" workbookViewId="0">
      <pane xSplit="1" ySplit="6" topLeftCell="B7" activePane="bottomRight" state="frozen"/>
      <selection activeCell="B24" sqref="B24"/>
      <selection pane="topRight" activeCell="B24" sqref="B24"/>
      <selection pane="bottomLeft" activeCell="B24" sqref="B24"/>
      <selection pane="bottomRight" activeCell="A65536" sqref="A65536"/>
    </sheetView>
  </sheetViews>
  <sheetFormatPr defaultColWidth="9.1796875" defaultRowHeight="12.75" customHeight="1"/>
  <cols>
    <col min="1" max="1" width="62.54296875" style="36" customWidth="1"/>
    <col min="2" max="2" width="15.7265625" style="36" customWidth="1"/>
    <col min="3" max="3" width="20.1796875" style="36" customWidth="1"/>
    <col min="4" max="4" width="19.7265625" style="36" customWidth="1"/>
    <col min="5" max="10" width="16.7265625" style="36" customWidth="1"/>
    <col min="11" max="12" width="24.7265625" style="36" customWidth="1"/>
    <col min="13" max="13" width="9.1796875" style="36"/>
    <col min="14" max="14" width="9.1796875" style="253"/>
    <col min="15" max="16384" width="9.1796875" style="36"/>
  </cols>
  <sheetData>
    <row r="1" spans="1:14" ht="12.75" customHeight="1">
      <c r="A1" s="36" t="s">
        <v>464</v>
      </c>
      <c r="B1" s="97"/>
      <c r="C1" s="97"/>
      <c r="D1" s="97"/>
      <c r="E1" s="97"/>
      <c r="F1" s="97"/>
      <c r="G1" s="97"/>
      <c r="H1" s="97"/>
      <c r="I1" s="97"/>
      <c r="J1" s="97"/>
      <c r="K1" s="97"/>
      <c r="L1" s="97"/>
      <c r="N1" s="36"/>
    </row>
    <row r="2" spans="1:14" ht="12.75" customHeight="1">
      <c r="B2" s="37" t="s">
        <v>985</v>
      </c>
      <c r="C2" s="466" t="s">
        <v>1760</v>
      </c>
      <c r="D2" s="466" t="s">
        <v>2004</v>
      </c>
      <c r="E2" s="466" t="s">
        <v>6145</v>
      </c>
      <c r="H2" s="97"/>
      <c r="I2" s="97"/>
      <c r="N2" s="36"/>
    </row>
    <row r="3" spans="1:14" ht="12.75" customHeight="1">
      <c r="B3" s="37" t="s">
        <v>986</v>
      </c>
      <c r="C3" s="466" t="s">
        <v>1758</v>
      </c>
      <c r="D3" s="466" t="s">
        <v>0</v>
      </c>
      <c r="E3" s="466"/>
      <c r="F3" s="466"/>
      <c r="I3" s="97"/>
      <c r="J3" s="97"/>
      <c r="K3" s="97"/>
      <c r="L3" s="97"/>
      <c r="N3" s="36"/>
    </row>
    <row r="4" spans="1:14" ht="12.75" customHeight="1">
      <c r="N4" s="36"/>
    </row>
    <row r="5" spans="1:14" ht="15">
      <c r="A5" s="1016" t="s">
        <v>1381</v>
      </c>
      <c r="B5" s="1017" t="s">
        <v>509</v>
      </c>
      <c r="C5" s="1017" t="s">
        <v>5396</v>
      </c>
      <c r="D5" s="1017" t="s">
        <v>1005</v>
      </c>
      <c r="E5" s="1018" t="s">
        <v>9221</v>
      </c>
      <c r="F5" s="1017" t="s">
        <v>9222</v>
      </c>
      <c r="G5" s="1018" t="s">
        <v>6022</v>
      </c>
      <c r="H5" s="1018" t="s">
        <v>1771</v>
      </c>
      <c r="I5" s="1017" t="s">
        <v>9210</v>
      </c>
      <c r="J5" s="1019" t="s">
        <v>9211</v>
      </c>
      <c r="K5" s="1025" t="s">
        <v>6920</v>
      </c>
      <c r="L5" s="1026" t="s">
        <v>6921</v>
      </c>
      <c r="N5" s="36"/>
    </row>
    <row r="6" spans="1:14" ht="14.5">
      <c r="A6" s="1020" t="s">
        <v>542</v>
      </c>
      <c r="B6" s="1021" t="s">
        <v>542</v>
      </c>
      <c r="C6" s="1021" t="s">
        <v>9223</v>
      </c>
      <c r="D6" s="1021" t="s">
        <v>9223</v>
      </c>
      <c r="E6" s="1022" t="s">
        <v>9224</v>
      </c>
      <c r="F6" s="1021" t="s">
        <v>9224</v>
      </c>
      <c r="G6" s="1022" t="s">
        <v>542</v>
      </c>
      <c r="H6" s="1022" t="s">
        <v>9214</v>
      </c>
      <c r="I6" s="1023" t="s">
        <v>720</v>
      </c>
      <c r="J6" s="1024" t="s">
        <v>720</v>
      </c>
      <c r="K6" s="1027" t="s">
        <v>720</v>
      </c>
      <c r="L6" s="1028" t="s">
        <v>720</v>
      </c>
      <c r="N6" s="36"/>
    </row>
    <row r="7" spans="1:14" ht="15" customHeight="1">
      <c r="A7" s="801" t="s">
        <v>8494</v>
      </c>
      <c r="B7" s="813">
        <v>307.89</v>
      </c>
      <c r="C7" s="838"/>
      <c r="D7" s="837"/>
      <c r="E7" s="28">
        <f t="shared" ref="E7:E70" si="0">VLOOKUP(B7,fish_commodity_yield,5,FALSE)</f>
        <v>0.12488588539199595</v>
      </c>
      <c r="F7" s="28">
        <f t="shared" ref="F7:F70" si="1">VLOOKUP(B7,fish_commodity_yield,6,FALSE)</f>
        <v>0.29051399895083913</v>
      </c>
      <c r="G7" s="2">
        <f>VLOOKUP("Marine Fishing Grounds",iyf,2,FALSE)</f>
        <v>1</v>
      </c>
      <c r="H7" s="2">
        <f>VLOOKUP("Marine Fishing Grounds",eqf,2,FALSE)</f>
        <v>0.36449057933102513</v>
      </c>
      <c r="I7" s="2">
        <f t="shared" ref="I7:I70" si="2">IFERROR(C7/E7*H7*G7,0)</f>
        <v>0</v>
      </c>
      <c r="J7" s="2">
        <f t="shared" ref="J7:J70" si="3">IFERROR(D7/F7*H7*G7,0)</f>
        <v>0</v>
      </c>
      <c r="K7" s="195">
        <f t="shared" ref="K7:K70" si="4">VLOOKUP(B7,fish_commodity_yield,8,FALSE)*C7</f>
        <v>0</v>
      </c>
      <c r="L7" s="56">
        <f t="shared" ref="L7:L70" si="5">VLOOKUP(B7,fish_commodity_yield,9,FALSE)*D7</f>
        <v>0</v>
      </c>
      <c r="N7" s="814"/>
    </row>
    <row r="8" spans="1:14" ht="15" customHeight="1">
      <c r="A8" t="s">
        <v>9157</v>
      </c>
      <c r="B8">
        <v>307.87</v>
      </c>
      <c r="C8" s="836">
        <v>16</v>
      </c>
      <c r="D8" s="581">
        <v>0</v>
      </c>
      <c r="E8" s="28">
        <f t="shared" si="0"/>
        <v>1.0320594099950604</v>
      </c>
      <c r="F8" s="28">
        <f t="shared" si="1"/>
        <v>2.4008133938547136</v>
      </c>
      <c r="G8" s="2">
        <f t="shared" ref="G8:G71" si="6">$G$7</f>
        <v>1</v>
      </c>
      <c r="H8" s="2">
        <f t="shared" ref="H8:H71" si="7">$H$7</f>
        <v>0.36449057933102513</v>
      </c>
      <c r="I8" s="2">
        <f t="shared" si="2"/>
        <v>5.6506914358004972</v>
      </c>
      <c r="J8" s="2">
        <f t="shared" si="3"/>
        <v>0</v>
      </c>
      <c r="K8" s="196">
        <f t="shared" si="4"/>
        <v>19.287764012465622</v>
      </c>
      <c r="L8" s="389">
        <f t="shared" si="5"/>
        <v>0</v>
      </c>
      <c r="N8" s="814"/>
    </row>
    <row r="9" spans="1:14" ht="15" customHeight="1">
      <c r="A9" t="s">
        <v>9155</v>
      </c>
      <c r="B9">
        <v>307.83</v>
      </c>
      <c r="C9" s="836">
        <v>127</v>
      </c>
      <c r="D9" s="581"/>
      <c r="E9" s="28">
        <f t="shared" si="0"/>
        <v>1.8799955449675279</v>
      </c>
      <c r="F9" s="28">
        <f t="shared" si="1"/>
        <v>4.3733126611062394</v>
      </c>
      <c r="G9" s="867">
        <f t="shared" si="6"/>
        <v>1</v>
      </c>
      <c r="H9" s="867">
        <f t="shared" si="7"/>
        <v>0.36449057933102513</v>
      </c>
      <c r="I9" s="867">
        <f t="shared" si="2"/>
        <v>24.62256024965194</v>
      </c>
      <c r="J9" s="867">
        <f t="shared" si="3"/>
        <v>0</v>
      </c>
      <c r="K9" s="868">
        <f t="shared" si="4"/>
        <v>278.88024045723472</v>
      </c>
      <c r="L9" s="389">
        <f t="shared" si="5"/>
        <v>0</v>
      </c>
      <c r="N9" s="814"/>
    </row>
    <row r="10" spans="1:14" ht="15" customHeight="1">
      <c r="A10" s="801" t="s">
        <v>8495</v>
      </c>
      <c r="B10" s="813">
        <v>307.81</v>
      </c>
      <c r="C10" s="836">
        <v>14</v>
      </c>
      <c r="D10" s="581">
        <v>0</v>
      </c>
      <c r="E10" s="28">
        <f t="shared" si="0"/>
        <v>9.2689609616447899E-2</v>
      </c>
      <c r="F10" s="28">
        <f t="shared" si="1"/>
        <v>0.21561787440065863</v>
      </c>
      <c r="G10" s="867">
        <f t="shared" si="6"/>
        <v>1</v>
      </c>
      <c r="H10" s="867">
        <f t="shared" si="7"/>
        <v>0.36449057933102513</v>
      </c>
      <c r="I10" s="867">
        <f t="shared" si="2"/>
        <v>55.053291644556033</v>
      </c>
      <c r="J10" s="867">
        <f t="shared" si="3"/>
        <v>0</v>
      </c>
      <c r="K10" s="868">
        <f t="shared" si="4"/>
        <v>1.5157106140923582</v>
      </c>
      <c r="L10" s="389">
        <f t="shared" si="5"/>
        <v>0</v>
      </c>
      <c r="N10" s="814"/>
    </row>
    <row r="11" spans="1:14" ht="15" customHeight="1">
      <c r="A11" s="801" t="s">
        <v>8384</v>
      </c>
      <c r="B11" s="813">
        <v>1605.57</v>
      </c>
      <c r="C11" s="836">
        <v>105</v>
      </c>
      <c r="D11" s="581">
        <v>0</v>
      </c>
      <c r="E11" s="28">
        <f t="shared" si="0"/>
        <v>0.22748118979811333</v>
      </c>
      <c r="F11" s="28">
        <f t="shared" si="1"/>
        <v>0.5291748537227432</v>
      </c>
      <c r="G11" s="867">
        <f t="shared" si="6"/>
        <v>1</v>
      </c>
      <c r="H11" s="867">
        <f t="shared" si="7"/>
        <v>0.36449057933102513</v>
      </c>
      <c r="I11" s="867">
        <f t="shared" si="2"/>
        <v>168.240331711484</v>
      </c>
      <c r="J11" s="867">
        <f t="shared" si="3"/>
        <v>0</v>
      </c>
      <c r="K11" s="868">
        <f t="shared" si="4"/>
        <v>27.899215616788037</v>
      </c>
      <c r="L11" s="389">
        <f t="shared" si="5"/>
        <v>0</v>
      </c>
      <c r="N11" s="814"/>
    </row>
    <row r="12" spans="1:14" ht="15" customHeight="1">
      <c r="A12" s="801" t="s">
        <v>6027</v>
      </c>
      <c r="B12" s="813">
        <v>1302.31</v>
      </c>
      <c r="C12" s="836">
        <v>467</v>
      </c>
      <c r="D12" s="581">
        <v>8</v>
      </c>
      <c r="E12" s="28">
        <f t="shared" si="0"/>
        <v>0</v>
      </c>
      <c r="F12" s="28">
        <f t="shared" si="1"/>
        <v>0</v>
      </c>
      <c r="G12" s="867">
        <f t="shared" si="6"/>
        <v>1</v>
      </c>
      <c r="H12" s="867">
        <f t="shared" si="7"/>
        <v>0.36449057933102513</v>
      </c>
      <c r="I12" s="867">
        <f t="shared" si="2"/>
        <v>0</v>
      </c>
      <c r="J12" s="867">
        <f t="shared" si="3"/>
        <v>0</v>
      </c>
      <c r="K12" s="868">
        <f t="shared" si="4"/>
        <v>0</v>
      </c>
      <c r="L12" s="389">
        <f t="shared" si="5"/>
        <v>0</v>
      </c>
      <c r="N12" s="814"/>
    </row>
    <row r="13" spans="1:14" ht="15" customHeight="1">
      <c r="A13" s="801" t="s">
        <v>8396</v>
      </c>
      <c r="B13" s="813">
        <v>304.75</v>
      </c>
      <c r="C13" s="836">
        <v>14324</v>
      </c>
      <c r="D13" s="581">
        <v>47</v>
      </c>
      <c r="E13" s="28">
        <f t="shared" si="0"/>
        <v>6.8941847957511041E-3</v>
      </c>
      <c r="F13" s="28">
        <f t="shared" si="1"/>
        <v>6.6928949048998499E-3</v>
      </c>
      <c r="G13" s="867">
        <f t="shared" si="6"/>
        <v>1</v>
      </c>
      <c r="H13" s="867">
        <f t="shared" si="7"/>
        <v>0.36449057933102513</v>
      </c>
      <c r="I13" s="867">
        <f t="shared" si="2"/>
        <v>757299.55216101708</v>
      </c>
      <c r="J13" s="867">
        <f t="shared" si="3"/>
        <v>2559.588559506079</v>
      </c>
      <c r="K13" s="868">
        <f t="shared" si="4"/>
        <v>2.5316326089321821</v>
      </c>
      <c r="L13" s="389">
        <f t="shared" si="5"/>
        <v>8.3068090351726166E-3</v>
      </c>
      <c r="N13" s="814"/>
    </row>
    <row r="14" spans="1:14" ht="15" customHeight="1">
      <c r="A14" s="801" t="s">
        <v>8386</v>
      </c>
      <c r="B14" s="813">
        <v>302.55</v>
      </c>
      <c r="C14" s="836">
        <v>222</v>
      </c>
      <c r="D14" s="581">
        <v>58</v>
      </c>
      <c r="E14" s="28">
        <f t="shared" si="0"/>
        <v>1.1594669785600406E-2</v>
      </c>
      <c r="F14" s="28">
        <f t="shared" si="1"/>
        <v>1.1256139577208224E-2</v>
      </c>
      <c r="G14" s="867">
        <f t="shared" si="6"/>
        <v>1</v>
      </c>
      <c r="H14" s="867">
        <f t="shared" si="7"/>
        <v>0.36449057933102513</v>
      </c>
      <c r="I14" s="867">
        <f t="shared" si="2"/>
        <v>6978.8023382933688</v>
      </c>
      <c r="J14" s="867">
        <f t="shared" si="3"/>
        <v>1878.1264621136447</v>
      </c>
      <c r="K14" s="868">
        <f t="shared" si="4"/>
        <v>6.5987975930827045E-2</v>
      </c>
      <c r="L14" s="389">
        <f t="shared" si="5"/>
        <v>1.7240101819765624E-2</v>
      </c>
      <c r="N14" s="814"/>
    </row>
    <row r="15" spans="1:14" ht="15" customHeight="1">
      <c r="A15" s="801" t="s">
        <v>8460</v>
      </c>
      <c r="B15" s="813">
        <v>303.67</v>
      </c>
      <c r="C15" s="836">
        <v>21</v>
      </c>
      <c r="D15" s="581">
        <v>373</v>
      </c>
      <c r="E15" s="28">
        <f t="shared" si="0"/>
        <v>7.4948970437306497E-3</v>
      </c>
      <c r="F15" s="28">
        <f t="shared" si="1"/>
        <v>7.2760681244937141E-3</v>
      </c>
      <c r="G15" s="867">
        <f t="shared" si="6"/>
        <v>1</v>
      </c>
      <c r="H15" s="867">
        <f t="shared" si="7"/>
        <v>0.36449057933102513</v>
      </c>
      <c r="I15" s="867">
        <f t="shared" si="2"/>
        <v>1021.2684872508313</v>
      </c>
      <c r="J15" s="867">
        <f t="shared" si="3"/>
        <v>18685.227208470158</v>
      </c>
      <c r="K15" s="868">
        <f t="shared" si="4"/>
        <v>4.0349523881848095E-3</v>
      </c>
      <c r="L15" s="389">
        <f t="shared" si="5"/>
        <v>7.1668440037758754E-2</v>
      </c>
      <c r="N15" s="814"/>
    </row>
    <row r="16" spans="1:14" ht="15" customHeight="1">
      <c r="A16" s="801" t="s">
        <v>8388</v>
      </c>
      <c r="B16" s="813">
        <v>304.94</v>
      </c>
      <c r="C16" s="836">
        <v>2417</v>
      </c>
      <c r="D16" s="581">
        <v>239</v>
      </c>
      <c r="E16" s="28">
        <f t="shared" si="0"/>
        <v>4.1058606686296831E-3</v>
      </c>
      <c r="F16" s="28">
        <f t="shared" si="1"/>
        <v>3.9859816299435899E-3</v>
      </c>
      <c r="G16" s="867">
        <f t="shared" si="6"/>
        <v>1</v>
      </c>
      <c r="H16" s="867">
        <f t="shared" si="7"/>
        <v>0.36449057933102513</v>
      </c>
      <c r="I16" s="867">
        <f t="shared" si="2"/>
        <v>214564.93567208888</v>
      </c>
      <c r="J16" s="867">
        <f t="shared" si="3"/>
        <v>21854.904650262484</v>
      </c>
      <c r="K16" s="868">
        <f t="shared" si="4"/>
        <v>0.25441007522280723</v>
      </c>
      <c r="L16" s="389">
        <f t="shared" si="5"/>
        <v>2.515680925868884E-2</v>
      </c>
      <c r="N16" s="814"/>
    </row>
    <row r="17" spans="1:14" ht="15" customHeight="1">
      <c r="A17" s="801" t="s">
        <v>6028</v>
      </c>
      <c r="B17" s="813">
        <v>302.31</v>
      </c>
      <c r="C17" s="836">
        <v>339</v>
      </c>
      <c r="D17" s="581">
        <v>384</v>
      </c>
      <c r="E17" s="28">
        <f t="shared" si="0"/>
        <v>1.2834782290045553E-2</v>
      </c>
      <c r="F17" s="28">
        <f t="shared" si="1"/>
        <v>1.253278001276923E-2</v>
      </c>
      <c r="G17" s="867">
        <f t="shared" si="6"/>
        <v>1</v>
      </c>
      <c r="H17" s="867">
        <f t="shared" si="7"/>
        <v>0.36449057933102513</v>
      </c>
      <c r="I17" s="867">
        <f t="shared" si="2"/>
        <v>9627.1447073200779</v>
      </c>
      <c r="J17" s="867">
        <f t="shared" si="3"/>
        <v>11167.863979141788</v>
      </c>
      <c r="K17" s="868">
        <f t="shared" si="4"/>
        <v>2.9327897982751763</v>
      </c>
      <c r="L17" s="389">
        <f t="shared" si="5"/>
        <v>3.3220981785771908</v>
      </c>
      <c r="N17" s="814"/>
    </row>
    <row r="18" spans="1:14" ht="15" customHeight="1">
      <c r="A18" s="801" t="s">
        <v>6029</v>
      </c>
      <c r="B18" s="813">
        <v>303.41000000000003</v>
      </c>
      <c r="C18" s="836">
        <v>4360</v>
      </c>
      <c r="D18" s="581">
        <v>500</v>
      </c>
      <c r="E18" s="28">
        <f t="shared" si="0"/>
        <v>1.1756660577681727E-2</v>
      </c>
      <c r="F18" s="28">
        <f t="shared" si="1"/>
        <v>1.1480026491696615E-2</v>
      </c>
      <c r="G18" s="867">
        <f t="shared" si="6"/>
        <v>1</v>
      </c>
      <c r="H18" s="867">
        <f t="shared" si="7"/>
        <v>0.36449057933102513</v>
      </c>
      <c r="I18" s="867">
        <f t="shared" si="2"/>
        <v>135172.6466357368</v>
      </c>
      <c r="J18" s="867">
        <f t="shared" si="3"/>
        <v>15874.988598443453</v>
      </c>
      <c r="K18" s="868">
        <f t="shared" si="4"/>
        <v>34.551205264777188</v>
      </c>
      <c r="L18" s="389">
        <f t="shared" si="5"/>
        <v>3.9622941817405035</v>
      </c>
      <c r="N18" s="814"/>
    </row>
    <row r="19" spans="1:14" ht="15" customHeight="1">
      <c r="A19" s="801" t="s">
        <v>8389</v>
      </c>
      <c r="B19" s="813">
        <v>302.42</v>
      </c>
      <c r="C19" s="836">
        <v>21</v>
      </c>
      <c r="D19" s="581">
        <v>83</v>
      </c>
      <c r="E19" s="28">
        <f t="shared" si="0"/>
        <v>0.34723191358842476</v>
      </c>
      <c r="F19" s="28">
        <f t="shared" si="1"/>
        <v>0.34723191358842476</v>
      </c>
      <c r="G19" s="867">
        <f t="shared" si="6"/>
        <v>1</v>
      </c>
      <c r="H19" s="867">
        <f t="shared" si="7"/>
        <v>0.36449057933102513</v>
      </c>
      <c r="I19" s="867">
        <f t="shared" si="2"/>
        <v>22.043774971168691</v>
      </c>
      <c r="J19" s="867">
        <f t="shared" si="3"/>
        <v>87.125396314619124</v>
      </c>
      <c r="K19" s="868">
        <f t="shared" si="4"/>
        <v>0</v>
      </c>
      <c r="L19" s="389">
        <f t="shared" si="5"/>
        <v>0</v>
      </c>
      <c r="N19" s="814"/>
    </row>
    <row r="20" spans="1:14" ht="15" customHeight="1">
      <c r="A20" t="s">
        <v>9124</v>
      </c>
      <c r="B20">
        <v>303.58999999999997</v>
      </c>
      <c r="C20" s="836">
        <v>806</v>
      </c>
      <c r="D20" s="581">
        <v>17590</v>
      </c>
      <c r="E20" s="28">
        <f t="shared" si="0"/>
        <v>0.33794442342187225</v>
      </c>
      <c r="F20" s="28">
        <f t="shared" si="1"/>
        <v>0.23241424117089815</v>
      </c>
      <c r="G20" s="867">
        <f t="shared" si="6"/>
        <v>1</v>
      </c>
      <c r="H20" s="867">
        <f t="shared" si="7"/>
        <v>0.36449057933102513</v>
      </c>
      <c r="I20" s="867">
        <f t="shared" si="2"/>
        <v>869.31278216142448</v>
      </c>
      <c r="J20" s="867">
        <f t="shared" si="3"/>
        <v>27586.043170729492</v>
      </c>
      <c r="K20" s="868">
        <f t="shared" si="4"/>
        <v>834.67770314205393</v>
      </c>
      <c r="L20" s="389">
        <f t="shared" si="5"/>
        <v>18215.857069812319</v>
      </c>
      <c r="N20" s="814"/>
    </row>
    <row r="21" spans="1:14" ht="15" customHeight="1">
      <c r="A21" s="801" t="s">
        <v>6030</v>
      </c>
      <c r="B21" s="813">
        <v>1604.16</v>
      </c>
      <c r="C21" s="836">
        <v>833</v>
      </c>
      <c r="D21" s="581">
        <v>0</v>
      </c>
      <c r="E21" s="28">
        <f t="shared" si="0"/>
        <v>0.21333832698801863</v>
      </c>
      <c r="F21" s="28">
        <f t="shared" si="1"/>
        <v>0.21333832698801863</v>
      </c>
      <c r="G21" s="867">
        <f t="shared" si="6"/>
        <v>1</v>
      </c>
      <c r="H21" s="867">
        <f t="shared" si="7"/>
        <v>0.36449057933102513</v>
      </c>
      <c r="I21" s="867">
        <f t="shared" si="2"/>
        <v>1423.1884953320914</v>
      </c>
      <c r="J21" s="867">
        <f t="shared" si="3"/>
        <v>0</v>
      </c>
      <c r="K21" s="868">
        <f t="shared" si="4"/>
        <v>0</v>
      </c>
      <c r="L21" s="389">
        <f t="shared" si="5"/>
        <v>0</v>
      </c>
      <c r="N21" s="814"/>
    </row>
    <row r="22" spans="1:14" ht="15" customHeight="1">
      <c r="A22" s="801" t="s">
        <v>877</v>
      </c>
      <c r="B22" s="813">
        <v>305.63</v>
      </c>
      <c r="C22" s="836">
        <v>16</v>
      </c>
      <c r="D22" s="581">
        <v>0</v>
      </c>
      <c r="E22" s="28">
        <f t="shared" si="0"/>
        <v>0.26667290873502325</v>
      </c>
      <c r="F22" s="28">
        <f t="shared" si="1"/>
        <v>0.26667290873502325</v>
      </c>
      <c r="G22" s="867">
        <f t="shared" si="6"/>
        <v>1</v>
      </c>
      <c r="H22" s="867">
        <f t="shared" si="7"/>
        <v>0.36449057933102513</v>
      </c>
      <c r="I22" s="867">
        <f t="shared" si="2"/>
        <v>21.868922857443906</v>
      </c>
      <c r="J22" s="867">
        <f t="shared" si="3"/>
        <v>0</v>
      </c>
      <c r="K22" s="868">
        <f t="shared" si="4"/>
        <v>0</v>
      </c>
      <c r="L22" s="389">
        <f t="shared" si="5"/>
        <v>0</v>
      </c>
      <c r="N22" s="814"/>
    </row>
    <row r="23" spans="1:14" ht="15" customHeight="1">
      <c r="A23" s="801" t="s">
        <v>8390</v>
      </c>
      <c r="B23" s="813">
        <v>302.14</v>
      </c>
      <c r="C23" s="836">
        <v>10447</v>
      </c>
      <c r="D23" s="581">
        <v>77960</v>
      </c>
      <c r="E23" s="28">
        <f t="shared" si="0"/>
        <v>4.9683117705865143E-2</v>
      </c>
      <c r="F23" s="28">
        <f t="shared" si="1"/>
        <v>7.0216628396182285E-2</v>
      </c>
      <c r="G23" s="867">
        <f t="shared" si="6"/>
        <v>1</v>
      </c>
      <c r="H23" s="867">
        <f t="shared" si="7"/>
        <v>0.36449057933102513</v>
      </c>
      <c r="I23" s="867">
        <f t="shared" si="2"/>
        <v>76642.39399818705</v>
      </c>
      <c r="J23" s="867">
        <f t="shared" si="3"/>
        <v>404685.98697615188</v>
      </c>
      <c r="K23" s="868">
        <f t="shared" si="4"/>
        <v>2977.1087668829132</v>
      </c>
      <c r="L23" s="389">
        <f t="shared" si="5"/>
        <v>22216.4640055702</v>
      </c>
      <c r="N23" s="814"/>
    </row>
    <row r="24" spans="1:14" ht="15" customHeight="1">
      <c r="A24" s="801" t="s">
        <v>6031</v>
      </c>
      <c r="B24" s="813">
        <v>303.13</v>
      </c>
      <c r="C24" s="836">
        <v>321</v>
      </c>
      <c r="D24" s="581">
        <v>228</v>
      </c>
      <c r="E24" s="28">
        <f t="shared" si="0"/>
        <v>0</v>
      </c>
      <c r="F24" s="28">
        <f t="shared" si="1"/>
        <v>0</v>
      </c>
      <c r="G24" s="867">
        <f t="shared" si="6"/>
        <v>1</v>
      </c>
      <c r="H24" s="867">
        <f t="shared" si="7"/>
        <v>0.36449057933102513</v>
      </c>
      <c r="I24" s="867">
        <f t="shared" si="2"/>
        <v>0</v>
      </c>
      <c r="J24" s="867">
        <f t="shared" si="3"/>
        <v>0</v>
      </c>
      <c r="K24" s="868">
        <f t="shared" si="4"/>
        <v>0</v>
      </c>
      <c r="L24" s="389">
        <f t="shared" si="5"/>
        <v>0</v>
      </c>
      <c r="N24" s="814"/>
    </row>
    <row r="25" spans="1:14" ht="15" customHeight="1">
      <c r="A25" s="801" t="s">
        <v>3688</v>
      </c>
      <c r="B25" s="813">
        <v>302.33999999999997</v>
      </c>
      <c r="C25" s="836">
        <v>172</v>
      </c>
      <c r="D25" s="581">
        <v>202</v>
      </c>
      <c r="E25" s="28">
        <f t="shared" si="0"/>
        <v>1.2412014967991688E-2</v>
      </c>
      <c r="F25" s="28">
        <f t="shared" si="1"/>
        <v>1.2119960400862136E-2</v>
      </c>
      <c r="G25" s="867">
        <f t="shared" si="6"/>
        <v>1</v>
      </c>
      <c r="H25" s="867">
        <f t="shared" si="7"/>
        <v>0.36449057933102513</v>
      </c>
      <c r="I25" s="867">
        <f t="shared" si="2"/>
        <v>5050.9429618485383</v>
      </c>
      <c r="J25" s="867">
        <f t="shared" si="3"/>
        <v>6074.8628369800381</v>
      </c>
      <c r="K25" s="868">
        <f t="shared" si="4"/>
        <v>1.4390088666794059</v>
      </c>
      <c r="L25" s="389">
        <f t="shared" si="5"/>
        <v>1.689998785286279</v>
      </c>
      <c r="N25" s="814"/>
    </row>
    <row r="26" spans="1:14" ht="15" customHeight="1">
      <c r="A26" s="801" t="s">
        <v>6032</v>
      </c>
      <c r="B26" s="813">
        <v>303.44</v>
      </c>
      <c r="C26" s="836">
        <v>804</v>
      </c>
      <c r="D26" s="581">
        <v>0</v>
      </c>
      <c r="E26" s="28">
        <f t="shared" si="0"/>
        <v>1.1918755654584069E-2</v>
      </c>
      <c r="F26" s="28">
        <f t="shared" si="1"/>
        <v>1.1638307473333954E-2</v>
      </c>
      <c r="G26" s="867">
        <f t="shared" si="6"/>
        <v>1</v>
      </c>
      <c r="H26" s="867">
        <f t="shared" si="7"/>
        <v>0.36449057933102513</v>
      </c>
      <c r="I26" s="867">
        <f t="shared" si="2"/>
        <v>24587.333969669406</v>
      </c>
      <c r="J26" s="867">
        <f t="shared" si="3"/>
        <v>0</v>
      </c>
      <c r="K26" s="868">
        <f t="shared" si="4"/>
        <v>6.4592143595283131</v>
      </c>
      <c r="L26" s="389">
        <f t="shared" si="5"/>
        <v>0</v>
      </c>
      <c r="N26" s="814"/>
    </row>
    <row r="27" spans="1:14" ht="15" customHeight="1">
      <c r="A27" s="801" t="s">
        <v>8391</v>
      </c>
      <c r="B27" s="813">
        <v>302.56</v>
      </c>
      <c r="C27" s="836">
        <v>47</v>
      </c>
      <c r="D27" s="581">
        <v>0</v>
      </c>
      <c r="E27" s="28">
        <f t="shared" si="0"/>
        <v>1.3565763649152475E-2</v>
      </c>
      <c r="F27" s="28">
        <f t="shared" si="1"/>
        <v>1.3169683305333621E-2</v>
      </c>
      <c r="G27" s="867">
        <f t="shared" si="6"/>
        <v>1</v>
      </c>
      <c r="H27" s="867">
        <f t="shared" si="7"/>
        <v>0.36449057933102513</v>
      </c>
      <c r="I27" s="867">
        <f t="shared" si="2"/>
        <v>1262.8155459297311</v>
      </c>
      <c r="J27" s="867">
        <f t="shared" si="3"/>
        <v>0</v>
      </c>
      <c r="K27" s="868">
        <f t="shared" si="4"/>
        <v>1.6345399983946751E-2</v>
      </c>
      <c r="L27" s="389">
        <f t="shared" si="5"/>
        <v>0</v>
      </c>
      <c r="N27" s="814"/>
    </row>
    <row r="28" spans="1:14" ht="15" customHeight="1">
      <c r="A28" s="801" t="s">
        <v>8392</v>
      </c>
      <c r="B28" s="813">
        <v>303.68</v>
      </c>
      <c r="C28" s="836">
        <v>5</v>
      </c>
      <c r="D28" s="581">
        <v>0</v>
      </c>
      <c r="E28" s="28">
        <f t="shared" si="0"/>
        <v>1.3565763649152475E-2</v>
      </c>
      <c r="F28" s="28">
        <f t="shared" si="1"/>
        <v>1.3169683305333621E-2</v>
      </c>
      <c r="G28" s="867">
        <f t="shared" si="6"/>
        <v>1</v>
      </c>
      <c r="H28" s="867">
        <f t="shared" si="7"/>
        <v>0.36449057933102513</v>
      </c>
      <c r="I28" s="867">
        <f t="shared" si="2"/>
        <v>134.34207935422671</v>
      </c>
      <c r="J28" s="867">
        <f t="shared" si="3"/>
        <v>0</v>
      </c>
      <c r="K28" s="868">
        <f t="shared" si="4"/>
        <v>1.7388723387177392E-3</v>
      </c>
      <c r="L28" s="389">
        <f t="shared" si="5"/>
        <v>0</v>
      </c>
      <c r="N28" s="814"/>
    </row>
    <row r="29" spans="1:14" ht="15" customHeight="1">
      <c r="A29" s="801" t="s">
        <v>8510</v>
      </c>
      <c r="B29" s="813">
        <v>302.35000000000002</v>
      </c>
      <c r="C29" s="836">
        <v>166</v>
      </c>
      <c r="D29" s="581">
        <v>177</v>
      </c>
      <c r="E29" s="28">
        <f t="shared" si="0"/>
        <v>7.4049930155459139E-3</v>
      </c>
      <c r="F29" s="28">
        <f t="shared" si="1"/>
        <v>7.2307536164370875E-3</v>
      </c>
      <c r="G29" s="867">
        <f t="shared" si="6"/>
        <v>1</v>
      </c>
      <c r="H29" s="867">
        <f t="shared" si="7"/>
        <v>0.36449057933102513</v>
      </c>
      <c r="I29" s="867">
        <f t="shared" si="2"/>
        <v>8170.8971287246468</v>
      </c>
      <c r="J29" s="867">
        <f t="shared" si="3"/>
        <v>8922.2833419375675</v>
      </c>
      <c r="K29" s="868">
        <f t="shared" si="4"/>
        <v>0.82856288159007818</v>
      </c>
      <c r="L29" s="389">
        <f t="shared" si="5"/>
        <v>0.88346765085207124</v>
      </c>
      <c r="N29" s="814"/>
    </row>
    <row r="30" spans="1:14" ht="15" customHeight="1">
      <c r="A30" s="801" t="s">
        <v>8511</v>
      </c>
      <c r="B30" s="813">
        <v>303.45</v>
      </c>
      <c r="C30" s="836">
        <v>62</v>
      </c>
      <c r="D30" s="581">
        <v>0</v>
      </c>
      <c r="E30" s="28">
        <f t="shared" si="0"/>
        <v>8.0746295176385482E-3</v>
      </c>
      <c r="F30" s="28">
        <f t="shared" si="1"/>
        <v>7.8846335794619596E-3</v>
      </c>
      <c r="G30" s="867">
        <f t="shared" si="6"/>
        <v>1</v>
      </c>
      <c r="H30" s="867">
        <f t="shared" si="7"/>
        <v>0.36449057933102513</v>
      </c>
      <c r="I30" s="867">
        <f t="shared" si="2"/>
        <v>2798.6938433718428</v>
      </c>
      <c r="J30" s="867">
        <f t="shared" si="3"/>
        <v>0</v>
      </c>
      <c r="K30" s="868">
        <f t="shared" si="4"/>
        <v>0.33744813086251535</v>
      </c>
      <c r="L30" s="389">
        <f t="shared" si="5"/>
        <v>0</v>
      </c>
      <c r="N30" s="814"/>
    </row>
    <row r="31" spans="1:14" ht="15" customHeight="1">
      <c r="A31" s="801" t="s">
        <v>8512</v>
      </c>
      <c r="B31" s="813">
        <v>301.94</v>
      </c>
      <c r="C31" s="836">
        <v>9</v>
      </c>
      <c r="D31" s="581">
        <v>165</v>
      </c>
      <c r="E31" s="28">
        <f t="shared" si="0"/>
        <v>1.4695825722102158E-2</v>
      </c>
      <c r="F31" s="28">
        <f t="shared" si="1"/>
        <v>1.4350033114620768E-2</v>
      </c>
      <c r="G31" s="867">
        <f t="shared" si="6"/>
        <v>1</v>
      </c>
      <c r="H31" s="867">
        <f t="shared" si="7"/>
        <v>0.36449057933102513</v>
      </c>
      <c r="I31" s="867">
        <f t="shared" si="2"/>
        <v>223.22088435259295</v>
      </c>
      <c r="J31" s="867">
        <f t="shared" si="3"/>
        <v>4190.9969899890721</v>
      </c>
      <c r="K31" s="868">
        <f t="shared" si="4"/>
        <v>8.9151619089161332E-2</v>
      </c>
      <c r="L31" s="389">
        <f t="shared" si="5"/>
        <v>1.6344463499679576</v>
      </c>
      <c r="N31" s="814"/>
    </row>
    <row r="32" spans="1:14" ht="15" customHeight="1">
      <c r="A32" s="801" t="s">
        <v>8393</v>
      </c>
      <c r="B32" s="813">
        <v>302.73</v>
      </c>
      <c r="C32" s="836">
        <v>354</v>
      </c>
      <c r="D32" s="581">
        <v>4</v>
      </c>
      <c r="E32" s="28">
        <f t="shared" si="0"/>
        <v>1.8774072416002483</v>
      </c>
      <c r="F32" s="28">
        <f t="shared" si="1"/>
        <v>0.59528063249852869</v>
      </c>
      <c r="G32" s="867">
        <f t="shared" si="6"/>
        <v>1</v>
      </c>
      <c r="H32" s="867">
        <f t="shared" si="7"/>
        <v>0.36449057933102513</v>
      </c>
      <c r="I32" s="867">
        <f t="shared" si="2"/>
        <v>68.727584630600276</v>
      </c>
      <c r="J32" s="867">
        <f t="shared" si="3"/>
        <v>2.4492016667915095</v>
      </c>
      <c r="K32" s="868">
        <f t="shared" si="4"/>
        <v>145.37341357095119</v>
      </c>
      <c r="L32" s="389">
        <f t="shared" si="5"/>
        <v>1.6426374414796745</v>
      </c>
      <c r="N32" s="814"/>
    </row>
    <row r="33" spans="1:14" ht="15" customHeight="1">
      <c r="A33" s="801" t="s">
        <v>8394</v>
      </c>
      <c r="B33" s="813">
        <v>303.25</v>
      </c>
      <c r="C33" s="836">
        <v>454</v>
      </c>
      <c r="D33" s="581">
        <v>182</v>
      </c>
      <c r="E33" s="28">
        <f t="shared" si="0"/>
        <v>1.7276871561455089</v>
      </c>
      <c r="F33" s="28">
        <f t="shared" si="1"/>
        <v>0.54780799832925642</v>
      </c>
      <c r="G33" s="867">
        <f t="shared" si="6"/>
        <v>1</v>
      </c>
      <c r="H33" s="867">
        <f t="shared" si="7"/>
        <v>0.36449057933102513</v>
      </c>
      <c r="I33" s="867">
        <f t="shared" si="2"/>
        <v>95.78049036694263</v>
      </c>
      <c r="J33" s="867">
        <f t="shared" si="3"/>
        <v>121.09586869955663</v>
      </c>
      <c r="K33" s="868">
        <f t="shared" si="4"/>
        <v>171.57112350499352</v>
      </c>
      <c r="L33" s="389">
        <f t="shared" si="5"/>
        <v>68.779613387464366</v>
      </c>
      <c r="N33" s="814"/>
    </row>
    <row r="34" spans="1:14" ht="15" customHeight="1">
      <c r="A34" s="801" t="s">
        <v>6036</v>
      </c>
      <c r="B34" s="813">
        <v>301.93</v>
      </c>
      <c r="C34" s="836">
        <v>67</v>
      </c>
      <c r="D34" s="581">
        <v>0</v>
      </c>
      <c r="E34" s="28">
        <f t="shared" si="0"/>
        <v>2.7253283411782552</v>
      </c>
      <c r="F34" s="28">
        <f t="shared" si="1"/>
        <v>0.86413599711052858</v>
      </c>
      <c r="G34" s="867">
        <f t="shared" si="6"/>
        <v>1</v>
      </c>
      <c r="H34" s="867">
        <f t="shared" si="7"/>
        <v>0.36449057933102513</v>
      </c>
      <c r="I34" s="867">
        <f t="shared" si="2"/>
        <v>8.9607070260828401</v>
      </c>
      <c r="J34" s="867">
        <f t="shared" si="3"/>
        <v>0</v>
      </c>
      <c r="K34" s="868">
        <f t="shared" si="4"/>
        <v>39.940810440767834</v>
      </c>
      <c r="L34" s="389">
        <f t="shared" si="5"/>
        <v>0</v>
      </c>
      <c r="N34" s="814"/>
    </row>
    <row r="35" spans="1:14" ht="15" customHeight="1">
      <c r="A35" s="801" t="s">
        <v>8382</v>
      </c>
      <c r="B35" s="813">
        <v>304.39</v>
      </c>
      <c r="C35" s="836">
        <v>6</v>
      </c>
      <c r="D35" s="581">
        <v>33</v>
      </c>
      <c r="E35" s="28">
        <f t="shared" si="0"/>
        <v>1.3850246620177957</v>
      </c>
      <c r="F35" s="28">
        <f t="shared" si="1"/>
        <v>0.43915797199613038</v>
      </c>
      <c r="G35" s="867">
        <f t="shared" si="6"/>
        <v>1</v>
      </c>
      <c r="H35" s="867">
        <f t="shared" si="7"/>
        <v>0.36449057933102513</v>
      </c>
      <c r="I35" s="867">
        <f t="shared" si="2"/>
        <v>1.5789924439324181</v>
      </c>
      <c r="J35" s="867">
        <f t="shared" si="3"/>
        <v>27.389208177757538</v>
      </c>
      <c r="K35" s="868">
        <f t="shared" si="4"/>
        <v>1.8177409648723351</v>
      </c>
      <c r="L35" s="389">
        <f t="shared" si="5"/>
        <v>9.9975753067978417</v>
      </c>
      <c r="N35" s="814"/>
    </row>
    <row r="36" spans="1:14" ht="15" customHeight="1">
      <c r="A36" s="801" t="s">
        <v>8397</v>
      </c>
      <c r="B36" s="813">
        <v>304.69</v>
      </c>
      <c r="C36" s="836">
        <v>68</v>
      </c>
      <c r="D36" s="581">
        <v>199</v>
      </c>
      <c r="E36" s="28">
        <f t="shared" si="0"/>
        <v>1.3850246620177957</v>
      </c>
      <c r="F36" s="28">
        <f t="shared" si="1"/>
        <v>0.43915797199613038</v>
      </c>
      <c r="G36" s="867">
        <f t="shared" si="6"/>
        <v>1</v>
      </c>
      <c r="H36" s="867">
        <f t="shared" si="7"/>
        <v>0.36449057933102513</v>
      </c>
      <c r="I36" s="867">
        <f t="shared" si="2"/>
        <v>17.895247697900739</v>
      </c>
      <c r="J36" s="867">
        <f t="shared" si="3"/>
        <v>165.16522507193181</v>
      </c>
      <c r="K36" s="868">
        <f t="shared" si="4"/>
        <v>20.601064268553131</v>
      </c>
      <c r="L36" s="389">
        <f t="shared" si="5"/>
        <v>60.288408668265774</v>
      </c>
      <c r="N36" s="814"/>
    </row>
    <row r="37" spans="1:14" ht="15" customHeight="1">
      <c r="A37" s="801" t="s">
        <v>8406</v>
      </c>
      <c r="B37" s="813">
        <v>302.72000000000003</v>
      </c>
      <c r="C37" s="836">
        <v>28</v>
      </c>
      <c r="D37" s="581">
        <v>0</v>
      </c>
      <c r="E37" s="28">
        <f t="shared" si="0"/>
        <v>4.5798651488069199E-2</v>
      </c>
      <c r="F37" s="28">
        <f t="shared" si="1"/>
        <v>3.1497069028306734E-2</v>
      </c>
      <c r="G37" s="867">
        <f t="shared" si="6"/>
        <v>1</v>
      </c>
      <c r="H37" s="867">
        <f t="shared" si="7"/>
        <v>0.36449057933102513</v>
      </c>
      <c r="I37" s="867">
        <f t="shared" si="2"/>
        <v>222.8392297517178</v>
      </c>
      <c r="J37" s="867">
        <f t="shared" si="3"/>
        <v>0</v>
      </c>
      <c r="K37" s="868">
        <f t="shared" si="4"/>
        <v>3.9296078088855557</v>
      </c>
      <c r="L37" s="389">
        <f t="shared" si="5"/>
        <v>0</v>
      </c>
      <c r="N37" s="814"/>
    </row>
    <row r="38" spans="1:14" ht="15" customHeight="1">
      <c r="A38" s="801" t="s">
        <v>8385</v>
      </c>
      <c r="B38" s="813">
        <v>304.32</v>
      </c>
      <c r="C38" s="836">
        <v>984</v>
      </c>
      <c r="D38" s="581">
        <v>0</v>
      </c>
      <c r="E38" s="28">
        <f t="shared" si="0"/>
        <v>4.5798651488069199E-2</v>
      </c>
      <c r="F38" s="28">
        <f t="shared" si="1"/>
        <v>3.1497069028306734E-2</v>
      </c>
      <c r="G38" s="867">
        <f t="shared" si="6"/>
        <v>1</v>
      </c>
      <c r="H38" s="867">
        <f t="shared" si="7"/>
        <v>0.36449057933102513</v>
      </c>
      <c r="I38" s="867">
        <f t="shared" si="2"/>
        <v>7831.2072169889398</v>
      </c>
      <c r="J38" s="867">
        <f t="shared" si="3"/>
        <v>0</v>
      </c>
      <c r="K38" s="868">
        <f t="shared" si="4"/>
        <v>138.09764585512096</v>
      </c>
      <c r="L38" s="389">
        <f t="shared" si="5"/>
        <v>0</v>
      </c>
      <c r="N38" s="814"/>
    </row>
    <row r="39" spans="1:14" ht="15" customHeight="1">
      <c r="A39" s="801" t="s">
        <v>8398</v>
      </c>
      <c r="B39" s="813">
        <v>304.62</v>
      </c>
      <c r="C39" s="836">
        <v>8956</v>
      </c>
      <c r="D39" s="581">
        <v>0</v>
      </c>
      <c r="E39" s="28">
        <f t="shared" si="0"/>
        <v>4.5798651488069199E-2</v>
      </c>
      <c r="F39" s="28">
        <f t="shared" si="1"/>
        <v>3.1497069028306734E-2</v>
      </c>
      <c r="G39" s="867">
        <f t="shared" si="6"/>
        <v>1</v>
      </c>
      <c r="H39" s="867">
        <f t="shared" si="7"/>
        <v>0.36449057933102513</v>
      </c>
      <c r="I39" s="867">
        <f t="shared" si="2"/>
        <v>71276.719344870871</v>
      </c>
      <c r="J39" s="867">
        <f t="shared" si="3"/>
        <v>0</v>
      </c>
      <c r="K39" s="868">
        <f t="shared" si="4"/>
        <v>1256.9131262992512</v>
      </c>
      <c r="L39" s="389">
        <f t="shared" si="5"/>
        <v>0</v>
      </c>
      <c r="N39" s="814"/>
    </row>
    <row r="40" spans="1:14" ht="15" customHeight="1">
      <c r="A40" s="801" t="s">
        <v>8461</v>
      </c>
      <c r="B40" s="813">
        <v>303.24</v>
      </c>
      <c r="C40" s="836">
        <v>689</v>
      </c>
      <c r="D40" s="581">
        <v>0</v>
      </c>
      <c r="E40" s="28">
        <f t="shared" si="0"/>
        <v>4.9789233653314516E-2</v>
      </c>
      <c r="F40" s="28">
        <f t="shared" si="1"/>
        <v>3.4241508828124961E-2</v>
      </c>
      <c r="G40" s="867">
        <f t="shared" si="6"/>
        <v>1</v>
      </c>
      <c r="H40" s="867">
        <f t="shared" si="7"/>
        <v>0.36449057933102513</v>
      </c>
      <c r="I40" s="867">
        <f t="shared" si="2"/>
        <v>5043.9420479483142</v>
      </c>
      <c r="J40" s="867">
        <f t="shared" si="3"/>
        <v>0</v>
      </c>
      <c r="K40" s="868">
        <f t="shared" si="4"/>
        <v>105.12188740338348</v>
      </c>
      <c r="L40" s="389">
        <f t="shared" si="5"/>
        <v>0</v>
      </c>
      <c r="N40" s="814"/>
    </row>
    <row r="41" spans="1:14" ht="15" customHeight="1">
      <c r="A41" s="801" t="s">
        <v>8402</v>
      </c>
      <c r="B41" s="813">
        <v>1604.31</v>
      </c>
      <c r="C41" s="836">
        <v>4</v>
      </c>
      <c r="D41" s="581">
        <v>133</v>
      </c>
      <c r="E41" s="28">
        <f t="shared" si="0"/>
        <v>3.9191655803692965E-2</v>
      </c>
      <c r="F41" s="28">
        <f t="shared" si="1"/>
        <v>3.9191655803692965E-2</v>
      </c>
      <c r="G41" s="867">
        <f t="shared" si="6"/>
        <v>1</v>
      </c>
      <c r="H41" s="867">
        <f t="shared" si="7"/>
        <v>0.36449057933102513</v>
      </c>
      <c r="I41" s="867">
        <f t="shared" si="2"/>
        <v>37.200834907993837</v>
      </c>
      <c r="J41" s="867">
        <f t="shared" si="3"/>
        <v>1236.9277606907951</v>
      </c>
      <c r="K41" s="868">
        <f t="shared" si="4"/>
        <v>0</v>
      </c>
      <c r="L41" s="389">
        <f t="shared" si="5"/>
        <v>0</v>
      </c>
      <c r="N41" s="814"/>
    </row>
    <row r="42" spans="1:14" ht="15" customHeight="1">
      <c r="A42" s="801" t="s">
        <v>8403</v>
      </c>
      <c r="B42" s="813">
        <v>1604.32</v>
      </c>
      <c r="C42" s="836">
        <v>265</v>
      </c>
      <c r="D42" s="581">
        <v>20</v>
      </c>
      <c r="E42" s="28">
        <f t="shared" si="0"/>
        <v>3.9191655803692965E-2</v>
      </c>
      <c r="F42" s="28">
        <f t="shared" si="1"/>
        <v>3.9191655803692965E-2</v>
      </c>
      <c r="G42" s="867">
        <f t="shared" si="6"/>
        <v>1</v>
      </c>
      <c r="H42" s="867">
        <f t="shared" si="7"/>
        <v>0.36449057933102513</v>
      </c>
      <c r="I42" s="867">
        <f t="shared" si="2"/>
        <v>2464.5553126545915</v>
      </c>
      <c r="J42" s="867">
        <f t="shared" si="3"/>
        <v>186.0041745399692</v>
      </c>
      <c r="K42" s="868">
        <f t="shared" si="4"/>
        <v>0</v>
      </c>
      <c r="L42" s="389">
        <f t="shared" si="5"/>
        <v>0</v>
      </c>
      <c r="N42" s="814"/>
    </row>
    <row r="43" spans="1:14" ht="15" customHeight="1">
      <c r="A43" s="801" t="s">
        <v>8409</v>
      </c>
      <c r="B43" s="813">
        <v>307.79000000000002</v>
      </c>
      <c r="C43" s="836">
        <v>58</v>
      </c>
      <c r="D43" s="581">
        <v>136</v>
      </c>
      <c r="E43" s="28">
        <f t="shared" si="0"/>
        <v>0.12488588539199595</v>
      </c>
      <c r="F43" s="28">
        <f t="shared" si="1"/>
        <v>0.29051399895083913</v>
      </c>
      <c r="G43" s="867">
        <f t="shared" si="6"/>
        <v>1</v>
      </c>
      <c r="H43" s="867">
        <f t="shared" si="7"/>
        <v>0.36449057933102513</v>
      </c>
      <c r="I43" s="867">
        <f t="shared" si="2"/>
        <v>169.27816570177728</v>
      </c>
      <c r="J43" s="867">
        <f t="shared" si="3"/>
        <v>170.63108479467041</v>
      </c>
      <c r="K43" s="868">
        <f t="shared" si="4"/>
        <v>8.4605491718089496</v>
      </c>
      <c r="L43" s="389">
        <f t="shared" si="5"/>
        <v>19.838529092517536</v>
      </c>
      <c r="N43" s="814"/>
    </row>
    <row r="44" spans="1:14" ht="15" customHeight="1">
      <c r="A44" s="801" t="s">
        <v>8410</v>
      </c>
      <c r="B44" s="813">
        <v>307.70999999999998</v>
      </c>
      <c r="C44" s="836">
        <v>595</v>
      </c>
      <c r="D44" s="581">
        <v>3735</v>
      </c>
      <c r="E44" s="28">
        <f t="shared" si="0"/>
        <v>9.2689609616447899E-2</v>
      </c>
      <c r="F44" s="28">
        <f t="shared" si="1"/>
        <v>0.21561787440065863</v>
      </c>
      <c r="G44" s="867">
        <f t="shared" si="6"/>
        <v>1</v>
      </c>
      <c r="H44" s="867">
        <f t="shared" si="7"/>
        <v>0.36449057933102513</v>
      </c>
      <c r="I44" s="867">
        <f t="shared" si="2"/>
        <v>2339.7648948936312</v>
      </c>
      <c r="J44" s="867">
        <f t="shared" si="3"/>
        <v>6313.8193787760501</v>
      </c>
      <c r="K44" s="868">
        <f t="shared" si="4"/>
        <v>64.417701098925221</v>
      </c>
      <c r="L44" s="389">
        <f t="shared" si="5"/>
        <v>404.3699388310684</v>
      </c>
      <c r="N44" s="814"/>
    </row>
    <row r="45" spans="1:14" ht="15" customHeight="1">
      <c r="A45" s="801" t="s">
        <v>8477</v>
      </c>
      <c r="B45" s="813">
        <v>1605.56</v>
      </c>
      <c r="C45" s="836">
        <v>2473</v>
      </c>
      <c r="D45" s="581">
        <v>115</v>
      </c>
      <c r="E45" s="28">
        <f t="shared" si="0"/>
        <v>0.15155925375976897</v>
      </c>
      <c r="F45" s="28">
        <f t="shared" si="1"/>
        <v>0.35256253938987897</v>
      </c>
      <c r="G45" s="867">
        <f t="shared" si="6"/>
        <v>1</v>
      </c>
      <c r="H45" s="867">
        <f t="shared" si="7"/>
        <v>0.36449057933102513</v>
      </c>
      <c r="I45" s="867">
        <f t="shared" si="2"/>
        <v>5947.4111961146091</v>
      </c>
      <c r="J45" s="867">
        <f t="shared" si="3"/>
        <v>118.89072700578349</v>
      </c>
      <c r="K45" s="868">
        <f t="shared" si="4"/>
        <v>437.7879240039764</v>
      </c>
      <c r="L45" s="389">
        <f t="shared" si="5"/>
        <v>20.358112115025186</v>
      </c>
      <c r="N45" s="814"/>
    </row>
    <row r="46" spans="1:14" ht="15" customHeight="1">
      <c r="A46" t="s">
        <v>9153</v>
      </c>
      <c r="B46">
        <v>307.72000000000003</v>
      </c>
      <c r="C46" s="836">
        <v>343</v>
      </c>
      <c r="D46" s="581">
        <v>8451</v>
      </c>
      <c r="E46" s="28">
        <f t="shared" si="0"/>
        <v>0.4845349342699814</v>
      </c>
      <c r="F46" s="28">
        <f t="shared" si="1"/>
        <v>1.1271424384294431</v>
      </c>
      <c r="G46" s="867">
        <f t="shared" si="6"/>
        <v>1</v>
      </c>
      <c r="H46" s="867">
        <f t="shared" si="7"/>
        <v>0.36449057933102513</v>
      </c>
      <c r="I46" s="867">
        <f t="shared" si="2"/>
        <v>258.02116600509288</v>
      </c>
      <c r="J46" s="867">
        <f t="shared" si="3"/>
        <v>2732.8488227438124</v>
      </c>
      <c r="K46" s="868">
        <f t="shared" si="4"/>
        <v>194.12274226161117</v>
      </c>
      <c r="L46" s="389">
        <f t="shared" si="5"/>
        <v>4782.8900724573641</v>
      </c>
      <c r="N46" s="814"/>
    </row>
    <row r="47" spans="1:14" ht="15" customHeight="1">
      <c r="A47" s="801" t="s">
        <v>6038</v>
      </c>
      <c r="B47" s="813">
        <v>303.64999999999998</v>
      </c>
      <c r="C47" s="836">
        <v>62</v>
      </c>
      <c r="D47" s="581">
        <v>255</v>
      </c>
      <c r="E47" s="28">
        <f t="shared" si="0"/>
        <v>0</v>
      </c>
      <c r="F47" s="28">
        <f t="shared" si="1"/>
        <v>0</v>
      </c>
      <c r="G47" s="867">
        <f t="shared" si="6"/>
        <v>1</v>
      </c>
      <c r="H47" s="867">
        <f t="shared" si="7"/>
        <v>0.36449057933102513</v>
      </c>
      <c r="I47" s="867">
        <f t="shared" si="2"/>
        <v>0</v>
      </c>
      <c r="J47" s="867">
        <f t="shared" si="3"/>
        <v>0</v>
      </c>
      <c r="K47" s="868">
        <f t="shared" si="4"/>
        <v>0</v>
      </c>
      <c r="L47" s="389">
        <f t="shared" si="5"/>
        <v>0</v>
      </c>
      <c r="N47" s="814"/>
    </row>
    <row r="48" spans="1:14" ht="15" customHeight="1">
      <c r="A48" s="801" t="s">
        <v>8407</v>
      </c>
      <c r="B48" s="813">
        <v>304.73</v>
      </c>
      <c r="C48" s="836">
        <v>87</v>
      </c>
      <c r="D48" s="581">
        <v>0</v>
      </c>
      <c r="E48" s="28">
        <f t="shared" si="0"/>
        <v>7.2599002164652543E-3</v>
      </c>
      <c r="F48" s="28">
        <f t="shared" si="1"/>
        <v>7.2599002164652543E-3</v>
      </c>
      <c r="G48" s="867">
        <f t="shared" si="6"/>
        <v>1</v>
      </c>
      <c r="H48" s="867">
        <f t="shared" si="7"/>
        <v>0.36449057933102513</v>
      </c>
      <c r="I48" s="867">
        <f t="shared" si="2"/>
        <v>4367.9223482824509</v>
      </c>
      <c r="J48" s="867">
        <f t="shared" si="3"/>
        <v>0</v>
      </c>
      <c r="K48" s="868">
        <f t="shared" si="4"/>
        <v>0</v>
      </c>
      <c r="L48" s="389">
        <f t="shared" si="5"/>
        <v>0</v>
      </c>
      <c r="N48" s="814"/>
    </row>
    <row r="49" spans="1:14" ht="15" customHeight="1">
      <c r="A49" s="801" t="s">
        <v>8408</v>
      </c>
      <c r="B49" s="813">
        <v>302.52999999999997</v>
      </c>
      <c r="C49" s="836">
        <v>252</v>
      </c>
      <c r="D49" s="581">
        <v>0</v>
      </c>
      <c r="E49" s="28">
        <f t="shared" si="0"/>
        <v>7.9656409919715669E-3</v>
      </c>
      <c r="F49" s="28">
        <f t="shared" si="1"/>
        <v>7.9656409919715669E-3</v>
      </c>
      <c r="G49" s="867">
        <f t="shared" si="6"/>
        <v>1</v>
      </c>
      <c r="H49" s="867">
        <f t="shared" si="7"/>
        <v>0.36449057933102513</v>
      </c>
      <c r="I49" s="867">
        <f t="shared" si="2"/>
        <v>11530.977366917994</v>
      </c>
      <c r="J49" s="867">
        <f t="shared" si="3"/>
        <v>0</v>
      </c>
      <c r="K49" s="868">
        <f t="shared" si="4"/>
        <v>0</v>
      </c>
      <c r="L49" s="389">
        <f t="shared" si="5"/>
        <v>0</v>
      </c>
      <c r="N49" s="814"/>
    </row>
    <row r="50" spans="1:14" ht="15" customHeight="1">
      <c r="A50" s="801" t="s">
        <v>8418</v>
      </c>
      <c r="B50" s="813">
        <v>302.45999999999998</v>
      </c>
      <c r="C50" s="836">
        <v>19</v>
      </c>
      <c r="D50" s="581">
        <v>0</v>
      </c>
      <c r="E50" s="28">
        <f t="shared" si="0"/>
        <v>5.8140976072580175E-2</v>
      </c>
      <c r="F50" s="28">
        <f t="shared" si="1"/>
        <v>3.9985245792842697E-2</v>
      </c>
      <c r="G50" s="867">
        <f t="shared" si="6"/>
        <v>1</v>
      </c>
      <c r="H50" s="867">
        <f t="shared" si="7"/>
        <v>0.36449057933102513</v>
      </c>
      <c r="I50" s="867">
        <f t="shared" si="2"/>
        <v>119.11256870961827</v>
      </c>
      <c r="J50" s="867">
        <f t="shared" si="3"/>
        <v>0</v>
      </c>
      <c r="K50" s="868">
        <f t="shared" si="4"/>
        <v>3.3851226254060185</v>
      </c>
      <c r="L50" s="389">
        <f t="shared" si="5"/>
        <v>0</v>
      </c>
      <c r="N50" s="814"/>
    </row>
    <row r="51" spans="1:14" ht="15" customHeight="1">
      <c r="A51" s="801" t="s">
        <v>8462</v>
      </c>
      <c r="B51" s="813">
        <v>303.56</v>
      </c>
      <c r="C51" s="836">
        <v>0</v>
      </c>
      <c r="D51" s="581">
        <v>0</v>
      </c>
      <c r="E51" s="28">
        <f t="shared" si="0"/>
        <v>4.9789233653314516E-2</v>
      </c>
      <c r="F51" s="28">
        <f t="shared" si="1"/>
        <v>3.4241508828124961E-2</v>
      </c>
      <c r="G51" s="867">
        <f t="shared" si="6"/>
        <v>1</v>
      </c>
      <c r="H51" s="867">
        <f t="shared" si="7"/>
        <v>0.36449057933102513</v>
      </c>
      <c r="I51" s="867">
        <f t="shared" si="2"/>
        <v>0</v>
      </c>
      <c r="J51" s="867">
        <f t="shared" si="3"/>
        <v>0</v>
      </c>
      <c r="K51" s="868">
        <f t="shared" si="4"/>
        <v>0</v>
      </c>
      <c r="L51" s="389">
        <f t="shared" si="5"/>
        <v>0</v>
      </c>
      <c r="N51" s="814"/>
    </row>
    <row r="52" spans="1:14" ht="15" customHeight="1">
      <c r="A52" s="801" t="s">
        <v>8411</v>
      </c>
      <c r="B52" s="813">
        <v>302.51</v>
      </c>
      <c r="C52" s="836">
        <v>541</v>
      </c>
      <c r="D52" s="581">
        <v>609</v>
      </c>
      <c r="E52" s="28">
        <f t="shared" si="0"/>
        <v>8.1299523989941998E-3</v>
      </c>
      <c r="F52" s="28">
        <f t="shared" si="1"/>
        <v>7.8925817337883591E-3</v>
      </c>
      <c r="G52" s="867">
        <f t="shared" si="6"/>
        <v>1</v>
      </c>
      <c r="H52" s="867">
        <f t="shared" si="7"/>
        <v>0.36449057933102513</v>
      </c>
      <c r="I52" s="867">
        <f t="shared" si="2"/>
        <v>24254.681176544153</v>
      </c>
      <c r="J52" s="867">
        <f t="shared" si="3"/>
        <v>28124.480721221327</v>
      </c>
      <c r="K52" s="868">
        <f t="shared" si="4"/>
        <v>0.11275575473171549</v>
      </c>
      <c r="L52" s="389">
        <f t="shared" si="5"/>
        <v>0.12692838194383499</v>
      </c>
      <c r="N52" s="814"/>
    </row>
    <row r="53" spans="1:14" ht="15" customHeight="1">
      <c r="A53" s="801" t="s">
        <v>6039</v>
      </c>
      <c r="B53" s="813">
        <v>305.51</v>
      </c>
      <c r="C53" s="581">
        <v>2252</v>
      </c>
      <c r="D53" s="581">
        <v>700</v>
      </c>
      <c r="E53" s="28">
        <f t="shared" si="0"/>
        <v>3.5307806485988967E-3</v>
      </c>
      <c r="F53" s="28">
        <f t="shared" si="1"/>
        <v>3.4276922527360235E-3</v>
      </c>
      <c r="G53" s="2">
        <f t="shared" si="6"/>
        <v>1</v>
      </c>
      <c r="H53" s="2">
        <f t="shared" si="7"/>
        <v>0.36449057933102513</v>
      </c>
      <c r="I53" s="2">
        <f t="shared" si="2"/>
        <v>232479.12185629428</v>
      </c>
      <c r="J53" s="2">
        <f t="shared" si="3"/>
        <v>74435.91393832372</v>
      </c>
      <c r="K53" s="196">
        <f t="shared" si="4"/>
        <v>0.20384148390069862</v>
      </c>
      <c r="L53" s="389">
        <f t="shared" si="5"/>
        <v>6.3361029631655866E-2</v>
      </c>
      <c r="N53" s="814"/>
    </row>
    <row r="54" spans="1:14" ht="15" customHeight="1">
      <c r="A54" s="801" t="s">
        <v>6041</v>
      </c>
      <c r="B54" s="813">
        <v>303.63</v>
      </c>
      <c r="C54" s="581">
        <v>3436</v>
      </c>
      <c r="D54" s="581">
        <v>603</v>
      </c>
      <c r="E54" s="28">
        <f t="shared" si="0"/>
        <v>0</v>
      </c>
      <c r="F54" s="28">
        <f t="shared" si="1"/>
        <v>0</v>
      </c>
      <c r="G54" s="2">
        <f t="shared" si="6"/>
        <v>1</v>
      </c>
      <c r="H54" s="2">
        <f t="shared" si="7"/>
        <v>0.36449057933102513</v>
      </c>
      <c r="I54" s="2">
        <f t="shared" si="2"/>
        <v>0</v>
      </c>
      <c r="J54" s="2">
        <f t="shared" si="3"/>
        <v>0</v>
      </c>
      <c r="K54" s="196">
        <f t="shared" si="4"/>
        <v>0</v>
      </c>
      <c r="L54" s="389">
        <f t="shared" si="5"/>
        <v>0</v>
      </c>
      <c r="N54" s="814"/>
    </row>
    <row r="55" spans="1:14" ht="15" customHeight="1">
      <c r="A55" s="801" t="s">
        <v>6042</v>
      </c>
      <c r="B55" s="813">
        <v>305.62</v>
      </c>
      <c r="C55" s="581">
        <v>1793</v>
      </c>
      <c r="D55" s="581">
        <v>824</v>
      </c>
      <c r="E55" s="28">
        <f t="shared" si="0"/>
        <v>3.5307806485988967E-3</v>
      </c>
      <c r="F55" s="28">
        <f t="shared" si="1"/>
        <v>3.4276922527360235E-3</v>
      </c>
      <c r="G55" s="2">
        <f t="shared" si="6"/>
        <v>1</v>
      </c>
      <c r="H55" s="2">
        <f t="shared" si="7"/>
        <v>0.36449057933102513</v>
      </c>
      <c r="I55" s="2">
        <f t="shared" si="2"/>
        <v>185095.49977279556</v>
      </c>
      <c r="J55" s="2">
        <f t="shared" si="3"/>
        <v>87621.704407398211</v>
      </c>
      <c r="K55" s="196">
        <f t="shared" si="4"/>
        <v>0.1622947516136557</v>
      </c>
      <c r="L55" s="389">
        <f t="shared" si="5"/>
        <v>7.4584983452120626E-2</v>
      </c>
      <c r="N55" s="814"/>
    </row>
    <row r="56" spans="1:14" ht="15" customHeight="1">
      <c r="A56" s="801" t="s">
        <v>8412</v>
      </c>
      <c r="B56" s="813">
        <v>304.70999999999998</v>
      </c>
      <c r="C56" s="581">
        <v>5541</v>
      </c>
      <c r="D56" s="581">
        <v>1712</v>
      </c>
      <c r="E56" s="28">
        <f t="shared" si="0"/>
        <v>7.839422124543062E-3</v>
      </c>
      <c r="F56" s="28">
        <f t="shared" si="1"/>
        <v>7.6105340876632416E-3</v>
      </c>
      <c r="G56" s="2">
        <f t="shared" si="6"/>
        <v>1</v>
      </c>
      <c r="H56" s="2">
        <f t="shared" si="7"/>
        <v>0.36449057933102513</v>
      </c>
      <c r="I56" s="2">
        <f t="shared" si="2"/>
        <v>257626.42551805815</v>
      </c>
      <c r="J56" s="2">
        <f t="shared" si="3"/>
        <v>81992.651846371533</v>
      </c>
      <c r="K56" s="196">
        <f t="shared" si="4"/>
        <v>1.1135908370599938</v>
      </c>
      <c r="L56" s="389">
        <f t="shared" si="5"/>
        <v>0.34406560423149418</v>
      </c>
      <c r="N56" s="814"/>
    </row>
    <row r="57" spans="1:14" ht="15" customHeight="1">
      <c r="A57" t="s">
        <v>9142</v>
      </c>
      <c r="B57">
        <v>306.35000000000002</v>
      </c>
      <c r="C57" s="581">
        <v>76</v>
      </c>
      <c r="D57" s="581">
        <v>26</v>
      </c>
      <c r="E57" s="28">
        <f t="shared" si="0"/>
        <v>0.98229732321763985</v>
      </c>
      <c r="F57" s="28">
        <f t="shared" si="1"/>
        <v>2.6806338741342173</v>
      </c>
      <c r="G57" s="2">
        <f t="shared" si="6"/>
        <v>1</v>
      </c>
      <c r="H57" s="2">
        <f t="shared" si="7"/>
        <v>0.36449057933102513</v>
      </c>
      <c r="I57" s="2">
        <f t="shared" si="2"/>
        <v>28.200508516524128</v>
      </c>
      <c r="J57" s="2">
        <f t="shared" si="3"/>
        <v>3.5352664733700072</v>
      </c>
      <c r="K57" s="196">
        <f t="shared" si="4"/>
        <v>59.740692402885493</v>
      </c>
      <c r="L57" s="389">
        <f t="shared" si="5"/>
        <v>20.437605295723987</v>
      </c>
      <c r="N57" s="814"/>
    </row>
    <row r="58" spans="1:14" ht="15" customHeight="1">
      <c r="A58" s="801" t="s">
        <v>8413</v>
      </c>
      <c r="B58" s="813">
        <v>306.16000000000003</v>
      </c>
      <c r="C58" s="581">
        <v>491</v>
      </c>
      <c r="D58" s="581">
        <v>55326</v>
      </c>
      <c r="E58" s="28">
        <f t="shared" si="0"/>
        <v>0.30344894028325042</v>
      </c>
      <c r="F58" s="28">
        <f t="shared" si="1"/>
        <v>0.8280950066410655</v>
      </c>
      <c r="G58" s="2">
        <f t="shared" si="6"/>
        <v>1</v>
      </c>
      <c r="H58" s="2">
        <f t="shared" si="7"/>
        <v>0.36449057933102513</v>
      </c>
      <c r="I58" s="2">
        <f t="shared" si="2"/>
        <v>589.76931764691926</v>
      </c>
      <c r="J58" s="2">
        <f t="shared" si="3"/>
        <v>24352.043703131618</v>
      </c>
      <c r="K58" s="196">
        <f t="shared" si="4"/>
        <v>119.22870207748738</v>
      </c>
      <c r="L58" s="389">
        <f t="shared" si="5"/>
        <v>13434.719289488936</v>
      </c>
      <c r="N58" s="814"/>
    </row>
    <row r="59" spans="1:14" ht="15" customHeight="1">
      <c r="A59" s="801" t="s">
        <v>8414</v>
      </c>
      <c r="B59" s="813">
        <v>306.26</v>
      </c>
      <c r="C59" s="581"/>
      <c r="D59" s="581"/>
      <c r="E59" s="28">
        <f t="shared" si="0"/>
        <v>0.30344894028325042</v>
      </c>
      <c r="F59" s="28">
        <f t="shared" si="1"/>
        <v>0.8280950066410655</v>
      </c>
      <c r="G59" s="2">
        <f t="shared" si="6"/>
        <v>1</v>
      </c>
      <c r="H59" s="2">
        <f t="shared" si="7"/>
        <v>0.36449057933102513</v>
      </c>
      <c r="I59" s="2">
        <f t="shared" si="2"/>
        <v>0</v>
      </c>
      <c r="J59" s="2">
        <f t="shared" si="3"/>
        <v>0</v>
      </c>
      <c r="K59" s="196">
        <f t="shared" si="4"/>
        <v>0</v>
      </c>
      <c r="L59" s="389">
        <f t="shared" si="5"/>
        <v>0</v>
      </c>
      <c r="N59" s="814"/>
    </row>
    <row r="60" spans="1:14" ht="15" customHeight="1">
      <c r="A60" s="801" t="s">
        <v>6043</v>
      </c>
      <c r="B60" s="813">
        <v>508</v>
      </c>
      <c r="C60" s="581">
        <v>4355</v>
      </c>
      <c r="D60" s="581">
        <v>1499</v>
      </c>
      <c r="E60" s="28">
        <f t="shared" si="0"/>
        <v>1.5104126953237047</v>
      </c>
      <c r="F60" s="28">
        <f t="shared" si="1"/>
        <v>1.5104126953237047</v>
      </c>
      <c r="G60" s="2">
        <f t="shared" si="6"/>
        <v>1</v>
      </c>
      <c r="H60" s="2">
        <f t="shared" si="7"/>
        <v>0.36449057933102513</v>
      </c>
      <c r="I60" s="2">
        <f t="shared" si="2"/>
        <v>1050.9422212228026</v>
      </c>
      <c r="J60" s="2">
        <f t="shared" si="3"/>
        <v>361.73648441170639</v>
      </c>
      <c r="K60" s="196">
        <f t="shared" si="4"/>
        <v>0</v>
      </c>
      <c r="L60" s="389">
        <f t="shared" si="5"/>
        <v>0</v>
      </c>
      <c r="N60" s="814"/>
    </row>
    <row r="61" spans="1:14" ht="15" customHeight="1">
      <c r="A61" s="801" t="s">
        <v>6044</v>
      </c>
      <c r="B61" s="813">
        <v>1605.1</v>
      </c>
      <c r="C61" s="581">
        <v>1221</v>
      </c>
      <c r="D61" s="581">
        <v>1604</v>
      </c>
      <c r="E61" s="28">
        <f t="shared" si="0"/>
        <v>5.7247972195161728E-2</v>
      </c>
      <c r="F61" s="28">
        <f t="shared" si="1"/>
        <v>7.7845871819591975E-2</v>
      </c>
      <c r="G61" s="2">
        <f t="shared" si="6"/>
        <v>1</v>
      </c>
      <c r="H61" s="2">
        <f t="shared" si="7"/>
        <v>0.36449057933102513</v>
      </c>
      <c r="I61" s="2">
        <f t="shared" si="2"/>
        <v>7773.9521645588384</v>
      </c>
      <c r="J61" s="2">
        <f t="shared" si="3"/>
        <v>7510.2619520001763</v>
      </c>
      <c r="K61" s="196">
        <f t="shared" si="4"/>
        <v>138.34091335867569</v>
      </c>
      <c r="L61" s="389">
        <f t="shared" si="5"/>
        <v>181.73531943269109</v>
      </c>
      <c r="N61" s="814"/>
    </row>
    <row r="62" spans="1:14" ht="15" customHeight="1">
      <c r="A62" t="s">
        <v>9144</v>
      </c>
      <c r="B62">
        <v>306.93</v>
      </c>
      <c r="C62" s="581">
        <v>64</v>
      </c>
      <c r="D62" s="581">
        <v>0</v>
      </c>
      <c r="E62" s="28">
        <f t="shared" si="0"/>
        <v>0.37747744768859948</v>
      </c>
      <c r="F62" s="28">
        <f t="shared" si="1"/>
        <v>0.51329435577871718</v>
      </c>
      <c r="G62" s="2">
        <f t="shared" si="6"/>
        <v>1</v>
      </c>
      <c r="H62" s="2">
        <f t="shared" si="7"/>
        <v>0.36449057933102513</v>
      </c>
      <c r="I62" s="2">
        <f t="shared" si="2"/>
        <v>61.798121238833787</v>
      </c>
      <c r="J62" s="2">
        <f t="shared" si="3"/>
        <v>0</v>
      </c>
      <c r="K62" s="196">
        <f t="shared" si="4"/>
        <v>47.812984206073281</v>
      </c>
      <c r="L62" s="389">
        <f t="shared" si="5"/>
        <v>0</v>
      </c>
      <c r="N62" s="814"/>
    </row>
    <row r="63" spans="1:14" ht="15" customHeight="1">
      <c r="A63" t="s">
        <v>9140</v>
      </c>
      <c r="B63">
        <v>306.33</v>
      </c>
      <c r="C63" s="581">
        <v>9599</v>
      </c>
      <c r="D63" s="581">
        <v>7272</v>
      </c>
      <c r="E63" s="28">
        <f t="shared" si="0"/>
        <v>0.14687838431463016</v>
      </c>
      <c r="F63" s="28">
        <f t="shared" si="1"/>
        <v>0.19972543026409229</v>
      </c>
      <c r="G63" s="2">
        <f t="shared" si="6"/>
        <v>1</v>
      </c>
      <c r="H63" s="2">
        <f t="shared" si="7"/>
        <v>0.36449057933102513</v>
      </c>
      <c r="I63" s="2">
        <f t="shared" si="2"/>
        <v>23820.694156764424</v>
      </c>
      <c r="J63" s="2">
        <f t="shared" si="3"/>
        <v>13271.096672018282</v>
      </c>
      <c r="K63" s="196">
        <f t="shared" si="4"/>
        <v>2790.3504097403784</v>
      </c>
      <c r="L63" s="389">
        <f t="shared" si="5"/>
        <v>2113.9106344027537</v>
      </c>
      <c r="N63" s="814"/>
    </row>
    <row r="64" spans="1:14" ht="15" customHeight="1">
      <c r="A64" s="801" t="s">
        <v>6045</v>
      </c>
      <c r="B64" s="813">
        <v>306.14</v>
      </c>
      <c r="C64" s="581">
        <v>3544</v>
      </c>
      <c r="D64" s="581">
        <v>48260</v>
      </c>
      <c r="E64" s="28">
        <f t="shared" si="0"/>
        <v>5.831399873533704E-2</v>
      </c>
      <c r="F64" s="28">
        <f t="shared" si="1"/>
        <v>7.9295456184255E-2</v>
      </c>
      <c r="G64" s="2">
        <f t="shared" si="6"/>
        <v>1</v>
      </c>
      <c r="H64" s="2">
        <f t="shared" si="7"/>
        <v>0.36449057933102513</v>
      </c>
      <c r="I64" s="2">
        <f t="shared" si="2"/>
        <v>22151.706985691195</v>
      </c>
      <c r="J64" s="2">
        <f t="shared" si="3"/>
        <v>221832.57660617415</v>
      </c>
      <c r="K64" s="196">
        <f t="shared" si="4"/>
        <v>409.01704151336696</v>
      </c>
      <c r="L64" s="389">
        <f t="shared" si="5"/>
        <v>5569.7410901340545</v>
      </c>
      <c r="N64" s="814"/>
    </row>
    <row r="65" spans="1:14" ht="15" customHeight="1">
      <c r="A65" s="801" t="s">
        <v>6046</v>
      </c>
      <c r="B65" s="813">
        <v>306.24</v>
      </c>
      <c r="C65" s="581"/>
      <c r="D65" s="581"/>
      <c r="E65" s="28">
        <f t="shared" si="0"/>
        <v>5.7247972195161728E-2</v>
      </c>
      <c r="F65" s="28">
        <f t="shared" si="1"/>
        <v>7.7845871819591975E-2</v>
      </c>
      <c r="G65" s="2">
        <f t="shared" si="6"/>
        <v>1</v>
      </c>
      <c r="H65" s="2">
        <f t="shared" si="7"/>
        <v>0.36449057933102513</v>
      </c>
      <c r="I65" s="2">
        <f t="shared" si="2"/>
        <v>0</v>
      </c>
      <c r="J65" s="2">
        <f t="shared" si="3"/>
        <v>0</v>
      </c>
      <c r="K65" s="196">
        <f t="shared" si="4"/>
        <v>0</v>
      </c>
      <c r="L65" s="389">
        <f t="shared" si="5"/>
        <v>0</v>
      </c>
      <c r="N65" s="814"/>
    </row>
    <row r="66" spans="1:14" ht="15" customHeight="1">
      <c r="A66" t="s">
        <v>9147</v>
      </c>
      <c r="B66">
        <v>306.99</v>
      </c>
      <c r="C66" s="581">
        <v>1</v>
      </c>
      <c r="D66" s="581">
        <v>52</v>
      </c>
      <c r="E66" s="28">
        <f t="shared" si="0"/>
        <v>4.173277209195799</v>
      </c>
      <c r="F66" s="28">
        <f t="shared" si="1"/>
        <v>4.1831927621333946</v>
      </c>
      <c r="G66" s="2">
        <f t="shared" si="6"/>
        <v>1</v>
      </c>
      <c r="H66" s="2">
        <f t="shared" si="7"/>
        <v>0.36449057933102513</v>
      </c>
      <c r="I66" s="2">
        <f t="shared" si="2"/>
        <v>8.7339172803539547E-2</v>
      </c>
      <c r="J66" s="2">
        <f t="shared" si="3"/>
        <v>4.5308718012667359</v>
      </c>
      <c r="K66" s="196">
        <f t="shared" si="4"/>
        <v>1.481262355053488E-3</v>
      </c>
      <c r="L66" s="389">
        <f t="shared" si="5"/>
        <v>7.7025642462781374E-2</v>
      </c>
      <c r="N66" s="814"/>
    </row>
    <row r="67" spans="1:14" ht="15" customHeight="1">
      <c r="A67" s="801" t="s">
        <v>8415</v>
      </c>
      <c r="B67" s="813">
        <v>1605.54</v>
      </c>
      <c r="C67" s="581">
        <v>1069</v>
      </c>
      <c r="D67" s="581">
        <v>60</v>
      </c>
      <c r="E67" s="28">
        <f t="shared" si="0"/>
        <v>3.1150615187167774E-2</v>
      </c>
      <c r="F67" s="28">
        <f t="shared" si="1"/>
        <v>3.0025918200211957E-2</v>
      </c>
      <c r="G67" s="2">
        <f t="shared" si="6"/>
        <v>1</v>
      </c>
      <c r="H67" s="2">
        <f t="shared" si="7"/>
        <v>0.36449057933102513</v>
      </c>
      <c r="I67" s="2">
        <f t="shared" si="2"/>
        <v>12508.273976732724</v>
      </c>
      <c r="J67" s="2">
        <f t="shared" si="3"/>
        <v>728.351906310966</v>
      </c>
      <c r="K67" s="196">
        <f t="shared" si="4"/>
        <v>0</v>
      </c>
      <c r="L67" s="389">
        <f t="shared" si="5"/>
        <v>0</v>
      </c>
      <c r="N67" s="814"/>
    </row>
    <row r="68" spans="1:14" ht="15" customHeight="1">
      <c r="A68" s="801" t="s">
        <v>8513</v>
      </c>
      <c r="B68" s="813">
        <v>307.49</v>
      </c>
      <c r="C68" s="581">
        <v>623</v>
      </c>
      <c r="D68" s="581">
        <v>0</v>
      </c>
      <c r="E68" s="28">
        <f t="shared" si="0"/>
        <v>3.1150615187167774E-2</v>
      </c>
      <c r="F68" s="28">
        <f t="shared" si="1"/>
        <v>3.0025918200211957E-2</v>
      </c>
      <c r="G68" s="2">
        <f t="shared" si="6"/>
        <v>1</v>
      </c>
      <c r="H68" s="2">
        <f t="shared" si="7"/>
        <v>0.36449057933102513</v>
      </c>
      <c r="I68" s="2">
        <f t="shared" si="2"/>
        <v>7289.6676216131782</v>
      </c>
      <c r="J68" s="2">
        <f t="shared" si="3"/>
        <v>0</v>
      </c>
      <c r="K68" s="196">
        <f t="shared" si="4"/>
        <v>0</v>
      </c>
      <c r="L68" s="389">
        <f t="shared" si="5"/>
        <v>0</v>
      </c>
      <c r="N68" s="814"/>
    </row>
    <row r="69" spans="1:14" ht="15" customHeight="1">
      <c r="A69" t="s">
        <v>9151</v>
      </c>
      <c r="B69">
        <v>307.43</v>
      </c>
      <c r="C69" s="581">
        <v>10441</v>
      </c>
      <c r="D69" s="581">
        <v>23</v>
      </c>
      <c r="E69" s="28">
        <f t="shared" si="0"/>
        <v>5.6812137994093105E-2</v>
      </c>
      <c r="F69" s="28">
        <f t="shared" si="1"/>
        <v>5.4760928409930666E-2</v>
      </c>
      <c r="G69" s="2">
        <f t="shared" si="6"/>
        <v>1</v>
      </c>
      <c r="H69" s="2">
        <f t="shared" si="7"/>
        <v>0.36449057933102513</v>
      </c>
      <c r="I69" s="2">
        <f t="shared" si="2"/>
        <v>66986.497483881278</v>
      </c>
      <c r="J69" s="2">
        <f t="shared" si="3"/>
        <v>153.08877274427846</v>
      </c>
      <c r="K69" s="196">
        <f t="shared" si="4"/>
        <v>0</v>
      </c>
      <c r="L69" s="389">
        <f t="shared" si="5"/>
        <v>0</v>
      </c>
      <c r="N69" s="814"/>
    </row>
    <row r="70" spans="1:14" ht="15" customHeight="1">
      <c r="A70" t="s">
        <v>6047</v>
      </c>
      <c r="B70">
        <v>307.42</v>
      </c>
      <c r="C70" s="581">
        <v>102</v>
      </c>
      <c r="D70" s="581">
        <v>0</v>
      </c>
      <c r="E70" s="28">
        <f t="shared" si="0"/>
        <v>8.3324469058003212E-2</v>
      </c>
      <c r="F70" s="28">
        <f t="shared" si="1"/>
        <v>8.0316028334564971E-2</v>
      </c>
      <c r="G70" s="2">
        <f t="shared" si="6"/>
        <v>1</v>
      </c>
      <c r="H70" s="2">
        <f t="shared" si="7"/>
        <v>0.36449057933102513</v>
      </c>
      <c r="I70" s="2">
        <f t="shared" si="2"/>
        <v>446.18393026764397</v>
      </c>
      <c r="J70" s="2">
        <f t="shared" si="3"/>
        <v>0</v>
      </c>
      <c r="K70" s="196">
        <f t="shared" si="4"/>
        <v>0</v>
      </c>
      <c r="L70" s="389">
        <f t="shared" si="5"/>
        <v>0</v>
      </c>
      <c r="N70" s="814"/>
    </row>
    <row r="71" spans="1:14" ht="15" customHeight="1">
      <c r="A71" s="801" t="s">
        <v>6047</v>
      </c>
      <c r="B71" s="813">
        <v>307.41000000000003</v>
      </c>
      <c r="C71" s="581"/>
      <c r="D71" s="581"/>
      <c r="E71" s="28">
        <f t="shared" ref="E71:E134" si="8">VLOOKUP(B71,fish_commodity_yield,5,FALSE)</f>
        <v>2.1227924119256867E-2</v>
      </c>
      <c r="F71" s="28">
        <f t="shared" ref="F71:F134" si="9">VLOOKUP(B71,fish_commodity_yield,6,FALSE)</f>
        <v>2.0461487175626618E-2</v>
      </c>
      <c r="G71" s="2">
        <f t="shared" si="6"/>
        <v>1</v>
      </c>
      <c r="H71" s="2">
        <f t="shared" si="7"/>
        <v>0.36449057933102513</v>
      </c>
      <c r="I71" s="2">
        <f t="shared" ref="I71:I134" si="10">IFERROR(C71/E71*H71*G71,0)</f>
        <v>0</v>
      </c>
      <c r="J71" s="2">
        <f t="shared" ref="J71:J134" si="11">IFERROR(D71/F71*H71*G71,0)</f>
        <v>0</v>
      </c>
      <c r="K71" s="196">
        <f t="shared" ref="K71:K134" si="12">VLOOKUP(B71,fish_commodity_yield,8,FALSE)*C71</f>
        <v>0</v>
      </c>
      <c r="L71" s="389">
        <f t="shared" ref="L71:L134" si="13">VLOOKUP(B71,fish_commodity_yield,9,FALSE)*D71</f>
        <v>0</v>
      </c>
      <c r="N71" s="814"/>
    </row>
    <row r="72" spans="1:14" ht="15" customHeight="1">
      <c r="A72" t="s">
        <v>9128</v>
      </c>
      <c r="B72">
        <v>304.47000000000003</v>
      </c>
      <c r="C72" s="581">
        <v>0</v>
      </c>
      <c r="D72" s="581"/>
      <c r="E72" s="28">
        <f t="shared" si="8"/>
        <v>4.1038108279994046E-2</v>
      </c>
      <c r="F72" s="28">
        <f t="shared" si="9"/>
        <v>2.7326475589634094E-2</v>
      </c>
      <c r="G72" s="2">
        <f t="shared" ref="G72:G135" si="14">$G$7</f>
        <v>1</v>
      </c>
      <c r="H72" s="2">
        <f t="shared" ref="H72:H135" si="15">$H$7</f>
        <v>0.36449057933102513</v>
      </c>
      <c r="I72" s="2">
        <f t="shared" si="10"/>
        <v>0</v>
      </c>
      <c r="J72" s="2">
        <f t="shared" si="11"/>
        <v>0</v>
      </c>
      <c r="K72" s="196">
        <f t="shared" si="12"/>
        <v>0</v>
      </c>
      <c r="L72" s="389">
        <f t="shared" si="13"/>
        <v>0</v>
      </c>
      <c r="N72" s="814"/>
    </row>
    <row r="73" spans="1:14" ht="15" customHeight="1">
      <c r="A73" t="s">
        <v>9133</v>
      </c>
      <c r="B73">
        <v>304.95999999999998</v>
      </c>
      <c r="C73" s="581">
        <v>1</v>
      </c>
      <c r="D73" s="581"/>
      <c r="E73" s="28">
        <f t="shared" si="8"/>
        <v>4.6818123530697441E-2</v>
      </c>
      <c r="F73" s="28">
        <f t="shared" si="9"/>
        <v>3.1175274968455804E-2</v>
      </c>
      <c r="G73" s="2">
        <f t="shared" si="14"/>
        <v>1</v>
      </c>
      <c r="H73" s="2">
        <f t="shared" si="15"/>
        <v>0.36449057933102513</v>
      </c>
      <c r="I73" s="2">
        <f t="shared" si="10"/>
        <v>7.7852453674705275</v>
      </c>
      <c r="J73" s="2">
        <f t="shared" si="11"/>
        <v>0</v>
      </c>
      <c r="K73" s="196">
        <f t="shared" si="12"/>
        <v>0</v>
      </c>
      <c r="L73" s="389">
        <f t="shared" si="13"/>
        <v>0</v>
      </c>
      <c r="N73" s="814"/>
    </row>
    <row r="74" spans="1:14" ht="15" customHeight="1">
      <c r="A74" t="s">
        <v>9130</v>
      </c>
      <c r="B74">
        <v>304.56</v>
      </c>
      <c r="C74" s="581">
        <v>0</v>
      </c>
      <c r="D74" s="581"/>
      <c r="E74" s="28">
        <f t="shared" si="8"/>
        <v>4.1038108279994046E-2</v>
      </c>
      <c r="F74" s="28">
        <f t="shared" si="9"/>
        <v>2.7326475589634094E-2</v>
      </c>
      <c r="G74" s="2">
        <f t="shared" si="14"/>
        <v>1</v>
      </c>
      <c r="H74" s="2">
        <f t="shared" si="15"/>
        <v>0.36449057933102513</v>
      </c>
      <c r="I74" s="2">
        <f t="shared" si="10"/>
        <v>0</v>
      </c>
      <c r="J74" s="2">
        <f t="shared" si="11"/>
        <v>0</v>
      </c>
      <c r="K74" s="196">
        <f t="shared" si="12"/>
        <v>0</v>
      </c>
      <c r="L74" s="389">
        <f t="shared" si="13"/>
        <v>0</v>
      </c>
      <c r="N74" s="814"/>
    </row>
    <row r="75" spans="1:14" ht="15" customHeight="1">
      <c r="A75" s="801" t="s">
        <v>8416</v>
      </c>
      <c r="B75" s="813">
        <v>302.81</v>
      </c>
      <c r="C75" s="581">
        <v>149</v>
      </c>
      <c r="D75" s="581">
        <v>21</v>
      </c>
      <c r="E75" s="28">
        <f t="shared" si="8"/>
        <v>2.0353073537132494E-2</v>
      </c>
      <c r="F75" s="28">
        <f t="shared" si="9"/>
        <v>1.3552714549895902E-2</v>
      </c>
      <c r="G75" s="2">
        <f t="shared" si="14"/>
        <v>1</v>
      </c>
      <c r="H75" s="2">
        <f t="shared" si="15"/>
        <v>0.36449057933102513</v>
      </c>
      <c r="I75" s="2">
        <f t="shared" si="10"/>
        <v>2668.348651187267</v>
      </c>
      <c r="J75" s="2">
        <f t="shared" si="11"/>
        <v>564.78000313304915</v>
      </c>
      <c r="K75" s="196">
        <f t="shared" si="12"/>
        <v>0</v>
      </c>
      <c r="L75" s="389">
        <f t="shared" si="13"/>
        <v>0</v>
      </c>
      <c r="N75" s="814"/>
    </row>
    <row r="76" spans="1:14" ht="15" customHeight="1">
      <c r="A76" s="801" t="s">
        <v>6050</v>
      </c>
      <c r="B76" s="813">
        <v>303.81</v>
      </c>
      <c r="C76" s="581">
        <v>0</v>
      </c>
      <c r="D76" s="581">
        <v>14</v>
      </c>
      <c r="E76" s="28">
        <f t="shared" si="8"/>
        <v>0</v>
      </c>
      <c r="F76" s="28">
        <f t="shared" si="9"/>
        <v>0</v>
      </c>
      <c r="G76" s="2">
        <f t="shared" si="14"/>
        <v>1</v>
      </c>
      <c r="H76" s="2">
        <f t="shared" si="15"/>
        <v>0.36449057933102513</v>
      </c>
      <c r="I76" s="2">
        <f t="shared" si="10"/>
        <v>0</v>
      </c>
      <c r="J76" s="2">
        <f t="shared" si="11"/>
        <v>0</v>
      </c>
      <c r="K76" s="196">
        <f t="shared" si="12"/>
        <v>0</v>
      </c>
      <c r="L76" s="389">
        <f t="shared" si="13"/>
        <v>0</v>
      </c>
      <c r="N76" s="814"/>
    </row>
    <row r="77" spans="1:14" ht="15" customHeight="1">
      <c r="A77" t="s">
        <v>9132</v>
      </c>
      <c r="B77">
        <v>304.88</v>
      </c>
      <c r="C77" s="581">
        <v>0</v>
      </c>
      <c r="D77" s="581">
        <v>20</v>
      </c>
      <c r="E77" s="28">
        <f t="shared" si="8"/>
        <v>4.6818123530697441E-2</v>
      </c>
      <c r="F77" s="28">
        <f t="shared" si="9"/>
        <v>3.1175274968455804E-2</v>
      </c>
      <c r="G77" s="2">
        <f t="shared" si="14"/>
        <v>1</v>
      </c>
      <c r="H77" s="2">
        <f t="shared" si="15"/>
        <v>0.36449057933102513</v>
      </c>
      <c r="I77" s="2">
        <f t="shared" si="10"/>
        <v>0</v>
      </c>
      <c r="J77" s="2">
        <f t="shared" si="11"/>
        <v>233.83311274709141</v>
      </c>
      <c r="K77" s="196">
        <f t="shared" si="12"/>
        <v>0</v>
      </c>
      <c r="L77" s="389">
        <f t="shared" si="13"/>
        <v>0</v>
      </c>
      <c r="N77" s="814"/>
    </row>
    <row r="78" spans="1:14" ht="15" customHeight="1">
      <c r="A78" t="s">
        <v>9136</v>
      </c>
      <c r="B78">
        <v>305.52999999999997</v>
      </c>
      <c r="C78" s="581">
        <v>39</v>
      </c>
      <c r="D78" s="581">
        <v>64</v>
      </c>
      <c r="E78" s="28">
        <f t="shared" si="8"/>
        <v>3.1201256393050689E-2</v>
      </c>
      <c r="F78" s="28">
        <f t="shared" si="9"/>
        <v>3.0290271602267327E-2</v>
      </c>
      <c r="G78" s="2">
        <f t="shared" si="14"/>
        <v>1</v>
      </c>
      <c r="H78" s="2">
        <f t="shared" si="15"/>
        <v>0.36449057933102513</v>
      </c>
      <c r="I78" s="2">
        <f t="shared" si="10"/>
        <v>455.5948778099862</v>
      </c>
      <c r="J78" s="2">
        <f t="shared" si="11"/>
        <v>770.12835617622773</v>
      </c>
      <c r="K78" s="196">
        <f t="shared" si="12"/>
        <v>3.1195369756596238E-2</v>
      </c>
      <c r="L78" s="389">
        <f t="shared" si="13"/>
        <v>5.1192401651850239E-2</v>
      </c>
      <c r="N78" s="814"/>
    </row>
    <row r="79" spans="1:14" ht="15" customHeight="1">
      <c r="A79" t="s">
        <v>9137</v>
      </c>
      <c r="B79">
        <v>305.54000000000002</v>
      </c>
      <c r="C79" s="581">
        <v>70</v>
      </c>
      <c r="D79" s="581">
        <v>67</v>
      </c>
      <c r="E79" s="28">
        <f t="shared" si="8"/>
        <v>0.30730412903162252</v>
      </c>
      <c r="F79" s="28">
        <f t="shared" si="9"/>
        <v>0.21134201663807006</v>
      </c>
      <c r="G79" s="2">
        <f t="shared" si="14"/>
        <v>1</v>
      </c>
      <c r="H79" s="2">
        <f t="shared" si="15"/>
        <v>0.36449057933102513</v>
      </c>
      <c r="I79" s="2">
        <f t="shared" si="10"/>
        <v>83.026351235737081</v>
      </c>
      <c r="J79" s="2">
        <f t="shared" si="11"/>
        <v>115.55141378725556</v>
      </c>
      <c r="K79" s="196">
        <f t="shared" si="12"/>
        <v>65.918136555833996</v>
      </c>
      <c r="L79" s="389">
        <f t="shared" si="13"/>
        <v>63.093073560583967</v>
      </c>
      <c r="N79" s="814"/>
    </row>
    <row r="80" spans="1:14" ht="15" customHeight="1">
      <c r="A80" t="s">
        <v>9135</v>
      </c>
      <c r="B80">
        <v>305.52</v>
      </c>
      <c r="C80" s="581">
        <v>1</v>
      </c>
      <c r="D80" s="581">
        <v>0</v>
      </c>
      <c r="E80" s="28">
        <f t="shared" si="8"/>
        <v>0.30730412903162252</v>
      </c>
      <c r="F80" s="28">
        <f t="shared" si="9"/>
        <v>0.21134201663807006</v>
      </c>
      <c r="G80" s="2">
        <f t="shared" si="14"/>
        <v>1</v>
      </c>
      <c r="H80" s="2">
        <f t="shared" si="15"/>
        <v>0.36449057933102513</v>
      </c>
      <c r="I80" s="2">
        <f t="shared" si="10"/>
        <v>1.1860907319391012</v>
      </c>
      <c r="J80" s="2">
        <f t="shared" si="11"/>
        <v>0</v>
      </c>
      <c r="K80" s="196">
        <f t="shared" si="12"/>
        <v>0.94168766508334278</v>
      </c>
      <c r="L80" s="389">
        <f t="shared" si="13"/>
        <v>0</v>
      </c>
      <c r="N80" s="814"/>
    </row>
    <row r="81" spans="1:14" ht="15" customHeight="1">
      <c r="A81" s="801" t="s">
        <v>8417</v>
      </c>
      <c r="B81" s="813">
        <v>302.74</v>
      </c>
      <c r="C81" s="581">
        <v>2</v>
      </c>
      <c r="D81" s="581">
        <v>0</v>
      </c>
      <c r="E81" s="28">
        <f t="shared" si="8"/>
        <v>4.1963117305574081E-2</v>
      </c>
      <c r="F81" s="28">
        <f t="shared" si="9"/>
        <v>4.3528867251176759E-2</v>
      </c>
      <c r="G81" s="2">
        <f t="shared" si="14"/>
        <v>1</v>
      </c>
      <c r="H81" s="2">
        <f t="shared" si="15"/>
        <v>0.36449057933102513</v>
      </c>
      <c r="I81" s="2">
        <f t="shared" si="10"/>
        <v>17.371949594536382</v>
      </c>
      <c r="J81" s="2">
        <f t="shared" si="11"/>
        <v>0</v>
      </c>
      <c r="K81" s="196">
        <f t="shared" si="12"/>
        <v>0.49699038562507858</v>
      </c>
      <c r="L81" s="389">
        <f t="shared" si="13"/>
        <v>0</v>
      </c>
      <c r="N81" s="814"/>
    </row>
    <row r="82" spans="1:14" ht="15" customHeight="1">
      <c r="A82" s="801" t="s">
        <v>6053</v>
      </c>
      <c r="B82" s="813">
        <v>301.92</v>
      </c>
      <c r="C82" s="581">
        <v>92</v>
      </c>
      <c r="D82" s="581">
        <v>197</v>
      </c>
      <c r="E82" s="28">
        <f t="shared" si="8"/>
        <v>4.1963117305574081E-2</v>
      </c>
      <c r="F82" s="28">
        <f t="shared" si="9"/>
        <v>4.3528867251176759E-2</v>
      </c>
      <c r="G82" s="2">
        <f t="shared" si="14"/>
        <v>1</v>
      </c>
      <c r="H82" s="2">
        <f t="shared" si="15"/>
        <v>0.36449057933102513</v>
      </c>
      <c r="I82" s="2">
        <f t="shared" si="10"/>
        <v>799.10968134867346</v>
      </c>
      <c r="J82" s="2">
        <f t="shared" si="11"/>
        <v>1649.5867837284643</v>
      </c>
      <c r="K82" s="196">
        <f t="shared" si="12"/>
        <v>22.861557738753614</v>
      </c>
      <c r="L82" s="389">
        <f t="shared" si="13"/>
        <v>48.953552984070242</v>
      </c>
      <c r="N82" s="814"/>
    </row>
    <row r="83" spans="1:14" ht="15" customHeight="1">
      <c r="A83" s="801" t="s">
        <v>8478</v>
      </c>
      <c r="B83" s="813">
        <v>1604.17</v>
      </c>
      <c r="C83" s="581">
        <v>571</v>
      </c>
      <c r="D83" s="581">
        <v>42</v>
      </c>
      <c r="E83" s="28">
        <f t="shared" si="8"/>
        <v>3.3213778140959015E-2</v>
      </c>
      <c r="F83" s="28">
        <f t="shared" si="9"/>
        <v>3.4453068133138837E-2</v>
      </c>
      <c r="G83" s="2">
        <f t="shared" si="14"/>
        <v>1</v>
      </c>
      <c r="H83" s="2">
        <f t="shared" si="15"/>
        <v>0.36449057933102513</v>
      </c>
      <c r="I83" s="2">
        <f t="shared" si="10"/>
        <v>6266.1983203096679</v>
      </c>
      <c r="J83" s="2">
        <f t="shared" si="11"/>
        <v>444.3321062944292</v>
      </c>
      <c r="K83" s="196">
        <f t="shared" si="12"/>
        <v>112.30643390223915</v>
      </c>
      <c r="L83" s="389">
        <f t="shared" si="13"/>
        <v>8.2607184306375547</v>
      </c>
      <c r="N83" s="814"/>
    </row>
    <row r="84" spans="1:14" ht="15" customHeight="1">
      <c r="A84" s="801" t="s">
        <v>8419</v>
      </c>
      <c r="B84" s="813">
        <v>303.26</v>
      </c>
      <c r="C84" s="581">
        <v>270</v>
      </c>
      <c r="D84" s="581">
        <v>207</v>
      </c>
      <c r="E84" s="28">
        <f t="shared" si="8"/>
        <v>4.1963117305574081E-2</v>
      </c>
      <c r="F84" s="28">
        <f t="shared" si="9"/>
        <v>4.3528867251176759E-2</v>
      </c>
      <c r="G84" s="2">
        <f t="shared" si="14"/>
        <v>1</v>
      </c>
      <c r="H84" s="2">
        <f t="shared" si="15"/>
        <v>0.36449057933102513</v>
      </c>
      <c r="I84" s="2">
        <f t="shared" si="10"/>
        <v>2345.2131952624113</v>
      </c>
      <c r="J84" s="2">
        <f t="shared" si="11"/>
        <v>1733.3221534608738</v>
      </c>
      <c r="K84" s="196">
        <f t="shared" si="12"/>
        <v>67.093702059385606</v>
      </c>
      <c r="L84" s="389">
        <f t="shared" si="13"/>
        <v>51.438504912195633</v>
      </c>
      <c r="N84" s="814"/>
    </row>
    <row r="85" spans="1:14" ht="15" customHeight="1">
      <c r="A85" s="801" t="s">
        <v>8420</v>
      </c>
      <c r="B85" s="813">
        <v>304.49</v>
      </c>
      <c r="C85" s="581">
        <v>559</v>
      </c>
      <c r="D85" s="581">
        <v>3981</v>
      </c>
      <c r="E85" s="28">
        <f t="shared" si="8"/>
        <v>5.9896777328554827E-2</v>
      </c>
      <c r="F85" s="28">
        <f t="shared" si="9"/>
        <v>5.9896777328554834E-2</v>
      </c>
      <c r="G85" s="2">
        <f t="shared" si="14"/>
        <v>1</v>
      </c>
      <c r="H85" s="2">
        <f t="shared" si="15"/>
        <v>0.36449057933102513</v>
      </c>
      <c r="I85" s="2">
        <f t="shared" si="10"/>
        <v>3401.6894219266851</v>
      </c>
      <c r="J85" s="2">
        <f t="shared" si="11"/>
        <v>24225.627171180913</v>
      </c>
      <c r="K85" s="196">
        <f t="shared" si="12"/>
        <v>0</v>
      </c>
      <c r="L85" s="389">
        <f t="shared" si="13"/>
        <v>0</v>
      </c>
      <c r="N85" s="814"/>
    </row>
    <row r="86" spans="1:14" ht="15" customHeight="1">
      <c r="A86" s="801" t="s">
        <v>1815</v>
      </c>
      <c r="B86" s="813">
        <v>304.89</v>
      </c>
      <c r="C86" s="581">
        <v>5744</v>
      </c>
      <c r="D86" s="581">
        <v>3594</v>
      </c>
      <c r="E86" s="28">
        <f t="shared" si="8"/>
        <v>0</v>
      </c>
      <c r="F86" s="28">
        <f t="shared" si="9"/>
        <v>0</v>
      </c>
      <c r="G86" s="2">
        <f t="shared" si="14"/>
        <v>1</v>
      </c>
      <c r="H86" s="2">
        <f t="shared" si="15"/>
        <v>0.36449057933102513</v>
      </c>
      <c r="I86" s="2">
        <f t="shared" si="10"/>
        <v>0</v>
      </c>
      <c r="J86" s="2">
        <f t="shared" si="11"/>
        <v>0</v>
      </c>
      <c r="K86" s="196">
        <f t="shared" si="12"/>
        <v>0</v>
      </c>
      <c r="L86" s="389">
        <f t="shared" si="13"/>
        <v>0</v>
      </c>
      <c r="N86" s="814"/>
    </row>
    <row r="87" spans="1:14" ht="15" customHeight="1">
      <c r="A87" s="801" t="s">
        <v>4837</v>
      </c>
      <c r="B87" s="813">
        <v>305.10000000000002</v>
      </c>
      <c r="C87" s="581">
        <v>334</v>
      </c>
      <c r="D87" s="581">
        <v>5</v>
      </c>
      <c r="E87" s="28">
        <f t="shared" si="8"/>
        <v>9.9741199493811439E-2</v>
      </c>
      <c r="F87" s="28">
        <f t="shared" si="9"/>
        <v>5.7079133275053394E-2</v>
      </c>
      <c r="G87" s="2">
        <f t="shared" si="14"/>
        <v>1</v>
      </c>
      <c r="H87" s="2">
        <f t="shared" si="15"/>
        <v>0.36449057933102513</v>
      </c>
      <c r="I87" s="2">
        <f t="shared" si="10"/>
        <v>1220.5573435490505</v>
      </c>
      <c r="J87" s="2">
        <f t="shared" si="11"/>
        <v>31.928531357914544</v>
      </c>
      <c r="K87" s="196">
        <f t="shared" si="12"/>
        <v>0</v>
      </c>
      <c r="L87" s="389">
        <f t="shared" si="13"/>
        <v>0</v>
      </c>
      <c r="N87" s="814"/>
    </row>
    <row r="88" spans="1:14" ht="15" customHeight="1">
      <c r="A88" s="801" t="s">
        <v>8421</v>
      </c>
      <c r="B88" s="813">
        <v>305.72000000000003</v>
      </c>
      <c r="C88" s="581">
        <v>49</v>
      </c>
      <c r="D88" s="581">
        <v>1</v>
      </c>
      <c r="E88" s="28">
        <f t="shared" si="8"/>
        <v>1.4974194332138707E-2</v>
      </c>
      <c r="F88" s="28">
        <f t="shared" si="9"/>
        <v>1.4974194332138709E-2</v>
      </c>
      <c r="G88" s="2">
        <f t="shared" si="14"/>
        <v>1</v>
      </c>
      <c r="H88" s="2">
        <f t="shared" si="15"/>
        <v>0.36449057933102513</v>
      </c>
      <c r="I88" s="2">
        <f t="shared" si="10"/>
        <v>1192.7211568830596</v>
      </c>
      <c r="J88" s="2">
        <f t="shared" si="11"/>
        <v>24.341248099654273</v>
      </c>
      <c r="K88" s="196">
        <f t="shared" si="12"/>
        <v>0</v>
      </c>
      <c r="L88" s="389">
        <f t="shared" si="13"/>
        <v>0</v>
      </c>
      <c r="N88" s="814"/>
    </row>
    <row r="89" spans="1:14" ht="15" customHeight="1">
      <c r="A89" t="s">
        <v>9123</v>
      </c>
      <c r="B89">
        <v>302.99</v>
      </c>
      <c r="C89" s="581">
        <v>20</v>
      </c>
      <c r="D89" s="581">
        <v>0</v>
      </c>
      <c r="E89" s="28">
        <f t="shared" si="8"/>
        <v>0.23958710931421931</v>
      </c>
      <c r="F89" s="28">
        <f t="shared" si="9"/>
        <v>0.23958710931421934</v>
      </c>
      <c r="G89" s="2">
        <f t="shared" si="14"/>
        <v>1</v>
      </c>
      <c r="H89" s="2">
        <f t="shared" si="15"/>
        <v>0.36449057933102513</v>
      </c>
      <c r="I89" s="2">
        <f t="shared" si="10"/>
        <v>30.426560124567843</v>
      </c>
      <c r="J89" s="2">
        <f t="shared" si="11"/>
        <v>0</v>
      </c>
      <c r="K89" s="196">
        <f t="shared" si="12"/>
        <v>0</v>
      </c>
      <c r="L89" s="389">
        <f t="shared" si="13"/>
        <v>0</v>
      </c>
      <c r="N89" s="814"/>
    </row>
    <row r="90" spans="1:14" ht="15" customHeight="1">
      <c r="A90" t="s">
        <v>9127</v>
      </c>
      <c r="B90">
        <v>303.99</v>
      </c>
      <c r="C90" s="581"/>
      <c r="D90" s="581">
        <v>43</v>
      </c>
      <c r="E90" s="28">
        <f t="shared" si="8"/>
        <v>0.23958710931421931</v>
      </c>
      <c r="F90" s="28">
        <f t="shared" si="9"/>
        <v>0.23958710931421934</v>
      </c>
      <c r="G90" s="2">
        <f t="shared" si="14"/>
        <v>1</v>
      </c>
      <c r="H90" s="2">
        <f t="shared" si="15"/>
        <v>0.36449057933102513</v>
      </c>
      <c r="I90" s="2">
        <f t="shared" si="10"/>
        <v>0</v>
      </c>
      <c r="J90" s="2">
        <f t="shared" si="11"/>
        <v>65.417104267820861</v>
      </c>
      <c r="K90" s="196">
        <f t="shared" si="12"/>
        <v>0</v>
      </c>
      <c r="L90" s="389">
        <f t="shared" si="13"/>
        <v>0</v>
      </c>
      <c r="N90" s="814"/>
    </row>
    <row r="91" spans="1:14" ht="15" customHeight="1">
      <c r="A91" s="801" t="s">
        <v>8514</v>
      </c>
      <c r="B91" s="813">
        <v>305.2</v>
      </c>
      <c r="C91" s="581">
        <v>299</v>
      </c>
      <c r="D91" s="581">
        <v>1391</v>
      </c>
      <c r="E91" s="28">
        <f t="shared" si="8"/>
        <v>1.4974194332138707E-2</v>
      </c>
      <c r="F91" s="28">
        <f t="shared" si="9"/>
        <v>1.4974194332138709E-2</v>
      </c>
      <c r="G91" s="2">
        <f t="shared" si="14"/>
        <v>1</v>
      </c>
      <c r="H91" s="2">
        <f t="shared" si="15"/>
        <v>0.36449057933102513</v>
      </c>
      <c r="I91" s="2">
        <f t="shared" si="10"/>
        <v>7278.0331817966289</v>
      </c>
      <c r="J91" s="2">
        <f t="shared" si="11"/>
        <v>33858.676106619096</v>
      </c>
      <c r="K91" s="196">
        <f t="shared" si="12"/>
        <v>0</v>
      </c>
      <c r="L91" s="389">
        <f t="shared" si="13"/>
        <v>0</v>
      </c>
      <c r="N91" s="814"/>
    </row>
    <row r="92" spans="1:14" ht="15" customHeight="1">
      <c r="A92" s="801" t="s">
        <v>6056</v>
      </c>
      <c r="B92" s="813">
        <v>303.89999999999998</v>
      </c>
      <c r="C92" s="581"/>
      <c r="D92" s="581"/>
      <c r="E92" s="28">
        <f t="shared" si="8"/>
        <v>0</v>
      </c>
      <c r="F92" s="28">
        <f t="shared" si="9"/>
        <v>0</v>
      </c>
      <c r="G92" s="2">
        <f t="shared" si="14"/>
        <v>1</v>
      </c>
      <c r="H92" s="2">
        <f t="shared" si="15"/>
        <v>0.36449057933102513</v>
      </c>
      <c r="I92" s="2">
        <f t="shared" si="10"/>
        <v>0</v>
      </c>
      <c r="J92" s="2">
        <f t="shared" si="11"/>
        <v>0</v>
      </c>
      <c r="K92" s="196">
        <f t="shared" si="12"/>
        <v>0</v>
      </c>
      <c r="L92" s="389">
        <f t="shared" si="13"/>
        <v>0</v>
      </c>
      <c r="N92" s="814"/>
    </row>
    <row r="93" spans="1:14" ht="15" customHeight="1">
      <c r="A93" s="801" t="s">
        <v>8515</v>
      </c>
      <c r="B93" s="813">
        <v>304.99</v>
      </c>
      <c r="C93" s="581">
        <v>6942</v>
      </c>
      <c r="D93" s="581">
        <v>2435</v>
      </c>
      <c r="E93" s="28">
        <f t="shared" si="8"/>
        <v>5.7891978316380675E-2</v>
      </c>
      <c r="F93" s="28">
        <f t="shared" si="9"/>
        <v>3.9814002770175265E-2</v>
      </c>
      <c r="G93" s="2">
        <f t="shared" si="14"/>
        <v>1</v>
      </c>
      <c r="H93" s="2">
        <f t="shared" si="15"/>
        <v>0.36449057933102513</v>
      </c>
      <c r="I93" s="2">
        <f t="shared" si="10"/>
        <v>43707.153828599148</v>
      </c>
      <c r="J93" s="2">
        <f t="shared" si="11"/>
        <v>22292.020367665715</v>
      </c>
      <c r="K93" s="196">
        <f t="shared" si="12"/>
        <v>1231.520048291377</v>
      </c>
      <c r="L93" s="389">
        <f t="shared" si="13"/>
        <v>431.97224396276334</v>
      </c>
      <c r="N93" s="814"/>
    </row>
    <row r="94" spans="1:14" ht="15" customHeight="1">
      <c r="A94" s="801" t="s">
        <v>6057</v>
      </c>
      <c r="B94" s="813">
        <v>1504.2</v>
      </c>
      <c r="C94" s="581">
        <v>44166</v>
      </c>
      <c r="D94" s="581">
        <v>4067</v>
      </c>
      <c r="E94" s="28">
        <f t="shared" si="8"/>
        <v>0.11557123608902925</v>
      </c>
      <c r="F94" s="28">
        <f t="shared" si="9"/>
        <v>6.6138225938396314E-2</v>
      </c>
      <c r="G94" s="2">
        <f t="shared" si="14"/>
        <v>1</v>
      </c>
      <c r="H94" s="2">
        <f t="shared" si="15"/>
        <v>0.36449057933102513</v>
      </c>
      <c r="I94" s="2">
        <f t="shared" si="10"/>
        <v>139291.50082234162</v>
      </c>
      <c r="J94" s="2">
        <f t="shared" si="11"/>
        <v>22413.410174019908</v>
      </c>
      <c r="K94" s="196">
        <f t="shared" si="12"/>
        <v>0</v>
      </c>
      <c r="L94" s="389">
        <f t="shared" si="13"/>
        <v>0</v>
      </c>
      <c r="N94" s="814"/>
    </row>
    <row r="95" spans="1:14" ht="15" customHeight="1">
      <c r="A95" s="801" t="s">
        <v>6058</v>
      </c>
      <c r="B95" s="813">
        <v>511.91</v>
      </c>
      <c r="C95" s="581">
        <v>34451</v>
      </c>
      <c r="D95" s="581">
        <v>22330</v>
      </c>
      <c r="E95" s="28">
        <f t="shared" si="8"/>
        <v>0</v>
      </c>
      <c r="F95" s="28">
        <f t="shared" si="9"/>
        <v>0</v>
      </c>
      <c r="G95" s="2">
        <f t="shared" si="14"/>
        <v>1</v>
      </c>
      <c r="H95" s="2">
        <f t="shared" si="15"/>
        <v>0.36449057933102513</v>
      </c>
      <c r="I95" s="2">
        <f t="shared" si="10"/>
        <v>0</v>
      </c>
      <c r="J95" s="2">
        <f t="shared" si="11"/>
        <v>0</v>
      </c>
      <c r="K95" s="196">
        <f t="shared" si="12"/>
        <v>0</v>
      </c>
      <c r="L95" s="389">
        <f t="shared" si="13"/>
        <v>0</v>
      </c>
      <c r="N95" s="814"/>
    </row>
    <row r="96" spans="1:14" ht="15" customHeight="1">
      <c r="A96" s="801" t="s">
        <v>6059</v>
      </c>
      <c r="B96" s="813">
        <v>1504.1</v>
      </c>
      <c r="C96" s="581">
        <v>218</v>
      </c>
      <c r="D96" s="581">
        <v>38</v>
      </c>
      <c r="E96" s="28">
        <f t="shared" si="8"/>
        <v>1.8568000971851996E-2</v>
      </c>
      <c r="F96" s="28">
        <f t="shared" si="9"/>
        <v>1.8568000971851999E-2</v>
      </c>
      <c r="G96" s="2">
        <f t="shared" si="14"/>
        <v>1</v>
      </c>
      <c r="H96" s="2">
        <f t="shared" si="15"/>
        <v>0.36449057933102513</v>
      </c>
      <c r="I96" s="2">
        <f t="shared" si="10"/>
        <v>4279.3484562295425</v>
      </c>
      <c r="J96" s="2">
        <f t="shared" si="11"/>
        <v>745.94147402166311</v>
      </c>
      <c r="K96" s="196">
        <f t="shared" si="12"/>
        <v>0</v>
      </c>
      <c r="L96" s="389">
        <f t="shared" si="13"/>
        <v>0</v>
      </c>
      <c r="N96" s="814"/>
    </row>
    <row r="97" spans="1:14" ht="15" customHeight="1">
      <c r="A97" s="801" t="s">
        <v>8422</v>
      </c>
      <c r="B97" s="813">
        <v>304.43</v>
      </c>
      <c r="C97" s="581">
        <v>337</v>
      </c>
      <c r="D97" s="581">
        <v>399</v>
      </c>
      <c r="E97" s="28">
        <f t="shared" si="8"/>
        <v>0</v>
      </c>
      <c r="F97" s="28">
        <f t="shared" si="9"/>
        <v>0</v>
      </c>
      <c r="G97" s="2">
        <f t="shared" si="14"/>
        <v>1</v>
      </c>
      <c r="H97" s="2">
        <f t="shared" si="15"/>
        <v>0.36449057933102513</v>
      </c>
      <c r="I97" s="2">
        <f t="shared" si="10"/>
        <v>0</v>
      </c>
      <c r="J97" s="2">
        <f t="shared" si="11"/>
        <v>0</v>
      </c>
      <c r="K97" s="196">
        <f t="shared" si="12"/>
        <v>0</v>
      </c>
      <c r="L97" s="389">
        <f t="shared" si="13"/>
        <v>0</v>
      </c>
      <c r="N97" s="814"/>
    </row>
    <row r="98" spans="1:14" ht="15" customHeight="1">
      <c r="A98" s="801" t="s">
        <v>8399</v>
      </c>
      <c r="B98" s="813">
        <v>304.83</v>
      </c>
      <c r="C98" s="581">
        <v>5433</v>
      </c>
      <c r="D98" s="581">
        <v>4714</v>
      </c>
      <c r="E98" s="28">
        <f t="shared" si="8"/>
        <v>0</v>
      </c>
      <c r="F98" s="28">
        <f t="shared" si="9"/>
        <v>0</v>
      </c>
      <c r="G98" s="2">
        <f t="shared" si="14"/>
        <v>1</v>
      </c>
      <c r="H98" s="2">
        <f t="shared" si="15"/>
        <v>0.36449057933102513</v>
      </c>
      <c r="I98" s="2">
        <f t="shared" si="10"/>
        <v>0</v>
      </c>
      <c r="J98" s="2">
        <f t="shared" si="11"/>
        <v>0</v>
      </c>
      <c r="K98" s="196">
        <f t="shared" si="12"/>
        <v>0</v>
      </c>
      <c r="L98" s="389">
        <f t="shared" si="13"/>
        <v>0</v>
      </c>
      <c r="N98" s="814"/>
    </row>
    <row r="99" spans="1:14" ht="15" customHeight="1">
      <c r="A99" s="801" t="s">
        <v>6061</v>
      </c>
      <c r="B99" s="813">
        <v>302.36</v>
      </c>
      <c r="C99" s="581">
        <v>79</v>
      </c>
      <c r="D99" s="581">
        <v>0</v>
      </c>
      <c r="E99" s="28">
        <f t="shared" si="8"/>
        <v>7.4049930155459139E-3</v>
      </c>
      <c r="F99" s="28">
        <f t="shared" si="9"/>
        <v>7.2307536164370875E-3</v>
      </c>
      <c r="G99" s="2">
        <f t="shared" si="14"/>
        <v>1</v>
      </c>
      <c r="H99" s="2">
        <f t="shared" si="15"/>
        <v>0.36449057933102513</v>
      </c>
      <c r="I99" s="2">
        <f t="shared" si="10"/>
        <v>3888.5594769231757</v>
      </c>
      <c r="J99" s="2">
        <f t="shared" si="11"/>
        <v>0</v>
      </c>
      <c r="K99" s="196">
        <f t="shared" si="12"/>
        <v>0.3943160701543143</v>
      </c>
      <c r="L99" s="389">
        <f t="shared" si="13"/>
        <v>0</v>
      </c>
      <c r="N99" s="814"/>
    </row>
    <row r="100" spans="1:14" ht="15" customHeight="1">
      <c r="A100" s="801" t="s">
        <v>8424</v>
      </c>
      <c r="B100" s="813">
        <v>304.79000000000002</v>
      </c>
      <c r="C100" s="581">
        <v>226</v>
      </c>
      <c r="D100" s="581">
        <v>6</v>
      </c>
      <c r="E100" s="28">
        <f t="shared" si="8"/>
        <v>6.1662562041602158E-3</v>
      </c>
      <c r="F100" s="28">
        <f t="shared" si="9"/>
        <v>5.9862196842425551E-3</v>
      </c>
      <c r="G100" s="2">
        <f t="shared" si="14"/>
        <v>1</v>
      </c>
      <c r="H100" s="2">
        <f t="shared" si="15"/>
        <v>0.36449057933102513</v>
      </c>
      <c r="I100" s="2">
        <f t="shared" si="10"/>
        <v>13358.976370984303</v>
      </c>
      <c r="J100" s="2">
        <f t="shared" si="11"/>
        <v>365.329638961098</v>
      </c>
      <c r="K100" s="196">
        <f t="shared" si="12"/>
        <v>3.5725922595473546E-2</v>
      </c>
      <c r="L100" s="389">
        <f t="shared" si="13"/>
        <v>9.4847582111876679E-4</v>
      </c>
      <c r="N100" s="814"/>
    </row>
    <row r="101" spans="1:14" ht="15" customHeight="1">
      <c r="A101" s="801" t="s">
        <v>8425</v>
      </c>
      <c r="B101" s="813">
        <v>305.32</v>
      </c>
      <c r="C101" s="581">
        <v>1739</v>
      </c>
      <c r="D101" s="581">
        <v>2173</v>
      </c>
      <c r="E101" s="28">
        <f t="shared" si="8"/>
        <v>5.8981581083271638E-3</v>
      </c>
      <c r="F101" s="28">
        <f t="shared" si="9"/>
        <v>5.725949263188531E-3</v>
      </c>
      <c r="G101" s="2">
        <f t="shared" si="14"/>
        <v>1</v>
      </c>
      <c r="H101" s="2">
        <f t="shared" si="15"/>
        <v>0.36449057933102513</v>
      </c>
      <c r="I101" s="2">
        <f t="shared" si="10"/>
        <v>107465.60295862009</v>
      </c>
      <c r="J101" s="2">
        <f t="shared" si="11"/>
        <v>138324.31837603572</v>
      </c>
      <c r="K101" s="196">
        <f t="shared" si="12"/>
        <v>0.26294773887218686</v>
      </c>
      <c r="L101" s="389">
        <f t="shared" si="13"/>
        <v>0.32857126887249111</v>
      </c>
      <c r="N101" s="814"/>
    </row>
    <row r="102" spans="1:14" ht="15" customHeight="1">
      <c r="A102" s="801" t="s">
        <v>8426</v>
      </c>
      <c r="B102" s="813">
        <v>304.44</v>
      </c>
      <c r="C102" s="581">
        <v>1744</v>
      </c>
      <c r="D102" s="581">
        <v>985</v>
      </c>
      <c r="E102" s="28">
        <f t="shared" si="8"/>
        <v>6.1662562041602158E-3</v>
      </c>
      <c r="F102" s="28">
        <f t="shared" si="9"/>
        <v>5.9862196842425551E-3</v>
      </c>
      <c r="G102" s="2">
        <f t="shared" si="14"/>
        <v>1</v>
      </c>
      <c r="H102" s="2">
        <f t="shared" si="15"/>
        <v>0.36449057933102513</v>
      </c>
      <c r="I102" s="2">
        <f t="shared" si="10"/>
        <v>103088.7380132594</v>
      </c>
      <c r="J102" s="2">
        <f t="shared" si="11"/>
        <v>59974.949062780252</v>
      </c>
      <c r="K102" s="196">
        <f t="shared" si="12"/>
        <v>0.27569030533852157</v>
      </c>
      <c r="L102" s="389">
        <f t="shared" si="13"/>
        <v>0.15570811396699755</v>
      </c>
      <c r="N102" s="814"/>
    </row>
    <row r="103" spans="1:14" ht="15" customHeight="1">
      <c r="A103" s="801" t="s">
        <v>8427</v>
      </c>
      <c r="B103" s="813">
        <v>304.52999999999997</v>
      </c>
      <c r="C103" s="581">
        <v>211</v>
      </c>
      <c r="D103" s="581">
        <v>1</v>
      </c>
      <c r="E103" s="28">
        <f t="shared" si="8"/>
        <v>1.3565763649152475E-2</v>
      </c>
      <c r="F103" s="28">
        <f t="shared" si="9"/>
        <v>1.3169683305333621E-2</v>
      </c>
      <c r="G103" s="2">
        <f t="shared" si="14"/>
        <v>1</v>
      </c>
      <c r="H103" s="2">
        <f t="shared" si="15"/>
        <v>0.36449057933102513</v>
      </c>
      <c r="I103" s="2">
        <f t="shared" si="10"/>
        <v>5669.2357487483669</v>
      </c>
      <c r="J103" s="2">
        <f t="shared" si="11"/>
        <v>27.676487800083187</v>
      </c>
      <c r="K103" s="196">
        <f t="shared" si="12"/>
        <v>7.3380412693888591E-2</v>
      </c>
      <c r="L103" s="389">
        <f t="shared" si="13"/>
        <v>3.4777446774354785E-4</v>
      </c>
      <c r="N103" s="814"/>
    </row>
    <row r="104" spans="1:14" ht="15" customHeight="1">
      <c r="A104" s="801" t="s">
        <v>6064</v>
      </c>
      <c r="B104" s="813">
        <v>302.20999999999998</v>
      </c>
      <c r="C104" s="581">
        <v>1300</v>
      </c>
      <c r="D104" s="581">
        <v>5444</v>
      </c>
      <c r="E104" s="28">
        <f t="shared" si="8"/>
        <v>7.5579835674534227E-3</v>
      </c>
      <c r="F104" s="28">
        <f t="shared" si="9"/>
        <v>7.4920372556577788E-3</v>
      </c>
      <c r="G104" s="2">
        <f t="shared" si="14"/>
        <v>1</v>
      </c>
      <c r="H104" s="2">
        <f t="shared" si="15"/>
        <v>0.36449057933102513</v>
      </c>
      <c r="I104" s="2">
        <f t="shared" si="10"/>
        <v>62693.673372193763</v>
      </c>
      <c r="J104" s="2">
        <f t="shared" si="11"/>
        <v>264852.75582147198</v>
      </c>
      <c r="K104" s="196">
        <f t="shared" si="12"/>
        <v>7.4192754439048718</v>
      </c>
      <c r="L104" s="389">
        <f t="shared" si="13"/>
        <v>31.069642705090864</v>
      </c>
      <c r="N104" s="814"/>
    </row>
    <row r="105" spans="1:14" ht="15" customHeight="1">
      <c r="A105" s="801" t="s">
        <v>6065</v>
      </c>
      <c r="B105" s="813">
        <v>303.31</v>
      </c>
      <c r="C105" s="581">
        <v>431</v>
      </c>
      <c r="D105" s="581">
        <v>8595</v>
      </c>
      <c r="E105" s="28">
        <f t="shared" si="8"/>
        <v>6.3861370685821687E-3</v>
      </c>
      <c r="F105" s="28">
        <f t="shared" si="9"/>
        <v>6.3304155679284784E-3</v>
      </c>
      <c r="G105" s="2">
        <f t="shared" si="14"/>
        <v>1</v>
      </c>
      <c r="H105" s="2">
        <f t="shared" si="15"/>
        <v>0.36449057933102513</v>
      </c>
      <c r="I105" s="2">
        <f t="shared" si="10"/>
        <v>24599.44689639267</v>
      </c>
      <c r="J105" s="2">
        <f t="shared" si="11"/>
        <v>494880.07473343745</v>
      </c>
      <c r="K105" s="196">
        <f t="shared" si="12"/>
        <v>2.0783931627192511</v>
      </c>
      <c r="L105" s="389">
        <f t="shared" si="13"/>
        <v>41.44730680643147</v>
      </c>
      <c r="N105" s="814"/>
    </row>
    <row r="106" spans="1:14" ht="15" customHeight="1">
      <c r="A106" s="801" t="s">
        <v>8428</v>
      </c>
      <c r="B106" s="813">
        <v>304.72000000000003</v>
      </c>
      <c r="C106" s="581">
        <v>4771</v>
      </c>
      <c r="D106" s="581">
        <v>707</v>
      </c>
      <c r="E106" s="28">
        <f t="shared" si="8"/>
        <v>1.2755186561344318E-2</v>
      </c>
      <c r="F106" s="28">
        <f t="shared" si="9"/>
        <v>1.2755186561344318E-2</v>
      </c>
      <c r="G106" s="2">
        <f t="shared" si="14"/>
        <v>1</v>
      </c>
      <c r="H106" s="2">
        <f t="shared" si="15"/>
        <v>0.36449057933102513</v>
      </c>
      <c r="I106" s="2">
        <f t="shared" si="10"/>
        <v>136335.48561794165</v>
      </c>
      <c r="J106" s="2">
        <f t="shared" si="11"/>
        <v>20203.141549336564</v>
      </c>
      <c r="K106" s="196">
        <f t="shared" si="12"/>
        <v>0</v>
      </c>
      <c r="L106" s="389">
        <f t="shared" si="13"/>
        <v>0</v>
      </c>
      <c r="N106" s="814"/>
    </row>
    <row r="107" spans="1:14" ht="15" customHeight="1">
      <c r="A107" s="801" t="s">
        <v>8429</v>
      </c>
      <c r="B107" s="813">
        <v>302.52</v>
      </c>
      <c r="C107" s="581">
        <v>49</v>
      </c>
      <c r="D107" s="581">
        <v>974</v>
      </c>
      <c r="E107" s="28">
        <f t="shared" si="8"/>
        <v>1.5505797292060209E-2</v>
      </c>
      <c r="F107" s="28">
        <f t="shared" si="9"/>
        <v>1.5505797292060209E-2</v>
      </c>
      <c r="G107" s="2">
        <f t="shared" si="14"/>
        <v>1</v>
      </c>
      <c r="H107" s="2">
        <f t="shared" si="15"/>
        <v>0.36449057933102513</v>
      </c>
      <c r="I107" s="2">
        <f t="shared" si="10"/>
        <v>1151.8297350866001</v>
      </c>
      <c r="J107" s="2">
        <f t="shared" si="11"/>
        <v>22895.55432600711</v>
      </c>
      <c r="K107" s="196">
        <f t="shared" si="12"/>
        <v>0</v>
      </c>
      <c r="L107" s="389">
        <f t="shared" si="13"/>
        <v>0</v>
      </c>
      <c r="N107" s="814"/>
    </row>
    <row r="108" spans="1:14" ht="15" customHeight="1">
      <c r="A108" s="801" t="s">
        <v>8430</v>
      </c>
      <c r="B108" s="813">
        <v>303.64</v>
      </c>
      <c r="C108" s="581">
        <v>1681</v>
      </c>
      <c r="D108" s="581">
        <v>148</v>
      </c>
      <c r="E108" s="28">
        <f t="shared" si="8"/>
        <v>1.5505797292060209E-2</v>
      </c>
      <c r="F108" s="28">
        <f t="shared" si="9"/>
        <v>1.5505797292060209E-2</v>
      </c>
      <c r="G108" s="2">
        <f t="shared" si="14"/>
        <v>1</v>
      </c>
      <c r="H108" s="2">
        <f t="shared" si="15"/>
        <v>0.36449057933102513</v>
      </c>
      <c r="I108" s="2">
        <f t="shared" si="10"/>
        <v>39514.811932256627</v>
      </c>
      <c r="J108" s="2">
        <f t="shared" si="11"/>
        <v>3478.9959345472821</v>
      </c>
      <c r="K108" s="196">
        <f t="shared" si="12"/>
        <v>0</v>
      </c>
      <c r="L108" s="389">
        <f t="shared" si="13"/>
        <v>0</v>
      </c>
      <c r="N108" s="814"/>
    </row>
    <row r="109" spans="1:14" ht="15" customHeight="1">
      <c r="A109" s="801" t="s">
        <v>8400</v>
      </c>
      <c r="B109" s="813">
        <v>304.74</v>
      </c>
      <c r="C109" s="581">
        <v>219</v>
      </c>
      <c r="D109" s="581">
        <v>145</v>
      </c>
      <c r="E109" s="28">
        <f t="shared" si="8"/>
        <v>7.426195372296298E-3</v>
      </c>
      <c r="F109" s="28">
        <f t="shared" si="9"/>
        <v>6.9273270968383885E-3</v>
      </c>
      <c r="G109" s="2">
        <f t="shared" si="14"/>
        <v>1</v>
      </c>
      <c r="H109" s="2">
        <f t="shared" si="15"/>
        <v>0.36449057933102513</v>
      </c>
      <c r="I109" s="2">
        <f t="shared" si="10"/>
        <v>10748.900732032833</v>
      </c>
      <c r="J109" s="2">
        <f t="shared" si="11"/>
        <v>7629.3689130284811</v>
      </c>
      <c r="K109" s="196">
        <f t="shared" si="12"/>
        <v>0</v>
      </c>
      <c r="L109" s="389">
        <f t="shared" si="13"/>
        <v>0</v>
      </c>
      <c r="N109" s="814"/>
    </row>
    <row r="110" spans="1:14" ht="15" customHeight="1">
      <c r="A110" s="801" t="s">
        <v>8423</v>
      </c>
      <c r="B110" s="813">
        <v>302.54000000000002</v>
      </c>
      <c r="C110" s="581">
        <v>137</v>
      </c>
      <c r="D110" s="581">
        <v>3993</v>
      </c>
      <c r="E110" s="28">
        <f t="shared" si="8"/>
        <v>9.4274882212080444E-3</v>
      </c>
      <c r="F110" s="28">
        <f t="shared" si="9"/>
        <v>8.794179433190049E-3</v>
      </c>
      <c r="G110" s="2">
        <f t="shared" si="14"/>
        <v>1</v>
      </c>
      <c r="H110" s="2">
        <f t="shared" si="15"/>
        <v>0.36449057933102513</v>
      </c>
      <c r="I110" s="2">
        <f t="shared" si="10"/>
        <v>5296.7670917918913</v>
      </c>
      <c r="J110" s="2">
        <f t="shared" si="11"/>
        <v>165497.06477172021</v>
      </c>
      <c r="K110" s="196">
        <f t="shared" si="12"/>
        <v>0</v>
      </c>
      <c r="L110" s="389">
        <f t="shared" si="13"/>
        <v>0</v>
      </c>
      <c r="N110" s="814"/>
    </row>
    <row r="111" spans="1:14" ht="15" customHeight="1">
      <c r="A111" s="801" t="s">
        <v>8433</v>
      </c>
      <c r="B111" s="813">
        <v>303.66000000000003</v>
      </c>
      <c r="C111" s="581">
        <v>434</v>
      </c>
      <c r="D111" s="581">
        <v>59729</v>
      </c>
      <c r="E111" s="28">
        <f t="shared" si="8"/>
        <v>9.4274882212080444E-3</v>
      </c>
      <c r="F111" s="28">
        <f t="shared" si="9"/>
        <v>8.794179433190049E-3</v>
      </c>
      <c r="G111" s="2">
        <f t="shared" si="14"/>
        <v>1</v>
      </c>
      <c r="H111" s="2">
        <f t="shared" si="15"/>
        <v>0.36449057933102513</v>
      </c>
      <c r="I111" s="2">
        <f t="shared" si="10"/>
        <v>16779.539546260443</v>
      </c>
      <c r="J111" s="2">
        <f t="shared" si="11"/>
        <v>2475575.8030929319</v>
      </c>
      <c r="K111" s="196">
        <f t="shared" si="12"/>
        <v>0</v>
      </c>
      <c r="L111" s="389">
        <f t="shared" si="13"/>
        <v>0</v>
      </c>
      <c r="N111" s="814"/>
    </row>
    <row r="112" spans="1:14" ht="15" customHeight="1">
      <c r="A112" s="801" t="s">
        <v>8434</v>
      </c>
      <c r="B112" s="813">
        <v>304.86</v>
      </c>
      <c r="C112" s="581">
        <v>149</v>
      </c>
      <c r="D112" s="581">
        <v>1031</v>
      </c>
      <c r="E112" s="28">
        <f t="shared" si="8"/>
        <v>0.11799231819163805</v>
      </c>
      <c r="F112" s="28">
        <f t="shared" si="9"/>
        <v>0.11690274388776356</v>
      </c>
      <c r="G112" s="2">
        <f t="shared" si="14"/>
        <v>1</v>
      </c>
      <c r="H112" s="2">
        <f t="shared" si="15"/>
        <v>0.36449057933102513</v>
      </c>
      <c r="I112" s="2">
        <f t="shared" si="10"/>
        <v>460.27654302135369</v>
      </c>
      <c r="J112" s="2">
        <f t="shared" si="11"/>
        <v>3214.550615262518</v>
      </c>
      <c r="K112" s="196">
        <f t="shared" si="12"/>
        <v>0</v>
      </c>
      <c r="L112" s="389">
        <f t="shared" si="13"/>
        <v>0</v>
      </c>
      <c r="N112" s="814"/>
    </row>
    <row r="113" spans="1:14" ht="15" customHeight="1">
      <c r="A113" s="801" t="s">
        <v>8435</v>
      </c>
      <c r="B113" s="813">
        <v>302.41000000000003</v>
      </c>
      <c r="C113" s="581">
        <v>3605</v>
      </c>
      <c r="D113" s="581">
        <v>2534</v>
      </c>
      <c r="E113" s="28">
        <f t="shared" si="8"/>
        <v>0.13367882725738719</v>
      </c>
      <c r="F113" s="28">
        <f t="shared" si="9"/>
        <v>0.13244439931000876</v>
      </c>
      <c r="G113" s="2">
        <f t="shared" si="14"/>
        <v>1</v>
      </c>
      <c r="H113" s="2">
        <f t="shared" si="15"/>
        <v>0.36449057933102513</v>
      </c>
      <c r="I113" s="2">
        <f t="shared" si="10"/>
        <v>9829.4439399769162</v>
      </c>
      <c r="J113" s="2">
        <f t="shared" si="11"/>
        <v>6973.6367323689483</v>
      </c>
      <c r="K113" s="196">
        <f t="shared" si="12"/>
        <v>0</v>
      </c>
      <c r="L113" s="389">
        <f t="shared" si="13"/>
        <v>0</v>
      </c>
      <c r="N113" s="814"/>
    </row>
    <row r="114" spans="1:14" ht="15" customHeight="1">
      <c r="A114" s="801" t="s">
        <v>6068</v>
      </c>
      <c r="B114" s="813">
        <v>303.51</v>
      </c>
      <c r="C114" s="581">
        <v>2993</v>
      </c>
      <c r="D114" s="581">
        <v>8610</v>
      </c>
      <c r="E114" s="28">
        <f t="shared" si="8"/>
        <v>0.11799231819163805</v>
      </c>
      <c r="F114" s="28">
        <f t="shared" si="9"/>
        <v>0.11690274388776356</v>
      </c>
      <c r="G114" s="2">
        <f t="shared" si="14"/>
        <v>1</v>
      </c>
      <c r="H114" s="2">
        <f t="shared" si="15"/>
        <v>0.36449057933102513</v>
      </c>
      <c r="I114" s="2">
        <f t="shared" si="10"/>
        <v>9245.6892165296085</v>
      </c>
      <c r="J114" s="2">
        <f t="shared" si="11"/>
        <v>26845.083217662734</v>
      </c>
      <c r="K114" s="196">
        <f t="shared" si="12"/>
        <v>0</v>
      </c>
      <c r="L114" s="389">
        <f t="shared" si="13"/>
        <v>0</v>
      </c>
      <c r="N114" s="814"/>
    </row>
    <row r="115" spans="1:14" ht="15" customHeight="1">
      <c r="A115" s="801" t="s">
        <v>6069</v>
      </c>
      <c r="B115" s="813">
        <v>305.42</v>
      </c>
      <c r="C115" s="581">
        <v>35</v>
      </c>
      <c r="D115" s="581">
        <v>12338</v>
      </c>
      <c r="E115" s="28">
        <f t="shared" si="8"/>
        <v>0.11311760348061582</v>
      </c>
      <c r="F115" s="28">
        <f t="shared" si="9"/>
        <v>0.11207304366555934</v>
      </c>
      <c r="G115" s="2">
        <f t="shared" si="14"/>
        <v>1</v>
      </c>
      <c r="H115" s="2">
        <f t="shared" si="15"/>
        <v>0.36449057933102513</v>
      </c>
      <c r="I115" s="2">
        <f t="shared" si="10"/>
        <v>112.77793980821019</v>
      </c>
      <c r="J115" s="2">
        <f t="shared" si="11"/>
        <v>40126.373128636347</v>
      </c>
      <c r="K115" s="196">
        <f t="shared" si="12"/>
        <v>0</v>
      </c>
      <c r="L115" s="389">
        <f t="shared" si="13"/>
        <v>0</v>
      </c>
      <c r="N115" s="814"/>
    </row>
    <row r="116" spans="1:14" ht="15" customHeight="1">
      <c r="A116" s="801" t="s">
        <v>6070</v>
      </c>
      <c r="B116" s="813">
        <v>1604.12</v>
      </c>
      <c r="C116" s="581">
        <v>795</v>
      </c>
      <c r="D116" s="581">
        <v>6169</v>
      </c>
      <c r="E116" s="28">
        <f t="shared" si="8"/>
        <v>0.11311760348061582</v>
      </c>
      <c r="F116" s="28">
        <f t="shared" si="9"/>
        <v>0.11207304366555934</v>
      </c>
      <c r="G116" s="2">
        <f t="shared" si="14"/>
        <v>1</v>
      </c>
      <c r="H116" s="2">
        <f t="shared" si="15"/>
        <v>0.36449057933102513</v>
      </c>
      <c r="I116" s="2">
        <f t="shared" si="10"/>
        <v>2561.6703470722027</v>
      </c>
      <c r="J116" s="2">
        <f t="shared" si="11"/>
        <v>20063.186564318174</v>
      </c>
      <c r="K116" s="196">
        <f t="shared" si="12"/>
        <v>0</v>
      </c>
      <c r="L116" s="389">
        <f t="shared" si="13"/>
        <v>0</v>
      </c>
      <c r="N116" s="814"/>
    </row>
    <row r="117" spans="1:14" ht="15" customHeight="1">
      <c r="A117" s="801" t="s">
        <v>6071</v>
      </c>
      <c r="B117" s="813">
        <v>305.61</v>
      </c>
      <c r="C117" s="581">
        <v>316</v>
      </c>
      <c r="D117" s="581">
        <v>611</v>
      </c>
      <c r="E117" s="28">
        <f t="shared" si="8"/>
        <v>0.11311760348061582</v>
      </c>
      <c r="F117" s="28">
        <f t="shared" si="9"/>
        <v>0.11207304366555934</v>
      </c>
      <c r="G117" s="2">
        <f t="shared" si="14"/>
        <v>1</v>
      </c>
      <c r="H117" s="2">
        <f t="shared" si="15"/>
        <v>0.36449057933102513</v>
      </c>
      <c r="I117" s="2">
        <f t="shared" si="10"/>
        <v>1018.2236851255549</v>
      </c>
      <c r="J117" s="2">
        <f t="shared" si="11"/>
        <v>1987.1303275730918</v>
      </c>
      <c r="K117" s="196">
        <f t="shared" si="12"/>
        <v>0</v>
      </c>
      <c r="L117" s="389">
        <f t="shared" si="13"/>
        <v>0</v>
      </c>
      <c r="N117" s="814"/>
    </row>
    <row r="118" spans="1:14" ht="15" customHeight="1">
      <c r="A118" t="s">
        <v>9120</v>
      </c>
      <c r="B118">
        <v>302.49</v>
      </c>
      <c r="C118" s="581">
        <v>469</v>
      </c>
      <c r="D118" s="581"/>
      <c r="E118" s="28">
        <f t="shared" si="8"/>
        <v>0.35326457061699712</v>
      </c>
      <c r="F118" s="28">
        <f t="shared" si="9"/>
        <v>0.24295035343731222</v>
      </c>
      <c r="G118" s="2">
        <f t="shared" si="14"/>
        <v>1</v>
      </c>
      <c r="H118" s="2">
        <f t="shared" si="15"/>
        <v>0.36449057933102513</v>
      </c>
      <c r="I118" s="2">
        <f t="shared" si="10"/>
        <v>483.90383843951156</v>
      </c>
      <c r="J118" s="2">
        <f t="shared" si="11"/>
        <v>0</v>
      </c>
      <c r="K118" s="196">
        <f t="shared" si="12"/>
        <v>507.70496730276358</v>
      </c>
      <c r="L118" s="389">
        <f t="shared" si="13"/>
        <v>0</v>
      </c>
      <c r="N118" s="814"/>
    </row>
    <row r="119" spans="1:14" ht="15" customHeight="1">
      <c r="A119" s="801" t="s">
        <v>8436</v>
      </c>
      <c r="B119" s="813">
        <v>302.45</v>
      </c>
      <c r="C119" s="581">
        <v>35</v>
      </c>
      <c r="D119" s="581">
        <v>0</v>
      </c>
      <c r="E119" s="28">
        <f t="shared" si="8"/>
        <v>5.9095944981236249E-2</v>
      </c>
      <c r="F119" s="28">
        <f t="shared" si="9"/>
        <v>6.3051569822182379E-2</v>
      </c>
      <c r="G119" s="2">
        <f t="shared" si="14"/>
        <v>1</v>
      </c>
      <c r="H119" s="2">
        <f t="shared" si="15"/>
        <v>0.36449057933102513</v>
      </c>
      <c r="I119" s="2">
        <f t="shared" si="10"/>
        <v>215.87217668888195</v>
      </c>
      <c r="J119" s="2">
        <f t="shared" si="11"/>
        <v>0</v>
      </c>
      <c r="K119" s="196">
        <f t="shared" si="12"/>
        <v>4.4492575304718226E-3</v>
      </c>
      <c r="L119" s="389">
        <f t="shared" si="13"/>
        <v>0</v>
      </c>
      <c r="N119" s="814"/>
    </row>
    <row r="120" spans="1:14" ht="15" customHeight="1">
      <c r="A120" s="801" t="s">
        <v>8467</v>
      </c>
      <c r="B120" s="813">
        <v>303.55</v>
      </c>
      <c r="C120" s="581">
        <v>673</v>
      </c>
      <c r="D120" s="581">
        <v>48</v>
      </c>
      <c r="E120" s="28">
        <f t="shared" si="8"/>
        <v>3.3204738146915616E-2</v>
      </c>
      <c r="F120" s="28">
        <f t="shared" si="9"/>
        <v>3.542731851334778E-2</v>
      </c>
      <c r="G120" s="2">
        <f t="shared" si="14"/>
        <v>1</v>
      </c>
      <c r="H120" s="2">
        <f t="shared" si="15"/>
        <v>0.36449057933102513</v>
      </c>
      <c r="I120" s="2">
        <f t="shared" si="10"/>
        <v>7387.5649554720558</v>
      </c>
      <c r="J120" s="2">
        <f t="shared" si="11"/>
        <v>493.84341073675932</v>
      </c>
      <c r="K120" s="196">
        <f t="shared" si="12"/>
        <v>4.8070312129655318E-2</v>
      </c>
      <c r="L120" s="389">
        <f t="shared" si="13"/>
        <v>3.4284918012235594E-3</v>
      </c>
      <c r="N120" s="814"/>
    </row>
    <row r="121" spans="1:14" ht="15" customHeight="1">
      <c r="A121" s="801" t="s">
        <v>8438</v>
      </c>
      <c r="B121" s="813">
        <v>308.3</v>
      </c>
      <c r="C121" s="581">
        <v>126</v>
      </c>
      <c r="D121" s="581">
        <v>0</v>
      </c>
      <c r="E121" s="28">
        <f t="shared" si="8"/>
        <v>2.8188461968251255E-2</v>
      </c>
      <c r="F121" s="28">
        <f t="shared" si="9"/>
        <v>1.938602783200068E-2</v>
      </c>
      <c r="G121" s="2">
        <f t="shared" si="14"/>
        <v>1</v>
      </c>
      <c r="H121" s="2">
        <f t="shared" si="15"/>
        <v>0.36449057933102513</v>
      </c>
      <c r="I121" s="2">
        <f t="shared" si="10"/>
        <v>1629.2415332001988</v>
      </c>
      <c r="J121" s="2">
        <f t="shared" si="11"/>
        <v>0</v>
      </c>
      <c r="K121" s="196">
        <f t="shared" si="12"/>
        <v>10.883796466124418</v>
      </c>
      <c r="L121" s="389">
        <f t="shared" si="13"/>
        <v>0</v>
      </c>
      <c r="N121" s="814"/>
    </row>
    <row r="122" spans="1:14" ht="15" customHeight="1">
      <c r="A122" s="801" t="s">
        <v>8479</v>
      </c>
      <c r="B122" s="813">
        <v>1605.63</v>
      </c>
      <c r="C122" s="581">
        <v>4</v>
      </c>
      <c r="D122" s="581">
        <v>0</v>
      </c>
      <c r="E122" s="28">
        <f t="shared" si="8"/>
        <v>2.8188461968251255E-2</v>
      </c>
      <c r="F122" s="28">
        <f t="shared" si="9"/>
        <v>1.938602783200068E-2</v>
      </c>
      <c r="G122" s="2">
        <f t="shared" si="14"/>
        <v>1</v>
      </c>
      <c r="H122" s="2">
        <f t="shared" si="15"/>
        <v>0.36449057933102513</v>
      </c>
      <c r="I122" s="2">
        <f t="shared" si="10"/>
        <v>51.721953434926945</v>
      </c>
      <c r="J122" s="2">
        <f t="shared" si="11"/>
        <v>0</v>
      </c>
      <c r="K122" s="196">
        <f t="shared" si="12"/>
        <v>0.34551734813093388</v>
      </c>
      <c r="L122" s="389">
        <f t="shared" si="13"/>
        <v>0</v>
      </c>
      <c r="N122" s="814"/>
    </row>
    <row r="123" spans="1:14" ht="15" customHeight="1">
      <c r="A123" s="801" t="s">
        <v>6072</v>
      </c>
      <c r="B123" s="813">
        <v>302.89999999999998</v>
      </c>
      <c r="C123" s="581"/>
      <c r="D123" s="581"/>
      <c r="E123" s="28">
        <f t="shared" si="8"/>
        <v>0</v>
      </c>
      <c r="F123" s="28">
        <f t="shared" si="9"/>
        <v>0</v>
      </c>
      <c r="G123" s="2">
        <f t="shared" si="14"/>
        <v>1</v>
      </c>
      <c r="H123" s="2">
        <f t="shared" si="15"/>
        <v>0.36449057933102513</v>
      </c>
      <c r="I123" s="2">
        <f t="shared" si="10"/>
        <v>0</v>
      </c>
      <c r="J123" s="2">
        <f t="shared" si="11"/>
        <v>0</v>
      </c>
      <c r="K123" s="196">
        <f t="shared" si="12"/>
        <v>0</v>
      </c>
      <c r="L123" s="389">
        <f t="shared" si="13"/>
        <v>0</v>
      </c>
      <c r="N123" s="814"/>
    </row>
    <row r="124" spans="1:14" ht="15" customHeight="1">
      <c r="A124" t="s">
        <v>9121</v>
      </c>
      <c r="B124">
        <v>302.91000000000003</v>
      </c>
      <c r="C124" s="581">
        <v>88</v>
      </c>
      <c r="D124" s="581">
        <v>35</v>
      </c>
      <c r="E124" s="28">
        <f t="shared" si="8"/>
        <v>5.9896777328554827E-2</v>
      </c>
      <c r="F124" s="28">
        <f t="shared" si="9"/>
        <v>5.9896777328554834E-2</v>
      </c>
      <c r="G124" s="2">
        <f t="shared" si="14"/>
        <v>1</v>
      </c>
      <c r="H124" s="2">
        <f t="shared" si="15"/>
        <v>0.36449057933102513</v>
      </c>
      <c r="I124" s="2">
        <f t="shared" si="10"/>
        <v>535.5074581923941</v>
      </c>
      <c r="J124" s="2">
        <f t="shared" si="11"/>
        <v>212.98592087197491</v>
      </c>
      <c r="K124" s="196">
        <f t="shared" si="12"/>
        <v>0</v>
      </c>
      <c r="L124" s="389">
        <f t="shared" si="13"/>
        <v>0</v>
      </c>
      <c r="N124" s="814"/>
    </row>
    <row r="125" spans="1:14" ht="15" customHeight="1">
      <c r="A125" t="s">
        <v>9125</v>
      </c>
      <c r="B125">
        <v>303.91000000000003</v>
      </c>
      <c r="C125" s="581">
        <v>479</v>
      </c>
      <c r="D125" s="581">
        <v>1835</v>
      </c>
      <c r="E125" s="28">
        <f t="shared" si="8"/>
        <v>5.9896777328554827E-2</v>
      </c>
      <c r="F125" s="28">
        <f t="shared" si="9"/>
        <v>5.9896777328554834E-2</v>
      </c>
      <c r="G125" s="2">
        <f t="shared" si="14"/>
        <v>1</v>
      </c>
      <c r="H125" s="2">
        <f t="shared" si="15"/>
        <v>0.36449057933102513</v>
      </c>
      <c r="I125" s="2">
        <f t="shared" si="10"/>
        <v>2914.8644599335998</v>
      </c>
      <c r="J125" s="2">
        <f t="shared" si="11"/>
        <v>11166.547565716397</v>
      </c>
      <c r="K125" s="196">
        <f t="shared" si="12"/>
        <v>0</v>
      </c>
      <c r="L125" s="389">
        <f t="shared" si="13"/>
        <v>0</v>
      </c>
      <c r="N125" s="814"/>
    </row>
    <row r="126" spans="1:14" ht="15" customHeight="1">
      <c r="A126" s="801" t="s">
        <v>6073</v>
      </c>
      <c r="B126" s="813">
        <v>1605.3</v>
      </c>
      <c r="C126" s="581">
        <v>331</v>
      </c>
      <c r="D126" s="581">
        <v>8182</v>
      </c>
      <c r="E126" s="28">
        <f t="shared" si="8"/>
        <v>7.44207245736343E-2</v>
      </c>
      <c r="F126" s="28">
        <f t="shared" si="9"/>
        <v>5.7637024974909461E-2</v>
      </c>
      <c r="G126" s="2">
        <f t="shared" si="14"/>
        <v>1</v>
      </c>
      <c r="H126" s="2">
        <f t="shared" si="15"/>
        <v>0.36449057933102513</v>
      </c>
      <c r="I126" s="2">
        <f t="shared" si="10"/>
        <v>1621.1395743560363</v>
      </c>
      <c r="J126" s="2">
        <f t="shared" si="11"/>
        <v>51742.120995743368</v>
      </c>
      <c r="K126" s="196">
        <f t="shared" si="12"/>
        <v>2.7548574243716959E-2</v>
      </c>
      <c r="L126" s="389">
        <f t="shared" si="13"/>
        <v>0.68097412224197018</v>
      </c>
      <c r="N126" s="814"/>
    </row>
    <row r="127" spans="1:14" ht="15" customHeight="1">
      <c r="A127" t="s">
        <v>9143</v>
      </c>
      <c r="B127">
        <v>306.92</v>
      </c>
      <c r="C127" s="581">
        <v>0</v>
      </c>
      <c r="D127" s="581">
        <v>46</v>
      </c>
      <c r="E127" s="28">
        <f t="shared" si="8"/>
        <v>0.34459163409738197</v>
      </c>
      <c r="F127" s="28">
        <f t="shared" si="9"/>
        <v>0.2668777646872319</v>
      </c>
      <c r="G127" s="2">
        <f t="shared" si="14"/>
        <v>1</v>
      </c>
      <c r="H127" s="2">
        <f t="shared" si="15"/>
        <v>0.36449057933102513</v>
      </c>
      <c r="I127" s="2">
        <f t="shared" si="10"/>
        <v>0</v>
      </c>
      <c r="J127" s="2">
        <f t="shared" si="11"/>
        <v>62.824891646094144</v>
      </c>
      <c r="K127" s="196">
        <f t="shared" si="12"/>
        <v>0</v>
      </c>
      <c r="L127" s="389">
        <f t="shared" si="13"/>
        <v>1.7727185961864445E-2</v>
      </c>
      <c r="N127" s="814"/>
    </row>
    <row r="128" spans="1:14" ht="15" customHeight="1">
      <c r="A128" t="s">
        <v>9139</v>
      </c>
      <c r="B128">
        <v>306.32</v>
      </c>
      <c r="C128" s="581">
        <v>28302</v>
      </c>
      <c r="D128" s="581">
        <v>50583</v>
      </c>
      <c r="E128" s="28">
        <f t="shared" si="8"/>
        <v>0.34459163409738197</v>
      </c>
      <c r="F128" s="28">
        <f t="shared" si="9"/>
        <v>0.2668777646872319</v>
      </c>
      <c r="G128" s="2">
        <f t="shared" si="14"/>
        <v>1</v>
      </c>
      <c r="H128" s="2">
        <f t="shared" si="15"/>
        <v>0.36449057933102513</v>
      </c>
      <c r="I128" s="2">
        <f t="shared" si="10"/>
        <v>29936.340164635028</v>
      </c>
      <c r="J128" s="2">
        <f t="shared" si="11"/>
        <v>69084.162915964785</v>
      </c>
      <c r="K128" s="196">
        <f t="shared" si="12"/>
        <v>10.906843849841033</v>
      </c>
      <c r="L128" s="389">
        <f t="shared" si="13"/>
        <v>19.493353206717156</v>
      </c>
      <c r="N128" s="814"/>
    </row>
    <row r="129" spans="1:14" ht="15" customHeight="1">
      <c r="A129" s="801" t="s">
        <v>6074</v>
      </c>
      <c r="B129" s="813">
        <v>306.12</v>
      </c>
      <c r="C129" s="581">
        <v>445</v>
      </c>
      <c r="D129" s="581">
        <v>26634</v>
      </c>
      <c r="E129" s="28">
        <f t="shared" si="8"/>
        <v>7.44207245736343E-2</v>
      </c>
      <c r="F129" s="28">
        <f t="shared" si="9"/>
        <v>5.7637024974909461E-2</v>
      </c>
      <c r="G129" s="2">
        <f t="shared" si="14"/>
        <v>1</v>
      </c>
      <c r="H129" s="2">
        <f t="shared" si="15"/>
        <v>0.36449057933102513</v>
      </c>
      <c r="I129" s="2">
        <f t="shared" si="10"/>
        <v>2179.4776754937648</v>
      </c>
      <c r="J129" s="2">
        <f t="shared" si="11"/>
        <v>168430.65883654714</v>
      </c>
      <c r="K129" s="196">
        <f t="shared" si="12"/>
        <v>3.7036602835208599E-2</v>
      </c>
      <c r="L129" s="389">
        <f t="shared" si="13"/>
        <v>2.2167031009279681</v>
      </c>
      <c r="N129" s="814"/>
    </row>
    <row r="130" spans="1:14" ht="15" customHeight="1">
      <c r="A130" s="801" t="s">
        <v>6141</v>
      </c>
      <c r="B130" s="813">
        <v>306.22000000000003</v>
      </c>
      <c r="C130" s="581"/>
      <c r="D130" s="581"/>
      <c r="E130" s="28">
        <f t="shared" si="8"/>
        <v>7.44207245736343E-2</v>
      </c>
      <c r="F130" s="28">
        <f t="shared" si="9"/>
        <v>5.7637024974909461E-2</v>
      </c>
      <c r="G130" s="2">
        <f t="shared" si="14"/>
        <v>1</v>
      </c>
      <c r="H130" s="2">
        <f t="shared" si="15"/>
        <v>0.36449057933102513</v>
      </c>
      <c r="I130" s="2">
        <f t="shared" si="10"/>
        <v>0</v>
      </c>
      <c r="J130" s="2">
        <f t="shared" si="11"/>
        <v>0</v>
      </c>
      <c r="K130" s="196">
        <f t="shared" si="12"/>
        <v>0</v>
      </c>
      <c r="L130" s="389">
        <f t="shared" si="13"/>
        <v>0</v>
      </c>
      <c r="N130" s="814"/>
    </row>
    <row r="131" spans="1:14" ht="15" customHeight="1">
      <c r="A131" s="801" t="s">
        <v>8440</v>
      </c>
      <c r="B131" s="813">
        <v>302.44</v>
      </c>
      <c r="C131" s="581">
        <v>267</v>
      </c>
      <c r="D131" s="581">
        <v>0</v>
      </c>
      <c r="E131" s="28">
        <f t="shared" si="8"/>
        <v>4.4767654410366675E-2</v>
      </c>
      <c r="F131" s="28">
        <f t="shared" si="9"/>
        <v>4.7764205965854359E-2</v>
      </c>
      <c r="G131" s="2">
        <f t="shared" si="14"/>
        <v>1</v>
      </c>
      <c r="H131" s="2">
        <f t="shared" si="15"/>
        <v>0.36449057933102513</v>
      </c>
      <c r="I131" s="2">
        <f t="shared" si="10"/>
        <v>2173.8682976173063</v>
      </c>
      <c r="J131" s="2">
        <f t="shared" si="11"/>
        <v>0</v>
      </c>
      <c r="K131" s="196">
        <f t="shared" si="12"/>
        <v>2.5712092377053217E-2</v>
      </c>
      <c r="L131" s="389">
        <f t="shared" si="13"/>
        <v>0</v>
      </c>
      <c r="N131" s="814"/>
    </row>
    <row r="132" spans="1:14" ht="15" customHeight="1">
      <c r="A132" s="801" t="s">
        <v>8441</v>
      </c>
      <c r="B132" s="813">
        <v>303.54000000000002</v>
      </c>
      <c r="C132" s="581">
        <v>2781</v>
      </c>
      <c r="D132" s="581">
        <v>1481</v>
      </c>
      <c r="E132" s="28">
        <f t="shared" si="8"/>
        <v>3.9647786745486746E-2</v>
      </c>
      <c r="F132" s="28">
        <f t="shared" si="9"/>
        <v>4.2301636687116048E-2</v>
      </c>
      <c r="G132" s="2">
        <f t="shared" si="14"/>
        <v>1</v>
      </c>
      <c r="H132" s="2">
        <f t="shared" si="15"/>
        <v>0.36449057933102513</v>
      </c>
      <c r="I132" s="2">
        <f t="shared" si="10"/>
        <v>25566.327513476353</v>
      </c>
      <c r="J132" s="2">
        <f t="shared" si="11"/>
        <v>12760.984923159253</v>
      </c>
      <c r="K132" s="196">
        <f t="shared" si="12"/>
        <v>0.23718201577719789</v>
      </c>
      <c r="L132" s="389">
        <f t="shared" si="13"/>
        <v>0.12630944457606258</v>
      </c>
      <c r="N132" s="814"/>
    </row>
    <row r="133" spans="1:14" ht="15" customHeight="1">
      <c r="A133" s="801" t="s">
        <v>6077</v>
      </c>
      <c r="B133" s="813">
        <v>1604.15</v>
      </c>
      <c r="C133" s="581">
        <v>1424</v>
      </c>
      <c r="D133" s="581">
        <v>139</v>
      </c>
      <c r="E133" s="28">
        <f t="shared" si="8"/>
        <v>3.9647786745486822E-2</v>
      </c>
      <c r="F133" s="28">
        <f t="shared" si="9"/>
        <v>4.2301636687116131E-2</v>
      </c>
      <c r="G133" s="2">
        <f t="shared" si="14"/>
        <v>1</v>
      </c>
      <c r="H133" s="2">
        <f t="shared" si="15"/>
        <v>0.36449057933102513</v>
      </c>
      <c r="I133" s="2">
        <f t="shared" si="10"/>
        <v>13091.136418263308</v>
      </c>
      <c r="J133" s="2">
        <f t="shared" si="11"/>
        <v>1197.6886592296642</v>
      </c>
      <c r="K133" s="196">
        <f t="shared" si="12"/>
        <v>0.12144810876185921</v>
      </c>
      <c r="L133" s="389">
        <f t="shared" si="13"/>
        <v>1.1854836459198336E-2</v>
      </c>
      <c r="N133" s="814"/>
    </row>
    <row r="134" spans="1:14" ht="15" customHeight="1">
      <c r="A134" s="801" t="s">
        <v>6078</v>
      </c>
      <c r="B134" s="813">
        <v>2301.1999999999998</v>
      </c>
      <c r="C134" s="581">
        <v>48162</v>
      </c>
      <c r="D134" s="581">
        <v>4197</v>
      </c>
      <c r="E134" s="28">
        <f t="shared" si="8"/>
        <v>9.9741199493811439E-2</v>
      </c>
      <c r="F134" s="28">
        <f t="shared" si="9"/>
        <v>5.7079133275053394E-2</v>
      </c>
      <c r="G134" s="2">
        <f t="shared" si="14"/>
        <v>1</v>
      </c>
      <c r="H134" s="2">
        <f t="shared" si="15"/>
        <v>0.36449057933102513</v>
      </c>
      <c r="I134" s="2">
        <f t="shared" si="10"/>
        <v>176001.44544912985</v>
      </c>
      <c r="J134" s="2">
        <f t="shared" si="11"/>
        <v>26800.809221833464</v>
      </c>
      <c r="K134" s="196">
        <f t="shared" si="12"/>
        <v>0</v>
      </c>
      <c r="L134" s="389">
        <f t="shared" si="13"/>
        <v>0</v>
      </c>
      <c r="N134" s="814"/>
    </row>
    <row r="135" spans="1:14" ht="15" customHeight="1">
      <c r="A135" s="801" t="s">
        <v>8469</v>
      </c>
      <c r="B135" s="813">
        <v>304.95</v>
      </c>
      <c r="C135" s="581">
        <v>8886</v>
      </c>
      <c r="D135" s="581">
        <v>2084</v>
      </c>
      <c r="E135" s="28">
        <f t="shared" ref="E135:E198" si="16">VLOOKUP(B135,fish_commodity_yield,5,FALSE)</f>
        <v>7.4948970437306497E-3</v>
      </c>
      <c r="F135" s="28">
        <f t="shared" ref="F135:F198" si="17">VLOOKUP(B135,fish_commodity_yield,6,FALSE)</f>
        <v>7.2760681244937141E-3</v>
      </c>
      <c r="G135" s="2">
        <f t="shared" si="14"/>
        <v>1</v>
      </c>
      <c r="H135" s="2">
        <f t="shared" si="15"/>
        <v>0.36449057933102513</v>
      </c>
      <c r="I135" s="2">
        <f t="shared" ref="I135:I198" si="18">IFERROR(C135/E135*H135*G135,0)</f>
        <v>432142.4656052803</v>
      </c>
      <c r="J135" s="2">
        <f t="shared" ref="J135:J198" si="19">IFERROR(D135/F135*H135*G135,0)</f>
        <v>104396.81904142577</v>
      </c>
      <c r="K135" s="196">
        <f t="shared" ref="K135:K198" si="20">VLOOKUP(B135,fish_commodity_yield,8,FALSE)*C135</f>
        <v>1.7073612819719151</v>
      </c>
      <c r="L135" s="389">
        <f t="shared" ref="L135:L198" si="21">VLOOKUP(B135,fish_commodity_yield,9,FALSE)*D135</f>
        <v>0.40042098937986392</v>
      </c>
      <c r="N135" s="814"/>
    </row>
    <row r="136" spans="1:14" ht="15" customHeight="1">
      <c r="A136" s="801" t="s">
        <v>8443</v>
      </c>
      <c r="B136" s="813">
        <v>304.51</v>
      </c>
      <c r="C136" s="581">
        <v>20</v>
      </c>
      <c r="D136" s="581">
        <v>0</v>
      </c>
      <c r="E136" s="28">
        <f t="shared" si="16"/>
        <v>3.9181962135869254E-2</v>
      </c>
      <c r="F136" s="28">
        <f t="shared" si="17"/>
        <v>2.6946578686480951E-2</v>
      </c>
      <c r="G136" s="2">
        <f t="shared" ref="G136:G199" si="22">$G$7</f>
        <v>1</v>
      </c>
      <c r="H136" s="2">
        <f t="shared" ref="H136:H199" si="23">$H$7</f>
        <v>0.36449057933102513</v>
      </c>
      <c r="I136" s="2">
        <f t="shared" si="18"/>
        <v>186.05019221196738</v>
      </c>
      <c r="J136" s="2">
        <f t="shared" si="19"/>
        <v>0</v>
      </c>
      <c r="K136" s="196">
        <f t="shared" si="20"/>
        <v>2.4013455695099908</v>
      </c>
      <c r="L136" s="389">
        <f t="shared" si="21"/>
        <v>0</v>
      </c>
      <c r="N136" s="814"/>
    </row>
    <row r="137" spans="1:14" ht="15" customHeight="1">
      <c r="A137" s="801" t="s">
        <v>8516</v>
      </c>
      <c r="B137" s="813">
        <v>307.39</v>
      </c>
      <c r="C137" s="581">
        <v>712</v>
      </c>
      <c r="D137" s="581">
        <v>823</v>
      </c>
      <c r="E137" s="28">
        <f t="shared" si="16"/>
        <v>0.13462974843792488</v>
      </c>
      <c r="F137" s="28">
        <f t="shared" si="17"/>
        <v>8.0835332754960618E-2</v>
      </c>
      <c r="G137" s="2">
        <f t="shared" si="22"/>
        <v>1</v>
      </c>
      <c r="H137" s="2">
        <f t="shared" si="23"/>
        <v>0.36449057933102513</v>
      </c>
      <c r="I137" s="2">
        <f t="shared" si="18"/>
        <v>1927.6370601208409</v>
      </c>
      <c r="J137" s="2">
        <f t="shared" si="19"/>
        <v>3710.9483757401254</v>
      </c>
      <c r="K137" s="196">
        <f t="shared" si="20"/>
        <v>159.35939325726744</v>
      </c>
      <c r="L137" s="389">
        <f t="shared" si="21"/>
        <v>184.20334361057741</v>
      </c>
      <c r="N137" s="814"/>
    </row>
    <row r="138" spans="1:14" ht="15" customHeight="1">
      <c r="A138" t="s">
        <v>9150</v>
      </c>
      <c r="B138">
        <v>307.32</v>
      </c>
      <c r="C138" s="581">
        <v>258</v>
      </c>
      <c r="D138" s="581">
        <v>179</v>
      </c>
      <c r="E138" s="28">
        <f t="shared" si="16"/>
        <v>0.41590975856716078</v>
      </c>
      <c r="F138" s="28">
        <f t="shared" si="17"/>
        <v>0.24972343868943189</v>
      </c>
      <c r="G138" s="2">
        <f t="shared" si="22"/>
        <v>1</v>
      </c>
      <c r="H138" s="2">
        <f t="shared" si="23"/>
        <v>0.36449057933102513</v>
      </c>
      <c r="I138" s="2">
        <f t="shared" si="18"/>
        <v>226.10330133001486</v>
      </c>
      <c r="J138" s="2">
        <f t="shared" si="19"/>
        <v>261.26427716460307</v>
      </c>
      <c r="K138" s="196">
        <f t="shared" si="20"/>
        <v>178.39203347323624</v>
      </c>
      <c r="L138" s="389">
        <f t="shared" si="21"/>
        <v>123.76811624693522</v>
      </c>
      <c r="N138" s="814"/>
    </row>
    <row r="139" spans="1:14" ht="15" customHeight="1">
      <c r="A139" s="801" t="s">
        <v>6080</v>
      </c>
      <c r="B139" s="813">
        <v>307.31</v>
      </c>
      <c r="C139" s="581">
        <v>163</v>
      </c>
      <c r="D139" s="581">
        <v>12882</v>
      </c>
      <c r="E139" s="28">
        <f t="shared" si="16"/>
        <v>4.3233862636919002E-2</v>
      </c>
      <c r="F139" s="28">
        <f t="shared" si="17"/>
        <v>2.5958777410543858E-2</v>
      </c>
      <c r="G139" s="2">
        <f t="shared" si="22"/>
        <v>1</v>
      </c>
      <c r="H139" s="2">
        <f t="shared" si="23"/>
        <v>0.36449057933102513</v>
      </c>
      <c r="I139" s="2">
        <f t="shared" si="18"/>
        <v>1374.1997778431903</v>
      </c>
      <c r="J139" s="2">
        <f t="shared" si="19"/>
        <v>180877.84215273234</v>
      </c>
      <c r="K139" s="196">
        <f t="shared" si="20"/>
        <v>11.715701081458811</v>
      </c>
      <c r="L139" s="389">
        <f t="shared" si="21"/>
        <v>925.89976276903315</v>
      </c>
      <c r="N139" s="814"/>
    </row>
    <row r="140" spans="1:14" ht="15" customHeight="1">
      <c r="A140" s="801" t="s">
        <v>8444</v>
      </c>
      <c r="B140" s="813">
        <v>1605.53</v>
      </c>
      <c r="C140" s="581">
        <v>495</v>
      </c>
      <c r="D140" s="581">
        <v>402</v>
      </c>
      <c r="E140" s="28">
        <f t="shared" si="16"/>
        <v>0.13462974843792488</v>
      </c>
      <c r="F140" s="28">
        <f t="shared" si="17"/>
        <v>8.0835332754960618E-2</v>
      </c>
      <c r="G140" s="2">
        <f t="shared" si="22"/>
        <v>1</v>
      </c>
      <c r="H140" s="2">
        <f t="shared" si="23"/>
        <v>0.36449057933102513</v>
      </c>
      <c r="I140" s="2">
        <f t="shared" si="18"/>
        <v>1340.1409336514273</v>
      </c>
      <c r="J140" s="2">
        <f t="shared" si="19"/>
        <v>1812.6382102643142</v>
      </c>
      <c r="K140" s="196">
        <f t="shared" si="20"/>
        <v>110.79058941340925</v>
      </c>
      <c r="L140" s="389">
        <f t="shared" si="21"/>
        <v>89.97538776604145</v>
      </c>
      <c r="N140" s="814"/>
    </row>
    <row r="141" spans="1:14" ht="15" customHeight="1">
      <c r="A141" s="801" t="s">
        <v>8431</v>
      </c>
      <c r="B141" s="813">
        <v>302.79000000000002</v>
      </c>
      <c r="C141" s="581">
        <v>100</v>
      </c>
      <c r="D141" s="581">
        <v>0</v>
      </c>
      <c r="E141" s="28">
        <f t="shared" si="16"/>
        <v>5.8140976072580175E-2</v>
      </c>
      <c r="F141" s="28">
        <f t="shared" si="17"/>
        <v>3.9985245792842697E-2</v>
      </c>
      <c r="G141" s="2">
        <f t="shared" si="22"/>
        <v>1</v>
      </c>
      <c r="H141" s="2">
        <f t="shared" si="23"/>
        <v>0.36449057933102513</v>
      </c>
      <c r="I141" s="2">
        <f t="shared" si="18"/>
        <v>626.90825636641193</v>
      </c>
      <c r="J141" s="2">
        <f t="shared" si="19"/>
        <v>0</v>
      </c>
      <c r="K141" s="196">
        <f t="shared" si="20"/>
        <v>17.816434870557991</v>
      </c>
      <c r="L141" s="389">
        <f t="shared" si="21"/>
        <v>0</v>
      </c>
      <c r="N141" s="814"/>
    </row>
    <row r="142" spans="1:14" ht="15" customHeight="1">
      <c r="A142" s="801" t="s">
        <v>8517</v>
      </c>
      <c r="B142" s="813">
        <v>303.29000000000002</v>
      </c>
      <c r="C142" s="581">
        <v>46</v>
      </c>
      <c r="D142" s="581">
        <v>33</v>
      </c>
      <c r="E142" s="28">
        <f t="shared" si="16"/>
        <v>4.7853616520699679E-2</v>
      </c>
      <c r="F142" s="28">
        <f t="shared" si="17"/>
        <v>6.763101358775464E-2</v>
      </c>
      <c r="G142" s="2">
        <f t="shared" si="22"/>
        <v>1</v>
      </c>
      <c r="H142" s="2">
        <f t="shared" si="23"/>
        <v>0.36449057933102513</v>
      </c>
      <c r="I142" s="2">
        <f t="shared" si="18"/>
        <v>350.37198582419717</v>
      </c>
      <c r="J142" s="2">
        <f t="shared" si="19"/>
        <v>177.85019741448426</v>
      </c>
      <c r="K142" s="196">
        <f t="shared" si="20"/>
        <v>12.626031335144324</v>
      </c>
      <c r="L142" s="389">
        <f t="shared" si="21"/>
        <v>9.0578050882557104</v>
      </c>
      <c r="N142" s="814"/>
    </row>
    <row r="143" spans="1:14" ht="15" customHeight="1">
      <c r="A143" s="801" t="s">
        <v>8387</v>
      </c>
      <c r="B143" s="813">
        <v>304.33</v>
      </c>
      <c r="C143" s="581">
        <v>8</v>
      </c>
      <c r="D143" s="581">
        <v>16</v>
      </c>
      <c r="E143" s="28">
        <f t="shared" si="16"/>
        <v>4.5798651488069199E-2</v>
      </c>
      <c r="F143" s="28">
        <f t="shared" si="17"/>
        <v>3.1497069028306734E-2</v>
      </c>
      <c r="G143" s="2">
        <f t="shared" si="22"/>
        <v>1</v>
      </c>
      <c r="H143" s="2">
        <f t="shared" si="23"/>
        <v>0.36449057933102513</v>
      </c>
      <c r="I143" s="2">
        <f t="shared" si="18"/>
        <v>63.668351357633654</v>
      </c>
      <c r="J143" s="2">
        <f t="shared" si="19"/>
        <v>185.15530013460173</v>
      </c>
      <c r="K143" s="196">
        <f t="shared" si="20"/>
        <v>1.1227450882530159</v>
      </c>
      <c r="L143" s="389">
        <f t="shared" si="21"/>
        <v>2.2454901765060318</v>
      </c>
      <c r="N143" s="814"/>
    </row>
    <row r="144" spans="1:14" ht="15" customHeight="1">
      <c r="A144" s="801" t="s">
        <v>8401</v>
      </c>
      <c r="B144" s="813">
        <v>304.63</v>
      </c>
      <c r="C144" s="581">
        <v>2</v>
      </c>
      <c r="D144" s="581">
        <v>0</v>
      </c>
      <c r="E144" s="28">
        <f t="shared" si="16"/>
        <v>4.5798651488069199E-2</v>
      </c>
      <c r="F144" s="28">
        <f t="shared" si="17"/>
        <v>3.1497069028306734E-2</v>
      </c>
      <c r="G144" s="2">
        <f t="shared" si="22"/>
        <v>1</v>
      </c>
      <c r="H144" s="2">
        <f t="shared" si="23"/>
        <v>0.36449057933102513</v>
      </c>
      <c r="I144" s="2">
        <f t="shared" si="18"/>
        <v>15.917087839408413</v>
      </c>
      <c r="J144" s="2">
        <f t="shared" si="19"/>
        <v>0</v>
      </c>
      <c r="K144" s="196">
        <f t="shared" si="20"/>
        <v>0.28068627206325397</v>
      </c>
      <c r="L144" s="389">
        <f t="shared" si="21"/>
        <v>0</v>
      </c>
      <c r="N144" s="814"/>
    </row>
    <row r="145" spans="1:14" ht="15" customHeight="1">
      <c r="A145" t="s">
        <v>9145</v>
      </c>
      <c r="B145">
        <v>306.94</v>
      </c>
      <c r="C145" s="581">
        <v>2</v>
      </c>
      <c r="D145" s="581"/>
      <c r="E145" s="28">
        <f t="shared" si="16"/>
        <v>0.34459163409738197</v>
      </c>
      <c r="F145" s="28">
        <f t="shared" si="17"/>
        <v>0.2668777646872319</v>
      </c>
      <c r="G145" s="2">
        <f t="shared" si="22"/>
        <v>1</v>
      </c>
      <c r="H145" s="2">
        <f t="shared" si="23"/>
        <v>0.36449057933102513</v>
      </c>
      <c r="I145" s="2">
        <f t="shared" si="18"/>
        <v>2.1154929096625699</v>
      </c>
      <c r="J145" s="2">
        <f t="shared" si="19"/>
        <v>0</v>
      </c>
      <c r="K145" s="196">
        <f t="shared" si="20"/>
        <v>7.7074721573323673E-4</v>
      </c>
      <c r="L145" s="389">
        <f t="shared" si="21"/>
        <v>0</v>
      </c>
      <c r="N145" s="814"/>
    </row>
    <row r="146" spans="1:14" ht="15" customHeight="1">
      <c r="A146" t="s">
        <v>9141</v>
      </c>
      <c r="B146">
        <v>306.33999999999997</v>
      </c>
      <c r="C146" s="581">
        <v>7</v>
      </c>
      <c r="D146" s="581">
        <v>0</v>
      </c>
      <c r="E146" s="28">
        <f t="shared" si="16"/>
        <v>0.34459163409738197</v>
      </c>
      <c r="F146" s="28">
        <f t="shared" si="17"/>
        <v>0.2668777646872319</v>
      </c>
      <c r="G146" s="2">
        <f t="shared" si="22"/>
        <v>1</v>
      </c>
      <c r="H146" s="2">
        <f t="shared" si="23"/>
        <v>0.36449057933102513</v>
      </c>
      <c r="I146" s="2">
        <f t="shared" si="18"/>
        <v>7.4042251838189959</v>
      </c>
      <c r="J146" s="2">
        <f t="shared" si="19"/>
        <v>0</v>
      </c>
      <c r="K146" s="196">
        <f t="shared" si="20"/>
        <v>2.6976152550663287E-3</v>
      </c>
      <c r="L146" s="389">
        <f t="shared" si="21"/>
        <v>0</v>
      </c>
      <c r="N146" s="814"/>
    </row>
    <row r="147" spans="1:14" ht="15" customHeight="1">
      <c r="A147" s="801" t="s">
        <v>8448</v>
      </c>
      <c r="B147" s="813">
        <v>306.14999999999998</v>
      </c>
      <c r="C147" s="581">
        <v>52</v>
      </c>
      <c r="D147" s="581">
        <v>63</v>
      </c>
      <c r="E147" s="28">
        <f t="shared" si="16"/>
        <v>7.44207245736343E-2</v>
      </c>
      <c r="F147" s="28">
        <f t="shared" si="17"/>
        <v>5.7637024974909461E-2</v>
      </c>
      <c r="G147" s="2">
        <f t="shared" si="22"/>
        <v>1</v>
      </c>
      <c r="H147" s="2">
        <f t="shared" si="23"/>
        <v>0.36449057933102513</v>
      </c>
      <c r="I147" s="2">
        <f t="shared" si="18"/>
        <v>254.68053736106916</v>
      </c>
      <c r="J147" s="2">
        <f t="shared" si="19"/>
        <v>398.4054782121525</v>
      </c>
      <c r="K147" s="196">
        <f t="shared" si="20"/>
        <v>4.327872690855836E-3</v>
      </c>
      <c r="L147" s="389">
        <f t="shared" si="21"/>
        <v>5.2433842216138013E-3</v>
      </c>
      <c r="N147" s="814"/>
    </row>
    <row r="148" spans="1:14" ht="15" customHeight="1">
      <c r="A148" s="801" t="s">
        <v>8449</v>
      </c>
      <c r="B148" s="813">
        <v>306.25</v>
      </c>
      <c r="C148" s="581"/>
      <c r="D148" s="581"/>
      <c r="E148" s="28">
        <f t="shared" si="16"/>
        <v>7.44207245736343E-2</v>
      </c>
      <c r="F148" s="28">
        <f t="shared" si="17"/>
        <v>5.7637024974909461E-2</v>
      </c>
      <c r="G148" s="2">
        <f t="shared" si="22"/>
        <v>1</v>
      </c>
      <c r="H148" s="2">
        <f t="shared" si="23"/>
        <v>0.36449057933102513</v>
      </c>
      <c r="I148" s="2">
        <f t="shared" si="18"/>
        <v>0</v>
      </c>
      <c r="J148" s="2">
        <f t="shared" si="19"/>
        <v>0</v>
      </c>
      <c r="K148" s="196">
        <f t="shared" si="20"/>
        <v>0</v>
      </c>
      <c r="L148" s="389">
        <f t="shared" si="21"/>
        <v>0</v>
      </c>
      <c r="N148" s="814"/>
    </row>
    <row r="149" spans="1:14" ht="15" customHeight="1">
      <c r="A149" s="801" t="s">
        <v>8518</v>
      </c>
      <c r="B149" s="813">
        <v>307.58999999999997</v>
      </c>
      <c r="C149" s="581">
        <v>691</v>
      </c>
      <c r="D149" s="581">
        <v>0</v>
      </c>
      <c r="E149" s="28">
        <f t="shared" si="16"/>
        <v>0.14897838177278216</v>
      </c>
      <c r="F149" s="28">
        <f t="shared" si="17"/>
        <v>0.14897838177278216</v>
      </c>
      <c r="G149" s="2">
        <f t="shared" si="22"/>
        <v>1</v>
      </c>
      <c r="H149" s="2">
        <f t="shared" si="23"/>
        <v>0.36449057933102513</v>
      </c>
      <c r="I149" s="2">
        <f t="shared" si="18"/>
        <v>1690.6009269309491</v>
      </c>
      <c r="J149" s="2">
        <f t="shared" si="19"/>
        <v>0</v>
      </c>
      <c r="K149" s="196">
        <f t="shared" si="20"/>
        <v>1.059160840005155E-3</v>
      </c>
      <c r="L149" s="389">
        <f t="shared" si="21"/>
        <v>0</v>
      </c>
      <c r="N149" s="814"/>
    </row>
    <row r="150" spans="1:14" ht="15" customHeight="1">
      <c r="A150" t="s">
        <v>9152</v>
      </c>
      <c r="B150">
        <v>307.52</v>
      </c>
      <c r="C150" s="581">
        <v>998</v>
      </c>
      <c r="D150" s="581">
        <v>1</v>
      </c>
      <c r="E150" s="28">
        <f t="shared" si="16"/>
        <v>0.22159789396792484</v>
      </c>
      <c r="F150" s="28">
        <f t="shared" si="17"/>
        <v>0.22159789396792484</v>
      </c>
      <c r="G150" s="2">
        <f t="shared" si="22"/>
        <v>1</v>
      </c>
      <c r="H150" s="2">
        <f t="shared" si="23"/>
        <v>0.36449057933102513</v>
      </c>
      <c r="I150" s="2">
        <f t="shared" si="18"/>
        <v>1641.5390582413013</v>
      </c>
      <c r="J150" s="2">
        <f t="shared" si="19"/>
        <v>1.6448287156726464</v>
      </c>
      <c r="K150" s="196">
        <f t="shared" si="20"/>
        <v>2.2753949260242204E-3</v>
      </c>
      <c r="L150" s="389">
        <f t="shared" si="21"/>
        <v>2.2799548356956118E-6</v>
      </c>
      <c r="N150" s="814"/>
    </row>
    <row r="151" spans="1:14" ht="15" customHeight="1">
      <c r="A151" s="801" t="s">
        <v>1469</v>
      </c>
      <c r="B151" s="813">
        <v>307.51</v>
      </c>
      <c r="C151" s="581">
        <v>7</v>
      </c>
      <c r="D151" s="581">
        <v>1</v>
      </c>
      <c r="E151" s="28">
        <f t="shared" si="16"/>
        <v>7.5388818795647031E-2</v>
      </c>
      <c r="F151" s="28">
        <f t="shared" si="17"/>
        <v>7.5388818795647031E-2</v>
      </c>
      <c r="G151" s="2">
        <f t="shared" si="22"/>
        <v>1</v>
      </c>
      <c r="H151" s="2">
        <f t="shared" si="23"/>
        <v>0.36449057933102513</v>
      </c>
      <c r="I151" s="2">
        <f t="shared" si="18"/>
        <v>33.843666687937237</v>
      </c>
      <c r="J151" s="2">
        <f t="shared" si="19"/>
        <v>4.8348095268481766</v>
      </c>
      <c r="K151" s="196">
        <f t="shared" si="20"/>
        <v>5.4295719704256936E-6</v>
      </c>
      <c r="L151" s="389">
        <f t="shared" si="21"/>
        <v>7.75653138632242E-7</v>
      </c>
      <c r="N151" s="814"/>
    </row>
    <row r="152" spans="1:14" ht="15" customHeight="1">
      <c r="A152" s="801" t="s">
        <v>8450</v>
      </c>
      <c r="B152" s="813">
        <v>1605.55</v>
      </c>
      <c r="C152" s="581">
        <v>451</v>
      </c>
      <c r="D152" s="581">
        <v>10</v>
      </c>
      <c r="E152" s="28">
        <f t="shared" si="16"/>
        <v>0.14897838177278216</v>
      </c>
      <c r="F152" s="28">
        <f t="shared" si="17"/>
        <v>0.14897838177278216</v>
      </c>
      <c r="G152" s="2">
        <f t="shared" si="22"/>
        <v>1</v>
      </c>
      <c r="H152" s="2">
        <f t="shared" si="23"/>
        <v>0.36449057933102513</v>
      </c>
      <c r="I152" s="2">
        <f t="shared" si="18"/>
        <v>1103.4168133804026</v>
      </c>
      <c r="J152" s="2">
        <f t="shared" si="19"/>
        <v>24.466004731272783</v>
      </c>
      <c r="K152" s="196">
        <f t="shared" si="20"/>
        <v>6.9129021540133848E-4</v>
      </c>
      <c r="L152" s="389">
        <f t="shared" si="21"/>
        <v>1.5327942691825687E-5</v>
      </c>
      <c r="N152" s="814"/>
    </row>
    <row r="153" spans="1:14" ht="15" customHeight="1">
      <c r="A153" s="801" t="s">
        <v>6083</v>
      </c>
      <c r="B153" s="813">
        <v>1504.3</v>
      </c>
      <c r="C153" s="581">
        <v>6</v>
      </c>
      <c r="D153" s="581">
        <v>21</v>
      </c>
      <c r="E153" s="28">
        <f t="shared" si="16"/>
        <v>0</v>
      </c>
      <c r="F153" s="28">
        <f t="shared" si="17"/>
        <v>0</v>
      </c>
      <c r="G153" s="2">
        <f t="shared" si="22"/>
        <v>1</v>
      </c>
      <c r="H153" s="2">
        <f t="shared" si="23"/>
        <v>0.36449057933102513</v>
      </c>
      <c r="I153" s="2">
        <f t="shared" si="18"/>
        <v>0</v>
      </c>
      <c r="J153" s="2">
        <f t="shared" si="19"/>
        <v>0</v>
      </c>
      <c r="K153" s="196">
        <f t="shared" si="20"/>
        <v>0</v>
      </c>
      <c r="L153" s="389">
        <f t="shared" si="21"/>
        <v>0</v>
      </c>
      <c r="N153" s="814"/>
    </row>
    <row r="154" spans="1:14" ht="15" customHeight="1">
      <c r="A154" s="801" t="s">
        <v>8451</v>
      </c>
      <c r="B154" s="813">
        <v>301.19</v>
      </c>
      <c r="C154" s="581"/>
      <c r="D154" s="581">
        <v>0</v>
      </c>
      <c r="E154" s="28">
        <f t="shared" si="16"/>
        <v>5.9896777328554827E-2</v>
      </c>
      <c r="F154" s="28">
        <f t="shared" si="17"/>
        <v>5.9896777328554834E-2</v>
      </c>
      <c r="G154" s="2">
        <f t="shared" si="22"/>
        <v>1</v>
      </c>
      <c r="H154" s="2">
        <f t="shared" si="23"/>
        <v>0.36449057933102513</v>
      </c>
      <c r="I154" s="2">
        <f t="shared" si="18"/>
        <v>0</v>
      </c>
      <c r="J154" s="2">
        <f t="shared" si="19"/>
        <v>0</v>
      </c>
      <c r="K154" s="196">
        <f t="shared" si="20"/>
        <v>0</v>
      </c>
      <c r="L154" s="389">
        <f t="shared" si="21"/>
        <v>0</v>
      </c>
      <c r="N154" s="814"/>
    </row>
    <row r="155" spans="1:14" ht="15" customHeight="1">
      <c r="A155" s="801" t="s">
        <v>8452</v>
      </c>
      <c r="B155" s="813">
        <v>301.11</v>
      </c>
      <c r="C155" s="581"/>
      <c r="D155" s="581">
        <v>11</v>
      </c>
      <c r="E155" s="28">
        <f t="shared" si="16"/>
        <v>5.9896777328554827E-2</v>
      </c>
      <c r="F155" s="28">
        <f t="shared" si="17"/>
        <v>5.9896777328554834E-2</v>
      </c>
      <c r="G155" s="2">
        <f t="shared" si="22"/>
        <v>1</v>
      </c>
      <c r="H155" s="2">
        <f t="shared" si="23"/>
        <v>0.36449057933102513</v>
      </c>
      <c r="I155" s="2">
        <f t="shared" si="18"/>
        <v>0</v>
      </c>
      <c r="J155" s="2">
        <f t="shared" si="19"/>
        <v>66.938432274049248</v>
      </c>
      <c r="K155" s="196">
        <f t="shared" si="20"/>
        <v>0</v>
      </c>
      <c r="L155" s="389">
        <f t="shared" si="21"/>
        <v>0</v>
      </c>
      <c r="N155" s="814"/>
    </row>
    <row r="156" spans="1:14" ht="15" customHeight="1">
      <c r="A156" s="801" t="s">
        <v>8453</v>
      </c>
      <c r="B156" s="813">
        <v>305.79000000000002</v>
      </c>
      <c r="C156" s="581">
        <v>13</v>
      </c>
      <c r="D156" s="581">
        <v>50</v>
      </c>
      <c r="E156" s="28">
        <f t="shared" si="16"/>
        <v>2.2529628228124817E-2</v>
      </c>
      <c r="F156" s="28">
        <f t="shared" si="17"/>
        <v>1.5494282744726544E-2</v>
      </c>
      <c r="G156" s="2">
        <f t="shared" si="22"/>
        <v>1</v>
      </c>
      <c r="H156" s="2">
        <f t="shared" si="23"/>
        <v>0.36449057933102513</v>
      </c>
      <c r="I156" s="2">
        <f t="shared" si="18"/>
        <v>210.31760858744141</v>
      </c>
      <c r="J156" s="2">
        <f t="shared" si="19"/>
        <v>1176.2099134762432</v>
      </c>
      <c r="K156" s="196">
        <f t="shared" si="20"/>
        <v>0.89750290660435894</v>
      </c>
      <c r="L156" s="389">
        <f t="shared" si="21"/>
        <v>3.4519342561706114</v>
      </c>
      <c r="N156" s="814"/>
    </row>
    <row r="157" spans="1:14" ht="15" customHeight="1">
      <c r="A157" s="801" t="s">
        <v>8519</v>
      </c>
      <c r="B157" s="813">
        <v>511.99</v>
      </c>
      <c r="C157" s="581">
        <v>0</v>
      </c>
      <c r="D157" s="581">
        <v>0</v>
      </c>
      <c r="E157" s="28">
        <f t="shared" si="16"/>
        <v>0</v>
      </c>
      <c r="F157" s="28">
        <f t="shared" si="17"/>
        <v>0</v>
      </c>
      <c r="G157" s="2">
        <f t="shared" si="22"/>
        <v>1</v>
      </c>
      <c r="H157" s="2">
        <f t="shared" si="23"/>
        <v>0.36449057933102513</v>
      </c>
      <c r="I157" s="2">
        <f t="shared" si="18"/>
        <v>0</v>
      </c>
      <c r="J157" s="2">
        <f t="shared" si="19"/>
        <v>0</v>
      </c>
      <c r="K157" s="196">
        <f t="shared" si="20"/>
        <v>0</v>
      </c>
      <c r="L157" s="389">
        <f t="shared" si="21"/>
        <v>0</v>
      </c>
      <c r="N157" s="814"/>
    </row>
    <row r="158" spans="1:14" ht="15" customHeight="1">
      <c r="A158" s="801" t="s">
        <v>8454</v>
      </c>
      <c r="B158" s="813">
        <v>308.89999999999998</v>
      </c>
      <c r="C158" s="581">
        <v>1530</v>
      </c>
      <c r="D158" s="581">
        <v>125</v>
      </c>
      <c r="E158" s="28">
        <f t="shared" si="16"/>
        <v>2.2529628228124817E-2</v>
      </c>
      <c r="F158" s="28">
        <f t="shared" si="17"/>
        <v>1.5494282744726544E-2</v>
      </c>
      <c r="G158" s="2">
        <f t="shared" si="22"/>
        <v>1</v>
      </c>
      <c r="H158" s="2">
        <f t="shared" si="23"/>
        <v>0.36449057933102513</v>
      </c>
      <c r="I158" s="2">
        <f t="shared" si="18"/>
        <v>24752.764702983488</v>
      </c>
      <c r="J158" s="2">
        <f t="shared" si="19"/>
        <v>2940.5247836906083</v>
      </c>
      <c r="K158" s="196">
        <f t="shared" si="20"/>
        <v>105.6291882388207</v>
      </c>
      <c r="L158" s="389">
        <f t="shared" si="21"/>
        <v>8.6298356404265277</v>
      </c>
      <c r="N158" s="814"/>
    </row>
    <row r="159" spans="1:14" ht="15" customHeight="1">
      <c r="A159" s="801" t="s">
        <v>8480</v>
      </c>
      <c r="B159" s="813">
        <v>1605.69</v>
      </c>
      <c r="C159" s="581">
        <v>285</v>
      </c>
      <c r="D159" s="581">
        <v>22</v>
      </c>
      <c r="E159" s="28">
        <f t="shared" si="16"/>
        <v>0.15155925375976897</v>
      </c>
      <c r="F159" s="28">
        <f t="shared" si="17"/>
        <v>0.35256253938987897</v>
      </c>
      <c r="G159" s="2">
        <f t="shared" si="22"/>
        <v>1</v>
      </c>
      <c r="H159" s="2">
        <f t="shared" si="23"/>
        <v>0.36449057933102513</v>
      </c>
      <c r="I159" s="2">
        <f t="shared" si="18"/>
        <v>685.40727492626911</v>
      </c>
      <c r="J159" s="2">
        <f t="shared" si="19"/>
        <v>22.744312992410755</v>
      </c>
      <c r="K159" s="196">
        <f t="shared" si="20"/>
        <v>50.452712632888506</v>
      </c>
      <c r="L159" s="389">
        <f t="shared" si="21"/>
        <v>3.8945953611352531</v>
      </c>
      <c r="N159" s="814"/>
    </row>
    <row r="160" spans="1:14" ht="15" customHeight="1">
      <c r="A160" s="801" t="s">
        <v>6085</v>
      </c>
      <c r="B160" s="813">
        <v>1605.4</v>
      </c>
      <c r="C160" s="581">
        <v>75</v>
      </c>
      <c r="D160" s="581">
        <v>221</v>
      </c>
      <c r="E160" s="28">
        <f t="shared" si="16"/>
        <v>0.86224735727185919</v>
      </c>
      <c r="F160" s="28">
        <f t="shared" si="17"/>
        <v>0.86429602523417237</v>
      </c>
      <c r="G160" s="2">
        <f t="shared" si="22"/>
        <v>1</v>
      </c>
      <c r="H160" s="2">
        <f t="shared" si="23"/>
        <v>0.36449057933102513</v>
      </c>
      <c r="I160" s="2">
        <f t="shared" si="18"/>
        <v>31.704119727684859</v>
      </c>
      <c r="J160" s="2">
        <f t="shared" si="19"/>
        <v>93.200032952056773</v>
      </c>
      <c r="K160" s="196">
        <f t="shared" si="20"/>
        <v>2.2953445584506526E-2</v>
      </c>
      <c r="L160" s="389">
        <f t="shared" si="21"/>
        <v>6.7636152989012571E-2</v>
      </c>
      <c r="N160" s="814"/>
    </row>
    <row r="161" spans="1:14" ht="15" customHeight="1">
      <c r="A161" s="801" t="s">
        <v>6086</v>
      </c>
      <c r="B161" s="813">
        <v>306.19</v>
      </c>
      <c r="C161" s="581">
        <v>293</v>
      </c>
      <c r="D161" s="581">
        <v>25</v>
      </c>
      <c r="E161" s="28">
        <f t="shared" si="16"/>
        <v>1.8969441859980902</v>
      </c>
      <c r="F161" s="28">
        <f t="shared" si="17"/>
        <v>1.9014512555151792</v>
      </c>
      <c r="G161" s="2">
        <f t="shared" si="22"/>
        <v>1</v>
      </c>
      <c r="H161" s="2">
        <f t="shared" si="23"/>
        <v>0.36449057933102513</v>
      </c>
      <c r="I161" s="2">
        <f t="shared" si="18"/>
        <v>56.298830789161592</v>
      </c>
      <c r="J161" s="2">
        <f t="shared" si="19"/>
        <v>4.7922682513398174</v>
      </c>
      <c r="K161" s="196">
        <f t="shared" si="20"/>
        <v>0.19727721365030546</v>
      </c>
      <c r="L161" s="389">
        <f t="shared" si="21"/>
        <v>1.6832526761971455E-2</v>
      </c>
      <c r="N161" s="814"/>
    </row>
    <row r="162" spans="1:14" ht="15" customHeight="1">
      <c r="A162" s="801" t="s">
        <v>6087</v>
      </c>
      <c r="B162" s="813">
        <v>306.29000000000002</v>
      </c>
      <c r="C162" s="581"/>
      <c r="D162" s="581"/>
      <c r="E162" s="28">
        <f t="shared" si="16"/>
        <v>1.8969441859980902</v>
      </c>
      <c r="F162" s="28">
        <f t="shared" si="17"/>
        <v>1.9014512555151792</v>
      </c>
      <c r="G162" s="2">
        <f t="shared" si="22"/>
        <v>1</v>
      </c>
      <c r="H162" s="2">
        <f t="shared" si="23"/>
        <v>0.36449057933102513</v>
      </c>
      <c r="I162" s="2">
        <f t="shared" si="18"/>
        <v>0</v>
      </c>
      <c r="J162" s="2">
        <f t="shared" si="19"/>
        <v>0</v>
      </c>
      <c r="K162" s="196">
        <f t="shared" si="20"/>
        <v>0</v>
      </c>
      <c r="L162" s="389">
        <f t="shared" si="21"/>
        <v>0</v>
      </c>
      <c r="N162" s="814"/>
    </row>
    <row r="163" spans="1:14" ht="15" customHeight="1">
      <c r="A163" s="801" t="s">
        <v>8456</v>
      </c>
      <c r="B163" s="813">
        <v>305.39</v>
      </c>
      <c r="C163" s="581">
        <v>429</v>
      </c>
      <c r="D163" s="581">
        <v>301</v>
      </c>
      <c r="E163" s="28">
        <f t="shared" si="16"/>
        <v>4.7430796269736453E-2</v>
      </c>
      <c r="F163" s="28">
        <f t="shared" si="17"/>
        <v>3.2619542620476935E-2</v>
      </c>
      <c r="G163" s="2">
        <f t="shared" si="22"/>
        <v>1</v>
      </c>
      <c r="H163" s="2">
        <f t="shared" si="23"/>
        <v>0.36449057933102513</v>
      </c>
      <c r="I163" s="2">
        <f t="shared" si="18"/>
        <v>3296.7285146081449</v>
      </c>
      <c r="J163" s="2">
        <f t="shared" si="19"/>
        <v>3363.3722475853169</v>
      </c>
      <c r="K163" s="196">
        <f t="shared" si="20"/>
        <v>62.35283351146073</v>
      </c>
      <c r="L163" s="389">
        <f t="shared" si="21"/>
        <v>43.748724678204383</v>
      </c>
      <c r="N163" s="814"/>
    </row>
    <row r="164" spans="1:14" ht="15" customHeight="1">
      <c r="A164" s="801" t="s">
        <v>8457</v>
      </c>
      <c r="B164" s="813">
        <v>304.58999999999997</v>
      </c>
      <c r="C164" s="581">
        <v>844</v>
      </c>
      <c r="D164" s="581">
        <v>969</v>
      </c>
      <c r="E164" s="28">
        <f t="shared" si="16"/>
        <v>4.2913577577380603E-2</v>
      </c>
      <c r="F164" s="28">
        <f t="shared" si="17"/>
        <v>2.9512919513764845E-2</v>
      </c>
      <c r="G164" s="2">
        <f t="shared" si="22"/>
        <v>1</v>
      </c>
      <c r="H164" s="2">
        <f t="shared" si="23"/>
        <v>0.36449057933102513</v>
      </c>
      <c r="I164" s="2">
        <f t="shared" si="18"/>
        <v>7168.5947973150223</v>
      </c>
      <c r="J164" s="2">
        <f t="shared" si="19"/>
        <v>11967.347764664039</v>
      </c>
      <c r="K164" s="196">
        <f t="shared" si="20"/>
        <v>110.98790522697126</v>
      </c>
      <c r="L164" s="389">
        <f t="shared" si="21"/>
        <v>127.42568739921226</v>
      </c>
      <c r="N164" s="814"/>
    </row>
    <row r="165" spans="1:14" ht="15" customHeight="1">
      <c r="A165" s="801" t="s">
        <v>6088</v>
      </c>
      <c r="B165" s="813">
        <v>305.58999999999997</v>
      </c>
      <c r="C165" s="581">
        <v>451</v>
      </c>
      <c r="D165" s="581">
        <v>1422</v>
      </c>
      <c r="E165" s="28">
        <f t="shared" si="16"/>
        <v>2.8103486355249247E-2</v>
      </c>
      <c r="F165" s="28">
        <f t="shared" si="17"/>
        <v>1.9327587623359514E-2</v>
      </c>
      <c r="G165" s="2">
        <f t="shared" si="22"/>
        <v>1</v>
      </c>
      <c r="H165" s="2">
        <f t="shared" si="23"/>
        <v>0.36449057933102513</v>
      </c>
      <c r="I165" s="2">
        <f t="shared" si="18"/>
        <v>5849.2832241643928</v>
      </c>
      <c r="J165" s="2">
        <f t="shared" si="19"/>
        <v>26816.880301310259</v>
      </c>
      <c r="K165" s="196">
        <f t="shared" si="20"/>
        <v>38.839642815790739</v>
      </c>
      <c r="L165" s="389">
        <f t="shared" si="21"/>
        <v>122.46113544136237</v>
      </c>
      <c r="N165" s="814"/>
    </row>
    <row r="166" spans="1:14" ht="15" customHeight="1">
      <c r="A166" s="801" t="s">
        <v>6089</v>
      </c>
      <c r="B166" s="813">
        <v>305.49</v>
      </c>
      <c r="C166" s="581">
        <v>136</v>
      </c>
      <c r="D166" s="581">
        <v>101</v>
      </c>
      <c r="E166" s="28">
        <f t="shared" si="16"/>
        <v>4.5059256456249634E-2</v>
      </c>
      <c r="F166" s="28">
        <f t="shared" si="17"/>
        <v>3.0988565489453088E-2</v>
      </c>
      <c r="G166" s="2">
        <f t="shared" si="22"/>
        <v>1</v>
      </c>
      <c r="H166" s="2">
        <f t="shared" si="23"/>
        <v>0.36449057933102513</v>
      </c>
      <c r="I166" s="2">
        <f t="shared" si="18"/>
        <v>1100.1228756881551</v>
      </c>
      <c r="J166" s="2">
        <f t="shared" si="19"/>
        <v>1187.9720126110058</v>
      </c>
      <c r="K166" s="196">
        <f t="shared" si="20"/>
        <v>18.778522353568125</v>
      </c>
      <c r="L166" s="389">
        <f t="shared" si="21"/>
        <v>13.94581439492927</v>
      </c>
      <c r="N166" s="814"/>
    </row>
    <row r="167" spans="1:14" ht="15" customHeight="1">
      <c r="A167" s="801" t="s">
        <v>6090</v>
      </c>
      <c r="B167" s="813">
        <v>301.99</v>
      </c>
      <c r="C167" s="581">
        <v>2312</v>
      </c>
      <c r="D167" s="581">
        <v>167</v>
      </c>
      <c r="E167" s="28">
        <f t="shared" si="16"/>
        <v>8.1081600035783741E-2</v>
      </c>
      <c r="F167" s="28">
        <f t="shared" si="17"/>
        <v>5.5762182297396365E-2</v>
      </c>
      <c r="G167" s="2">
        <f t="shared" si="22"/>
        <v>1</v>
      </c>
      <c r="H167" s="2">
        <f t="shared" si="23"/>
        <v>0.36449057933102513</v>
      </c>
      <c r="I167" s="2">
        <f t="shared" si="18"/>
        <v>10393.26085130807</v>
      </c>
      <c r="J167" s="2">
        <f t="shared" si="19"/>
        <v>1091.5987187094599</v>
      </c>
      <c r="K167" s="196">
        <f t="shared" si="20"/>
        <v>574.44522822137083</v>
      </c>
      <c r="L167" s="389">
        <f t="shared" si="21"/>
        <v>41.493232315297981</v>
      </c>
      <c r="N167" s="814"/>
    </row>
    <row r="168" spans="1:14" ht="15" customHeight="1">
      <c r="A168" s="801" t="s">
        <v>6092</v>
      </c>
      <c r="B168" s="813">
        <v>305.69</v>
      </c>
      <c r="C168" s="581">
        <v>2509</v>
      </c>
      <c r="D168" s="581">
        <v>3708</v>
      </c>
      <c r="E168" s="28">
        <f t="shared" si="16"/>
        <v>9.0118512912499268E-2</v>
      </c>
      <c r="F168" s="28">
        <f t="shared" si="17"/>
        <v>6.1977130978906177E-2</v>
      </c>
      <c r="G168" s="2">
        <f t="shared" si="22"/>
        <v>1</v>
      </c>
      <c r="H168" s="2">
        <f t="shared" si="23"/>
        <v>0.36449057933102513</v>
      </c>
      <c r="I168" s="2">
        <f t="shared" si="18"/>
        <v>10147.824614344048</v>
      </c>
      <c r="J168" s="2">
        <f t="shared" si="19"/>
        <v>21806.931795849549</v>
      </c>
      <c r="K168" s="196">
        <f t="shared" si="20"/>
        <v>692.8722438985651</v>
      </c>
      <c r="L168" s="389">
        <f t="shared" si="21"/>
        <v>1023.9817777504502</v>
      </c>
      <c r="N168" s="814"/>
    </row>
    <row r="169" spans="1:14" ht="15" customHeight="1">
      <c r="A169" s="801" t="s">
        <v>8520</v>
      </c>
      <c r="B169" s="813">
        <v>1604.19</v>
      </c>
      <c r="C169" s="581">
        <v>3882</v>
      </c>
      <c r="D169" s="581">
        <v>5790</v>
      </c>
      <c r="E169" s="28">
        <f t="shared" si="16"/>
        <v>6.0079008608332846E-2</v>
      </c>
      <c r="F169" s="28">
        <f t="shared" si="17"/>
        <v>4.131808731927078E-2</v>
      </c>
      <c r="G169" s="2">
        <f t="shared" si="22"/>
        <v>1</v>
      </c>
      <c r="H169" s="2">
        <f t="shared" si="23"/>
        <v>0.36449057933102513</v>
      </c>
      <c r="I169" s="2">
        <f t="shared" si="18"/>
        <v>23551.527592397528</v>
      </c>
      <c r="J169" s="2">
        <f t="shared" si="19"/>
        <v>51076.91549270587</v>
      </c>
      <c r="K169" s="196">
        <f t="shared" si="20"/>
        <v>714.68846839756338</v>
      </c>
      <c r="L169" s="389">
        <f t="shared" si="21"/>
        <v>1065.9572983054848</v>
      </c>
      <c r="N169" s="814"/>
    </row>
    <row r="170" spans="1:14" ht="15" customHeight="1">
      <c r="A170" s="801" t="s">
        <v>6093</v>
      </c>
      <c r="B170" s="813">
        <v>302.29000000000002</v>
      </c>
      <c r="C170" s="581">
        <v>478</v>
      </c>
      <c r="D170" s="581">
        <v>129</v>
      </c>
      <c r="E170" s="28">
        <f t="shared" si="16"/>
        <v>5.1133333707053322E-2</v>
      </c>
      <c r="F170" s="28">
        <f t="shared" si="17"/>
        <v>5.1133333707053322E-2</v>
      </c>
      <c r="G170" s="2">
        <f t="shared" si="22"/>
        <v>1</v>
      </c>
      <c r="H170" s="2">
        <f t="shared" si="23"/>
        <v>0.36449057933102513</v>
      </c>
      <c r="I170" s="2">
        <f t="shared" si="18"/>
        <v>3407.2978288172367</v>
      </c>
      <c r="J170" s="2">
        <f t="shared" si="19"/>
        <v>919.5427194925179</v>
      </c>
      <c r="K170" s="196">
        <f t="shared" si="20"/>
        <v>119.39110042926151</v>
      </c>
      <c r="L170" s="389">
        <f t="shared" si="21"/>
        <v>32.220610785302796</v>
      </c>
      <c r="N170" s="814"/>
    </row>
    <row r="171" spans="1:14" ht="15" customHeight="1">
      <c r="A171" s="801" t="s">
        <v>6094</v>
      </c>
      <c r="B171" s="813">
        <v>303.39</v>
      </c>
      <c r="C171" s="581">
        <v>66</v>
      </c>
      <c r="D171" s="581">
        <v>6830</v>
      </c>
      <c r="E171" s="28">
        <f t="shared" si="16"/>
        <v>3.4958503656862983E-2</v>
      </c>
      <c r="F171" s="28">
        <f t="shared" si="17"/>
        <v>3.4958503656862983E-2</v>
      </c>
      <c r="G171" s="2">
        <f t="shared" si="22"/>
        <v>1</v>
      </c>
      <c r="H171" s="2">
        <f t="shared" si="23"/>
        <v>0.36449057933102513</v>
      </c>
      <c r="I171" s="2">
        <f t="shared" si="18"/>
        <v>688.14095912039875</v>
      </c>
      <c r="J171" s="2">
        <f t="shared" si="19"/>
        <v>71212.162890792766</v>
      </c>
      <c r="K171" s="196">
        <f t="shared" si="20"/>
        <v>11.270332296520245</v>
      </c>
      <c r="L171" s="389">
        <f t="shared" si="21"/>
        <v>1166.308630079292</v>
      </c>
      <c r="N171" s="814"/>
    </row>
    <row r="172" spans="1:14" ht="15" customHeight="1">
      <c r="A172" s="801" t="s">
        <v>6096</v>
      </c>
      <c r="B172" s="813">
        <v>303.89</v>
      </c>
      <c r="C172" s="581">
        <v>10150</v>
      </c>
      <c r="D172" s="581">
        <v>7207</v>
      </c>
      <c r="E172" s="28">
        <f t="shared" si="16"/>
        <v>0</v>
      </c>
      <c r="F172" s="28">
        <f t="shared" si="17"/>
        <v>0</v>
      </c>
      <c r="G172" s="2">
        <f t="shared" si="22"/>
        <v>1</v>
      </c>
      <c r="H172" s="2">
        <f t="shared" si="23"/>
        <v>0.36449057933102513</v>
      </c>
      <c r="I172" s="2">
        <f t="shared" si="18"/>
        <v>0</v>
      </c>
      <c r="J172" s="2">
        <f t="shared" si="19"/>
        <v>0</v>
      </c>
      <c r="K172" s="196">
        <f t="shared" si="20"/>
        <v>0</v>
      </c>
      <c r="L172" s="389">
        <f t="shared" si="21"/>
        <v>0</v>
      </c>
      <c r="N172" s="814"/>
    </row>
    <row r="173" spans="1:14" ht="15" customHeight="1">
      <c r="A173" s="801" t="s">
        <v>8458</v>
      </c>
      <c r="B173" s="813">
        <v>302.89</v>
      </c>
      <c r="C173" s="581">
        <v>4770</v>
      </c>
      <c r="D173" s="581">
        <v>3475</v>
      </c>
      <c r="E173" s="28">
        <f t="shared" si="16"/>
        <v>8.1081600035783741E-2</v>
      </c>
      <c r="F173" s="28">
        <f t="shared" si="17"/>
        <v>5.5762182297396365E-2</v>
      </c>
      <c r="G173" s="2">
        <f t="shared" si="22"/>
        <v>1</v>
      </c>
      <c r="H173" s="2">
        <f t="shared" si="23"/>
        <v>0.36449057933102513</v>
      </c>
      <c r="I173" s="2">
        <f t="shared" si="18"/>
        <v>21442.843538382131</v>
      </c>
      <c r="J173" s="2">
        <f t="shared" si="19"/>
        <v>22714.40447613996</v>
      </c>
      <c r="K173" s="196">
        <f t="shared" si="20"/>
        <v>1185.1659769100081</v>
      </c>
      <c r="L173" s="389">
        <f t="shared" si="21"/>
        <v>863.40707961473333</v>
      </c>
      <c r="N173" s="814"/>
    </row>
    <row r="174" spans="1:14" ht="15" customHeight="1">
      <c r="A174" s="801" t="s">
        <v>8432</v>
      </c>
      <c r="B174" s="813">
        <v>302.58999999999997</v>
      </c>
      <c r="C174" s="581">
        <v>15</v>
      </c>
      <c r="D174" s="581">
        <v>622</v>
      </c>
      <c r="E174" s="28">
        <f t="shared" si="16"/>
        <v>8.75210558009837E-3</v>
      </c>
      <c r="F174" s="28">
        <f t="shared" si="17"/>
        <v>8.4965698744087874E-3</v>
      </c>
      <c r="G174" s="2">
        <f t="shared" si="22"/>
        <v>1</v>
      </c>
      <c r="H174" s="2">
        <f t="shared" si="23"/>
        <v>0.36449057933102513</v>
      </c>
      <c r="I174" s="2">
        <f t="shared" si="18"/>
        <v>624.69066899715415</v>
      </c>
      <c r="J174" s="2">
        <f t="shared" si="19"/>
        <v>26682.901888060198</v>
      </c>
      <c r="K174" s="196">
        <f t="shared" si="20"/>
        <v>3.3655593652601404E-3</v>
      </c>
      <c r="L174" s="389">
        <f t="shared" si="21"/>
        <v>0.13955852834612048</v>
      </c>
      <c r="N174" s="814"/>
    </row>
    <row r="175" spans="1:14" ht="15" customHeight="1">
      <c r="A175" s="801" t="s">
        <v>8470</v>
      </c>
      <c r="B175" s="813">
        <v>303.69</v>
      </c>
      <c r="C175" s="581">
        <v>31</v>
      </c>
      <c r="D175" s="581">
        <v>7</v>
      </c>
      <c r="E175" s="28">
        <f t="shared" si="16"/>
        <v>7.4948970437306497E-3</v>
      </c>
      <c r="F175" s="28">
        <f t="shared" si="17"/>
        <v>7.2760681244937141E-3</v>
      </c>
      <c r="G175" s="2">
        <f t="shared" si="22"/>
        <v>1</v>
      </c>
      <c r="H175" s="2">
        <f t="shared" si="23"/>
        <v>0.36449057933102513</v>
      </c>
      <c r="I175" s="2">
        <f t="shared" si="18"/>
        <v>1507.5868145131319</v>
      </c>
      <c r="J175" s="2">
        <f t="shared" si="19"/>
        <v>350.6611004270539</v>
      </c>
      <c r="K175" s="196">
        <f t="shared" si="20"/>
        <v>5.9563582873204332E-3</v>
      </c>
      <c r="L175" s="389">
        <f t="shared" si="21"/>
        <v>1.3449841293949364E-3</v>
      </c>
      <c r="N175" s="814"/>
    </row>
    <row r="176" spans="1:14" ht="15" customHeight="1">
      <c r="A176" t="s">
        <v>9159</v>
      </c>
      <c r="B176">
        <v>307.92</v>
      </c>
      <c r="C176" s="581">
        <v>13</v>
      </c>
      <c r="D176" s="581">
        <v>49</v>
      </c>
      <c r="E176" s="28">
        <f t="shared" si="16"/>
        <v>1.4536048028099442</v>
      </c>
      <c r="F176" s="28">
        <f t="shared" si="17"/>
        <v>3.3814273152883292</v>
      </c>
      <c r="G176" s="2">
        <f t="shared" si="22"/>
        <v>1</v>
      </c>
      <c r="H176" s="2">
        <f t="shared" si="23"/>
        <v>0.36449057933102513</v>
      </c>
      <c r="I176" s="2">
        <f t="shared" si="18"/>
        <v>3.2597426220274119</v>
      </c>
      <c r="J176" s="2">
        <f t="shared" si="19"/>
        <v>5.2818046114640005</v>
      </c>
      <c r="K176" s="196">
        <f t="shared" si="20"/>
        <v>22.072265155110308</v>
      </c>
      <c r="L176" s="389">
        <f t="shared" si="21"/>
        <v>83.19546096926193</v>
      </c>
      <c r="N176" s="814"/>
    </row>
    <row r="177" spans="1:14" ht="15" customHeight="1">
      <c r="A177" s="801" t="s">
        <v>8521</v>
      </c>
      <c r="B177" s="813">
        <v>307.91000000000003</v>
      </c>
      <c r="C177" s="581">
        <v>166.08306709265199</v>
      </c>
      <c r="D177" s="581">
        <v>374</v>
      </c>
      <c r="E177" s="28">
        <f t="shared" si="16"/>
        <v>0.16151164475666047</v>
      </c>
      <c r="F177" s="28">
        <f t="shared" si="17"/>
        <v>0.37571414614314769</v>
      </c>
      <c r="G177" s="2">
        <f t="shared" si="22"/>
        <v>1</v>
      </c>
      <c r="H177" s="2">
        <f t="shared" si="23"/>
        <v>0.36449057933102513</v>
      </c>
      <c r="I177" s="2">
        <f t="shared" si="18"/>
        <v>374.80711333773877</v>
      </c>
      <c r="J177" s="2">
        <f t="shared" si="19"/>
        <v>362.82763922832294</v>
      </c>
      <c r="K177" s="196">
        <f t="shared" si="20"/>
        <v>31.331876022589654</v>
      </c>
      <c r="L177" s="389">
        <f t="shared" si="21"/>
        <v>70.55578776077995</v>
      </c>
      <c r="N177" s="814"/>
    </row>
    <row r="178" spans="1:14" ht="15" customHeight="1">
      <c r="A178" s="801" t="s">
        <v>8522</v>
      </c>
      <c r="B178" s="813">
        <v>307.99</v>
      </c>
      <c r="C178" s="581">
        <v>768</v>
      </c>
      <c r="D178" s="581">
        <v>964</v>
      </c>
      <c r="E178" s="28">
        <f t="shared" si="16"/>
        <v>0.16151164475666047</v>
      </c>
      <c r="F178" s="28">
        <f t="shared" si="17"/>
        <v>0.37571414614314769</v>
      </c>
      <c r="G178" s="2">
        <f t="shared" si="22"/>
        <v>1</v>
      </c>
      <c r="H178" s="2">
        <f t="shared" si="23"/>
        <v>0.36449057933102513</v>
      </c>
      <c r="I178" s="2">
        <f t="shared" si="18"/>
        <v>1733.1800771887285</v>
      </c>
      <c r="J178" s="2">
        <f t="shared" si="19"/>
        <v>935.2027920216666</v>
      </c>
      <c r="K178" s="196">
        <f t="shared" si="20"/>
        <v>144.88461230021124</v>
      </c>
      <c r="L178" s="389">
        <f t="shared" si="21"/>
        <v>181.8603727309943</v>
      </c>
      <c r="N178" s="814"/>
    </row>
    <row r="179" spans="1:14" ht="15" customHeight="1">
      <c r="A179" s="801" t="s">
        <v>8481</v>
      </c>
      <c r="B179" s="813">
        <v>1605.59</v>
      </c>
      <c r="C179" s="581">
        <v>200</v>
      </c>
      <c r="D179" s="581">
        <v>6</v>
      </c>
      <c r="E179" s="28">
        <f t="shared" si="16"/>
        <v>9.2689609616447899E-2</v>
      </c>
      <c r="F179" s="28">
        <f t="shared" si="17"/>
        <v>0.21561787440065863</v>
      </c>
      <c r="G179" s="2">
        <f t="shared" si="22"/>
        <v>1</v>
      </c>
      <c r="H179" s="2">
        <f t="shared" si="23"/>
        <v>0.36449057933102513</v>
      </c>
      <c r="I179" s="2">
        <f t="shared" si="18"/>
        <v>786.47559492222911</v>
      </c>
      <c r="J179" s="2">
        <f t="shared" si="19"/>
        <v>10.142681732973575</v>
      </c>
      <c r="K179" s="196">
        <f t="shared" si="20"/>
        <v>21.653008772747974</v>
      </c>
      <c r="L179" s="389">
        <f t="shared" si="21"/>
        <v>0.64959026318243918</v>
      </c>
      <c r="N179" s="814"/>
    </row>
    <row r="180" spans="1:14" ht="15" customHeight="1">
      <c r="A180" s="801" t="s">
        <v>6098</v>
      </c>
      <c r="B180" s="813">
        <v>303.12</v>
      </c>
      <c r="C180" s="581">
        <v>4063</v>
      </c>
      <c r="D180" s="581">
        <v>3973</v>
      </c>
      <c r="E180" s="28">
        <f t="shared" si="16"/>
        <v>0</v>
      </c>
      <c r="F180" s="28">
        <f t="shared" si="17"/>
        <v>0</v>
      </c>
      <c r="G180" s="2">
        <f t="shared" si="22"/>
        <v>1</v>
      </c>
      <c r="H180" s="2">
        <f t="shared" si="23"/>
        <v>0.36449057933102513</v>
      </c>
      <c r="I180" s="2">
        <f t="shared" si="18"/>
        <v>0</v>
      </c>
      <c r="J180" s="2">
        <f t="shared" si="19"/>
        <v>0</v>
      </c>
      <c r="K180" s="196">
        <f t="shared" si="20"/>
        <v>0</v>
      </c>
      <c r="L180" s="389">
        <f t="shared" si="21"/>
        <v>0</v>
      </c>
      <c r="N180" s="814"/>
    </row>
    <row r="181" spans="1:14" ht="15" customHeight="1">
      <c r="A181" s="801" t="s">
        <v>6099</v>
      </c>
      <c r="B181" s="813">
        <v>302.19</v>
      </c>
      <c r="C181" s="581">
        <v>550</v>
      </c>
      <c r="D181" s="581">
        <v>1960</v>
      </c>
      <c r="E181" s="28">
        <f t="shared" si="16"/>
        <v>6.7090452397791572E-2</v>
      </c>
      <c r="F181" s="28">
        <f t="shared" si="17"/>
        <v>9.4818231674526438E-2</v>
      </c>
      <c r="G181" s="2">
        <f t="shared" si="22"/>
        <v>1</v>
      </c>
      <c r="H181" s="2">
        <f t="shared" si="23"/>
        <v>0.36449057933102513</v>
      </c>
      <c r="I181" s="2">
        <f t="shared" si="18"/>
        <v>2988.052866948065</v>
      </c>
      <c r="J181" s="2">
        <f t="shared" si="19"/>
        <v>7534.4321748275979</v>
      </c>
      <c r="K181" s="196">
        <f t="shared" si="20"/>
        <v>211.64970914971818</v>
      </c>
      <c r="L181" s="389">
        <f t="shared" si="21"/>
        <v>754.24259987899575</v>
      </c>
      <c r="N181" s="814"/>
    </row>
    <row r="182" spans="1:14" ht="15" customHeight="1">
      <c r="A182" s="801" t="s">
        <v>6100</v>
      </c>
      <c r="B182" s="813">
        <v>303.19</v>
      </c>
      <c r="C182" s="581">
        <v>21</v>
      </c>
      <c r="D182" s="581">
        <v>4969</v>
      </c>
      <c r="E182" s="28">
        <f t="shared" si="16"/>
        <v>7.2122236327625946E-2</v>
      </c>
      <c r="F182" s="28">
        <f t="shared" si="17"/>
        <v>0.10192959905011592</v>
      </c>
      <c r="G182" s="2">
        <f t="shared" si="22"/>
        <v>1</v>
      </c>
      <c r="H182" s="2">
        <f t="shared" si="23"/>
        <v>0.36449057933102513</v>
      </c>
      <c r="I182" s="2">
        <f t="shared" si="18"/>
        <v>106.1295732869503</v>
      </c>
      <c r="J182" s="2">
        <f t="shared" si="19"/>
        <v>17768.672746425407</v>
      </c>
      <c r="K182" s="196">
        <f t="shared" si="20"/>
        <v>8.6872585164634319</v>
      </c>
      <c r="L182" s="389">
        <f t="shared" si="21"/>
        <v>2055.5708365860378</v>
      </c>
      <c r="N182" s="814"/>
    </row>
    <row r="183" spans="1:14" ht="15" customHeight="1">
      <c r="A183" s="801" t="s">
        <v>8483</v>
      </c>
      <c r="B183" s="813">
        <v>1605.29</v>
      </c>
      <c r="C183" s="581">
        <v>12350</v>
      </c>
      <c r="D183" s="581">
        <v>1563</v>
      </c>
      <c r="E183" s="28">
        <f t="shared" si="16"/>
        <v>0.17069775887422928</v>
      </c>
      <c r="F183" s="28">
        <f t="shared" si="17"/>
        <v>0.46582453587290468</v>
      </c>
      <c r="G183" s="2">
        <f t="shared" si="22"/>
        <v>1</v>
      </c>
      <c r="H183" s="2">
        <f t="shared" si="23"/>
        <v>0.36449057933102513</v>
      </c>
      <c r="I183" s="2">
        <f t="shared" si="18"/>
        <v>26370.930025243339</v>
      </c>
      <c r="J183" s="2">
        <f t="shared" si="19"/>
        <v>1222.9900566032627</v>
      </c>
      <c r="K183" s="196">
        <f t="shared" si="20"/>
        <v>1686.9743362647087</v>
      </c>
      <c r="L183" s="389">
        <f t="shared" si="21"/>
        <v>213.50128644386555</v>
      </c>
      <c r="N183" s="814"/>
    </row>
    <row r="184" spans="1:14" ht="15" customHeight="1">
      <c r="A184" s="801" t="s">
        <v>8463</v>
      </c>
      <c r="B184" s="813">
        <v>306.17</v>
      </c>
      <c r="C184" s="581">
        <v>38608</v>
      </c>
      <c r="D184" s="581">
        <v>1572</v>
      </c>
      <c r="E184" s="28">
        <f t="shared" si="16"/>
        <v>0.30344894028325042</v>
      </c>
      <c r="F184" s="28">
        <f t="shared" si="17"/>
        <v>0.8280950066410655</v>
      </c>
      <c r="G184" s="2">
        <f t="shared" si="22"/>
        <v>1</v>
      </c>
      <c r="H184" s="2">
        <f t="shared" si="23"/>
        <v>0.36449057933102513</v>
      </c>
      <c r="I184" s="2">
        <f t="shared" si="18"/>
        <v>46374.366223446552</v>
      </c>
      <c r="J184" s="2">
        <f t="shared" si="19"/>
        <v>691.9244604945759</v>
      </c>
      <c r="K184" s="196">
        <f t="shared" si="20"/>
        <v>9375.115539323082</v>
      </c>
      <c r="L184" s="389">
        <f t="shared" si="21"/>
        <v>381.72610929900242</v>
      </c>
      <c r="N184" s="814"/>
    </row>
    <row r="185" spans="1:14" ht="15" customHeight="1">
      <c r="A185" s="801" t="s">
        <v>8464</v>
      </c>
      <c r="B185" s="813">
        <v>306.27</v>
      </c>
      <c r="C185" s="581"/>
      <c r="D185" s="581"/>
      <c r="E185" s="28">
        <f t="shared" si="16"/>
        <v>0.30344894028325042</v>
      </c>
      <c r="F185" s="28">
        <f t="shared" si="17"/>
        <v>0.8280950066410655</v>
      </c>
      <c r="G185" s="2">
        <f t="shared" si="22"/>
        <v>1</v>
      </c>
      <c r="H185" s="2">
        <f t="shared" si="23"/>
        <v>0.36449057933102513</v>
      </c>
      <c r="I185" s="2">
        <f t="shared" si="18"/>
        <v>0</v>
      </c>
      <c r="J185" s="2">
        <f t="shared" si="19"/>
        <v>0</v>
      </c>
      <c r="K185" s="196">
        <f t="shared" si="20"/>
        <v>0</v>
      </c>
      <c r="L185" s="389">
        <f t="shared" si="21"/>
        <v>0</v>
      </c>
      <c r="N185" s="814"/>
    </row>
    <row r="186" spans="1:14" ht="15" customHeight="1">
      <c r="A186" s="801" t="s">
        <v>6101</v>
      </c>
      <c r="B186" s="813">
        <v>302.39</v>
      </c>
      <c r="C186" s="581">
        <v>61</v>
      </c>
      <c r="D186" s="581">
        <v>0</v>
      </c>
      <c r="E186" s="28">
        <f t="shared" si="16"/>
        <v>1.3670535555443869E-2</v>
      </c>
      <c r="F186" s="28">
        <f t="shared" si="17"/>
        <v>1.3348868013600714E-2</v>
      </c>
      <c r="G186" s="2">
        <f t="shared" si="22"/>
        <v>1</v>
      </c>
      <c r="H186" s="2">
        <f t="shared" si="23"/>
        <v>0.36449057933102513</v>
      </c>
      <c r="I186" s="2">
        <f t="shared" si="18"/>
        <v>1626.4121657134756</v>
      </c>
      <c r="J186" s="2">
        <f t="shared" si="19"/>
        <v>0</v>
      </c>
      <c r="K186" s="196">
        <f t="shared" si="20"/>
        <v>0.56209289554923414</v>
      </c>
      <c r="L186" s="389">
        <f t="shared" si="21"/>
        <v>0</v>
      </c>
      <c r="N186" s="814"/>
    </row>
    <row r="187" spans="1:14" ht="15" customHeight="1">
      <c r="A187" s="801" t="s">
        <v>6102</v>
      </c>
      <c r="B187" s="813">
        <v>303.49</v>
      </c>
      <c r="C187" s="581">
        <v>239</v>
      </c>
      <c r="D187" s="581">
        <v>5</v>
      </c>
      <c r="E187" s="28">
        <f t="shared" si="16"/>
        <v>9.7507848393094884E-3</v>
      </c>
      <c r="F187" s="28">
        <f t="shared" si="17"/>
        <v>9.5213489860042997E-3</v>
      </c>
      <c r="G187" s="2">
        <f t="shared" si="22"/>
        <v>1</v>
      </c>
      <c r="H187" s="2">
        <f t="shared" si="23"/>
        <v>0.36449057933102513</v>
      </c>
      <c r="I187" s="2">
        <f t="shared" si="18"/>
        <v>8933.9729976324688</v>
      </c>
      <c r="J187" s="2">
        <f t="shared" si="19"/>
        <v>191.40700538694682</v>
      </c>
      <c r="K187" s="196">
        <f t="shared" si="20"/>
        <v>1.570833688637882</v>
      </c>
      <c r="L187" s="389">
        <f t="shared" si="21"/>
        <v>3.2862629469411757E-2</v>
      </c>
      <c r="N187" s="814"/>
    </row>
    <row r="188" spans="1:14" ht="15" customHeight="1">
      <c r="A188" t="s">
        <v>9148</v>
      </c>
      <c r="B188">
        <v>307.12</v>
      </c>
      <c r="C188" s="581">
        <v>89</v>
      </c>
      <c r="D188" s="581">
        <v>53</v>
      </c>
      <c r="E188" s="28">
        <f t="shared" si="16"/>
        <v>0</v>
      </c>
      <c r="F188" s="28">
        <f t="shared" si="17"/>
        <v>0</v>
      </c>
      <c r="G188" s="2">
        <f t="shared" si="22"/>
        <v>1</v>
      </c>
      <c r="H188" s="2">
        <f t="shared" si="23"/>
        <v>0.36449057933102513</v>
      </c>
      <c r="I188" s="2">
        <f t="shared" si="18"/>
        <v>0</v>
      </c>
      <c r="J188" s="2">
        <f t="shared" si="19"/>
        <v>0</v>
      </c>
      <c r="K188" s="196">
        <f t="shared" si="20"/>
        <v>0</v>
      </c>
      <c r="L188" s="389">
        <f t="shared" si="21"/>
        <v>0</v>
      </c>
      <c r="N188" s="814"/>
    </row>
    <row r="189" spans="1:14" ht="15" customHeight="1">
      <c r="A189" s="801" t="s">
        <v>8465</v>
      </c>
      <c r="B189" s="813">
        <v>307.11</v>
      </c>
      <c r="C189" s="581">
        <v>1403</v>
      </c>
      <c r="D189" s="581">
        <v>3174</v>
      </c>
      <c r="E189" s="28">
        <f t="shared" si="16"/>
        <v>0.11069658666118411</v>
      </c>
      <c r="F189" s="28">
        <f t="shared" si="17"/>
        <v>6.8768816167169344E-2</v>
      </c>
      <c r="G189" s="2">
        <f t="shared" si="22"/>
        <v>1</v>
      </c>
      <c r="H189" s="2">
        <f t="shared" si="23"/>
        <v>0.36449057933102513</v>
      </c>
      <c r="I189" s="2">
        <f t="shared" si="18"/>
        <v>4619.6571929235861</v>
      </c>
      <c r="J189" s="2">
        <f t="shared" si="19"/>
        <v>16822.931719289674</v>
      </c>
      <c r="K189" s="196">
        <f t="shared" si="20"/>
        <v>265.74018104365939</v>
      </c>
      <c r="L189" s="389">
        <f t="shared" si="21"/>
        <v>601.18270465614751</v>
      </c>
      <c r="N189" s="814"/>
    </row>
    <row r="190" spans="1:14" ht="15" customHeight="1">
      <c r="A190" s="801" t="s">
        <v>8466</v>
      </c>
      <c r="B190" s="813">
        <v>307.19</v>
      </c>
      <c r="C190" s="581">
        <v>64</v>
      </c>
      <c r="D190" s="581">
        <v>3</v>
      </c>
      <c r="E190" s="28">
        <f t="shared" si="16"/>
        <v>0.12859119105270936</v>
      </c>
      <c r="F190" s="28">
        <f t="shared" si="17"/>
        <v>7.9885606638329637E-2</v>
      </c>
      <c r="G190" s="2">
        <f t="shared" si="22"/>
        <v>1</v>
      </c>
      <c r="H190" s="2">
        <f t="shared" si="23"/>
        <v>0.36449057933102513</v>
      </c>
      <c r="I190" s="2">
        <f t="shared" si="18"/>
        <v>181.4074267935176</v>
      </c>
      <c r="J190" s="2">
        <f t="shared" si="19"/>
        <v>13.687969385318787</v>
      </c>
      <c r="K190" s="196">
        <f t="shared" si="20"/>
        <v>14.081746401596606</v>
      </c>
      <c r="L190" s="389">
        <f t="shared" si="21"/>
        <v>0.66008186257484092</v>
      </c>
      <c r="N190" s="814"/>
    </row>
    <row r="191" spans="1:14" ht="15" customHeight="1">
      <c r="A191" s="801" t="s">
        <v>8487</v>
      </c>
      <c r="B191" s="813">
        <v>1605.51</v>
      </c>
      <c r="C191" s="581">
        <v>1309</v>
      </c>
      <c r="D191" s="581">
        <v>7</v>
      </c>
      <c r="E191" s="28">
        <f t="shared" si="16"/>
        <v>0.12859119105270936</v>
      </c>
      <c r="F191" s="28">
        <f t="shared" si="17"/>
        <v>7.9885606638329637E-2</v>
      </c>
      <c r="G191" s="2">
        <f t="shared" si="22"/>
        <v>1</v>
      </c>
      <c r="H191" s="2">
        <f t="shared" si="23"/>
        <v>0.36449057933102513</v>
      </c>
      <c r="I191" s="2">
        <f t="shared" si="18"/>
        <v>3710.3487761361648</v>
      </c>
      <c r="J191" s="2">
        <f t="shared" si="19"/>
        <v>31.938595232410503</v>
      </c>
      <c r="K191" s="196">
        <f t="shared" si="20"/>
        <v>288.01571937015558</v>
      </c>
      <c r="L191" s="389">
        <f t="shared" si="21"/>
        <v>1.5401910126746288</v>
      </c>
      <c r="N191" s="814"/>
    </row>
    <row r="192" spans="1:14" ht="15" customHeight="1">
      <c r="A192" s="801" t="s">
        <v>8468</v>
      </c>
      <c r="B192" s="813">
        <v>302.13</v>
      </c>
      <c r="C192" s="581">
        <v>2313</v>
      </c>
      <c r="D192" s="581">
        <v>5393</v>
      </c>
      <c r="E192" s="28">
        <f t="shared" si="16"/>
        <v>6.0101863606354958E-2</v>
      </c>
      <c r="F192" s="28">
        <f t="shared" si="17"/>
        <v>8.4941332541763268E-2</v>
      </c>
      <c r="G192" s="2">
        <f t="shared" si="22"/>
        <v>1</v>
      </c>
      <c r="H192" s="2">
        <f t="shared" si="23"/>
        <v>0.36449057933102513</v>
      </c>
      <c r="I192" s="2">
        <f t="shared" si="18"/>
        <v>14027.297315012345</v>
      </c>
      <c r="J192" s="2">
        <f t="shared" si="19"/>
        <v>23141.827841772323</v>
      </c>
      <c r="K192" s="196">
        <f t="shared" si="20"/>
        <v>797.36622811825077</v>
      </c>
      <c r="L192" s="389">
        <f t="shared" si="21"/>
        <v>1859.1422690193372</v>
      </c>
      <c r="N192" s="814"/>
    </row>
    <row r="193" spans="1:14" ht="15" customHeight="1">
      <c r="A193" s="801" t="s">
        <v>8383</v>
      </c>
      <c r="B193" s="813">
        <v>304.41000000000003</v>
      </c>
      <c r="C193" s="581">
        <v>10956</v>
      </c>
      <c r="D193" s="581">
        <v>10446</v>
      </c>
      <c r="E193" s="28">
        <f t="shared" si="16"/>
        <v>3.6652859211250596E-2</v>
      </c>
      <c r="F193" s="28">
        <f t="shared" si="17"/>
        <v>5.1801100931919752E-2</v>
      </c>
      <c r="G193" s="2">
        <f t="shared" si="22"/>
        <v>1</v>
      </c>
      <c r="H193" s="2">
        <f t="shared" si="23"/>
        <v>0.36449057933102513</v>
      </c>
      <c r="I193" s="2">
        <f t="shared" si="18"/>
        <v>108950.81238096017</v>
      </c>
      <c r="J193" s="2">
        <f t="shared" si="19"/>
        <v>73501.692496765696</v>
      </c>
      <c r="K193" s="196">
        <f t="shared" si="20"/>
        <v>2303.3193092180804</v>
      </c>
      <c r="L193" s="389">
        <f t="shared" si="21"/>
        <v>2196.1001737944566</v>
      </c>
      <c r="N193" s="814"/>
    </row>
    <row r="194" spans="1:14" ht="15" customHeight="1">
      <c r="A194" s="801" t="s">
        <v>8404</v>
      </c>
      <c r="B194" s="813">
        <v>304.81</v>
      </c>
      <c r="C194" s="581">
        <v>10711</v>
      </c>
      <c r="D194" s="581">
        <v>2148</v>
      </c>
      <c r="E194" s="28">
        <f t="shared" si="16"/>
        <v>3.6652859211250596E-2</v>
      </c>
      <c r="F194" s="28">
        <f t="shared" si="17"/>
        <v>5.1801100931919752E-2</v>
      </c>
      <c r="G194" s="2">
        <f t="shared" si="22"/>
        <v>1</v>
      </c>
      <c r="H194" s="2">
        <f t="shared" si="23"/>
        <v>0.36449057933102513</v>
      </c>
      <c r="I194" s="2">
        <f t="shared" si="18"/>
        <v>106514.43514169993</v>
      </c>
      <c r="J194" s="2">
        <f t="shared" si="19"/>
        <v>15114.075769007535</v>
      </c>
      <c r="K194" s="196">
        <f t="shared" si="20"/>
        <v>2251.8120774949671</v>
      </c>
      <c r="L194" s="389">
        <f t="shared" si="21"/>
        <v>451.58177037243854</v>
      </c>
      <c r="N194" s="814"/>
    </row>
    <row r="195" spans="1:14" ht="15" customHeight="1">
      <c r="A195" s="801" t="s">
        <v>6104</v>
      </c>
      <c r="B195" s="813">
        <v>302.22000000000003</v>
      </c>
      <c r="C195" s="581">
        <v>14</v>
      </c>
      <c r="D195" s="581">
        <v>26</v>
      </c>
      <c r="E195" s="28">
        <f t="shared" si="16"/>
        <v>0.13608590094406883</v>
      </c>
      <c r="F195" s="28">
        <f t="shared" si="17"/>
        <v>0.13608590094406883</v>
      </c>
      <c r="G195" s="2">
        <f t="shared" si="22"/>
        <v>1</v>
      </c>
      <c r="H195" s="2">
        <f t="shared" si="23"/>
        <v>0.36449057933102513</v>
      </c>
      <c r="I195" s="2">
        <f t="shared" si="18"/>
        <v>37.497404765917857</v>
      </c>
      <c r="J195" s="2">
        <f t="shared" si="19"/>
        <v>69.638037422418876</v>
      </c>
      <c r="K195" s="196">
        <f t="shared" si="20"/>
        <v>1.2146111069961827</v>
      </c>
      <c r="L195" s="389">
        <f t="shared" si="21"/>
        <v>2.2557063415643395</v>
      </c>
      <c r="N195" s="814"/>
    </row>
    <row r="196" spans="1:14" ht="15" customHeight="1">
      <c r="A196" s="801" t="s">
        <v>6105</v>
      </c>
      <c r="B196" s="813">
        <v>303.32</v>
      </c>
      <c r="C196" s="581">
        <v>0</v>
      </c>
      <c r="D196" s="581">
        <v>405</v>
      </c>
      <c r="E196" s="28">
        <f t="shared" si="16"/>
        <v>0.12694585900579919</v>
      </c>
      <c r="F196" s="28">
        <f t="shared" si="17"/>
        <v>0.12694585900579919</v>
      </c>
      <c r="G196" s="2">
        <f t="shared" si="22"/>
        <v>1</v>
      </c>
      <c r="H196" s="2">
        <f t="shared" si="23"/>
        <v>0.36449057933102513</v>
      </c>
      <c r="I196" s="2">
        <f t="shared" si="18"/>
        <v>0</v>
      </c>
      <c r="J196" s="2">
        <f t="shared" si="19"/>
        <v>1162.8475775828308</v>
      </c>
      <c r="K196" s="196">
        <f t="shared" si="20"/>
        <v>0</v>
      </c>
      <c r="L196" s="389">
        <f t="shared" si="21"/>
        <v>32.777033241877398</v>
      </c>
      <c r="N196" s="814"/>
    </row>
    <row r="197" spans="1:14" ht="15" customHeight="1">
      <c r="A197" s="801" t="s">
        <v>1818</v>
      </c>
      <c r="B197" s="813">
        <v>2309.9</v>
      </c>
      <c r="C197" s="581"/>
      <c r="D197" s="581">
        <v>0</v>
      </c>
      <c r="E197" s="28">
        <f t="shared" si="16"/>
        <v>1.6024702614654978E-2</v>
      </c>
      <c r="F197" s="28">
        <f t="shared" si="17"/>
        <v>1.6024702614654978E-2</v>
      </c>
      <c r="G197" s="2">
        <f t="shared" si="22"/>
        <v>1</v>
      </c>
      <c r="H197" s="2">
        <f t="shared" si="23"/>
        <v>0.36449057933102513</v>
      </c>
      <c r="I197" s="2">
        <f t="shared" si="18"/>
        <v>0</v>
      </c>
      <c r="J197" s="2">
        <f t="shared" si="19"/>
        <v>0</v>
      </c>
      <c r="K197" s="196">
        <f t="shared" si="20"/>
        <v>0</v>
      </c>
      <c r="L197" s="389">
        <f t="shared" si="21"/>
        <v>0</v>
      </c>
      <c r="N197" s="814"/>
    </row>
    <row r="198" spans="1:14" ht="15" customHeight="1">
      <c r="A198" s="801" t="s">
        <v>1251</v>
      </c>
      <c r="B198" s="813">
        <v>1604.2</v>
      </c>
      <c r="C198" s="581">
        <v>13440</v>
      </c>
      <c r="D198" s="581">
        <v>225</v>
      </c>
      <c r="E198" s="28">
        <f t="shared" si="16"/>
        <v>3.9931184885703214E-2</v>
      </c>
      <c r="F198" s="28">
        <f t="shared" si="17"/>
        <v>3.9931184885703221E-2</v>
      </c>
      <c r="G198" s="2">
        <f t="shared" si="22"/>
        <v>1</v>
      </c>
      <c r="H198" s="2">
        <f t="shared" si="23"/>
        <v>0.36449057933102513</v>
      </c>
      <c r="I198" s="2">
        <f t="shared" si="18"/>
        <v>122679.89042225755</v>
      </c>
      <c r="J198" s="2">
        <f t="shared" si="19"/>
        <v>2053.7928084083296</v>
      </c>
      <c r="K198" s="196">
        <f t="shared" si="20"/>
        <v>0</v>
      </c>
      <c r="L198" s="389">
        <f t="shared" si="21"/>
        <v>0</v>
      </c>
      <c r="N198" s="814"/>
    </row>
    <row r="199" spans="1:14" ht="15" customHeight="1">
      <c r="A199" t="s">
        <v>9129</v>
      </c>
      <c r="B199">
        <v>304.48</v>
      </c>
      <c r="C199" s="581">
        <v>0</v>
      </c>
      <c r="D199" s="581">
        <v>1</v>
      </c>
      <c r="E199" s="28">
        <f t="shared" ref="E199:E262" si="24">VLOOKUP(B199,fish_commodity_yield,5,FALSE)</f>
        <v>0.13968369501437386</v>
      </c>
      <c r="F199" s="28">
        <f t="shared" ref="F199:F262" si="25">VLOOKUP(B199,fish_commodity_yield,6,FALSE)</f>
        <v>9.6064553017304571E-2</v>
      </c>
      <c r="G199" s="2">
        <f t="shared" si="22"/>
        <v>1</v>
      </c>
      <c r="H199" s="2">
        <f t="shared" si="23"/>
        <v>0.36449057933102513</v>
      </c>
      <c r="I199" s="2">
        <f t="shared" ref="I199:I262" si="26">IFERROR(C199/E199*H199*G199,0)</f>
        <v>0</v>
      </c>
      <c r="J199" s="2">
        <f t="shared" ref="J199:J262" si="27">IFERROR(D199/F199*H199*G199,0)</f>
        <v>3.7942255273427201</v>
      </c>
      <c r="K199" s="196">
        <f t="shared" ref="K199:K262" si="28">VLOOKUP(B199,fish_commodity_yield,8,FALSE)*C199</f>
        <v>0</v>
      </c>
      <c r="L199" s="389">
        <f t="shared" ref="L199:L262" si="29">VLOOKUP(B199,fish_commodity_yield,9,FALSE)*D199</f>
        <v>0.4280398477651558</v>
      </c>
      <c r="N199" s="814"/>
    </row>
    <row r="200" spans="1:14" ht="15" customHeight="1">
      <c r="A200" t="s">
        <v>9134</v>
      </c>
      <c r="B200">
        <v>304.97000000000003</v>
      </c>
      <c r="C200" s="581">
        <v>14</v>
      </c>
      <c r="D200" s="581">
        <v>109</v>
      </c>
      <c r="E200" s="28">
        <f t="shared" si="24"/>
        <v>0.16311450837162367</v>
      </c>
      <c r="F200" s="28">
        <f t="shared" si="25"/>
        <v>0.11217860707182019</v>
      </c>
      <c r="G200" s="2">
        <f t="shared" ref="G200:G263" si="30">$G$7</f>
        <v>1</v>
      </c>
      <c r="H200" s="2">
        <f t="shared" ref="H200:H263" si="31">$H$7</f>
        <v>0.36449057933102513</v>
      </c>
      <c r="I200" s="2">
        <f t="shared" si="26"/>
        <v>31.283962178327453</v>
      </c>
      <c r="J200" s="2">
        <f t="shared" si="27"/>
        <v>354.16265350527766</v>
      </c>
      <c r="K200" s="196">
        <f t="shared" si="28"/>
        <v>6.9977611241090631</v>
      </c>
      <c r="L200" s="389">
        <f t="shared" si="29"/>
        <v>54.482568751991991</v>
      </c>
      <c r="N200" s="814"/>
    </row>
    <row r="201" spans="1:14" ht="15" customHeight="1">
      <c r="A201" t="s">
        <v>9131</v>
      </c>
      <c r="B201">
        <v>304.57</v>
      </c>
      <c r="C201" s="581">
        <v>0</v>
      </c>
      <c r="D201" s="581"/>
      <c r="E201" s="28">
        <f t="shared" si="24"/>
        <v>0.1351777693687489</v>
      </c>
      <c r="F201" s="28">
        <f t="shared" si="25"/>
        <v>9.2965696468359268E-2</v>
      </c>
      <c r="G201" s="2">
        <f t="shared" si="30"/>
        <v>1</v>
      </c>
      <c r="H201" s="2">
        <f t="shared" si="31"/>
        <v>0.36449057933102513</v>
      </c>
      <c r="I201" s="2">
        <f t="shared" si="26"/>
        <v>0</v>
      </c>
      <c r="J201" s="2">
        <f t="shared" si="27"/>
        <v>0</v>
      </c>
      <c r="K201" s="196">
        <f t="shared" si="28"/>
        <v>0</v>
      </c>
      <c r="L201" s="389">
        <f t="shared" si="29"/>
        <v>0</v>
      </c>
      <c r="N201" s="814"/>
    </row>
    <row r="202" spans="1:14" ht="15" customHeight="1">
      <c r="A202" s="801" t="s">
        <v>8437</v>
      </c>
      <c r="B202" s="813">
        <v>302.82</v>
      </c>
      <c r="C202" s="581">
        <v>235</v>
      </c>
      <c r="D202" s="581">
        <v>0</v>
      </c>
      <c r="E202" s="28">
        <f t="shared" si="24"/>
        <v>5.8140976072580175E-2</v>
      </c>
      <c r="F202" s="28">
        <f t="shared" si="25"/>
        <v>3.9985245792842697E-2</v>
      </c>
      <c r="G202" s="2">
        <f t="shared" si="30"/>
        <v>1</v>
      </c>
      <c r="H202" s="2">
        <f t="shared" si="31"/>
        <v>0.36449057933102513</v>
      </c>
      <c r="I202" s="2">
        <f t="shared" si="26"/>
        <v>1473.2344024610682</v>
      </c>
      <c r="J202" s="2">
        <f t="shared" si="27"/>
        <v>0</v>
      </c>
      <c r="K202" s="196">
        <f t="shared" si="28"/>
        <v>41.868621945811284</v>
      </c>
      <c r="L202" s="389">
        <f t="shared" si="29"/>
        <v>0</v>
      </c>
      <c r="N202" s="814"/>
    </row>
    <row r="203" spans="1:14" ht="15" customHeight="1">
      <c r="A203" s="801" t="s">
        <v>8471</v>
      </c>
      <c r="B203" s="813">
        <v>303.82</v>
      </c>
      <c r="C203" s="581">
        <v>3</v>
      </c>
      <c r="D203" s="581">
        <v>295</v>
      </c>
      <c r="E203" s="28">
        <f t="shared" si="24"/>
        <v>4.9789233653314516E-2</v>
      </c>
      <c r="F203" s="28">
        <f t="shared" si="25"/>
        <v>3.4241508828124961E-2</v>
      </c>
      <c r="G203" s="2">
        <f t="shared" si="30"/>
        <v>1</v>
      </c>
      <c r="H203" s="2">
        <f t="shared" si="31"/>
        <v>0.36449057933102513</v>
      </c>
      <c r="I203" s="2">
        <f t="shared" si="26"/>
        <v>21.96201181980398</v>
      </c>
      <c r="J203" s="2">
        <f t="shared" si="27"/>
        <v>3140.1864165032002</v>
      </c>
      <c r="K203" s="196">
        <f t="shared" si="28"/>
        <v>0.4577150394922358</v>
      </c>
      <c r="L203" s="389">
        <f t="shared" si="29"/>
        <v>45.008645550069851</v>
      </c>
      <c r="N203" s="814"/>
    </row>
    <row r="204" spans="1:14" ht="15" customHeight="1">
      <c r="A204" t="s">
        <v>9138</v>
      </c>
      <c r="B204">
        <v>306.31</v>
      </c>
      <c r="C204" s="581">
        <v>37</v>
      </c>
      <c r="D204" s="581">
        <v>23</v>
      </c>
      <c r="E204" s="28">
        <f t="shared" si="24"/>
        <v>0.63090324126988062</v>
      </c>
      <c r="F204" s="28">
        <f t="shared" si="25"/>
        <v>0.63090324126988062</v>
      </c>
      <c r="G204" s="2">
        <f t="shared" si="30"/>
        <v>1</v>
      </c>
      <c r="H204" s="2">
        <f t="shared" si="31"/>
        <v>0.36449057933102513</v>
      </c>
      <c r="I204" s="2">
        <f t="shared" si="26"/>
        <v>21.375942542477723</v>
      </c>
      <c r="J204" s="2">
        <f t="shared" si="27"/>
        <v>13.287748066945614</v>
      </c>
      <c r="K204" s="196">
        <f t="shared" si="28"/>
        <v>1.165303193005421</v>
      </c>
      <c r="L204" s="389">
        <f t="shared" si="29"/>
        <v>0.72437766051688335</v>
      </c>
      <c r="N204" s="814"/>
    </row>
    <row r="205" spans="1:14" ht="15" customHeight="1">
      <c r="A205" s="801" t="s">
        <v>6106</v>
      </c>
      <c r="B205" s="813">
        <v>306.11</v>
      </c>
      <c r="C205" s="581">
        <v>284</v>
      </c>
      <c r="D205" s="581">
        <v>37</v>
      </c>
      <c r="E205" s="28">
        <f t="shared" si="24"/>
        <v>0.13625483530424354</v>
      </c>
      <c r="F205" s="28">
        <f t="shared" si="25"/>
        <v>0.13625483530424354</v>
      </c>
      <c r="G205" s="2">
        <f t="shared" si="30"/>
        <v>1</v>
      </c>
      <c r="H205" s="2">
        <f t="shared" si="31"/>
        <v>0.36449057933102513</v>
      </c>
      <c r="I205" s="2">
        <f t="shared" si="26"/>
        <v>759.71853988793634</v>
      </c>
      <c r="J205" s="2">
        <f t="shared" si="27"/>
        <v>98.977415407935368</v>
      </c>
      <c r="K205" s="196">
        <f t="shared" si="28"/>
        <v>1.9317224048362667</v>
      </c>
      <c r="L205" s="389">
        <f t="shared" si="29"/>
        <v>0.25166805978500656</v>
      </c>
      <c r="N205" s="814"/>
    </row>
    <row r="206" spans="1:14" ht="15" customHeight="1">
      <c r="A206" s="801" t="s">
        <v>6139</v>
      </c>
      <c r="B206" s="813">
        <v>306.20999999999998</v>
      </c>
      <c r="C206" s="581"/>
      <c r="D206" s="581"/>
      <c r="E206" s="28">
        <f t="shared" si="24"/>
        <v>0.13625483530424354</v>
      </c>
      <c r="F206" s="28">
        <f t="shared" si="25"/>
        <v>0.13625483530424354</v>
      </c>
      <c r="G206" s="2">
        <f t="shared" si="30"/>
        <v>1</v>
      </c>
      <c r="H206" s="2">
        <f t="shared" si="31"/>
        <v>0.36449057933102513</v>
      </c>
      <c r="I206" s="2">
        <f t="shared" si="26"/>
        <v>0</v>
      </c>
      <c r="J206" s="2">
        <f t="shared" si="27"/>
        <v>0</v>
      </c>
      <c r="K206" s="196">
        <f t="shared" si="28"/>
        <v>0</v>
      </c>
      <c r="L206" s="389">
        <f t="shared" si="29"/>
        <v>0</v>
      </c>
      <c r="N206" s="814"/>
    </row>
    <row r="207" spans="1:14" ht="15" customHeight="1">
      <c r="A207" s="801" t="s">
        <v>6107</v>
      </c>
      <c r="B207" s="813">
        <v>1604.11</v>
      </c>
      <c r="C207" s="581">
        <v>9460</v>
      </c>
      <c r="D207" s="581">
        <v>1884</v>
      </c>
      <c r="E207" s="28">
        <f t="shared" si="24"/>
        <v>6.4914489556212054E-2</v>
      </c>
      <c r="F207" s="28">
        <f t="shared" si="25"/>
        <v>9.1742966246224758E-2</v>
      </c>
      <c r="G207" s="2">
        <f t="shared" si="30"/>
        <v>1</v>
      </c>
      <c r="H207" s="2">
        <f t="shared" si="31"/>
        <v>0.36449057933102513</v>
      </c>
      <c r="I207" s="2">
        <f t="shared" si="26"/>
        <v>53117.276343760917</v>
      </c>
      <c r="J207" s="2">
        <f t="shared" si="27"/>
        <v>7485.0452253380163</v>
      </c>
      <c r="K207" s="196">
        <f t="shared" si="28"/>
        <v>3522.3057275968458</v>
      </c>
      <c r="L207" s="389">
        <f t="shared" si="29"/>
        <v>701.48245145797648</v>
      </c>
      <c r="N207" s="814"/>
    </row>
    <row r="208" spans="1:14" ht="15" customHeight="1">
      <c r="A208" s="801" t="s">
        <v>8472</v>
      </c>
      <c r="B208" s="813">
        <v>304.52</v>
      </c>
      <c r="C208" s="581">
        <v>20</v>
      </c>
      <c r="D208" s="581">
        <v>343</v>
      </c>
      <c r="E208" s="28">
        <f t="shared" si="24"/>
        <v>3.1357494055489543E-2</v>
      </c>
      <c r="F208" s="28">
        <f t="shared" si="25"/>
        <v>4.4317216978311272E-2</v>
      </c>
      <c r="G208" s="2">
        <f t="shared" si="30"/>
        <v>1</v>
      </c>
      <c r="H208" s="2">
        <f t="shared" si="31"/>
        <v>0.36449057933102513</v>
      </c>
      <c r="I208" s="2">
        <f t="shared" si="26"/>
        <v>232.47430339046255</v>
      </c>
      <c r="J208" s="2">
        <f t="shared" si="27"/>
        <v>2821.031581737775</v>
      </c>
      <c r="K208" s="196">
        <f t="shared" si="28"/>
        <v>3.5972084954299932</v>
      </c>
      <c r="L208" s="389">
        <f t="shared" si="29"/>
        <v>61.69212569662438</v>
      </c>
      <c r="N208" s="814"/>
    </row>
    <row r="209" spans="1:14" ht="15" customHeight="1">
      <c r="A209" s="801" t="s">
        <v>6108</v>
      </c>
      <c r="B209" s="813">
        <v>305.41000000000003</v>
      </c>
      <c r="C209" s="581">
        <v>825</v>
      </c>
      <c r="D209" s="581">
        <v>291</v>
      </c>
      <c r="E209" s="28">
        <f t="shared" si="24"/>
        <v>3.2309613088533279E-2</v>
      </c>
      <c r="F209" s="28">
        <f t="shared" si="25"/>
        <v>4.5662836806921021E-2</v>
      </c>
      <c r="G209" s="2">
        <f t="shared" si="30"/>
        <v>1</v>
      </c>
      <c r="H209" s="2">
        <f t="shared" si="31"/>
        <v>0.36449057933102513</v>
      </c>
      <c r="I209" s="2">
        <f t="shared" si="26"/>
        <v>9306.9739685250588</v>
      </c>
      <c r="J209" s="2">
        <f t="shared" si="27"/>
        <v>2322.8245549836711</v>
      </c>
      <c r="K209" s="196">
        <f t="shared" si="28"/>
        <v>152.89031378971055</v>
      </c>
      <c r="L209" s="389">
        <f t="shared" si="29"/>
        <v>53.928583409461538</v>
      </c>
      <c r="N209" s="814"/>
    </row>
    <row r="210" spans="1:14" ht="15" customHeight="1">
      <c r="A210" s="801" t="s">
        <v>6109</v>
      </c>
      <c r="B210" s="813">
        <v>1604.13</v>
      </c>
      <c r="C210" s="581">
        <v>3316</v>
      </c>
      <c r="D210" s="581">
        <v>2820</v>
      </c>
      <c r="E210" s="28">
        <f t="shared" si="24"/>
        <v>0.2271136174297394</v>
      </c>
      <c r="F210" s="28">
        <f t="shared" si="25"/>
        <v>0.2271136174297394</v>
      </c>
      <c r="G210" s="2">
        <f t="shared" si="30"/>
        <v>1</v>
      </c>
      <c r="H210" s="2">
        <f t="shared" si="31"/>
        <v>0.36449057933102513</v>
      </c>
      <c r="I210" s="2">
        <f t="shared" si="26"/>
        <v>5321.7890443561419</v>
      </c>
      <c r="J210" s="2">
        <f t="shared" si="27"/>
        <v>4525.7675226430401</v>
      </c>
      <c r="K210" s="196">
        <f t="shared" si="28"/>
        <v>0</v>
      </c>
      <c r="L210" s="389">
        <f t="shared" si="29"/>
        <v>0</v>
      </c>
      <c r="N210" s="814"/>
    </row>
    <row r="211" spans="1:14" ht="15" customHeight="1">
      <c r="A211" s="801" t="s">
        <v>8473</v>
      </c>
      <c r="B211" s="813">
        <v>303.52999999999997</v>
      </c>
      <c r="C211" s="581">
        <v>829</v>
      </c>
      <c r="D211" s="581">
        <v>2</v>
      </c>
      <c r="E211" s="28">
        <f t="shared" si="24"/>
        <v>0.28679514570712178</v>
      </c>
      <c r="F211" s="28">
        <f t="shared" si="25"/>
        <v>0.28679514570712178</v>
      </c>
      <c r="G211" s="2">
        <f t="shared" si="30"/>
        <v>1</v>
      </c>
      <c r="H211" s="2">
        <f t="shared" si="31"/>
        <v>0.36449057933102513</v>
      </c>
      <c r="I211" s="2">
        <f t="shared" si="26"/>
        <v>1053.5836982889227</v>
      </c>
      <c r="J211" s="2">
        <f t="shared" si="27"/>
        <v>2.5418183312157363</v>
      </c>
      <c r="K211" s="196">
        <f t="shared" si="28"/>
        <v>0</v>
      </c>
      <c r="L211" s="389">
        <f t="shared" si="29"/>
        <v>0</v>
      </c>
      <c r="N211" s="814"/>
    </row>
    <row r="212" spans="1:14" ht="15" customHeight="1">
      <c r="A212" s="801" t="s">
        <v>282</v>
      </c>
      <c r="B212" s="813">
        <v>302.43</v>
      </c>
      <c r="C212" s="581">
        <v>33</v>
      </c>
      <c r="D212" s="581">
        <v>0</v>
      </c>
      <c r="E212" s="28">
        <f t="shared" si="24"/>
        <v>0</v>
      </c>
      <c r="F212" s="28">
        <f t="shared" si="25"/>
        <v>0</v>
      </c>
      <c r="G212" s="2">
        <f t="shared" si="30"/>
        <v>1</v>
      </c>
      <c r="H212" s="2">
        <f t="shared" si="31"/>
        <v>0.36449057933102513</v>
      </c>
      <c r="I212" s="2">
        <f t="shared" si="26"/>
        <v>0</v>
      </c>
      <c r="J212" s="2">
        <f t="shared" si="27"/>
        <v>0</v>
      </c>
      <c r="K212" s="196">
        <f t="shared" si="28"/>
        <v>0</v>
      </c>
      <c r="L212" s="389">
        <f t="shared" si="29"/>
        <v>0</v>
      </c>
      <c r="N212" s="814"/>
    </row>
    <row r="213" spans="1:14" ht="15" customHeight="1">
      <c r="A213" s="801" t="s">
        <v>6111</v>
      </c>
      <c r="B213" s="813">
        <v>2103.9</v>
      </c>
      <c r="C213" s="581"/>
      <c r="D213" s="581"/>
      <c r="E213" s="28">
        <f t="shared" si="24"/>
        <v>2.4110184786340458E-2</v>
      </c>
      <c r="F213" s="28">
        <f t="shared" si="25"/>
        <v>1.6581277610289991E-2</v>
      </c>
      <c r="G213" s="2">
        <f t="shared" si="30"/>
        <v>1</v>
      </c>
      <c r="H213" s="2">
        <f t="shared" si="31"/>
        <v>0.36449057933102513</v>
      </c>
      <c r="I213" s="2">
        <f t="shared" si="26"/>
        <v>0</v>
      </c>
      <c r="J213" s="2">
        <f t="shared" si="27"/>
        <v>0</v>
      </c>
      <c r="K213" s="196">
        <f t="shared" si="28"/>
        <v>0</v>
      </c>
      <c r="L213" s="389">
        <f t="shared" si="29"/>
        <v>0</v>
      </c>
      <c r="N213" s="814"/>
    </row>
    <row r="214" spans="1:14" ht="15" customHeight="1">
      <c r="A214" t="s">
        <v>9149</v>
      </c>
      <c r="B214">
        <v>307.22000000000003</v>
      </c>
      <c r="C214" s="581">
        <v>3725</v>
      </c>
      <c r="D214" s="581">
        <v>2951</v>
      </c>
      <c r="E214" s="28">
        <f t="shared" si="24"/>
        <v>0.52158176823995928</v>
      </c>
      <c r="F214" s="28">
        <f t="shared" si="25"/>
        <v>2.3563086282313277</v>
      </c>
      <c r="G214" s="2">
        <f t="shared" si="30"/>
        <v>1</v>
      </c>
      <c r="H214" s="2">
        <f t="shared" si="31"/>
        <v>0.36449057933102513</v>
      </c>
      <c r="I214" s="2">
        <f t="shared" si="26"/>
        <v>2603.0959874031328</v>
      </c>
      <c r="J214" s="2">
        <f t="shared" si="27"/>
        <v>456.4816708298614</v>
      </c>
      <c r="K214" s="196">
        <f t="shared" si="28"/>
        <v>1950.1944212962603</v>
      </c>
      <c r="L214" s="389">
        <f t="shared" si="29"/>
        <v>1544.9728153678561</v>
      </c>
      <c r="N214" s="814"/>
    </row>
    <row r="215" spans="1:14" ht="15" customHeight="1">
      <c r="A215" s="801" t="s">
        <v>6112</v>
      </c>
      <c r="B215" s="813">
        <v>307.20999999999998</v>
      </c>
      <c r="C215" s="581">
        <v>421</v>
      </c>
      <c r="D215" s="581">
        <v>2107</v>
      </c>
      <c r="E215" s="28">
        <f t="shared" si="24"/>
        <v>0.17031241411917036</v>
      </c>
      <c r="F215" s="28">
        <f t="shared" si="25"/>
        <v>0.76940689901431103</v>
      </c>
      <c r="G215" s="2">
        <f t="shared" si="30"/>
        <v>1</v>
      </c>
      <c r="H215" s="2">
        <f t="shared" si="31"/>
        <v>0.36449057933102513</v>
      </c>
      <c r="I215" s="2">
        <f t="shared" si="26"/>
        <v>900.99441483455075</v>
      </c>
      <c r="J215" s="2">
        <f t="shared" si="27"/>
        <v>998.14760126837052</v>
      </c>
      <c r="K215" s="196">
        <f t="shared" si="28"/>
        <v>71.971015597050311</v>
      </c>
      <c r="L215" s="389">
        <f t="shared" si="29"/>
        <v>360.19698304747033</v>
      </c>
      <c r="N215" s="814"/>
    </row>
    <row r="216" spans="1:14" ht="15" customHeight="1">
      <c r="A216" s="801" t="s">
        <v>6113</v>
      </c>
      <c r="B216" s="813">
        <v>307.29000000000002</v>
      </c>
      <c r="C216" s="581">
        <v>0</v>
      </c>
      <c r="D216" s="581">
        <v>725</v>
      </c>
      <c r="E216" s="28">
        <f t="shared" si="24"/>
        <v>7.1449557293145102E-2</v>
      </c>
      <c r="F216" s="28">
        <f t="shared" si="25"/>
        <v>0.32278200386730516</v>
      </c>
      <c r="G216" s="2">
        <f t="shared" si="30"/>
        <v>1</v>
      </c>
      <c r="H216" s="2">
        <f t="shared" si="31"/>
        <v>0.36449057933102513</v>
      </c>
      <c r="I216" s="2">
        <f t="shared" si="26"/>
        <v>0</v>
      </c>
      <c r="J216" s="2">
        <f t="shared" si="27"/>
        <v>818.68154621045119</v>
      </c>
      <c r="K216" s="196">
        <f t="shared" si="28"/>
        <v>0</v>
      </c>
      <c r="L216" s="389">
        <f t="shared" si="29"/>
        <v>51.99562215463046</v>
      </c>
      <c r="N216" s="814"/>
    </row>
    <row r="217" spans="1:14" ht="15" customHeight="1">
      <c r="A217" s="801" t="s">
        <v>8474</v>
      </c>
      <c r="B217" s="813">
        <v>1605.52</v>
      </c>
      <c r="C217" s="581">
        <v>142</v>
      </c>
      <c r="D217" s="581">
        <v>70</v>
      </c>
      <c r="E217" s="28">
        <f t="shared" si="24"/>
        <v>7.1449557293145102E-2</v>
      </c>
      <c r="F217" s="28">
        <f t="shared" si="25"/>
        <v>0.32278200386730516</v>
      </c>
      <c r="G217" s="2">
        <f t="shared" si="30"/>
        <v>1</v>
      </c>
      <c r="H217" s="2">
        <f t="shared" si="31"/>
        <v>0.36449057933102513</v>
      </c>
      <c r="I217" s="2">
        <f t="shared" si="26"/>
        <v>724.39444309854696</v>
      </c>
      <c r="J217" s="2">
        <f t="shared" si="27"/>
        <v>79.045114806526328</v>
      </c>
      <c r="K217" s="196">
        <f t="shared" si="28"/>
        <v>10.183970132355206</v>
      </c>
      <c r="L217" s="389">
        <f t="shared" si="29"/>
        <v>5.020266966653975</v>
      </c>
      <c r="N217" s="814"/>
    </row>
    <row r="218" spans="1:14" ht="15" customHeight="1">
      <c r="A218" s="801" t="s">
        <v>8439</v>
      </c>
      <c r="B218" s="813">
        <v>308.19</v>
      </c>
      <c r="C218" s="581">
        <v>139</v>
      </c>
      <c r="D218" s="581">
        <v>1323</v>
      </c>
      <c r="E218" s="28">
        <f t="shared" si="24"/>
        <v>0</v>
      </c>
      <c r="F218" s="28">
        <f t="shared" si="25"/>
        <v>0</v>
      </c>
      <c r="G218" s="2">
        <f t="shared" si="30"/>
        <v>1</v>
      </c>
      <c r="H218" s="2">
        <f t="shared" si="31"/>
        <v>0.36449057933102513</v>
      </c>
      <c r="I218" s="2">
        <f t="shared" si="26"/>
        <v>0</v>
      </c>
      <c r="J218" s="2">
        <f t="shared" si="27"/>
        <v>0</v>
      </c>
      <c r="K218" s="196">
        <f t="shared" si="28"/>
        <v>0</v>
      </c>
      <c r="L218" s="389">
        <f t="shared" si="29"/>
        <v>0</v>
      </c>
      <c r="N218" s="814"/>
    </row>
    <row r="219" spans="1:14" ht="15" customHeight="1">
      <c r="A219" s="801" t="s">
        <v>8442</v>
      </c>
      <c r="B219" s="813">
        <v>308.11</v>
      </c>
      <c r="C219" s="581">
        <v>1471</v>
      </c>
      <c r="D219" s="581">
        <v>1522</v>
      </c>
      <c r="E219" s="28">
        <f t="shared" si="24"/>
        <v>0</v>
      </c>
      <c r="F219" s="28">
        <f t="shared" si="25"/>
        <v>0</v>
      </c>
      <c r="G219" s="2">
        <f t="shared" si="30"/>
        <v>1</v>
      </c>
      <c r="H219" s="2">
        <f t="shared" si="31"/>
        <v>0.36449057933102513</v>
      </c>
      <c r="I219" s="2">
        <f t="shared" si="26"/>
        <v>0</v>
      </c>
      <c r="J219" s="2">
        <f t="shared" si="27"/>
        <v>0</v>
      </c>
      <c r="K219" s="196">
        <f t="shared" si="28"/>
        <v>0</v>
      </c>
      <c r="L219" s="389">
        <f t="shared" si="29"/>
        <v>0</v>
      </c>
      <c r="N219" s="814"/>
    </row>
    <row r="220" spans="1:14" ht="15" customHeight="1">
      <c r="A220" s="801" t="s">
        <v>8491</v>
      </c>
      <c r="B220" s="813">
        <v>1605.61</v>
      </c>
      <c r="C220" s="581">
        <v>0</v>
      </c>
      <c r="D220" s="581">
        <v>199</v>
      </c>
      <c r="E220" s="28">
        <f t="shared" si="24"/>
        <v>0</v>
      </c>
      <c r="F220" s="28">
        <f t="shared" si="25"/>
        <v>0</v>
      </c>
      <c r="G220" s="2">
        <f t="shared" si="30"/>
        <v>1</v>
      </c>
      <c r="H220" s="2">
        <f t="shared" si="31"/>
        <v>0.36449057933102513</v>
      </c>
      <c r="I220" s="2">
        <f t="shared" si="26"/>
        <v>0</v>
      </c>
      <c r="J220" s="2">
        <f t="shared" si="27"/>
        <v>0</v>
      </c>
      <c r="K220" s="196">
        <f t="shared" si="28"/>
        <v>0</v>
      </c>
      <c r="L220" s="389">
        <f t="shared" si="29"/>
        <v>0</v>
      </c>
      <c r="N220" s="814"/>
    </row>
    <row r="221" spans="1:14" ht="15" customHeight="1">
      <c r="A221" s="801" t="s">
        <v>8445</v>
      </c>
      <c r="B221" s="813">
        <v>308.29000000000002</v>
      </c>
      <c r="C221" s="581">
        <v>0</v>
      </c>
      <c r="D221" s="581">
        <v>0</v>
      </c>
      <c r="E221" s="28">
        <f t="shared" si="24"/>
        <v>0.31260318339998799</v>
      </c>
      <c r="F221" s="28">
        <f t="shared" si="25"/>
        <v>0.72718866995447939</v>
      </c>
      <c r="G221" s="2">
        <f t="shared" si="30"/>
        <v>1</v>
      </c>
      <c r="H221" s="2">
        <f t="shared" si="31"/>
        <v>0.36449057933102513</v>
      </c>
      <c r="I221" s="2">
        <f t="shared" si="26"/>
        <v>0</v>
      </c>
      <c r="J221" s="2">
        <f t="shared" si="27"/>
        <v>0</v>
      </c>
      <c r="K221" s="196">
        <f t="shared" si="28"/>
        <v>0</v>
      </c>
      <c r="L221" s="389">
        <f t="shared" si="29"/>
        <v>0</v>
      </c>
      <c r="N221" s="814"/>
    </row>
    <row r="222" spans="1:14" ht="15" customHeight="1">
      <c r="A222" s="801" t="s">
        <v>8446</v>
      </c>
      <c r="B222" s="813">
        <v>308.20999999999998</v>
      </c>
      <c r="C222" s="581">
        <v>84</v>
      </c>
      <c r="D222" s="581">
        <v>1899</v>
      </c>
      <c r="E222" s="28">
        <f t="shared" si="24"/>
        <v>0.31260318339998799</v>
      </c>
      <c r="F222" s="28">
        <f t="shared" si="25"/>
        <v>0.72718866995447939</v>
      </c>
      <c r="G222" s="2">
        <f t="shared" si="30"/>
        <v>1</v>
      </c>
      <c r="H222" s="2">
        <f t="shared" si="31"/>
        <v>0.36449057933102513</v>
      </c>
      <c r="I222" s="2">
        <f t="shared" si="26"/>
        <v>97.942728320300546</v>
      </c>
      <c r="J222" s="2">
        <f t="shared" si="27"/>
        <v>951.84047654777828</v>
      </c>
      <c r="K222" s="196">
        <f t="shared" si="28"/>
        <v>30.671137684520524</v>
      </c>
      <c r="L222" s="389">
        <f t="shared" si="29"/>
        <v>693.38679122505323</v>
      </c>
      <c r="N222" s="814"/>
    </row>
    <row r="223" spans="1:14" ht="15" customHeight="1">
      <c r="A223" s="801" t="s">
        <v>8492</v>
      </c>
      <c r="B223" s="813">
        <v>1605.62</v>
      </c>
      <c r="C223" s="581">
        <v>0</v>
      </c>
      <c r="D223" s="581">
        <v>1</v>
      </c>
      <c r="E223" s="28">
        <f t="shared" si="24"/>
        <v>0.15155925375976897</v>
      </c>
      <c r="F223" s="28">
        <f t="shared" si="25"/>
        <v>0.35256253938987897</v>
      </c>
      <c r="G223" s="2">
        <f t="shared" si="30"/>
        <v>1</v>
      </c>
      <c r="H223" s="2">
        <f t="shared" si="31"/>
        <v>0.36449057933102513</v>
      </c>
      <c r="I223" s="2">
        <f t="shared" si="26"/>
        <v>0</v>
      </c>
      <c r="J223" s="2">
        <f t="shared" si="27"/>
        <v>1.0338324087459434</v>
      </c>
      <c r="K223" s="196">
        <f t="shared" si="28"/>
        <v>0</v>
      </c>
      <c r="L223" s="389">
        <f t="shared" si="29"/>
        <v>0.17702706186978423</v>
      </c>
      <c r="N223" s="814"/>
    </row>
    <row r="224" spans="1:14" ht="15" customHeight="1">
      <c r="A224" s="801" t="s">
        <v>8447</v>
      </c>
      <c r="B224" s="813">
        <v>302.83999999999997</v>
      </c>
      <c r="C224" s="581">
        <v>941</v>
      </c>
      <c r="D224" s="581">
        <v>0</v>
      </c>
      <c r="E224" s="28">
        <f t="shared" si="24"/>
        <v>0.13975946399131889</v>
      </c>
      <c r="F224" s="28">
        <f t="shared" si="25"/>
        <v>0.13975946399131889</v>
      </c>
      <c r="G224" s="2">
        <f t="shared" si="30"/>
        <v>1</v>
      </c>
      <c r="H224" s="2">
        <f t="shared" si="31"/>
        <v>0.36449057933102513</v>
      </c>
      <c r="I224" s="2">
        <f t="shared" si="26"/>
        <v>2454.1138421352211</v>
      </c>
      <c r="J224" s="2">
        <f t="shared" si="27"/>
        <v>0</v>
      </c>
      <c r="K224" s="196">
        <f t="shared" si="28"/>
        <v>396.31754740646312</v>
      </c>
      <c r="L224" s="389">
        <f t="shared" si="29"/>
        <v>0</v>
      </c>
      <c r="N224" s="814"/>
    </row>
    <row r="225" spans="1:14" ht="15" customHeight="1">
      <c r="A225" s="801" t="s">
        <v>8482</v>
      </c>
      <c r="B225" s="813">
        <v>303.83999999999997</v>
      </c>
      <c r="C225" s="581">
        <v>12</v>
      </c>
      <c r="D225" s="581">
        <v>4</v>
      </c>
      <c r="E225" s="28">
        <f t="shared" si="24"/>
        <v>0.1340307311285657</v>
      </c>
      <c r="F225" s="28">
        <f t="shared" si="25"/>
        <v>0.1340307311285657</v>
      </c>
      <c r="G225" s="2">
        <f t="shared" si="30"/>
        <v>1</v>
      </c>
      <c r="H225" s="2">
        <f t="shared" si="31"/>
        <v>0.36449057933102513</v>
      </c>
      <c r="I225" s="2">
        <f t="shared" si="26"/>
        <v>32.633463349362451</v>
      </c>
      <c r="J225" s="2">
        <f t="shared" si="27"/>
        <v>10.87782111645415</v>
      </c>
      <c r="K225" s="196">
        <f t="shared" si="28"/>
        <v>4.8468333168201303</v>
      </c>
      <c r="L225" s="389">
        <f t="shared" si="29"/>
        <v>1.6156111056067102</v>
      </c>
      <c r="N225" s="814"/>
    </row>
    <row r="226" spans="1:14" ht="15" customHeight="1">
      <c r="A226" s="801" t="s">
        <v>8455</v>
      </c>
      <c r="B226" s="813">
        <v>302.85000000000002</v>
      </c>
      <c r="C226" s="581">
        <v>841</v>
      </c>
      <c r="D226" s="581">
        <v>0</v>
      </c>
      <c r="E226" s="28">
        <f t="shared" si="24"/>
        <v>5.8140976072580175E-2</v>
      </c>
      <c r="F226" s="28">
        <f t="shared" si="25"/>
        <v>3.9985245792842697E-2</v>
      </c>
      <c r="G226" s="2">
        <f t="shared" si="30"/>
        <v>1</v>
      </c>
      <c r="H226" s="2">
        <f t="shared" si="31"/>
        <v>0.36449057933102513</v>
      </c>
      <c r="I226" s="2">
        <f t="shared" si="26"/>
        <v>5272.2984360415239</v>
      </c>
      <c r="J226" s="2">
        <f t="shared" si="27"/>
        <v>0</v>
      </c>
      <c r="K226" s="196">
        <f t="shared" si="28"/>
        <v>149.83621726139273</v>
      </c>
      <c r="L226" s="389">
        <f t="shared" si="29"/>
        <v>0</v>
      </c>
      <c r="N226" s="814"/>
    </row>
    <row r="227" spans="1:14" ht="15" customHeight="1">
      <c r="A227" t="s">
        <v>9160</v>
      </c>
      <c r="B227">
        <v>308.12</v>
      </c>
      <c r="C227" s="581">
        <v>120</v>
      </c>
      <c r="D227" s="581">
        <v>1517</v>
      </c>
      <c r="E227" s="28">
        <f t="shared" si="24"/>
        <v>0.75102914811847121</v>
      </c>
      <c r="F227" s="28">
        <f t="shared" si="25"/>
        <v>1.7470707795656368</v>
      </c>
      <c r="G227" s="2">
        <f t="shared" si="30"/>
        <v>1</v>
      </c>
      <c r="H227" s="2">
        <f t="shared" si="31"/>
        <v>0.36449057933102513</v>
      </c>
      <c r="I227" s="2">
        <f t="shared" si="26"/>
        <v>58.23857786252448</v>
      </c>
      <c r="J227" s="2">
        <f t="shared" si="27"/>
        <v>316.4910176006934</v>
      </c>
      <c r="K227" s="196">
        <f t="shared" si="28"/>
        <v>105.26772612437223</v>
      </c>
      <c r="L227" s="389">
        <f t="shared" si="29"/>
        <v>1330.7595044222724</v>
      </c>
      <c r="N227" s="814"/>
    </row>
    <row r="228" spans="1:14" ht="15" customHeight="1">
      <c r="A228" t="s">
        <v>9161</v>
      </c>
      <c r="B228">
        <v>308.22000000000003</v>
      </c>
      <c r="C228" s="581">
        <v>0</v>
      </c>
      <c r="D228" s="581">
        <v>57</v>
      </c>
      <c r="E228" s="28">
        <f t="shared" si="24"/>
        <v>1.4536048028099442</v>
      </c>
      <c r="F228" s="28">
        <f t="shared" si="25"/>
        <v>3.3814273152883292</v>
      </c>
      <c r="G228" s="2">
        <f t="shared" si="30"/>
        <v>1</v>
      </c>
      <c r="H228" s="2">
        <f t="shared" si="31"/>
        <v>0.36449057933102513</v>
      </c>
      <c r="I228" s="2">
        <f t="shared" si="26"/>
        <v>0</v>
      </c>
      <c r="J228" s="2">
        <f t="shared" si="27"/>
        <v>6.1441400582336332</v>
      </c>
      <c r="K228" s="196">
        <f t="shared" si="28"/>
        <v>0</v>
      </c>
      <c r="L228" s="389">
        <f t="shared" si="29"/>
        <v>96.778393372406725</v>
      </c>
      <c r="N228" s="814"/>
    </row>
    <row r="229" spans="1:14" ht="15" customHeight="1">
      <c r="A229" s="801" t="s">
        <v>8484</v>
      </c>
      <c r="B229" s="813">
        <v>1212.21</v>
      </c>
      <c r="C229" s="581">
        <v>1124</v>
      </c>
      <c r="D229" s="581">
        <v>690</v>
      </c>
      <c r="E229" s="28">
        <f t="shared" si="24"/>
        <v>8.9802419020514801</v>
      </c>
      <c r="F229" s="28">
        <f t="shared" si="25"/>
        <v>4.2190909090909088</v>
      </c>
      <c r="G229" s="2">
        <f t="shared" si="30"/>
        <v>1</v>
      </c>
      <c r="H229" s="2">
        <f t="shared" si="31"/>
        <v>0.36449057933102513</v>
      </c>
      <c r="I229" s="2">
        <f t="shared" si="26"/>
        <v>45.620977211591786</v>
      </c>
      <c r="J229" s="2">
        <f t="shared" si="27"/>
        <v>59.609642256463715</v>
      </c>
      <c r="K229" s="196">
        <f t="shared" si="28"/>
        <v>0</v>
      </c>
      <c r="L229" s="389">
        <f t="shared" si="29"/>
        <v>0</v>
      </c>
      <c r="N229" s="814"/>
    </row>
    <row r="230" spans="1:14" ht="15" customHeight="1">
      <c r="A230" s="801" t="s">
        <v>8485</v>
      </c>
      <c r="B230" s="813">
        <v>1212.29</v>
      </c>
      <c r="C230" s="581">
        <v>275</v>
      </c>
      <c r="D230" s="581">
        <v>5629</v>
      </c>
      <c r="E230" s="28">
        <f t="shared" si="24"/>
        <v>8.9802419020514801</v>
      </c>
      <c r="F230" s="28">
        <f t="shared" si="25"/>
        <v>4.2190909090909088</v>
      </c>
      <c r="G230" s="2">
        <f t="shared" si="30"/>
        <v>1</v>
      </c>
      <c r="H230" s="2">
        <f t="shared" si="31"/>
        <v>0.36449057933102513</v>
      </c>
      <c r="I230" s="2">
        <f t="shared" si="26"/>
        <v>11.161715954793364</v>
      </c>
      <c r="J230" s="2">
        <f t="shared" si="27"/>
        <v>486.29373371251341</v>
      </c>
      <c r="K230" s="196">
        <f t="shared" si="28"/>
        <v>0</v>
      </c>
      <c r="L230" s="389">
        <f t="shared" si="29"/>
        <v>0</v>
      </c>
      <c r="N230" s="814"/>
    </row>
    <row r="231" spans="1:14" ht="15" customHeight="1">
      <c r="A231" s="801" t="s">
        <v>8486</v>
      </c>
      <c r="B231" s="813">
        <v>305.70999999999998</v>
      </c>
      <c r="C231" s="581">
        <v>148</v>
      </c>
      <c r="D231" s="581">
        <v>0</v>
      </c>
      <c r="E231" s="28">
        <f t="shared" si="24"/>
        <v>7.2250190633792342E-3</v>
      </c>
      <c r="F231" s="28">
        <f t="shared" si="25"/>
        <v>4.8109992235271298E-3</v>
      </c>
      <c r="G231" s="2">
        <f t="shared" si="30"/>
        <v>1</v>
      </c>
      <c r="H231" s="2">
        <f t="shared" si="31"/>
        <v>0.36449057933102513</v>
      </c>
      <c r="I231" s="2">
        <f t="shared" si="26"/>
        <v>7466.3617172189352</v>
      </c>
      <c r="J231" s="2">
        <f t="shared" si="27"/>
        <v>0</v>
      </c>
      <c r="K231" s="196">
        <f t="shared" si="28"/>
        <v>0</v>
      </c>
      <c r="L231" s="389">
        <f t="shared" si="29"/>
        <v>0</v>
      </c>
      <c r="N231" s="814"/>
    </row>
    <row r="232" spans="1:14" ht="15" customHeight="1">
      <c r="A232" t="s">
        <v>9122</v>
      </c>
      <c r="B232">
        <v>302.92</v>
      </c>
      <c r="C232" s="581">
        <v>4</v>
      </c>
      <c r="D232" s="581"/>
      <c r="E232" s="28">
        <f t="shared" si="24"/>
        <v>0.11560030501406775</v>
      </c>
      <c r="F232" s="28">
        <f t="shared" si="25"/>
        <v>7.6975987576434077E-2</v>
      </c>
      <c r="G232" s="2">
        <f t="shared" si="30"/>
        <v>1</v>
      </c>
      <c r="H232" s="2">
        <f t="shared" si="31"/>
        <v>0.36449057933102513</v>
      </c>
      <c r="I232" s="2">
        <f t="shared" si="26"/>
        <v>12.612097495302255</v>
      </c>
      <c r="J232" s="2">
        <f t="shared" si="27"/>
        <v>0</v>
      </c>
      <c r="K232" s="196">
        <f t="shared" si="28"/>
        <v>0</v>
      </c>
      <c r="L232" s="389">
        <f t="shared" si="29"/>
        <v>0</v>
      </c>
      <c r="N232" s="814"/>
    </row>
    <row r="233" spans="1:14" ht="15" customHeight="1">
      <c r="A233" t="s">
        <v>9126</v>
      </c>
      <c r="B233">
        <v>303.92</v>
      </c>
      <c r="C233" s="581">
        <v>27</v>
      </c>
      <c r="D233" s="581"/>
      <c r="E233" s="28">
        <f t="shared" si="24"/>
        <v>0.11560030501406775</v>
      </c>
      <c r="F233" s="28">
        <f t="shared" si="25"/>
        <v>7.6975987576434077E-2</v>
      </c>
      <c r="G233" s="2">
        <f t="shared" si="30"/>
        <v>1</v>
      </c>
      <c r="H233" s="2">
        <f t="shared" si="31"/>
        <v>0.36449057933102513</v>
      </c>
      <c r="I233" s="2">
        <f t="shared" si="26"/>
        <v>85.131658093290227</v>
      </c>
      <c r="J233" s="2">
        <f t="shared" si="27"/>
        <v>0</v>
      </c>
      <c r="K233" s="196">
        <f t="shared" si="28"/>
        <v>0</v>
      </c>
      <c r="L233" s="389">
        <f t="shared" si="29"/>
        <v>0</v>
      </c>
      <c r="N233" s="814"/>
    </row>
    <row r="234" spans="1:14" ht="15" customHeight="1">
      <c r="A234" t="s">
        <v>9162</v>
      </c>
      <c r="B234">
        <v>1604.18</v>
      </c>
      <c r="C234" s="581"/>
      <c r="D234" s="581"/>
      <c r="E234" s="28">
        <f t="shared" si="24"/>
        <v>0.11560030501406775</v>
      </c>
      <c r="F234" s="28">
        <f t="shared" si="25"/>
        <v>7.6975987576434077E-2</v>
      </c>
      <c r="G234" s="2">
        <f t="shared" si="30"/>
        <v>1</v>
      </c>
      <c r="H234" s="2">
        <f t="shared" si="31"/>
        <v>0.36449057933102513</v>
      </c>
      <c r="I234" s="2">
        <f t="shared" si="26"/>
        <v>0</v>
      </c>
      <c r="J234" s="2">
        <f t="shared" si="27"/>
        <v>0</v>
      </c>
      <c r="K234" s="196">
        <f t="shared" si="28"/>
        <v>0</v>
      </c>
      <c r="L234" s="389">
        <f t="shared" si="29"/>
        <v>0</v>
      </c>
      <c r="N234" s="814"/>
    </row>
    <row r="235" spans="1:14" ht="15" customHeight="1">
      <c r="A235" t="s">
        <v>9146</v>
      </c>
      <c r="B235">
        <v>306.95</v>
      </c>
      <c r="C235" s="581">
        <v>1407</v>
      </c>
      <c r="D235" s="581">
        <v>2</v>
      </c>
      <c r="E235" s="28">
        <f t="shared" si="24"/>
        <v>1.5989617539042693</v>
      </c>
      <c r="F235" s="28">
        <f t="shared" si="25"/>
        <v>4.3634762506740312</v>
      </c>
      <c r="G235" s="2">
        <f t="shared" si="30"/>
        <v>1</v>
      </c>
      <c r="H235" s="2">
        <f t="shared" si="31"/>
        <v>0.36449057933102513</v>
      </c>
      <c r="I235" s="2">
        <f t="shared" si="26"/>
        <v>320.73202743375703</v>
      </c>
      <c r="J235" s="2">
        <f t="shared" si="27"/>
        <v>0.16706431220966167</v>
      </c>
      <c r="K235" s="196">
        <f t="shared" si="28"/>
        <v>1800.3041070016047</v>
      </c>
      <c r="L235" s="389">
        <f t="shared" si="29"/>
        <v>2.5590676716440721</v>
      </c>
      <c r="N235" s="814"/>
    </row>
    <row r="236" spans="1:14" ht="15" customHeight="1">
      <c r="A236" s="801" t="s">
        <v>8493</v>
      </c>
      <c r="B236" s="813">
        <v>1605.21</v>
      </c>
      <c r="C236" s="581">
        <v>4075</v>
      </c>
      <c r="D236" s="581">
        <v>1652</v>
      </c>
      <c r="E236" s="28">
        <f t="shared" si="24"/>
        <v>0.17069775887422928</v>
      </c>
      <c r="F236" s="28">
        <f t="shared" si="25"/>
        <v>0.46582453587290468</v>
      </c>
      <c r="G236" s="2">
        <f t="shared" si="30"/>
        <v>1</v>
      </c>
      <c r="H236" s="2">
        <f t="shared" si="31"/>
        <v>0.36449057933102513</v>
      </c>
      <c r="I236" s="2">
        <f t="shared" si="26"/>
        <v>8701.3392593414264</v>
      </c>
      <c r="J236" s="2">
        <f t="shared" si="27"/>
        <v>1292.629285674082</v>
      </c>
      <c r="K236" s="196">
        <f t="shared" si="28"/>
        <v>556.63323241122976</v>
      </c>
      <c r="L236" s="389">
        <f t="shared" si="29"/>
        <v>225.65842943395131</v>
      </c>
      <c r="N236" s="814"/>
    </row>
    <row r="237" spans="1:14" ht="15" customHeight="1">
      <c r="A237" s="801" t="s">
        <v>6118</v>
      </c>
      <c r="B237" s="813">
        <v>302.33</v>
      </c>
      <c r="C237" s="581">
        <v>3</v>
      </c>
      <c r="D237" s="581">
        <v>0</v>
      </c>
      <c r="E237" s="28">
        <f t="shared" si="24"/>
        <v>1.2140787153496386E-2</v>
      </c>
      <c r="F237" s="28">
        <f t="shared" si="25"/>
        <v>1.2140787153496386E-2</v>
      </c>
      <c r="G237" s="2">
        <f t="shared" si="30"/>
        <v>1</v>
      </c>
      <c r="H237" s="2">
        <f t="shared" si="31"/>
        <v>0.36449057933102513</v>
      </c>
      <c r="I237" s="2">
        <f t="shared" si="26"/>
        <v>90.065967236578231</v>
      </c>
      <c r="J237" s="2">
        <f t="shared" si="27"/>
        <v>0</v>
      </c>
      <c r="K237" s="196">
        <f t="shared" si="28"/>
        <v>7.4841365840614321E-2</v>
      </c>
      <c r="L237" s="389">
        <f t="shared" si="29"/>
        <v>0</v>
      </c>
      <c r="N237" s="814"/>
    </row>
    <row r="238" spans="1:14" ht="15" customHeight="1">
      <c r="A238" s="801" t="s">
        <v>6119</v>
      </c>
      <c r="B238" s="813">
        <v>303.43</v>
      </c>
      <c r="C238" s="581">
        <v>315</v>
      </c>
      <c r="D238" s="581">
        <v>0</v>
      </c>
      <c r="E238" s="28">
        <f t="shared" si="24"/>
        <v>8.9724479037735349E-3</v>
      </c>
      <c r="F238" s="28">
        <f t="shared" si="25"/>
        <v>8.9724479037735349E-3</v>
      </c>
      <c r="G238" s="2">
        <f t="shared" si="30"/>
        <v>1</v>
      </c>
      <c r="H238" s="2">
        <f t="shared" si="31"/>
        <v>0.36449057933102513</v>
      </c>
      <c r="I238" s="2">
        <f t="shared" si="26"/>
        <v>12796.344288718074</v>
      </c>
      <c r="J238" s="2">
        <f t="shared" si="27"/>
        <v>0</v>
      </c>
      <c r="K238" s="196">
        <f t="shared" si="28"/>
        <v>5.8075787009553261</v>
      </c>
      <c r="L238" s="389">
        <f t="shared" si="29"/>
        <v>0</v>
      </c>
      <c r="N238" s="814"/>
    </row>
    <row r="239" spans="1:14" ht="15" customHeight="1">
      <c r="A239" s="801" t="s">
        <v>6120</v>
      </c>
      <c r="B239" s="813">
        <v>303.11</v>
      </c>
      <c r="C239" s="581">
        <v>5361</v>
      </c>
      <c r="D239" s="581">
        <v>2447</v>
      </c>
      <c r="E239" s="28">
        <f t="shared" si="24"/>
        <v>3.2309613088533279E-2</v>
      </c>
      <c r="F239" s="28">
        <f t="shared" si="25"/>
        <v>4.5662836806921021E-2</v>
      </c>
      <c r="G239" s="2">
        <f t="shared" si="30"/>
        <v>1</v>
      </c>
      <c r="H239" s="2">
        <f t="shared" si="31"/>
        <v>0.36449057933102513</v>
      </c>
      <c r="I239" s="2">
        <f t="shared" si="26"/>
        <v>60478.409024561013</v>
      </c>
      <c r="J239" s="2">
        <f t="shared" si="27"/>
        <v>19532.480020773342</v>
      </c>
      <c r="K239" s="196">
        <f t="shared" si="28"/>
        <v>993.50905724440997</v>
      </c>
      <c r="L239" s="389">
        <f t="shared" si="29"/>
        <v>453.48193677990508</v>
      </c>
      <c r="N239" s="814"/>
    </row>
    <row r="240" spans="1:14" ht="15" customHeight="1">
      <c r="A240" s="801" t="s">
        <v>6121</v>
      </c>
      <c r="B240" s="813">
        <v>302.23</v>
      </c>
      <c r="C240" s="581">
        <v>11</v>
      </c>
      <c r="D240" s="581">
        <v>62</v>
      </c>
      <c r="E240" s="28">
        <f t="shared" si="24"/>
        <v>0.12350466484194299</v>
      </c>
      <c r="F240" s="28">
        <f t="shared" si="25"/>
        <v>0.12350466484194299</v>
      </c>
      <c r="G240" s="2">
        <f t="shared" si="30"/>
        <v>1</v>
      </c>
      <c r="H240" s="2">
        <f t="shared" si="31"/>
        <v>0.36449057933102513</v>
      </c>
      <c r="I240" s="2">
        <f t="shared" si="26"/>
        <v>32.463521744481177</v>
      </c>
      <c r="J240" s="2">
        <f t="shared" si="27"/>
        <v>182.97621346889392</v>
      </c>
      <c r="K240" s="196">
        <f t="shared" si="28"/>
        <v>4.0275852751456884E-2</v>
      </c>
      <c r="L240" s="389">
        <f t="shared" si="29"/>
        <v>0.2270093518718479</v>
      </c>
      <c r="N240" s="814"/>
    </row>
    <row r="241" spans="1:14" ht="15" customHeight="1">
      <c r="A241" s="801" t="s">
        <v>6122</v>
      </c>
      <c r="B241" s="813">
        <v>303.33</v>
      </c>
      <c r="C241" s="581">
        <v>189</v>
      </c>
      <c r="D241" s="581">
        <v>3568</v>
      </c>
      <c r="E241" s="28">
        <f t="shared" si="24"/>
        <v>0.12365977274127349</v>
      </c>
      <c r="F241" s="28">
        <f t="shared" si="25"/>
        <v>0.12365977274127349</v>
      </c>
      <c r="G241" s="2">
        <f t="shared" si="30"/>
        <v>1</v>
      </c>
      <c r="H241" s="2">
        <f t="shared" si="31"/>
        <v>0.36449057933102513</v>
      </c>
      <c r="I241" s="2">
        <f t="shared" si="26"/>
        <v>557.08269525689502</v>
      </c>
      <c r="J241" s="2">
        <f t="shared" si="27"/>
        <v>10516.778077653975</v>
      </c>
      <c r="K241" s="196">
        <f t="shared" si="28"/>
        <v>0.69288146842331499</v>
      </c>
      <c r="L241" s="389">
        <f t="shared" si="29"/>
        <v>13.080428991187237</v>
      </c>
      <c r="N241" s="814"/>
    </row>
    <row r="242" spans="1:14" ht="15" customHeight="1">
      <c r="A242" s="801" t="s">
        <v>8523</v>
      </c>
      <c r="B242" s="813">
        <v>303.45999999999998</v>
      </c>
      <c r="C242" s="581">
        <v>7</v>
      </c>
      <c r="D242" s="581">
        <v>0</v>
      </c>
      <c r="E242" s="28">
        <f t="shared" si="24"/>
        <v>8.0746295176385482E-3</v>
      </c>
      <c r="F242" s="28">
        <f t="shared" si="25"/>
        <v>7.8846335794619596E-3</v>
      </c>
      <c r="G242" s="2">
        <f t="shared" si="30"/>
        <v>1</v>
      </c>
      <c r="H242" s="2">
        <f t="shared" si="31"/>
        <v>0.36449057933102513</v>
      </c>
      <c r="I242" s="2">
        <f t="shared" si="26"/>
        <v>315.98156296133709</v>
      </c>
      <c r="J242" s="2">
        <f t="shared" si="27"/>
        <v>0</v>
      </c>
      <c r="K242" s="196">
        <f t="shared" si="28"/>
        <v>3.8098982516735609E-2</v>
      </c>
      <c r="L242" s="389">
        <f t="shared" si="29"/>
        <v>0</v>
      </c>
      <c r="N242" s="814"/>
    </row>
    <row r="243" spans="1:14" ht="15" customHeight="1">
      <c r="A243" s="801" t="s">
        <v>6123</v>
      </c>
      <c r="B243" s="813">
        <v>301.95</v>
      </c>
      <c r="C243" s="581">
        <v>1</v>
      </c>
      <c r="D243" s="581">
        <v>0</v>
      </c>
      <c r="E243" s="28">
        <f t="shared" si="24"/>
        <v>1.2496450443964422E-2</v>
      </c>
      <c r="F243" s="28">
        <f t="shared" si="25"/>
        <v>1.2202409111072083E-2</v>
      </c>
      <c r="G243" s="2">
        <f t="shared" si="30"/>
        <v>1</v>
      </c>
      <c r="H243" s="2">
        <f t="shared" si="31"/>
        <v>0.36449057933102513</v>
      </c>
      <c r="I243" s="2">
        <f t="shared" si="26"/>
        <v>29.167528888738804</v>
      </c>
      <c r="J243" s="2">
        <f t="shared" si="27"/>
        <v>0</v>
      </c>
      <c r="K243" s="196">
        <f t="shared" si="28"/>
        <v>8.4232444339721584E-3</v>
      </c>
      <c r="L243" s="389">
        <f t="shared" si="29"/>
        <v>0</v>
      </c>
      <c r="N243" s="814"/>
    </row>
    <row r="244" spans="1:14" ht="15" customHeight="1">
      <c r="A244" t="s">
        <v>9156</v>
      </c>
      <c r="B244">
        <v>307.83999999999997</v>
      </c>
      <c r="C244" s="581">
        <v>4</v>
      </c>
      <c r="D244" s="581"/>
      <c r="E244" s="28">
        <f t="shared" si="24"/>
        <v>0.4845349342699814</v>
      </c>
      <c r="F244" s="28">
        <f t="shared" si="25"/>
        <v>1.1271424384294431</v>
      </c>
      <c r="G244" s="2">
        <f t="shared" si="30"/>
        <v>1</v>
      </c>
      <c r="H244" s="2">
        <f t="shared" si="31"/>
        <v>0.36449057933102513</v>
      </c>
      <c r="I244" s="2">
        <f t="shared" si="26"/>
        <v>3.0089931895637649</v>
      </c>
      <c r="J244" s="2">
        <f t="shared" si="27"/>
        <v>0</v>
      </c>
      <c r="K244" s="196">
        <f t="shared" si="28"/>
        <v>2.2638220671908007</v>
      </c>
      <c r="L244" s="389">
        <f t="shared" si="29"/>
        <v>0</v>
      </c>
      <c r="N244" s="814"/>
    </row>
    <row r="245" spans="1:14" ht="15" customHeight="1">
      <c r="A245" t="s">
        <v>9154</v>
      </c>
      <c r="B245">
        <v>307.82</v>
      </c>
      <c r="C245" s="581">
        <v>14</v>
      </c>
      <c r="D245" s="581"/>
      <c r="E245" s="28">
        <f t="shared" si="24"/>
        <v>0.4845349342699814</v>
      </c>
      <c r="F245" s="28">
        <f t="shared" si="25"/>
        <v>1.1271424384294431</v>
      </c>
      <c r="G245" s="2">
        <f t="shared" si="30"/>
        <v>1</v>
      </c>
      <c r="H245" s="2">
        <f t="shared" si="31"/>
        <v>0.36449057933102513</v>
      </c>
      <c r="I245" s="2">
        <f t="shared" si="26"/>
        <v>10.531476163473178</v>
      </c>
      <c r="J245" s="2">
        <f t="shared" si="27"/>
        <v>0</v>
      </c>
      <c r="K245" s="196">
        <f t="shared" si="28"/>
        <v>7.923377235167802</v>
      </c>
      <c r="L245" s="389">
        <f t="shared" si="29"/>
        <v>0</v>
      </c>
      <c r="N245" s="814"/>
    </row>
    <row r="246" spans="1:14" ht="15" customHeight="1">
      <c r="A246" t="s">
        <v>9158</v>
      </c>
      <c r="B246">
        <v>307.88</v>
      </c>
      <c r="C246" s="581">
        <v>12</v>
      </c>
      <c r="D246" s="581"/>
      <c r="E246" s="28">
        <f t="shared" si="24"/>
        <v>2.7133956319118955</v>
      </c>
      <c r="F246" s="28">
        <f t="shared" si="25"/>
        <v>6.3119976552048804</v>
      </c>
      <c r="G246" s="2">
        <f t="shared" si="30"/>
        <v>1</v>
      </c>
      <c r="H246" s="2">
        <f t="shared" si="31"/>
        <v>0.36449057933102513</v>
      </c>
      <c r="I246" s="2">
        <f t="shared" si="26"/>
        <v>1.6119606372663027</v>
      </c>
      <c r="J246" s="2">
        <f t="shared" si="27"/>
        <v>0</v>
      </c>
      <c r="K246" s="196">
        <f t="shared" si="28"/>
        <v>38.032210728805453</v>
      </c>
      <c r="L246" s="389">
        <f t="shared" si="29"/>
        <v>0</v>
      </c>
      <c r="N246" s="814"/>
    </row>
    <row r="247" spans="1:14" ht="15" customHeight="1">
      <c r="A247" s="801" t="s">
        <v>6126</v>
      </c>
      <c r="B247" s="813">
        <v>304.91000000000003</v>
      </c>
      <c r="C247" s="581">
        <v>6</v>
      </c>
      <c r="D247" s="581">
        <v>0</v>
      </c>
      <c r="E247" s="28">
        <f t="shared" si="24"/>
        <v>6.6339701467020232E-3</v>
      </c>
      <c r="F247" s="28">
        <f t="shared" si="25"/>
        <v>6.6339701467020232E-3</v>
      </c>
      <c r="G247" s="2">
        <f t="shared" si="30"/>
        <v>1</v>
      </c>
      <c r="H247" s="2">
        <f t="shared" si="31"/>
        <v>0.36449057933102513</v>
      </c>
      <c r="I247" s="2">
        <f t="shared" si="26"/>
        <v>329.65832339076115</v>
      </c>
      <c r="J247" s="2">
        <f t="shared" si="27"/>
        <v>0</v>
      </c>
      <c r="K247" s="196">
        <f t="shared" si="28"/>
        <v>0</v>
      </c>
      <c r="L247" s="389">
        <f t="shared" si="29"/>
        <v>0</v>
      </c>
      <c r="N247" s="814"/>
    </row>
    <row r="248" spans="1:14" ht="15" customHeight="1">
      <c r="A248" s="801" t="s">
        <v>8488</v>
      </c>
      <c r="B248" s="813">
        <v>304.54000000000002</v>
      </c>
      <c r="C248" s="581">
        <v>6</v>
      </c>
      <c r="D248" s="581">
        <v>0</v>
      </c>
      <c r="E248" s="28">
        <f t="shared" si="24"/>
        <v>4.4126407763131108E-3</v>
      </c>
      <c r="F248" s="28">
        <f t="shared" si="25"/>
        <v>4.4126407763131108E-3</v>
      </c>
      <c r="G248" s="2">
        <f t="shared" si="30"/>
        <v>1</v>
      </c>
      <c r="H248" s="2">
        <f t="shared" si="31"/>
        <v>0.36449057933102513</v>
      </c>
      <c r="I248" s="2">
        <f t="shared" si="26"/>
        <v>495.60877190039599</v>
      </c>
      <c r="J248" s="2">
        <f t="shared" si="27"/>
        <v>0</v>
      </c>
      <c r="K248" s="196">
        <f t="shared" si="28"/>
        <v>0</v>
      </c>
      <c r="L248" s="389">
        <f t="shared" si="29"/>
        <v>0</v>
      </c>
      <c r="N248" s="814"/>
    </row>
    <row r="249" spans="1:14" ht="15" customHeight="1">
      <c r="A249" s="801" t="s">
        <v>8489</v>
      </c>
      <c r="B249" s="813">
        <v>304.45</v>
      </c>
      <c r="C249" s="581">
        <v>1</v>
      </c>
      <c r="D249" s="581">
        <v>0</v>
      </c>
      <c r="E249" s="28">
        <f t="shared" si="24"/>
        <v>4.4126407763131108E-3</v>
      </c>
      <c r="F249" s="28">
        <f t="shared" si="25"/>
        <v>4.4126407763131108E-3</v>
      </c>
      <c r="G249" s="2">
        <f t="shared" si="30"/>
        <v>1</v>
      </c>
      <c r="H249" s="2">
        <f t="shared" si="31"/>
        <v>0.36449057933102513</v>
      </c>
      <c r="I249" s="2">
        <f t="shared" si="26"/>
        <v>82.601461983399332</v>
      </c>
      <c r="J249" s="2">
        <f t="shared" si="27"/>
        <v>0</v>
      </c>
      <c r="K249" s="196">
        <f t="shared" si="28"/>
        <v>0</v>
      </c>
      <c r="L249" s="389">
        <f t="shared" si="29"/>
        <v>0</v>
      </c>
      <c r="N249" s="814"/>
    </row>
    <row r="250" spans="1:14" ht="15" customHeight="1">
      <c r="A250" s="801" t="s">
        <v>8490</v>
      </c>
      <c r="B250" s="813">
        <v>304.83999999999997</v>
      </c>
      <c r="C250" s="581">
        <v>0</v>
      </c>
      <c r="D250" s="581">
        <v>0</v>
      </c>
      <c r="E250" s="28">
        <f t="shared" si="24"/>
        <v>4.4126407763131108E-3</v>
      </c>
      <c r="F250" s="28">
        <f t="shared" si="25"/>
        <v>4.4126407763131108E-3</v>
      </c>
      <c r="G250" s="2">
        <f t="shared" si="30"/>
        <v>1</v>
      </c>
      <c r="H250" s="2">
        <f t="shared" si="31"/>
        <v>0.36449057933102513</v>
      </c>
      <c r="I250" s="2">
        <f t="shared" si="26"/>
        <v>0</v>
      </c>
      <c r="J250" s="2">
        <f t="shared" si="27"/>
        <v>0</v>
      </c>
      <c r="K250" s="196">
        <f t="shared" si="28"/>
        <v>0</v>
      </c>
      <c r="L250" s="389">
        <f t="shared" si="29"/>
        <v>0</v>
      </c>
      <c r="N250" s="814"/>
    </row>
    <row r="251" spans="1:14" ht="15" customHeight="1">
      <c r="A251" s="801" t="s">
        <v>6127</v>
      </c>
      <c r="B251" s="813">
        <v>302.47000000000003</v>
      </c>
      <c r="C251" s="581">
        <v>79</v>
      </c>
      <c r="D251" s="581">
        <v>595</v>
      </c>
      <c r="E251" s="28">
        <f t="shared" si="24"/>
        <v>0</v>
      </c>
      <c r="F251" s="28">
        <f t="shared" si="25"/>
        <v>0</v>
      </c>
      <c r="G251" s="2">
        <f t="shared" si="30"/>
        <v>1</v>
      </c>
      <c r="H251" s="2">
        <f t="shared" si="31"/>
        <v>0.36449057933102513</v>
      </c>
      <c r="I251" s="2">
        <f t="shared" si="26"/>
        <v>0</v>
      </c>
      <c r="J251" s="2">
        <f t="shared" si="27"/>
        <v>0</v>
      </c>
      <c r="K251" s="196">
        <f t="shared" si="28"/>
        <v>0</v>
      </c>
      <c r="L251" s="389">
        <f t="shared" si="29"/>
        <v>0</v>
      </c>
      <c r="N251" s="814"/>
    </row>
    <row r="252" spans="1:14" ht="15" customHeight="1">
      <c r="A252" s="801" t="s">
        <v>6128</v>
      </c>
      <c r="B252" s="813">
        <v>303.57</v>
      </c>
      <c r="C252" s="581">
        <v>120</v>
      </c>
      <c r="D252" s="581">
        <v>0</v>
      </c>
      <c r="E252" s="28">
        <f t="shared" si="24"/>
        <v>0</v>
      </c>
      <c r="F252" s="28">
        <f t="shared" si="25"/>
        <v>0</v>
      </c>
      <c r="G252" s="2">
        <f t="shared" si="30"/>
        <v>1</v>
      </c>
      <c r="H252" s="2">
        <f t="shared" si="31"/>
        <v>0.36449057933102513</v>
      </c>
      <c r="I252" s="2">
        <f t="shared" si="26"/>
        <v>0</v>
      </c>
      <c r="J252" s="2">
        <f t="shared" si="27"/>
        <v>0</v>
      </c>
      <c r="K252" s="196">
        <f t="shared" si="28"/>
        <v>0</v>
      </c>
      <c r="L252" s="389">
        <f t="shared" si="29"/>
        <v>0</v>
      </c>
      <c r="N252" s="814"/>
    </row>
    <row r="253" spans="1:14" ht="15" customHeight="1">
      <c r="A253" s="801" t="s">
        <v>8395</v>
      </c>
      <c r="B253" s="813">
        <v>304.31</v>
      </c>
      <c r="C253" s="581">
        <v>2017</v>
      </c>
      <c r="D253" s="581">
        <v>0</v>
      </c>
      <c r="E253" s="28">
        <f t="shared" si="24"/>
        <v>4.5798651488069199E-2</v>
      </c>
      <c r="F253" s="28">
        <f t="shared" si="25"/>
        <v>3.1497069028306734E-2</v>
      </c>
      <c r="G253" s="2">
        <f t="shared" si="30"/>
        <v>1</v>
      </c>
      <c r="H253" s="2">
        <f t="shared" si="31"/>
        <v>0.36449057933102513</v>
      </c>
      <c r="I253" s="2">
        <f t="shared" si="26"/>
        <v>16052.383086043386</v>
      </c>
      <c r="J253" s="2">
        <f t="shared" si="27"/>
        <v>0</v>
      </c>
      <c r="K253" s="196">
        <f t="shared" si="28"/>
        <v>283.07210537579164</v>
      </c>
      <c r="L253" s="389">
        <f t="shared" si="29"/>
        <v>0</v>
      </c>
      <c r="N253" s="814"/>
    </row>
    <row r="254" spans="1:14" ht="15" customHeight="1">
      <c r="A254" s="801" t="s">
        <v>8405</v>
      </c>
      <c r="B254" s="813">
        <v>304.61</v>
      </c>
      <c r="C254" s="581">
        <v>2282</v>
      </c>
      <c r="D254" s="581">
        <v>3</v>
      </c>
      <c r="E254" s="28">
        <f t="shared" si="24"/>
        <v>4.5798651488069199E-2</v>
      </c>
      <c r="F254" s="28">
        <f t="shared" si="25"/>
        <v>3.1497069028306734E-2</v>
      </c>
      <c r="G254" s="2">
        <f t="shared" si="30"/>
        <v>1</v>
      </c>
      <c r="H254" s="2">
        <f t="shared" si="31"/>
        <v>0.36449057933102513</v>
      </c>
      <c r="I254" s="2">
        <f t="shared" si="26"/>
        <v>18161.397224764998</v>
      </c>
      <c r="J254" s="2">
        <f t="shared" si="27"/>
        <v>34.716618775237826</v>
      </c>
      <c r="K254" s="196">
        <f t="shared" si="28"/>
        <v>320.26303642417281</v>
      </c>
      <c r="L254" s="389">
        <f t="shared" si="29"/>
        <v>0.42102940809488099</v>
      </c>
      <c r="N254" s="814"/>
    </row>
    <row r="255" spans="1:14" ht="15" customHeight="1">
      <c r="A255" s="801" t="s">
        <v>8459</v>
      </c>
      <c r="B255" s="813">
        <v>302.70999999999998</v>
      </c>
      <c r="C255" s="581">
        <v>164</v>
      </c>
      <c r="D255" s="581">
        <v>0</v>
      </c>
      <c r="E255" s="28">
        <f t="shared" si="24"/>
        <v>5.8140976072580175E-2</v>
      </c>
      <c r="F255" s="28">
        <f t="shared" si="25"/>
        <v>3.9985245792842697E-2</v>
      </c>
      <c r="G255" s="2">
        <f t="shared" si="30"/>
        <v>1</v>
      </c>
      <c r="H255" s="2">
        <f t="shared" si="31"/>
        <v>0.36449057933102513</v>
      </c>
      <c r="I255" s="2">
        <f t="shared" si="26"/>
        <v>1028.1295404409157</v>
      </c>
      <c r="J255" s="2">
        <f t="shared" si="27"/>
        <v>0</v>
      </c>
      <c r="K255" s="196">
        <f t="shared" si="28"/>
        <v>29.218953187715108</v>
      </c>
      <c r="L255" s="389">
        <f t="shared" si="29"/>
        <v>0</v>
      </c>
      <c r="N255" s="814"/>
    </row>
    <row r="256" spans="1:14" ht="15" customHeight="1">
      <c r="A256" s="801" t="s">
        <v>8475</v>
      </c>
      <c r="B256" s="813">
        <v>303.23</v>
      </c>
      <c r="C256" s="581">
        <v>2565</v>
      </c>
      <c r="D256" s="581">
        <v>0</v>
      </c>
      <c r="E256" s="28">
        <f t="shared" si="24"/>
        <v>4.9789233653314516E-2</v>
      </c>
      <c r="F256" s="28">
        <f t="shared" si="25"/>
        <v>3.4241508828124961E-2</v>
      </c>
      <c r="G256" s="2">
        <f t="shared" si="30"/>
        <v>1</v>
      </c>
      <c r="H256" s="2">
        <f t="shared" si="31"/>
        <v>0.36449057933102513</v>
      </c>
      <c r="I256" s="2">
        <f t="shared" si="26"/>
        <v>18777.520105932403</v>
      </c>
      <c r="J256" s="2">
        <f t="shared" si="27"/>
        <v>0</v>
      </c>
      <c r="K256" s="196">
        <f t="shared" si="28"/>
        <v>391.34635876586162</v>
      </c>
      <c r="L256" s="389">
        <f t="shared" si="29"/>
        <v>0</v>
      </c>
      <c r="N256" s="814"/>
    </row>
    <row r="257" spans="1:14" ht="15" customHeight="1">
      <c r="A257" s="801" t="s">
        <v>8476</v>
      </c>
      <c r="B257" s="813">
        <v>304.93</v>
      </c>
      <c r="C257" s="581">
        <v>629</v>
      </c>
      <c r="D257" s="581">
        <v>0</v>
      </c>
      <c r="E257" s="28">
        <f t="shared" si="24"/>
        <v>4.9789233653314516E-2</v>
      </c>
      <c r="F257" s="28">
        <f t="shared" si="25"/>
        <v>3.4241508828124961E-2</v>
      </c>
      <c r="G257" s="2">
        <f t="shared" si="30"/>
        <v>1</v>
      </c>
      <c r="H257" s="2">
        <f t="shared" si="31"/>
        <v>0.36449057933102513</v>
      </c>
      <c r="I257" s="2">
        <f t="shared" si="26"/>
        <v>4604.7018115522342</v>
      </c>
      <c r="J257" s="2">
        <f t="shared" si="27"/>
        <v>0</v>
      </c>
      <c r="K257" s="196">
        <f t="shared" si="28"/>
        <v>95.967586613538771</v>
      </c>
      <c r="L257" s="389">
        <f t="shared" si="29"/>
        <v>0</v>
      </c>
      <c r="N257" s="814"/>
    </row>
    <row r="258" spans="1:14" ht="15" customHeight="1">
      <c r="A258" s="801" t="s">
        <v>8496</v>
      </c>
      <c r="B258" s="813">
        <v>305.31</v>
      </c>
      <c r="C258" s="581">
        <v>27</v>
      </c>
      <c r="D258" s="581">
        <v>3</v>
      </c>
      <c r="E258" s="28">
        <f t="shared" si="24"/>
        <v>4.9789233653314516E-2</v>
      </c>
      <c r="F258" s="28">
        <f t="shared" si="25"/>
        <v>3.4241508828124961E-2</v>
      </c>
      <c r="G258" s="2">
        <f t="shared" si="30"/>
        <v>1</v>
      </c>
      <c r="H258" s="2">
        <f t="shared" si="31"/>
        <v>0.36449057933102513</v>
      </c>
      <c r="I258" s="2">
        <f t="shared" si="26"/>
        <v>197.6581063782358</v>
      </c>
      <c r="J258" s="2">
        <f t="shared" si="27"/>
        <v>31.934099150880002</v>
      </c>
      <c r="K258" s="196">
        <f t="shared" si="28"/>
        <v>4.119435355430122</v>
      </c>
      <c r="L258" s="389">
        <f t="shared" si="29"/>
        <v>0.4577150394922358</v>
      </c>
      <c r="N258" s="814"/>
    </row>
    <row r="259" spans="1:14" ht="15" customHeight="1">
      <c r="A259" s="801" t="s">
        <v>8497</v>
      </c>
      <c r="B259" s="813">
        <v>305.44</v>
      </c>
      <c r="C259" s="581">
        <v>16</v>
      </c>
      <c r="D259" s="581">
        <v>0</v>
      </c>
      <c r="E259" s="28">
        <f t="shared" si="24"/>
        <v>4.9789233653314516E-2</v>
      </c>
      <c r="F259" s="28">
        <f t="shared" si="25"/>
        <v>3.4241508828124961E-2</v>
      </c>
      <c r="G259" s="2">
        <f t="shared" si="30"/>
        <v>1</v>
      </c>
      <c r="H259" s="2">
        <f t="shared" si="31"/>
        <v>0.36449057933102513</v>
      </c>
      <c r="I259" s="2">
        <f t="shared" si="26"/>
        <v>117.13072970562121</v>
      </c>
      <c r="J259" s="2">
        <f t="shared" si="27"/>
        <v>0</v>
      </c>
      <c r="K259" s="196">
        <f t="shared" si="28"/>
        <v>2.4411468772919243</v>
      </c>
      <c r="L259" s="389">
        <f t="shared" si="29"/>
        <v>0</v>
      </c>
      <c r="N259" s="814"/>
    </row>
    <row r="260" spans="1:14" ht="15" customHeight="1">
      <c r="A260" s="801" t="s">
        <v>8498</v>
      </c>
      <c r="B260" s="813">
        <v>305.64</v>
      </c>
      <c r="C260" s="581">
        <v>0</v>
      </c>
      <c r="D260" s="581"/>
      <c r="E260" s="28">
        <f t="shared" si="24"/>
        <v>4.9789233653314516E-2</v>
      </c>
      <c r="F260" s="28">
        <f t="shared" si="25"/>
        <v>3.4241508828124961E-2</v>
      </c>
      <c r="G260" s="2">
        <f t="shared" si="30"/>
        <v>1</v>
      </c>
      <c r="H260" s="2">
        <f t="shared" si="31"/>
        <v>0.36449057933102513</v>
      </c>
      <c r="I260" s="2">
        <f t="shared" si="26"/>
        <v>0</v>
      </c>
      <c r="J260" s="2">
        <f t="shared" si="27"/>
        <v>0</v>
      </c>
      <c r="K260" s="196">
        <f t="shared" si="28"/>
        <v>0</v>
      </c>
      <c r="L260" s="389">
        <f t="shared" si="29"/>
        <v>0</v>
      </c>
      <c r="N260" s="814"/>
    </row>
    <row r="261" spans="1:14" ht="15" customHeight="1">
      <c r="A261" s="801" t="s">
        <v>6131</v>
      </c>
      <c r="B261" s="813">
        <v>304.92</v>
      </c>
      <c r="C261" s="581">
        <v>1</v>
      </c>
      <c r="D261" s="581">
        <v>0</v>
      </c>
      <c r="E261" s="28">
        <f t="shared" si="24"/>
        <v>1.4977642209767099E-2</v>
      </c>
      <c r="F261" s="28">
        <f t="shared" si="25"/>
        <v>1.4977642209767099E-2</v>
      </c>
      <c r="G261" s="2">
        <f t="shared" si="30"/>
        <v>1</v>
      </c>
      <c r="H261" s="2">
        <f t="shared" si="31"/>
        <v>0.36449057933102513</v>
      </c>
      <c r="I261" s="2">
        <f t="shared" si="26"/>
        <v>24.335644704701014</v>
      </c>
      <c r="J261" s="2">
        <f t="shared" si="27"/>
        <v>0</v>
      </c>
      <c r="K261" s="196">
        <f t="shared" si="28"/>
        <v>0</v>
      </c>
      <c r="L261" s="389">
        <f t="shared" si="29"/>
        <v>0</v>
      </c>
      <c r="N261" s="814"/>
    </row>
    <row r="262" spans="1:14" ht="15" customHeight="1">
      <c r="A262" s="801" t="s">
        <v>8499</v>
      </c>
      <c r="B262" s="813">
        <v>302.83</v>
      </c>
      <c r="C262" s="581">
        <v>12</v>
      </c>
      <c r="D262" s="581">
        <v>0</v>
      </c>
      <c r="E262" s="28">
        <f t="shared" si="24"/>
        <v>1.5251696124504286E-2</v>
      </c>
      <c r="F262" s="28">
        <f t="shared" si="25"/>
        <v>1.5251696124504286E-2</v>
      </c>
      <c r="G262" s="2">
        <f t="shared" si="30"/>
        <v>1</v>
      </c>
      <c r="H262" s="2">
        <f t="shared" si="31"/>
        <v>0.36449057933102513</v>
      </c>
      <c r="I262" s="2">
        <f t="shared" si="26"/>
        <v>286.780363066961</v>
      </c>
      <c r="J262" s="2">
        <f t="shared" si="27"/>
        <v>0</v>
      </c>
      <c r="K262" s="196">
        <f t="shared" si="28"/>
        <v>0</v>
      </c>
      <c r="L262" s="389">
        <f t="shared" si="29"/>
        <v>0</v>
      </c>
      <c r="N262" s="814"/>
    </row>
    <row r="263" spans="1:14" ht="15" customHeight="1">
      <c r="A263" s="801" t="s">
        <v>8500</v>
      </c>
      <c r="B263" s="813">
        <v>304.45999999999998</v>
      </c>
      <c r="C263" s="581">
        <v>0</v>
      </c>
      <c r="D263" s="581">
        <v>0</v>
      </c>
      <c r="E263" s="28">
        <f t="shared" ref="E263:E278" si="32">VLOOKUP(B263,fish_commodity_yield,5,FALSE)</f>
        <v>8.8756398280101321E-3</v>
      </c>
      <c r="F263" s="28">
        <f t="shared" ref="F263:F278" si="33">VLOOKUP(B263,fish_commodity_yield,6,FALSE)</f>
        <v>8.8756398280101321E-3</v>
      </c>
      <c r="G263" s="2">
        <f t="shared" si="30"/>
        <v>1</v>
      </c>
      <c r="H263" s="2">
        <f t="shared" si="31"/>
        <v>0.36449057933102513</v>
      </c>
      <c r="I263" s="2">
        <f t="shared" ref="I263:I278" si="34">IFERROR(C263/E263*H263*G263,0)</f>
        <v>0</v>
      </c>
      <c r="J263" s="2">
        <f t="shared" ref="J263:J278" si="35">IFERROR(D263/F263*H263*G263,0)</f>
        <v>0</v>
      </c>
      <c r="K263" s="196">
        <f t="shared" ref="K263:K278" si="36">VLOOKUP(B263,fish_commodity_yield,8,FALSE)*C263</f>
        <v>0</v>
      </c>
      <c r="L263" s="389">
        <f t="shared" ref="L263:L278" si="37">VLOOKUP(B263,fish_commodity_yield,9,FALSE)*D263</f>
        <v>0</v>
      </c>
      <c r="N263" s="814"/>
    </row>
    <row r="264" spans="1:14" ht="15" customHeight="1">
      <c r="A264" s="801" t="s">
        <v>8501</v>
      </c>
      <c r="B264" s="813">
        <v>304.85000000000002</v>
      </c>
      <c r="C264" s="581">
        <v>56</v>
      </c>
      <c r="D264" s="581">
        <v>0</v>
      </c>
      <c r="E264" s="28">
        <f t="shared" si="32"/>
        <v>1.0892830698012435E-2</v>
      </c>
      <c r="F264" s="28">
        <f t="shared" si="33"/>
        <v>1.0892830698012435E-2</v>
      </c>
      <c r="G264" s="2">
        <f t="shared" ref="G264:G278" si="38">$G$7</f>
        <v>1</v>
      </c>
      <c r="H264" s="2">
        <f t="shared" ref="H264:H278" si="39">$H$7</f>
        <v>0.36449057933102513</v>
      </c>
      <c r="I264" s="2">
        <f t="shared" si="34"/>
        <v>1873.8446422619782</v>
      </c>
      <c r="J264" s="2">
        <f t="shared" si="35"/>
        <v>0</v>
      </c>
      <c r="K264" s="196">
        <f t="shared" si="36"/>
        <v>0</v>
      </c>
      <c r="L264" s="389">
        <f t="shared" si="37"/>
        <v>0</v>
      </c>
      <c r="N264" s="814"/>
    </row>
    <row r="265" spans="1:14" s="253" customFormat="1" ht="15" customHeight="1">
      <c r="A265" s="801" t="s">
        <v>1817</v>
      </c>
      <c r="B265" s="813">
        <v>303.83</v>
      </c>
      <c r="C265" s="581">
        <v>304</v>
      </c>
      <c r="D265" s="581">
        <v>0</v>
      </c>
      <c r="E265" s="28">
        <f t="shared" si="32"/>
        <v>0</v>
      </c>
      <c r="F265" s="28">
        <f t="shared" si="33"/>
        <v>0</v>
      </c>
      <c r="G265" s="2">
        <f t="shared" si="38"/>
        <v>1</v>
      </c>
      <c r="H265" s="2">
        <f t="shared" si="39"/>
        <v>0.36449057933102513</v>
      </c>
      <c r="I265" s="2">
        <f t="shared" si="34"/>
        <v>0</v>
      </c>
      <c r="J265" s="2">
        <f t="shared" si="35"/>
        <v>0</v>
      </c>
      <c r="K265" s="196">
        <f t="shared" si="36"/>
        <v>0</v>
      </c>
      <c r="L265" s="389">
        <f t="shared" si="37"/>
        <v>0</v>
      </c>
      <c r="N265" s="814"/>
    </row>
    <row r="266" spans="1:14" s="253" customFormat="1" ht="15" customHeight="1">
      <c r="A266" s="801" t="s">
        <v>8502</v>
      </c>
      <c r="B266" s="813">
        <v>304.55</v>
      </c>
      <c r="C266" s="581">
        <v>0</v>
      </c>
      <c r="D266" s="581">
        <v>0</v>
      </c>
      <c r="E266" s="28">
        <f t="shared" si="32"/>
        <v>8.8756398280101321E-3</v>
      </c>
      <c r="F266" s="28">
        <f t="shared" si="33"/>
        <v>8.8756398280101321E-3</v>
      </c>
      <c r="G266" s="2">
        <f t="shared" si="38"/>
        <v>1</v>
      </c>
      <c r="H266" s="2">
        <f t="shared" si="39"/>
        <v>0.36449057933102513</v>
      </c>
      <c r="I266" s="2">
        <f t="shared" si="34"/>
        <v>0</v>
      </c>
      <c r="J266" s="2">
        <f t="shared" si="35"/>
        <v>0</v>
      </c>
      <c r="K266" s="196">
        <f t="shared" si="36"/>
        <v>0</v>
      </c>
      <c r="L266" s="389">
        <f t="shared" si="37"/>
        <v>0</v>
      </c>
      <c r="N266" s="814"/>
    </row>
    <row r="267" spans="1:14" s="253" customFormat="1" ht="15" customHeight="1">
      <c r="A267" s="801" t="s">
        <v>6132</v>
      </c>
      <c r="B267" s="813">
        <v>302.11</v>
      </c>
      <c r="C267" s="581">
        <v>399</v>
      </c>
      <c r="D267" s="581">
        <v>168</v>
      </c>
      <c r="E267" s="28">
        <f t="shared" si="32"/>
        <v>0.16808801796117764</v>
      </c>
      <c r="F267" s="28">
        <f t="shared" si="33"/>
        <v>6.3543269990914308E-2</v>
      </c>
      <c r="G267" s="2">
        <f t="shared" si="38"/>
        <v>1</v>
      </c>
      <c r="H267" s="2">
        <f t="shared" si="39"/>
        <v>0.36449057933102513</v>
      </c>
      <c r="I267" s="2">
        <f t="shared" si="34"/>
        <v>865.21182721464766</v>
      </c>
      <c r="J267" s="2">
        <f t="shared" si="35"/>
        <v>963.66487491700991</v>
      </c>
      <c r="K267" s="196">
        <f t="shared" si="36"/>
        <v>172.00262160676081</v>
      </c>
      <c r="L267" s="389">
        <f t="shared" si="37"/>
        <v>72.422156466004552</v>
      </c>
      <c r="N267" s="814"/>
    </row>
    <row r="268" spans="1:14" s="253" customFormat="1" ht="15" customHeight="1">
      <c r="A268" s="801" t="s">
        <v>6133</v>
      </c>
      <c r="B268" s="813">
        <v>301.91000000000003</v>
      </c>
      <c r="C268" s="581">
        <v>5</v>
      </c>
      <c r="D268" s="581">
        <v>15</v>
      </c>
      <c r="E268" s="28">
        <f t="shared" si="32"/>
        <v>0.16808801796117764</v>
      </c>
      <c r="F268" s="28">
        <f t="shared" si="33"/>
        <v>6.3543269990914308E-2</v>
      </c>
      <c r="G268" s="2">
        <f t="shared" si="38"/>
        <v>1</v>
      </c>
      <c r="H268" s="2">
        <f t="shared" si="39"/>
        <v>0.36449057933102513</v>
      </c>
      <c r="I268" s="2">
        <f t="shared" si="34"/>
        <v>10.842253473867766</v>
      </c>
      <c r="J268" s="2">
        <f t="shared" si="35"/>
        <v>86.041506689018746</v>
      </c>
      <c r="K268" s="196">
        <f t="shared" si="36"/>
        <v>2.1554213233929929</v>
      </c>
      <c r="L268" s="389">
        <f t="shared" si="37"/>
        <v>6.4662639701789786</v>
      </c>
      <c r="N268" s="814"/>
    </row>
    <row r="269" spans="1:14" s="253" customFormat="1" ht="15" customHeight="1">
      <c r="A269" s="801" t="s">
        <v>8503</v>
      </c>
      <c r="B269" s="813">
        <v>304.42</v>
      </c>
      <c r="C269" s="581">
        <v>1352</v>
      </c>
      <c r="D269" s="581">
        <v>214</v>
      </c>
      <c r="E269" s="28">
        <f t="shared" si="32"/>
        <v>0.16808801796117764</v>
      </c>
      <c r="F269" s="28">
        <f t="shared" si="33"/>
        <v>6.3543269990914308E-2</v>
      </c>
      <c r="G269" s="2">
        <f t="shared" si="38"/>
        <v>1</v>
      </c>
      <c r="H269" s="2">
        <f t="shared" si="39"/>
        <v>0.36449057933102513</v>
      </c>
      <c r="I269" s="2">
        <f t="shared" si="34"/>
        <v>2931.7453393338437</v>
      </c>
      <c r="J269" s="2">
        <f t="shared" si="35"/>
        <v>1227.5254954300005</v>
      </c>
      <c r="K269" s="196">
        <f t="shared" si="36"/>
        <v>582.82592584546524</v>
      </c>
      <c r="L269" s="389">
        <f t="shared" si="37"/>
        <v>92.252032641220097</v>
      </c>
      <c r="N269" s="814"/>
    </row>
    <row r="270" spans="1:14" s="253" customFormat="1" ht="15" customHeight="1">
      <c r="A270" s="801" t="s">
        <v>8504</v>
      </c>
      <c r="B270" s="813">
        <v>304.82</v>
      </c>
      <c r="C270" s="581">
        <v>1873</v>
      </c>
      <c r="D270" s="581">
        <v>2</v>
      </c>
      <c r="E270" s="28">
        <f t="shared" si="32"/>
        <v>0.15456823244135248</v>
      </c>
      <c r="F270" s="28">
        <f t="shared" si="33"/>
        <v>5.8432308531996255E-2</v>
      </c>
      <c r="G270" s="2">
        <f t="shared" si="38"/>
        <v>1</v>
      </c>
      <c r="H270" s="2">
        <f t="shared" si="39"/>
        <v>0.36449057933102513</v>
      </c>
      <c r="I270" s="2">
        <f t="shared" si="34"/>
        <v>4416.760444912522</v>
      </c>
      <c r="J270" s="2">
        <f t="shared" si="35"/>
        <v>12.475652202973912</v>
      </c>
      <c r="K270" s="196">
        <f t="shared" si="36"/>
        <v>742.47773097899403</v>
      </c>
      <c r="L270" s="389">
        <f t="shared" si="37"/>
        <v>0.79282192309556221</v>
      </c>
      <c r="N270" s="814"/>
    </row>
    <row r="271" spans="1:14" s="253" customFormat="1" ht="15" customHeight="1">
      <c r="A271" s="801" t="s">
        <v>6134</v>
      </c>
      <c r="B271" s="813">
        <v>303.14</v>
      </c>
      <c r="C271" s="581">
        <v>586</v>
      </c>
      <c r="D271" s="581">
        <v>13</v>
      </c>
      <c r="E271" s="28">
        <f t="shared" si="32"/>
        <v>0</v>
      </c>
      <c r="F271" s="28">
        <f t="shared" si="33"/>
        <v>0</v>
      </c>
      <c r="G271" s="2">
        <f t="shared" si="38"/>
        <v>1</v>
      </c>
      <c r="H271" s="2">
        <f t="shared" si="39"/>
        <v>0.36449057933102513</v>
      </c>
      <c r="I271" s="2">
        <f t="shared" si="34"/>
        <v>0</v>
      </c>
      <c r="J271" s="2">
        <f t="shared" si="35"/>
        <v>0</v>
      </c>
      <c r="K271" s="196">
        <f t="shared" si="36"/>
        <v>0</v>
      </c>
      <c r="L271" s="389">
        <f t="shared" si="37"/>
        <v>0</v>
      </c>
      <c r="N271" s="814"/>
    </row>
    <row r="272" spans="1:14" s="253" customFormat="1" ht="15" customHeight="1">
      <c r="A272" s="801" t="s">
        <v>8505</v>
      </c>
      <c r="B272" s="813">
        <v>305.43</v>
      </c>
      <c r="C272" s="581">
        <v>1003</v>
      </c>
      <c r="D272" s="581">
        <v>50</v>
      </c>
      <c r="E272" s="28">
        <f t="shared" si="32"/>
        <v>0.15456823244135248</v>
      </c>
      <c r="F272" s="28">
        <f t="shared" si="33"/>
        <v>5.8432308531996255E-2</v>
      </c>
      <c r="G272" s="2">
        <f t="shared" si="38"/>
        <v>1</v>
      </c>
      <c r="H272" s="2">
        <f t="shared" si="39"/>
        <v>0.36449057933102513</v>
      </c>
      <c r="I272" s="2">
        <f t="shared" si="34"/>
        <v>2365.1952622783019</v>
      </c>
      <c r="J272" s="2">
        <f t="shared" si="35"/>
        <v>311.89130507434777</v>
      </c>
      <c r="K272" s="196">
        <f t="shared" si="36"/>
        <v>397.60019443242447</v>
      </c>
      <c r="L272" s="389">
        <f t="shared" si="37"/>
        <v>19.820548077389056</v>
      </c>
    </row>
    <row r="273" spans="1:12" s="253" customFormat="1" ht="15" customHeight="1">
      <c r="A273" s="801" t="s">
        <v>6135</v>
      </c>
      <c r="B273" s="813">
        <v>1604.14</v>
      </c>
      <c r="C273" s="581">
        <v>32786</v>
      </c>
      <c r="D273" s="581">
        <v>88</v>
      </c>
      <c r="E273" s="28">
        <f t="shared" si="32"/>
        <v>1.2413596895865454E-2</v>
      </c>
      <c r="F273" s="28">
        <f t="shared" si="33"/>
        <v>1.2413596895865454E-2</v>
      </c>
      <c r="G273" s="2">
        <f t="shared" si="38"/>
        <v>1</v>
      </c>
      <c r="H273" s="2">
        <f t="shared" si="39"/>
        <v>0.36449057933102513</v>
      </c>
      <c r="I273" s="2">
        <f t="shared" si="34"/>
        <v>962669.25969919236</v>
      </c>
      <c r="J273" s="2">
        <f t="shared" si="35"/>
        <v>2583.8740576321889</v>
      </c>
      <c r="K273" s="196">
        <f t="shared" si="36"/>
        <v>836.29534171029729</v>
      </c>
      <c r="L273" s="389">
        <f t="shared" si="37"/>
        <v>2.2446773034376308</v>
      </c>
    </row>
    <row r="274" spans="1:12" s="253" customFormat="1" ht="15" customHeight="1">
      <c r="A274" s="801" t="s">
        <v>8506</v>
      </c>
      <c r="B274" s="813">
        <v>304.87</v>
      </c>
      <c r="C274" s="581">
        <v>525</v>
      </c>
      <c r="D274" s="581">
        <v>571</v>
      </c>
      <c r="E274" s="28">
        <f t="shared" si="32"/>
        <v>6.5738485254394161E-3</v>
      </c>
      <c r="F274" s="28">
        <f t="shared" si="33"/>
        <v>6.5738485254394161E-3</v>
      </c>
      <c r="G274" s="2">
        <f t="shared" si="38"/>
        <v>1</v>
      </c>
      <c r="H274" s="2">
        <f t="shared" si="39"/>
        <v>0.36449057933102513</v>
      </c>
      <c r="I274" s="2">
        <f t="shared" si="34"/>
        <v>29108.908337068398</v>
      </c>
      <c r="J274" s="2">
        <f t="shared" si="35"/>
        <v>31659.403162792481</v>
      </c>
      <c r="K274" s="196">
        <f t="shared" si="36"/>
        <v>7.0917366678332341</v>
      </c>
      <c r="L274" s="389">
        <f t="shared" si="37"/>
        <v>7.71310788063386</v>
      </c>
    </row>
    <row r="275" spans="1:12" s="253" customFormat="1" ht="15" customHeight="1">
      <c r="A275" s="801" t="s">
        <v>8507</v>
      </c>
      <c r="B275" s="813">
        <v>302.24</v>
      </c>
      <c r="C275" s="581">
        <v>33</v>
      </c>
      <c r="D275" s="581">
        <v>2</v>
      </c>
      <c r="E275" s="28">
        <f t="shared" si="32"/>
        <v>9.0118512912499268E-2</v>
      </c>
      <c r="F275" s="28">
        <f t="shared" si="33"/>
        <v>6.1977130978906177E-2</v>
      </c>
      <c r="G275" s="2">
        <f t="shared" si="38"/>
        <v>1</v>
      </c>
      <c r="H275" s="2">
        <f t="shared" si="39"/>
        <v>0.36449057933102513</v>
      </c>
      <c r="I275" s="2">
        <f t="shared" si="34"/>
        <v>133.47079006510705</v>
      </c>
      <c r="J275" s="2">
        <f t="shared" si="35"/>
        <v>11.762099134762433</v>
      </c>
      <c r="K275" s="196">
        <f t="shared" si="36"/>
        <v>9.1131064362904137</v>
      </c>
      <c r="L275" s="389">
        <f t="shared" si="37"/>
        <v>0.55230948098729782</v>
      </c>
    </row>
    <row r="276" spans="1:12" s="253" customFormat="1" ht="15" customHeight="1">
      <c r="A276" s="801" t="s">
        <v>8508</v>
      </c>
      <c r="B276" s="813">
        <v>303.33999999999997</v>
      </c>
      <c r="C276" s="581">
        <v>51</v>
      </c>
      <c r="D276" s="581">
        <v>5576</v>
      </c>
      <c r="E276" s="28">
        <f t="shared" si="32"/>
        <v>8.1187849470720053E-2</v>
      </c>
      <c r="F276" s="28">
        <f t="shared" si="33"/>
        <v>5.58352531341497E-2</v>
      </c>
      <c r="G276" s="2">
        <f t="shared" si="38"/>
        <v>1</v>
      </c>
      <c r="H276" s="2">
        <f t="shared" si="39"/>
        <v>0.36449057933102513</v>
      </c>
      <c r="I276" s="2">
        <f t="shared" si="34"/>
        <v>228.96307350259733</v>
      </c>
      <c r="J276" s="2">
        <f t="shared" si="35"/>
        <v>36399.932950366609</v>
      </c>
      <c r="K276" s="196">
        <f t="shared" si="36"/>
        <v>12.688190779437921</v>
      </c>
      <c r="L276" s="389">
        <f t="shared" si="37"/>
        <v>1387.2421918852128</v>
      </c>
    </row>
    <row r="277" spans="1:12" s="253" customFormat="1" ht="15" customHeight="1">
      <c r="A277" s="801" t="s">
        <v>6136</v>
      </c>
      <c r="B277" s="813">
        <v>302.32</v>
      </c>
      <c r="C277" s="581">
        <v>580</v>
      </c>
      <c r="D277" s="581">
        <v>10</v>
      </c>
      <c r="E277" s="28">
        <f t="shared" si="32"/>
        <v>7.4049930155459139E-3</v>
      </c>
      <c r="F277" s="28">
        <f t="shared" si="33"/>
        <v>7.2307536164370875E-3</v>
      </c>
      <c r="G277" s="2">
        <f t="shared" si="38"/>
        <v>1</v>
      </c>
      <c r="H277" s="2">
        <f t="shared" si="39"/>
        <v>0.36449057933102513</v>
      </c>
      <c r="I277" s="2">
        <f t="shared" si="34"/>
        <v>28548.91767867648</v>
      </c>
      <c r="J277" s="2">
        <f t="shared" si="35"/>
        <v>504.08380462924111</v>
      </c>
      <c r="K277" s="196">
        <f t="shared" si="36"/>
        <v>2.8949787429050922</v>
      </c>
      <c r="L277" s="389">
        <f t="shared" si="37"/>
        <v>4.9913426601811937E-2</v>
      </c>
    </row>
    <row r="278" spans="1:12" s="253" customFormat="1" ht="15" customHeight="1">
      <c r="A278" s="835" t="s">
        <v>6137</v>
      </c>
      <c r="B278" s="833">
        <v>303.42</v>
      </c>
      <c r="C278" s="582">
        <v>65</v>
      </c>
      <c r="D278" s="582">
        <v>0</v>
      </c>
      <c r="E278" s="834">
        <f t="shared" si="32"/>
        <v>8.0746295176385482E-3</v>
      </c>
      <c r="F278" s="834">
        <f t="shared" si="33"/>
        <v>7.8846335794619596E-3</v>
      </c>
      <c r="G278" s="57">
        <f t="shared" si="38"/>
        <v>1</v>
      </c>
      <c r="H278" s="57">
        <f t="shared" si="39"/>
        <v>0.36449057933102513</v>
      </c>
      <c r="I278" s="57">
        <f t="shared" si="34"/>
        <v>2934.1145132124161</v>
      </c>
      <c r="J278" s="57">
        <f t="shared" si="35"/>
        <v>0</v>
      </c>
      <c r="K278" s="227">
        <f t="shared" si="36"/>
        <v>0.35377626622683062</v>
      </c>
      <c r="L278" s="81">
        <f t="shared" si="37"/>
        <v>0</v>
      </c>
    </row>
    <row r="279" spans="1:12" s="253" customFormat="1" ht="12.75" customHeight="1">
      <c r="B279" s="809"/>
      <c r="C279" s="810"/>
      <c r="D279" s="810"/>
      <c r="E279" s="811"/>
      <c r="F279" s="811"/>
      <c r="G279" s="249"/>
      <c r="H279" s="249"/>
      <c r="I279" s="250"/>
      <c r="J279" s="250"/>
      <c r="K279" s="249"/>
      <c r="L279" s="249"/>
    </row>
    <row r="280" spans="1:12" s="253" customFormat="1" ht="12.75" customHeight="1">
      <c r="B280" s="809"/>
      <c r="C280" s="810"/>
      <c r="D280" s="810"/>
      <c r="E280" s="811"/>
      <c r="F280" s="811"/>
      <c r="G280" s="249"/>
      <c r="H280" s="249"/>
      <c r="I280" s="250"/>
      <c r="J280" s="250"/>
      <c r="K280" s="249"/>
      <c r="L280" s="249"/>
    </row>
    <row r="281" spans="1:12" s="253" customFormat="1" ht="12.75" customHeight="1">
      <c r="B281" s="809"/>
      <c r="C281" s="810"/>
      <c r="D281" s="810"/>
      <c r="E281" s="811"/>
      <c r="F281" s="811"/>
      <c r="G281" s="249"/>
      <c r="H281" s="249"/>
      <c r="I281" s="250"/>
      <c r="J281" s="250"/>
      <c r="K281" s="249"/>
      <c r="L281" s="249"/>
    </row>
    <row r="282" spans="1:12" s="253" customFormat="1" ht="12.75" customHeight="1">
      <c r="B282" s="809"/>
      <c r="C282" s="810"/>
      <c r="D282" s="810"/>
      <c r="E282" s="811"/>
      <c r="F282" s="811"/>
      <c r="G282" s="249"/>
      <c r="H282" s="249"/>
      <c r="I282" s="250"/>
      <c r="J282" s="250"/>
      <c r="K282" s="249"/>
      <c r="L282" s="249"/>
    </row>
    <row r="283" spans="1:12" s="253" customFormat="1" ht="12.75" customHeight="1">
      <c r="B283" s="809"/>
      <c r="C283" s="810"/>
      <c r="D283" s="810"/>
      <c r="E283" s="811"/>
      <c r="F283" s="811"/>
      <c r="G283" s="249"/>
      <c r="H283" s="249"/>
      <c r="I283" s="250"/>
      <c r="J283" s="250"/>
      <c r="K283" s="249"/>
      <c r="L283" s="249"/>
    </row>
    <row r="284" spans="1:12" s="253" customFormat="1" ht="12.75" customHeight="1">
      <c r="B284" s="809"/>
      <c r="C284" s="810"/>
      <c r="D284" s="810"/>
      <c r="E284" s="811"/>
      <c r="F284" s="811"/>
      <c r="G284" s="249"/>
      <c r="H284" s="249"/>
      <c r="I284" s="250"/>
      <c r="J284" s="250"/>
      <c r="K284" s="249"/>
      <c r="L284" s="249"/>
    </row>
    <row r="285" spans="1:12" s="253" customFormat="1" ht="12.75" customHeight="1">
      <c r="B285" s="809"/>
      <c r="C285" s="810"/>
      <c r="D285" s="810"/>
      <c r="E285" s="811"/>
      <c r="F285" s="811"/>
      <c r="G285" s="249"/>
      <c r="H285" s="249"/>
      <c r="I285" s="250"/>
      <c r="J285" s="250"/>
      <c r="K285" s="249"/>
      <c r="L285" s="249"/>
    </row>
    <row r="286" spans="1:12" s="253" customFormat="1" ht="12.75" customHeight="1">
      <c r="B286" s="809"/>
      <c r="C286" s="810"/>
      <c r="D286" s="810"/>
      <c r="E286" s="811"/>
      <c r="F286" s="811"/>
      <c r="G286" s="249"/>
      <c r="H286" s="249"/>
      <c r="I286" s="250"/>
      <c r="J286" s="250"/>
      <c r="K286" s="249"/>
      <c r="L286" s="249"/>
    </row>
    <row r="287" spans="1:12" s="253" customFormat="1" ht="12.75" customHeight="1">
      <c r="B287" s="809"/>
      <c r="C287" s="810"/>
      <c r="D287" s="810"/>
      <c r="E287" s="811"/>
      <c r="F287" s="811"/>
      <c r="G287" s="249"/>
      <c r="H287" s="249"/>
      <c r="I287" s="250"/>
      <c r="J287" s="250"/>
      <c r="K287" s="249"/>
      <c r="L287" s="249"/>
    </row>
    <row r="288" spans="1:12" s="253" customFormat="1" ht="12.75" customHeight="1">
      <c r="B288" s="809"/>
      <c r="C288" s="810"/>
      <c r="D288" s="810"/>
      <c r="E288" s="811"/>
      <c r="F288" s="811"/>
      <c r="G288" s="249"/>
      <c r="H288" s="249"/>
      <c r="I288" s="250"/>
      <c r="J288" s="250"/>
      <c r="K288" s="249"/>
      <c r="L288" s="249"/>
    </row>
    <row r="289" spans="2:12" s="253" customFormat="1" ht="12.75" customHeight="1">
      <c r="B289" s="809"/>
      <c r="C289" s="810"/>
      <c r="D289" s="810"/>
      <c r="E289" s="811"/>
      <c r="F289" s="811"/>
      <c r="G289" s="249"/>
      <c r="H289" s="249"/>
      <c r="I289" s="250"/>
      <c r="J289" s="250"/>
      <c r="K289" s="249"/>
      <c r="L289" s="249"/>
    </row>
    <row r="290" spans="2:12" s="253" customFormat="1" ht="12.75" customHeight="1">
      <c r="B290" s="809"/>
      <c r="C290" s="810"/>
      <c r="D290" s="810"/>
      <c r="E290" s="811"/>
      <c r="F290" s="811"/>
      <c r="G290" s="249"/>
      <c r="H290" s="249"/>
      <c r="I290" s="250"/>
      <c r="J290" s="250"/>
      <c r="K290" s="249"/>
      <c r="L290" s="249"/>
    </row>
    <row r="291" spans="2:12" s="253" customFormat="1" ht="12.75" customHeight="1">
      <c r="B291" s="809"/>
      <c r="C291" s="810"/>
      <c r="D291" s="810"/>
      <c r="E291" s="811"/>
      <c r="F291" s="811"/>
      <c r="G291" s="249"/>
      <c r="H291" s="249"/>
      <c r="I291" s="250"/>
      <c r="J291" s="250"/>
      <c r="K291" s="249"/>
      <c r="L291" s="249"/>
    </row>
    <row r="292" spans="2:12" s="253" customFormat="1" ht="12.75" customHeight="1">
      <c r="B292" s="809"/>
      <c r="C292" s="810"/>
      <c r="D292" s="810"/>
      <c r="E292" s="811"/>
      <c r="F292" s="811"/>
      <c r="G292" s="249"/>
      <c r="H292" s="249"/>
      <c r="I292" s="250"/>
      <c r="J292" s="250"/>
      <c r="K292" s="249"/>
      <c r="L292" s="249"/>
    </row>
    <row r="293" spans="2:12" s="253" customFormat="1" ht="12.75" customHeight="1">
      <c r="B293" s="809"/>
      <c r="C293" s="810"/>
      <c r="D293" s="810"/>
      <c r="E293" s="811"/>
      <c r="F293" s="811"/>
      <c r="G293" s="249"/>
      <c r="H293" s="249"/>
      <c r="I293" s="250"/>
      <c r="J293" s="250"/>
      <c r="K293" s="249"/>
      <c r="L293" s="249"/>
    </row>
    <row r="294" spans="2:12" s="253" customFormat="1" ht="12.75" customHeight="1">
      <c r="B294" s="809"/>
      <c r="C294" s="810"/>
      <c r="D294" s="810"/>
      <c r="E294" s="811"/>
      <c r="F294" s="811"/>
      <c r="G294" s="249"/>
      <c r="H294" s="249"/>
      <c r="I294" s="250"/>
      <c r="J294" s="250"/>
      <c r="K294" s="249"/>
      <c r="L294" s="249"/>
    </row>
    <row r="295" spans="2:12" s="253" customFormat="1" ht="12.75" customHeight="1">
      <c r="B295" s="809"/>
      <c r="C295" s="810"/>
      <c r="D295" s="810"/>
      <c r="E295" s="811"/>
      <c r="F295" s="811"/>
      <c r="G295" s="249"/>
      <c r="H295" s="249"/>
      <c r="I295" s="250"/>
      <c r="J295" s="250"/>
      <c r="K295" s="249"/>
      <c r="L295" s="249"/>
    </row>
    <row r="296" spans="2:12" s="253" customFormat="1" ht="12.75" customHeight="1">
      <c r="B296" s="809"/>
      <c r="C296" s="810"/>
      <c r="D296" s="810"/>
      <c r="E296" s="811"/>
      <c r="F296" s="811"/>
      <c r="G296" s="249"/>
      <c r="H296" s="249"/>
      <c r="I296" s="250"/>
      <c r="J296" s="250"/>
      <c r="K296" s="249"/>
      <c r="L296" s="249"/>
    </row>
    <row r="297" spans="2:12" s="253" customFormat="1" ht="12.75" customHeight="1">
      <c r="B297" s="809"/>
      <c r="C297" s="810"/>
      <c r="D297" s="810"/>
      <c r="E297" s="811"/>
      <c r="F297" s="811"/>
      <c r="G297" s="249"/>
      <c r="H297" s="249"/>
      <c r="I297" s="250"/>
      <c r="J297" s="250"/>
      <c r="K297" s="249"/>
      <c r="L297" s="249"/>
    </row>
    <row r="298" spans="2:12" s="253" customFormat="1" ht="12.75" customHeight="1">
      <c r="B298" s="809"/>
      <c r="C298" s="810"/>
      <c r="D298" s="810"/>
      <c r="E298" s="811"/>
      <c r="F298" s="811"/>
      <c r="G298" s="249"/>
      <c r="H298" s="249"/>
      <c r="I298" s="250"/>
      <c r="J298" s="250"/>
      <c r="K298" s="249"/>
      <c r="L298" s="249"/>
    </row>
    <row r="299" spans="2:12" s="253" customFormat="1" ht="12.75" customHeight="1">
      <c r="B299" s="809"/>
      <c r="C299" s="810"/>
      <c r="D299" s="810"/>
      <c r="E299" s="811"/>
      <c r="F299" s="811"/>
      <c r="G299" s="249"/>
      <c r="H299" s="249"/>
      <c r="I299" s="250"/>
      <c r="J299" s="250"/>
      <c r="K299" s="249"/>
      <c r="L299" s="249"/>
    </row>
    <row r="300" spans="2:12" s="253" customFormat="1" ht="12.75" customHeight="1">
      <c r="B300" s="809"/>
      <c r="C300" s="810"/>
      <c r="D300" s="810"/>
      <c r="E300" s="811"/>
      <c r="F300" s="811"/>
      <c r="G300" s="249"/>
      <c r="H300" s="249"/>
      <c r="I300" s="250"/>
      <c r="J300" s="250"/>
      <c r="K300" s="249"/>
      <c r="L300" s="249"/>
    </row>
    <row r="301" spans="2:12" s="253" customFormat="1" ht="12.75" customHeight="1">
      <c r="B301" s="809"/>
      <c r="C301" s="810"/>
      <c r="D301" s="810"/>
      <c r="E301" s="811"/>
      <c r="F301" s="811"/>
      <c r="G301" s="249"/>
      <c r="H301" s="249"/>
      <c r="I301" s="250"/>
      <c r="J301" s="250"/>
      <c r="K301" s="249"/>
      <c r="L301" s="249"/>
    </row>
    <row r="302" spans="2:12" s="253" customFormat="1" ht="12.75" customHeight="1">
      <c r="B302" s="809"/>
      <c r="C302" s="810"/>
      <c r="D302" s="810"/>
      <c r="E302" s="811"/>
      <c r="F302" s="811"/>
      <c r="G302" s="249"/>
      <c r="H302" s="249"/>
      <c r="I302" s="250"/>
      <c r="J302" s="250"/>
      <c r="K302" s="249"/>
      <c r="L302" s="249"/>
    </row>
    <row r="303" spans="2:12" s="253" customFormat="1" ht="12.75" customHeight="1">
      <c r="B303" s="809"/>
      <c r="C303" s="810"/>
      <c r="D303" s="810"/>
      <c r="E303" s="811"/>
      <c r="F303" s="811"/>
      <c r="G303" s="249"/>
      <c r="H303" s="249"/>
      <c r="I303" s="250"/>
      <c r="J303" s="250"/>
      <c r="K303" s="249"/>
      <c r="L303" s="249"/>
    </row>
    <row r="304" spans="2:12" s="253" customFormat="1" ht="12.75" customHeight="1">
      <c r="B304" s="809"/>
      <c r="C304" s="810"/>
      <c r="D304" s="810"/>
      <c r="E304" s="811"/>
      <c r="F304" s="811"/>
      <c r="G304" s="249"/>
      <c r="H304" s="249"/>
      <c r="I304" s="250"/>
      <c r="J304" s="250"/>
      <c r="K304" s="249"/>
      <c r="L304" s="249"/>
    </row>
    <row r="305" spans="2:12" s="253" customFormat="1" ht="12.75" customHeight="1">
      <c r="B305" s="809"/>
      <c r="C305" s="810"/>
      <c r="D305" s="810"/>
      <c r="E305" s="811"/>
      <c r="F305" s="811"/>
      <c r="G305" s="249"/>
      <c r="H305" s="249"/>
      <c r="I305" s="250"/>
      <c r="J305" s="250"/>
      <c r="K305" s="249"/>
      <c r="L305" s="249"/>
    </row>
    <row r="306" spans="2:12" s="253" customFormat="1" ht="12.75" customHeight="1">
      <c r="B306" s="809"/>
      <c r="C306" s="810"/>
      <c r="D306" s="810"/>
      <c r="E306" s="811"/>
      <c r="F306" s="811"/>
      <c r="G306" s="249"/>
      <c r="H306" s="249"/>
      <c r="I306" s="250"/>
      <c r="J306" s="250"/>
      <c r="K306" s="249"/>
      <c r="L306" s="249"/>
    </row>
    <row r="307" spans="2:12" s="253" customFormat="1" ht="12.75" customHeight="1">
      <c r="B307" s="809"/>
      <c r="C307" s="810"/>
      <c r="D307" s="810"/>
      <c r="E307" s="811"/>
      <c r="F307" s="811"/>
      <c r="G307" s="249"/>
      <c r="H307" s="249"/>
      <c r="I307" s="250"/>
      <c r="J307" s="250"/>
      <c r="K307" s="249"/>
      <c r="L307" s="249"/>
    </row>
    <row r="308" spans="2:12" s="253" customFormat="1" ht="12.75" customHeight="1">
      <c r="B308" s="809"/>
      <c r="C308" s="810"/>
      <c r="D308" s="810"/>
      <c r="E308" s="811"/>
      <c r="F308" s="811"/>
      <c r="G308" s="249"/>
      <c r="H308" s="249"/>
      <c r="I308" s="250"/>
      <c r="J308" s="250"/>
      <c r="K308" s="249"/>
      <c r="L308" s="249"/>
    </row>
    <row r="309" spans="2:12" s="253" customFormat="1" ht="12.75" customHeight="1"/>
    <row r="310" spans="2:12" s="253" customFormat="1" ht="12.75" customHeight="1"/>
    <row r="311" spans="2:12" s="253" customFormat="1" ht="12.75" customHeight="1">
      <c r="C311" s="812"/>
    </row>
    <row r="312" spans="2:12" s="253" customFormat="1" ht="12.75" customHeight="1">
      <c r="C312" s="812"/>
    </row>
    <row r="313" spans="2:12" s="253" customFormat="1" ht="12.75" customHeight="1">
      <c r="C313" s="812"/>
    </row>
    <row r="314" spans="2:12" s="253" customFormat="1" ht="12.75" customHeight="1">
      <c r="C314" s="812"/>
    </row>
    <row r="315" spans="2:12" s="253" customFormat="1" ht="12.75" customHeight="1">
      <c r="C315" s="812"/>
    </row>
    <row r="316" spans="2:12" s="253" customFormat="1" ht="12.75" customHeight="1">
      <c r="C316" s="812"/>
    </row>
    <row r="317" spans="2:12" s="253" customFormat="1" ht="12.75" customHeight="1">
      <c r="C317" s="812"/>
    </row>
    <row r="318" spans="2:12" s="253" customFormat="1" ht="12.75" customHeight="1">
      <c r="C318" s="812"/>
    </row>
    <row r="319" spans="2:12" s="253" customFormat="1" ht="12.75" customHeight="1">
      <c r="C319" s="812"/>
    </row>
    <row r="320" spans="2:12" s="253" customFormat="1" ht="12.75" customHeight="1">
      <c r="C320" s="812"/>
    </row>
    <row r="321" spans="3:3" s="253" customFormat="1" ht="12.75" customHeight="1">
      <c r="C321" s="812"/>
    </row>
    <row r="322" spans="3:3" s="253" customFormat="1" ht="12.75" customHeight="1">
      <c r="C322" s="812"/>
    </row>
    <row r="323" spans="3:3" s="253" customFormat="1" ht="12.75" customHeight="1">
      <c r="C323" s="812"/>
    </row>
    <row r="324" spans="3:3" s="253" customFormat="1" ht="12.75" customHeight="1">
      <c r="C324" s="812"/>
    </row>
    <row r="325" spans="3:3" s="253" customFormat="1" ht="12.75" customHeight="1">
      <c r="C325" s="812"/>
    </row>
    <row r="326" spans="3:3" s="253" customFormat="1" ht="12.75" customHeight="1">
      <c r="C326" s="812"/>
    </row>
    <row r="327" spans="3:3" s="253" customFormat="1" ht="12.75" customHeight="1">
      <c r="C327" s="812"/>
    </row>
    <row r="328" spans="3:3" s="253" customFormat="1" ht="12.75" customHeight="1">
      <c r="C328" s="812"/>
    </row>
    <row r="329" spans="3:3" s="253" customFormat="1" ht="12.75" customHeight="1">
      <c r="C329" s="812"/>
    </row>
    <row r="330" spans="3:3" s="253" customFormat="1" ht="12.75" customHeight="1">
      <c r="C330" s="812"/>
    </row>
    <row r="331" spans="3:3" s="253" customFormat="1" ht="12.75" customHeight="1">
      <c r="C331" s="812"/>
    </row>
    <row r="332" spans="3:3" s="253" customFormat="1" ht="12.75" customHeight="1">
      <c r="C332" s="812"/>
    </row>
    <row r="333" spans="3:3" s="253" customFormat="1" ht="12.75" customHeight="1">
      <c r="C333" s="812"/>
    </row>
    <row r="334" spans="3:3" s="253" customFormat="1" ht="12.75" customHeight="1">
      <c r="C334" s="812"/>
    </row>
    <row r="335" spans="3:3" s="253" customFormat="1" ht="12.75" customHeight="1">
      <c r="C335" s="812"/>
    </row>
    <row r="336" spans="3:3" s="253" customFormat="1" ht="12.75" customHeight="1">
      <c r="C336" s="812"/>
    </row>
    <row r="337" spans="3:3" s="253" customFormat="1" ht="12.75" customHeight="1">
      <c r="C337" s="812"/>
    </row>
    <row r="338" spans="3:3" s="253" customFormat="1" ht="12.75" customHeight="1">
      <c r="C338" s="812"/>
    </row>
    <row r="339" spans="3:3" s="253" customFormat="1" ht="12.75" customHeight="1">
      <c r="C339" s="812"/>
    </row>
    <row r="340" spans="3:3" s="253" customFormat="1" ht="12.75" customHeight="1">
      <c r="C340" s="812"/>
    </row>
    <row r="341" spans="3:3" s="253" customFormat="1" ht="12.75" customHeight="1">
      <c r="C341" s="812"/>
    </row>
    <row r="342" spans="3:3" s="253" customFormat="1" ht="12.75" customHeight="1">
      <c r="C342" s="812"/>
    </row>
    <row r="343" spans="3:3" s="253" customFormat="1" ht="12.75" customHeight="1">
      <c r="C343" s="812"/>
    </row>
    <row r="344" spans="3:3" s="253" customFormat="1" ht="12.75" customHeight="1">
      <c r="C344" s="812"/>
    </row>
    <row r="345" spans="3:3" s="253" customFormat="1" ht="12.75" customHeight="1">
      <c r="C345" s="812"/>
    </row>
    <row r="346" spans="3:3" s="253" customFormat="1" ht="12.75" customHeight="1">
      <c r="C346" s="812"/>
    </row>
    <row r="347" spans="3:3" s="253" customFormat="1" ht="12.75" customHeight="1">
      <c r="C347" s="812"/>
    </row>
    <row r="348" spans="3:3" s="253" customFormat="1" ht="12.75" customHeight="1">
      <c r="C348" s="812"/>
    </row>
    <row r="349" spans="3:3" s="253" customFormat="1" ht="12.75" customHeight="1">
      <c r="C349" s="812"/>
    </row>
    <row r="350" spans="3:3" s="253" customFormat="1" ht="12.75" customHeight="1">
      <c r="C350" s="812"/>
    </row>
    <row r="351" spans="3:3" s="253" customFormat="1" ht="12.75" customHeight="1">
      <c r="C351" s="812"/>
    </row>
    <row r="352" spans="3:3" s="253" customFormat="1" ht="12.75" customHeight="1">
      <c r="C352" s="812"/>
    </row>
    <row r="353" spans="3:3" s="253" customFormat="1" ht="12.75" customHeight="1">
      <c r="C353" s="812"/>
    </row>
    <row r="354" spans="3:3" s="253" customFormat="1" ht="12.75" customHeight="1">
      <c r="C354" s="812"/>
    </row>
    <row r="355" spans="3:3" s="253" customFormat="1" ht="12.75" customHeight="1">
      <c r="C355" s="812"/>
    </row>
    <row r="356" spans="3:3" s="253" customFormat="1" ht="12.75" customHeight="1">
      <c r="C356" s="812"/>
    </row>
    <row r="357" spans="3:3" s="253" customFormat="1" ht="12.75" customHeight="1">
      <c r="C357" s="812"/>
    </row>
    <row r="358" spans="3:3" s="253" customFormat="1" ht="12.75" customHeight="1">
      <c r="C358" s="812"/>
    </row>
    <row r="359" spans="3:3" s="253" customFormat="1" ht="12.75" customHeight="1">
      <c r="C359" s="812"/>
    </row>
    <row r="360" spans="3:3" s="253" customFormat="1" ht="12.75" customHeight="1">
      <c r="C360" s="812"/>
    </row>
    <row r="361" spans="3:3" s="253" customFormat="1" ht="12.75" customHeight="1">
      <c r="C361" s="812"/>
    </row>
    <row r="362" spans="3:3" s="253" customFormat="1" ht="12.75" customHeight="1">
      <c r="C362" s="812"/>
    </row>
    <row r="363" spans="3:3" s="253" customFormat="1" ht="12.75" customHeight="1">
      <c r="C363" s="812"/>
    </row>
    <row r="364" spans="3:3" s="253" customFormat="1" ht="12.75" customHeight="1">
      <c r="C364" s="812"/>
    </row>
    <row r="365" spans="3:3" s="253" customFormat="1" ht="12.75" customHeight="1">
      <c r="C365" s="812"/>
    </row>
    <row r="366" spans="3:3" s="253" customFormat="1" ht="12.75" customHeight="1">
      <c r="C366" s="812"/>
    </row>
    <row r="367" spans="3:3" s="253" customFormat="1" ht="12.75" customHeight="1">
      <c r="C367" s="812"/>
    </row>
    <row r="368" spans="3:3" s="253" customFormat="1" ht="12.75" customHeight="1">
      <c r="C368" s="812"/>
    </row>
    <row r="369" spans="3:3" s="253" customFormat="1" ht="12.75" customHeight="1">
      <c r="C369" s="812"/>
    </row>
    <row r="370" spans="3:3" s="253" customFormat="1" ht="12.75" customHeight="1">
      <c r="C370" s="812"/>
    </row>
    <row r="371" spans="3:3" s="253" customFormat="1" ht="12.75" customHeight="1">
      <c r="C371" s="812"/>
    </row>
    <row r="372" spans="3:3" s="253" customFormat="1" ht="12.75" customHeight="1">
      <c r="C372" s="812"/>
    </row>
    <row r="373" spans="3:3" s="253" customFormat="1" ht="12.75" customHeight="1">
      <c r="C373" s="812"/>
    </row>
    <row r="374" spans="3:3" s="253" customFormat="1" ht="12.75" customHeight="1">
      <c r="C374" s="812"/>
    </row>
    <row r="375" spans="3:3" s="253" customFormat="1" ht="12.75" customHeight="1">
      <c r="C375" s="812"/>
    </row>
    <row r="376" spans="3:3" s="253" customFormat="1" ht="12.75" customHeight="1">
      <c r="C376" s="812"/>
    </row>
    <row r="377" spans="3:3" s="253" customFormat="1" ht="12.75" customHeight="1">
      <c r="C377" s="812"/>
    </row>
    <row r="378" spans="3:3" s="253" customFormat="1" ht="12.75" customHeight="1">
      <c r="C378" s="812"/>
    </row>
    <row r="379" spans="3:3" s="253" customFormat="1" ht="12.75" customHeight="1">
      <c r="C379" s="812"/>
    </row>
    <row r="380" spans="3:3" s="253" customFormat="1" ht="12.75" customHeight="1">
      <c r="C380" s="812"/>
    </row>
    <row r="381" spans="3:3" s="253" customFormat="1" ht="12.75" customHeight="1">
      <c r="C381" s="812"/>
    </row>
    <row r="382" spans="3:3" s="253" customFormat="1" ht="12.75" customHeight="1">
      <c r="C382" s="812"/>
    </row>
    <row r="383" spans="3:3" s="253" customFormat="1" ht="12.75" customHeight="1">
      <c r="C383" s="812"/>
    </row>
    <row r="384" spans="3:3" s="253" customFormat="1" ht="12.75" customHeight="1">
      <c r="C384" s="812"/>
    </row>
    <row r="385" spans="3:3" s="253" customFormat="1" ht="12.75" customHeight="1">
      <c r="C385" s="812"/>
    </row>
    <row r="386" spans="3:3" s="253" customFormat="1" ht="12.75" customHeight="1">
      <c r="C386" s="812"/>
    </row>
    <row r="387" spans="3:3" s="253" customFormat="1" ht="12.75" customHeight="1">
      <c r="C387" s="812"/>
    </row>
    <row r="388" spans="3:3" s="253" customFormat="1" ht="12.75" customHeight="1">
      <c r="C388" s="812"/>
    </row>
    <row r="389" spans="3:3" s="253" customFormat="1" ht="12.75" customHeight="1">
      <c r="C389" s="812"/>
    </row>
    <row r="390" spans="3:3" s="253" customFormat="1" ht="12.75" customHeight="1">
      <c r="C390" s="812"/>
    </row>
    <row r="391" spans="3:3" s="253" customFormat="1" ht="12.75" customHeight="1">
      <c r="C391" s="812"/>
    </row>
    <row r="392" spans="3:3" s="253" customFormat="1" ht="12.75" customHeight="1">
      <c r="C392" s="812"/>
    </row>
    <row r="393" spans="3:3" s="253" customFormat="1" ht="12.75" customHeight="1">
      <c r="C393" s="812"/>
    </row>
    <row r="394" spans="3:3" s="253" customFormat="1" ht="12.75" customHeight="1">
      <c r="C394" s="812"/>
    </row>
    <row r="395" spans="3:3" s="253" customFormat="1" ht="12.75" customHeight="1">
      <c r="C395" s="812"/>
    </row>
    <row r="396" spans="3:3" s="253" customFormat="1" ht="12.75" customHeight="1">
      <c r="C396" s="812"/>
    </row>
    <row r="397" spans="3:3" s="253" customFormat="1" ht="12.75" customHeight="1">
      <c r="C397" s="812"/>
    </row>
    <row r="398" spans="3:3" s="253" customFormat="1" ht="12.75" customHeight="1">
      <c r="C398" s="812"/>
    </row>
    <row r="399" spans="3:3" s="253" customFormat="1" ht="12.75" customHeight="1">
      <c r="C399" s="812"/>
    </row>
    <row r="400" spans="3:3" s="253" customFormat="1" ht="12.75" customHeight="1">
      <c r="C400" s="812"/>
    </row>
    <row r="401" spans="3:3" s="253" customFormat="1" ht="12.75" customHeight="1">
      <c r="C401" s="812"/>
    </row>
    <row r="402" spans="3:3" s="253" customFormat="1" ht="12.75" customHeight="1">
      <c r="C402" s="812"/>
    </row>
    <row r="403" spans="3:3" s="253" customFormat="1" ht="12.75" customHeight="1">
      <c r="C403" s="812"/>
    </row>
    <row r="404" spans="3:3" s="253" customFormat="1" ht="12.75" customHeight="1">
      <c r="C404" s="812"/>
    </row>
    <row r="405" spans="3:3" s="253" customFormat="1" ht="12.75" customHeight="1">
      <c r="C405" s="812"/>
    </row>
    <row r="406" spans="3:3" s="253" customFormat="1" ht="12.75" customHeight="1">
      <c r="C406" s="812"/>
    </row>
    <row r="407" spans="3:3" s="253" customFormat="1" ht="12.75" customHeight="1">
      <c r="C407" s="812"/>
    </row>
    <row r="408" spans="3:3" s="253" customFormat="1" ht="12.75" customHeight="1">
      <c r="C408" s="812"/>
    </row>
    <row r="409" spans="3:3" s="253" customFormat="1" ht="12.75" customHeight="1">
      <c r="C409" s="812"/>
    </row>
    <row r="410" spans="3:3" s="253" customFormat="1" ht="12.75" customHeight="1">
      <c r="C410" s="812"/>
    </row>
    <row r="411" spans="3:3" s="253" customFormat="1" ht="12.75" customHeight="1">
      <c r="C411" s="812"/>
    </row>
    <row r="412" spans="3:3" s="253" customFormat="1" ht="12.75" customHeight="1">
      <c r="C412" s="812"/>
    </row>
    <row r="413" spans="3:3" s="253" customFormat="1" ht="12.75" customHeight="1">
      <c r="C413" s="812"/>
    </row>
    <row r="414" spans="3:3" s="253" customFormat="1" ht="12.75" customHeight="1">
      <c r="C414" s="812"/>
    </row>
    <row r="415" spans="3:3" s="253" customFormat="1" ht="12.75" customHeight="1">
      <c r="C415" s="812"/>
    </row>
    <row r="416" spans="3:3" s="253" customFormat="1" ht="12.75" customHeight="1">
      <c r="C416" s="812"/>
    </row>
    <row r="417" spans="3:3" s="253" customFormat="1" ht="12.75" customHeight="1">
      <c r="C417" s="812"/>
    </row>
    <row r="418" spans="3:3" s="253" customFormat="1" ht="12.75" customHeight="1">
      <c r="C418" s="812"/>
    </row>
    <row r="419" spans="3:3" s="253" customFormat="1" ht="12.75" customHeight="1">
      <c r="C419" s="812"/>
    </row>
    <row r="420" spans="3:3" s="253" customFormat="1" ht="12.75" customHeight="1">
      <c r="C420" s="812"/>
    </row>
    <row r="421" spans="3:3" s="253" customFormat="1" ht="12.75" customHeight="1">
      <c r="C421" s="812"/>
    </row>
    <row r="422" spans="3:3" s="253" customFormat="1" ht="12.75" customHeight="1">
      <c r="C422" s="812"/>
    </row>
    <row r="423" spans="3:3" s="253" customFormat="1" ht="12.75" customHeight="1">
      <c r="C423" s="812"/>
    </row>
    <row r="424" spans="3:3" s="253" customFormat="1" ht="12.75" customHeight="1">
      <c r="C424" s="812"/>
    </row>
    <row r="425" spans="3:3" s="253" customFormat="1" ht="12.75" customHeight="1">
      <c r="C425" s="812"/>
    </row>
    <row r="426" spans="3:3" s="253" customFormat="1" ht="12.75" customHeight="1">
      <c r="C426" s="812"/>
    </row>
    <row r="427" spans="3:3" s="253" customFormat="1" ht="12.75" customHeight="1">
      <c r="C427" s="812"/>
    </row>
    <row r="428" spans="3:3" s="253" customFormat="1" ht="12.75" customHeight="1">
      <c r="C428" s="812"/>
    </row>
    <row r="429" spans="3:3" s="253" customFormat="1" ht="12.75" customHeight="1">
      <c r="C429" s="812"/>
    </row>
    <row r="430" spans="3:3" s="253" customFormat="1" ht="12.75" customHeight="1">
      <c r="C430" s="812"/>
    </row>
    <row r="431" spans="3:3" s="253" customFormat="1" ht="12.75" customHeight="1">
      <c r="C431" s="812"/>
    </row>
    <row r="432" spans="3:3" s="253" customFormat="1" ht="12.75" customHeight="1">
      <c r="C432" s="812"/>
    </row>
    <row r="433" spans="3:3" s="253" customFormat="1" ht="12.75" customHeight="1">
      <c r="C433" s="812"/>
    </row>
    <row r="434" spans="3:3" s="253" customFormat="1" ht="12.75" customHeight="1">
      <c r="C434" s="812"/>
    </row>
    <row r="435" spans="3:3" s="253" customFormat="1" ht="12.75" customHeight="1">
      <c r="C435" s="812"/>
    </row>
    <row r="436" spans="3:3" s="253" customFormat="1" ht="12.75" customHeight="1">
      <c r="C436" s="812"/>
    </row>
    <row r="437" spans="3:3" s="253" customFormat="1" ht="12.75" customHeight="1">
      <c r="C437" s="812"/>
    </row>
    <row r="438" spans="3:3" s="253" customFormat="1" ht="12.75" customHeight="1">
      <c r="C438" s="812"/>
    </row>
    <row r="439" spans="3:3" s="253" customFormat="1" ht="12.75" customHeight="1">
      <c r="C439" s="812"/>
    </row>
    <row r="440" spans="3:3" s="253" customFormat="1" ht="12.75" customHeight="1">
      <c r="C440" s="812"/>
    </row>
    <row r="441" spans="3:3" s="253" customFormat="1" ht="12.75" customHeight="1">
      <c r="C441" s="812"/>
    </row>
    <row r="442" spans="3:3" s="253" customFormat="1" ht="12.75" customHeight="1">
      <c r="C442" s="812"/>
    </row>
    <row r="443" spans="3:3" s="253" customFormat="1" ht="12.75" customHeight="1">
      <c r="C443" s="812"/>
    </row>
    <row r="444" spans="3:3" s="253" customFormat="1" ht="12.75" customHeight="1">
      <c r="C444" s="812"/>
    </row>
    <row r="445" spans="3:3" s="253" customFormat="1" ht="12.75" customHeight="1">
      <c r="C445" s="812"/>
    </row>
    <row r="446" spans="3:3" s="253" customFormat="1" ht="12.75" customHeight="1">
      <c r="C446" s="812"/>
    </row>
    <row r="447" spans="3:3" s="253" customFormat="1" ht="12.75" customHeight="1">
      <c r="C447" s="812"/>
    </row>
    <row r="448" spans="3:3" s="253" customFormat="1" ht="12.75" customHeight="1">
      <c r="C448" s="812"/>
    </row>
    <row r="449" spans="3:3" s="253" customFormat="1" ht="12.75" customHeight="1">
      <c r="C449" s="812"/>
    </row>
    <row r="450" spans="3:3" s="253" customFormat="1" ht="12.75" customHeight="1">
      <c r="C450" s="812"/>
    </row>
    <row r="451" spans="3:3" s="253" customFormat="1" ht="12.75" customHeight="1">
      <c r="C451" s="812"/>
    </row>
    <row r="452" spans="3:3" s="253" customFormat="1" ht="12.75" customHeight="1">
      <c r="C452" s="812"/>
    </row>
    <row r="453" spans="3:3" s="253" customFormat="1" ht="12.75" customHeight="1">
      <c r="C453" s="812"/>
    </row>
    <row r="454" spans="3:3" s="253" customFormat="1" ht="12.75" customHeight="1">
      <c r="C454" s="812"/>
    </row>
    <row r="455" spans="3:3" s="253" customFormat="1" ht="12.75" customHeight="1">
      <c r="C455" s="812"/>
    </row>
    <row r="456" spans="3:3" s="253" customFormat="1" ht="12.75" customHeight="1">
      <c r="C456" s="812"/>
    </row>
    <row r="457" spans="3:3" s="253" customFormat="1" ht="12.75" customHeight="1">
      <c r="C457" s="812"/>
    </row>
    <row r="458" spans="3:3" s="253" customFormat="1" ht="12.75" customHeight="1">
      <c r="C458" s="812"/>
    </row>
    <row r="459" spans="3:3" s="253" customFormat="1" ht="12.75" customHeight="1">
      <c r="C459" s="812"/>
    </row>
    <row r="460" spans="3:3" s="253" customFormat="1" ht="12.75" customHeight="1">
      <c r="C460" s="812"/>
    </row>
    <row r="461" spans="3:3" s="253" customFormat="1" ht="12.75" customHeight="1">
      <c r="C461" s="812"/>
    </row>
    <row r="462" spans="3:3" s="253" customFormat="1" ht="12.75" customHeight="1">
      <c r="C462" s="812"/>
    </row>
    <row r="463" spans="3:3" s="253" customFormat="1" ht="12.75" customHeight="1">
      <c r="C463" s="812"/>
    </row>
    <row r="464" spans="3:3" s="253" customFormat="1" ht="12.75" customHeight="1">
      <c r="C464" s="812"/>
    </row>
    <row r="465" spans="3:3" s="253" customFormat="1" ht="12.75" customHeight="1">
      <c r="C465" s="812"/>
    </row>
    <row r="466" spans="3:3" s="253" customFormat="1" ht="12.75" customHeight="1">
      <c r="C466" s="812"/>
    </row>
    <row r="467" spans="3:3" s="253" customFormat="1" ht="12.75" customHeight="1">
      <c r="C467" s="812"/>
    </row>
    <row r="468" spans="3:3" s="253" customFormat="1" ht="12.75" customHeight="1">
      <c r="C468" s="812"/>
    </row>
    <row r="469" spans="3:3" s="253" customFormat="1" ht="12.75" customHeight="1">
      <c r="C469" s="812"/>
    </row>
    <row r="470" spans="3:3" s="253" customFormat="1" ht="12.75" customHeight="1">
      <c r="C470" s="812"/>
    </row>
    <row r="471" spans="3:3" s="253" customFormat="1" ht="12.75" customHeight="1">
      <c r="C471" s="812"/>
    </row>
    <row r="472" spans="3:3" s="253" customFormat="1" ht="12.75" customHeight="1">
      <c r="C472" s="812"/>
    </row>
    <row r="473" spans="3:3" s="253" customFormat="1" ht="12.75" customHeight="1">
      <c r="C473" s="812"/>
    </row>
    <row r="474" spans="3:3" s="253" customFormat="1" ht="12.75" customHeight="1">
      <c r="C474" s="812"/>
    </row>
    <row r="475" spans="3:3" s="253" customFormat="1" ht="12.75" customHeight="1">
      <c r="C475" s="812"/>
    </row>
    <row r="476" spans="3:3" s="253" customFormat="1" ht="12.75" customHeight="1">
      <c r="C476" s="812"/>
    </row>
    <row r="477" spans="3:3" s="253" customFormat="1" ht="12.75" customHeight="1">
      <c r="C477" s="812"/>
    </row>
    <row r="478" spans="3:3" s="253" customFormat="1" ht="12.75" customHeight="1">
      <c r="C478" s="812"/>
    </row>
    <row r="479" spans="3:3" s="253" customFormat="1" ht="12.75" customHeight="1">
      <c r="C479" s="812"/>
    </row>
    <row r="480" spans="3:3" s="253" customFormat="1" ht="12.75" customHeight="1">
      <c r="C480" s="812"/>
    </row>
    <row r="481" spans="3:3" s="253" customFormat="1" ht="12.75" customHeight="1">
      <c r="C481" s="812"/>
    </row>
    <row r="482" spans="3:3" s="253" customFormat="1" ht="12.75" customHeight="1">
      <c r="C482" s="812"/>
    </row>
    <row r="483" spans="3:3" s="253" customFormat="1" ht="12.75" customHeight="1">
      <c r="C483" s="812"/>
    </row>
    <row r="484" spans="3:3" s="253" customFormat="1" ht="12.75" customHeight="1">
      <c r="C484" s="812"/>
    </row>
    <row r="485" spans="3:3" s="253" customFormat="1" ht="12.75" customHeight="1">
      <c r="C485" s="812"/>
    </row>
    <row r="486" spans="3:3" s="253" customFormat="1" ht="12.75" customHeight="1">
      <c r="C486" s="812"/>
    </row>
    <row r="487" spans="3:3" s="253" customFormat="1" ht="12.75" customHeight="1">
      <c r="C487" s="812"/>
    </row>
    <row r="488" spans="3:3" s="253" customFormat="1" ht="12.75" customHeight="1">
      <c r="C488" s="812"/>
    </row>
    <row r="489" spans="3:3" s="253" customFormat="1" ht="12.75" customHeight="1">
      <c r="C489" s="812"/>
    </row>
    <row r="490" spans="3:3" s="253" customFormat="1" ht="12.75" customHeight="1">
      <c r="C490" s="812"/>
    </row>
    <row r="491" spans="3:3" s="253" customFormat="1" ht="12.75" customHeight="1">
      <c r="C491" s="812"/>
    </row>
    <row r="492" spans="3:3" s="253" customFormat="1" ht="12.75" customHeight="1">
      <c r="C492" s="812"/>
    </row>
    <row r="493" spans="3:3" s="253" customFormat="1" ht="12.75" customHeight="1">
      <c r="C493" s="812"/>
    </row>
    <row r="494" spans="3:3" s="253" customFormat="1" ht="12.75" customHeight="1">
      <c r="C494" s="812"/>
    </row>
    <row r="495" spans="3:3" s="253" customFormat="1" ht="12.75" customHeight="1">
      <c r="C495" s="812"/>
    </row>
    <row r="496" spans="3:3" s="253" customFormat="1" ht="12.75" customHeight="1">
      <c r="C496" s="812"/>
    </row>
    <row r="497" spans="3:3" s="253" customFormat="1" ht="12.75" customHeight="1">
      <c r="C497" s="812"/>
    </row>
    <row r="498" spans="3:3" s="253" customFormat="1" ht="12.75" customHeight="1">
      <c r="C498" s="812"/>
    </row>
    <row r="499" spans="3:3" s="253" customFormat="1" ht="12.75" customHeight="1">
      <c r="C499" s="812"/>
    </row>
    <row r="500" spans="3:3" s="253" customFormat="1" ht="12.75" customHeight="1">
      <c r="C500" s="812"/>
    </row>
    <row r="501" spans="3:3" s="253" customFormat="1" ht="12.75" customHeight="1">
      <c r="C501" s="812"/>
    </row>
    <row r="502" spans="3:3" s="253" customFormat="1" ht="12.75" customHeight="1">
      <c r="C502" s="812"/>
    </row>
    <row r="503" spans="3:3" s="253" customFormat="1" ht="12.75" customHeight="1">
      <c r="C503" s="812"/>
    </row>
    <row r="504" spans="3:3" s="253" customFormat="1" ht="12.75" customHeight="1">
      <c r="C504" s="812"/>
    </row>
    <row r="505" spans="3:3" s="253" customFormat="1" ht="12.75" customHeight="1">
      <c r="C505" s="812"/>
    </row>
    <row r="506" spans="3:3" s="253" customFormat="1" ht="12.75" customHeight="1">
      <c r="C506" s="812"/>
    </row>
    <row r="507" spans="3:3" s="253" customFormat="1" ht="12.75" customHeight="1">
      <c r="C507" s="812"/>
    </row>
    <row r="508" spans="3:3" s="253" customFormat="1" ht="12.75" customHeight="1">
      <c r="C508" s="812"/>
    </row>
    <row r="509" spans="3:3" s="253" customFormat="1" ht="12.75" customHeight="1">
      <c r="C509" s="812"/>
    </row>
    <row r="510" spans="3:3" s="253" customFormat="1" ht="12.75" customHeight="1">
      <c r="C510" s="812"/>
    </row>
    <row r="511" spans="3:3" s="253" customFormat="1" ht="12.75" customHeight="1">
      <c r="C511" s="812"/>
    </row>
    <row r="512" spans="3:3" s="253" customFormat="1" ht="12.75" customHeight="1">
      <c r="C512" s="812"/>
    </row>
    <row r="513" spans="3:3" s="253" customFormat="1" ht="12.75" customHeight="1">
      <c r="C513" s="812"/>
    </row>
    <row r="514" spans="3:3" s="253" customFormat="1" ht="12.75" customHeight="1">
      <c r="C514" s="812"/>
    </row>
    <row r="515" spans="3:3" s="253" customFormat="1" ht="12.75" customHeight="1">
      <c r="C515" s="812"/>
    </row>
    <row r="516" spans="3:3" s="253" customFormat="1" ht="12.75" customHeight="1">
      <c r="C516" s="812"/>
    </row>
    <row r="517" spans="3:3" s="253" customFormat="1" ht="12.75" customHeight="1">
      <c r="C517" s="812"/>
    </row>
    <row r="518" spans="3:3" s="253" customFormat="1" ht="12.75" customHeight="1">
      <c r="C518" s="812"/>
    </row>
    <row r="519" spans="3:3" s="253" customFormat="1" ht="12.75" customHeight="1">
      <c r="C519" s="812"/>
    </row>
    <row r="520" spans="3:3" s="253" customFormat="1" ht="12.75" customHeight="1">
      <c r="C520" s="812"/>
    </row>
    <row r="521" spans="3:3" s="253" customFormat="1" ht="12.75" customHeight="1">
      <c r="C521" s="812"/>
    </row>
    <row r="522" spans="3:3" s="253" customFormat="1" ht="12.75" customHeight="1">
      <c r="C522" s="812"/>
    </row>
    <row r="523" spans="3:3" s="253" customFormat="1" ht="12.75" customHeight="1">
      <c r="C523" s="812"/>
    </row>
    <row r="524" spans="3:3" s="253" customFormat="1" ht="12.75" customHeight="1">
      <c r="C524" s="812"/>
    </row>
    <row r="525" spans="3:3" s="253" customFormat="1" ht="12.75" customHeight="1">
      <c r="C525" s="812"/>
    </row>
    <row r="526" spans="3:3" s="253" customFormat="1" ht="12.75" customHeight="1">
      <c r="C526" s="812"/>
    </row>
    <row r="527" spans="3:3" s="253" customFormat="1" ht="12.75" customHeight="1">
      <c r="C527" s="812"/>
    </row>
    <row r="528" spans="3:3" s="253" customFormat="1" ht="12.75" customHeight="1">
      <c r="C528" s="812"/>
    </row>
    <row r="529" spans="3:3" s="253" customFormat="1" ht="12.75" customHeight="1">
      <c r="C529" s="812"/>
    </row>
    <row r="530" spans="3:3" s="253" customFormat="1" ht="12.75" customHeight="1">
      <c r="C530" s="812"/>
    </row>
    <row r="531" spans="3:3" s="253" customFormat="1" ht="12.75" customHeight="1">
      <c r="C531" s="812"/>
    </row>
    <row r="532" spans="3:3" s="253" customFormat="1" ht="12.75" customHeight="1">
      <c r="C532" s="812"/>
    </row>
    <row r="533" spans="3:3" s="253" customFormat="1" ht="12.75" customHeight="1">
      <c r="C533" s="812"/>
    </row>
    <row r="534" spans="3:3" s="253" customFormat="1" ht="12.75" customHeight="1">
      <c r="C534" s="812"/>
    </row>
    <row r="535" spans="3:3" s="253" customFormat="1" ht="12.75" customHeight="1">
      <c r="C535" s="812"/>
    </row>
    <row r="536" spans="3:3" s="253" customFormat="1" ht="12.75" customHeight="1">
      <c r="C536" s="812"/>
    </row>
    <row r="537" spans="3:3" s="253" customFormat="1" ht="12.75" customHeight="1">
      <c r="C537" s="812"/>
    </row>
    <row r="538" spans="3:3" s="253" customFormat="1" ht="12.75" customHeight="1">
      <c r="C538" s="812"/>
    </row>
  </sheetData>
  <sortState xmlns:xlrd2="http://schemas.microsoft.com/office/spreadsheetml/2017/richdata2" ref="A7:L278">
    <sortCondition ref="A7:A278"/>
  </sortState>
  <phoneticPr fontId="5" type="noConversion"/>
  <hyperlinks>
    <hyperlink ref="D2" location="eqf" tooltip="Go to eqf" display="eqf" xr:uid="{00000000-0004-0000-2800-000000000000}"/>
    <hyperlink ref="C3" location="ef_fish!A1" tooltip="Go to ef_fish" display="ef_fish" xr:uid="{00000000-0004-0000-2800-000001000000}"/>
    <hyperlink ref="C2" location="fish_commodity_yield_n!A1" tooltip="Go to fish_commodity_yield_n" display="fish_commodity_yield_n" xr:uid="{00000000-0004-0000-2800-000002000000}"/>
    <hyperlink ref="D3" location="ef_crop!A1" display="ef_crop" xr:uid="{00000000-0004-0000-2800-000003000000}"/>
    <hyperlink ref="E2" location="iyf" display="iyf" xr:uid="{00000000-0004-0000-2800-000004000000}"/>
  </hyperlinks>
  <pageMargins left="0.75" right="0.75" top="1" bottom="1" header="0.5" footer="0.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theme="4"/>
    <pageSetUpPr autoPageBreaks="0"/>
  </sheetPr>
  <dimension ref="A1:M322"/>
  <sheetViews>
    <sheetView zoomScaleNormal="100" workbookViewId="0">
      <pane xSplit="1" ySplit="6" topLeftCell="B7" activePane="bottomRight" state="frozen"/>
      <selection activeCell="A7" sqref="A7"/>
      <selection pane="topRight" activeCell="A7" sqref="A7"/>
      <selection pane="bottomLeft" activeCell="A7" sqref="A7"/>
      <selection pane="bottomRight" activeCell="A65536" sqref="A65536"/>
    </sheetView>
  </sheetViews>
  <sheetFormatPr defaultColWidth="9.1796875" defaultRowHeight="12.75" customHeight="1"/>
  <cols>
    <col min="1" max="1" width="50.7265625" style="36" customWidth="1"/>
    <col min="2" max="2" width="15.7265625" style="36" customWidth="1"/>
    <col min="3" max="3" width="24" style="36" customWidth="1"/>
    <col min="4" max="4" width="16.453125" style="36" customWidth="1"/>
    <col min="5" max="5" width="17.7265625" style="36" customWidth="1"/>
    <col min="6" max="6" width="21" style="36" customWidth="1"/>
    <col min="7" max="7" width="16.26953125" style="36" customWidth="1"/>
    <col min="8" max="10" width="21.7265625" style="36" customWidth="1"/>
    <col min="11" max="11" width="9.1796875" style="36"/>
    <col min="12" max="13" width="13.54296875" style="36" customWidth="1"/>
    <col min="14" max="16384" width="9.1796875" style="36"/>
  </cols>
  <sheetData>
    <row r="1" spans="1:13" ht="12.75" customHeight="1">
      <c r="B1" s="97"/>
      <c r="C1" s="97"/>
      <c r="D1" s="97"/>
      <c r="E1" s="97"/>
      <c r="F1" s="97"/>
      <c r="G1" s="97"/>
      <c r="H1" s="97"/>
      <c r="I1" s="97"/>
      <c r="J1" s="97"/>
    </row>
    <row r="2" spans="1:13" ht="12.75" customHeight="1">
      <c r="B2" s="37" t="s">
        <v>985</v>
      </c>
      <c r="C2" s="466" t="s">
        <v>1761</v>
      </c>
      <c r="D2" s="466" t="s">
        <v>6169</v>
      </c>
      <c r="E2" s="466" t="s">
        <v>8832</v>
      </c>
      <c r="F2" s="466" t="s">
        <v>5245</v>
      </c>
    </row>
    <row r="3" spans="1:13" ht="12.75" customHeight="1">
      <c r="B3" s="37" t="s">
        <v>986</v>
      </c>
      <c r="C3" s="466" t="s">
        <v>8832</v>
      </c>
      <c r="D3" s="466" t="s">
        <v>1761</v>
      </c>
      <c r="E3" s="466" t="s">
        <v>5091</v>
      </c>
      <c r="F3" s="466"/>
      <c r="G3" s="466"/>
      <c r="H3" s="97"/>
    </row>
    <row r="4" spans="1:13" ht="12.75" customHeight="1">
      <c r="I4" s="74"/>
    </row>
    <row r="5" spans="1:13" ht="13">
      <c r="A5" s="1016" t="s">
        <v>1381</v>
      </c>
      <c r="B5" s="1017" t="s">
        <v>509</v>
      </c>
      <c r="C5" s="1017" t="s">
        <v>1382</v>
      </c>
      <c r="D5" s="1017" t="s">
        <v>4102</v>
      </c>
      <c r="E5" s="1018" t="s">
        <v>5253</v>
      </c>
      <c r="F5" s="1017" t="s">
        <v>3919</v>
      </c>
      <c r="G5" s="1017" t="s">
        <v>3921</v>
      </c>
      <c r="H5" s="1019" t="s">
        <v>3749</v>
      </c>
      <c r="I5" s="1029" t="s">
        <v>925</v>
      </c>
      <c r="J5" s="1030" t="s">
        <v>926</v>
      </c>
    </row>
    <row r="6" spans="1:13" ht="14.5">
      <c r="A6" s="1020" t="s">
        <v>542</v>
      </c>
      <c r="B6" s="1021" t="s">
        <v>542</v>
      </c>
      <c r="C6" s="1021" t="s">
        <v>542</v>
      </c>
      <c r="D6" s="1021" t="s">
        <v>542</v>
      </c>
      <c r="E6" s="1022" t="s">
        <v>9225</v>
      </c>
      <c r="F6" s="1021" t="s">
        <v>9224</v>
      </c>
      <c r="G6" s="1021" t="s">
        <v>9224</v>
      </c>
      <c r="H6" s="1033" t="s">
        <v>1762</v>
      </c>
      <c r="I6" s="1031" t="s">
        <v>927</v>
      </c>
      <c r="J6" s="1032" t="s">
        <v>927</v>
      </c>
    </row>
    <row r="7" spans="1:13" ht="12.5">
      <c r="A7" t="s">
        <v>8494</v>
      </c>
      <c r="B7">
        <v>307.89</v>
      </c>
      <c r="C7" t="s">
        <v>1736</v>
      </c>
      <c r="D7" t="s">
        <v>4691</v>
      </c>
      <c r="E7" s="87">
        <f>IFERROR(1/VLOOKUP(B7,constant_fish_extr,2,FALSE),0)</f>
        <v>0.2577438210521471</v>
      </c>
      <c r="F7" s="87">
        <f>IFERROR($E7*(VLOOKUP(C7,fish_group_yield_n!$A$7:$J$49,7,FALSE)),0)</f>
        <v>0.12488588539199595</v>
      </c>
      <c r="G7" s="87">
        <f>IFERROR($E7*(VLOOKUP(C7,fish_group_yield_n!$A$7:$J$49,10,FALSE)),0)</f>
        <v>0.29051399895083913</v>
      </c>
      <c r="H7" s="823">
        <f t="shared" ref="H7:H70" si="0">IF(ISERROR(VLOOKUP(B7,tbl_figis_commodity,2,FALSE)/E7),0,VLOOKUP(B7,tbl_figis_commodity,2,FALSE)/E7)</f>
        <v>0</v>
      </c>
      <c r="I7" s="824">
        <f>IF(ISERROR($E7*VLOOKUP($C7,fish_group_yield_w!$A$7:$I$45,9,FALSE)),0,$E7*VLOOKUP($C7,fish_group_yield_w!$A$7:$I$45,9,FALSE))</f>
        <v>0.14587153744498188</v>
      </c>
      <c r="J7" s="825">
        <f>IF(ISERROR($E7*VLOOKUP($C7,fish_group_yield_w!$A$7:$I$45,9,FALSE)),0,$E7*VLOOKUP($C7,fish_group_yield_w!$A$7:$I$45,9,FALSE))</f>
        <v>0.14587153744498188</v>
      </c>
      <c r="L7" s="253"/>
      <c r="M7" s="253"/>
    </row>
    <row r="8" spans="1:13" ht="12.5">
      <c r="A8" t="s">
        <v>9157</v>
      </c>
      <c r="B8">
        <v>307.87</v>
      </c>
      <c r="C8" t="s">
        <v>1736</v>
      </c>
      <c r="D8" t="s">
        <v>4691</v>
      </c>
      <c r="E8" s="87">
        <v>2.13</v>
      </c>
      <c r="F8" s="87">
        <f>IFERROR($E8*(VLOOKUP(C8,fish_group_yield_n!$A$7:$J$49,7,FALSE)),0)</f>
        <v>1.0320594099950604</v>
      </c>
      <c r="G8" s="87">
        <f>IFERROR($E8*(VLOOKUP(C8,fish_group_yield_n!$A$7:$J$49,10,FALSE)),0)</f>
        <v>2.4008133938547136</v>
      </c>
      <c r="H8" s="823">
        <f t="shared" si="0"/>
        <v>7.511737089201878</v>
      </c>
      <c r="I8" s="428">
        <f>IF(ISERROR($E8*VLOOKUP($C8,fish_group_yield_w!$A$7:$I$45,9,FALSE)),0,$E8*VLOOKUP($C8,fish_group_yield_w!$A$7:$I$45,9,FALSE))</f>
        <v>1.2054852507791014</v>
      </c>
      <c r="J8" s="429">
        <f>IF(ISERROR($E8*VLOOKUP($C8,fish_group_yield_w!$A$7:$I$45,9,FALSE)),0,$E8*VLOOKUP($C8,fish_group_yield_w!$A$7:$I$45,9,FALSE))</f>
        <v>1.2054852507791014</v>
      </c>
      <c r="L8" s="814"/>
      <c r="M8" s="814"/>
    </row>
    <row r="9" spans="1:13" ht="12.5">
      <c r="A9" t="s">
        <v>9155</v>
      </c>
      <c r="B9">
        <v>307.83</v>
      </c>
      <c r="C9" t="s">
        <v>1736</v>
      </c>
      <c r="D9" t="s">
        <v>4691</v>
      </c>
      <c r="E9" s="87">
        <v>3.88</v>
      </c>
      <c r="F9" s="87">
        <f>IFERROR($E9*(VLOOKUP(C9,fish_group_yield_n!$A$7:$J$49,7,FALSE)),0)</f>
        <v>1.8799955449675279</v>
      </c>
      <c r="G9" s="87">
        <f>IFERROR($E9*(VLOOKUP(C9,fish_group_yield_n!$A$7:$J$49,10,FALSE)),0)</f>
        <v>4.3733126611062394</v>
      </c>
      <c r="H9" s="823">
        <f t="shared" si="0"/>
        <v>32.731958762886599</v>
      </c>
      <c r="I9" s="428">
        <f>IF(ISERROR($E9*VLOOKUP($C9,fish_group_yield_w!$A$7:$I$45,9,FALSE)),0,$E9*VLOOKUP($C9,fish_group_yield_w!$A$7:$I$45,9,FALSE))</f>
        <v>2.1959074051750767</v>
      </c>
      <c r="J9" s="429">
        <f>IF(ISERROR($E9*VLOOKUP($C9,fish_group_yield_w!$A$7:$I$45,9,FALSE)),0,$E9*VLOOKUP($C9,fish_group_yield_w!$A$7:$I$45,9,FALSE))</f>
        <v>2.1959074051750767</v>
      </c>
      <c r="L9" s="814"/>
      <c r="M9" s="814"/>
    </row>
    <row r="10" spans="1:13" ht="12.5">
      <c r="A10" t="s">
        <v>8495</v>
      </c>
      <c r="B10">
        <v>307.81</v>
      </c>
      <c r="C10" t="s">
        <v>1736</v>
      </c>
      <c r="D10" t="s">
        <v>4691</v>
      </c>
      <c r="E10" s="87">
        <f t="shared" ref="E10:E19" si="1">IFERROR(1/VLOOKUP(B10,constant_fish_extr,2,FALSE),0)</f>
        <v>0.19129603060736489</v>
      </c>
      <c r="F10" s="87">
        <f>IFERROR($E10*(VLOOKUP(C10,fish_group_yield_n!$A$7:$J$49,7,FALSE)),0)</f>
        <v>9.2689609616447899E-2</v>
      </c>
      <c r="G10" s="87">
        <f>IFERROR($E10*(VLOOKUP(C10,fish_group_yield_n!$A$7:$J$49,10,FALSE)),0)</f>
        <v>0.21561787440065863</v>
      </c>
      <c r="H10" s="823">
        <f t="shared" si="0"/>
        <v>73.185000000000002</v>
      </c>
      <c r="I10" s="428">
        <f>IF(ISERROR($E10*VLOOKUP($C10,fish_group_yield_w!$A$7:$I$45,9,FALSE)),0,$E10*VLOOKUP($C10,fish_group_yield_w!$A$7:$I$45,9,FALSE))</f>
        <v>0.10826504386373986</v>
      </c>
      <c r="J10" s="429">
        <f>IF(ISERROR($E10*VLOOKUP($C10,fish_group_yield_w!$A$7:$I$45,9,FALSE)),0,$E10*VLOOKUP($C10,fish_group_yield_w!$A$7:$I$45,9,FALSE))</f>
        <v>0.10826504386373986</v>
      </c>
      <c r="L10" s="814"/>
      <c r="M10" s="814"/>
    </row>
    <row r="11" spans="1:13" ht="12.5">
      <c r="A11" t="s">
        <v>8384</v>
      </c>
      <c r="B11">
        <v>1605.57</v>
      </c>
      <c r="C11" t="s">
        <v>1736</v>
      </c>
      <c r="D11" t="s">
        <v>4691</v>
      </c>
      <c r="E11" s="87">
        <f t="shared" si="1"/>
        <v>0.46948356807511737</v>
      </c>
      <c r="F11" s="87">
        <f>IFERROR($E11*(VLOOKUP(C11,fish_group_yield_n!$A$7:$J$49,7,FALSE)),0)</f>
        <v>0.22748118979811333</v>
      </c>
      <c r="G11" s="87">
        <f>IFERROR($E11*(VLOOKUP(C11,fish_group_yield_n!$A$7:$J$49,10,FALSE)),0)</f>
        <v>0.5291748537227432</v>
      </c>
      <c r="H11" s="823">
        <f t="shared" si="0"/>
        <v>223.65</v>
      </c>
      <c r="I11" s="428">
        <f>IF(ISERROR($E11*VLOOKUP($C11,fish_group_yield_w!$A$7:$I$45,9,FALSE)),0,$E11*VLOOKUP($C11,fish_group_yield_w!$A$7:$I$45,9,FALSE))</f>
        <v>0.2657068153979813</v>
      </c>
      <c r="J11" s="429">
        <f>IF(ISERROR($E11*VLOOKUP($C11,fish_group_yield_w!$A$7:$I$45,9,FALSE)),0,$E11*VLOOKUP($C11,fish_group_yield_w!$A$7:$I$45,9,FALSE))</f>
        <v>0.2657068153979813</v>
      </c>
      <c r="L11" s="814"/>
      <c r="M11" s="814"/>
    </row>
    <row r="12" spans="1:13" ht="12.5">
      <c r="A12" s="403" t="s">
        <v>6027</v>
      </c>
      <c r="B12" s="403">
        <v>1302.31</v>
      </c>
      <c r="C12" s="403"/>
      <c r="D12" s="403"/>
      <c r="E12" s="87">
        <f t="shared" si="1"/>
        <v>0</v>
      </c>
      <c r="F12" s="87">
        <f>IFERROR($E12*(VLOOKUP(C12,fish_group_yield_n!$A$7:$J$49,7,FALSE)),0)</f>
        <v>0</v>
      </c>
      <c r="G12" s="87">
        <f>IFERROR($E12*(VLOOKUP(C12,fish_group_yield_n!$A$7:$J$49,10,FALSE)),0)</f>
        <v>0</v>
      </c>
      <c r="H12" s="823">
        <f t="shared" si="0"/>
        <v>0</v>
      </c>
      <c r="I12" s="428">
        <f>IF(ISERROR($E12*VLOOKUP($C12,fish_group_yield_w!$A$7:$I$45,9,FALSE)),0,$E12*VLOOKUP($C12,fish_group_yield_w!$A$7:$I$45,9,FALSE))</f>
        <v>0</v>
      </c>
      <c r="J12" s="429">
        <f>IF(ISERROR($E12*VLOOKUP($C12,fish_group_yield_w!$A$7:$I$45,9,FALSE)),0,$E12*VLOOKUP($C12,fish_group_yield_w!$A$7:$I$45,9,FALSE))</f>
        <v>0</v>
      </c>
      <c r="L12" s="814"/>
      <c r="M12" s="814"/>
    </row>
    <row r="13" spans="1:13" ht="12.5">
      <c r="A13" t="s">
        <v>8396</v>
      </c>
      <c r="B13">
        <v>304.75</v>
      </c>
      <c r="C13" t="s">
        <v>5195</v>
      </c>
      <c r="D13" t="s">
        <v>4681</v>
      </c>
      <c r="E13" s="87">
        <f t="shared" si="1"/>
        <v>0.50820469632624188</v>
      </c>
      <c r="F13" s="87">
        <f>IFERROR($E13*(VLOOKUP(C13,fish_group_yield_n!$A$7:$J$49,7,FALSE)),0)</f>
        <v>6.8941847957511041E-3</v>
      </c>
      <c r="G13" s="87">
        <f>IFERROR($E13*(VLOOKUP(C13,fish_group_yield_n!$A$7:$J$49,10,FALSE)),0)</f>
        <v>6.6928949048998499E-3</v>
      </c>
      <c r="H13" s="823">
        <f t="shared" si="0"/>
        <v>28185.493175381267</v>
      </c>
      <c r="I13" s="428">
        <f>IF(ISERROR($E13*VLOOKUP($C13,fish_group_yield_w!$A$7:$I$45,9,FALSE)),0,$E13*VLOOKUP($C13,fish_group_yield_w!$A$7:$I$45,9,FALSE))</f>
        <v>1.7674061776963015E-4</v>
      </c>
      <c r="J13" s="429">
        <f>IF(ISERROR($E13*VLOOKUP($C13,fish_group_yield_w!$A$7:$I$45,9,FALSE)),0,$E13*VLOOKUP($C13,fish_group_yield_w!$A$7:$I$45,9,FALSE))</f>
        <v>1.7674061776963015E-4</v>
      </c>
      <c r="L13" s="814"/>
      <c r="M13" s="814"/>
    </row>
    <row r="14" spans="1:13" ht="12.5">
      <c r="A14" t="s">
        <v>8386</v>
      </c>
      <c r="B14">
        <v>302.55</v>
      </c>
      <c r="C14" t="s">
        <v>5195</v>
      </c>
      <c r="D14" t="s">
        <v>4681</v>
      </c>
      <c r="E14" s="87">
        <f t="shared" si="1"/>
        <v>0.85470085470085477</v>
      </c>
      <c r="F14" s="87">
        <f>IFERROR($E14*(VLOOKUP(C14,fish_group_yield_n!$A$7:$J$49,7,FALSE)),0)</f>
        <v>1.1594669785600406E-2</v>
      </c>
      <c r="G14" s="87">
        <f>IFERROR($E14*(VLOOKUP(C14,fish_group_yield_n!$A$7:$J$49,10,FALSE)),0)</f>
        <v>1.1256139577208224E-2</v>
      </c>
      <c r="H14" s="823">
        <f t="shared" si="0"/>
        <v>259.73999999999995</v>
      </c>
      <c r="I14" s="428">
        <f>IF(ISERROR($E14*VLOOKUP($C14,fish_group_yield_w!$A$7:$I$45,9,FALSE)),0,$E14*VLOOKUP($C14,fish_group_yield_w!$A$7:$I$45,9,FALSE))</f>
        <v>2.9724313482354522E-4</v>
      </c>
      <c r="J14" s="429">
        <f>IF(ISERROR($E14*VLOOKUP($C14,fish_group_yield_w!$A$7:$I$45,9,FALSE)),0,$E14*VLOOKUP($C14,fish_group_yield_w!$A$7:$I$45,9,FALSE))</f>
        <v>2.9724313482354522E-4</v>
      </c>
      <c r="L14" s="814"/>
      <c r="M14" s="814"/>
    </row>
    <row r="15" spans="1:13" ht="12.5">
      <c r="A15" t="s">
        <v>8460</v>
      </c>
      <c r="B15">
        <v>303.67</v>
      </c>
      <c r="C15" t="s">
        <v>5195</v>
      </c>
      <c r="D15" t="s">
        <v>4681</v>
      </c>
      <c r="E15" s="87">
        <f t="shared" si="1"/>
        <v>0.5524861878453039</v>
      </c>
      <c r="F15" s="87">
        <f>IFERROR($E15*(VLOOKUP(C15,fish_group_yield_n!$A$7:$J$49,7,FALSE)),0)</f>
        <v>7.4948970437306497E-3</v>
      </c>
      <c r="G15" s="87">
        <f>IFERROR($E15*(VLOOKUP(C15,fish_group_yield_n!$A$7:$J$49,10,FALSE)),0)</f>
        <v>7.2760681244937141E-3</v>
      </c>
      <c r="H15" s="823">
        <f t="shared" si="0"/>
        <v>38.01</v>
      </c>
      <c r="I15" s="428">
        <f>IF(ISERROR($E15*VLOOKUP($C15,fish_group_yield_w!$A$7:$I$45,9,FALSE)),0,$E15*VLOOKUP($C15,fish_group_yield_w!$A$7:$I$45,9,FALSE))</f>
        <v>1.9214058991356235E-4</v>
      </c>
      <c r="J15" s="429">
        <f>IF(ISERROR($E15*VLOOKUP($C15,fish_group_yield_w!$A$7:$I$45,9,FALSE)),0,$E15*VLOOKUP($C15,fish_group_yield_w!$A$7:$I$45,9,FALSE))</f>
        <v>1.9214058991356235E-4</v>
      </c>
      <c r="L15" s="814"/>
      <c r="M15" s="814"/>
    </row>
    <row r="16" spans="1:13" ht="12.5">
      <c r="A16" t="s">
        <v>8388</v>
      </c>
      <c r="B16">
        <v>304.94</v>
      </c>
      <c r="C16" t="s">
        <v>5195</v>
      </c>
      <c r="D16" t="s">
        <v>4681</v>
      </c>
      <c r="E16" s="87">
        <f t="shared" si="1"/>
        <v>0.30266343825665859</v>
      </c>
      <c r="F16" s="87">
        <f>IFERROR($E16*(VLOOKUP(C16,fish_group_yield_n!$A$7:$J$49,7,FALSE)),0)</f>
        <v>4.1058606686296831E-3</v>
      </c>
      <c r="G16" s="87">
        <f>IFERROR($E16*(VLOOKUP(C16,fish_group_yield_n!$A$7:$J$49,10,FALSE)),0)</f>
        <v>3.9859816299435899E-3</v>
      </c>
      <c r="H16" s="823">
        <f t="shared" si="0"/>
        <v>7985.768</v>
      </c>
      <c r="I16" s="428">
        <f>IF(ISERROR($E16*VLOOKUP($C16,fish_group_yield_w!$A$7:$I$45,9,FALSE)),0,$E16*VLOOKUP($C16,fish_group_yield_w!$A$7:$I$45,9,FALSE))</f>
        <v>1.052586161451416E-4</v>
      </c>
      <c r="J16" s="429">
        <f>IF(ISERROR($E16*VLOOKUP($C16,fish_group_yield_w!$A$7:$I$45,9,FALSE)),0,$E16*VLOOKUP($C16,fish_group_yield_w!$A$7:$I$45,9,FALSE))</f>
        <v>1.052586161451416E-4</v>
      </c>
      <c r="L16" s="814"/>
      <c r="M16" s="814"/>
    </row>
    <row r="17" spans="1:13" ht="12.5">
      <c r="A17" s="403" t="s">
        <v>6028</v>
      </c>
      <c r="B17" s="403">
        <v>302.31</v>
      </c>
      <c r="C17" s="403" t="s">
        <v>2843</v>
      </c>
      <c r="D17" s="403" t="s">
        <v>4699</v>
      </c>
      <c r="E17" s="87">
        <f t="shared" si="1"/>
        <v>0.8733624454148472</v>
      </c>
      <c r="F17" s="87">
        <f>IFERROR($E17*(VLOOKUP(C17,fish_group_yield_n!$A$7:$J$49,7,FALSE)),0)</f>
        <v>1.2834782290045553E-2</v>
      </c>
      <c r="G17" s="87">
        <f>IFERROR($E17*(VLOOKUP(C17,fish_group_yield_n!$A$7:$J$49,10,FALSE)),0)</f>
        <v>1.253278001276923E-2</v>
      </c>
      <c r="H17" s="823">
        <f t="shared" si="0"/>
        <v>388.15499999999997</v>
      </c>
      <c r="I17" s="428">
        <f>IF(ISERROR($E17*VLOOKUP($C17,fish_group_yield_w!$A$7:$I$45,9,FALSE)),0,$E17*VLOOKUP($C17,fish_group_yield_w!$A$7:$I$45,9,FALSE))</f>
        <v>8.6512973400447672E-3</v>
      </c>
      <c r="J17" s="429">
        <f>IF(ISERROR($E17*VLOOKUP($C17,fish_group_yield_w!$A$7:$I$45,9,FALSE)),0,$E17*VLOOKUP($C17,fish_group_yield_w!$A$7:$I$45,9,FALSE))</f>
        <v>8.6512973400447672E-3</v>
      </c>
      <c r="L17" s="814"/>
      <c r="M17" s="814"/>
    </row>
    <row r="18" spans="1:13" ht="12.5">
      <c r="A18" s="403" t="s">
        <v>6029</v>
      </c>
      <c r="B18" s="403">
        <v>303.41000000000003</v>
      </c>
      <c r="C18" s="403" t="s">
        <v>2843</v>
      </c>
      <c r="D18" s="403" t="s">
        <v>4699</v>
      </c>
      <c r="E18" s="87">
        <f t="shared" si="1"/>
        <v>0.8</v>
      </c>
      <c r="F18" s="87">
        <f>IFERROR($E18*(VLOOKUP(C18,fish_group_yield_n!$A$7:$J$49,7,FALSE)),0)</f>
        <v>1.1756660577681727E-2</v>
      </c>
      <c r="G18" s="87">
        <f>IFERROR($E18*(VLOOKUP(C18,fish_group_yield_n!$A$7:$J$49,10,FALSE)),0)</f>
        <v>1.1480026491696615E-2</v>
      </c>
      <c r="H18" s="823">
        <f t="shared" si="0"/>
        <v>5450</v>
      </c>
      <c r="I18" s="428">
        <f>IF(ISERROR($E18*VLOOKUP($C18,fish_group_yield_w!$A$7:$I$45,9,FALSE)),0,$E18*VLOOKUP($C18,fish_group_yield_w!$A$7:$I$45,9,FALSE))</f>
        <v>7.9245883634810072E-3</v>
      </c>
      <c r="J18" s="429">
        <f>IF(ISERROR($E18*VLOOKUP($C18,fish_group_yield_w!$A$7:$I$45,9,FALSE)),0,$E18*VLOOKUP($C18,fish_group_yield_w!$A$7:$I$45,9,FALSE))</f>
        <v>7.9245883634810072E-3</v>
      </c>
      <c r="L18" s="814"/>
      <c r="M18" s="814"/>
    </row>
    <row r="19" spans="1:13" ht="12.5">
      <c r="A19" t="s">
        <v>8389</v>
      </c>
      <c r="B19">
        <v>302.42</v>
      </c>
      <c r="C19" t="s">
        <v>103</v>
      </c>
      <c r="D19" t="s">
        <v>4699</v>
      </c>
      <c r="E19" s="87">
        <f t="shared" si="1"/>
        <v>0.70765717226627223</v>
      </c>
      <c r="F19" s="87">
        <f>IFERROR($E19*(VLOOKUP(C19,fish_group_yield_n!$A$7:$J$49,7,FALSE)),0)</f>
        <v>0.34723191358842476</v>
      </c>
      <c r="G19" s="87">
        <f>IFERROR($E19*(VLOOKUP(C19,fish_group_yield_n!$A$7:$J$49,10,FALSE)),0)</f>
        <v>0.34723191358842476</v>
      </c>
      <c r="H19" s="823">
        <f t="shared" si="0"/>
        <v>29.67538636363636</v>
      </c>
      <c r="I19" s="428">
        <f>IF(ISERROR($E19*VLOOKUP($C19,fish_group_yield_w!$A$7:$I$45,9,FALSE)),0,$E19*VLOOKUP($C19,fish_group_yield_w!$A$7:$I$45,9,FALSE))</f>
        <v>0</v>
      </c>
      <c r="J19" s="429">
        <f>IF(ISERROR($E19*VLOOKUP($C19,fish_group_yield_w!$A$7:$I$45,9,FALSE)),0,$E19*VLOOKUP($C19,fish_group_yield_w!$A$7:$I$45,9,FALSE))</f>
        <v>0</v>
      </c>
      <c r="L19" s="814"/>
      <c r="M19" s="814"/>
    </row>
    <row r="20" spans="1:13" ht="12.5">
      <c r="A20" t="s">
        <v>9124</v>
      </c>
      <c r="B20">
        <v>303.58999999999997</v>
      </c>
      <c r="C20" t="s">
        <v>1738</v>
      </c>
      <c r="D20" t="s">
        <v>4699</v>
      </c>
      <c r="E20" s="87">
        <v>3.75</v>
      </c>
      <c r="F20" s="87">
        <f>IFERROR($E20*(VLOOKUP(C20,fish_group_yield_n!$A$7:$J$49,7,FALSE)),0)</f>
        <v>0.33794442342187225</v>
      </c>
      <c r="G20" s="87">
        <f>IFERROR($E20*(VLOOKUP(C20,fish_group_yield_n!$A$7:$J$49,10,FALSE)),0)</f>
        <v>0.23241424117089815</v>
      </c>
      <c r="H20" s="823">
        <f t="shared" si="0"/>
        <v>214.93333333333334</v>
      </c>
      <c r="I20" s="428">
        <f>IF(ISERROR($E20*VLOOKUP($C20,fish_group_yield_w!$A$7:$I$45,9,FALSE)),0,$E20*VLOOKUP($C20,fish_group_yield_w!$A$7:$I$45,9,FALSE))</f>
        <v>1.0355802768511835</v>
      </c>
      <c r="J20" s="429">
        <f>IF(ISERROR($E20*VLOOKUP($C20,fish_group_yield_w!$A$7:$I$45,9,FALSE)),0,$E20*VLOOKUP($C20,fish_group_yield_w!$A$7:$I$45,9,FALSE))</f>
        <v>1.0355802768511835</v>
      </c>
      <c r="L20" s="814"/>
      <c r="M20" s="814"/>
    </row>
    <row r="21" spans="1:13" ht="12.5">
      <c r="A21" s="403" t="s">
        <v>6030</v>
      </c>
      <c r="B21" s="403">
        <v>1604.16</v>
      </c>
      <c r="C21" s="403" t="s">
        <v>103</v>
      </c>
      <c r="D21" s="403" t="s">
        <v>4699</v>
      </c>
      <c r="E21" s="87">
        <f t="shared" ref="E21:E47" si="2">IFERROR(1/VLOOKUP(B21,constant_fish_extr,2,FALSE),0)</f>
        <v>0.43478260869565222</v>
      </c>
      <c r="F21" s="87">
        <f>IFERROR($E21*(VLOOKUP(C21,fish_group_yield_n!$A$7:$J$49,7,FALSE)),0)</f>
        <v>0.21333832698801863</v>
      </c>
      <c r="G21" s="87">
        <f>IFERROR($E21*(VLOOKUP(C21,fish_group_yield_n!$A$7:$J$49,10,FALSE)),0)</f>
        <v>0.21333832698801863</v>
      </c>
      <c r="H21" s="823">
        <f t="shared" si="0"/>
        <v>1915.8999999999999</v>
      </c>
      <c r="I21" s="428">
        <f>IF(ISERROR($E21*VLOOKUP($C21,fish_group_yield_w!$A$7:$I$45,9,FALSE)),0,$E21*VLOOKUP($C21,fish_group_yield_w!$A$7:$I$45,9,FALSE))</f>
        <v>0</v>
      </c>
      <c r="J21" s="429">
        <f>IF(ISERROR($E21*VLOOKUP($C21,fish_group_yield_w!$A$7:$I$45,9,FALSE)),0,$E21*VLOOKUP($C21,fish_group_yield_w!$A$7:$I$45,9,FALSE))</f>
        <v>0</v>
      </c>
      <c r="L21" s="814"/>
      <c r="M21" s="814"/>
    </row>
    <row r="22" spans="1:13" ht="12.5">
      <c r="A22" s="403" t="s">
        <v>877</v>
      </c>
      <c r="B22" s="403">
        <v>305.63</v>
      </c>
      <c r="C22" s="403" t="s">
        <v>103</v>
      </c>
      <c r="D22" s="403" t="s">
        <v>4699</v>
      </c>
      <c r="E22" s="87">
        <f t="shared" si="2"/>
        <v>0.54347826086956519</v>
      </c>
      <c r="F22" s="87">
        <f>IFERROR($E22*(VLOOKUP(C22,fish_group_yield_n!$A$7:$J$49,7,FALSE)),0)</f>
        <v>0.26667290873502325</v>
      </c>
      <c r="G22" s="87">
        <f>IFERROR($E22*(VLOOKUP(C22,fish_group_yield_n!$A$7:$J$49,10,FALSE)),0)</f>
        <v>0.26667290873502325</v>
      </c>
      <c r="H22" s="823">
        <f t="shared" si="0"/>
        <v>29.44</v>
      </c>
      <c r="I22" s="428">
        <f>IF(ISERROR($E22*VLOOKUP($C22,fish_group_yield_w!$A$7:$I$45,9,FALSE)),0,$E22*VLOOKUP($C22,fish_group_yield_w!$A$7:$I$45,9,FALSE))</f>
        <v>0</v>
      </c>
      <c r="J22" s="429">
        <f>IF(ISERROR($E22*VLOOKUP($C22,fish_group_yield_w!$A$7:$I$45,9,FALSE)),0,$E22*VLOOKUP($C22,fish_group_yield_w!$A$7:$I$45,9,FALSE))</f>
        <v>0</v>
      </c>
      <c r="L22" s="814"/>
      <c r="M22" s="814"/>
    </row>
    <row r="23" spans="1:13" ht="12.5">
      <c r="A23" t="s">
        <v>8390</v>
      </c>
      <c r="B23">
        <v>302.14</v>
      </c>
      <c r="C23" t="s">
        <v>3791</v>
      </c>
      <c r="D23" t="s">
        <v>4685</v>
      </c>
      <c r="E23" s="87">
        <f t="shared" si="2"/>
        <v>0.68887378200770455</v>
      </c>
      <c r="F23" s="87">
        <f>IFERROR($E23*(VLOOKUP(C23,fish_group_yield_n!$A$7:$J$49,7,FALSE)),0)</f>
        <v>4.9683117705865143E-2</v>
      </c>
      <c r="G23" s="87">
        <f>IFERROR($E23*(VLOOKUP(C23,fish_group_yield_n!$A$7:$J$49,10,FALSE)),0)</f>
        <v>7.0216628396182285E-2</v>
      </c>
      <c r="H23" s="823">
        <f t="shared" si="0"/>
        <v>15165.332565789473</v>
      </c>
      <c r="I23" s="428">
        <f>IF(ISERROR($E23*VLOOKUP($C23,fish_group_yield_w!$A$7:$I$45,9,FALSE)),0,$E23*VLOOKUP($C23,fish_group_yield_w!$A$7:$I$45,9,FALSE))</f>
        <v>0.28497260140546693</v>
      </c>
      <c r="J23" s="429">
        <f>IF(ISERROR($E23*VLOOKUP($C23,fish_group_yield_w!$A$7:$I$45,9,FALSE)),0,$E23*VLOOKUP($C23,fish_group_yield_w!$A$7:$I$45,9,FALSE))</f>
        <v>0.28497260140546693</v>
      </c>
      <c r="L23" s="814"/>
      <c r="M23" s="814"/>
    </row>
    <row r="24" spans="1:13" ht="12.5">
      <c r="A24" s="403" t="s">
        <v>6031</v>
      </c>
      <c r="B24" s="403">
        <v>303.22000000000003</v>
      </c>
      <c r="C24" s="403" t="s">
        <v>3791</v>
      </c>
      <c r="D24" s="403" t="s">
        <v>4685</v>
      </c>
      <c r="E24" s="87">
        <f t="shared" si="2"/>
        <v>0.69484655471916612</v>
      </c>
      <c r="F24" s="87">
        <f>IFERROR($E24*(VLOOKUP(C24,fish_group_yield_n!$A$7:$J$49,7,FALSE)),0)</f>
        <v>5.0113887430892373E-2</v>
      </c>
      <c r="G24" s="87">
        <f>IFERROR($E24*(VLOOKUP(C24,fish_group_yield_n!$A$7:$J$49,10,FALSE)),0)</f>
        <v>7.0825430723879035E-2</v>
      </c>
      <c r="H24" s="823">
        <f t="shared" si="0"/>
        <v>0</v>
      </c>
      <c r="I24" s="428">
        <f>IF(ISERROR($E24*VLOOKUP($C24,fish_group_yield_w!$A$7:$I$45,9,FALSE)),0,$E24*VLOOKUP($C24,fish_group_yield_w!$A$7:$I$45,9,FALSE))</f>
        <v>0.28744341191044526</v>
      </c>
      <c r="J24" s="429">
        <f>IF(ISERROR($E24*VLOOKUP($C24,fish_group_yield_w!$A$7:$I$45,9,FALSE)),0,$E24*VLOOKUP($C24,fish_group_yield_w!$A$7:$I$45,9,FALSE))</f>
        <v>0.28744341191044526</v>
      </c>
      <c r="L24" s="814"/>
      <c r="M24" s="814"/>
    </row>
    <row r="25" spans="1:13" ht="12.5">
      <c r="A25" s="801" t="s">
        <v>6031</v>
      </c>
      <c r="B25" s="801">
        <v>303.13</v>
      </c>
      <c r="C25" s="403" t="s">
        <v>3791</v>
      </c>
      <c r="D25" s="403" t="s">
        <v>4685</v>
      </c>
      <c r="E25" s="87">
        <f t="shared" si="2"/>
        <v>0</v>
      </c>
      <c r="F25" s="87">
        <f>IFERROR($E25*(VLOOKUP(C25,fish_group_yield_n!$A$7:$J$49,7,FALSE)),0)</f>
        <v>0</v>
      </c>
      <c r="G25" s="87">
        <f>IFERROR($E25*(VLOOKUP(C25,fish_group_yield_n!$A$7:$J$49,10,FALSE)),0)</f>
        <v>0</v>
      </c>
      <c r="H25" s="823">
        <f t="shared" si="0"/>
        <v>0</v>
      </c>
      <c r="I25" s="428">
        <f>IF(ISERROR($E25*VLOOKUP($C25,fish_group_yield_w!$A$7:$I$45,9,FALSE)),0,$E25*VLOOKUP($C25,fish_group_yield_w!$A$7:$I$45,9,FALSE))</f>
        <v>0</v>
      </c>
      <c r="J25" s="429">
        <f>IF(ISERROR($E25*VLOOKUP($C25,fish_group_yield_w!$A$7:$I$45,9,FALSE)),0,$E25*VLOOKUP($C25,fish_group_yield_w!$A$7:$I$45,9,FALSE))</f>
        <v>0</v>
      </c>
      <c r="L25" s="814"/>
      <c r="M25" s="814"/>
    </row>
    <row r="26" spans="1:13" ht="12.5">
      <c r="A26" s="403" t="s">
        <v>3688</v>
      </c>
      <c r="B26" s="403">
        <v>302.33999999999997</v>
      </c>
      <c r="C26" s="403" t="s">
        <v>2843</v>
      </c>
      <c r="D26" s="403" t="s">
        <v>4699</v>
      </c>
      <c r="E26" s="87">
        <f t="shared" si="2"/>
        <v>0.84459459459459463</v>
      </c>
      <c r="F26" s="87">
        <f>IFERROR($E26*(VLOOKUP(C26,fish_group_yield_n!$A$7:$J$49,7,FALSE)),0)</f>
        <v>1.2412014967991688E-2</v>
      </c>
      <c r="G26" s="87">
        <f>IFERROR($E26*(VLOOKUP(C26,fish_group_yield_n!$A$7:$J$49,10,FALSE)),0)</f>
        <v>1.2119960400862136E-2</v>
      </c>
      <c r="H26" s="823">
        <f t="shared" si="0"/>
        <v>203.648</v>
      </c>
      <c r="I26" s="428">
        <f>IF(ISERROR($E26*VLOOKUP($C26,fish_group_yield_w!$A$7:$I$45,9,FALSE)),0,$E26*VLOOKUP($C26,fish_group_yield_w!$A$7:$I$45,9,FALSE))</f>
        <v>8.3663306202291041E-3</v>
      </c>
      <c r="J26" s="429">
        <f>IF(ISERROR($E26*VLOOKUP($C26,fish_group_yield_w!$A$7:$I$45,9,FALSE)),0,$E26*VLOOKUP($C26,fish_group_yield_w!$A$7:$I$45,9,FALSE))</f>
        <v>8.3663306202291041E-3</v>
      </c>
      <c r="L26" s="814"/>
      <c r="M26" s="814"/>
    </row>
    <row r="27" spans="1:13" ht="12.5">
      <c r="A27" s="403" t="s">
        <v>6032</v>
      </c>
      <c r="B27" s="403">
        <v>303.44</v>
      </c>
      <c r="C27" s="403" t="s">
        <v>2843</v>
      </c>
      <c r="D27" s="403" t="s">
        <v>4699</v>
      </c>
      <c r="E27" s="87">
        <f t="shared" si="2"/>
        <v>0.81103000811030002</v>
      </c>
      <c r="F27" s="87">
        <f>IFERROR($E27*(VLOOKUP(C27,fish_group_yield_n!$A$7:$J$49,7,FALSE)),0)</f>
        <v>1.1918755654584069E-2</v>
      </c>
      <c r="G27" s="87">
        <f>IFERROR($E27*(VLOOKUP(C27,fish_group_yield_n!$A$7:$J$49,10,FALSE)),0)</f>
        <v>1.1638307473333954E-2</v>
      </c>
      <c r="H27" s="823">
        <f t="shared" si="0"/>
        <v>991.33200000000011</v>
      </c>
      <c r="I27" s="428">
        <f>IF(ISERROR($E27*VLOOKUP($C27,fish_group_yield_w!$A$7:$I$45,9,FALSE)),0,$E27*VLOOKUP($C27,fish_group_yield_w!$A$7:$I$45,9,FALSE))</f>
        <v>8.033848705880987E-3</v>
      </c>
      <c r="J27" s="429">
        <f>IF(ISERROR($E27*VLOOKUP($C27,fish_group_yield_w!$A$7:$I$45,9,FALSE)),0,$E27*VLOOKUP($C27,fish_group_yield_w!$A$7:$I$45,9,FALSE))</f>
        <v>8.033848705880987E-3</v>
      </c>
      <c r="L27" s="814"/>
      <c r="M27" s="814"/>
    </row>
    <row r="28" spans="1:13" ht="12.5">
      <c r="A28" t="s">
        <v>8391</v>
      </c>
      <c r="B28">
        <v>302.56</v>
      </c>
      <c r="C28" t="s">
        <v>5195</v>
      </c>
      <c r="D28" t="s">
        <v>4681</v>
      </c>
      <c r="E28" s="87">
        <f t="shared" si="2"/>
        <v>1</v>
      </c>
      <c r="F28" s="87">
        <f>IFERROR($E28*(VLOOKUP(C28,fish_group_yield_n!$A$7:$J$49,7,FALSE)),0)</f>
        <v>1.3565763649152475E-2</v>
      </c>
      <c r="G28" s="87">
        <f>IFERROR($E28*(VLOOKUP(C28,fish_group_yield_n!$A$7:$J$49,10,FALSE)),0)</f>
        <v>1.3169683305333621E-2</v>
      </c>
      <c r="H28" s="823">
        <f t="shared" si="0"/>
        <v>47</v>
      </c>
      <c r="I28" s="428">
        <f>IF(ISERROR($E28*VLOOKUP($C28,fish_group_yield_w!$A$7:$I$45,9,FALSE)),0,$E28*VLOOKUP($C28,fish_group_yield_w!$A$7:$I$45,9,FALSE))</f>
        <v>3.4777446774354785E-4</v>
      </c>
      <c r="J28" s="429">
        <f>IF(ISERROR($E28*VLOOKUP($C28,fish_group_yield_w!$A$7:$I$45,9,FALSE)),0,$E28*VLOOKUP($C28,fish_group_yield_w!$A$7:$I$45,9,FALSE))</f>
        <v>3.4777446774354785E-4</v>
      </c>
      <c r="L28" s="814"/>
      <c r="M28" s="814"/>
    </row>
    <row r="29" spans="1:13" ht="12.5">
      <c r="A29" t="s">
        <v>8392</v>
      </c>
      <c r="B29">
        <v>303.68</v>
      </c>
      <c r="C29" t="s">
        <v>5195</v>
      </c>
      <c r="D29" t="s">
        <v>4681</v>
      </c>
      <c r="E29" s="87">
        <f t="shared" si="2"/>
        <v>1</v>
      </c>
      <c r="F29" s="87">
        <f>IFERROR($E29*(VLOOKUP(C29,fish_group_yield_n!$A$7:$J$49,7,FALSE)),0)</f>
        <v>1.3565763649152475E-2</v>
      </c>
      <c r="G29" s="87">
        <f>IFERROR($E29*(VLOOKUP(C29,fish_group_yield_n!$A$7:$J$49,10,FALSE)),0)</f>
        <v>1.3169683305333621E-2</v>
      </c>
      <c r="H29" s="823">
        <f t="shared" si="0"/>
        <v>5</v>
      </c>
      <c r="I29" s="428">
        <f>IF(ISERROR($E29*VLOOKUP($C29,fish_group_yield_w!$A$7:$I$45,9,FALSE)),0,$E29*VLOOKUP($C29,fish_group_yield_w!$A$7:$I$45,9,FALSE))</f>
        <v>3.4777446774354785E-4</v>
      </c>
      <c r="J29" s="429">
        <f>IF(ISERROR($E29*VLOOKUP($C29,fish_group_yield_w!$A$7:$I$45,9,FALSE)),0,$E29*VLOOKUP($C29,fish_group_yield_w!$A$7:$I$45,9,FALSE))</f>
        <v>3.4777446774354785E-4</v>
      </c>
      <c r="L29" s="814"/>
      <c r="M29" s="814"/>
    </row>
    <row r="30" spans="1:13" ht="12.5">
      <c r="A30" s="403" t="s">
        <v>6033</v>
      </c>
      <c r="B30" s="403">
        <v>302.35000000000002</v>
      </c>
      <c r="C30" s="403" t="s">
        <v>2843</v>
      </c>
      <c r="D30" s="403" t="s">
        <v>4699</v>
      </c>
      <c r="E30" s="87">
        <f t="shared" si="2"/>
        <v>0.50388410665546934</v>
      </c>
      <c r="F30" s="87">
        <f>IFERROR($E30*(VLOOKUP(C30,fish_group_yield_n!$A$7:$J$49,7,FALSE)),0)</f>
        <v>7.4049930155459139E-3</v>
      </c>
      <c r="G30" s="87">
        <f>IFERROR($E30*(VLOOKUP(C30,fish_group_yield_n!$A$7:$J$49,10,FALSE)),0)</f>
        <v>7.2307536164370875E-3</v>
      </c>
      <c r="H30" s="823">
        <f t="shared" si="0"/>
        <v>329.44083333333327</v>
      </c>
      <c r="I30" s="428">
        <f>IF(ISERROR($E30*VLOOKUP($C30,fish_group_yield_w!$A$7:$I$45,9,FALSE)),0,$E30*VLOOKUP($C30,fish_group_yield_w!$A$7:$I$45,9,FALSE))</f>
        <v>4.9913426601811937E-3</v>
      </c>
      <c r="J30" s="429">
        <f>IF(ISERROR($E30*VLOOKUP($C30,fish_group_yield_w!$A$7:$I$45,9,FALSE)),0,$E30*VLOOKUP($C30,fish_group_yield_w!$A$7:$I$45,9,FALSE))</f>
        <v>4.9913426601811937E-3</v>
      </c>
      <c r="L30" s="814"/>
      <c r="M30" s="814"/>
    </row>
    <row r="31" spans="1:13" ht="12.5">
      <c r="A31" s="403" t="s">
        <v>6034</v>
      </c>
      <c r="B31" s="403">
        <v>303.45</v>
      </c>
      <c r="C31" s="403" t="s">
        <v>2843</v>
      </c>
      <c r="D31" s="403" t="s">
        <v>4699</v>
      </c>
      <c r="E31" s="87">
        <f t="shared" si="2"/>
        <v>0.54945054945054939</v>
      </c>
      <c r="F31" s="87">
        <f>IFERROR($E31*(VLOOKUP(C31,fish_group_yield_n!$A$7:$J$49,7,FALSE)),0)</f>
        <v>8.0746295176385482E-3</v>
      </c>
      <c r="G31" s="87">
        <f>IFERROR($E31*(VLOOKUP(C31,fish_group_yield_n!$A$7:$J$49,10,FALSE)),0)</f>
        <v>7.8846335794619596E-3</v>
      </c>
      <c r="H31" s="823">
        <f t="shared" si="0"/>
        <v>112.84000000000002</v>
      </c>
      <c r="I31" s="428">
        <f>IF(ISERROR($E31*VLOOKUP($C31,fish_group_yield_w!$A$7:$I$45,9,FALSE)),0,$E31*VLOOKUP($C31,fish_group_yield_w!$A$7:$I$45,9,FALSE))</f>
        <v>5.4427117881050866E-3</v>
      </c>
      <c r="J31" s="429">
        <f>IF(ISERROR($E31*VLOOKUP($C31,fish_group_yield_w!$A$7:$I$45,9,FALSE)),0,$E31*VLOOKUP($C31,fish_group_yield_w!$A$7:$I$45,9,FALSE))</f>
        <v>5.4427117881050866E-3</v>
      </c>
      <c r="L31" s="814"/>
      <c r="M31" s="814"/>
    </row>
    <row r="32" spans="1:13" ht="12.5">
      <c r="A32" s="403" t="s">
        <v>6035</v>
      </c>
      <c r="B32" s="403">
        <v>301.94</v>
      </c>
      <c r="C32" s="403" t="s">
        <v>2843</v>
      </c>
      <c r="D32" s="403" t="s">
        <v>4699</v>
      </c>
      <c r="E32" s="87">
        <f t="shared" si="2"/>
        <v>1</v>
      </c>
      <c r="F32" s="87">
        <f>IFERROR($E32*(VLOOKUP(C32,fish_group_yield_n!$A$7:$J$49,7,FALSE)),0)</f>
        <v>1.4695825722102158E-2</v>
      </c>
      <c r="G32" s="87">
        <f>IFERROR($E32*(VLOOKUP(C32,fish_group_yield_n!$A$7:$J$49,10,FALSE)),0)</f>
        <v>1.4350033114620768E-2</v>
      </c>
      <c r="H32" s="823">
        <f t="shared" si="0"/>
        <v>9</v>
      </c>
      <c r="I32" s="428">
        <f>IF(ISERROR($E32*VLOOKUP($C32,fish_group_yield_w!$A$7:$I$45,9,FALSE)),0,$E32*VLOOKUP($C32,fish_group_yield_w!$A$7:$I$45,9,FALSE))</f>
        <v>9.9057354543512586E-3</v>
      </c>
      <c r="J32" s="429">
        <f>IF(ISERROR($E32*VLOOKUP($C32,fish_group_yield_w!$A$7:$I$45,9,FALSE)),0,$E32*VLOOKUP($C32,fish_group_yield_w!$A$7:$I$45,9,FALSE))</f>
        <v>9.9057354543512586E-3</v>
      </c>
      <c r="L32" s="814"/>
      <c r="M32" s="814"/>
    </row>
    <row r="33" spans="1:13" ht="12.5">
      <c r="A33" t="s">
        <v>8393</v>
      </c>
      <c r="B33">
        <v>302.73</v>
      </c>
      <c r="C33" t="s">
        <v>5194</v>
      </c>
      <c r="D33" t="s">
        <v>4685</v>
      </c>
      <c r="E33" s="87">
        <f t="shared" si="2"/>
        <v>0.68887378200770455</v>
      </c>
      <c r="F33" s="87">
        <f>IFERROR($E33*(VLOOKUP(C33,fish_group_yield_n!$A$7:$J$49,7,FALSE)),0)</f>
        <v>1.8774072416002483</v>
      </c>
      <c r="G33" s="87">
        <f>IFERROR($E33*(VLOOKUP(C33,fish_group_yield_n!$A$7:$J$49,10,FALSE)),0)</f>
        <v>0.59528063249852869</v>
      </c>
      <c r="H33" s="823">
        <f t="shared" si="0"/>
        <v>513.88223684210527</v>
      </c>
      <c r="I33" s="428">
        <f>IF(ISERROR($E33*VLOOKUP($C33,fish_group_yield_w!$A$7:$I$45,9,FALSE)),0,$E33*VLOOKUP($C33,fish_group_yield_w!$A$7:$I$45,9,FALSE))</f>
        <v>0.41065936036991862</v>
      </c>
      <c r="J33" s="429">
        <f>IF(ISERROR($E33*VLOOKUP($C33,fish_group_yield_w!$A$7:$I$45,9,FALSE)),0,$E33*VLOOKUP($C33,fish_group_yield_w!$A$7:$I$45,9,FALSE))</f>
        <v>0.41065936036991862</v>
      </c>
      <c r="L33" s="814"/>
      <c r="M33" s="814"/>
    </row>
    <row r="34" spans="1:13" ht="12.5">
      <c r="A34" t="s">
        <v>8394</v>
      </c>
      <c r="B34">
        <v>303.25</v>
      </c>
      <c r="C34" t="s">
        <v>5194</v>
      </c>
      <c r="D34" t="s">
        <v>4685</v>
      </c>
      <c r="E34" s="87">
        <f t="shared" si="2"/>
        <v>0.63393725080427155</v>
      </c>
      <c r="F34" s="87">
        <f>IFERROR($E34*(VLOOKUP(C34,fish_group_yield_n!$A$7:$J$49,7,FALSE)),0)</f>
        <v>1.7276871561455089</v>
      </c>
      <c r="G34" s="87">
        <f>IFERROR($E34*(VLOOKUP(C34,fish_group_yield_n!$A$7:$J$49,10,FALSE)),0)</f>
        <v>0.54780799832925642</v>
      </c>
      <c r="H34" s="823">
        <f t="shared" si="0"/>
        <v>716.15920885547189</v>
      </c>
      <c r="I34" s="428">
        <f>IF(ISERROR($E34*VLOOKUP($C34,fish_group_yield_w!$A$7:$I$45,9,FALSE)),0,$E34*VLOOKUP($C34,fish_group_yield_w!$A$7:$I$45,9,FALSE))</f>
        <v>0.37790996366738661</v>
      </c>
      <c r="J34" s="429">
        <f>IF(ISERROR($E34*VLOOKUP($C34,fish_group_yield_w!$A$7:$I$45,9,FALSE)),0,$E34*VLOOKUP($C34,fish_group_yield_w!$A$7:$I$45,9,FALSE))</f>
        <v>0.37790996366738661</v>
      </c>
      <c r="L34" s="814"/>
      <c r="M34" s="814"/>
    </row>
    <row r="35" spans="1:13" ht="12.5">
      <c r="A35" s="403" t="s">
        <v>6036</v>
      </c>
      <c r="B35" s="403">
        <v>301.93</v>
      </c>
      <c r="C35" s="403" t="s">
        <v>5194</v>
      </c>
      <c r="D35" s="403" t="s">
        <v>4685</v>
      </c>
      <c r="E35" s="87">
        <f t="shared" si="2"/>
        <v>1</v>
      </c>
      <c r="F35" s="87">
        <f>IFERROR($E35*(VLOOKUP(C35,fish_group_yield_n!$A$7:$J$49,7,FALSE)),0)</f>
        <v>2.7253283411782552</v>
      </c>
      <c r="G35" s="87">
        <f>IFERROR($E35*(VLOOKUP(C35,fish_group_yield_n!$A$7:$J$49,10,FALSE)),0)</f>
        <v>0.86413599711052858</v>
      </c>
      <c r="H35" s="823">
        <f t="shared" si="0"/>
        <v>67</v>
      </c>
      <c r="I35" s="428">
        <f>IF(ISERROR($E35*VLOOKUP($C35,fish_group_yield_w!$A$7:$I$45,9,FALSE)),0,$E35*VLOOKUP($C35,fish_group_yield_w!$A$7:$I$45,9,FALSE))</f>
        <v>0.59613149911593777</v>
      </c>
      <c r="J35" s="429">
        <f>IF(ISERROR($E35*VLOOKUP($C35,fish_group_yield_w!$A$7:$I$45,9,FALSE)),0,$E35*VLOOKUP($C35,fish_group_yield_w!$A$7:$I$45,9,FALSE))</f>
        <v>0.59613149911593777</v>
      </c>
      <c r="L35" s="814"/>
      <c r="M35" s="814"/>
    </row>
    <row r="36" spans="1:13" ht="12.5">
      <c r="A36" t="s">
        <v>8382</v>
      </c>
      <c r="B36">
        <v>304.39</v>
      </c>
      <c r="C36" t="s">
        <v>5194</v>
      </c>
      <c r="D36" t="s">
        <v>4685</v>
      </c>
      <c r="E36" s="87">
        <f t="shared" si="2"/>
        <v>0.50820469632624188</v>
      </c>
      <c r="F36" s="87">
        <f>IFERROR($E36*(VLOOKUP(C36,fish_group_yield_n!$A$7:$J$49,7,FALSE)),0)</f>
        <v>1.3850246620177957</v>
      </c>
      <c r="G36" s="87">
        <f>IFERROR($E36*(VLOOKUP(C36,fish_group_yield_n!$A$7:$J$49,10,FALSE)),0)</f>
        <v>0.43915797199613038</v>
      </c>
      <c r="H36" s="823">
        <f t="shared" si="0"/>
        <v>11.806266339869282</v>
      </c>
      <c r="I36" s="428">
        <f>IF(ISERROR($E36*VLOOKUP($C36,fish_group_yield_w!$A$7:$I$45,9,FALSE)),0,$E36*VLOOKUP($C36,fish_group_yield_w!$A$7:$I$45,9,FALSE))</f>
        <v>0.30295682747872249</v>
      </c>
      <c r="J36" s="429">
        <f>IF(ISERROR($E36*VLOOKUP($C36,fish_group_yield_w!$A$7:$I$45,9,FALSE)),0,$E36*VLOOKUP($C36,fish_group_yield_w!$A$7:$I$45,9,FALSE))</f>
        <v>0.30295682747872249</v>
      </c>
      <c r="L36" s="814"/>
      <c r="M36" s="814"/>
    </row>
    <row r="37" spans="1:13" ht="12.5">
      <c r="A37" t="s">
        <v>8397</v>
      </c>
      <c r="B37">
        <v>304.69</v>
      </c>
      <c r="C37" t="s">
        <v>5194</v>
      </c>
      <c r="D37" t="s">
        <v>4685</v>
      </c>
      <c r="E37" s="87">
        <f t="shared" si="2"/>
        <v>0.50820469632624188</v>
      </c>
      <c r="F37" s="87">
        <f>IFERROR($E37*(VLOOKUP(C37,fish_group_yield_n!$A$7:$J$49,7,FALSE)),0)</f>
        <v>1.3850246620177957</v>
      </c>
      <c r="G37" s="87">
        <f>IFERROR($E37*(VLOOKUP(C37,fish_group_yield_n!$A$7:$J$49,10,FALSE)),0)</f>
        <v>0.43915797199613038</v>
      </c>
      <c r="H37" s="823">
        <f t="shared" si="0"/>
        <v>133.80435185185186</v>
      </c>
      <c r="I37" s="428">
        <f>IF(ISERROR($E37*VLOOKUP($C37,fish_group_yield_w!$A$7:$I$45,9,FALSE)),0,$E37*VLOOKUP($C37,fish_group_yield_w!$A$7:$I$45,9,FALSE))</f>
        <v>0.30295682747872249</v>
      </c>
      <c r="J37" s="429">
        <f>IF(ISERROR($E37*VLOOKUP($C37,fish_group_yield_w!$A$7:$I$45,9,FALSE)),0,$E37*VLOOKUP($C37,fish_group_yield_w!$A$7:$I$45,9,FALSE))</f>
        <v>0.30295682747872249</v>
      </c>
      <c r="L37" s="814"/>
      <c r="M37" s="814"/>
    </row>
    <row r="38" spans="1:13" ht="12.5">
      <c r="A38" t="s">
        <v>8406</v>
      </c>
      <c r="B38">
        <v>302.72000000000003</v>
      </c>
      <c r="C38" t="s">
        <v>1738</v>
      </c>
      <c r="D38" t="s">
        <v>4681</v>
      </c>
      <c r="E38" s="87">
        <f t="shared" si="2"/>
        <v>0.50820469632624188</v>
      </c>
      <c r="F38" s="87">
        <f>IFERROR($E38*(VLOOKUP(C38,fish_group_yield_n!$A$7:$J$49,7,FALSE)),0)</f>
        <v>4.5798651488069199E-2</v>
      </c>
      <c r="G38" s="87">
        <f>IFERROR($E38*(VLOOKUP(C38,fish_group_yield_n!$A$7:$J$49,10,FALSE)),0)</f>
        <v>3.1497069028306734E-2</v>
      </c>
      <c r="H38" s="823">
        <f t="shared" si="0"/>
        <v>55.095909586056649</v>
      </c>
      <c r="I38" s="428">
        <f>IF(ISERROR($E38*VLOOKUP($C38,fish_group_yield_w!$A$7:$I$45,9,FALSE)),0,$E38*VLOOKUP($C38,fish_group_yield_w!$A$7:$I$45,9,FALSE))</f>
        <v>0.14034313603162699</v>
      </c>
      <c r="J38" s="429">
        <f>IF(ISERROR($E38*VLOOKUP($C38,fish_group_yield_w!$A$7:$I$45,9,FALSE)),0,$E38*VLOOKUP($C38,fish_group_yield_w!$A$7:$I$45,9,FALSE))</f>
        <v>0.14034313603162699</v>
      </c>
      <c r="L38" s="814"/>
      <c r="M38" s="814"/>
    </row>
    <row r="39" spans="1:13" ht="12.5">
      <c r="A39" t="s">
        <v>8385</v>
      </c>
      <c r="B39">
        <v>304.32</v>
      </c>
      <c r="C39" t="s">
        <v>1738</v>
      </c>
      <c r="D39"/>
      <c r="E39" s="87">
        <f t="shared" si="2"/>
        <v>0.50820469632624188</v>
      </c>
      <c r="F39" s="87">
        <f>IFERROR($E39*(VLOOKUP(C39,fish_group_yield_n!$A$7:$J$49,7,FALSE)),0)</f>
        <v>4.5798651488069199E-2</v>
      </c>
      <c r="G39" s="87">
        <f>IFERROR($E39*(VLOOKUP(C39,fish_group_yield_n!$A$7:$J$49,10,FALSE)),0)</f>
        <v>3.1497069028306734E-2</v>
      </c>
      <c r="H39" s="823">
        <f t="shared" si="0"/>
        <v>1936.2276797385623</v>
      </c>
      <c r="I39" s="428">
        <f>IF(ISERROR($E39*VLOOKUP($C39,fish_group_yield_w!$A$7:$I$45,9,FALSE)),0,$E39*VLOOKUP($C39,fish_group_yield_w!$A$7:$I$45,9,FALSE))</f>
        <v>0.14034313603162699</v>
      </c>
      <c r="J39" s="429">
        <f>IF(ISERROR($E39*VLOOKUP($C39,fish_group_yield_w!$A$7:$I$45,9,FALSE)),0,$E39*VLOOKUP($C39,fish_group_yield_w!$A$7:$I$45,9,FALSE))</f>
        <v>0.14034313603162699</v>
      </c>
      <c r="L39" s="814"/>
      <c r="M39" s="814"/>
    </row>
    <row r="40" spans="1:13" ht="12.5">
      <c r="A40" t="s">
        <v>8398</v>
      </c>
      <c r="B40">
        <v>304.62</v>
      </c>
      <c r="C40" t="s">
        <v>1738</v>
      </c>
      <c r="D40" t="s">
        <v>4681</v>
      </c>
      <c r="E40" s="87">
        <f t="shared" si="2"/>
        <v>0.50820469632624188</v>
      </c>
      <c r="F40" s="87">
        <f>IFERROR($E40*(VLOOKUP(C40,fish_group_yield_n!$A$7:$J$49,7,FALSE)),0)</f>
        <v>4.5798651488069199E-2</v>
      </c>
      <c r="G40" s="87">
        <f>IFERROR($E40*(VLOOKUP(C40,fish_group_yield_n!$A$7:$J$49,10,FALSE)),0)</f>
        <v>3.1497069028306734E-2</v>
      </c>
      <c r="H40" s="823">
        <f t="shared" si="0"/>
        <v>17622.820223311548</v>
      </c>
      <c r="I40" s="428">
        <f>IF(ISERROR($E40*VLOOKUP($C40,fish_group_yield_w!$A$7:$I$45,9,FALSE)),0,$E40*VLOOKUP($C40,fish_group_yield_w!$A$7:$I$45,9,FALSE))</f>
        <v>0.14034313603162699</v>
      </c>
      <c r="J40" s="429">
        <f>IF(ISERROR($E40*VLOOKUP($C40,fish_group_yield_w!$A$7:$I$45,9,FALSE)),0,$E40*VLOOKUP($C40,fish_group_yield_w!$A$7:$I$45,9,FALSE))</f>
        <v>0.14034313603162699</v>
      </c>
      <c r="L40" s="814"/>
      <c r="M40" s="814"/>
    </row>
    <row r="41" spans="1:13" ht="12.5">
      <c r="A41" t="s">
        <v>8461</v>
      </c>
      <c r="B41">
        <v>303.24</v>
      </c>
      <c r="C41" t="s">
        <v>1738</v>
      </c>
      <c r="D41" t="s">
        <v>4685</v>
      </c>
      <c r="E41" s="87">
        <f t="shared" si="2"/>
        <v>0.5524861878453039</v>
      </c>
      <c r="F41" s="87">
        <f>IFERROR($E41*(VLOOKUP(C41,fish_group_yield_n!$A$7:$J$49,7,FALSE)),0)</f>
        <v>4.9789233653314516E-2</v>
      </c>
      <c r="G41" s="87">
        <f>IFERROR($E41*(VLOOKUP(C41,fish_group_yield_n!$A$7:$J$49,10,FALSE)),0)</f>
        <v>3.4241508828124961E-2</v>
      </c>
      <c r="H41" s="823">
        <f t="shared" si="0"/>
        <v>1247.0899999999999</v>
      </c>
      <c r="I41" s="428">
        <f>IF(ISERROR($E41*VLOOKUP($C41,fish_group_yield_w!$A$7:$I$45,9,FALSE)),0,$E41*VLOOKUP($C41,fish_group_yield_w!$A$7:$I$45,9,FALSE))</f>
        <v>0.15257167983074527</v>
      </c>
      <c r="J41" s="429">
        <f>IF(ISERROR($E41*VLOOKUP($C41,fish_group_yield_w!$A$7:$I$45,9,FALSE)),0,$E41*VLOOKUP($C41,fish_group_yield_w!$A$7:$I$45,9,FALSE))</f>
        <v>0.15257167983074527</v>
      </c>
      <c r="L41" s="814"/>
      <c r="M41" s="814"/>
    </row>
    <row r="42" spans="1:13" ht="12.5">
      <c r="A42" t="s">
        <v>8402</v>
      </c>
      <c r="B42">
        <v>1604.31</v>
      </c>
      <c r="C42" t="s">
        <v>1735</v>
      </c>
      <c r="D42"/>
      <c r="E42" s="87">
        <f t="shared" si="2"/>
        <v>0.65431994093293178</v>
      </c>
      <c r="F42" s="87">
        <f>IFERROR($E42*(VLOOKUP(C42,fish_group_yield_n!$A$7:$J$49,7,FALSE)),0)</f>
        <v>3.9191655803692965E-2</v>
      </c>
      <c r="G42" s="87">
        <f>IFERROR($E42*(VLOOKUP(C42,fish_group_yield_n!$A$7:$J$49,10,FALSE)),0)</f>
        <v>3.9191655803692965E-2</v>
      </c>
      <c r="H42" s="823">
        <f t="shared" si="0"/>
        <v>6.113217326521923</v>
      </c>
      <c r="I42" s="428">
        <f>IF(ISERROR($E42*VLOOKUP($C42,fish_group_yield_w!$A$7:$I$45,9,FALSE)),0,$E42*VLOOKUP($C42,fish_group_yield_w!$A$7:$I$45,9,FALSE))</f>
        <v>0</v>
      </c>
      <c r="J42" s="429">
        <f>IF(ISERROR($E42*VLOOKUP($C42,fish_group_yield_w!$A$7:$I$45,9,FALSE)),0,$E42*VLOOKUP($C42,fish_group_yield_w!$A$7:$I$45,9,FALSE))</f>
        <v>0</v>
      </c>
      <c r="L42" s="814"/>
      <c r="M42" s="814"/>
    </row>
    <row r="43" spans="1:13" ht="12.5">
      <c r="A43" s="403" t="s">
        <v>4902</v>
      </c>
      <c r="B43" s="403">
        <v>1604.3</v>
      </c>
      <c r="C43" t="s">
        <v>1735</v>
      </c>
      <c r="D43" s="403"/>
      <c r="E43" s="87">
        <f t="shared" si="2"/>
        <v>0.65431994093293178</v>
      </c>
      <c r="F43" s="87">
        <f>IFERROR($E43*(VLOOKUP(C43,fish_group_yield_n!$A$7:$J$49,7,FALSE)),0)</f>
        <v>3.9191655803692965E-2</v>
      </c>
      <c r="G43" s="87">
        <f>IFERROR($E43*(VLOOKUP(C43,fish_group_yield_n!$A$7:$J$49,10,FALSE)),0)</f>
        <v>3.9191655803692965E-2</v>
      </c>
      <c r="H43" s="823">
        <f t="shared" si="0"/>
        <v>0</v>
      </c>
      <c r="I43" s="428">
        <f>IF(ISERROR($E43*VLOOKUP($C43,fish_group_yield_w!$A$7:$I$45,9,FALSE)),0,$E43*VLOOKUP($C43,fish_group_yield_w!$A$7:$I$45,9,FALSE))</f>
        <v>0</v>
      </c>
      <c r="J43" s="429">
        <f>IF(ISERROR($E43*VLOOKUP($C43,fish_group_yield_w!$A$7:$I$45,9,FALSE)),0,$E43*VLOOKUP($C43,fish_group_yield_w!$A$7:$I$45,9,FALSE))</f>
        <v>0</v>
      </c>
      <c r="L43" s="814"/>
      <c r="M43" s="814"/>
    </row>
    <row r="44" spans="1:13" ht="12.5">
      <c r="A44" t="s">
        <v>8403</v>
      </c>
      <c r="B44">
        <v>1604.32</v>
      </c>
      <c r="C44" t="s">
        <v>1735</v>
      </c>
      <c r="D44"/>
      <c r="E44" s="87">
        <f t="shared" si="2"/>
        <v>0.65431994093293178</v>
      </c>
      <c r="F44" s="87">
        <f>IFERROR($E44*(VLOOKUP(C44,fish_group_yield_n!$A$7:$J$49,7,FALSE)),0)</f>
        <v>3.9191655803692965E-2</v>
      </c>
      <c r="G44" s="87">
        <f>IFERROR($E44*(VLOOKUP(C44,fish_group_yield_n!$A$7:$J$49,10,FALSE)),0)</f>
        <v>3.9191655803692965E-2</v>
      </c>
      <c r="H44" s="823">
        <f t="shared" si="0"/>
        <v>405.00064788207743</v>
      </c>
      <c r="I44" s="428">
        <f>IF(ISERROR($E44*VLOOKUP($C44,fish_group_yield_w!$A$7:$I$45,9,FALSE)),0,$E44*VLOOKUP($C44,fish_group_yield_w!$A$7:$I$45,9,FALSE))</f>
        <v>0</v>
      </c>
      <c r="J44" s="429">
        <f>IF(ISERROR($E44*VLOOKUP($C44,fish_group_yield_w!$A$7:$I$45,9,FALSE)),0,$E44*VLOOKUP($C44,fish_group_yield_w!$A$7:$I$45,9,FALSE))</f>
        <v>0</v>
      </c>
      <c r="L44" s="814"/>
      <c r="M44" s="814"/>
    </row>
    <row r="45" spans="1:13" ht="12.5">
      <c r="A45" t="s">
        <v>8409</v>
      </c>
      <c r="B45">
        <v>307.79000000000002</v>
      </c>
      <c r="C45" t="s">
        <v>1736</v>
      </c>
      <c r="D45" t="s">
        <v>4691</v>
      </c>
      <c r="E45" s="87">
        <f t="shared" si="2"/>
        <v>0.2577438210521471</v>
      </c>
      <c r="F45" s="87">
        <f>IFERROR($E45*(VLOOKUP(C45,fish_group_yield_n!$A$7:$J$49,7,FALSE)),0)</f>
        <v>0.12488588539199595</v>
      </c>
      <c r="G45" s="87">
        <f>IFERROR($E45*(VLOOKUP(C45,fish_group_yield_n!$A$7:$J$49,10,FALSE)),0)</f>
        <v>0.29051399895083913</v>
      </c>
      <c r="H45" s="823">
        <f t="shared" si="0"/>
        <v>225.02964285714285</v>
      </c>
      <c r="I45" s="428">
        <f>IF(ISERROR($E45*VLOOKUP($C45,fish_group_yield_w!$A$7:$I$45,9,FALSE)),0,$E45*VLOOKUP($C45,fish_group_yield_w!$A$7:$I$45,9,FALSE))</f>
        <v>0.14587153744498188</v>
      </c>
      <c r="J45" s="429">
        <f>IF(ISERROR($E45*VLOOKUP($C45,fish_group_yield_w!$A$7:$I$45,9,FALSE)),0,$E45*VLOOKUP($C45,fish_group_yield_w!$A$7:$I$45,9,FALSE))</f>
        <v>0.14587153744498188</v>
      </c>
      <c r="L45" s="814"/>
      <c r="M45" s="814"/>
    </row>
    <row r="46" spans="1:13" ht="12.5">
      <c r="A46" t="s">
        <v>8410</v>
      </c>
      <c r="B46">
        <v>307.70999999999998</v>
      </c>
      <c r="C46" t="s">
        <v>1736</v>
      </c>
      <c r="D46" t="s">
        <v>4691</v>
      </c>
      <c r="E46" s="87">
        <f t="shared" si="2"/>
        <v>0.19129603060736489</v>
      </c>
      <c r="F46" s="87">
        <f>IFERROR($E46*(VLOOKUP(C46,fish_group_yield_n!$A$7:$J$49,7,FALSE)),0)</f>
        <v>9.2689609616447899E-2</v>
      </c>
      <c r="G46" s="87">
        <f>IFERROR($E46*(VLOOKUP(C46,fish_group_yield_n!$A$7:$J$49,10,FALSE)),0)</f>
        <v>0.21561787440065863</v>
      </c>
      <c r="H46" s="823">
        <f t="shared" si="0"/>
        <v>3110.3625000000002</v>
      </c>
      <c r="I46" s="428">
        <f>IF(ISERROR($E46*VLOOKUP($C46,fish_group_yield_w!$A$7:$I$45,9,FALSE)),0,$E46*VLOOKUP($C46,fish_group_yield_w!$A$7:$I$45,9,FALSE))</f>
        <v>0.10826504386373986</v>
      </c>
      <c r="J46" s="429">
        <f>IF(ISERROR($E46*VLOOKUP($C46,fish_group_yield_w!$A$7:$I$45,9,FALSE)),0,$E46*VLOOKUP($C46,fish_group_yield_w!$A$7:$I$45,9,FALSE))</f>
        <v>0.10826504386373986</v>
      </c>
      <c r="L46" s="814"/>
      <c r="M46" s="814"/>
    </row>
    <row r="47" spans="1:13" ht="12.5">
      <c r="A47" t="s">
        <v>8477</v>
      </c>
      <c r="B47">
        <v>1605.56</v>
      </c>
      <c r="C47" t="s">
        <v>1736</v>
      </c>
      <c r="D47" t="s">
        <v>4691</v>
      </c>
      <c r="E47" s="87">
        <f t="shared" si="2"/>
        <v>0.3127932436659368</v>
      </c>
      <c r="F47" s="87">
        <f>IFERROR($E47*(VLOOKUP(C47,fish_group_yield_n!$A$7:$J$49,7,FALSE)),0)</f>
        <v>0.15155925375976897</v>
      </c>
      <c r="G47" s="87">
        <f>IFERROR($E47*(VLOOKUP(C47,fish_group_yield_n!$A$7:$J$49,10,FALSE)),0)</f>
        <v>0.35256253938987897</v>
      </c>
      <c r="H47" s="823">
        <f t="shared" si="0"/>
        <v>7906.1810000000005</v>
      </c>
      <c r="I47" s="428">
        <f>IF(ISERROR($E47*VLOOKUP($C47,fish_group_yield_w!$A$7:$I$45,9,FALSE)),0,$E47*VLOOKUP($C47,fish_group_yield_w!$A$7:$I$45,9,FALSE))</f>
        <v>0.17702706186978423</v>
      </c>
      <c r="J47" s="429">
        <f>IF(ISERROR($E47*VLOOKUP($C47,fish_group_yield_w!$A$7:$I$45,9,FALSE)),0,$E47*VLOOKUP($C47,fish_group_yield_w!$A$7:$I$45,9,FALSE))</f>
        <v>0.17702706186978423</v>
      </c>
      <c r="L47" s="814"/>
      <c r="M47" s="814"/>
    </row>
    <row r="48" spans="1:13" ht="12.5">
      <c r="A48" t="s">
        <v>9153</v>
      </c>
      <c r="B48">
        <v>307.72000000000003</v>
      </c>
      <c r="C48" t="s">
        <v>1736</v>
      </c>
      <c r="D48" t="s">
        <v>4691</v>
      </c>
      <c r="E48" s="87">
        <v>1</v>
      </c>
      <c r="F48" s="87">
        <f>IFERROR($E48*(VLOOKUP(C48,fish_group_yield_n!$A$7:$J$49,7,FALSE)),0)</f>
        <v>0.4845349342699814</v>
      </c>
      <c r="G48" s="87">
        <f>IFERROR($E48*(VLOOKUP(C48,fish_group_yield_n!$A$7:$J$49,10,FALSE)),0)</f>
        <v>1.1271424384294431</v>
      </c>
      <c r="H48" s="823">
        <f t="shared" si="0"/>
        <v>343</v>
      </c>
      <c r="I48" s="428">
        <f>IF(ISERROR($E48*VLOOKUP($C48,fish_group_yield_w!$A$7:$I$45,9,FALSE)),0,$E48*VLOOKUP($C48,fish_group_yield_w!$A$7:$I$45,9,FALSE))</f>
        <v>0.56595551679770018</v>
      </c>
      <c r="J48" s="429">
        <f>IF(ISERROR($E48*VLOOKUP($C48,fish_group_yield_w!$A$7:$I$45,9,FALSE)),0,$E48*VLOOKUP($C48,fish_group_yield_w!$A$7:$I$45,9,FALSE))</f>
        <v>0.56595551679770018</v>
      </c>
      <c r="L48" s="814"/>
      <c r="M48" s="814"/>
    </row>
    <row r="49" spans="1:13" ht="12.5">
      <c r="A49" s="403" t="s">
        <v>6037</v>
      </c>
      <c r="B49" s="403">
        <v>302.63</v>
      </c>
      <c r="C49" s="403" t="s">
        <v>4011</v>
      </c>
      <c r="D49" s="403" t="s">
        <v>4681</v>
      </c>
      <c r="E49" s="87">
        <f t="shared" ref="E49:E62" si="3">IFERROR(1/VLOOKUP(B49,constant_fish_extr,2,FALSE),0)</f>
        <v>0.63405930666352084</v>
      </c>
      <c r="F49" s="87">
        <f>IFERROR($E49*(VLOOKUP(C49,fish_group_yield_n!$A$7:$J$49,7,FALSE)),0)</f>
        <v>7.9656409919715669E-3</v>
      </c>
      <c r="G49" s="87">
        <f>IFERROR($E49*(VLOOKUP(C49,fish_group_yield_n!$A$7:$J$49,10,FALSE)),0)</f>
        <v>7.9656409919715669E-3</v>
      </c>
      <c r="H49" s="823">
        <f t="shared" si="0"/>
        <v>0</v>
      </c>
      <c r="I49" s="428">
        <f>IF(ISERROR($E49*VLOOKUP($C49,fish_group_yield_w!$A$7:$I$45,9,FALSE)),0,$E49*VLOOKUP($C49,fish_group_yield_w!$A$7:$I$45,9,FALSE))</f>
        <v>0</v>
      </c>
      <c r="J49" s="429">
        <f>IF(ISERROR($E49*VLOOKUP($C49,fish_group_yield_w!$A$7:$I$45,9,FALSE)),0,$E49*VLOOKUP($C49,fish_group_yield_w!$A$7:$I$45,9,FALSE))</f>
        <v>0</v>
      </c>
      <c r="L49" s="814"/>
      <c r="M49" s="814"/>
    </row>
    <row r="50" spans="1:13" ht="12.5">
      <c r="A50" s="403" t="s">
        <v>6038</v>
      </c>
      <c r="B50" s="403">
        <v>303.73</v>
      </c>
      <c r="C50" s="403" t="s">
        <v>4011</v>
      </c>
      <c r="D50" s="403" t="s">
        <v>4681</v>
      </c>
      <c r="E50" s="87">
        <f t="shared" si="3"/>
        <v>0.57788284738639339</v>
      </c>
      <c r="F50" s="87">
        <f>IFERROR($E50*(VLOOKUP(C50,fish_group_yield_n!$A$7:$J$49,7,FALSE)),0)</f>
        <v>7.2599002164652543E-3</v>
      </c>
      <c r="G50" s="87">
        <f>IFERROR($E50*(VLOOKUP(C50,fish_group_yield_n!$A$7:$J$49,10,FALSE)),0)</f>
        <v>7.2599002164652543E-3</v>
      </c>
      <c r="H50" s="823">
        <f t="shared" si="0"/>
        <v>0</v>
      </c>
      <c r="I50" s="428">
        <f>IF(ISERROR($E50*VLOOKUP($C50,fish_group_yield_w!$A$7:$I$45,9,FALSE)),0,$E50*VLOOKUP($C50,fish_group_yield_w!$A$7:$I$45,9,FALSE))</f>
        <v>0</v>
      </c>
      <c r="J50" s="429">
        <f>IF(ISERROR($E50*VLOOKUP($C50,fish_group_yield_w!$A$7:$I$45,9,FALSE)),0,$E50*VLOOKUP($C50,fish_group_yield_w!$A$7:$I$45,9,FALSE))</f>
        <v>0</v>
      </c>
      <c r="L50" s="814"/>
      <c r="M50" s="814"/>
    </row>
    <row r="51" spans="1:13" ht="12.5">
      <c r="A51" s="801" t="s">
        <v>6038</v>
      </c>
      <c r="B51" s="801">
        <v>303.64999999999998</v>
      </c>
      <c r="C51" s="403" t="s">
        <v>4011</v>
      </c>
      <c r="D51" s="403" t="s">
        <v>4681</v>
      </c>
      <c r="E51" s="87">
        <f t="shared" si="3"/>
        <v>0</v>
      </c>
      <c r="F51" s="87">
        <f>IFERROR($E51*(VLOOKUP(C51,fish_group_yield_n!$A$7:$J$49,7,FALSE)),0)</f>
        <v>0</v>
      </c>
      <c r="G51" s="87">
        <f>IFERROR($E51*(VLOOKUP(C51,fish_group_yield_n!$A$7:$J$49,10,FALSE)),0)</f>
        <v>0</v>
      </c>
      <c r="H51" s="823">
        <f t="shared" si="0"/>
        <v>0</v>
      </c>
      <c r="I51" s="428">
        <f>IF(ISERROR($E51*VLOOKUP($C51,fish_group_yield_w!$A$7:$I$45,9,FALSE)),0,$E51*VLOOKUP($C51,fish_group_yield_w!$A$7:$I$45,9,FALSE))</f>
        <v>0</v>
      </c>
      <c r="J51" s="429">
        <f>IF(ISERROR($E51*VLOOKUP($C51,fish_group_yield_w!$A$7:$I$45,9,FALSE)),0,$E51*VLOOKUP($C51,fish_group_yield_w!$A$7:$I$45,9,FALSE))</f>
        <v>0</v>
      </c>
      <c r="L51" s="814"/>
      <c r="M51" s="814"/>
    </row>
    <row r="52" spans="1:13" ht="12.5">
      <c r="A52" t="s">
        <v>8407</v>
      </c>
      <c r="B52">
        <v>304.73</v>
      </c>
      <c r="C52" s="403" t="s">
        <v>4011</v>
      </c>
      <c r="D52" s="403" t="s">
        <v>4681</v>
      </c>
      <c r="E52" s="87">
        <f t="shared" si="3"/>
        <v>0.57788284738639339</v>
      </c>
      <c r="F52" s="87">
        <f>IFERROR($E52*(VLOOKUP(C52,fish_group_yield_n!$A$7:$J$49,7,FALSE)),0)</f>
        <v>7.2599002164652543E-3</v>
      </c>
      <c r="G52" s="87">
        <f>IFERROR($E52*(VLOOKUP(C52,fish_group_yield_n!$A$7:$J$49,10,FALSE)),0)</f>
        <v>7.2599002164652543E-3</v>
      </c>
      <c r="H52" s="823">
        <f t="shared" si="0"/>
        <v>150.54954545454547</v>
      </c>
      <c r="I52" s="428">
        <f>IF(ISERROR($E52*VLOOKUP($C52,fish_group_yield_w!$A$7:$I$45,9,FALSE)),0,$E52*VLOOKUP($C52,fish_group_yield_w!$A$7:$I$45,9,FALSE))</f>
        <v>0</v>
      </c>
      <c r="J52" s="429">
        <f>IF(ISERROR($E52*VLOOKUP($C52,fish_group_yield_w!$A$7:$I$45,9,FALSE)),0,$E52*VLOOKUP($C52,fish_group_yield_w!$A$7:$I$45,9,FALSE))</f>
        <v>0</v>
      </c>
      <c r="L52" s="814"/>
      <c r="M52" s="814"/>
    </row>
    <row r="53" spans="1:13" ht="12.5">
      <c r="A53" t="s">
        <v>8408</v>
      </c>
      <c r="B53">
        <v>302.52999999999997</v>
      </c>
      <c r="C53" s="403" t="s">
        <v>4011</v>
      </c>
      <c r="D53" s="403" t="s">
        <v>4681</v>
      </c>
      <c r="E53" s="87">
        <f t="shared" si="3"/>
        <v>0.63405930666352084</v>
      </c>
      <c r="F53" s="87">
        <f>IFERROR($E53*(VLOOKUP(C53,fish_group_yield_n!$A$7:$J$49,7,FALSE)),0)</f>
        <v>7.9656409919715669E-3</v>
      </c>
      <c r="G53" s="87">
        <f>IFERROR($E53*(VLOOKUP(C53,fish_group_yield_n!$A$7:$J$49,10,FALSE)),0)</f>
        <v>7.9656409919715669E-3</v>
      </c>
      <c r="H53" s="823">
        <f t="shared" si="0"/>
        <v>397.43916279069776</v>
      </c>
      <c r="I53" s="428">
        <f>IF(ISERROR($E53*VLOOKUP($C53,fish_group_yield_w!$A$7:$I$45,9,FALSE)),0,$E53*VLOOKUP($C53,fish_group_yield_w!$A$7:$I$45,9,FALSE))</f>
        <v>0</v>
      </c>
      <c r="J53" s="429">
        <f>IF(ISERROR($E53*VLOOKUP($C53,fish_group_yield_w!$A$7:$I$45,9,FALSE)),0,$E53*VLOOKUP($C53,fish_group_yield_w!$A$7:$I$45,9,FALSE))</f>
        <v>0</v>
      </c>
      <c r="L53" s="814"/>
      <c r="M53" s="814"/>
    </row>
    <row r="54" spans="1:13" ht="12.5">
      <c r="A54" t="s">
        <v>8418</v>
      </c>
      <c r="B54">
        <v>302.45999999999998</v>
      </c>
      <c r="C54" t="s">
        <v>1738</v>
      </c>
      <c r="D54" t="s">
        <v>4699</v>
      </c>
      <c r="E54" s="87">
        <f t="shared" si="3"/>
        <v>0.64516129032258063</v>
      </c>
      <c r="F54" s="87">
        <f>IFERROR($E54*(VLOOKUP(C54,fish_group_yield_n!$A$7:$J$49,7,FALSE)),0)</f>
        <v>5.8140976072580175E-2</v>
      </c>
      <c r="G54" s="87">
        <f>IFERROR($E54*(VLOOKUP(C54,fish_group_yield_n!$A$7:$J$49,10,FALSE)),0)</f>
        <v>3.9985245792842697E-2</v>
      </c>
      <c r="H54" s="823">
        <f t="shared" si="0"/>
        <v>29.45</v>
      </c>
      <c r="I54" s="428">
        <f>IF(ISERROR($E54*VLOOKUP($C54,fish_group_yield_w!$A$7:$I$45,9,FALSE)),0,$E54*VLOOKUP($C54,fish_group_yield_w!$A$7:$I$45,9,FALSE))</f>
        <v>0.17816434870557993</v>
      </c>
      <c r="J54" s="429">
        <f>IF(ISERROR($E54*VLOOKUP($C54,fish_group_yield_w!$A$7:$I$45,9,FALSE)),0,$E54*VLOOKUP($C54,fish_group_yield_w!$A$7:$I$45,9,FALSE))</f>
        <v>0.17816434870557993</v>
      </c>
      <c r="L54" s="814"/>
      <c r="M54" s="814"/>
    </row>
    <row r="55" spans="1:13" ht="12.5">
      <c r="A55" t="s">
        <v>8462</v>
      </c>
      <c r="B55">
        <v>303.56</v>
      </c>
      <c r="C55" t="s">
        <v>1738</v>
      </c>
      <c r="D55" t="s">
        <v>4699</v>
      </c>
      <c r="E55" s="87">
        <f t="shared" si="3"/>
        <v>0.5524861878453039</v>
      </c>
      <c r="F55" s="87">
        <f>IFERROR($E55*(VLOOKUP(C55,fish_group_yield_n!$A$7:$J$49,7,FALSE)),0)</f>
        <v>4.9789233653314516E-2</v>
      </c>
      <c r="G55" s="87">
        <f>IFERROR($E55*(VLOOKUP(C55,fish_group_yield_n!$A$7:$J$49,10,FALSE)),0)</f>
        <v>3.4241508828124961E-2</v>
      </c>
      <c r="H55" s="823">
        <f t="shared" si="0"/>
        <v>0</v>
      </c>
      <c r="I55" s="428">
        <f>IF(ISERROR($E55*VLOOKUP($C55,fish_group_yield_w!$A$7:$I$45,9,FALSE)),0,$E55*VLOOKUP($C55,fish_group_yield_w!$A$7:$I$45,9,FALSE))</f>
        <v>0.15257167983074527</v>
      </c>
      <c r="J55" s="429">
        <f>IF(ISERROR($E55*VLOOKUP($C55,fish_group_yield_w!$A$7:$I$45,9,FALSE)),0,$E55*VLOOKUP($C55,fish_group_yield_w!$A$7:$I$45,9,FALSE))</f>
        <v>0.15257167983074527</v>
      </c>
      <c r="L55" s="814"/>
      <c r="M55" s="814"/>
    </row>
    <row r="56" spans="1:13" ht="12.5">
      <c r="A56" t="s">
        <v>8411</v>
      </c>
      <c r="B56">
        <v>302.51</v>
      </c>
      <c r="C56" s="403" t="s">
        <v>5195</v>
      </c>
      <c r="D56" s="403" t="s">
        <v>4681</v>
      </c>
      <c r="E56" s="87">
        <f t="shared" si="3"/>
        <v>0.59929928084086304</v>
      </c>
      <c r="F56" s="87">
        <f>IFERROR($E56*(VLOOKUP(C56,fish_group_yield_n!$A$7:$J$49,7,FALSE)),0)</f>
        <v>8.1299523989941998E-3</v>
      </c>
      <c r="G56" s="87">
        <f>IFERROR($E56*(VLOOKUP(C56,fish_group_yield_n!$A$7:$J$49,10,FALSE)),0)</f>
        <v>7.8925817337883591E-3</v>
      </c>
      <c r="H56" s="823">
        <f t="shared" si="0"/>
        <v>902.72092307692299</v>
      </c>
      <c r="I56" s="428">
        <f>IF(ISERROR($E56*VLOOKUP($C56,fish_group_yield_w!$A$7:$I$45,9,FALSE)),0,$E56*VLOOKUP($C56,fish_group_yield_w!$A$7:$I$45,9,FALSE))</f>
        <v>2.0842098841352216E-4</v>
      </c>
      <c r="J56" s="429">
        <f>IF(ISERROR($E56*VLOOKUP($C56,fish_group_yield_w!$A$7:$I$45,9,FALSE)),0,$E56*VLOOKUP($C56,fish_group_yield_w!$A$7:$I$45,9,FALSE))</f>
        <v>2.0842098841352216E-4</v>
      </c>
      <c r="L56" s="814"/>
      <c r="M56" s="814"/>
    </row>
    <row r="57" spans="1:13" ht="12.5">
      <c r="A57" s="403" t="s">
        <v>6039</v>
      </c>
      <c r="B57" s="403">
        <v>305.51</v>
      </c>
      <c r="C57" s="403" t="s">
        <v>5195</v>
      </c>
      <c r="D57" s="403" t="s">
        <v>4681</v>
      </c>
      <c r="E57" s="87">
        <f t="shared" si="3"/>
        <v>0.26027142591559771</v>
      </c>
      <c r="F57" s="87">
        <f>IFERROR($E57*(VLOOKUP(C57,fish_group_yield_n!$A$7:$J$49,7,FALSE)),0)</f>
        <v>3.5307806485988967E-3</v>
      </c>
      <c r="G57" s="87">
        <f>IFERROR($E57*(VLOOKUP(C57,fish_group_yield_n!$A$7:$J$49,10,FALSE)),0)</f>
        <v>3.4276922527360235E-3</v>
      </c>
      <c r="H57" s="823">
        <f t="shared" si="0"/>
        <v>8652.5057142857131</v>
      </c>
      <c r="I57" s="428">
        <f>IF(ISERROR($E57*VLOOKUP($C57,fish_group_yield_w!$A$7:$I$45,9,FALSE)),0,$E57*VLOOKUP($C57,fish_group_yield_w!$A$7:$I$45,9,FALSE))</f>
        <v>9.0515756616651246E-5</v>
      </c>
      <c r="J57" s="429">
        <f>IF(ISERROR($E57*VLOOKUP($C57,fish_group_yield_w!$A$7:$I$45,9,FALSE)),0,$E57*VLOOKUP($C57,fish_group_yield_w!$A$7:$I$45,9,FALSE))</f>
        <v>9.0515756616651246E-5</v>
      </c>
      <c r="L57" s="814"/>
      <c r="M57" s="814"/>
    </row>
    <row r="58" spans="1:13" ht="12.5">
      <c r="A58" s="403" t="s">
        <v>6040</v>
      </c>
      <c r="B58" s="403">
        <v>302.5</v>
      </c>
      <c r="C58" s="403" t="s">
        <v>5195</v>
      </c>
      <c r="D58" s="403" t="s">
        <v>4681</v>
      </c>
      <c r="E58" s="87">
        <f t="shared" si="3"/>
        <v>0.59929928084086304</v>
      </c>
      <c r="F58" s="87">
        <f>IFERROR($E58*(VLOOKUP(C58,fish_group_yield_n!$A$7:$J$49,7,FALSE)),0)</f>
        <v>8.1299523989941998E-3</v>
      </c>
      <c r="G58" s="87">
        <f>IFERROR($E58*(VLOOKUP(C58,fish_group_yield_n!$A$7:$J$49,10,FALSE)),0)</f>
        <v>7.8925817337883591E-3</v>
      </c>
      <c r="H58" s="823">
        <f t="shared" si="0"/>
        <v>0</v>
      </c>
      <c r="I58" s="428">
        <f>IF(ISERROR($E58*VLOOKUP($C58,fish_group_yield_w!$A$7:$I$45,9,FALSE)),0,$E58*VLOOKUP($C58,fish_group_yield_w!$A$7:$I$45,9,FALSE))</f>
        <v>2.0842098841352216E-4</v>
      </c>
      <c r="J58" s="429">
        <f>IF(ISERROR($E58*VLOOKUP($C58,fish_group_yield_w!$A$7:$I$45,9,FALSE)),0,$E58*VLOOKUP($C58,fish_group_yield_w!$A$7:$I$45,9,FALSE))</f>
        <v>2.0842098841352216E-4</v>
      </c>
      <c r="L58" s="814"/>
      <c r="M58" s="814"/>
    </row>
    <row r="59" spans="1:13" ht="12.5">
      <c r="A59" s="403" t="s">
        <v>6041</v>
      </c>
      <c r="B59" s="403">
        <v>303.52</v>
      </c>
      <c r="C59" s="403" t="s">
        <v>5195</v>
      </c>
      <c r="D59" s="403" t="s">
        <v>4681</v>
      </c>
      <c r="E59" s="87">
        <f t="shared" si="3"/>
        <v>0.45766590389016015</v>
      </c>
      <c r="F59" s="87">
        <f>IFERROR($E59*(VLOOKUP(C59,fish_group_yield_n!$A$7:$J$49,7,FALSE)),0)</f>
        <v>6.2085874824496451E-3</v>
      </c>
      <c r="G59" s="87">
        <f>IFERROR($E59*(VLOOKUP(C59,fish_group_yield_n!$A$7:$J$49,10,FALSE)),0)</f>
        <v>6.0273150138826634E-3</v>
      </c>
      <c r="H59" s="823">
        <f t="shared" si="0"/>
        <v>0</v>
      </c>
      <c r="I59" s="428">
        <f>IF(ISERROR($E59*VLOOKUP($C59,fish_group_yield_w!$A$7:$I$45,9,FALSE)),0,$E59*VLOOKUP($C59,fish_group_yield_w!$A$7:$I$45,9,FALSE))</f>
        <v>1.5916451612977019E-4</v>
      </c>
      <c r="J59" s="429">
        <f>IF(ISERROR($E59*VLOOKUP($C59,fish_group_yield_w!$A$7:$I$45,9,FALSE)),0,$E59*VLOOKUP($C59,fish_group_yield_w!$A$7:$I$45,9,FALSE))</f>
        <v>1.5916451612977019E-4</v>
      </c>
      <c r="L59" s="814"/>
      <c r="M59" s="814"/>
    </row>
    <row r="60" spans="1:13" ht="12.5">
      <c r="A60" s="801" t="s">
        <v>6041</v>
      </c>
      <c r="B60" s="801">
        <v>303.63</v>
      </c>
      <c r="C60" s="403" t="s">
        <v>5195</v>
      </c>
      <c r="D60" s="403" t="s">
        <v>4681</v>
      </c>
      <c r="E60" s="87">
        <f t="shared" si="3"/>
        <v>0</v>
      </c>
      <c r="F60" s="87">
        <f>IFERROR($E60*(VLOOKUP(C60,fish_group_yield_n!$A$7:$J$49,7,FALSE)),0)</f>
        <v>0</v>
      </c>
      <c r="G60" s="87">
        <f>IFERROR($E60*(VLOOKUP(C60,fish_group_yield_n!$A$7:$J$49,10,FALSE)),0)</f>
        <v>0</v>
      </c>
      <c r="H60" s="823">
        <f t="shared" si="0"/>
        <v>0</v>
      </c>
      <c r="I60" s="428">
        <f>IF(ISERROR($E60*VLOOKUP($C60,fish_group_yield_w!$A$7:$I$45,9,FALSE)),0,$E60*VLOOKUP($C60,fish_group_yield_w!$A$7:$I$45,9,FALSE))</f>
        <v>0</v>
      </c>
      <c r="J60" s="429">
        <f>IF(ISERROR($E60*VLOOKUP($C60,fish_group_yield_w!$A$7:$I$45,9,FALSE)),0,$E60*VLOOKUP($C60,fish_group_yield_w!$A$7:$I$45,9,FALSE))</f>
        <v>0</v>
      </c>
      <c r="L60" s="814"/>
      <c r="M60" s="814"/>
    </row>
    <row r="61" spans="1:13" ht="12.5">
      <c r="A61" s="403" t="s">
        <v>6042</v>
      </c>
      <c r="B61" s="403">
        <v>305.62</v>
      </c>
      <c r="C61" s="403" t="s">
        <v>5195</v>
      </c>
      <c r="D61" s="403" t="s">
        <v>4681</v>
      </c>
      <c r="E61" s="87">
        <f t="shared" si="3"/>
        <v>0.26027142591559771</v>
      </c>
      <c r="F61" s="87">
        <f>IFERROR($E61*(VLOOKUP(C61,fish_group_yield_n!$A$7:$J$49,7,FALSE)),0)</f>
        <v>3.5307806485988967E-3</v>
      </c>
      <c r="G61" s="87">
        <f>IFERROR($E61*(VLOOKUP(C61,fish_group_yield_n!$A$7:$J$49,10,FALSE)),0)</f>
        <v>3.4276922527360235E-3</v>
      </c>
      <c r="H61" s="823">
        <f t="shared" si="0"/>
        <v>6888.9621428571427</v>
      </c>
      <c r="I61" s="428">
        <f>IF(ISERROR($E61*VLOOKUP($C61,fish_group_yield_w!$A$7:$I$45,9,FALSE)),0,$E61*VLOOKUP($C61,fish_group_yield_w!$A$7:$I$45,9,FALSE))</f>
        <v>9.0515756616651246E-5</v>
      </c>
      <c r="J61" s="429">
        <f>IF(ISERROR($E61*VLOOKUP($C61,fish_group_yield_w!$A$7:$I$45,9,FALSE)),0,$E61*VLOOKUP($C61,fish_group_yield_w!$A$7:$I$45,9,FALSE))</f>
        <v>9.0515756616651246E-5</v>
      </c>
      <c r="L61" s="814"/>
      <c r="M61" s="814"/>
    </row>
    <row r="62" spans="1:13" ht="12.5">
      <c r="A62" t="s">
        <v>8412</v>
      </c>
      <c r="B62">
        <v>304.70999999999998</v>
      </c>
      <c r="C62" s="403" t="s">
        <v>5195</v>
      </c>
      <c r="D62" s="403" t="s">
        <v>4681</v>
      </c>
      <c r="E62" s="87">
        <f t="shared" si="3"/>
        <v>0.57788284738639339</v>
      </c>
      <c r="F62" s="87">
        <f>IFERROR($E62*(VLOOKUP(C62,fish_group_yield_n!$A$7:$J$49,7,FALSE)),0)</f>
        <v>7.839422124543062E-3</v>
      </c>
      <c r="G62" s="87">
        <f>IFERROR($E62*(VLOOKUP(C62,fish_group_yield_n!$A$7:$J$49,10,FALSE)),0)</f>
        <v>7.6105340876632416E-3</v>
      </c>
      <c r="H62" s="823">
        <f t="shared" si="0"/>
        <v>9588.448636363637</v>
      </c>
      <c r="I62" s="428">
        <f>IF(ISERROR($E62*VLOOKUP($C62,fish_group_yield_w!$A$7:$I$45,9,FALSE)),0,$E62*VLOOKUP($C62,fish_group_yield_w!$A$7:$I$45,9,FALSE))</f>
        <v>2.0097289966792886E-4</v>
      </c>
      <c r="J62" s="429">
        <f>IF(ISERROR($E62*VLOOKUP($C62,fish_group_yield_w!$A$7:$I$45,9,FALSE)),0,$E62*VLOOKUP($C62,fish_group_yield_w!$A$7:$I$45,9,FALSE))</f>
        <v>2.0097289966792886E-4</v>
      </c>
      <c r="L62" s="814"/>
      <c r="M62" s="814"/>
    </row>
    <row r="63" spans="1:13" ht="12.5">
      <c r="A63" t="s">
        <v>9142</v>
      </c>
      <c r="B63">
        <v>306.35000000000002</v>
      </c>
      <c r="C63" t="s">
        <v>2322</v>
      </c>
      <c r="D63" t="s">
        <v>4680</v>
      </c>
      <c r="E63" s="87">
        <v>1.8</v>
      </c>
      <c r="F63" s="87">
        <f>IFERROR($E63*(VLOOKUP(C63,fish_group_yield_n!$A$7:$J$49,7,FALSE)),0)</f>
        <v>0.98229732321763985</v>
      </c>
      <c r="G63" s="87">
        <f>IFERROR($E63*(VLOOKUP(C63,fish_group_yield_n!$A$7:$J$49,10,FALSE)),0)</f>
        <v>2.6806338741342173</v>
      </c>
      <c r="H63" s="823">
        <f t="shared" si="0"/>
        <v>42.222222222222221</v>
      </c>
      <c r="I63" s="428">
        <f>IF(ISERROR($E63*VLOOKUP($C63,fish_group_yield_w!$A$7:$I$45,9,FALSE)),0,$E63*VLOOKUP($C63,fish_group_yield_w!$A$7:$I$45,9,FALSE))</f>
        <v>0.78606174214323021</v>
      </c>
      <c r="J63" s="429">
        <f>IF(ISERROR($E63*VLOOKUP($C63,fish_group_yield_w!$A$7:$I$45,9,FALSE)),0,$E63*VLOOKUP($C63,fish_group_yield_w!$A$7:$I$45,9,FALSE))</f>
        <v>0.78606174214323021</v>
      </c>
      <c r="L63" s="814"/>
      <c r="M63" s="814"/>
    </row>
    <row r="64" spans="1:13" ht="12.5">
      <c r="A64" t="s">
        <v>8413</v>
      </c>
      <c r="B64">
        <v>306.16000000000003</v>
      </c>
      <c r="C64" t="s">
        <v>2322</v>
      </c>
      <c r="D64" t="s">
        <v>4680</v>
      </c>
      <c r="E64" s="87">
        <f>IFERROR(1/VLOOKUP(B64,constant_fish_extr,2,FALSE),0)</f>
        <v>0.55605169595767268</v>
      </c>
      <c r="F64" s="87">
        <f>IFERROR($E64*(VLOOKUP(C64,fish_group_yield_n!$A$7:$J$49,7,FALSE)),0)</f>
        <v>0.30344894028325042</v>
      </c>
      <c r="G64" s="87">
        <f>IFERROR($E64*(VLOOKUP(C64,fish_group_yield_n!$A$7:$J$49,10,FALSE)),0)</f>
        <v>0.8280950066410655</v>
      </c>
      <c r="H64" s="823">
        <f t="shared" si="0"/>
        <v>883.01142424242425</v>
      </c>
      <c r="I64" s="428">
        <f>IF(ISERROR($E64*VLOOKUP($C64,fish_group_yield_w!$A$7:$I$45,9,FALSE)),0,$E64*VLOOKUP($C64,fish_group_yield_w!$A$7:$I$45,9,FALSE))</f>
        <v>0.24282831380343664</v>
      </c>
      <c r="J64" s="429">
        <f>IF(ISERROR($E64*VLOOKUP($C64,fish_group_yield_w!$A$7:$I$45,9,FALSE)),0,$E64*VLOOKUP($C64,fish_group_yield_w!$A$7:$I$45,9,FALSE))</f>
        <v>0.24282831380343664</v>
      </c>
      <c r="L64" s="814"/>
      <c r="M64" s="814"/>
    </row>
    <row r="65" spans="1:13" ht="12.5">
      <c r="A65" t="s">
        <v>8414</v>
      </c>
      <c r="B65">
        <v>306.26</v>
      </c>
      <c r="C65" t="s">
        <v>2322</v>
      </c>
      <c r="D65" t="s">
        <v>4680</v>
      </c>
      <c r="E65" s="87">
        <f>IFERROR(1/VLOOKUP(B65,constant_fish_extr,2,FALSE),0)</f>
        <v>0.55605169595767268</v>
      </c>
      <c r="F65" s="87">
        <f>IFERROR($E65*(VLOOKUP(C65,fish_group_yield_n!$A$7:$J$49,7,FALSE)),0)</f>
        <v>0.30344894028325042</v>
      </c>
      <c r="G65" s="87">
        <f>IFERROR($E65*(VLOOKUP(C65,fish_group_yield_n!$A$7:$J$49,10,FALSE)),0)</f>
        <v>0.8280950066410655</v>
      </c>
      <c r="H65" s="823">
        <f t="shared" si="0"/>
        <v>0</v>
      </c>
      <c r="I65" s="428">
        <f>IF(ISERROR($E65*VLOOKUP($C65,fish_group_yield_w!$A$7:$I$45,9,FALSE)),0,$E65*VLOOKUP($C65,fish_group_yield_w!$A$7:$I$45,9,FALSE))</f>
        <v>0.24282831380343664</v>
      </c>
      <c r="J65" s="429">
        <f>IF(ISERROR($E65*VLOOKUP($C65,fish_group_yield_w!$A$7:$I$45,9,FALSE)),0,$E65*VLOOKUP($C65,fish_group_yield_w!$A$7:$I$45,9,FALSE))</f>
        <v>0.24282831380343664</v>
      </c>
      <c r="L65" s="814"/>
      <c r="M65" s="814"/>
    </row>
    <row r="66" spans="1:13" ht="12.5">
      <c r="A66" s="403" t="s">
        <v>6043</v>
      </c>
      <c r="B66" s="403">
        <v>508</v>
      </c>
      <c r="C66" s="403" t="s">
        <v>5196</v>
      </c>
      <c r="D66" s="403"/>
      <c r="E66" s="87">
        <f>IFERROR(1/VLOOKUP(B66,constant_fish_extr,2,FALSE),0)</f>
        <v>1</v>
      </c>
      <c r="F66" s="87">
        <f>IFERROR($E66*(VLOOKUP(C66,fish_group_yield_n!$A$7:$J$49,7,FALSE)),0)</f>
        <v>1.5104126953237047</v>
      </c>
      <c r="G66" s="87">
        <f>IFERROR($E66*(VLOOKUP(C66,fish_group_yield_n!$A$7:$J$49,10,FALSE)),0)</f>
        <v>1.5104126953237047</v>
      </c>
      <c r="H66" s="823">
        <f t="shared" si="0"/>
        <v>4355</v>
      </c>
      <c r="I66" s="428">
        <f>IF(ISERROR($E66*VLOOKUP($C66,fish_group_yield_w!$A$7:$I$45,9,FALSE)),0,$E66*VLOOKUP($C66,fish_group_yield_w!$A$7:$I$45,9,FALSE))</f>
        <v>0</v>
      </c>
      <c r="J66" s="429">
        <f>IF(ISERROR($E66*VLOOKUP($C66,fish_group_yield_w!$A$7:$I$45,9,FALSE)),0,$E66*VLOOKUP($C66,fish_group_yield_w!$A$7:$I$45,9,FALSE))</f>
        <v>0</v>
      </c>
      <c r="L66" s="814"/>
      <c r="M66" s="814"/>
    </row>
    <row r="67" spans="1:13" ht="12.5">
      <c r="A67" s="403" t="s">
        <v>6044</v>
      </c>
      <c r="B67" s="403">
        <v>1605.1</v>
      </c>
      <c r="C67" s="403" t="s">
        <v>2311</v>
      </c>
      <c r="D67" s="403" t="s">
        <v>4680</v>
      </c>
      <c r="E67" s="87">
        <f>IFERROR(1/VLOOKUP(B67,constant_fish_extr,2,FALSE),0)</f>
        <v>0.3897644467039485</v>
      </c>
      <c r="F67" s="87">
        <f>IFERROR($E67*(VLOOKUP(C67,fish_group_yield_n!$A$7:$J$49,7,FALSE)),0)</f>
        <v>5.7247972195161728E-2</v>
      </c>
      <c r="G67" s="87">
        <f>IFERROR($E67*(VLOOKUP(C67,fish_group_yield_n!$A$7:$J$49,10,FALSE)),0)</f>
        <v>7.7845871819591975E-2</v>
      </c>
      <c r="H67" s="823">
        <f t="shared" si="0"/>
        <v>3132.661304347826</v>
      </c>
      <c r="I67" s="428">
        <f>IF(ISERROR($E67*VLOOKUP($C67,fish_group_yield_w!$A$7:$I$45,9,FALSE)),0,$E67*VLOOKUP($C67,fish_group_yield_w!$A$7:$I$45,9,FALSE))</f>
        <v>0.11330132134207674</v>
      </c>
      <c r="J67" s="429">
        <f>IF(ISERROR($E67*VLOOKUP($C67,fish_group_yield_w!$A$7:$I$45,9,FALSE)),0,$E67*VLOOKUP($C67,fish_group_yield_w!$A$7:$I$45,9,FALSE))</f>
        <v>0.11330132134207674</v>
      </c>
      <c r="L67" s="814"/>
      <c r="M67" s="814"/>
    </row>
    <row r="68" spans="1:13" ht="12.5">
      <c r="A68" t="s">
        <v>9144</v>
      </c>
      <c r="B68">
        <v>306.93</v>
      </c>
      <c r="C68" t="s">
        <v>2311</v>
      </c>
      <c r="D68" t="s">
        <v>4680</v>
      </c>
      <c r="E68" s="87">
        <v>2.57</v>
      </c>
      <c r="F68" s="87">
        <f>IFERROR($E68*(VLOOKUP(C68,fish_group_yield_n!$A$7:$J$49,7,FALSE)),0)</f>
        <v>0.37747744768859948</v>
      </c>
      <c r="G68" s="87">
        <f>IFERROR($E68*(VLOOKUP(C68,fish_group_yield_n!$A$7:$J$49,10,FALSE)),0)</f>
        <v>0.51329435577871718</v>
      </c>
      <c r="H68" s="823">
        <f t="shared" si="0"/>
        <v>24.902723735408561</v>
      </c>
      <c r="I68" s="428">
        <f>IF(ISERROR($E68*VLOOKUP($C68,fish_group_yield_w!$A$7:$I$45,9,FALSE)),0,$E68*VLOOKUP($C68,fish_group_yield_w!$A$7:$I$45,9,FALSE))</f>
        <v>0.74707787821989502</v>
      </c>
      <c r="J68" s="429">
        <f>IF(ISERROR($E68*VLOOKUP($C68,fish_group_yield_w!$A$7:$I$45,9,FALSE)),0,$E68*VLOOKUP($C68,fish_group_yield_w!$A$7:$I$45,9,FALSE))</f>
        <v>0.74707787821989502</v>
      </c>
      <c r="L68" s="814"/>
      <c r="M68" s="814"/>
    </row>
    <row r="69" spans="1:13" ht="12.5">
      <c r="A69" t="s">
        <v>9140</v>
      </c>
      <c r="B69">
        <v>306.33</v>
      </c>
      <c r="C69" t="s">
        <v>2311</v>
      </c>
      <c r="D69" t="s">
        <v>4680</v>
      </c>
      <c r="E69" s="87">
        <v>1</v>
      </c>
      <c r="F69" s="87">
        <f>IFERROR($E69*(VLOOKUP(C69,fish_group_yield_n!$A$7:$J$49,7,FALSE)),0)</f>
        <v>0.14687838431463016</v>
      </c>
      <c r="G69" s="87">
        <f>IFERROR($E69*(VLOOKUP(C69,fish_group_yield_n!$A$7:$J$49,10,FALSE)),0)</f>
        <v>0.19972543026409229</v>
      </c>
      <c r="H69" s="823">
        <f t="shared" si="0"/>
        <v>9599</v>
      </c>
      <c r="I69" s="428">
        <f>IF(ISERROR($E69*VLOOKUP($C69,fish_group_yield_w!$A$7:$I$45,9,FALSE)),0,$E69*VLOOKUP($C69,fish_group_yield_w!$A$7:$I$45,9,FALSE))</f>
        <v>0.29069178140851948</v>
      </c>
      <c r="J69" s="429">
        <f>IF(ISERROR($E69*VLOOKUP($C69,fish_group_yield_w!$A$7:$I$45,9,FALSE)),0,$E69*VLOOKUP($C69,fish_group_yield_w!$A$7:$I$45,9,FALSE))</f>
        <v>0.29069178140851948</v>
      </c>
      <c r="L69" s="814"/>
      <c r="M69" s="814"/>
    </row>
    <row r="70" spans="1:13" ht="12.5">
      <c r="A70" s="403" t="s">
        <v>6045</v>
      </c>
      <c r="B70" s="403">
        <v>306.14</v>
      </c>
      <c r="C70" s="403" t="s">
        <v>2311</v>
      </c>
      <c r="D70" s="403" t="s">
        <v>4680</v>
      </c>
      <c r="E70" s="87">
        <f>IFERROR(1/VLOOKUP(B70,constant_fish_extr,2,FALSE),0)</f>
        <v>0.3970223325062035</v>
      </c>
      <c r="F70" s="87">
        <f>IFERROR($E70*(VLOOKUP(C70,fish_group_yield_n!$A$7:$J$49,7,FALSE)),0)</f>
        <v>5.831399873533704E-2</v>
      </c>
      <c r="G70" s="87">
        <f>IFERROR($E70*(VLOOKUP(C70,fish_group_yield_n!$A$7:$J$49,10,FALSE)),0)</f>
        <v>7.9295456184255E-2</v>
      </c>
      <c r="H70" s="823">
        <f t="shared" si="0"/>
        <v>8926.4499999999989</v>
      </c>
      <c r="I70" s="428">
        <f>IF(ISERROR($E70*VLOOKUP($C70,fish_group_yield_w!$A$7:$I$45,9,FALSE)),0,$E70*VLOOKUP($C70,fish_group_yield_w!$A$7:$I$45,9,FALSE))</f>
        <v>0.11541112909519384</v>
      </c>
      <c r="J70" s="429">
        <f>IF(ISERROR($E70*VLOOKUP($C70,fish_group_yield_w!$A$7:$I$45,9,FALSE)),0,$E70*VLOOKUP($C70,fish_group_yield_w!$A$7:$I$45,9,FALSE))</f>
        <v>0.11541112909519384</v>
      </c>
      <c r="L70" s="814"/>
      <c r="M70" s="814"/>
    </row>
    <row r="71" spans="1:13" ht="12.5">
      <c r="A71" s="403" t="s">
        <v>6046</v>
      </c>
      <c r="B71" s="403">
        <v>306.24</v>
      </c>
      <c r="C71" s="403" t="s">
        <v>2311</v>
      </c>
      <c r="D71" s="403" t="s">
        <v>4680</v>
      </c>
      <c r="E71" s="87">
        <f>IFERROR(1/VLOOKUP(B71,constant_fish_extr,2,FALSE),0)</f>
        <v>0.3897644467039485</v>
      </c>
      <c r="F71" s="87">
        <f>IFERROR($E71*(VLOOKUP(C71,fish_group_yield_n!$A$7:$J$49,7,FALSE)),0)</f>
        <v>5.7247972195161728E-2</v>
      </c>
      <c r="G71" s="87">
        <f>IFERROR($E71*(VLOOKUP(C71,fish_group_yield_n!$A$7:$J$49,10,FALSE)),0)</f>
        <v>7.7845871819591975E-2</v>
      </c>
      <c r="H71" s="823">
        <f t="shared" ref="H71:H134" si="4">IF(ISERROR(VLOOKUP(B71,tbl_figis_commodity,2,FALSE)/E71),0,VLOOKUP(B71,tbl_figis_commodity,2,FALSE)/E71)</f>
        <v>0</v>
      </c>
      <c r="I71" s="428">
        <f>IF(ISERROR($E71*VLOOKUP($C71,fish_group_yield_w!$A$7:$I$45,9,FALSE)),0,$E71*VLOOKUP($C71,fish_group_yield_w!$A$7:$I$45,9,FALSE))</f>
        <v>0.11330132134207674</v>
      </c>
      <c r="J71" s="429">
        <f>IF(ISERROR($E71*VLOOKUP($C71,fish_group_yield_w!$A$7:$I$45,9,FALSE)),0,$E71*VLOOKUP($C71,fish_group_yield_w!$A$7:$I$45,9,FALSE))</f>
        <v>0.11330132134207674</v>
      </c>
      <c r="L71" s="814"/>
      <c r="M71" s="814"/>
    </row>
    <row r="72" spans="1:13" ht="12.5">
      <c r="A72" t="s">
        <v>9147</v>
      </c>
      <c r="B72">
        <v>306.99</v>
      </c>
      <c r="C72" s="403" t="s">
        <v>1737</v>
      </c>
      <c r="D72" s="403" t="s">
        <v>4680</v>
      </c>
      <c r="E72" s="87">
        <v>2.2000000000000002</v>
      </c>
      <c r="F72" s="87">
        <f>IFERROR($E72*(VLOOKUP(C72,fish_group_yield_n!$A$7:$J$49,7,FALSE)),0)</f>
        <v>4.173277209195799</v>
      </c>
      <c r="G72" s="87">
        <f>IFERROR($E72*(VLOOKUP(C72,fish_group_yield_n!$A$7:$J$49,10,FALSE)),0)</f>
        <v>4.1831927621333946</v>
      </c>
      <c r="H72" s="823">
        <f t="shared" si="4"/>
        <v>0.45454545454545453</v>
      </c>
      <c r="I72" s="428">
        <f>IF(ISERROR($E72*VLOOKUP($C72,fish_group_yield_w!$A$7:$I$45,9,FALSE)),0,$E72*VLOOKUP($C72,fish_group_yield_w!$A$7:$I$45,9,FALSE))</f>
        <v>1.481262355053488E-3</v>
      </c>
      <c r="J72" s="429">
        <f>IF(ISERROR($E72*VLOOKUP($C72,fish_group_yield_w!$A$7:$I$45,9,FALSE)),0,$E72*VLOOKUP($C72,fish_group_yield_w!$A$7:$I$45,9,FALSE))</f>
        <v>1.481262355053488E-3</v>
      </c>
      <c r="L72" s="814"/>
      <c r="M72" s="814"/>
    </row>
    <row r="73" spans="1:13" ht="12.5">
      <c r="A73" t="s">
        <v>8415</v>
      </c>
      <c r="B73">
        <v>1605.54</v>
      </c>
      <c r="C73" s="403" t="s">
        <v>5197</v>
      </c>
      <c r="D73" s="403" t="s">
        <v>4675</v>
      </c>
      <c r="E73" s="87">
        <f>IFERROR(1/VLOOKUP(B73,constant_fish_extr,2,FALSE),0)</f>
        <v>0.74021735473234407</v>
      </c>
      <c r="F73" s="87">
        <f>IFERROR($E73*(VLOOKUP(C73,fish_group_yield_n!$A$7:$J$49,7,FALSE)),0)</f>
        <v>3.1150615187167774E-2</v>
      </c>
      <c r="G73" s="87">
        <f>IFERROR($E73*(VLOOKUP(C73,fish_group_yield_n!$A$7:$J$49,10,FALSE)),0)</f>
        <v>3.0025918200211957E-2</v>
      </c>
      <c r="H73" s="823">
        <f t="shared" si="4"/>
        <v>1444.1704090909093</v>
      </c>
      <c r="I73" s="428">
        <f>IF(ISERROR($E73*VLOOKUP($C73,fish_group_yield_w!$A$7:$I$45,9,FALSE)),0,$E73*VLOOKUP($C73,fish_group_yield_w!$A$7:$I$45,9,FALSE))</f>
        <v>0</v>
      </c>
      <c r="J73" s="429">
        <f>IF(ISERROR($E73*VLOOKUP($C73,fish_group_yield_w!$A$7:$I$45,9,FALSE)),0,$E73*VLOOKUP($C73,fish_group_yield_w!$A$7:$I$45,9,FALSE))</f>
        <v>0</v>
      </c>
      <c r="L73" s="814"/>
      <c r="M73" s="814"/>
    </row>
    <row r="74" spans="1:13" ht="12.5">
      <c r="A74" t="s">
        <v>9151</v>
      </c>
      <c r="B74">
        <v>307.43</v>
      </c>
      <c r="C74" s="403" t="s">
        <v>5197</v>
      </c>
      <c r="D74" s="403" t="s">
        <v>4675</v>
      </c>
      <c r="E74" s="87">
        <v>1.35</v>
      </c>
      <c r="F74" s="87">
        <f>IFERROR($E74*(VLOOKUP(C74,fish_group_yield_n!$A$7:$J$49,7,FALSE)),0)</f>
        <v>5.6812137994093105E-2</v>
      </c>
      <c r="G74" s="87">
        <f>IFERROR($E74*(VLOOKUP(C74,fish_group_yield_n!$A$7:$J$49,10,FALSE)),0)</f>
        <v>5.4760928409930666E-2</v>
      </c>
      <c r="H74" s="823">
        <f t="shared" si="4"/>
        <v>7734.0740740740739</v>
      </c>
      <c r="I74" s="428">
        <f>IF(ISERROR($E74*VLOOKUP($C74,fish_group_yield_w!$A$7:$I$45,9,FALSE)),0,$E74*VLOOKUP($C74,fish_group_yield_w!$A$7:$I$45,9,FALSE))</f>
        <v>0</v>
      </c>
      <c r="J74" s="429">
        <f>IF(ISERROR($E74*VLOOKUP($C74,fish_group_yield_w!$A$7:$I$45,9,FALSE)),0,$E74*VLOOKUP($C74,fish_group_yield_w!$A$7:$I$45,9,FALSE))</f>
        <v>0</v>
      </c>
      <c r="L74" s="814"/>
      <c r="M74" s="814"/>
    </row>
    <row r="75" spans="1:13" ht="12.5">
      <c r="A75" t="s">
        <v>6047</v>
      </c>
      <c r="B75">
        <v>307.42</v>
      </c>
      <c r="C75" s="403" t="s">
        <v>5197</v>
      </c>
      <c r="D75" s="403" t="s">
        <v>4675</v>
      </c>
      <c r="E75" s="87">
        <v>1.98</v>
      </c>
      <c r="F75" s="87">
        <f>IFERROR($E75*(VLOOKUP(C75,fish_group_yield_n!$A$7:$J$49,7,FALSE)),0)</f>
        <v>8.3324469058003212E-2</v>
      </c>
      <c r="G75" s="87">
        <f>IFERROR($E75*(VLOOKUP(C75,fish_group_yield_n!$A$7:$J$49,10,FALSE)),0)</f>
        <v>8.0316028334564971E-2</v>
      </c>
      <c r="H75" s="823">
        <f t="shared" si="4"/>
        <v>51.515151515151516</v>
      </c>
      <c r="I75" s="428">
        <f>IF(ISERROR($E75*VLOOKUP($C75,fish_group_yield_w!$A$7:$I$45,9,FALSE)),0,$E75*VLOOKUP($C75,fish_group_yield_w!$A$7:$I$45,9,FALSE))</f>
        <v>0</v>
      </c>
      <c r="J75" s="429">
        <f>IF(ISERROR($E75*VLOOKUP($C75,fish_group_yield_w!$A$7:$I$45,9,FALSE)),0,$E75*VLOOKUP($C75,fish_group_yield_w!$A$7:$I$45,9,FALSE))</f>
        <v>0</v>
      </c>
      <c r="L75" s="814"/>
      <c r="M75" s="814"/>
    </row>
    <row r="76" spans="1:13" ht="12.5">
      <c r="A76" s="403" t="s">
        <v>6047</v>
      </c>
      <c r="B76" s="403">
        <v>307.41000000000003</v>
      </c>
      <c r="C76" s="403" t="s">
        <v>5197</v>
      </c>
      <c r="D76" s="403" t="s">
        <v>4675</v>
      </c>
      <c r="E76" s="87">
        <f>IFERROR(1/VLOOKUP(B76,constant_fish_extr,2,FALSE),0)</f>
        <v>0.50442913385826782</v>
      </c>
      <c r="F76" s="87">
        <f>IFERROR($E76*(VLOOKUP(C76,fish_group_yield_n!$A$7:$J$49,7,FALSE)),0)</f>
        <v>2.1227924119256867E-2</v>
      </c>
      <c r="G76" s="87">
        <f>IFERROR($E76*(VLOOKUP(C76,fish_group_yield_n!$A$7:$J$49,10,FALSE)),0)</f>
        <v>2.0461487175626618E-2</v>
      </c>
      <c r="H76" s="823">
        <f t="shared" si="4"/>
        <v>0</v>
      </c>
      <c r="I76" s="428">
        <f>IF(ISERROR($E76*VLOOKUP($C76,fish_group_yield_w!$A$7:$I$45,9,FALSE)),0,$E76*VLOOKUP($C76,fish_group_yield_w!$A$7:$I$45,9,FALSE))</f>
        <v>0</v>
      </c>
      <c r="J76" s="429">
        <f>IF(ISERROR($E76*VLOOKUP($C76,fish_group_yield_w!$A$7:$I$45,9,FALSE)),0,$E76*VLOOKUP($C76,fish_group_yield_w!$A$7:$I$45,9,FALSE))</f>
        <v>0</v>
      </c>
      <c r="L76" s="814"/>
      <c r="M76" s="814"/>
    </row>
    <row r="77" spans="1:13" ht="12.5">
      <c r="A77" s="403" t="s">
        <v>6048</v>
      </c>
      <c r="B77" s="403">
        <v>307.49</v>
      </c>
      <c r="C77" s="403" t="s">
        <v>5197</v>
      </c>
      <c r="D77" s="403" t="s">
        <v>4675</v>
      </c>
      <c r="E77" s="87">
        <f>IFERROR(1/VLOOKUP(B77,constant_fish_extr,2,FALSE),0)</f>
        <v>0.74021735473234407</v>
      </c>
      <c r="F77" s="87">
        <f>IFERROR($E77*(VLOOKUP(C77,fish_group_yield_n!$A$7:$J$49,7,FALSE)),0)</f>
        <v>3.1150615187167774E-2</v>
      </c>
      <c r="G77" s="87">
        <f>IFERROR($E77*(VLOOKUP(C77,fish_group_yield_n!$A$7:$J$49,10,FALSE)),0)</f>
        <v>3.0025918200211957E-2</v>
      </c>
      <c r="H77" s="823">
        <f t="shared" si="4"/>
        <v>841.64468181818188</v>
      </c>
      <c r="I77" s="428">
        <f>IF(ISERROR($E77*VLOOKUP($C77,fish_group_yield_w!$A$7:$I$45,9,FALSE)),0,$E77*VLOOKUP($C77,fish_group_yield_w!$A$7:$I$45,9,FALSE))</f>
        <v>0</v>
      </c>
      <c r="J77" s="429">
        <f>IF(ISERROR($E77*VLOOKUP($C77,fish_group_yield_w!$A$7:$I$45,9,FALSE)),0,$E77*VLOOKUP($C77,fish_group_yield_w!$A$7:$I$45,9,FALSE))</f>
        <v>0</v>
      </c>
      <c r="L77" s="814"/>
      <c r="M77" s="814"/>
    </row>
    <row r="78" spans="1:13" ht="12.5">
      <c r="A78" t="s">
        <v>9128</v>
      </c>
      <c r="B78">
        <v>304.47000000000003</v>
      </c>
      <c r="C78" t="s">
        <v>3785</v>
      </c>
      <c r="D78" t="s">
        <v>4681</v>
      </c>
      <c r="E78" s="87">
        <v>1.42</v>
      </c>
      <c r="F78" s="87">
        <f>IFERROR($E78*(VLOOKUP(C78,fish_group_yield_n!$A$7:$J$49,7,FALSE)),0)</f>
        <v>4.1038108279994046E-2</v>
      </c>
      <c r="G78" s="87">
        <f>IFERROR($E78*(VLOOKUP(C78,fish_group_yield_n!$A$7:$J$49,10,FALSE)),0)</f>
        <v>2.7326475589634094E-2</v>
      </c>
      <c r="H78" s="823">
        <f t="shared" si="4"/>
        <v>0</v>
      </c>
      <c r="I78" s="428">
        <f>IF(ISERROR($E78*VLOOKUP($C78,fish_group_yield_w!$A$7:$I$45,9,FALSE)),0,$E78*VLOOKUP($C78,fish_group_yield_w!$A$7:$I$45,9,FALSE))</f>
        <v>0</v>
      </c>
      <c r="J78" s="429">
        <f>IF(ISERROR($E78*VLOOKUP($C78,fish_group_yield_w!$A$7:$I$45,9,FALSE)),0,$E78*VLOOKUP($C78,fish_group_yield_w!$A$7:$I$45,9,FALSE))</f>
        <v>0</v>
      </c>
      <c r="L78" s="814"/>
      <c r="M78" s="814"/>
    </row>
    <row r="79" spans="1:13" ht="12.5">
      <c r="A79" t="s">
        <v>9133</v>
      </c>
      <c r="B79">
        <v>304.95999999999998</v>
      </c>
      <c r="C79" t="s">
        <v>3785</v>
      </c>
      <c r="D79" t="s">
        <v>4681</v>
      </c>
      <c r="E79" s="87">
        <v>1.62</v>
      </c>
      <c r="F79" s="87">
        <f>IFERROR($E79*(VLOOKUP(C79,fish_group_yield_n!$A$7:$J$49,7,FALSE)),0)</f>
        <v>4.6818123530697441E-2</v>
      </c>
      <c r="G79" s="87">
        <f>IFERROR($E79*(VLOOKUP(C79,fish_group_yield_n!$A$7:$J$49,10,FALSE)),0)</f>
        <v>3.1175274968455804E-2</v>
      </c>
      <c r="H79" s="823">
        <f t="shared" si="4"/>
        <v>0.61728395061728392</v>
      </c>
      <c r="I79" s="428">
        <f>IF(ISERROR($E79*VLOOKUP($C79,fish_group_yield_w!$A$7:$I$45,9,FALSE)),0,$E79*VLOOKUP($C79,fish_group_yield_w!$A$7:$I$45,9,FALSE))</f>
        <v>0</v>
      </c>
      <c r="J79" s="429">
        <f>IF(ISERROR($E79*VLOOKUP($C79,fish_group_yield_w!$A$7:$I$45,9,FALSE)),0,$E79*VLOOKUP($C79,fish_group_yield_w!$A$7:$I$45,9,FALSE))</f>
        <v>0</v>
      </c>
      <c r="L79" s="814"/>
      <c r="M79" s="814"/>
    </row>
    <row r="80" spans="1:13" ht="12.5">
      <c r="A80" t="s">
        <v>9130</v>
      </c>
      <c r="B80">
        <v>304.56</v>
      </c>
      <c r="C80" t="s">
        <v>3785</v>
      </c>
      <c r="D80" t="s">
        <v>4681</v>
      </c>
      <c r="E80" s="87">
        <v>1.42</v>
      </c>
      <c r="F80" s="87">
        <f>IFERROR($E80*(VLOOKUP(C80,fish_group_yield_n!$A$7:$J$49,7,FALSE)),0)</f>
        <v>4.1038108279994046E-2</v>
      </c>
      <c r="G80" s="87">
        <f>IFERROR($E80*(VLOOKUP(C80,fish_group_yield_n!$A$7:$J$49,10,FALSE)),0)</f>
        <v>2.7326475589634094E-2</v>
      </c>
      <c r="H80" s="823">
        <f t="shared" si="4"/>
        <v>0</v>
      </c>
      <c r="I80" s="428">
        <f>IF(ISERROR($E80*VLOOKUP($C80,fish_group_yield_w!$A$7:$I$45,9,FALSE)),0,$E80*VLOOKUP($C80,fish_group_yield_w!$A$7:$I$45,9,FALSE))</f>
        <v>0</v>
      </c>
      <c r="J80" s="429">
        <f>IF(ISERROR($E80*VLOOKUP($C80,fish_group_yield_w!$A$7:$I$45,9,FALSE)),0,$E80*VLOOKUP($C80,fish_group_yield_w!$A$7:$I$45,9,FALSE))</f>
        <v>0</v>
      </c>
      <c r="L80" s="814"/>
      <c r="M80" s="814"/>
    </row>
    <row r="81" spans="1:13" ht="12.5">
      <c r="A81" t="s">
        <v>8416</v>
      </c>
      <c r="B81">
        <v>302.81</v>
      </c>
      <c r="C81" s="403" t="s">
        <v>3785</v>
      </c>
      <c r="D81" s="403" t="s">
        <v>4681</v>
      </c>
      <c r="E81" s="87">
        <f>IFERROR(1/VLOOKUP(B81,constant_fish_extr,2,FALSE),0)</f>
        <v>0.70425674169823926</v>
      </c>
      <c r="F81" s="87">
        <f>IFERROR($E81*(VLOOKUP(C81,fish_group_yield_n!$A$7:$J$49,7,FALSE)),0)</f>
        <v>2.0353073537132494E-2</v>
      </c>
      <c r="G81" s="87">
        <f>IFERROR($E81*(VLOOKUP(C81,fish_group_yield_n!$A$7:$J$49,10,FALSE)),0)</f>
        <v>1.3552714549895902E-2</v>
      </c>
      <c r="H81" s="823">
        <f t="shared" si="4"/>
        <v>211.5705696202532</v>
      </c>
      <c r="I81" s="428">
        <f>IF(ISERROR($E81*VLOOKUP($C81,fish_group_yield_w!$A$7:$I$45,9,FALSE)),0,$E81*VLOOKUP($C81,fish_group_yield_w!$A$7:$I$45,9,FALSE))</f>
        <v>0</v>
      </c>
      <c r="J81" s="429">
        <f>IF(ISERROR($E81*VLOOKUP($C81,fish_group_yield_w!$A$7:$I$45,9,FALSE)),0,$E81*VLOOKUP($C81,fish_group_yield_w!$A$7:$I$45,9,FALSE))</f>
        <v>0</v>
      </c>
      <c r="L81" s="814"/>
      <c r="M81" s="814"/>
    </row>
    <row r="82" spans="1:13" ht="12.5">
      <c r="A82" s="403" t="s">
        <v>6049</v>
      </c>
      <c r="B82" s="403">
        <v>302.64999999999998</v>
      </c>
      <c r="C82" s="403" t="s">
        <v>3785</v>
      </c>
      <c r="D82" s="403" t="s">
        <v>4681</v>
      </c>
      <c r="E82" s="87">
        <f>IFERROR(1/VLOOKUP(B82,constant_fish_extr,2,FALSE),0)</f>
        <v>0.70425674169823926</v>
      </c>
      <c r="F82" s="87">
        <f>IFERROR($E82*(VLOOKUP(C82,fish_group_yield_n!$A$7:$J$49,7,FALSE)),0)</f>
        <v>2.0353073537132494E-2</v>
      </c>
      <c r="G82" s="87">
        <f>IFERROR($E82*(VLOOKUP(C82,fish_group_yield_n!$A$7:$J$49,10,FALSE)),0)</f>
        <v>1.3552714549895902E-2</v>
      </c>
      <c r="H82" s="823">
        <f t="shared" si="4"/>
        <v>0</v>
      </c>
      <c r="I82" s="428">
        <f>IF(ISERROR($E82*VLOOKUP($C82,fish_group_yield_w!$A$7:$I$45,9,FALSE)),0,$E82*VLOOKUP($C82,fish_group_yield_w!$A$7:$I$45,9,FALSE))</f>
        <v>0</v>
      </c>
      <c r="J82" s="429">
        <f>IF(ISERROR($E82*VLOOKUP($C82,fish_group_yield_w!$A$7:$I$45,9,FALSE)),0,$E82*VLOOKUP($C82,fish_group_yield_w!$A$7:$I$45,9,FALSE))</f>
        <v>0</v>
      </c>
      <c r="L82" s="814"/>
      <c r="M82" s="814"/>
    </row>
    <row r="83" spans="1:13" ht="12.5">
      <c r="A83" s="403" t="s">
        <v>6050</v>
      </c>
      <c r="B83" s="403">
        <v>303.75</v>
      </c>
      <c r="C83" s="403" t="s">
        <v>3785</v>
      </c>
      <c r="D83" s="403" t="s">
        <v>4681</v>
      </c>
      <c r="E83" s="87">
        <f>IFERROR(1/VLOOKUP(B83,constant_fish_extr,2,FALSE),0)</f>
        <v>0.61671805983832018</v>
      </c>
      <c r="F83" s="87">
        <f>IFERROR($E83*(VLOOKUP(C83,fish_group_yield_n!$A$7:$J$49,7,FALSE)),0)</f>
        <v>1.7823198956248475E-2</v>
      </c>
      <c r="G83" s="87">
        <f>IFERROR($E83*(VLOOKUP(C83,fish_group_yield_n!$A$7:$J$49,10,FALSE)),0)</f>
        <v>1.1868120428069265E-2</v>
      </c>
      <c r="H83" s="823">
        <f t="shared" si="4"/>
        <v>0</v>
      </c>
      <c r="I83" s="428">
        <f>IF(ISERROR($E83*VLOOKUP($C83,fish_group_yield_w!$A$7:$I$45,9,FALSE)),0,$E83*VLOOKUP($C83,fish_group_yield_w!$A$7:$I$45,9,FALSE))</f>
        <v>0</v>
      </c>
      <c r="J83" s="429">
        <f>IF(ISERROR($E83*VLOOKUP($C83,fish_group_yield_w!$A$7:$I$45,9,FALSE)),0,$E83*VLOOKUP($C83,fish_group_yield_w!$A$7:$I$45,9,FALSE))</f>
        <v>0</v>
      </c>
      <c r="L83" s="814"/>
      <c r="M83" s="814"/>
    </row>
    <row r="84" spans="1:13" ht="12.5">
      <c r="A84" s="801" t="s">
        <v>6050</v>
      </c>
      <c r="B84" s="801">
        <v>303.81</v>
      </c>
      <c r="C84" s="403" t="s">
        <v>3785</v>
      </c>
      <c r="D84" s="403" t="s">
        <v>4681</v>
      </c>
      <c r="E84" s="87">
        <f>IFERROR(1/VLOOKUP(B84,constant_fish_extr,2,FALSE),0)</f>
        <v>0</v>
      </c>
      <c r="F84" s="87">
        <f>IFERROR($E84*(VLOOKUP(C84,fish_group_yield_n!$A$7:$J$49,7,FALSE)),0)</f>
        <v>0</v>
      </c>
      <c r="G84" s="87">
        <f>IFERROR($E84*(VLOOKUP(C84,fish_group_yield_n!$A$7:$J$49,10,FALSE)),0)</f>
        <v>0</v>
      </c>
      <c r="H84" s="823">
        <f t="shared" si="4"/>
        <v>0</v>
      </c>
      <c r="I84" s="428">
        <f>IF(ISERROR($E84*VLOOKUP($C84,fish_group_yield_w!$A$7:$I$45,9,FALSE)),0,$E84*VLOOKUP($C84,fish_group_yield_w!$A$7:$I$45,9,FALSE))</f>
        <v>0</v>
      </c>
      <c r="J84" s="429">
        <f>IF(ISERROR($E84*VLOOKUP($C84,fish_group_yield_w!$A$7:$I$45,9,FALSE)),0,$E84*VLOOKUP($C84,fish_group_yield_w!$A$7:$I$45,9,FALSE))</f>
        <v>0</v>
      </c>
      <c r="L84" s="814"/>
      <c r="M84" s="814"/>
    </row>
    <row r="85" spans="1:13" ht="12.5">
      <c r="A85" t="s">
        <v>9132</v>
      </c>
      <c r="B85">
        <v>304.88</v>
      </c>
      <c r="C85" t="s">
        <v>3785</v>
      </c>
      <c r="D85" t="s">
        <v>4681</v>
      </c>
      <c r="E85" s="87">
        <v>1.62</v>
      </c>
      <c r="F85" s="87">
        <f>IFERROR($E85*(VLOOKUP(C85,fish_group_yield_n!$A$7:$J$49,7,FALSE)),0)</f>
        <v>4.6818123530697441E-2</v>
      </c>
      <c r="G85" s="87">
        <f>IFERROR($E85*(VLOOKUP(C85,fish_group_yield_n!$A$7:$J$49,10,FALSE)),0)</f>
        <v>3.1175274968455804E-2</v>
      </c>
      <c r="H85" s="823">
        <f t="shared" si="4"/>
        <v>0</v>
      </c>
      <c r="I85" s="428">
        <f>IF(ISERROR($E85*VLOOKUP($C85,fish_group_yield_w!$A$7:$I$45,9,FALSE)),0,$E85*VLOOKUP($C85,fish_group_yield_w!$A$7:$I$45,9,FALSE))</f>
        <v>0</v>
      </c>
      <c r="J85" s="429">
        <f>IF(ISERROR($E85*VLOOKUP($C85,fish_group_yield_w!$A$7:$I$45,9,FALSE)),0,$E85*VLOOKUP($C85,fish_group_yield_w!$A$7:$I$45,9,FALSE))</f>
        <v>0</v>
      </c>
      <c r="L85" s="814"/>
      <c r="M85" s="814"/>
    </row>
    <row r="86" spans="1:13" ht="12.5">
      <c r="A86" t="s">
        <v>9136</v>
      </c>
      <c r="B86">
        <v>305.52999999999997</v>
      </c>
      <c r="C86" t="s">
        <v>5195</v>
      </c>
      <c r="D86" t="s">
        <v>4681</v>
      </c>
      <c r="E86" s="87">
        <v>2.2999999999999998</v>
      </c>
      <c r="F86" s="87">
        <f>IFERROR($E86*(VLOOKUP(C86,fish_group_yield_n!$A$7:$J$49,7,FALSE)),0)</f>
        <v>3.1201256393050689E-2</v>
      </c>
      <c r="G86" s="87">
        <f>IFERROR($E86*(VLOOKUP(C86,fish_group_yield_n!$A$7:$J$49,10,FALSE)),0)</f>
        <v>3.0290271602267327E-2</v>
      </c>
      <c r="H86" s="823">
        <f t="shared" si="4"/>
        <v>16.956521739130437</v>
      </c>
      <c r="I86" s="428">
        <f>IF(ISERROR($E86*VLOOKUP($C86,fish_group_yield_w!$A$7:$I$45,9,FALSE)),0,$E86*VLOOKUP($C86,fish_group_yield_w!$A$7:$I$45,9,FALSE))</f>
        <v>7.9988127581015998E-4</v>
      </c>
      <c r="J86" s="429">
        <f>IF(ISERROR($E86*VLOOKUP($C86,fish_group_yield_w!$A$7:$I$45,9,FALSE)),0,$E86*VLOOKUP($C86,fish_group_yield_w!$A$7:$I$45,9,FALSE))</f>
        <v>7.9988127581015998E-4</v>
      </c>
      <c r="L86" s="814"/>
      <c r="M86" s="814"/>
    </row>
    <row r="87" spans="1:13" ht="12.5">
      <c r="A87" t="s">
        <v>9137</v>
      </c>
      <c r="B87">
        <v>305.54000000000002</v>
      </c>
      <c r="C87" t="s">
        <v>1738</v>
      </c>
      <c r="D87" t="s">
        <v>4699</v>
      </c>
      <c r="E87" s="87">
        <v>3.41</v>
      </c>
      <c r="F87" s="87">
        <f>IFERROR($E87*(VLOOKUP(C87,fish_group_yield_n!$A$7:$J$49,7,FALSE)),0)</f>
        <v>0.30730412903162252</v>
      </c>
      <c r="G87" s="87">
        <f>IFERROR($E87*(VLOOKUP(C87,fish_group_yield_n!$A$7:$J$49,10,FALSE)),0)</f>
        <v>0.21134201663807006</v>
      </c>
      <c r="H87" s="823">
        <f t="shared" si="4"/>
        <v>20.527859237536656</v>
      </c>
      <c r="I87" s="428">
        <f>IF(ISERROR($E87*VLOOKUP($C87,fish_group_yield_w!$A$7:$I$45,9,FALSE)),0,$E87*VLOOKUP($C87,fish_group_yield_w!$A$7:$I$45,9,FALSE))</f>
        <v>0.94168766508334278</v>
      </c>
      <c r="J87" s="429">
        <f>IF(ISERROR($E87*VLOOKUP($C87,fish_group_yield_w!$A$7:$I$45,9,FALSE)),0,$E87*VLOOKUP($C87,fish_group_yield_w!$A$7:$I$45,9,FALSE))</f>
        <v>0.94168766508334278</v>
      </c>
      <c r="L87" s="814"/>
      <c r="M87" s="814"/>
    </row>
    <row r="88" spans="1:13" ht="12.5">
      <c r="A88" t="s">
        <v>9135</v>
      </c>
      <c r="B88">
        <v>305.52</v>
      </c>
      <c r="C88" s="403" t="s">
        <v>1738</v>
      </c>
      <c r="D88" s="403" t="s">
        <v>4685</v>
      </c>
      <c r="E88" s="87">
        <v>3.41</v>
      </c>
      <c r="F88" s="87">
        <f>IFERROR($E88*(VLOOKUP(C88,fish_group_yield_n!$A$7:$J$49,7,FALSE)),0)</f>
        <v>0.30730412903162252</v>
      </c>
      <c r="G88" s="87">
        <f>IFERROR($E88*(VLOOKUP(C88,fish_group_yield_n!$A$7:$J$49,10,FALSE)),0)</f>
        <v>0.21134201663807006</v>
      </c>
      <c r="H88" s="823">
        <f t="shared" si="4"/>
        <v>0.29325513196480935</v>
      </c>
      <c r="I88" s="428">
        <f>IF(ISERROR($E88*VLOOKUP($C88,fish_group_yield_w!$A$7:$I$45,9,FALSE)),0,$E88*VLOOKUP($C88,fish_group_yield_w!$A$7:$I$45,9,FALSE))</f>
        <v>0.94168766508334278</v>
      </c>
      <c r="J88" s="429">
        <f>IF(ISERROR($E88*VLOOKUP($C88,fish_group_yield_w!$A$7:$I$45,9,FALSE)),0,$E88*VLOOKUP($C88,fish_group_yield_w!$A$7:$I$45,9,FALSE))</f>
        <v>0.94168766508334278</v>
      </c>
      <c r="L88" s="814"/>
      <c r="M88" s="814"/>
    </row>
    <row r="89" spans="1:13" ht="12.5">
      <c r="A89" t="s">
        <v>8417</v>
      </c>
      <c r="B89">
        <v>302.74</v>
      </c>
      <c r="C89" s="403" t="s">
        <v>3786</v>
      </c>
      <c r="D89" s="403" t="s">
        <v>4681</v>
      </c>
      <c r="E89" s="87">
        <f t="shared" ref="E89:E100" si="5">IFERROR(1/VLOOKUP(B89,constant_fish_extr,2,FALSE),0)</f>
        <v>0.82233282839212285</v>
      </c>
      <c r="F89" s="87">
        <f>IFERROR($E89*(VLOOKUP(C89,fish_group_yield_n!$A$7:$J$49,7,FALSE)),0)</f>
        <v>4.1963117305574081E-2</v>
      </c>
      <c r="G89" s="87">
        <f>IFERROR($E89*(VLOOKUP(C89,fish_group_yield_n!$A$7:$J$49,10,FALSE)),0)</f>
        <v>4.3528867251176759E-2</v>
      </c>
      <c r="H89" s="823">
        <f t="shared" si="4"/>
        <v>2.432105263157895</v>
      </c>
      <c r="I89" s="428">
        <f>IF(ISERROR($E89*VLOOKUP($C89,fish_group_yield_w!$A$7:$I$45,9,FALSE)),0,$E89*VLOOKUP($C89,fish_group_yield_w!$A$7:$I$45,9,FALSE))</f>
        <v>0.24849519281253929</v>
      </c>
      <c r="J89" s="429">
        <f>IF(ISERROR($E89*VLOOKUP($C89,fish_group_yield_w!$A$7:$I$45,9,FALSE)),0,$E89*VLOOKUP($C89,fish_group_yield_w!$A$7:$I$45,9,FALSE))</f>
        <v>0.24849519281253929</v>
      </c>
      <c r="L89" s="814"/>
      <c r="M89" s="814"/>
    </row>
    <row r="90" spans="1:13" ht="12.5">
      <c r="A90" s="403" t="s">
        <v>6051</v>
      </c>
      <c r="B90" s="403">
        <v>302.66000000000003</v>
      </c>
      <c r="C90" s="403" t="s">
        <v>3786</v>
      </c>
      <c r="D90" s="403" t="s">
        <v>4681</v>
      </c>
      <c r="E90" s="87">
        <f t="shared" si="5"/>
        <v>0.82233282839212285</v>
      </c>
      <c r="F90" s="87">
        <f>IFERROR($E90*(VLOOKUP(C90,fish_group_yield_n!$A$7:$J$49,7,FALSE)),0)</f>
        <v>4.1963117305574081E-2</v>
      </c>
      <c r="G90" s="87">
        <f>IFERROR($E90*(VLOOKUP(C90,fish_group_yield_n!$A$7:$J$49,10,FALSE)),0)</f>
        <v>4.3528867251176759E-2</v>
      </c>
      <c r="H90" s="823">
        <f t="shared" si="4"/>
        <v>0</v>
      </c>
      <c r="I90" s="428">
        <f>IF(ISERROR($E90*VLOOKUP($C90,fish_group_yield_w!$A$7:$I$45,9,FALSE)),0,$E90*VLOOKUP($C90,fish_group_yield_w!$A$7:$I$45,9,FALSE))</f>
        <v>0.24849519281253929</v>
      </c>
      <c r="J90" s="429">
        <f>IF(ISERROR($E90*VLOOKUP($C90,fish_group_yield_w!$A$7:$I$45,9,FALSE)),0,$E90*VLOOKUP($C90,fish_group_yield_w!$A$7:$I$45,9,FALSE))</f>
        <v>0.24849519281253929</v>
      </c>
      <c r="L90" s="814"/>
      <c r="M90" s="814"/>
    </row>
    <row r="91" spans="1:13" ht="12.5">
      <c r="A91" s="403" t="s">
        <v>6052</v>
      </c>
      <c r="B91" s="403">
        <v>303.76</v>
      </c>
      <c r="C91" s="403" t="s">
        <v>3786</v>
      </c>
      <c r="D91" s="403" t="s">
        <v>4681</v>
      </c>
      <c r="E91" s="87">
        <f t="shared" si="5"/>
        <v>0.82233282839212285</v>
      </c>
      <c r="F91" s="87">
        <f>IFERROR($E91*(VLOOKUP(C91,fish_group_yield_n!$A$7:$J$49,7,FALSE)),0)</f>
        <v>4.1963117305574081E-2</v>
      </c>
      <c r="G91" s="87">
        <f>IFERROR($E91*(VLOOKUP(C91,fish_group_yield_n!$A$7:$J$49,10,FALSE)),0)</f>
        <v>4.3528867251176759E-2</v>
      </c>
      <c r="H91" s="823">
        <f t="shared" si="4"/>
        <v>0</v>
      </c>
      <c r="I91" s="428">
        <f>IF(ISERROR($E91*VLOOKUP($C91,fish_group_yield_w!$A$7:$I$45,9,FALSE)),0,$E91*VLOOKUP($C91,fish_group_yield_w!$A$7:$I$45,9,FALSE))</f>
        <v>0.24849519281253929</v>
      </c>
      <c r="J91" s="429">
        <f>IF(ISERROR($E91*VLOOKUP($C91,fish_group_yield_w!$A$7:$I$45,9,FALSE)),0,$E91*VLOOKUP($C91,fish_group_yield_w!$A$7:$I$45,9,FALSE))</f>
        <v>0.24849519281253929</v>
      </c>
      <c r="L91" s="814"/>
      <c r="M91" s="814"/>
    </row>
    <row r="92" spans="1:13" ht="12.5">
      <c r="A92" s="403" t="s">
        <v>6053</v>
      </c>
      <c r="B92" s="403">
        <v>301.92</v>
      </c>
      <c r="C92" s="403" t="s">
        <v>3786</v>
      </c>
      <c r="D92" s="403" t="s">
        <v>4681</v>
      </c>
      <c r="E92" s="87">
        <f t="shared" si="5"/>
        <v>0.82233282839212285</v>
      </c>
      <c r="F92" s="87">
        <f>IFERROR($E92*(VLOOKUP(C92,fish_group_yield_n!$A$7:$J$49,7,FALSE)),0)</f>
        <v>4.1963117305574081E-2</v>
      </c>
      <c r="G92" s="87">
        <f>IFERROR($E92*(VLOOKUP(C92,fish_group_yield_n!$A$7:$J$49,10,FALSE)),0)</f>
        <v>4.3528867251176759E-2</v>
      </c>
      <c r="H92" s="823">
        <f t="shared" si="4"/>
        <v>111.87684210526317</v>
      </c>
      <c r="I92" s="428">
        <f>IF(ISERROR($E92*VLOOKUP($C92,fish_group_yield_w!$A$7:$I$45,9,FALSE)),0,$E92*VLOOKUP($C92,fish_group_yield_w!$A$7:$I$45,9,FALSE))</f>
        <v>0.24849519281253929</v>
      </c>
      <c r="J92" s="429">
        <f>IF(ISERROR($E92*VLOOKUP($C92,fish_group_yield_w!$A$7:$I$45,9,FALSE)),0,$E92*VLOOKUP($C92,fish_group_yield_w!$A$7:$I$45,9,FALSE))</f>
        <v>0.24849519281253929</v>
      </c>
      <c r="L92" s="814"/>
      <c r="M92" s="814"/>
    </row>
    <row r="93" spans="1:13" ht="12.5">
      <c r="A93" t="s">
        <v>8478</v>
      </c>
      <c r="B93">
        <v>1604.17</v>
      </c>
      <c r="C93" t="s">
        <v>3786</v>
      </c>
      <c r="D93" t="s">
        <v>4681</v>
      </c>
      <c r="E93" s="87">
        <f t="shared" si="5"/>
        <v>0.6508758613272817</v>
      </c>
      <c r="F93" s="87">
        <f>IFERROR($E93*(VLOOKUP(C93,fish_group_yield_n!$A$7:$J$49,7,FALSE)),0)</f>
        <v>3.3213778140959015E-2</v>
      </c>
      <c r="G93" s="87">
        <f>IFERROR($E93*(VLOOKUP(C93,fish_group_yield_n!$A$7:$J$49,10,FALSE)),0)</f>
        <v>3.4453068133138837E-2</v>
      </c>
      <c r="H93" s="823">
        <f t="shared" si="4"/>
        <v>877.27942289272039</v>
      </c>
      <c r="I93" s="428">
        <f>IF(ISERROR($E93*VLOOKUP($C93,fish_group_yield_w!$A$7:$I$45,9,FALSE)),0,$E93*VLOOKUP($C93,fish_group_yield_w!$A$7:$I$45,9,FALSE))</f>
        <v>0.19668377215803703</v>
      </c>
      <c r="J93" s="429">
        <f>IF(ISERROR($E93*VLOOKUP($C93,fish_group_yield_w!$A$7:$I$45,9,FALSE)),0,$E93*VLOOKUP($C93,fish_group_yield_w!$A$7:$I$45,9,FALSE))</f>
        <v>0.19668377215803703</v>
      </c>
      <c r="L93" s="814"/>
      <c r="M93" s="814"/>
    </row>
    <row r="94" spans="1:13" ht="12.5">
      <c r="A94" t="s">
        <v>8419</v>
      </c>
      <c r="B94">
        <v>303.26</v>
      </c>
      <c r="C94" t="s">
        <v>3786</v>
      </c>
      <c r="D94" t="s">
        <v>4681</v>
      </c>
      <c r="E94" s="87">
        <f t="shared" si="5"/>
        <v>0.82233282839212285</v>
      </c>
      <c r="F94" s="87">
        <f>IFERROR($E94*(VLOOKUP(C94,fish_group_yield_n!$A$7:$J$49,7,FALSE)),0)</f>
        <v>4.1963117305574081E-2</v>
      </c>
      <c r="G94" s="87">
        <f>IFERROR($E94*(VLOOKUP(C94,fish_group_yield_n!$A$7:$J$49,10,FALSE)),0)</f>
        <v>4.3528867251176759E-2</v>
      </c>
      <c r="H94" s="823">
        <f t="shared" si="4"/>
        <v>328.33421052631581</v>
      </c>
      <c r="I94" s="428">
        <f>IF(ISERROR($E94*VLOOKUP($C94,fish_group_yield_w!$A$7:$I$45,9,FALSE)),0,$E94*VLOOKUP($C94,fish_group_yield_w!$A$7:$I$45,9,FALSE))</f>
        <v>0.24849519281253929</v>
      </c>
      <c r="J94" s="429">
        <f>IF(ISERROR($E94*VLOOKUP($C94,fish_group_yield_w!$A$7:$I$45,9,FALSE)),0,$E94*VLOOKUP($C94,fish_group_yield_w!$A$7:$I$45,9,FALSE))</f>
        <v>0.24849519281253929</v>
      </c>
      <c r="L94" s="814"/>
      <c r="M94" s="814"/>
    </row>
    <row r="95" spans="1:13" ht="12.5">
      <c r="A95" s="403" t="s">
        <v>6054</v>
      </c>
      <c r="B95" s="403">
        <v>305.3</v>
      </c>
      <c r="C95" s="403" t="s">
        <v>1735</v>
      </c>
      <c r="D95" s="403"/>
      <c r="E95" s="87">
        <f t="shared" si="5"/>
        <v>0.25</v>
      </c>
      <c r="F95" s="87">
        <f>IFERROR($E95*(VLOOKUP(C95,fish_group_yield_n!$A$7:$J$49,7,FALSE)),0)</f>
        <v>1.4974194332138707E-2</v>
      </c>
      <c r="G95" s="87">
        <f>IFERROR($E95*(VLOOKUP(C95,fish_group_yield_n!$A$7:$J$49,10,FALSE)),0)</f>
        <v>1.4974194332138709E-2</v>
      </c>
      <c r="H95" s="823">
        <f t="shared" si="4"/>
        <v>0</v>
      </c>
      <c r="I95" s="428">
        <f>IF(ISERROR($E95*VLOOKUP($C95,fish_group_yield_w!$A$7:$I$45,9,FALSE)),0,$E95*VLOOKUP($C95,fish_group_yield_w!$A$7:$I$45,9,FALSE))</f>
        <v>0</v>
      </c>
      <c r="J95" s="429">
        <f>IF(ISERROR($E95*VLOOKUP($C95,fish_group_yield_w!$A$7:$I$45,9,FALSE)),0,$E95*VLOOKUP($C95,fish_group_yield_w!$A$7:$I$45,9,FALSE))</f>
        <v>0</v>
      </c>
      <c r="L95" s="814"/>
      <c r="M95" s="814"/>
    </row>
    <row r="96" spans="1:13" ht="12.5">
      <c r="A96" t="s">
        <v>8420</v>
      </c>
      <c r="B96">
        <v>304.49</v>
      </c>
      <c r="C96" t="s">
        <v>1735</v>
      </c>
      <c r="D96"/>
      <c r="E96" s="87">
        <f t="shared" si="5"/>
        <v>1</v>
      </c>
      <c r="F96" s="87">
        <f>IFERROR($E96*(VLOOKUP(C96,fish_group_yield_n!$A$7:$J$49,7,FALSE)),0)</f>
        <v>5.9896777328554827E-2</v>
      </c>
      <c r="G96" s="87">
        <f>IFERROR($E96*(VLOOKUP(C96,fish_group_yield_n!$A$7:$J$49,10,FALSE)),0)</f>
        <v>5.9896777328554834E-2</v>
      </c>
      <c r="H96" s="823">
        <f t="shared" si="4"/>
        <v>559</v>
      </c>
      <c r="I96" s="428">
        <f>IF(ISERROR($E96*VLOOKUP($C96,fish_group_yield_w!$A$7:$I$45,9,FALSE)),0,$E96*VLOOKUP($C96,fish_group_yield_w!$A$7:$I$45,9,FALSE))</f>
        <v>0</v>
      </c>
      <c r="J96" s="429">
        <f>IF(ISERROR($E96*VLOOKUP($C96,fish_group_yield_w!$A$7:$I$45,9,FALSE)),0,$E96*VLOOKUP($C96,fish_group_yield_w!$A$7:$I$45,9,FALSE))</f>
        <v>0</v>
      </c>
      <c r="L96" s="814"/>
      <c r="M96" s="814"/>
    </row>
    <row r="97" spans="1:13" ht="12.5">
      <c r="A97" s="403" t="s">
        <v>1815</v>
      </c>
      <c r="B97" s="403">
        <v>304.29000000000002</v>
      </c>
      <c r="C97" s="403" t="s">
        <v>1735</v>
      </c>
      <c r="D97" s="403"/>
      <c r="E97" s="87">
        <f t="shared" si="5"/>
        <v>0.64922665648271916</v>
      </c>
      <c r="F97" s="87">
        <f>IFERROR($E97*(VLOOKUP(C97,fish_group_yield_n!$A$7:$J$49,7,FALSE)),0)</f>
        <v>3.8886584479107589E-2</v>
      </c>
      <c r="G97" s="87">
        <f>IFERROR($E97*(VLOOKUP(C97,fish_group_yield_n!$A$7:$J$49,10,FALSE)),0)</f>
        <v>3.8886584479107589E-2</v>
      </c>
      <c r="H97" s="823">
        <f t="shared" si="4"/>
        <v>0</v>
      </c>
      <c r="I97" s="428">
        <f>IF(ISERROR($E97*VLOOKUP($C97,fish_group_yield_w!$A$7:$I$45,9,FALSE)),0,$E97*VLOOKUP($C97,fish_group_yield_w!$A$7:$I$45,9,FALSE))</f>
        <v>0</v>
      </c>
      <c r="J97" s="429">
        <f>IF(ISERROR($E97*VLOOKUP($C97,fish_group_yield_w!$A$7:$I$45,9,FALSE)),0,$E97*VLOOKUP($C97,fish_group_yield_w!$A$7:$I$45,9,FALSE))</f>
        <v>0</v>
      </c>
      <c r="L97" s="814"/>
      <c r="M97" s="814"/>
    </row>
    <row r="98" spans="1:13" ht="12.5">
      <c r="A98" s="801" t="s">
        <v>1815</v>
      </c>
      <c r="B98" s="801">
        <v>304.89</v>
      </c>
      <c r="C98" s="403" t="s">
        <v>1735</v>
      </c>
      <c r="D98"/>
      <c r="E98" s="87">
        <f t="shared" si="5"/>
        <v>0</v>
      </c>
      <c r="F98" s="87">
        <f>IFERROR($E98*(VLOOKUP(C98,fish_group_yield_n!$A$7:$J$49,7,FALSE)),0)</f>
        <v>0</v>
      </c>
      <c r="G98" s="87">
        <f>IFERROR($E98*(VLOOKUP(C98,fish_group_yield_n!$A$7:$J$49,10,FALSE)),0)</f>
        <v>0</v>
      </c>
      <c r="H98" s="823">
        <f t="shared" si="4"/>
        <v>0</v>
      </c>
      <c r="I98" s="428">
        <f>IF(ISERROR($E98*VLOOKUP($C98,fish_group_yield_w!$A$7:$I$45,9,FALSE)),0,$E98*VLOOKUP($C98,fish_group_yield_w!$A$7:$I$45,9,FALSE))</f>
        <v>0</v>
      </c>
      <c r="J98" s="429">
        <f>IF(ISERROR($E98*VLOOKUP($C98,fish_group_yield_w!$A$7:$I$45,9,FALSE)),0,$E98*VLOOKUP($C98,fish_group_yield_w!$A$7:$I$45,9,FALSE))</f>
        <v>0</v>
      </c>
      <c r="L98" s="814"/>
      <c r="M98" s="814"/>
    </row>
    <row r="99" spans="1:13" ht="12.5">
      <c r="A99" s="403" t="s">
        <v>4837</v>
      </c>
      <c r="B99" s="403">
        <v>305.10000000000002</v>
      </c>
      <c r="C99" s="403" t="s">
        <v>3476</v>
      </c>
      <c r="D99" s="403"/>
      <c r="E99" s="87">
        <f t="shared" si="5"/>
        <v>0.267538644470868</v>
      </c>
      <c r="F99" s="87">
        <f>IFERROR($E99*(VLOOKUP(C99,fish_group_yield_n!$A$7:$J$49,7,FALSE)),0)</f>
        <v>9.9741199493811439E-2</v>
      </c>
      <c r="G99" s="87">
        <f>IFERROR($E99*(VLOOKUP(C99,fish_group_yield_n!$A$7:$J$49,10,FALSE)),0)</f>
        <v>5.7079133275053394E-2</v>
      </c>
      <c r="H99" s="823">
        <f t="shared" si="4"/>
        <v>1248.4177777777779</v>
      </c>
      <c r="I99" s="428">
        <f>IF(ISERROR($E99*VLOOKUP($C99,fish_group_yield_w!$A$7:$I$45,9,FALSE)),0,$E99*VLOOKUP($C99,fish_group_yield_w!$A$7:$I$45,9,FALSE))</f>
        <v>0</v>
      </c>
      <c r="J99" s="429">
        <f>IF(ISERROR($E99*VLOOKUP($C99,fish_group_yield_w!$A$7:$I$45,9,FALSE)),0,$E99*VLOOKUP($C99,fish_group_yield_w!$A$7:$I$45,9,FALSE))</f>
        <v>0</v>
      </c>
      <c r="L99" s="814"/>
      <c r="M99" s="814"/>
    </row>
    <row r="100" spans="1:13" ht="12.5">
      <c r="A100" t="s">
        <v>8421</v>
      </c>
      <c r="B100">
        <v>305.72000000000003</v>
      </c>
      <c r="C100" t="s">
        <v>1735</v>
      </c>
      <c r="D100"/>
      <c r="E100" s="87">
        <f t="shared" si="5"/>
        <v>0.25</v>
      </c>
      <c r="F100" s="87">
        <f>IFERROR($E100*(VLOOKUP(C100,fish_group_yield_n!$A$7:$J$49,7,FALSE)),0)</f>
        <v>1.4974194332138707E-2</v>
      </c>
      <c r="G100" s="87">
        <f>IFERROR($E100*(VLOOKUP(C100,fish_group_yield_n!$A$7:$J$49,10,FALSE)),0)</f>
        <v>1.4974194332138709E-2</v>
      </c>
      <c r="H100" s="823">
        <f t="shared" si="4"/>
        <v>196</v>
      </c>
      <c r="I100" s="428">
        <f>IF(ISERROR($E100*VLOOKUP($C100,fish_group_yield_w!$A$7:$I$45,9,FALSE)),0,$E100*VLOOKUP($C100,fish_group_yield_w!$A$7:$I$45,9,FALSE))</f>
        <v>0</v>
      </c>
      <c r="J100" s="429">
        <f>IF(ISERROR($E100*VLOOKUP($C100,fish_group_yield_w!$A$7:$I$45,9,FALSE)),0,$E100*VLOOKUP($C100,fish_group_yield_w!$A$7:$I$45,9,FALSE))</f>
        <v>0</v>
      </c>
      <c r="L100" s="814"/>
      <c r="M100" s="814"/>
    </row>
    <row r="101" spans="1:13" ht="12.5">
      <c r="A101" t="s">
        <v>9123</v>
      </c>
      <c r="B101">
        <v>302.99</v>
      </c>
      <c r="C101" t="s">
        <v>1735</v>
      </c>
      <c r="D101"/>
      <c r="E101" s="87">
        <v>4</v>
      </c>
      <c r="F101" s="87">
        <f>IFERROR($E101*(VLOOKUP(C101,fish_group_yield_n!$A$7:$J$49,7,FALSE)),0)</f>
        <v>0.23958710931421931</v>
      </c>
      <c r="G101" s="87">
        <f>IFERROR($E101*(VLOOKUP(C101,fish_group_yield_n!$A$7:$J$49,10,FALSE)),0)</f>
        <v>0.23958710931421934</v>
      </c>
      <c r="H101" s="823">
        <f t="shared" si="4"/>
        <v>5</v>
      </c>
      <c r="I101" s="428">
        <f>IF(ISERROR($E101*VLOOKUP($C101,fish_group_yield_w!$A$7:$I$45,9,FALSE)),0,$E101*VLOOKUP($C101,fish_group_yield_w!$A$7:$I$45,9,FALSE))</f>
        <v>0</v>
      </c>
      <c r="J101" s="429">
        <f>IF(ISERROR($E101*VLOOKUP($C101,fish_group_yield_w!$A$7:$I$45,9,FALSE)),0,$E101*VLOOKUP($C101,fish_group_yield_w!$A$7:$I$45,9,FALSE))</f>
        <v>0</v>
      </c>
      <c r="L101" s="814"/>
      <c r="M101" s="814"/>
    </row>
    <row r="102" spans="1:13" ht="12.5">
      <c r="A102" t="s">
        <v>9127</v>
      </c>
      <c r="B102">
        <v>303.99</v>
      </c>
      <c r="C102" t="s">
        <v>1735</v>
      </c>
      <c r="D102"/>
      <c r="E102" s="87">
        <v>4</v>
      </c>
      <c r="F102" s="87">
        <f>IFERROR($E102*(VLOOKUP(C102,fish_group_yield_n!$A$7:$J$49,7,FALSE)),0)</f>
        <v>0.23958710931421931</v>
      </c>
      <c r="G102" s="87">
        <f>IFERROR($E102*(VLOOKUP(C102,fish_group_yield_n!$A$7:$J$49,10,FALSE)),0)</f>
        <v>0.23958710931421934</v>
      </c>
      <c r="H102" s="823">
        <f t="shared" si="4"/>
        <v>0</v>
      </c>
      <c r="I102" s="428">
        <f>IF(ISERROR($E102*VLOOKUP($C102,fish_group_yield_w!$A$7:$I$45,9,FALSE)),0,$E102*VLOOKUP($C102,fish_group_yield_w!$A$7:$I$45,9,FALSE))</f>
        <v>0</v>
      </c>
      <c r="J102" s="429">
        <f>IF(ISERROR($E102*VLOOKUP($C102,fish_group_yield_w!$A$7:$I$45,9,FALSE)),0,$E102*VLOOKUP($C102,fish_group_yield_w!$A$7:$I$45,9,FALSE))</f>
        <v>0</v>
      </c>
      <c r="L102" s="814"/>
      <c r="M102" s="814"/>
    </row>
    <row r="103" spans="1:13" ht="12.5">
      <c r="A103" s="403" t="s">
        <v>6055</v>
      </c>
      <c r="B103" s="403">
        <v>305.2</v>
      </c>
      <c r="C103" s="403" t="s">
        <v>1735</v>
      </c>
      <c r="D103" s="403"/>
      <c r="E103" s="87">
        <f t="shared" ref="E103:E136" si="6">IFERROR(1/VLOOKUP(B103,constant_fish_extr,2,FALSE),0)</f>
        <v>0.25</v>
      </c>
      <c r="F103" s="87">
        <f>IFERROR($E103*(VLOOKUP(C103,fish_group_yield_n!$A$7:$J$49,7,FALSE)),0)</f>
        <v>1.4974194332138707E-2</v>
      </c>
      <c r="G103" s="87">
        <f>IFERROR($E103*(VLOOKUP(C103,fish_group_yield_n!$A$7:$J$49,10,FALSE)),0)</f>
        <v>1.4974194332138709E-2</v>
      </c>
      <c r="H103" s="823">
        <f t="shared" si="4"/>
        <v>1196</v>
      </c>
      <c r="I103" s="428">
        <f>IF(ISERROR($E103*VLOOKUP($C103,fish_group_yield_w!$A$7:$I$45,9,FALSE)),0,$E103*VLOOKUP($C103,fish_group_yield_w!$A$7:$I$45,9,FALSE))</f>
        <v>0</v>
      </c>
      <c r="J103" s="429">
        <f>IF(ISERROR($E103*VLOOKUP($C103,fish_group_yield_w!$A$7:$I$45,9,FALSE)),0,$E103*VLOOKUP($C103,fish_group_yield_w!$A$7:$I$45,9,FALSE))</f>
        <v>0</v>
      </c>
      <c r="L103" s="814"/>
      <c r="M103" s="814"/>
    </row>
    <row r="104" spans="1:13" ht="12.5">
      <c r="A104" s="403" t="s">
        <v>6056</v>
      </c>
      <c r="B104" s="403">
        <v>303.8</v>
      </c>
      <c r="C104" s="403" t="s">
        <v>1735</v>
      </c>
      <c r="D104" s="403"/>
      <c r="E104" s="87">
        <f t="shared" si="6"/>
        <v>0.64239828693790135</v>
      </c>
      <c r="F104" s="87">
        <f>IFERROR($E104*(VLOOKUP(C104,fish_group_yield_n!$A$7:$J$49,7,FALSE)),0)</f>
        <v>3.847758714896455E-2</v>
      </c>
      <c r="G104" s="87">
        <f>IFERROR($E104*(VLOOKUP(C104,fish_group_yield_n!$A$7:$J$49,10,FALSE)),0)</f>
        <v>3.847758714896455E-2</v>
      </c>
      <c r="H104" s="823">
        <f t="shared" si="4"/>
        <v>0</v>
      </c>
      <c r="I104" s="428">
        <f>IF(ISERROR($E104*VLOOKUP($C104,fish_group_yield_w!$A$7:$I$45,9,FALSE)),0,$E104*VLOOKUP($C104,fish_group_yield_w!$A$7:$I$45,9,FALSE))</f>
        <v>0</v>
      </c>
      <c r="J104" s="429">
        <f>IF(ISERROR($E104*VLOOKUP($C104,fish_group_yield_w!$A$7:$I$45,9,FALSE)),0,$E104*VLOOKUP($C104,fish_group_yield_w!$A$7:$I$45,9,FALSE))</f>
        <v>0</v>
      </c>
      <c r="L104" s="814"/>
      <c r="M104" s="814"/>
    </row>
    <row r="105" spans="1:13" ht="15" customHeight="1">
      <c r="A105" s="801" t="s">
        <v>6056</v>
      </c>
      <c r="B105" s="801">
        <v>303.89999999999998</v>
      </c>
      <c r="C105" s="403" t="s">
        <v>1735</v>
      </c>
      <c r="D105"/>
      <c r="E105" s="87">
        <f t="shared" si="6"/>
        <v>0</v>
      </c>
      <c r="F105" s="87">
        <f>IFERROR($E105*(VLOOKUP(C105,fish_group_yield_n!$A$7:$J$49,7,FALSE)),0)</f>
        <v>0</v>
      </c>
      <c r="G105" s="87">
        <f>IFERROR($E105*(VLOOKUP(C105,fish_group_yield_n!$A$7:$J$49,10,FALSE)),0)</f>
        <v>0</v>
      </c>
      <c r="H105" s="823">
        <f t="shared" si="4"/>
        <v>0</v>
      </c>
      <c r="I105" s="428">
        <f>IF(ISERROR($E105*VLOOKUP($C105,fish_group_yield_w!$A$7:$I$45,9,FALSE)),0,$E105*VLOOKUP($C105,fish_group_yield_w!$A$7:$I$45,9,FALSE))</f>
        <v>0</v>
      </c>
      <c r="J105" s="429">
        <f>IF(ISERROR($E105*VLOOKUP($C105,fish_group_yield_w!$A$7:$I$45,9,FALSE)),0,$E105*VLOOKUP($C105,fish_group_yield_w!$A$7:$I$45,9,FALSE))</f>
        <v>0</v>
      </c>
      <c r="L105" s="814"/>
      <c r="M105" s="814"/>
    </row>
    <row r="106" spans="1:13" ht="12.5">
      <c r="A106" s="403" t="s">
        <v>6057</v>
      </c>
      <c r="B106" s="403">
        <v>1504.2</v>
      </c>
      <c r="C106" s="403" t="s">
        <v>3476</v>
      </c>
      <c r="D106" s="403" t="s">
        <v>4683</v>
      </c>
      <c r="E106" s="87">
        <f t="shared" si="6"/>
        <v>0.31</v>
      </c>
      <c r="F106" s="87">
        <f>IFERROR($E106*(VLOOKUP(C106,fish_group_yield_n!$A$7:$J$49,7,FALSE)),0)</f>
        <v>0.11557123608902925</v>
      </c>
      <c r="G106" s="87">
        <f>IFERROR($E106*(VLOOKUP(C106,fish_group_yield_n!$A$7:$J$49,10,FALSE)),0)</f>
        <v>6.6138225938396314E-2</v>
      </c>
      <c r="H106" s="823">
        <f t="shared" si="4"/>
        <v>142470.96774193548</v>
      </c>
      <c r="I106" s="428">
        <f>IF(ISERROR($E106*VLOOKUP($C106,fish_group_yield_w!$A$7:$I$45,9,FALSE)),0,$E106*VLOOKUP($C106,fish_group_yield_w!$A$7:$I$45,9,FALSE))</f>
        <v>0</v>
      </c>
      <c r="J106" s="429">
        <f>IF(ISERROR($E106*VLOOKUP($C106,fish_group_yield_w!$A$7:$I$45,9,FALSE)),0,$E106*VLOOKUP($C106,fish_group_yield_w!$A$7:$I$45,9,FALSE))</f>
        <v>0</v>
      </c>
      <c r="L106" s="814"/>
      <c r="M106" s="814"/>
    </row>
    <row r="107" spans="1:13" ht="12.5">
      <c r="A107" s="403" t="s">
        <v>6058</v>
      </c>
      <c r="B107" s="403">
        <v>511.91</v>
      </c>
      <c r="C107" s="403" t="s">
        <v>1735</v>
      </c>
      <c r="D107" s="403"/>
      <c r="E107" s="87">
        <f t="shared" si="6"/>
        <v>0</v>
      </c>
      <c r="F107" s="87">
        <f>IFERROR($E107*(VLOOKUP(C107,fish_group_yield_n!$A$7:$J$49,7,FALSE)),0)</f>
        <v>0</v>
      </c>
      <c r="G107" s="87">
        <f>IFERROR($E107*(VLOOKUP(C107,fish_group_yield_n!$A$7:$J$49,10,FALSE)),0)</f>
        <v>0</v>
      </c>
      <c r="H107" s="823">
        <f t="shared" si="4"/>
        <v>0</v>
      </c>
      <c r="I107" s="428">
        <f>IF(ISERROR($E107*VLOOKUP($C107,fish_group_yield_w!$A$7:$I$45,9,FALSE)),0,$E107*VLOOKUP($C107,fish_group_yield_w!$A$7:$I$45,9,FALSE))</f>
        <v>0</v>
      </c>
      <c r="J107" s="429">
        <f>IF(ISERROR($E107*VLOOKUP($C107,fish_group_yield_w!$A$7:$I$45,9,FALSE)),0,$E107*VLOOKUP($C107,fish_group_yield_w!$A$7:$I$45,9,FALSE))</f>
        <v>0</v>
      </c>
      <c r="L107" s="814"/>
      <c r="M107" s="814"/>
    </row>
    <row r="108" spans="1:13" ht="12.5">
      <c r="A108" s="403" t="s">
        <v>6059</v>
      </c>
      <c r="B108" s="403">
        <v>1504.1</v>
      </c>
      <c r="C108" s="403" t="s">
        <v>1735</v>
      </c>
      <c r="D108" s="403" t="s">
        <v>4684</v>
      </c>
      <c r="E108" s="87">
        <f t="shared" si="6"/>
        <v>0.31</v>
      </c>
      <c r="F108" s="87">
        <f>IFERROR($E108*(VLOOKUP(C108,fish_group_yield_n!$A$7:$J$49,7,FALSE)),0)</f>
        <v>1.8568000971851996E-2</v>
      </c>
      <c r="G108" s="87">
        <f>IFERROR($E108*(VLOOKUP(C108,fish_group_yield_n!$A$7:$J$49,10,FALSE)),0)</f>
        <v>1.8568000971851999E-2</v>
      </c>
      <c r="H108" s="823">
        <f t="shared" si="4"/>
        <v>703.22580645161293</v>
      </c>
      <c r="I108" s="428">
        <f>IF(ISERROR($E108*VLOOKUP($C108,fish_group_yield_w!$A$7:$I$45,9,FALSE)),0,$E108*VLOOKUP($C108,fish_group_yield_w!$A$7:$I$45,9,FALSE))</f>
        <v>0</v>
      </c>
      <c r="J108" s="429">
        <f>IF(ISERROR($E108*VLOOKUP($C108,fish_group_yield_w!$A$7:$I$45,9,FALSE)),0,$E108*VLOOKUP($C108,fish_group_yield_w!$A$7:$I$45,9,FALSE))</f>
        <v>0</v>
      </c>
      <c r="L108" s="814"/>
      <c r="M108" s="814"/>
    </row>
    <row r="109" spans="1:13" ht="12.5">
      <c r="A109" t="s">
        <v>8422</v>
      </c>
      <c r="B109">
        <v>304.43</v>
      </c>
      <c r="C109" t="s">
        <v>8509</v>
      </c>
      <c r="D109" t="s">
        <v>4681</v>
      </c>
      <c r="E109" s="87">
        <f t="shared" si="6"/>
        <v>1</v>
      </c>
      <c r="F109" s="87">
        <f>IFERROR($E109*(VLOOKUP(C109,fish_group_yield_n!$A$7:$J$49,7,FALSE)),0)</f>
        <v>0</v>
      </c>
      <c r="G109" s="87">
        <f>IFERROR($E109*(VLOOKUP(C109,fish_group_yield_n!$A$7:$J$49,10,FALSE)),0)</f>
        <v>0</v>
      </c>
      <c r="H109" s="823">
        <f t="shared" si="4"/>
        <v>337</v>
      </c>
      <c r="I109" s="428">
        <f>IF(ISERROR($E109*VLOOKUP($C109,fish_group_yield_w!$A$7:$I$45,9,FALSE)),0,$E109*VLOOKUP($C109,fish_group_yield_w!$A$7:$I$45,9,FALSE))</f>
        <v>0</v>
      </c>
      <c r="J109" s="429">
        <f>IF(ISERROR($E109*VLOOKUP($C109,fish_group_yield_w!$A$7:$I$45,9,FALSE)),0,$E109*VLOOKUP($C109,fish_group_yield_w!$A$7:$I$45,9,FALSE))</f>
        <v>0</v>
      </c>
      <c r="L109" s="814"/>
      <c r="M109" s="814"/>
    </row>
    <row r="110" spans="1:13" ht="12.5">
      <c r="A110" t="s">
        <v>8399</v>
      </c>
      <c r="B110">
        <v>304.83</v>
      </c>
      <c r="C110" t="s">
        <v>8509</v>
      </c>
      <c r="D110" t="s">
        <v>4681</v>
      </c>
      <c r="E110" s="87">
        <f t="shared" si="6"/>
        <v>0.50820469632624188</v>
      </c>
      <c r="F110" s="87">
        <f>IFERROR($E110*(VLOOKUP(C110,fish_group_yield_n!$A$7:$J$49,7,FALSE)),0)</f>
        <v>0</v>
      </c>
      <c r="G110" s="87">
        <f>IFERROR($E110*(VLOOKUP(C110,fish_group_yield_n!$A$7:$J$49,10,FALSE)),0)</f>
        <v>0</v>
      </c>
      <c r="H110" s="823">
        <f t="shared" si="4"/>
        <v>10690.574170751635</v>
      </c>
      <c r="I110" s="428">
        <f>IF(ISERROR($E110*VLOOKUP($C110,fish_group_yield_w!$A$7:$I$45,9,FALSE)),0,$E110*VLOOKUP($C110,fish_group_yield_w!$A$7:$I$45,9,FALSE))</f>
        <v>0</v>
      </c>
      <c r="J110" s="429">
        <f>IF(ISERROR($E110*VLOOKUP($C110,fish_group_yield_w!$A$7:$I$45,9,FALSE)),0,$E110*VLOOKUP($C110,fish_group_yield_w!$A$7:$I$45,9,FALSE))</f>
        <v>0</v>
      </c>
      <c r="L110" s="814"/>
      <c r="M110" s="814"/>
    </row>
    <row r="111" spans="1:13" ht="12.5">
      <c r="A111" s="403" t="s">
        <v>6060</v>
      </c>
      <c r="B111" s="403">
        <v>304.19</v>
      </c>
      <c r="C111" s="403" t="s">
        <v>1735</v>
      </c>
      <c r="D111" s="403"/>
      <c r="E111" s="87">
        <f t="shared" si="6"/>
        <v>0.5</v>
      </c>
      <c r="F111" s="87">
        <f>IFERROR($E111*(VLOOKUP(C111,fish_group_yield_n!$A$7:$J$49,7,FALSE)),0)</f>
        <v>2.9948388664277414E-2</v>
      </c>
      <c r="G111" s="87">
        <f>IFERROR($E111*(VLOOKUP(C111,fish_group_yield_n!$A$7:$J$49,10,FALSE)),0)</f>
        <v>2.9948388664277417E-2</v>
      </c>
      <c r="H111" s="823">
        <f t="shared" si="4"/>
        <v>0</v>
      </c>
      <c r="I111" s="428">
        <f>IF(ISERROR($E111*VLOOKUP($C111,fish_group_yield_w!$A$7:$I$45,9,FALSE)),0,$E111*VLOOKUP($C111,fish_group_yield_w!$A$7:$I$45,9,FALSE))</f>
        <v>0</v>
      </c>
      <c r="J111" s="429">
        <f>IF(ISERROR($E111*VLOOKUP($C111,fish_group_yield_w!$A$7:$I$45,9,FALSE)),0,$E111*VLOOKUP($C111,fish_group_yield_w!$A$7:$I$45,9,FALSE))</f>
        <v>0</v>
      </c>
      <c r="L111" s="814"/>
      <c r="M111" s="814"/>
    </row>
    <row r="112" spans="1:13" ht="12.5">
      <c r="A112" s="403" t="s">
        <v>6061</v>
      </c>
      <c r="B112" s="403">
        <v>302.36</v>
      </c>
      <c r="C112" s="403" t="s">
        <v>2843</v>
      </c>
      <c r="D112" s="403" t="s">
        <v>4699</v>
      </c>
      <c r="E112" s="87">
        <f t="shared" si="6"/>
        <v>0.50388410665546934</v>
      </c>
      <c r="F112" s="87">
        <f>IFERROR($E112*(VLOOKUP(C112,fish_group_yield_n!$A$7:$J$49,7,FALSE)),0)</f>
        <v>7.4049930155459139E-3</v>
      </c>
      <c r="G112" s="87">
        <f>IFERROR($E112*(VLOOKUP(C112,fish_group_yield_n!$A$7:$J$49,10,FALSE)),0)</f>
        <v>7.2307536164370875E-3</v>
      </c>
      <c r="H112" s="823">
        <f t="shared" si="4"/>
        <v>156.7820833333333</v>
      </c>
      <c r="I112" s="428">
        <f>IF(ISERROR($E112*VLOOKUP($C112,fish_group_yield_w!$A$7:$I$45,9,FALSE)),0,$E112*VLOOKUP($C112,fish_group_yield_w!$A$7:$I$45,9,FALSE))</f>
        <v>4.9913426601811937E-3</v>
      </c>
      <c r="J112" s="429">
        <f>IF(ISERROR($E112*VLOOKUP($C112,fish_group_yield_w!$A$7:$I$45,9,FALSE)),0,$E112*VLOOKUP($C112,fish_group_yield_w!$A$7:$I$45,9,FALSE))</f>
        <v>4.9913426601811937E-3</v>
      </c>
      <c r="L112" s="814"/>
      <c r="M112" s="814"/>
    </row>
    <row r="113" spans="1:13" ht="12.5">
      <c r="A113" s="403" t="s">
        <v>6062</v>
      </c>
      <c r="B113" s="403">
        <v>304.99</v>
      </c>
      <c r="C113" s="403" t="s">
        <v>1738</v>
      </c>
      <c r="D113" s="403"/>
      <c r="E113" s="87">
        <f t="shared" si="6"/>
        <v>0.64239828693790135</v>
      </c>
      <c r="F113" s="87">
        <f>IFERROR($E113*(VLOOKUP(C113,fish_group_yield_n!$A$7:$J$49,7,FALSE)),0)</f>
        <v>5.7891978316380675E-2</v>
      </c>
      <c r="G113" s="87">
        <f>IFERROR($E113*(VLOOKUP(C113,fish_group_yield_n!$A$7:$J$49,10,FALSE)),0)</f>
        <v>3.9814002770175265E-2</v>
      </c>
      <c r="H113" s="823">
        <f t="shared" si="4"/>
        <v>10806.380000000003</v>
      </c>
      <c r="I113" s="428">
        <f>IF(ISERROR($E113*VLOOKUP($C113,fish_group_yield_w!$A$7:$I$45,9,FALSE)),0,$E113*VLOOKUP($C113,fish_group_yield_w!$A$7:$I$45,9,FALSE))</f>
        <v>0.17740133222290075</v>
      </c>
      <c r="J113" s="429">
        <f>IF(ISERROR($E113*VLOOKUP($C113,fish_group_yield_w!$A$7:$I$45,9,FALSE)),0,$E113*VLOOKUP($C113,fish_group_yield_w!$A$7:$I$45,9,FALSE))</f>
        <v>0.17740133222290075</v>
      </c>
      <c r="L113" s="814"/>
      <c r="M113" s="814"/>
    </row>
    <row r="114" spans="1:13" ht="12.5">
      <c r="A114" s="403" t="s">
        <v>6063</v>
      </c>
      <c r="B114" s="403">
        <v>303.45999999999998</v>
      </c>
      <c r="C114" s="403" t="s">
        <v>2843</v>
      </c>
      <c r="D114" s="403" t="s">
        <v>4699</v>
      </c>
      <c r="E114" s="87">
        <f t="shared" si="6"/>
        <v>0.54945054945054939</v>
      </c>
      <c r="F114" s="87">
        <f>IFERROR($E114*(VLOOKUP(C114,fish_group_yield_n!$A$7:$J$49,7,FALSE)),0)</f>
        <v>8.0746295176385482E-3</v>
      </c>
      <c r="G114" s="87">
        <f>IFERROR($E114*(VLOOKUP(C114,fish_group_yield_n!$A$7:$J$49,10,FALSE)),0)</f>
        <v>7.8846335794619596E-3</v>
      </c>
      <c r="H114" s="823">
        <f t="shared" si="4"/>
        <v>12.740000000000002</v>
      </c>
      <c r="I114" s="428">
        <f>IF(ISERROR($E114*VLOOKUP($C114,fish_group_yield_w!$A$7:$I$45,9,FALSE)),0,$E114*VLOOKUP($C114,fish_group_yield_w!$A$7:$I$45,9,FALSE))</f>
        <v>5.4427117881050866E-3</v>
      </c>
      <c r="J114" s="429">
        <f>IF(ISERROR($E114*VLOOKUP($C114,fish_group_yield_w!$A$7:$I$45,9,FALSE)),0,$E114*VLOOKUP($C114,fish_group_yield_w!$A$7:$I$45,9,FALSE))</f>
        <v>5.4427117881050866E-3</v>
      </c>
      <c r="L114" s="814"/>
      <c r="M114" s="814"/>
    </row>
    <row r="115" spans="1:13" ht="12.5">
      <c r="A115" t="s">
        <v>8424</v>
      </c>
      <c r="B115">
        <v>304.79000000000002</v>
      </c>
      <c r="C115" t="s">
        <v>5195</v>
      </c>
      <c r="D115" t="s">
        <v>4681</v>
      </c>
      <c r="E115" s="87">
        <f t="shared" si="6"/>
        <v>0.45454545454545453</v>
      </c>
      <c r="F115" s="87">
        <f>IFERROR($E115*(VLOOKUP(C115,fish_group_yield_n!$A$7:$J$49,7,FALSE)),0)</f>
        <v>6.1662562041602158E-3</v>
      </c>
      <c r="G115" s="87">
        <f>IFERROR($E115*(VLOOKUP(C115,fish_group_yield_n!$A$7:$J$49,10,FALSE)),0)</f>
        <v>5.9862196842425551E-3</v>
      </c>
      <c r="H115" s="823">
        <f t="shared" si="4"/>
        <v>497.2</v>
      </c>
      <c r="I115" s="428">
        <f>IF(ISERROR($E115*VLOOKUP($C115,fish_group_yield_w!$A$7:$I$45,9,FALSE)),0,$E115*VLOOKUP($C115,fish_group_yield_w!$A$7:$I$45,9,FALSE))</f>
        <v>1.5807930351979446E-4</v>
      </c>
      <c r="J115" s="429">
        <f>IF(ISERROR($E115*VLOOKUP($C115,fish_group_yield_w!$A$7:$I$45,9,FALSE)),0,$E115*VLOOKUP($C115,fish_group_yield_w!$A$7:$I$45,9,FALSE))</f>
        <v>1.5807930351979446E-4</v>
      </c>
      <c r="L115" s="814"/>
      <c r="M115" s="814"/>
    </row>
    <row r="116" spans="1:13" ht="12.5">
      <c r="A116" t="s">
        <v>8425</v>
      </c>
      <c r="B116">
        <v>305.32</v>
      </c>
      <c r="C116" t="s">
        <v>5195</v>
      </c>
      <c r="D116" t="s">
        <v>4681</v>
      </c>
      <c r="E116" s="87">
        <f t="shared" si="6"/>
        <v>0.43478260869565222</v>
      </c>
      <c r="F116" s="87">
        <f>IFERROR($E116*(VLOOKUP(C116,fish_group_yield_n!$A$7:$J$49,7,FALSE)),0)</f>
        <v>5.8981581083271638E-3</v>
      </c>
      <c r="G116" s="87">
        <f>IFERROR($E116*(VLOOKUP(C116,fish_group_yield_n!$A$7:$J$49,10,FALSE)),0)</f>
        <v>5.725949263188531E-3</v>
      </c>
      <c r="H116" s="823">
        <f t="shared" si="4"/>
        <v>3999.7</v>
      </c>
      <c r="I116" s="428">
        <f>IF(ISERROR($E116*VLOOKUP($C116,fish_group_yield_w!$A$7:$I$45,9,FALSE)),0,$E116*VLOOKUP($C116,fish_group_yield_w!$A$7:$I$45,9,FALSE))</f>
        <v>1.5120629032328169E-4</v>
      </c>
      <c r="J116" s="429">
        <f>IF(ISERROR($E116*VLOOKUP($C116,fish_group_yield_w!$A$7:$I$45,9,FALSE)),0,$E116*VLOOKUP($C116,fish_group_yield_w!$A$7:$I$45,9,FALSE))</f>
        <v>1.5120629032328169E-4</v>
      </c>
      <c r="L116" s="814"/>
      <c r="M116" s="814"/>
    </row>
    <row r="117" spans="1:13" ht="12.5">
      <c r="A117" t="s">
        <v>8426</v>
      </c>
      <c r="B117">
        <v>304.44</v>
      </c>
      <c r="C117" t="s">
        <v>5195</v>
      </c>
      <c r="D117" t="s">
        <v>4681</v>
      </c>
      <c r="E117" s="87">
        <f t="shared" si="6"/>
        <v>0.45454545454545453</v>
      </c>
      <c r="F117" s="87">
        <f>IFERROR($E117*(VLOOKUP(C117,fish_group_yield_n!$A$7:$J$49,7,FALSE)),0)</f>
        <v>6.1662562041602158E-3</v>
      </c>
      <c r="G117" s="87">
        <f>IFERROR($E117*(VLOOKUP(C117,fish_group_yield_n!$A$7:$J$49,10,FALSE)),0)</f>
        <v>5.9862196842425551E-3</v>
      </c>
      <c r="H117" s="823">
        <f t="shared" si="4"/>
        <v>3836.8</v>
      </c>
      <c r="I117" s="428">
        <f>IF(ISERROR($E117*VLOOKUP($C117,fish_group_yield_w!$A$7:$I$45,9,FALSE)),0,$E117*VLOOKUP($C117,fish_group_yield_w!$A$7:$I$45,9,FALSE))</f>
        <v>1.5807930351979446E-4</v>
      </c>
      <c r="J117" s="429">
        <f>IF(ISERROR($E117*VLOOKUP($C117,fish_group_yield_w!$A$7:$I$45,9,FALSE)),0,$E117*VLOOKUP($C117,fish_group_yield_w!$A$7:$I$45,9,FALSE))</f>
        <v>1.5807930351979446E-4</v>
      </c>
      <c r="L117" s="814"/>
      <c r="M117" s="814"/>
    </row>
    <row r="118" spans="1:13" ht="12.5">
      <c r="A118" s="861" t="s">
        <v>8427</v>
      </c>
      <c r="B118">
        <v>304.52999999999997</v>
      </c>
      <c r="C118" t="s">
        <v>5195</v>
      </c>
      <c r="D118" t="s">
        <v>4681</v>
      </c>
      <c r="E118" s="87">
        <f t="shared" si="6"/>
        <v>1</v>
      </c>
      <c r="F118" s="87">
        <f>IFERROR($E118*(VLOOKUP(C118,fish_group_yield_n!$A$7:$J$49,7,FALSE)),0)</f>
        <v>1.3565763649152475E-2</v>
      </c>
      <c r="G118" s="87">
        <f>IFERROR($E118*(VLOOKUP(C118,fish_group_yield_n!$A$7:$J$49,10,FALSE)),0)</f>
        <v>1.3169683305333621E-2</v>
      </c>
      <c r="H118" s="823">
        <f t="shared" si="4"/>
        <v>211</v>
      </c>
      <c r="I118" s="428">
        <f>IF(ISERROR($E118*VLOOKUP($C118,fish_group_yield_w!$A$7:$I$45,9,FALSE)),0,$E118*VLOOKUP($C118,fish_group_yield_w!$A$7:$I$45,9,FALSE))</f>
        <v>3.4777446774354785E-4</v>
      </c>
      <c r="J118" s="429">
        <f>IF(ISERROR($E118*VLOOKUP($C118,fish_group_yield_w!$A$7:$I$45,9,FALSE)),0,$E118*VLOOKUP($C118,fish_group_yield_w!$A$7:$I$45,9,FALSE))</f>
        <v>3.4777446774354785E-4</v>
      </c>
      <c r="L118" s="814"/>
      <c r="M118" s="814"/>
    </row>
    <row r="119" spans="1:13" ht="12.5">
      <c r="A119" s="403" t="s">
        <v>6064</v>
      </c>
      <c r="B119" s="403">
        <v>302.20999999999998</v>
      </c>
      <c r="C119" s="403" t="s">
        <v>3787</v>
      </c>
      <c r="D119" s="403" t="s">
        <v>4681</v>
      </c>
      <c r="E119" s="87">
        <f t="shared" si="6"/>
        <v>0.70540812898891492</v>
      </c>
      <c r="F119" s="87">
        <f>IFERROR($E119*(VLOOKUP(C119,fish_group_yield_n!$A$7:$J$49,7,FALSE)),0)</f>
        <v>7.5579835674534227E-3</v>
      </c>
      <c r="G119" s="87">
        <f>IFERROR($E119*(VLOOKUP(C119,fish_group_yield_n!$A$7:$J$49,10,FALSE)),0)</f>
        <v>7.4920372556577788E-3</v>
      </c>
      <c r="H119" s="823">
        <f t="shared" si="4"/>
        <v>1842.9047619047622</v>
      </c>
      <c r="I119" s="428">
        <f>IF(ISERROR($E119*VLOOKUP($C119,fish_group_yield_w!$A$7:$I$45,9,FALSE)),0,$E119*VLOOKUP($C119,fish_group_yield_w!$A$7:$I$45,9,FALSE))</f>
        <v>5.7071349568499014E-3</v>
      </c>
      <c r="J119" s="429">
        <f>IF(ISERROR($E119*VLOOKUP($C119,fish_group_yield_w!$A$7:$I$45,9,FALSE)),0,$E119*VLOOKUP($C119,fish_group_yield_w!$A$7:$I$45,9,FALSE))</f>
        <v>5.7071349568499014E-3</v>
      </c>
      <c r="L119" s="814"/>
      <c r="M119" s="814"/>
    </row>
    <row r="120" spans="1:13" ht="12.5">
      <c r="A120" s="403" t="s">
        <v>6065</v>
      </c>
      <c r="B120" s="403">
        <v>303.31</v>
      </c>
      <c r="C120" s="403" t="s">
        <v>3787</v>
      </c>
      <c r="D120" s="403" t="s">
        <v>4681</v>
      </c>
      <c r="E120" s="87">
        <f t="shared" si="6"/>
        <v>0.59603635821785128</v>
      </c>
      <c r="F120" s="87">
        <f>IFERROR($E120*(VLOOKUP(C120,fish_group_yield_n!$A$7:$J$49,7,FALSE)),0)</f>
        <v>6.3861370685821687E-3</v>
      </c>
      <c r="G120" s="87">
        <f>IFERROR($E120*(VLOOKUP(C120,fish_group_yield_n!$A$7:$J$49,10,FALSE)),0)</f>
        <v>6.3304155679284784E-3</v>
      </c>
      <c r="H120" s="823">
        <f t="shared" si="4"/>
        <v>723.11025000000006</v>
      </c>
      <c r="I120" s="428">
        <f>IF(ISERROR($E120*VLOOKUP($C120,fish_group_yield_w!$A$7:$I$45,9,FALSE)),0,$E120*VLOOKUP($C120,fish_group_yield_w!$A$7:$I$45,9,FALSE))</f>
        <v>4.8222579181421144E-3</v>
      </c>
      <c r="J120" s="429">
        <f>IF(ISERROR($E120*VLOOKUP($C120,fish_group_yield_w!$A$7:$I$45,9,FALSE)),0,$E120*VLOOKUP($C120,fish_group_yield_w!$A$7:$I$45,9,FALSE))</f>
        <v>4.8222579181421144E-3</v>
      </c>
      <c r="L120" s="814"/>
      <c r="M120" s="814"/>
    </row>
    <row r="121" spans="1:13" ht="12.5">
      <c r="A121" t="s">
        <v>8428</v>
      </c>
      <c r="B121">
        <v>304.72000000000003</v>
      </c>
      <c r="C121" s="403" t="s">
        <v>600</v>
      </c>
      <c r="D121" s="403" t="s">
        <v>4681</v>
      </c>
      <c r="E121" s="87">
        <f t="shared" si="6"/>
        <v>0.52071005917159752</v>
      </c>
      <c r="F121" s="87">
        <f>IFERROR($E121*(VLOOKUP(C121,fish_group_yield_n!$A$7:$J$49,7,FALSE)),0)</f>
        <v>1.2755186561344318E-2</v>
      </c>
      <c r="G121" s="87">
        <f>IFERROR($E121*(VLOOKUP(C121,fish_group_yield_n!$A$7:$J$49,10,FALSE)),0)</f>
        <v>1.2755186561344318E-2</v>
      </c>
      <c r="H121" s="823">
        <f t="shared" si="4"/>
        <v>9162.4886363636379</v>
      </c>
      <c r="I121" s="428">
        <f>IF(ISERROR($E121*VLOOKUP($C121,fish_group_yield_w!$A$7:$I$45,9,FALSE)),0,$E121*VLOOKUP($C121,fish_group_yield_w!$A$7:$I$45,9,FALSE))</f>
        <v>0</v>
      </c>
      <c r="J121" s="429">
        <f>IF(ISERROR($E121*VLOOKUP($C121,fish_group_yield_w!$A$7:$I$45,9,FALSE)),0,$E121*VLOOKUP($C121,fish_group_yield_w!$A$7:$I$45,9,FALSE))</f>
        <v>0</v>
      </c>
      <c r="L121" s="814"/>
      <c r="M121" s="814"/>
    </row>
    <row r="122" spans="1:13" ht="12.5">
      <c r="A122" t="s">
        <v>8429</v>
      </c>
      <c r="B122">
        <v>302.52</v>
      </c>
      <c r="C122" s="403" t="s">
        <v>600</v>
      </c>
      <c r="D122" s="403" t="s">
        <v>4681</v>
      </c>
      <c r="E122" s="87">
        <f t="shared" si="6"/>
        <v>0.63299933612264747</v>
      </c>
      <c r="F122" s="87">
        <f>IFERROR($E122*(VLOOKUP(C122,fish_group_yield_n!$A$7:$J$49,7,FALSE)),0)</f>
        <v>1.5505797292060209E-2</v>
      </c>
      <c r="G122" s="87">
        <f>IFERROR($E122*(VLOOKUP(C122,fish_group_yield_n!$A$7:$J$49,10,FALSE)),0)</f>
        <v>1.5505797292060209E-2</v>
      </c>
      <c r="H122" s="823">
        <f t="shared" si="4"/>
        <v>77.40924390243903</v>
      </c>
      <c r="I122" s="428">
        <f>IF(ISERROR($E122*VLOOKUP($C122,fish_group_yield_w!$A$7:$I$45,9,FALSE)),0,$E122*VLOOKUP($C122,fish_group_yield_w!$A$7:$I$45,9,FALSE))</f>
        <v>0</v>
      </c>
      <c r="J122" s="429">
        <f>IF(ISERROR($E122*VLOOKUP($C122,fish_group_yield_w!$A$7:$I$45,9,FALSE)),0,$E122*VLOOKUP($C122,fish_group_yield_w!$A$7:$I$45,9,FALSE))</f>
        <v>0</v>
      </c>
      <c r="L122" s="814"/>
      <c r="M122" s="814"/>
    </row>
    <row r="123" spans="1:13" ht="12.5">
      <c r="A123" t="s">
        <v>8430</v>
      </c>
      <c r="B123">
        <v>303.64</v>
      </c>
      <c r="C123" s="403" t="s">
        <v>600</v>
      </c>
      <c r="D123" s="403" t="s">
        <v>4681</v>
      </c>
      <c r="E123" s="87">
        <f t="shared" si="6"/>
        <v>0.63299933612264747</v>
      </c>
      <c r="F123" s="87">
        <f>IFERROR($E123*(VLOOKUP(C123,fish_group_yield_n!$A$7:$J$49,7,FALSE)),0)</f>
        <v>1.5505797292060209E-2</v>
      </c>
      <c r="G123" s="87">
        <f>IFERROR($E123*(VLOOKUP(C123,fish_group_yield_n!$A$7:$J$49,10,FALSE)),0)</f>
        <v>1.5505797292060209E-2</v>
      </c>
      <c r="H123" s="823">
        <f t="shared" si="4"/>
        <v>2655.6109999999999</v>
      </c>
      <c r="I123" s="428">
        <f>IF(ISERROR($E123*VLOOKUP($C123,fish_group_yield_w!$A$7:$I$45,9,FALSE)),0,$E123*VLOOKUP($C123,fish_group_yield_w!$A$7:$I$45,9,FALSE))</f>
        <v>0</v>
      </c>
      <c r="J123" s="429">
        <f>IF(ISERROR($E123*VLOOKUP($C123,fish_group_yield_w!$A$7:$I$45,9,FALSE)),0,$E123*VLOOKUP($C123,fish_group_yield_w!$A$7:$I$45,9,FALSE))</f>
        <v>0</v>
      </c>
      <c r="L123" s="814"/>
      <c r="M123" s="814"/>
    </row>
    <row r="124" spans="1:13" ht="12.5">
      <c r="A124" s="403" t="s">
        <v>2177</v>
      </c>
      <c r="B124" s="403">
        <v>302.62</v>
      </c>
      <c r="C124" s="403" t="s">
        <v>600</v>
      </c>
      <c r="D124" s="403" t="s">
        <v>4681</v>
      </c>
      <c r="E124" s="87">
        <f t="shared" si="6"/>
        <v>0.63299933612264747</v>
      </c>
      <c r="F124" s="87">
        <f>IFERROR($E124*(VLOOKUP(C124,fish_group_yield_n!$A$7:$J$49,7,FALSE)),0)</f>
        <v>1.5505797292060209E-2</v>
      </c>
      <c r="G124" s="87">
        <f>IFERROR($E124*(VLOOKUP(C124,fish_group_yield_n!$A$7:$J$49,10,FALSE)),0)</f>
        <v>1.5505797292060209E-2</v>
      </c>
      <c r="H124" s="823">
        <f t="shared" si="4"/>
        <v>0</v>
      </c>
      <c r="I124" s="428">
        <f>IF(ISERROR($E124*VLOOKUP($C124,fish_group_yield_w!$A$7:$I$45,9,FALSE)),0,$E124*VLOOKUP($C124,fish_group_yield_w!$A$7:$I$45,9,FALSE))</f>
        <v>0</v>
      </c>
      <c r="J124" s="429">
        <f>IF(ISERROR($E124*VLOOKUP($C124,fish_group_yield_w!$A$7:$I$45,9,FALSE)),0,$E124*VLOOKUP($C124,fish_group_yield_w!$A$7:$I$45,9,FALSE))</f>
        <v>0</v>
      </c>
      <c r="L124" s="814"/>
      <c r="M124" s="814"/>
    </row>
    <row r="125" spans="1:13" ht="12.5">
      <c r="A125" s="403" t="s">
        <v>2178</v>
      </c>
      <c r="B125" s="403">
        <v>303.72000000000003</v>
      </c>
      <c r="C125" s="403" t="s">
        <v>600</v>
      </c>
      <c r="D125" s="403" t="s">
        <v>4681</v>
      </c>
      <c r="E125" s="87">
        <f t="shared" si="6"/>
        <v>0.52071005917159752</v>
      </c>
      <c r="F125" s="87">
        <f>IFERROR($E125*(VLOOKUP(C125,fish_group_yield_n!$A$7:$J$49,7,FALSE)),0)</f>
        <v>1.2755186561344318E-2</v>
      </c>
      <c r="G125" s="87">
        <f>IFERROR($E125*(VLOOKUP(C125,fish_group_yield_n!$A$7:$J$49,10,FALSE)),0)</f>
        <v>1.2755186561344318E-2</v>
      </c>
      <c r="H125" s="823">
        <f t="shared" si="4"/>
        <v>0</v>
      </c>
      <c r="I125" s="428">
        <f>IF(ISERROR($E125*VLOOKUP($C125,fish_group_yield_w!$A$7:$I$45,9,FALSE)),0,$E125*VLOOKUP($C125,fish_group_yield_w!$A$7:$I$45,9,FALSE))</f>
        <v>0</v>
      </c>
      <c r="J125" s="429">
        <f>IF(ISERROR($E125*VLOOKUP($C125,fish_group_yield_w!$A$7:$I$45,9,FALSE)),0,$E125*VLOOKUP($C125,fish_group_yield_w!$A$7:$I$45,9,FALSE))</f>
        <v>0</v>
      </c>
      <c r="L125" s="814"/>
      <c r="M125" s="814"/>
    </row>
    <row r="126" spans="1:13" ht="12.5">
      <c r="A126" t="s">
        <v>8400</v>
      </c>
      <c r="B126">
        <v>304.74</v>
      </c>
      <c r="C126" t="s">
        <v>3788</v>
      </c>
      <c r="D126" t="s">
        <v>4681</v>
      </c>
      <c r="E126" s="87">
        <f t="shared" si="6"/>
        <v>0.50820469632624188</v>
      </c>
      <c r="F126" s="87">
        <f>IFERROR($E126*(VLOOKUP(C126,fish_group_yield_n!$A$7:$J$49,7,FALSE)),0)</f>
        <v>7.426195372296298E-3</v>
      </c>
      <c r="G126" s="87">
        <f>IFERROR($E126*(VLOOKUP(C126,fish_group_yield_n!$A$7:$J$49,10,FALSE)),0)</f>
        <v>6.9273270968383885E-3</v>
      </c>
      <c r="H126" s="823">
        <f t="shared" si="4"/>
        <v>430.92872140522883</v>
      </c>
      <c r="I126" s="428">
        <f>IF(ISERROR($E126*VLOOKUP($C126,fish_group_yield_w!$A$7:$I$45,9,FALSE)),0,$E126*VLOOKUP($C126,fish_group_yield_w!$A$7:$I$45,9,FALSE))</f>
        <v>0</v>
      </c>
      <c r="J126" s="429">
        <f>IF(ISERROR($E126*VLOOKUP($C126,fish_group_yield_w!$A$7:$I$45,9,FALSE)),0,$E126*VLOOKUP($C126,fish_group_yield_w!$A$7:$I$45,9,FALSE))</f>
        <v>0</v>
      </c>
      <c r="L126" s="814"/>
      <c r="M126" s="814"/>
    </row>
    <row r="127" spans="1:13" ht="12.5">
      <c r="A127" t="s">
        <v>8423</v>
      </c>
      <c r="B127">
        <v>302.54000000000002</v>
      </c>
      <c r="C127" t="s">
        <v>3788</v>
      </c>
      <c r="D127" t="s">
        <v>4681</v>
      </c>
      <c r="E127" s="87">
        <f t="shared" si="6"/>
        <v>0.64516129032258063</v>
      </c>
      <c r="F127" s="87">
        <f>IFERROR($E127*(VLOOKUP(C127,fish_group_yield_n!$A$7:$J$49,7,FALSE)),0)</f>
        <v>9.4274882212080444E-3</v>
      </c>
      <c r="G127" s="87">
        <f>IFERROR($E127*(VLOOKUP(C127,fish_group_yield_n!$A$7:$J$49,10,FALSE)),0)</f>
        <v>8.794179433190049E-3</v>
      </c>
      <c r="H127" s="823">
        <f t="shared" si="4"/>
        <v>212.35</v>
      </c>
      <c r="I127" s="428">
        <f>IF(ISERROR($E127*VLOOKUP($C127,fish_group_yield_w!$A$7:$I$45,9,FALSE)),0,$E127*VLOOKUP($C127,fish_group_yield_w!$A$7:$I$45,9,FALSE))</f>
        <v>0</v>
      </c>
      <c r="J127" s="429">
        <f>IF(ISERROR($E127*VLOOKUP($C127,fish_group_yield_w!$A$7:$I$45,9,FALSE)),0,$E127*VLOOKUP($C127,fish_group_yield_w!$A$7:$I$45,9,FALSE))</f>
        <v>0</v>
      </c>
      <c r="L127" s="814"/>
      <c r="M127" s="814"/>
    </row>
    <row r="128" spans="1:13" ht="12.5">
      <c r="A128" t="s">
        <v>8433</v>
      </c>
      <c r="B128">
        <v>303.66000000000003</v>
      </c>
      <c r="C128" t="s">
        <v>3788</v>
      </c>
      <c r="D128" t="s">
        <v>4681</v>
      </c>
      <c r="E128" s="87">
        <f t="shared" si="6"/>
        <v>0.64516129032258063</v>
      </c>
      <c r="F128" s="87">
        <f>IFERROR($E128*(VLOOKUP(C128,fish_group_yield_n!$A$7:$J$49,7,FALSE)),0)</f>
        <v>9.4274882212080444E-3</v>
      </c>
      <c r="G128" s="87">
        <f>IFERROR($E128*(VLOOKUP(C128,fish_group_yield_n!$A$7:$J$49,10,FALSE)),0)</f>
        <v>8.794179433190049E-3</v>
      </c>
      <c r="H128" s="823">
        <f t="shared" si="4"/>
        <v>672.7</v>
      </c>
      <c r="I128" s="428">
        <f>IF(ISERROR($E128*VLOOKUP($C128,fish_group_yield_w!$A$7:$I$45,9,FALSE)),0,$E128*VLOOKUP($C128,fish_group_yield_w!$A$7:$I$45,9,FALSE))</f>
        <v>0</v>
      </c>
      <c r="J128" s="429">
        <f>IF(ISERROR($E128*VLOOKUP($C128,fish_group_yield_w!$A$7:$I$45,9,FALSE)),0,$E128*VLOOKUP($C128,fish_group_yield_w!$A$7:$I$45,9,FALSE))</f>
        <v>0</v>
      </c>
      <c r="L128" s="814"/>
      <c r="M128" s="814"/>
    </row>
    <row r="129" spans="1:13" ht="12.5">
      <c r="A129" s="403" t="s">
        <v>6066</v>
      </c>
      <c r="B129" s="403">
        <v>303.77999999999997</v>
      </c>
      <c r="C129" s="403" t="s">
        <v>3788</v>
      </c>
      <c r="D129" s="403" t="s">
        <v>4681</v>
      </c>
      <c r="E129" s="87">
        <f t="shared" si="6"/>
        <v>0.51574212893553217</v>
      </c>
      <c r="F129" s="87">
        <f>IFERROR($E129*(VLOOKUP(C129,fish_group_yield_n!$A$7:$J$49,7,FALSE)),0)</f>
        <v>7.5363369108667607E-3</v>
      </c>
      <c r="G129" s="87">
        <f>IFERROR($E129*(VLOOKUP(C129,fish_group_yield_n!$A$7:$J$49,10,FALSE)),0)</f>
        <v>7.0300696758274868E-3</v>
      </c>
      <c r="H129" s="823">
        <f t="shared" si="4"/>
        <v>0</v>
      </c>
      <c r="I129" s="428">
        <f>IF(ISERROR($E129*VLOOKUP($C129,fish_group_yield_w!$A$7:$I$45,9,FALSE)),0,$E129*VLOOKUP($C129,fish_group_yield_w!$A$7:$I$45,9,FALSE))</f>
        <v>0</v>
      </c>
      <c r="J129" s="429">
        <f>IF(ISERROR($E129*VLOOKUP($C129,fish_group_yield_w!$A$7:$I$45,9,FALSE)),0,$E129*VLOOKUP($C129,fish_group_yield_w!$A$7:$I$45,9,FALSE))</f>
        <v>0</v>
      </c>
      <c r="L129" s="814"/>
      <c r="M129" s="814"/>
    </row>
    <row r="130" spans="1:13" ht="12.5">
      <c r="A130" t="s">
        <v>8434</v>
      </c>
      <c r="B130">
        <v>304.86</v>
      </c>
      <c r="C130" s="403" t="s">
        <v>3789</v>
      </c>
      <c r="D130" s="403" t="s">
        <v>4699</v>
      </c>
      <c r="E130" s="87">
        <f t="shared" si="6"/>
        <v>0.64239828693790135</v>
      </c>
      <c r="F130" s="87">
        <f>IFERROR($E130*(VLOOKUP(C130,fish_group_yield_n!$A$7:$J$49,7,FALSE)),0)</f>
        <v>0.11799231819163805</v>
      </c>
      <c r="G130" s="87">
        <f>IFERROR($E130*(VLOOKUP(C130,fish_group_yield_n!$A$7:$J$49,10,FALSE)),0)</f>
        <v>0.11690274388776356</v>
      </c>
      <c r="H130" s="823">
        <f t="shared" si="4"/>
        <v>231.94333333333338</v>
      </c>
      <c r="I130" s="428">
        <f>IF(ISERROR($E130*VLOOKUP($C130,fish_group_yield_w!$A$7:$I$45,9,FALSE)),0,$E130*VLOOKUP($C130,fish_group_yield_w!$A$7:$I$45,9,FALSE))</f>
        <v>0</v>
      </c>
      <c r="J130" s="429">
        <f>IF(ISERROR($E130*VLOOKUP($C130,fish_group_yield_w!$A$7:$I$45,9,FALSE)),0,$E130*VLOOKUP($C130,fish_group_yield_w!$A$7:$I$45,9,FALSE))</f>
        <v>0</v>
      </c>
      <c r="L130" s="814"/>
      <c r="M130" s="814"/>
    </row>
    <row r="131" spans="1:13" ht="15" customHeight="1">
      <c r="A131" t="s">
        <v>8435</v>
      </c>
      <c r="B131">
        <v>302.41000000000003</v>
      </c>
      <c r="C131" s="403" t="s">
        <v>3789</v>
      </c>
      <c r="D131" s="403" t="s">
        <v>4699</v>
      </c>
      <c r="E131" s="87">
        <f t="shared" si="6"/>
        <v>0.72780203784570618</v>
      </c>
      <c r="F131" s="87">
        <f>IFERROR($E131*(VLOOKUP(C131,fish_group_yield_n!$A$7:$J$49,7,FALSE)),0)</f>
        <v>0.13367882725738719</v>
      </c>
      <c r="G131" s="87">
        <f>IFERROR($E131*(VLOOKUP(C131,fish_group_yield_n!$A$7:$J$49,10,FALSE)),0)</f>
        <v>0.13244439931000876</v>
      </c>
      <c r="H131" s="823">
        <f t="shared" si="4"/>
        <v>4953.2699999999986</v>
      </c>
      <c r="I131" s="428">
        <f>IF(ISERROR($E131*VLOOKUP($C131,fish_group_yield_w!$A$7:$I$45,9,FALSE)),0,$E131*VLOOKUP($C131,fish_group_yield_w!$A$7:$I$45,9,FALSE))</f>
        <v>0</v>
      </c>
      <c r="J131" s="429">
        <f>IF(ISERROR($E131*VLOOKUP($C131,fish_group_yield_w!$A$7:$I$45,9,FALSE)),0,$E131*VLOOKUP($C131,fish_group_yield_w!$A$7:$I$45,9,FALSE))</f>
        <v>0</v>
      </c>
      <c r="L131" s="814"/>
      <c r="M131" s="814"/>
    </row>
    <row r="132" spans="1:13" ht="12.5">
      <c r="A132" s="403" t="s">
        <v>6067</v>
      </c>
      <c r="B132" s="403">
        <v>302.39999999999998</v>
      </c>
      <c r="C132" s="403" t="s">
        <v>3789</v>
      </c>
      <c r="D132" s="403" t="s">
        <v>4699</v>
      </c>
      <c r="E132" s="87">
        <f t="shared" si="6"/>
        <v>0.72780203784570618</v>
      </c>
      <c r="F132" s="87">
        <f>IFERROR($E132*(VLOOKUP(C132,fish_group_yield_n!$A$7:$J$49,7,FALSE)),0)</f>
        <v>0.13367882725738719</v>
      </c>
      <c r="G132" s="87">
        <f>IFERROR($E132*(VLOOKUP(C132,fish_group_yield_n!$A$7:$J$49,10,FALSE)),0)</f>
        <v>0.13244439931000876</v>
      </c>
      <c r="H132" s="823">
        <f t="shared" si="4"/>
        <v>0</v>
      </c>
      <c r="I132" s="428">
        <f>IF(ISERROR($E132*VLOOKUP($C132,fish_group_yield_w!$A$7:$I$45,9,FALSE)),0,$E132*VLOOKUP($C132,fish_group_yield_w!$A$7:$I$45,9,FALSE))</f>
        <v>0</v>
      </c>
      <c r="J132" s="429">
        <f>IF(ISERROR($E132*VLOOKUP($C132,fish_group_yield_w!$A$7:$I$45,9,FALSE)),0,$E132*VLOOKUP($C132,fish_group_yield_w!$A$7:$I$45,9,FALSE))</f>
        <v>0</v>
      </c>
      <c r="L132" s="814"/>
      <c r="M132" s="814"/>
    </row>
    <row r="133" spans="1:13" ht="12.5">
      <c r="A133" s="403" t="s">
        <v>6068</v>
      </c>
      <c r="B133" s="403">
        <v>303.51</v>
      </c>
      <c r="C133" s="403" t="s">
        <v>3789</v>
      </c>
      <c r="D133" s="403" t="s">
        <v>4699</v>
      </c>
      <c r="E133" s="87">
        <f t="shared" si="6"/>
        <v>0.64239828693790135</v>
      </c>
      <c r="F133" s="87">
        <f>IFERROR($E133*(VLOOKUP(C133,fish_group_yield_n!$A$7:$J$49,7,FALSE)),0)</f>
        <v>0.11799231819163805</v>
      </c>
      <c r="G133" s="87">
        <f>IFERROR($E133*(VLOOKUP(C133,fish_group_yield_n!$A$7:$J$49,10,FALSE)),0)</f>
        <v>0.11690274388776356</v>
      </c>
      <c r="H133" s="823">
        <f t="shared" si="4"/>
        <v>4659.1033333333344</v>
      </c>
      <c r="I133" s="428">
        <f>IF(ISERROR($E133*VLOOKUP($C133,fish_group_yield_w!$A$7:$I$45,9,FALSE)),0,$E133*VLOOKUP($C133,fish_group_yield_w!$A$7:$I$45,9,FALSE))</f>
        <v>0</v>
      </c>
      <c r="J133" s="429">
        <f>IF(ISERROR($E133*VLOOKUP($C133,fish_group_yield_w!$A$7:$I$45,9,FALSE)),0,$E133*VLOOKUP($C133,fish_group_yield_w!$A$7:$I$45,9,FALSE))</f>
        <v>0</v>
      </c>
      <c r="L133" s="814"/>
      <c r="M133" s="814"/>
    </row>
    <row r="134" spans="1:13" ht="12.5">
      <c r="A134" s="403" t="s">
        <v>6069</v>
      </c>
      <c r="B134" s="403">
        <v>305.42</v>
      </c>
      <c r="C134" s="403" t="s">
        <v>3789</v>
      </c>
      <c r="D134" s="403" t="s">
        <v>4699</v>
      </c>
      <c r="E134" s="87">
        <f t="shared" si="6"/>
        <v>0.61585835257890686</v>
      </c>
      <c r="F134" s="87">
        <f>IFERROR($E134*(VLOOKUP(C134,fish_group_yield_n!$A$7:$J$49,7,FALSE)),0)</f>
        <v>0.11311760348061582</v>
      </c>
      <c r="G134" s="87">
        <f>IFERROR($E134*(VLOOKUP(C134,fish_group_yield_n!$A$7:$J$49,10,FALSE)),0)</f>
        <v>0.11207304366555934</v>
      </c>
      <c r="H134" s="823">
        <f t="shared" si="4"/>
        <v>56.831249999999997</v>
      </c>
      <c r="I134" s="428">
        <f>IF(ISERROR($E134*VLOOKUP($C134,fish_group_yield_w!$A$7:$I$45,9,FALSE)),0,$E134*VLOOKUP($C134,fish_group_yield_w!$A$7:$I$45,9,FALSE))</f>
        <v>0</v>
      </c>
      <c r="J134" s="429">
        <f>IF(ISERROR($E134*VLOOKUP($C134,fish_group_yield_w!$A$7:$I$45,9,FALSE)),0,$E134*VLOOKUP($C134,fish_group_yield_w!$A$7:$I$45,9,FALSE))</f>
        <v>0</v>
      </c>
      <c r="L134" s="814"/>
      <c r="M134" s="814"/>
    </row>
    <row r="135" spans="1:13" ht="12.5">
      <c r="A135" s="403" t="s">
        <v>6070</v>
      </c>
      <c r="B135" s="403">
        <v>1604.12</v>
      </c>
      <c r="C135" s="403" t="s">
        <v>3789</v>
      </c>
      <c r="D135" s="403" t="s">
        <v>4699</v>
      </c>
      <c r="E135" s="87">
        <f t="shared" si="6"/>
        <v>0.61585835257890686</v>
      </c>
      <c r="F135" s="87">
        <f>IFERROR($E135*(VLOOKUP(C135,fish_group_yield_n!$A$7:$J$49,7,FALSE)),0)</f>
        <v>0.11311760348061582</v>
      </c>
      <c r="G135" s="87">
        <f>IFERROR($E135*(VLOOKUP(C135,fish_group_yield_n!$A$7:$J$49,10,FALSE)),0)</f>
        <v>0.11207304366555934</v>
      </c>
      <c r="H135" s="823">
        <f t="shared" ref="H135:H198" si="7">IF(ISERROR(VLOOKUP(B135,tbl_figis_commodity,2,FALSE)/E135),0,VLOOKUP(B135,tbl_figis_commodity,2,FALSE)/E135)</f>
        <v>1290.8812499999999</v>
      </c>
      <c r="I135" s="428">
        <f>IF(ISERROR($E135*VLOOKUP($C135,fish_group_yield_w!$A$7:$I$45,9,FALSE)),0,$E135*VLOOKUP($C135,fish_group_yield_w!$A$7:$I$45,9,FALSE))</f>
        <v>0</v>
      </c>
      <c r="J135" s="429">
        <f>IF(ISERROR($E135*VLOOKUP($C135,fish_group_yield_w!$A$7:$I$45,9,FALSE)),0,$E135*VLOOKUP($C135,fish_group_yield_w!$A$7:$I$45,9,FALSE))</f>
        <v>0</v>
      </c>
      <c r="L135" s="814"/>
      <c r="M135" s="814"/>
    </row>
    <row r="136" spans="1:13" ht="12.5">
      <c r="A136" s="403" t="s">
        <v>6071</v>
      </c>
      <c r="B136" s="403">
        <v>305.61</v>
      </c>
      <c r="C136" s="403" t="s">
        <v>3789</v>
      </c>
      <c r="D136" s="403" t="s">
        <v>4699</v>
      </c>
      <c r="E136" s="87">
        <f t="shared" si="6"/>
        <v>0.61585835257890686</v>
      </c>
      <c r="F136" s="87">
        <f>IFERROR($E136*(VLOOKUP(C136,fish_group_yield_n!$A$7:$J$49,7,FALSE)),0)</f>
        <v>0.11311760348061582</v>
      </c>
      <c r="G136" s="87">
        <f>IFERROR($E136*(VLOOKUP(C136,fish_group_yield_n!$A$7:$J$49,10,FALSE)),0)</f>
        <v>0.11207304366555934</v>
      </c>
      <c r="H136" s="823">
        <f t="shared" si="7"/>
        <v>513.10500000000002</v>
      </c>
      <c r="I136" s="428">
        <f>IF(ISERROR($E136*VLOOKUP($C136,fish_group_yield_w!$A$7:$I$45,9,FALSE)),0,$E136*VLOOKUP($C136,fish_group_yield_w!$A$7:$I$45,9,FALSE))</f>
        <v>0</v>
      </c>
      <c r="J136" s="429">
        <f>IF(ISERROR($E136*VLOOKUP($C136,fish_group_yield_w!$A$7:$I$45,9,FALSE)),0,$E136*VLOOKUP($C136,fish_group_yield_w!$A$7:$I$45,9,FALSE))</f>
        <v>0</v>
      </c>
      <c r="L136" s="814"/>
      <c r="M136" s="814"/>
    </row>
    <row r="137" spans="1:13" ht="12.5">
      <c r="A137" t="s">
        <v>9120</v>
      </c>
      <c r="B137">
        <v>302.49</v>
      </c>
      <c r="C137" t="s">
        <v>1738</v>
      </c>
      <c r="D137" t="s">
        <v>4699</v>
      </c>
      <c r="E137" s="87">
        <v>3.92</v>
      </c>
      <c r="F137" s="87">
        <f>IFERROR($E137*(VLOOKUP(C137,fish_group_yield_n!$A$7:$J$49,7,FALSE)),0)</f>
        <v>0.35326457061699712</v>
      </c>
      <c r="G137" s="87">
        <f>IFERROR($E137*(VLOOKUP(C137,fish_group_yield_n!$A$7:$J$49,10,FALSE)),0)</f>
        <v>0.24295035343731222</v>
      </c>
      <c r="H137" s="823">
        <f t="shared" si="7"/>
        <v>119.64285714285714</v>
      </c>
      <c r="I137" s="428">
        <f>IF(ISERROR($E137*VLOOKUP($C137,fish_group_yield_w!$A$7:$I$45,9,FALSE)),0,$E137*VLOOKUP($C137,fish_group_yield_w!$A$7:$I$45,9,FALSE))</f>
        <v>1.0825265827351036</v>
      </c>
      <c r="J137" s="429">
        <f>IF(ISERROR($E137*VLOOKUP($C137,fish_group_yield_w!$A$7:$I$45,9,FALSE)),0,$E137*VLOOKUP($C137,fish_group_yield_w!$A$7:$I$45,9,FALSE))</f>
        <v>1.0825265827351036</v>
      </c>
      <c r="L137" s="814"/>
      <c r="M137" s="814"/>
    </row>
    <row r="138" spans="1:13" ht="12.5">
      <c r="A138" t="s">
        <v>8436</v>
      </c>
      <c r="B138">
        <v>302.45</v>
      </c>
      <c r="C138" t="s">
        <v>2313</v>
      </c>
      <c r="D138" t="s">
        <v>4699</v>
      </c>
      <c r="E138" s="87">
        <f t="shared" ref="E138:E143" si="8">IFERROR(1/VLOOKUP(B138,constant_fish_extr,2,FALSE),0)</f>
        <v>0.98328416912487715</v>
      </c>
      <c r="F138" s="87">
        <f>IFERROR($E138*(VLOOKUP(C138,fish_group_yield_n!$A$7:$J$49,7,FALSE)),0)</f>
        <v>5.9095944981236249E-2</v>
      </c>
      <c r="G138" s="87">
        <f>IFERROR($E138*(VLOOKUP(C138,fish_group_yield_n!$A$7:$J$49,10,FALSE)),0)</f>
        <v>6.3051569822182379E-2</v>
      </c>
      <c r="H138" s="823">
        <f t="shared" si="7"/>
        <v>35.594999999999999</v>
      </c>
      <c r="I138" s="428">
        <f>IF(ISERROR($E138*VLOOKUP($C138,fish_group_yield_w!$A$7:$I$45,9,FALSE)),0,$E138*VLOOKUP($C138,fish_group_yield_w!$A$7:$I$45,9,FALSE))</f>
        <v>1.2712164372776635E-4</v>
      </c>
      <c r="J138" s="429">
        <f>IF(ISERROR($E138*VLOOKUP($C138,fish_group_yield_w!$A$7:$I$45,9,FALSE)),0,$E138*VLOOKUP($C138,fish_group_yield_w!$A$7:$I$45,9,FALSE))</f>
        <v>1.2712164372776635E-4</v>
      </c>
      <c r="L138" s="814"/>
      <c r="M138" s="814"/>
    </row>
    <row r="139" spans="1:13" ht="12.5">
      <c r="A139" t="s">
        <v>8467</v>
      </c>
      <c r="B139">
        <v>303.55</v>
      </c>
      <c r="C139" t="s">
        <v>2313</v>
      </c>
      <c r="D139" t="s">
        <v>4699</v>
      </c>
      <c r="E139" s="87">
        <f t="shared" si="8"/>
        <v>0.5524861878453039</v>
      </c>
      <c r="F139" s="87">
        <f>IFERROR($E139*(VLOOKUP(C139,fish_group_yield_n!$A$7:$J$49,7,FALSE)),0)</f>
        <v>3.3204738146915616E-2</v>
      </c>
      <c r="G139" s="87">
        <f>IFERROR($E139*(VLOOKUP(C139,fish_group_yield_n!$A$7:$J$49,10,FALSE)),0)</f>
        <v>3.542731851334778E-2</v>
      </c>
      <c r="H139" s="823">
        <f t="shared" si="7"/>
        <v>1218.1299999999999</v>
      </c>
      <c r="I139" s="428">
        <f>IF(ISERROR($E139*VLOOKUP($C139,fish_group_yield_w!$A$7:$I$45,9,FALSE)),0,$E139*VLOOKUP($C139,fish_group_yield_w!$A$7:$I$45,9,FALSE))</f>
        <v>7.1426912525490816E-5</v>
      </c>
      <c r="J139" s="429">
        <f>IF(ISERROR($E139*VLOOKUP($C139,fish_group_yield_w!$A$7:$I$45,9,FALSE)),0,$E139*VLOOKUP($C139,fish_group_yield_w!$A$7:$I$45,9,FALSE))</f>
        <v>7.1426912525490816E-5</v>
      </c>
      <c r="L139" s="814"/>
      <c r="M139" s="814"/>
    </row>
    <row r="140" spans="1:13" ht="12.5">
      <c r="A140" t="s">
        <v>8438</v>
      </c>
      <c r="B140">
        <v>308.3</v>
      </c>
      <c r="C140" t="s">
        <v>1738</v>
      </c>
      <c r="D140"/>
      <c r="E140" s="87">
        <f t="shared" si="8"/>
        <v>0.3127932436659368</v>
      </c>
      <c r="F140" s="87">
        <f>IFERROR($E140*(VLOOKUP(C140,fish_group_yield_n!$A$7:$J$49,7,FALSE)),0)</f>
        <v>2.8188461968251255E-2</v>
      </c>
      <c r="G140" s="87">
        <f>IFERROR($E140*(VLOOKUP(C140,fish_group_yield_n!$A$7:$J$49,10,FALSE)),0)</f>
        <v>1.938602783200068E-2</v>
      </c>
      <c r="H140" s="823">
        <f t="shared" si="7"/>
        <v>402.822</v>
      </c>
      <c r="I140" s="428">
        <f>IF(ISERROR($E140*VLOOKUP($C140,fish_group_yield_w!$A$7:$I$45,9,FALSE)),0,$E140*VLOOKUP($C140,fish_group_yield_w!$A$7:$I$45,9,FALSE))</f>
        <v>8.6379337032733469E-2</v>
      </c>
      <c r="J140" s="429">
        <f>IF(ISERROR($E140*VLOOKUP($C140,fish_group_yield_w!$A$7:$I$45,9,FALSE)),0,$E140*VLOOKUP($C140,fish_group_yield_w!$A$7:$I$45,9,FALSE))</f>
        <v>8.6379337032733469E-2</v>
      </c>
      <c r="L140" s="814"/>
      <c r="M140" s="814"/>
    </row>
    <row r="141" spans="1:13" ht="12.5">
      <c r="A141" t="s">
        <v>8479</v>
      </c>
      <c r="B141">
        <v>1605.63</v>
      </c>
      <c r="C141" t="s">
        <v>1738</v>
      </c>
      <c r="D141"/>
      <c r="E141" s="87">
        <f t="shared" si="8"/>
        <v>0.3127932436659368</v>
      </c>
      <c r="F141" s="87">
        <f>IFERROR($E141*(VLOOKUP(C141,fish_group_yield_n!$A$7:$J$49,7,FALSE)),0)</f>
        <v>2.8188461968251255E-2</v>
      </c>
      <c r="G141" s="87">
        <f>IFERROR($E141*(VLOOKUP(C141,fish_group_yield_n!$A$7:$J$49,10,FALSE)),0)</f>
        <v>1.938602783200068E-2</v>
      </c>
      <c r="H141" s="823">
        <f t="shared" si="7"/>
        <v>12.788</v>
      </c>
      <c r="I141" s="428">
        <f>IF(ISERROR($E141*VLOOKUP($C141,fish_group_yield_w!$A$7:$I$45,9,FALSE)),0,$E141*VLOOKUP($C141,fish_group_yield_w!$A$7:$I$45,9,FALSE))</f>
        <v>8.6379337032733469E-2</v>
      </c>
      <c r="J141" s="429">
        <f>IF(ISERROR($E141*VLOOKUP($C141,fish_group_yield_w!$A$7:$I$45,9,FALSE)),0,$E141*VLOOKUP($C141,fish_group_yield_w!$A$7:$I$45,9,FALSE))</f>
        <v>8.6379337032733469E-2</v>
      </c>
      <c r="L141" s="814"/>
      <c r="M141" s="814"/>
    </row>
    <row r="142" spans="1:13" ht="12.5">
      <c r="A142" s="403" t="s">
        <v>6072</v>
      </c>
      <c r="B142" s="403">
        <v>302.7</v>
      </c>
      <c r="C142" s="403" t="s">
        <v>1735</v>
      </c>
      <c r="D142" s="403"/>
      <c r="E142" s="87">
        <f t="shared" si="8"/>
        <v>1</v>
      </c>
      <c r="F142" s="87">
        <f>IFERROR($E142*(VLOOKUP(C142,fish_group_yield_n!$A$7:$J$49,7,FALSE)),0)</f>
        <v>5.9896777328554827E-2</v>
      </c>
      <c r="G142" s="87">
        <f>IFERROR($E142*(VLOOKUP(C142,fish_group_yield_n!$A$7:$J$49,10,FALSE)),0)</f>
        <v>5.9896777328554834E-2</v>
      </c>
      <c r="H142" s="823">
        <f t="shared" si="7"/>
        <v>0</v>
      </c>
      <c r="I142" s="428">
        <f>IF(ISERROR($E142*VLOOKUP($C142,fish_group_yield_w!$A$7:$I$45,9,FALSE)),0,$E142*VLOOKUP($C142,fish_group_yield_w!$A$7:$I$45,9,FALSE))</f>
        <v>0</v>
      </c>
      <c r="J142" s="429">
        <f>IF(ISERROR($E142*VLOOKUP($C142,fish_group_yield_w!$A$7:$I$45,9,FALSE)),0,$E142*VLOOKUP($C142,fish_group_yield_w!$A$7:$I$45,9,FALSE))</f>
        <v>0</v>
      </c>
      <c r="L142" s="814"/>
      <c r="M142" s="814"/>
    </row>
    <row r="143" spans="1:13" ht="15" customHeight="1">
      <c r="A143" s="885" t="s">
        <v>6072</v>
      </c>
      <c r="B143" s="801">
        <v>302.89999999999998</v>
      </c>
      <c r="C143" s="403" t="s">
        <v>1735</v>
      </c>
      <c r="D143"/>
      <c r="E143" s="87">
        <f t="shared" si="8"/>
        <v>0</v>
      </c>
      <c r="F143" s="87">
        <f>IFERROR($E143*(VLOOKUP(C143,fish_group_yield_n!$A$7:$J$49,7,FALSE)),0)</f>
        <v>0</v>
      </c>
      <c r="G143" s="87">
        <f>IFERROR($E143*(VLOOKUP(C143,fish_group_yield_n!$A$7:$J$49,10,FALSE)),0)</f>
        <v>0</v>
      </c>
      <c r="H143" s="823">
        <f t="shared" si="7"/>
        <v>0</v>
      </c>
      <c r="I143" s="428">
        <f>IF(ISERROR($E143*VLOOKUP($C143,fish_group_yield_w!$A$7:$I$45,9,FALSE)),0,$E143*VLOOKUP($C143,fish_group_yield_w!$A$7:$I$45,9,FALSE))</f>
        <v>0</v>
      </c>
      <c r="J143" s="429">
        <f>IF(ISERROR($E143*VLOOKUP($C143,fish_group_yield_w!$A$7:$I$45,9,FALSE)),0,$E143*VLOOKUP($C143,fish_group_yield_w!$A$7:$I$45,9,FALSE))</f>
        <v>0</v>
      </c>
      <c r="L143" s="814"/>
      <c r="M143" s="814"/>
    </row>
    <row r="144" spans="1:13" ht="15" customHeight="1">
      <c r="A144" t="s">
        <v>9121</v>
      </c>
      <c r="B144">
        <v>302.91000000000003</v>
      </c>
      <c r="C144" t="s">
        <v>1735</v>
      </c>
      <c r="D144"/>
      <c r="E144" s="87">
        <v>1</v>
      </c>
      <c r="F144" s="87">
        <f>IFERROR($E144*(VLOOKUP(C144,fish_group_yield_n!$A$7:$J$49,7,FALSE)),0)</f>
        <v>5.9896777328554827E-2</v>
      </c>
      <c r="G144" s="87">
        <f>IFERROR($E144*(VLOOKUP(C144,fish_group_yield_n!$A$7:$J$49,10,FALSE)),0)</f>
        <v>5.9896777328554834E-2</v>
      </c>
      <c r="H144" s="823">
        <f t="shared" si="7"/>
        <v>88</v>
      </c>
      <c r="I144" s="428">
        <f>IF(ISERROR($E144*VLOOKUP($C144,fish_group_yield_w!$A$7:$I$45,9,FALSE)),0,$E144*VLOOKUP($C144,fish_group_yield_w!$A$7:$I$45,9,FALSE))</f>
        <v>0</v>
      </c>
      <c r="J144" s="429">
        <f>IF(ISERROR($E144*VLOOKUP($C144,fish_group_yield_w!$A$7:$I$45,9,FALSE)),0,$E144*VLOOKUP($C144,fish_group_yield_w!$A$7:$I$45,9,FALSE))</f>
        <v>0</v>
      </c>
      <c r="L144" s="814"/>
      <c r="M144" s="814"/>
    </row>
    <row r="145" spans="1:13" ht="12.5">
      <c r="A145" t="s">
        <v>9125</v>
      </c>
      <c r="B145">
        <v>303.91000000000003</v>
      </c>
      <c r="C145" t="s">
        <v>1735</v>
      </c>
      <c r="D145"/>
      <c r="E145" s="87">
        <v>1</v>
      </c>
      <c r="F145" s="87">
        <f>IFERROR($E145*(VLOOKUP(C145,fish_group_yield_n!$A$7:$J$49,7,FALSE)),0)</f>
        <v>5.9896777328554827E-2</v>
      </c>
      <c r="G145" s="87">
        <f>IFERROR($E145*(VLOOKUP(C145,fish_group_yield_n!$A$7:$J$49,10,FALSE)),0)</f>
        <v>5.9896777328554834E-2</v>
      </c>
      <c r="H145" s="823">
        <f t="shared" si="7"/>
        <v>479</v>
      </c>
      <c r="I145" s="428">
        <f>IF(ISERROR($E145*VLOOKUP($C145,fish_group_yield_w!$A$7:$I$45,9,FALSE)),0,$E145*VLOOKUP($C145,fish_group_yield_w!$A$7:$I$45,9,FALSE))</f>
        <v>0</v>
      </c>
      <c r="J145" s="429">
        <f>IF(ISERROR($E145*VLOOKUP($C145,fish_group_yield_w!$A$7:$I$45,9,FALSE)),0,$E145*VLOOKUP($C145,fish_group_yield_w!$A$7:$I$45,9,FALSE))</f>
        <v>0</v>
      </c>
      <c r="L145" s="814"/>
      <c r="M145" s="814"/>
    </row>
    <row r="146" spans="1:13" ht="12.5">
      <c r="A146" s="403" t="s">
        <v>6073</v>
      </c>
      <c r="B146" s="403">
        <v>1605.3</v>
      </c>
      <c r="C146" s="403" t="s">
        <v>3790</v>
      </c>
      <c r="D146" s="403" t="s">
        <v>4680</v>
      </c>
      <c r="E146" s="87">
        <f>IFERROR(1/VLOOKUP(B146,constant_fish_extr,2,FALSE),0)</f>
        <v>0.46433094132545383</v>
      </c>
      <c r="F146" s="87">
        <f>IFERROR($E146*(VLOOKUP(C146,fish_group_yield_n!$A$7:$J$49,7,FALSE)),0)</f>
        <v>7.44207245736343E-2</v>
      </c>
      <c r="G146" s="87">
        <f>IFERROR($E146*(VLOOKUP(C146,fish_group_yield_n!$A$7:$J$49,10,FALSE)),0)</f>
        <v>5.7637024974909461E-2</v>
      </c>
      <c r="H146" s="823">
        <f t="shared" si="7"/>
        <v>712.85363636363627</v>
      </c>
      <c r="I146" s="428">
        <f>IF(ISERROR($E146*VLOOKUP($C146,fish_group_yield_w!$A$7:$I$45,9,FALSE)),0,$E146*VLOOKUP($C146,fish_group_yield_w!$A$7:$I$45,9,FALSE))</f>
        <v>8.322832097799685E-5</v>
      </c>
      <c r="J146" s="429">
        <f>IF(ISERROR($E146*VLOOKUP($C146,fish_group_yield_w!$A$7:$I$45,9,FALSE)),0,$E146*VLOOKUP($C146,fish_group_yield_w!$A$7:$I$45,9,FALSE))</f>
        <v>8.322832097799685E-5</v>
      </c>
      <c r="L146" s="814"/>
      <c r="M146" s="814"/>
    </row>
    <row r="147" spans="1:13" ht="12.5">
      <c r="A147" t="s">
        <v>9143</v>
      </c>
      <c r="B147">
        <v>306.92</v>
      </c>
      <c r="C147" t="s">
        <v>3790</v>
      </c>
      <c r="D147" t="s">
        <v>4680</v>
      </c>
      <c r="E147" s="87">
        <v>2.15</v>
      </c>
      <c r="F147" s="87">
        <f>IFERROR($E147*(VLOOKUP(C147,fish_group_yield_n!$A$7:$J$49,7,FALSE)),0)</f>
        <v>0.34459163409738197</v>
      </c>
      <c r="G147" s="87">
        <f>IFERROR($E147*(VLOOKUP(C147,fish_group_yield_n!$A$7:$J$49,10,FALSE)),0)</f>
        <v>0.2668777646872319</v>
      </c>
      <c r="H147" s="823">
        <f t="shared" si="7"/>
        <v>0</v>
      </c>
      <c r="I147" s="428">
        <f>IF(ISERROR($E147*VLOOKUP($C147,fish_group_yield_w!$A$7:$I$45,9,FALSE)),0,$E147*VLOOKUP($C147,fish_group_yield_w!$A$7:$I$45,9,FALSE))</f>
        <v>3.8537360786661837E-4</v>
      </c>
      <c r="J147" s="429">
        <f>IF(ISERROR($E147*VLOOKUP($C147,fish_group_yield_w!$A$7:$I$45,9,FALSE)),0,$E147*VLOOKUP($C147,fish_group_yield_w!$A$7:$I$45,9,FALSE))</f>
        <v>3.8537360786661837E-4</v>
      </c>
      <c r="L147" s="814"/>
      <c r="M147" s="814"/>
    </row>
    <row r="148" spans="1:13" ht="12.5">
      <c r="A148" t="s">
        <v>9139</v>
      </c>
      <c r="B148">
        <v>306.32</v>
      </c>
      <c r="C148" t="s">
        <v>3790</v>
      </c>
      <c r="D148" t="s">
        <v>4680</v>
      </c>
      <c r="E148" s="87">
        <v>2.15</v>
      </c>
      <c r="F148" s="87">
        <f>IFERROR($E148*(VLOOKUP(C148,fish_group_yield_n!$A$7:$J$49,7,FALSE)),0)</f>
        <v>0.34459163409738197</v>
      </c>
      <c r="G148" s="87">
        <f>IFERROR($E148*(VLOOKUP(C148,fish_group_yield_n!$A$7:$J$49,10,FALSE)),0)</f>
        <v>0.2668777646872319</v>
      </c>
      <c r="H148" s="823">
        <f t="shared" si="7"/>
        <v>13163.720930232559</v>
      </c>
      <c r="I148" s="428">
        <f>IF(ISERROR($E148*VLOOKUP($C148,fish_group_yield_w!$A$7:$I$45,9,FALSE)),0,$E148*VLOOKUP($C148,fish_group_yield_w!$A$7:$I$45,9,FALSE))</f>
        <v>3.8537360786661837E-4</v>
      </c>
      <c r="J148" s="429">
        <f>IF(ISERROR($E148*VLOOKUP($C148,fish_group_yield_w!$A$7:$I$45,9,FALSE)),0,$E148*VLOOKUP($C148,fish_group_yield_w!$A$7:$I$45,9,FALSE))</f>
        <v>3.8537360786661837E-4</v>
      </c>
      <c r="L148" s="814"/>
      <c r="M148" s="814"/>
    </row>
    <row r="149" spans="1:13" ht="12.5">
      <c r="A149" s="403" t="s">
        <v>6074</v>
      </c>
      <c r="B149" s="403">
        <v>306.12</v>
      </c>
      <c r="C149" s="403" t="s">
        <v>3790</v>
      </c>
      <c r="D149" s="403" t="s">
        <v>4680</v>
      </c>
      <c r="E149" s="87">
        <f t="shared" ref="E149:E159" si="9">IFERROR(1/VLOOKUP(B149,constant_fish_extr,2,FALSE),0)</f>
        <v>0.46433094132545383</v>
      </c>
      <c r="F149" s="87">
        <f>IFERROR($E149*(VLOOKUP(C149,fish_group_yield_n!$A$7:$J$49,7,FALSE)),0)</f>
        <v>7.44207245736343E-2</v>
      </c>
      <c r="G149" s="87">
        <f>IFERROR($E149*(VLOOKUP(C149,fish_group_yield_n!$A$7:$J$49,10,FALSE)),0)</f>
        <v>5.7637024974909461E-2</v>
      </c>
      <c r="H149" s="823">
        <f t="shared" si="7"/>
        <v>958.36818181818171</v>
      </c>
      <c r="I149" s="428">
        <f>IF(ISERROR($E149*VLOOKUP($C149,fish_group_yield_w!$A$7:$I$45,9,FALSE)),0,$E149*VLOOKUP($C149,fish_group_yield_w!$A$7:$I$45,9,FALSE))</f>
        <v>8.322832097799685E-5</v>
      </c>
      <c r="J149" s="429">
        <f>IF(ISERROR($E149*VLOOKUP($C149,fish_group_yield_w!$A$7:$I$45,9,FALSE)),0,$E149*VLOOKUP($C149,fish_group_yield_w!$A$7:$I$45,9,FALSE))</f>
        <v>8.322832097799685E-5</v>
      </c>
      <c r="L149" s="814"/>
      <c r="M149" s="814"/>
    </row>
    <row r="150" spans="1:13" ht="12.65" customHeight="1">
      <c r="A150" s="430" t="s">
        <v>6141</v>
      </c>
      <c r="B150" s="403">
        <v>306.22000000000003</v>
      </c>
      <c r="C150" s="403" t="s">
        <v>3790</v>
      </c>
      <c r="D150" s="403" t="s">
        <v>4680</v>
      </c>
      <c r="E150" s="87">
        <f t="shared" si="9"/>
        <v>0.46433094132545383</v>
      </c>
      <c r="F150" s="87">
        <f>IFERROR($E150*(VLOOKUP(C150,fish_group_yield_n!$A$7:$J$49,7,FALSE)),0)</f>
        <v>7.44207245736343E-2</v>
      </c>
      <c r="G150" s="87">
        <f>IFERROR($E150*(VLOOKUP(C150,fish_group_yield_n!$A$7:$J$49,10,FALSE)),0)</f>
        <v>5.7637024974909461E-2</v>
      </c>
      <c r="H150" s="823">
        <f t="shared" si="7"/>
        <v>0</v>
      </c>
      <c r="I150" s="431">
        <f>IF(ISERROR($E150*VLOOKUP($C150,fish_group_yield_w!$A$7:$I$45,9,FALSE)),0,$E150*VLOOKUP($C150,fish_group_yield_w!$A$7:$I$45,9,FALSE))</f>
        <v>8.322832097799685E-5</v>
      </c>
      <c r="J150" s="432">
        <f>IF(ISERROR($E150*VLOOKUP($C150,fish_group_yield_w!$A$7:$I$45,9,FALSE)),0,$E150*VLOOKUP($C150,fish_group_yield_w!$A$7:$I$45,9,FALSE))</f>
        <v>8.322832097799685E-5</v>
      </c>
      <c r="L150" s="814"/>
      <c r="M150" s="814"/>
    </row>
    <row r="151" spans="1:13" ht="12.5">
      <c r="A151" s="403" t="s">
        <v>6075</v>
      </c>
      <c r="B151" s="403">
        <v>302.64</v>
      </c>
      <c r="C151" s="403" t="s">
        <v>2313</v>
      </c>
      <c r="D151" s="403" t="s">
        <v>4699</v>
      </c>
      <c r="E151" s="87">
        <f t="shared" si="9"/>
        <v>0.74487895716945995</v>
      </c>
      <c r="F151" s="87">
        <f>IFERROR($E151*(VLOOKUP(C151,fish_group_yield_n!$A$7:$J$49,7,FALSE)),0)</f>
        <v>4.4767654410366675E-2</v>
      </c>
      <c r="G151" s="87">
        <f>IFERROR($E151*(VLOOKUP(C151,fish_group_yield_n!$A$7:$J$49,10,FALSE)),0)</f>
        <v>4.7764205965854359E-2</v>
      </c>
      <c r="H151" s="823">
        <f t="shared" si="7"/>
        <v>0</v>
      </c>
      <c r="I151" s="428">
        <f>IF(ISERROR($E151*VLOOKUP($C151,fish_group_yield_w!$A$7:$I$45,9,FALSE)),0,$E151*VLOOKUP($C151,fish_group_yield_w!$A$7:$I$45,9,FALSE))</f>
        <v>9.6299971449637523E-5</v>
      </c>
      <c r="J151" s="429">
        <f>IF(ISERROR($E151*VLOOKUP($C151,fish_group_yield_w!$A$7:$I$45,9,FALSE)),0,$E151*VLOOKUP($C151,fish_group_yield_w!$A$7:$I$45,9,FALSE))</f>
        <v>9.6299971449637523E-5</v>
      </c>
      <c r="L151" s="814"/>
      <c r="M151" s="814"/>
    </row>
    <row r="152" spans="1:13" ht="12.5">
      <c r="A152" s="403" t="s">
        <v>6076</v>
      </c>
      <c r="B152" s="403">
        <v>303.74</v>
      </c>
      <c r="C152" s="403" t="s">
        <v>2313</v>
      </c>
      <c r="D152" s="403" t="s">
        <v>4699</v>
      </c>
      <c r="E152" s="87">
        <f t="shared" si="9"/>
        <v>0.65969062784349419</v>
      </c>
      <c r="F152" s="87">
        <f>IFERROR($E152*(VLOOKUP(C152,fish_group_yield_n!$A$7:$J$49,7,FALSE)),0)</f>
        <v>3.9647786745486822E-2</v>
      </c>
      <c r="G152" s="87">
        <f>IFERROR($E152*(VLOOKUP(C152,fish_group_yield_n!$A$7:$J$49,10,FALSE)),0)</f>
        <v>4.2301636687116131E-2</v>
      </c>
      <c r="H152" s="823">
        <f t="shared" si="7"/>
        <v>0</v>
      </c>
      <c r="I152" s="428">
        <f>IF(ISERROR($E152*VLOOKUP($C152,fish_group_yield_w!$A$7:$I$45,9,FALSE)),0,$E152*VLOOKUP($C152,fish_group_yield_w!$A$7:$I$45,9,FALSE))</f>
        <v>8.5286593231642706E-5</v>
      </c>
      <c r="J152" s="429">
        <f>IF(ISERROR($E152*VLOOKUP($C152,fish_group_yield_w!$A$7:$I$45,9,FALSE)),0,$E152*VLOOKUP($C152,fish_group_yield_w!$A$7:$I$45,9,FALSE))</f>
        <v>8.5286593231642706E-5</v>
      </c>
      <c r="L152" s="814"/>
      <c r="M152" s="814"/>
    </row>
    <row r="153" spans="1:13" ht="12.5">
      <c r="A153" t="s">
        <v>8440</v>
      </c>
      <c r="B153">
        <v>302.44</v>
      </c>
      <c r="C153" s="403" t="s">
        <v>2313</v>
      </c>
      <c r="D153" s="403" t="s">
        <v>4699</v>
      </c>
      <c r="E153" s="87">
        <f t="shared" si="9"/>
        <v>0.74487895716945995</v>
      </c>
      <c r="F153" s="87">
        <f>IFERROR($E153*(VLOOKUP(C153,fish_group_yield_n!$A$7:$J$49,7,FALSE)),0)</f>
        <v>4.4767654410366675E-2</v>
      </c>
      <c r="G153" s="87">
        <f>IFERROR($E153*(VLOOKUP(C153,fish_group_yield_n!$A$7:$J$49,10,FALSE)),0)</f>
        <v>4.7764205965854359E-2</v>
      </c>
      <c r="H153" s="823">
        <f t="shared" si="7"/>
        <v>358.44749999999999</v>
      </c>
      <c r="I153" s="428">
        <f>IF(ISERROR($E153*VLOOKUP($C153,fish_group_yield_w!$A$7:$I$45,9,FALSE)),0,$E153*VLOOKUP($C153,fish_group_yield_w!$A$7:$I$45,9,FALSE))</f>
        <v>9.6299971449637523E-5</v>
      </c>
      <c r="J153" s="429">
        <f>IF(ISERROR($E153*VLOOKUP($C153,fish_group_yield_w!$A$7:$I$45,9,FALSE)),0,$E153*VLOOKUP($C153,fish_group_yield_w!$A$7:$I$45,9,FALSE))</f>
        <v>9.6299971449637523E-5</v>
      </c>
      <c r="L153" s="814"/>
      <c r="M153" s="814"/>
    </row>
    <row r="154" spans="1:13" ht="12.5">
      <c r="A154" t="s">
        <v>8441</v>
      </c>
      <c r="B154">
        <v>303.54000000000002</v>
      </c>
      <c r="C154" s="403" t="s">
        <v>2313</v>
      </c>
      <c r="D154" s="403" t="s">
        <v>4699</v>
      </c>
      <c r="E154" s="87">
        <f t="shared" si="9"/>
        <v>0.65969062784349286</v>
      </c>
      <c r="F154" s="87">
        <f>IFERROR($E154*(VLOOKUP(C154,fish_group_yield_n!$A$7:$J$49,7,FALSE)),0)</f>
        <v>3.9647786745486746E-2</v>
      </c>
      <c r="G154" s="87">
        <f>IFERROR($E154*(VLOOKUP(C154,fish_group_yield_n!$A$7:$J$49,10,FALSE)),0)</f>
        <v>4.2301636687116048E-2</v>
      </c>
      <c r="H154" s="823">
        <f t="shared" si="7"/>
        <v>4215.612413793111</v>
      </c>
      <c r="I154" s="428">
        <f>IF(ISERROR($E154*VLOOKUP($C154,fish_group_yield_w!$A$7:$I$45,9,FALSE)),0,$E154*VLOOKUP($C154,fish_group_yield_w!$A$7:$I$45,9,FALSE))</f>
        <v>8.528659323164253E-5</v>
      </c>
      <c r="J154" s="429">
        <f>IF(ISERROR($E154*VLOOKUP($C154,fish_group_yield_w!$A$7:$I$45,9,FALSE)),0,$E154*VLOOKUP($C154,fish_group_yield_w!$A$7:$I$45,9,FALSE))</f>
        <v>8.528659323164253E-5</v>
      </c>
      <c r="L154" s="814"/>
      <c r="M154" s="814"/>
    </row>
    <row r="155" spans="1:13" ht="12.5">
      <c r="A155" s="403" t="s">
        <v>6077</v>
      </c>
      <c r="B155" s="403">
        <v>1604.15</v>
      </c>
      <c r="C155" s="403" t="s">
        <v>2313</v>
      </c>
      <c r="D155" s="403" t="s">
        <v>4699</v>
      </c>
      <c r="E155" s="87">
        <f t="shared" si="9"/>
        <v>0.65969062784349419</v>
      </c>
      <c r="F155" s="87">
        <f>IFERROR($E155*(VLOOKUP(C155,fish_group_yield_n!$A$7:$J$49,7,FALSE)),0)</f>
        <v>3.9647786745486822E-2</v>
      </c>
      <c r="G155" s="87">
        <f>IFERROR($E155*(VLOOKUP(C155,fish_group_yield_n!$A$7:$J$49,10,FALSE)),0)</f>
        <v>4.2301636687116131E-2</v>
      </c>
      <c r="H155" s="823">
        <f t="shared" si="7"/>
        <v>2158.587586206896</v>
      </c>
      <c r="I155" s="428">
        <f>IF(ISERROR($E155*VLOOKUP($C155,fish_group_yield_w!$A$7:$I$45,9,FALSE)),0,$E155*VLOOKUP($C155,fish_group_yield_w!$A$7:$I$45,9,FALSE))</f>
        <v>8.5286593231642706E-5</v>
      </c>
      <c r="J155" s="429">
        <f>IF(ISERROR($E155*VLOOKUP($C155,fish_group_yield_w!$A$7:$I$45,9,FALSE)),0,$E155*VLOOKUP($C155,fish_group_yield_w!$A$7:$I$45,9,FALSE))</f>
        <v>8.5286593231642706E-5</v>
      </c>
      <c r="L155" s="814"/>
      <c r="M155" s="814"/>
    </row>
    <row r="156" spans="1:13" ht="12.5">
      <c r="A156" s="403" t="s">
        <v>6078</v>
      </c>
      <c r="B156" s="403">
        <v>2301.1999999999998</v>
      </c>
      <c r="C156" s="403" t="s">
        <v>3476</v>
      </c>
      <c r="D156" s="403" t="s">
        <v>4467</v>
      </c>
      <c r="E156" s="87">
        <f t="shared" si="9"/>
        <v>0.267538644470868</v>
      </c>
      <c r="F156" s="87">
        <f>IFERROR($E156*(VLOOKUP(C156,fish_group_yield_n!$A$7:$J$49,7,FALSE)),0)</f>
        <v>9.9741199493811439E-2</v>
      </c>
      <c r="G156" s="87">
        <f>IFERROR($E156*(VLOOKUP(C156,fish_group_yield_n!$A$7:$J$49,10,FALSE)),0)</f>
        <v>5.7079133275053394E-2</v>
      </c>
      <c r="H156" s="823">
        <f t="shared" si="7"/>
        <v>180018.85333333333</v>
      </c>
      <c r="I156" s="428">
        <f>IF(ISERROR($E156*VLOOKUP($C156,fish_group_yield_w!$A$7:$I$45,9,FALSE)),0,$E156*VLOOKUP($C156,fish_group_yield_w!$A$7:$I$45,9,FALSE))</f>
        <v>0</v>
      </c>
      <c r="J156" s="429">
        <f>IF(ISERROR($E156*VLOOKUP($C156,fish_group_yield_w!$A$7:$I$45,9,FALSE)),0,$E156*VLOOKUP($C156,fish_group_yield_w!$A$7:$I$45,9,FALSE))</f>
        <v>0</v>
      </c>
      <c r="L156" s="814"/>
      <c r="M156" s="814"/>
    </row>
    <row r="157" spans="1:13" ht="12.5">
      <c r="A157" t="s">
        <v>8469</v>
      </c>
      <c r="B157">
        <v>304.95</v>
      </c>
      <c r="C157" t="s">
        <v>5195</v>
      </c>
      <c r="D157" t="s">
        <v>4681</v>
      </c>
      <c r="E157" s="87">
        <f t="shared" si="9"/>
        <v>0.5524861878453039</v>
      </c>
      <c r="F157" s="87">
        <f>IFERROR($E157*(VLOOKUP(C157,fish_group_yield_n!$A$7:$J$49,7,FALSE)),0)</f>
        <v>7.4948970437306497E-3</v>
      </c>
      <c r="G157" s="87">
        <f>IFERROR($E157*(VLOOKUP(C157,fish_group_yield_n!$A$7:$J$49,10,FALSE)),0)</f>
        <v>7.2760681244937141E-3</v>
      </c>
      <c r="H157" s="823">
        <f t="shared" si="7"/>
        <v>16083.66</v>
      </c>
      <c r="I157" s="428">
        <f>IF(ISERROR($E157*VLOOKUP($C157,fish_group_yield_w!$A$7:$I$45,9,FALSE)),0,$E157*VLOOKUP($C157,fish_group_yield_w!$A$7:$I$45,9,FALSE))</f>
        <v>1.9214058991356235E-4</v>
      </c>
      <c r="J157" s="429">
        <f>IF(ISERROR($E157*VLOOKUP($C157,fish_group_yield_w!$A$7:$I$45,9,FALSE)),0,$E157*VLOOKUP($C157,fish_group_yield_w!$A$7:$I$45,9,FALSE))</f>
        <v>1.9214058991356235E-4</v>
      </c>
      <c r="L157" s="814"/>
      <c r="M157" s="814"/>
    </row>
    <row r="158" spans="1:13" ht="15" customHeight="1">
      <c r="A158" t="s">
        <v>8443</v>
      </c>
      <c r="B158">
        <v>304.51</v>
      </c>
      <c r="C158" t="s">
        <v>1738</v>
      </c>
      <c r="D158"/>
      <c r="E158" s="87">
        <f t="shared" si="9"/>
        <v>0.43478260869565222</v>
      </c>
      <c r="F158" s="87">
        <f>IFERROR($E158*(VLOOKUP(C158,fish_group_yield_n!$A$7:$J$49,7,FALSE)),0)</f>
        <v>3.9181962135869254E-2</v>
      </c>
      <c r="G158" s="87">
        <f>IFERROR($E158*(VLOOKUP(C158,fish_group_yield_n!$A$7:$J$49,10,FALSE)),0)</f>
        <v>2.6946578686480951E-2</v>
      </c>
      <c r="H158" s="823">
        <f t="shared" si="7"/>
        <v>45.999999999999993</v>
      </c>
      <c r="I158" s="428">
        <f>IF(ISERROR($E158*VLOOKUP($C158,fish_group_yield_w!$A$7:$I$45,9,FALSE)),0,$E158*VLOOKUP($C158,fish_group_yield_w!$A$7:$I$45,9,FALSE))</f>
        <v>0.12006727847549954</v>
      </c>
      <c r="J158" s="429">
        <f>IF(ISERROR($E158*VLOOKUP($C158,fish_group_yield_w!$A$7:$I$45,9,FALSE)),0,$E158*VLOOKUP($C158,fish_group_yield_w!$A$7:$I$45,9,FALSE))</f>
        <v>0.12006727847549954</v>
      </c>
      <c r="L158" s="814"/>
      <c r="M158" s="814"/>
    </row>
    <row r="159" spans="1:13" ht="12.5">
      <c r="A159" s="403" t="s">
        <v>6079</v>
      </c>
      <c r="B159" s="403">
        <v>1605.9</v>
      </c>
      <c r="C159" s="403" t="s">
        <v>1736</v>
      </c>
      <c r="D159" s="403" t="s">
        <v>4691</v>
      </c>
      <c r="E159" s="87">
        <f t="shared" si="9"/>
        <v>0.46948356807511737</v>
      </c>
      <c r="F159" s="87">
        <f>IFERROR($E159*(VLOOKUP(C159,fish_group_yield_n!$A$7:$J$49,7,FALSE)),0)</f>
        <v>0.22748118979811333</v>
      </c>
      <c r="G159" s="87">
        <f>IFERROR($E159*(VLOOKUP(C159,fish_group_yield_n!$A$7:$J$49,10,FALSE)),0)</f>
        <v>0.5291748537227432</v>
      </c>
      <c r="H159" s="823">
        <f t="shared" si="7"/>
        <v>0</v>
      </c>
      <c r="I159" s="428">
        <f>IF(ISERROR($E159*VLOOKUP($C159,fish_group_yield_w!$A$7:$I$45,9,FALSE)),0,$E159*VLOOKUP($C159,fish_group_yield_w!$A$7:$I$45,9,FALSE))</f>
        <v>0.2657068153979813</v>
      </c>
      <c r="J159" s="429">
        <f>IF(ISERROR($E159*VLOOKUP($C159,fish_group_yield_w!$A$7:$I$45,9,FALSE)),0,$E159*VLOOKUP($C159,fish_group_yield_w!$A$7:$I$45,9,FALSE))</f>
        <v>0.2657068153979813</v>
      </c>
      <c r="L159" s="814"/>
      <c r="M159" s="814"/>
    </row>
    <row r="160" spans="1:13" ht="12.5">
      <c r="A160" t="s">
        <v>9150</v>
      </c>
      <c r="B160">
        <v>307.32</v>
      </c>
      <c r="C160" s="403" t="s">
        <v>2314</v>
      </c>
      <c r="D160" s="403" t="s">
        <v>4691</v>
      </c>
      <c r="E160" s="87">
        <v>1</v>
      </c>
      <c r="F160" s="87">
        <f>IFERROR($E160*(VLOOKUP(C160,fish_group_yield_n!$A$7:$J$49,7,FALSE)),0)</f>
        <v>0.41590975856716078</v>
      </c>
      <c r="G160" s="87">
        <f>IFERROR($E160*(VLOOKUP(C160,fish_group_yield_n!$A$7:$J$49,10,FALSE)),0)</f>
        <v>0.24972343868943189</v>
      </c>
      <c r="H160" s="823">
        <f t="shared" si="7"/>
        <v>258</v>
      </c>
      <c r="I160" s="428">
        <f>IF(ISERROR($E160*VLOOKUP($C160,fish_group_yield_w!$A$7:$I$45,9,FALSE)),0,$E160*VLOOKUP($C160,fish_group_yield_w!$A$7:$I$45,9,FALSE))</f>
        <v>0.69144199020634201</v>
      </c>
      <c r="J160" s="429">
        <f>IF(ISERROR($E160*VLOOKUP($C160,fish_group_yield_w!$A$7:$I$45,9,FALSE)),0,$E160*VLOOKUP($C160,fish_group_yield_w!$A$7:$I$45,9,FALSE))</f>
        <v>0.69144199020634201</v>
      </c>
      <c r="L160" s="814"/>
      <c r="M160" s="814"/>
    </row>
    <row r="161" spans="1:13" ht="12.5">
      <c r="A161" s="403" t="s">
        <v>6080</v>
      </c>
      <c r="B161" s="403">
        <v>307.31</v>
      </c>
      <c r="C161" s="403" t="s">
        <v>2314</v>
      </c>
      <c r="D161" s="403" t="s">
        <v>4691</v>
      </c>
      <c r="E161" s="87">
        <f t="shared" ref="E161:E166" si="10">IFERROR(1/VLOOKUP(B161,constant_fish_extr,2,FALSE),0)</f>
        <v>0.10395010395010396</v>
      </c>
      <c r="F161" s="87">
        <f>IFERROR($E161*(VLOOKUP(C161,fish_group_yield_n!$A$7:$J$49,7,FALSE)),0)</f>
        <v>4.3233862636919002E-2</v>
      </c>
      <c r="G161" s="87">
        <f>IFERROR($E161*(VLOOKUP(C161,fish_group_yield_n!$A$7:$J$49,10,FALSE)),0)</f>
        <v>2.5958777410543858E-2</v>
      </c>
      <c r="H161" s="823">
        <f t="shared" si="7"/>
        <v>1568.06</v>
      </c>
      <c r="I161" s="428">
        <f>IF(ISERROR($E161*VLOOKUP($C161,fish_group_yield_w!$A$7:$I$45,9,FALSE)),0,$E161*VLOOKUP($C161,fish_group_yield_w!$A$7:$I$45,9,FALSE))</f>
        <v>7.1875466757416018E-2</v>
      </c>
      <c r="J161" s="429">
        <f>IF(ISERROR($E161*VLOOKUP($C161,fish_group_yield_w!$A$7:$I$45,9,FALSE)),0,$E161*VLOOKUP($C161,fish_group_yield_w!$A$7:$I$45,9,FALSE))</f>
        <v>7.1875466757416018E-2</v>
      </c>
      <c r="L161" s="814"/>
      <c r="M161" s="814"/>
    </row>
    <row r="162" spans="1:13" ht="12.5">
      <c r="A162" s="403" t="s">
        <v>6081</v>
      </c>
      <c r="B162" s="403">
        <v>307.39</v>
      </c>
      <c r="C162" s="403" t="s">
        <v>2314</v>
      </c>
      <c r="D162" s="403" t="s">
        <v>4691</v>
      </c>
      <c r="E162" s="87">
        <f t="shared" si="10"/>
        <v>0.32369942196531792</v>
      </c>
      <c r="F162" s="87">
        <f>IFERROR($E162*(VLOOKUP(C162,fish_group_yield_n!$A$7:$J$49,7,FALSE)),0)</f>
        <v>0.13462974843792488</v>
      </c>
      <c r="G162" s="87">
        <f>IFERROR($E162*(VLOOKUP(C162,fish_group_yield_n!$A$7:$J$49,10,FALSE)),0)</f>
        <v>8.0835332754960618E-2</v>
      </c>
      <c r="H162" s="823">
        <f t="shared" si="7"/>
        <v>2199.5714285714284</v>
      </c>
      <c r="I162" s="428">
        <f>IF(ISERROR($E162*VLOOKUP($C162,fish_group_yield_w!$A$7:$I$45,9,FALSE)),0,$E162*VLOOKUP($C162,fish_group_yield_w!$A$7:$I$45,9,FALSE))</f>
        <v>0.22381937255234191</v>
      </c>
      <c r="J162" s="429">
        <f>IF(ISERROR($E162*VLOOKUP($C162,fish_group_yield_w!$A$7:$I$45,9,FALSE)),0,$E162*VLOOKUP($C162,fish_group_yield_w!$A$7:$I$45,9,FALSE))</f>
        <v>0.22381937255234191</v>
      </c>
      <c r="L162" s="814"/>
      <c r="M162" s="814"/>
    </row>
    <row r="163" spans="1:13" ht="12.75" customHeight="1">
      <c r="A163" s="403" t="s">
        <v>8444</v>
      </c>
      <c r="B163" s="403">
        <v>1605.53</v>
      </c>
      <c r="C163" s="403" t="s">
        <v>2314</v>
      </c>
      <c r="D163" s="403" t="s">
        <v>4691</v>
      </c>
      <c r="E163" s="87">
        <f t="shared" si="10"/>
        <v>0.32369942196531792</v>
      </c>
      <c r="F163" s="87">
        <f>IFERROR($E163*(VLOOKUP(C163,fish_group_yield_n!$A$7:$J$49,7,FALSE)),0)</f>
        <v>0.13462974843792488</v>
      </c>
      <c r="G163" s="87">
        <f>IFERROR($E163*(VLOOKUP(C163,fish_group_yield_n!$A$7:$J$49,10,FALSE)),0)</f>
        <v>8.0835332754960618E-2</v>
      </c>
      <c r="H163" s="823">
        <f t="shared" si="7"/>
        <v>1529.1964285714284</v>
      </c>
      <c r="I163" s="428">
        <f>IF(ISERROR($E163*VLOOKUP($C163,fish_group_yield_w!$A$7:$I$45,9,FALSE)),0,$E163*VLOOKUP($C163,fish_group_yield_w!$A$7:$I$45,9,FALSE))</f>
        <v>0.22381937255234191</v>
      </c>
      <c r="J163" s="429">
        <f>IF(ISERROR($E163*VLOOKUP($C163,fish_group_yield_w!$A$7:$I$45,9,FALSE)),0,$E163*VLOOKUP($C163,fish_group_yield_w!$A$7:$I$45,9,FALSE))</f>
        <v>0.22381937255234191</v>
      </c>
      <c r="L163" s="814"/>
      <c r="M163" s="814"/>
    </row>
    <row r="164" spans="1:13" ht="12.75" customHeight="1">
      <c r="A164" s="403" t="s">
        <v>8431</v>
      </c>
      <c r="B164" s="403">
        <v>302.79000000000002</v>
      </c>
      <c r="C164" s="403" t="s">
        <v>1738</v>
      </c>
      <c r="D164" s="403" t="s">
        <v>4685</v>
      </c>
      <c r="E164" s="87">
        <f t="shared" si="10"/>
        <v>0.64516129032258063</v>
      </c>
      <c r="F164" s="87">
        <f>IFERROR($E164*(VLOOKUP(C164,fish_group_yield_n!$A$7:$J$49,7,FALSE)),0)</f>
        <v>5.8140976072580175E-2</v>
      </c>
      <c r="G164" s="87">
        <f>IFERROR($E164*(VLOOKUP(C164,fish_group_yield_n!$A$7:$J$49,10,FALSE)),0)</f>
        <v>3.9985245792842697E-2</v>
      </c>
      <c r="H164" s="823">
        <f t="shared" si="7"/>
        <v>155</v>
      </c>
      <c r="I164" s="428">
        <f>IF(ISERROR($E164*VLOOKUP($C164,fish_group_yield_w!$A$7:$I$45,9,FALSE)),0,$E164*VLOOKUP($C164,fish_group_yield_w!$A$7:$I$45,9,FALSE))</f>
        <v>0.17816434870557993</v>
      </c>
      <c r="J164" s="429">
        <f>IF(ISERROR($E164*VLOOKUP($C164,fish_group_yield_w!$A$7:$I$45,9,FALSE)),0,$E164*VLOOKUP($C164,fish_group_yield_w!$A$7:$I$45,9,FALSE))</f>
        <v>0.17816434870557993</v>
      </c>
      <c r="L164" s="814"/>
      <c r="M164" s="814"/>
    </row>
    <row r="165" spans="1:13" ht="12.75" customHeight="1">
      <c r="A165" s="403" t="s">
        <v>8387</v>
      </c>
      <c r="B165" s="403">
        <v>304.33</v>
      </c>
      <c r="C165" s="403" t="s">
        <v>1738</v>
      </c>
      <c r="D165" s="403" t="s">
        <v>4685</v>
      </c>
      <c r="E165" s="87">
        <f t="shared" si="10"/>
        <v>0.50820469632624188</v>
      </c>
      <c r="F165" s="87">
        <f>IFERROR($E165*(VLOOKUP(C165,fish_group_yield_n!$A$7:$J$49,7,FALSE)),0)</f>
        <v>4.5798651488069199E-2</v>
      </c>
      <c r="G165" s="87">
        <f>IFERROR($E165*(VLOOKUP(C165,fish_group_yield_n!$A$7:$J$49,10,FALSE)),0)</f>
        <v>3.1497069028306734E-2</v>
      </c>
      <c r="H165" s="823">
        <f t="shared" si="7"/>
        <v>15.741688453159044</v>
      </c>
      <c r="I165" s="428">
        <f>IF(ISERROR($E165*VLOOKUP($C165,fish_group_yield_w!$A$7:$I$45,9,FALSE)),0,$E165*VLOOKUP($C165,fish_group_yield_w!$A$7:$I$45,9,FALSE))</f>
        <v>0.14034313603162699</v>
      </c>
      <c r="J165" s="429">
        <f>IF(ISERROR($E165*VLOOKUP($C165,fish_group_yield_w!$A$7:$I$45,9,FALSE)),0,$E165*VLOOKUP($C165,fish_group_yield_w!$A$7:$I$45,9,FALSE))</f>
        <v>0.14034313603162699</v>
      </c>
      <c r="L165" s="814"/>
      <c r="M165" s="814"/>
    </row>
    <row r="166" spans="1:13" ht="12.75" customHeight="1">
      <c r="A166" s="403" t="s">
        <v>8401</v>
      </c>
      <c r="B166" s="403">
        <v>304.63</v>
      </c>
      <c r="C166" s="403" t="s">
        <v>1738</v>
      </c>
      <c r="D166" s="403" t="s">
        <v>4685</v>
      </c>
      <c r="E166" s="87">
        <f t="shared" si="10"/>
        <v>0.50820469632624188</v>
      </c>
      <c r="F166" s="87">
        <f>IFERROR($E166*(VLOOKUP(C166,fish_group_yield_n!$A$7:$J$49,7,FALSE)),0)</f>
        <v>4.5798651488069199E-2</v>
      </c>
      <c r="G166" s="87">
        <f>IFERROR($E166*(VLOOKUP(C166,fish_group_yield_n!$A$7:$J$49,10,FALSE)),0)</f>
        <v>3.1497069028306734E-2</v>
      </c>
      <c r="H166" s="823">
        <f t="shared" si="7"/>
        <v>3.9354221132897611</v>
      </c>
      <c r="I166" s="428">
        <f>IF(ISERROR($E166*VLOOKUP($C166,fish_group_yield_w!$A$7:$I$45,9,FALSE)),0,$E166*VLOOKUP($C166,fish_group_yield_w!$A$7:$I$45,9,FALSE))</f>
        <v>0.14034313603162699</v>
      </c>
      <c r="J166" s="429">
        <f>IF(ISERROR($E166*VLOOKUP($C166,fish_group_yield_w!$A$7:$I$45,9,FALSE)),0,$E166*VLOOKUP($C166,fish_group_yield_w!$A$7:$I$45,9,FALSE))</f>
        <v>0.14034313603162699</v>
      </c>
      <c r="L166" s="814"/>
      <c r="M166" s="814"/>
    </row>
    <row r="167" spans="1:13" ht="12.75" customHeight="1">
      <c r="A167" t="s">
        <v>9145</v>
      </c>
      <c r="B167">
        <v>306.94</v>
      </c>
      <c r="C167" t="s">
        <v>3790</v>
      </c>
      <c r="D167" t="s">
        <v>4680</v>
      </c>
      <c r="E167" s="87">
        <v>2.15</v>
      </c>
      <c r="F167" s="87">
        <f>IFERROR($E167*(VLOOKUP(C167,fish_group_yield_n!$A$7:$J$49,7,FALSE)),0)</f>
        <v>0.34459163409738197</v>
      </c>
      <c r="G167" s="87">
        <f>IFERROR($E167*(VLOOKUP(C167,fish_group_yield_n!$A$7:$J$49,10,FALSE)),0)</f>
        <v>0.2668777646872319</v>
      </c>
      <c r="H167" s="823">
        <f t="shared" si="7"/>
        <v>0.93023255813953487</v>
      </c>
      <c r="I167" s="428">
        <f>IF(ISERROR($E167*VLOOKUP($C167,fish_group_yield_w!$A$7:$I$45,9,FALSE)),0,$E167*VLOOKUP($C167,fish_group_yield_w!$A$7:$I$45,9,FALSE))</f>
        <v>3.8537360786661837E-4</v>
      </c>
      <c r="J167" s="429">
        <f>IF(ISERROR($E167*VLOOKUP($C167,fish_group_yield_w!$A$7:$I$45,9,FALSE)),0,$E167*VLOOKUP($C167,fish_group_yield_w!$A$7:$I$45,9,FALSE))</f>
        <v>3.8537360786661837E-4</v>
      </c>
      <c r="L167" s="814"/>
      <c r="M167" s="814"/>
    </row>
    <row r="168" spans="1:13" ht="12.75" customHeight="1">
      <c r="A168" t="s">
        <v>9141</v>
      </c>
      <c r="B168">
        <v>306.33999999999997</v>
      </c>
      <c r="C168" t="s">
        <v>3790</v>
      </c>
      <c r="D168" t="s">
        <v>4680</v>
      </c>
      <c r="E168" s="87">
        <v>2.15</v>
      </c>
      <c r="F168" s="87">
        <f>IFERROR($E168*(VLOOKUP(C168,fish_group_yield_n!$A$7:$J$49,7,FALSE)),0)</f>
        <v>0.34459163409738197</v>
      </c>
      <c r="G168" s="87">
        <f>IFERROR($E168*(VLOOKUP(C168,fish_group_yield_n!$A$7:$J$49,10,FALSE)),0)</f>
        <v>0.2668777646872319</v>
      </c>
      <c r="H168" s="823">
        <f t="shared" si="7"/>
        <v>3.2558139534883721</v>
      </c>
      <c r="I168" s="428">
        <f>IF(ISERROR($E168*VLOOKUP($C168,fish_group_yield_w!$A$7:$I$45,9,FALSE)),0,$E168*VLOOKUP($C168,fish_group_yield_w!$A$7:$I$45,9,FALSE))</f>
        <v>3.8537360786661837E-4</v>
      </c>
      <c r="J168" s="429">
        <f>IF(ISERROR($E168*VLOOKUP($C168,fish_group_yield_w!$A$7:$I$45,9,FALSE)),0,$E168*VLOOKUP($C168,fish_group_yield_w!$A$7:$I$45,9,FALSE))</f>
        <v>3.8537360786661837E-4</v>
      </c>
      <c r="L168" s="814"/>
      <c r="M168" s="814"/>
    </row>
    <row r="169" spans="1:13" ht="12.75" customHeight="1">
      <c r="A169" s="403" t="s">
        <v>8448</v>
      </c>
      <c r="B169" s="403">
        <v>306.14999999999998</v>
      </c>
      <c r="C169" s="403" t="s">
        <v>3790</v>
      </c>
      <c r="D169" s="403" t="s">
        <v>4680</v>
      </c>
      <c r="E169" s="87">
        <f>IFERROR(1/VLOOKUP(B169,constant_fish_extr,2,FALSE),0)</f>
        <v>0.46433094132545383</v>
      </c>
      <c r="F169" s="87">
        <f>IFERROR($E169*(VLOOKUP(C169,fish_group_yield_n!$A$7:$J$49,7,FALSE)),0)</f>
        <v>7.44207245736343E-2</v>
      </c>
      <c r="G169" s="87">
        <f>IFERROR($E169*(VLOOKUP(C169,fish_group_yield_n!$A$7:$J$49,10,FALSE)),0)</f>
        <v>5.7637024974909461E-2</v>
      </c>
      <c r="H169" s="823">
        <f t="shared" si="7"/>
        <v>111.98909090909089</v>
      </c>
      <c r="I169" s="428">
        <f>IF(ISERROR($E169*VLOOKUP($C169,fish_group_yield_w!$A$7:$I$45,9,FALSE)),0,$E169*VLOOKUP($C169,fish_group_yield_w!$A$7:$I$45,9,FALSE))</f>
        <v>8.322832097799685E-5</v>
      </c>
      <c r="J169" s="429">
        <f>IF(ISERROR($E169*VLOOKUP($C169,fish_group_yield_w!$A$7:$I$45,9,FALSE)),0,$E169*VLOOKUP($C169,fish_group_yield_w!$A$7:$I$45,9,FALSE))</f>
        <v>8.322832097799685E-5</v>
      </c>
      <c r="L169" s="814"/>
      <c r="M169" s="814"/>
    </row>
    <row r="170" spans="1:13" ht="12.75" customHeight="1">
      <c r="A170" s="403" t="s">
        <v>8449</v>
      </c>
      <c r="B170" s="403">
        <v>306.25</v>
      </c>
      <c r="C170" s="403" t="s">
        <v>3790</v>
      </c>
      <c r="D170" s="403" t="s">
        <v>4680</v>
      </c>
      <c r="E170" s="87">
        <f>IFERROR(1/VLOOKUP(B170,constant_fish_extr,2,FALSE),0)</f>
        <v>0.46433094132545383</v>
      </c>
      <c r="F170" s="87">
        <f>IFERROR($E170*(VLOOKUP(C170,fish_group_yield_n!$A$7:$J$49,7,FALSE)),0)</f>
        <v>7.44207245736343E-2</v>
      </c>
      <c r="G170" s="87">
        <f>IFERROR($E170*(VLOOKUP(C170,fish_group_yield_n!$A$7:$J$49,10,FALSE)),0)</f>
        <v>5.7637024974909461E-2</v>
      </c>
      <c r="H170" s="823">
        <f t="shared" si="7"/>
        <v>0</v>
      </c>
      <c r="I170" s="428">
        <f>IF(ISERROR($E170*VLOOKUP($C170,fish_group_yield_w!$A$7:$I$45,9,FALSE)),0,$E170*VLOOKUP($C170,fish_group_yield_w!$A$7:$I$45,9,FALSE))</f>
        <v>8.322832097799685E-5</v>
      </c>
      <c r="J170" s="429">
        <f>IF(ISERROR($E170*VLOOKUP($C170,fish_group_yield_w!$A$7:$I$45,9,FALSE)),0,$E170*VLOOKUP($C170,fish_group_yield_w!$A$7:$I$45,9,FALSE))</f>
        <v>8.322832097799685E-5</v>
      </c>
      <c r="L170" s="814"/>
      <c r="M170" s="814"/>
    </row>
    <row r="171" spans="1:13" ht="12.75" customHeight="1">
      <c r="A171" t="s">
        <v>9152</v>
      </c>
      <c r="B171">
        <v>307.52</v>
      </c>
      <c r="C171" s="403" t="s">
        <v>2315</v>
      </c>
      <c r="D171" s="403" t="s">
        <v>4675</v>
      </c>
      <c r="E171" s="87">
        <v>1.42</v>
      </c>
      <c r="F171" s="87">
        <f>IFERROR($E171*(VLOOKUP(C171,fish_group_yield_n!$A$7:$J$49,7,FALSE)),0)</f>
        <v>0.22159789396792484</v>
      </c>
      <c r="G171" s="87">
        <f>IFERROR($E171*(VLOOKUP(C171,fish_group_yield_n!$A$7:$J$49,10,FALSE)),0)</f>
        <v>0.22159789396792484</v>
      </c>
      <c r="H171" s="823">
        <f t="shared" si="7"/>
        <v>702.81690140845069</v>
      </c>
      <c r="I171" s="428">
        <f>IF(ISERROR($E171*VLOOKUP($C171,fish_group_yield_w!$A$7:$I$45,9,FALSE)),0,$E171*VLOOKUP($C171,fish_group_yield_w!$A$7:$I$45,9,FALSE))</f>
        <v>2.2799548356956118E-6</v>
      </c>
      <c r="J171" s="429">
        <f>IF(ISERROR($E171*VLOOKUP($C171,fish_group_yield_w!$A$7:$I$45,9,FALSE)),0,$E171*VLOOKUP($C171,fish_group_yield_w!$A$7:$I$45,9,FALSE))</f>
        <v>2.2799548356956118E-6</v>
      </c>
      <c r="L171" s="814"/>
      <c r="M171" s="814"/>
    </row>
    <row r="172" spans="1:13" ht="12.75" customHeight="1">
      <c r="A172" s="403" t="s">
        <v>1469</v>
      </c>
      <c r="B172" s="403">
        <v>307.51</v>
      </c>
      <c r="C172" s="403" t="s">
        <v>2315</v>
      </c>
      <c r="D172" s="403" t="s">
        <v>4675</v>
      </c>
      <c r="E172" s="87">
        <f t="shared" ref="E172:E199" si="11">IFERROR(1/VLOOKUP(B172,constant_fish_extr,2,FALSE),0)</f>
        <v>0.48309178743961356</v>
      </c>
      <c r="F172" s="87">
        <f>IFERROR($E172*(VLOOKUP(C172,fish_group_yield_n!$A$7:$J$49,7,FALSE)),0)</f>
        <v>7.5388818795647031E-2</v>
      </c>
      <c r="G172" s="87">
        <f>IFERROR($E172*(VLOOKUP(C172,fish_group_yield_n!$A$7:$J$49,10,FALSE)),0)</f>
        <v>7.5388818795647031E-2</v>
      </c>
      <c r="H172" s="823">
        <f t="shared" si="7"/>
        <v>14.489999999999998</v>
      </c>
      <c r="I172" s="428">
        <f>IF(ISERROR($E172*VLOOKUP($C172,fish_group_yield_w!$A$7:$I$45,9,FALSE)),0,$E172*VLOOKUP($C172,fish_group_yield_w!$A$7:$I$45,9,FALSE))</f>
        <v>7.75653138632242E-7</v>
      </c>
      <c r="J172" s="429">
        <f>IF(ISERROR($E172*VLOOKUP($C172,fish_group_yield_w!$A$7:$I$45,9,FALSE)),0,$E172*VLOOKUP($C172,fish_group_yield_w!$A$7:$I$45,9,FALSE))</f>
        <v>7.75653138632242E-7</v>
      </c>
      <c r="L172" s="814"/>
      <c r="M172" s="814"/>
    </row>
    <row r="173" spans="1:13" ht="12.75" customHeight="1">
      <c r="A173" s="403" t="s">
        <v>1816</v>
      </c>
      <c r="B173" s="403">
        <v>307.58999999999997</v>
      </c>
      <c r="C173" s="403" t="s">
        <v>2315</v>
      </c>
      <c r="D173" s="403" t="s">
        <v>4675</v>
      </c>
      <c r="E173" s="87">
        <f t="shared" si="11"/>
        <v>0.95465393794749398</v>
      </c>
      <c r="F173" s="87">
        <f>IFERROR($E173*(VLOOKUP(C173,fish_group_yield_n!$A$7:$J$49,7,FALSE)),0)</f>
        <v>0.14897838177278216</v>
      </c>
      <c r="G173" s="87">
        <f>IFERROR($E173*(VLOOKUP(C173,fish_group_yield_n!$A$7:$J$49,10,FALSE)),0)</f>
        <v>0.14897838177278216</v>
      </c>
      <c r="H173" s="823">
        <f t="shared" si="7"/>
        <v>723.82249999999999</v>
      </c>
      <c r="I173" s="428">
        <f>IF(ISERROR($E173*VLOOKUP($C173,fish_group_yield_w!$A$7:$I$45,9,FALSE)),0,$E173*VLOOKUP($C173,fish_group_yield_w!$A$7:$I$45,9,FALSE))</f>
        <v>1.5327942691825687E-6</v>
      </c>
      <c r="J173" s="429">
        <f>IF(ISERROR($E173*VLOOKUP($C173,fish_group_yield_w!$A$7:$I$45,9,FALSE)),0,$E173*VLOOKUP($C173,fish_group_yield_w!$A$7:$I$45,9,FALSE))</f>
        <v>1.5327942691825687E-6</v>
      </c>
      <c r="L173" s="814"/>
      <c r="M173" s="814"/>
    </row>
    <row r="174" spans="1:13" ht="12.75" customHeight="1">
      <c r="A174" s="403" t="s">
        <v>8450</v>
      </c>
      <c r="B174" s="403">
        <v>1605.55</v>
      </c>
      <c r="C174" s="403" t="s">
        <v>2315</v>
      </c>
      <c r="D174" s="403" t="s">
        <v>4675</v>
      </c>
      <c r="E174" s="87">
        <f t="shared" si="11"/>
        <v>0.95465393794749398</v>
      </c>
      <c r="F174" s="87">
        <f>IFERROR($E174*(VLOOKUP(C174,fish_group_yield_n!$A$7:$J$49,7,FALSE)),0)</f>
        <v>0.14897838177278216</v>
      </c>
      <c r="G174" s="87">
        <f>IFERROR($E174*(VLOOKUP(C174,fish_group_yield_n!$A$7:$J$49,10,FALSE)),0)</f>
        <v>0.14897838177278216</v>
      </c>
      <c r="H174" s="823">
        <f t="shared" si="7"/>
        <v>472.42250000000001</v>
      </c>
      <c r="I174" s="428">
        <f>IF(ISERROR($E174*VLOOKUP($C174,fish_group_yield_w!$A$7:$I$45,9,FALSE)),0,$E174*VLOOKUP($C174,fish_group_yield_w!$A$7:$I$45,9,FALSE))</f>
        <v>1.5327942691825687E-6</v>
      </c>
      <c r="J174" s="429">
        <f>IF(ISERROR($E174*VLOOKUP($C174,fish_group_yield_w!$A$7:$I$45,9,FALSE)),0,$E174*VLOOKUP($C174,fish_group_yield_w!$A$7:$I$45,9,FALSE))</f>
        <v>1.5327942691825687E-6</v>
      </c>
      <c r="L174" s="814"/>
      <c r="M174" s="814"/>
    </row>
    <row r="175" spans="1:13" ht="12.75" customHeight="1">
      <c r="A175" s="403" t="s">
        <v>6083</v>
      </c>
      <c r="B175" s="403">
        <v>1504.3</v>
      </c>
      <c r="C175" s="403"/>
      <c r="D175" s="403"/>
      <c r="E175" s="87">
        <f t="shared" si="11"/>
        <v>0.31</v>
      </c>
      <c r="F175" s="87">
        <f>IFERROR($E175*(VLOOKUP(C175,fish_group_yield_n!$A$7:$J$49,7,FALSE)),0)</f>
        <v>0</v>
      </c>
      <c r="G175" s="87">
        <f>IFERROR($E175*(VLOOKUP(C175,fish_group_yield_n!$A$7:$J$49,10,FALSE)),0)</f>
        <v>0</v>
      </c>
      <c r="H175" s="823">
        <f t="shared" si="7"/>
        <v>19.35483870967742</v>
      </c>
      <c r="I175" s="428">
        <f>IF(ISERROR($E175*VLOOKUP($C175,fish_group_yield_w!$A$7:$I$45,9,FALSE)),0,$E175*VLOOKUP($C175,fish_group_yield_w!$A$7:$I$45,9,FALSE))</f>
        <v>0</v>
      </c>
      <c r="J175" s="429">
        <f>IF(ISERROR($E175*VLOOKUP($C175,fish_group_yield_w!$A$7:$I$45,9,FALSE)),0,$E175*VLOOKUP($C175,fish_group_yield_w!$A$7:$I$45,9,FALSE))</f>
        <v>0</v>
      </c>
      <c r="L175" s="814"/>
      <c r="M175" s="814"/>
    </row>
    <row r="176" spans="1:13" ht="12.75" customHeight="1">
      <c r="A176" s="403" t="s">
        <v>6084</v>
      </c>
      <c r="B176" s="403">
        <v>301.10000000000002</v>
      </c>
      <c r="C176" s="403" t="s">
        <v>1735</v>
      </c>
      <c r="D176" s="403"/>
      <c r="E176" s="87">
        <f t="shared" si="11"/>
        <v>1</v>
      </c>
      <c r="F176" s="87">
        <f>IFERROR($E176*(VLOOKUP(C176,fish_group_yield_n!$A$7:$J$49,7,FALSE)),0)</f>
        <v>5.9896777328554827E-2</v>
      </c>
      <c r="G176" s="87">
        <f>IFERROR($E176*(VLOOKUP(C176,fish_group_yield_n!$A$7:$J$49,10,FALSE)),0)</f>
        <v>5.9896777328554834E-2</v>
      </c>
      <c r="H176" s="823">
        <f t="shared" si="7"/>
        <v>0</v>
      </c>
      <c r="I176" s="428">
        <f>IF(ISERROR($E176*VLOOKUP($C176,fish_group_yield_w!$A$7:$I$45,9,FALSE)),0,$E176*VLOOKUP($C176,fish_group_yield_w!$A$7:$I$45,9,FALSE))</f>
        <v>0</v>
      </c>
      <c r="J176" s="429">
        <f>IF(ISERROR($E176*VLOOKUP($C176,fish_group_yield_w!$A$7:$I$45,9,FALSE)),0,$E176*VLOOKUP($C176,fish_group_yield_w!$A$7:$I$45,9,FALSE))</f>
        <v>0</v>
      </c>
      <c r="L176" s="814"/>
      <c r="M176" s="814"/>
    </row>
    <row r="177" spans="1:13" ht="12.75" customHeight="1">
      <c r="A177" s="403" t="s">
        <v>8451</v>
      </c>
      <c r="B177" s="403">
        <v>301.19</v>
      </c>
      <c r="C177" s="403" t="s">
        <v>1735</v>
      </c>
      <c r="D177" s="403"/>
      <c r="E177" s="87">
        <f t="shared" si="11"/>
        <v>1</v>
      </c>
      <c r="F177" s="87">
        <f>IFERROR($E177*(VLOOKUP(C177,fish_group_yield_n!$A$7:$J$49,7,FALSE)),0)</f>
        <v>5.9896777328554827E-2</v>
      </c>
      <c r="G177" s="87">
        <f>IFERROR($E177*(VLOOKUP(C177,fish_group_yield_n!$A$7:$J$49,10,FALSE)),0)</f>
        <v>5.9896777328554834E-2</v>
      </c>
      <c r="H177" s="823">
        <f t="shared" si="7"/>
        <v>0</v>
      </c>
      <c r="I177" s="428">
        <f>IF(ISERROR($E177*VLOOKUP($C177,fish_group_yield_w!$A$7:$I$45,9,FALSE)),0,$E177*VLOOKUP($C177,fish_group_yield_w!$A$7:$I$45,9,FALSE))</f>
        <v>0</v>
      </c>
      <c r="J177" s="429">
        <f>IF(ISERROR($E177*VLOOKUP($C177,fish_group_yield_w!$A$7:$I$45,9,FALSE)),0,$E177*VLOOKUP($C177,fish_group_yield_w!$A$7:$I$45,9,FALSE))</f>
        <v>0</v>
      </c>
      <c r="L177" s="814"/>
      <c r="M177" s="814"/>
    </row>
    <row r="178" spans="1:13" ht="12.75" customHeight="1">
      <c r="A178" s="403" t="s">
        <v>8452</v>
      </c>
      <c r="B178" s="403">
        <v>301.11</v>
      </c>
      <c r="C178" s="403" t="s">
        <v>1735</v>
      </c>
      <c r="D178" s="403"/>
      <c r="E178" s="87">
        <f t="shared" si="11"/>
        <v>1</v>
      </c>
      <c r="F178" s="87">
        <f>IFERROR($E178*(VLOOKUP(C178,fish_group_yield_n!$A$7:$J$49,7,FALSE)),0)</f>
        <v>5.9896777328554827E-2</v>
      </c>
      <c r="G178" s="87">
        <f>IFERROR($E178*(VLOOKUP(C178,fish_group_yield_n!$A$7:$J$49,10,FALSE)),0)</f>
        <v>5.9896777328554834E-2</v>
      </c>
      <c r="H178" s="823">
        <f t="shared" si="7"/>
        <v>0</v>
      </c>
      <c r="I178" s="428">
        <f>IF(ISERROR($E178*VLOOKUP($C178,fish_group_yield_w!$A$7:$I$45,9,FALSE)),0,$E178*VLOOKUP($C178,fish_group_yield_w!$A$7:$I$45,9,FALSE))</f>
        <v>0</v>
      </c>
      <c r="J178" s="429">
        <f>IF(ISERROR($E178*VLOOKUP($C178,fish_group_yield_w!$A$7:$I$45,9,FALSE)),0,$E178*VLOOKUP($C178,fish_group_yield_w!$A$7:$I$45,9,FALSE))</f>
        <v>0</v>
      </c>
      <c r="L178" s="814"/>
      <c r="M178" s="814"/>
    </row>
    <row r="179" spans="1:13" ht="12.75" customHeight="1">
      <c r="A179" s="403" t="s">
        <v>8453</v>
      </c>
      <c r="B179" s="403">
        <v>305.79000000000002</v>
      </c>
      <c r="C179" s="403" t="s">
        <v>1738</v>
      </c>
      <c r="D179" s="403"/>
      <c r="E179" s="87">
        <f t="shared" si="11"/>
        <v>0.25</v>
      </c>
      <c r="F179" s="87">
        <f>IFERROR($E179*(VLOOKUP(C179,fish_group_yield_n!$A$7:$J$49,7,FALSE)),0)</f>
        <v>2.2529628228124817E-2</v>
      </c>
      <c r="G179" s="87">
        <f>IFERROR($E179*(VLOOKUP(C179,fish_group_yield_n!$A$7:$J$49,10,FALSE)),0)</f>
        <v>1.5494282744726544E-2</v>
      </c>
      <c r="H179" s="823">
        <f t="shared" si="7"/>
        <v>52</v>
      </c>
      <c r="I179" s="428">
        <f>IF(ISERROR($E179*VLOOKUP($C179,fish_group_yield_w!$A$7:$I$45,9,FALSE)),0,$E179*VLOOKUP($C179,fish_group_yield_w!$A$7:$I$45,9,FALSE))</f>
        <v>6.9038685123412227E-2</v>
      </c>
      <c r="J179" s="429">
        <f>IF(ISERROR($E179*VLOOKUP($C179,fish_group_yield_w!$A$7:$I$45,9,FALSE)),0,$E179*VLOOKUP($C179,fish_group_yield_w!$A$7:$I$45,9,FALSE))</f>
        <v>6.9038685123412227E-2</v>
      </c>
      <c r="L179" s="814"/>
      <c r="M179" s="814"/>
    </row>
    <row r="180" spans="1:13" ht="12.75" customHeight="1">
      <c r="A180" s="403" t="s">
        <v>8454</v>
      </c>
      <c r="B180" s="403">
        <v>308.89999999999998</v>
      </c>
      <c r="C180" s="403" t="s">
        <v>1738</v>
      </c>
      <c r="D180" s="403"/>
      <c r="E180" s="87">
        <f t="shared" si="11"/>
        <v>0.25</v>
      </c>
      <c r="F180" s="87">
        <f>IFERROR($E180*(VLOOKUP(C180,fish_group_yield_n!$A$7:$J$49,7,FALSE)),0)</f>
        <v>2.2529628228124817E-2</v>
      </c>
      <c r="G180" s="87">
        <f>IFERROR($E180*(VLOOKUP(C180,fish_group_yield_n!$A$7:$J$49,10,FALSE)),0)</f>
        <v>1.5494282744726544E-2</v>
      </c>
      <c r="H180" s="823">
        <f t="shared" si="7"/>
        <v>6120</v>
      </c>
      <c r="I180" s="428">
        <f>IF(ISERROR($E180*VLOOKUP($C180,fish_group_yield_w!$A$7:$I$45,9,FALSE)),0,$E180*VLOOKUP($C180,fish_group_yield_w!$A$7:$I$45,9,FALSE))</f>
        <v>6.9038685123412227E-2</v>
      </c>
      <c r="J180" s="429">
        <f>IF(ISERROR($E180*VLOOKUP($C180,fish_group_yield_w!$A$7:$I$45,9,FALSE)),0,$E180*VLOOKUP($C180,fish_group_yield_w!$A$7:$I$45,9,FALSE))</f>
        <v>6.9038685123412227E-2</v>
      </c>
      <c r="L180" s="814"/>
      <c r="M180" s="814"/>
    </row>
    <row r="181" spans="1:13" ht="12.75" customHeight="1">
      <c r="A181" s="403" t="s">
        <v>8480</v>
      </c>
      <c r="B181" s="403">
        <v>1605.69</v>
      </c>
      <c r="C181" s="403" t="s">
        <v>1736</v>
      </c>
      <c r="D181" s="403" t="s">
        <v>4691</v>
      </c>
      <c r="E181" s="87">
        <f t="shared" si="11"/>
        <v>0.3127932436659368</v>
      </c>
      <c r="F181" s="87">
        <f>IFERROR($E181*(VLOOKUP(C181,fish_group_yield_n!$A$7:$J$49,7,FALSE)),0)</f>
        <v>0.15155925375976897</v>
      </c>
      <c r="G181" s="87">
        <f>IFERROR($E181*(VLOOKUP(C181,fish_group_yield_n!$A$7:$J$49,10,FALSE)),0)</f>
        <v>0.35256253938987897</v>
      </c>
      <c r="H181" s="823">
        <f t="shared" si="7"/>
        <v>911.14499999999998</v>
      </c>
      <c r="I181" s="428">
        <f>IF(ISERROR($E181*VLOOKUP($C181,fish_group_yield_w!$A$7:$I$45,9,FALSE)),0,$E181*VLOOKUP($C181,fish_group_yield_w!$A$7:$I$45,9,FALSE))</f>
        <v>0.17702706186978423</v>
      </c>
      <c r="J181" s="429">
        <f>IF(ISERROR($E181*VLOOKUP($C181,fish_group_yield_w!$A$7:$I$45,9,FALSE)),0,$E181*VLOOKUP($C181,fish_group_yield_w!$A$7:$I$45,9,FALSE))</f>
        <v>0.17702706186978423</v>
      </c>
      <c r="L181" s="814"/>
      <c r="M181" s="814"/>
    </row>
    <row r="182" spans="1:13" ht="12.75" customHeight="1">
      <c r="A182" s="403" t="s">
        <v>6085</v>
      </c>
      <c r="B182" s="403">
        <v>1605.4</v>
      </c>
      <c r="C182" s="403" t="s">
        <v>1737</v>
      </c>
      <c r="D182" s="403" t="s">
        <v>4680</v>
      </c>
      <c r="E182" s="87">
        <f t="shared" si="11"/>
        <v>0.45454545454545453</v>
      </c>
      <c r="F182" s="87">
        <f>IFERROR($E182*(VLOOKUP(C182,fish_group_yield_n!$A$7:$J$49,7,FALSE)),0)</f>
        <v>0.86224735727185919</v>
      </c>
      <c r="G182" s="87">
        <f>IFERROR($E182*(VLOOKUP(C182,fish_group_yield_n!$A$7:$J$49,10,FALSE)),0)</f>
        <v>0.86429602523417237</v>
      </c>
      <c r="H182" s="823">
        <f t="shared" si="7"/>
        <v>165</v>
      </c>
      <c r="I182" s="428">
        <f>IF(ISERROR($E182*VLOOKUP($C182,fish_group_yield_w!$A$7:$I$45,9,FALSE)),0,$E182*VLOOKUP($C182,fish_group_yield_w!$A$7:$I$45,9,FALSE))</f>
        <v>3.0604594112675369E-4</v>
      </c>
      <c r="J182" s="429">
        <f>IF(ISERROR($E182*VLOOKUP($C182,fish_group_yield_w!$A$7:$I$45,9,FALSE)),0,$E182*VLOOKUP($C182,fish_group_yield_w!$A$7:$I$45,9,FALSE))</f>
        <v>3.0604594112675369E-4</v>
      </c>
      <c r="L182" s="814"/>
      <c r="M182" s="814"/>
    </row>
    <row r="183" spans="1:13" ht="12.75" customHeight="1">
      <c r="A183" s="403" t="s">
        <v>6086</v>
      </c>
      <c r="B183" s="403">
        <v>306.19</v>
      </c>
      <c r="C183" s="403" t="s">
        <v>1737</v>
      </c>
      <c r="D183" s="403" t="s">
        <v>4680</v>
      </c>
      <c r="E183" s="87">
        <f t="shared" si="11"/>
        <v>1</v>
      </c>
      <c r="F183" s="87">
        <f>IFERROR($E183*(VLOOKUP(C183,fish_group_yield_n!$A$7:$J$49,7,FALSE)),0)</f>
        <v>1.8969441859980902</v>
      </c>
      <c r="G183" s="87">
        <f>IFERROR($E183*(VLOOKUP(C183,fish_group_yield_n!$A$7:$J$49,10,FALSE)),0)</f>
        <v>1.9014512555151792</v>
      </c>
      <c r="H183" s="823">
        <f t="shared" si="7"/>
        <v>293</v>
      </c>
      <c r="I183" s="428">
        <f>IF(ISERROR($E183*VLOOKUP($C183,fish_group_yield_w!$A$7:$I$45,9,FALSE)),0,$E183*VLOOKUP($C183,fish_group_yield_w!$A$7:$I$45,9,FALSE))</f>
        <v>6.7330107047885817E-4</v>
      </c>
      <c r="J183" s="429">
        <f>IF(ISERROR($E183*VLOOKUP($C183,fish_group_yield_w!$A$7:$I$45,9,FALSE)),0,$E183*VLOOKUP($C183,fish_group_yield_w!$A$7:$I$45,9,FALSE))</f>
        <v>6.7330107047885817E-4</v>
      </c>
      <c r="L183" s="814"/>
      <c r="M183" s="814"/>
    </row>
    <row r="184" spans="1:13" ht="12.75" customHeight="1">
      <c r="A184" s="403" t="s">
        <v>6087</v>
      </c>
      <c r="B184" s="403">
        <v>306.29000000000002</v>
      </c>
      <c r="C184" s="403" t="s">
        <v>1737</v>
      </c>
      <c r="D184" s="403" t="s">
        <v>4680</v>
      </c>
      <c r="E184" s="87">
        <f t="shared" si="11"/>
        <v>1</v>
      </c>
      <c r="F184" s="87">
        <f>IFERROR($E184*(VLOOKUP(C184,fish_group_yield_n!$A$7:$J$49,7,FALSE)),0)</f>
        <v>1.8969441859980902</v>
      </c>
      <c r="G184" s="87">
        <f>IFERROR($E184*(VLOOKUP(C184,fish_group_yield_n!$A$7:$J$49,10,FALSE)),0)</f>
        <v>1.9014512555151792</v>
      </c>
      <c r="H184" s="823">
        <f t="shared" si="7"/>
        <v>0</v>
      </c>
      <c r="I184" s="428">
        <f>IF(ISERROR($E184*VLOOKUP($C184,fish_group_yield_w!$A$7:$I$45,9,FALSE)),0,$E184*VLOOKUP($C184,fish_group_yield_w!$A$7:$I$45,9,FALSE))</f>
        <v>6.7330107047885817E-4</v>
      </c>
      <c r="J184" s="429">
        <f>IF(ISERROR($E184*VLOOKUP($C184,fish_group_yield_w!$A$7:$I$45,9,FALSE)),0,$E184*VLOOKUP($C184,fish_group_yield_w!$A$7:$I$45,9,FALSE))</f>
        <v>6.7330107047885817E-4</v>
      </c>
      <c r="L184" s="814"/>
      <c r="M184" s="814"/>
    </row>
    <row r="185" spans="1:13" ht="12.75" customHeight="1">
      <c r="A185" s="403" t="s">
        <v>8456</v>
      </c>
      <c r="B185" s="403">
        <v>305.39</v>
      </c>
      <c r="C185" s="403" t="s">
        <v>1738</v>
      </c>
      <c r="D185" s="403"/>
      <c r="E185" s="87">
        <f t="shared" si="11"/>
        <v>0.52631578947368418</v>
      </c>
      <c r="F185" s="87">
        <f>IFERROR($E185*(VLOOKUP(C185,fish_group_yield_n!$A$7:$J$49,7,FALSE)),0)</f>
        <v>4.7430796269736453E-2</v>
      </c>
      <c r="G185" s="87">
        <f>IFERROR($E185*(VLOOKUP(C185,fish_group_yield_n!$A$7:$J$49,10,FALSE)),0)</f>
        <v>3.2619542620476935E-2</v>
      </c>
      <c r="H185" s="823">
        <f t="shared" si="7"/>
        <v>815.1</v>
      </c>
      <c r="I185" s="428">
        <f>IF(ISERROR($E185*VLOOKUP($C185,fish_group_yield_w!$A$7:$I$45,9,FALSE)),0,$E185*VLOOKUP($C185,fish_group_yield_w!$A$7:$I$45,9,FALSE))</f>
        <v>0.14534460025981522</v>
      </c>
      <c r="J185" s="429">
        <f>IF(ISERROR($E185*VLOOKUP($C185,fish_group_yield_w!$A$7:$I$45,9,FALSE)),0,$E185*VLOOKUP($C185,fish_group_yield_w!$A$7:$I$45,9,FALSE))</f>
        <v>0.14534460025981522</v>
      </c>
      <c r="L185" s="814"/>
      <c r="M185" s="814"/>
    </row>
    <row r="186" spans="1:13" ht="12.75" customHeight="1">
      <c r="A186" s="403" t="s">
        <v>8457</v>
      </c>
      <c r="B186" s="403">
        <v>304.58999999999997</v>
      </c>
      <c r="C186" s="403" t="s">
        <v>1738</v>
      </c>
      <c r="D186" s="403"/>
      <c r="E186" s="87">
        <f t="shared" si="11"/>
        <v>0.47619047619047616</v>
      </c>
      <c r="F186" s="87">
        <f>IFERROR($E186*(VLOOKUP(C186,fish_group_yield_n!$A$7:$J$49,7,FALSE)),0)</f>
        <v>4.2913577577380603E-2</v>
      </c>
      <c r="G186" s="87">
        <f>IFERROR($E186*(VLOOKUP(C186,fish_group_yield_n!$A$7:$J$49,10,FALSE)),0)</f>
        <v>2.9512919513764845E-2</v>
      </c>
      <c r="H186" s="823">
        <f t="shared" si="7"/>
        <v>1772.4</v>
      </c>
      <c r="I186" s="428">
        <f>IF(ISERROR($E186*VLOOKUP($C186,fish_group_yield_w!$A$7:$I$45,9,FALSE)),0,$E186*VLOOKUP($C186,fish_group_yield_w!$A$7:$I$45,9,FALSE))</f>
        <v>0.13150225737792803</v>
      </c>
      <c r="J186" s="429">
        <f>IF(ISERROR($E186*VLOOKUP($C186,fish_group_yield_w!$A$7:$I$45,9,FALSE)),0,$E186*VLOOKUP($C186,fish_group_yield_w!$A$7:$I$45,9,FALSE))</f>
        <v>0.13150225737792803</v>
      </c>
      <c r="L186" s="814"/>
      <c r="M186" s="814"/>
    </row>
    <row r="187" spans="1:13" ht="12.75" customHeight="1">
      <c r="A187" s="403" t="s">
        <v>6088</v>
      </c>
      <c r="B187" s="403">
        <v>305.58999999999997</v>
      </c>
      <c r="C187" s="403" t="s">
        <v>1738</v>
      </c>
      <c r="D187" s="403"/>
      <c r="E187" s="87">
        <f t="shared" si="11"/>
        <v>0.31185031185031181</v>
      </c>
      <c r="F187" s="87">
        <f>IFERROR($E187*(VLOOKUP(C187,fish_group_yield_n!$A$7:$J$49,7,FALSE)),0)</f>
        <v>2.8103486355249247E-2</v>
      </c>
      <c r="G187" s="87">
        <f>IFERROR($E187*(VLOOKUP(C187,fish_group_yield_n!$A$7:$J$49,10,FALSE)),0)</f>
        <v>1.9327587623359514E-2</v>
      </c>
      <c r="H187" s="823">
        <f t="shared" si="7"/>
        <v>1446.2066666666669</v>
      </c>
      <c r="I187" s="428">
        <f>IF(ISERROR($E187*VLOOKUP($C187,fish_group_yield_w!$A$7:$I$45,9,FALSE)),0,$E187*VLOOKUP($C187,fish_group_yield_w!$A$7:$I$45,9,FALSE))</f>
        <v>8.6118941941886337E-2</v>
      </c>
      <c r="J187" s="429">
        <f>IF(ISERROR($E187*VLOOKUP($C187,fish_group_yield_w!$A$7:$I$45,9,FALSE)),0,$E187*VLOOKUP($C187,fish_group_yield_w!$A$7:$I$45,9,FALSE))</f>
        <v>8.6118941941886337E-2</v>
      </c>
      <c r="L187" s="814"/>
      <c r="M187" s="814"/>
    </row>
    <row r="188" spans="1:13" ht="12.75" customHeight="1">
      <c r="A188" s="403" t="s">
        <v>6089</v>
      </c>
      <c r="B188" s="403">
        <v>305.49</v>
      </c>
      <c r="C188" s="403" t="s">
        <v>1738</v>
      </c>
      <c r="D188" s="403"/>
      <c r="E188" s="87">
        <f t="shared" si="11"/>
        <v>0.5</v>
      </c>
      <c r="F188" s="87">
        <f>IFERROR($E188*(VLOOKUP(C188,fish_group_yield_n!$A$7:$J$49,7,FALSE)),0)</f>
        <v>4.5059256456249634E-2</v>
      </c>
      <c r="G188" s="87">
        <f>IFERROR($E188*(VLOOKUP(C188,fish_group_yield_n!$A$7:$J$49,10,FALSE)),0)</f>
        <v>3.0988565489453088E-2</v>
      </c>
      <c r="H188" s="823">
        <f t="shared" si="7"/>
        <v>272</v>
      </c>
      <c r="I188" s="428">
        <f>IF(ISERROR($E188*VLOOKUP($C188,fish_group_yield_w!$A$7:$I$45,9,FALSE)),0,$E188*VLOOKUP($C188,fish_group_yield_w!$A$7:$I$45,9,FALSE))</f>
        <v>0.13807737024682445</v>
      </c>
      <c r="J188" s="429">
        <f>IF(ISERROR($E188*VLOOKUP($C188,fish_group_yield_w!$A$7:$I$45,9,FALSE)),0,$E188*VLOOKUP($C188,fish_group_yield_w!$A$7:$I$45,9,FALSE))</f>
        <v>0.13807737024682445</v>
      </c>
      <c r="L188" s="814"/>
      <c r="M188" s="814"/>
    </row>
    <row r="189" spans="1:13" ht="12.75" customHeight="1">
      <c r="A189" s="403" t="s">
        <v>6090</v>
      </c>
      <c r="B189" s="403">
        <v>301.99</v>
      </c>
      <c r="C189" s="403" t="s">
        <v>1738</v>
      </c>
      <c r="D189" s="403"/>
      <c r="E189" s="87">
        <f t="shared" si="11"/>
        <v>0.89972190413872077</v>
      </c>
      <c r="F189" s="87">
        <f>IFERROR($E189*(VLOOKUP(C189,fish_group_yield_n!$A$7:$J$49,7,FALSE)),0)</f>
        <v>8.1081600035783741E-2</v>
      </c>
      <c r="G189" s="87">
        <f>IFERROR($E189*(VLOOKUP(C189,fish_group_yield_n!$A$7:$J$49,10,FALSE)),0)</f>
        <v>5.5762182297396365E-2</v>
      </c>
      <c r="H189" s="823">
        <f t="shared" si="7"/>
        <v>2569.6829090909091</v>
      </c>
      <c r="I189" s="428">
        <f>IF(ISERROR($E189*VLOOKUP($C189,fish_group_yield_w!$A$7:$I$45,9,FALSE)),0,$E189*VLOOKUP($C189,fish_group_yield_w!$A$7:$I$45,9,FALSE))</f>
        <v>0.24846246895388011</v>
      </c>
      <c r="J189" s="429">
        <f>IF(ISERROR($E189*VLOOKUP($C189,fish_group_yield_w!$A$7:$I$45,9,FALSE)),0,$E189*VLOOKUP($C189,fish_group_yield_w!$A$7:$I$45,9,FALSE))</f>
        <v>0.24846246895388011</v>
      </c>
      <c r="L189" s="814"/>
      <c r="M189" s="814"/>
    </row>
    <row r="190" spans="1:13" ht="12.75" customHeight="1">
      <c r="A190" s="403" t="s">
        <v>6091</v>
      </c>
      <c r="B190" s="403">
        <v>1604.19</v>
      </c>
      <c r="C190" s="403" t="s">
        <v>1738</v>
      </c>
      <c r="D190" s="403"/>
      <c r="E190" s="87">
        <f t="shared" si="11"/>
        <v>0.66666666666666663</v>
      </c>
      <c r="F190" s="87">
        <f>IFERROR($E190*(VLOOKUP(C190,fish_group_yield_n!$A$7:$J$49,7,FALSE)),0)</f>
        <v>6.0079008608332846E-2</v>
      </c>
      <c r="G190" s="87">
        <f>IFERROR($E190*(VLOOKUP(C190,fish_group_yield_n!$A$7:$J$49,10,FALSE)),0)</f>
        <v>4.131808731927078E-2</v>
      </c>
      <c r="H190" s="823">
        <f t="shared" si="7"/>
        <v>5823</v>
      </c>
      <c r="I190" s="428">
        <f>IF(ISERROR($E190*VLOOKUP($C190,fish_group_yield_w!$A$7:$I$45,9,FALSE)),0,$E190*VLOOKUP($C190,fish_group_yield_w!$A$7:$I$45,9,FALSE))</f>
        <v>0.18410316032909926</v>
      </c>
      <c r="J190" s="429">
        <f>IF(ISERROR($E190*VLOOKUP($C190,fish_group_yield_w!$A$7:$I$45,9,FALSE)),0,$E190*VLOOKUP($C190,fish_group_yield_w!$A$7:$I$45,9,FALSE))</f>
        <v>0.18410316032909926</v>
      </c>
      <c r="L190" s="814"/>
      <c r="M190" s="814"/>
    </row>
    <row r="191" spans="1:13" ht="12.75" customHeight="1">
      <c r="A191" s="403" t="s">
        <v>6092</v>
      </c>
      <c r="B191" s="403">
        <v>305.69</v>
      </c>
      <c r="C191" s="403" t="s">
        <v>1738</v>
      </c>
      <c r="D191" s="403"/>
      <c r="E191" s="87">
        <f t="shared" si="11"/>
        <v>1</v>
      </c>
      <c r="F191" s="87">
        <f>IFERROR($E191*(VLOOKUP(C191,fish_group_yield_n!$A$7:$J$49,7,FALSE)),0)</f>
        <v>9.0118512912499268E-2</v>
      </c>
      <c r="G191" s="87">
        <f>IFERROR($E191*(VLOOKUP(C191,fish_group_yield_n!$A$7:$J$49,10,FALSE)),0)</f>
        <v>6.1977130978906177E-2</v>
      </c>
      <c r="H191" s="823">
        <f t="shared" si="7"/>
        <v>2509</v>
      </c>
      <c r="I191" s="428">
        <f>IF(ISERROR($E191*VLOOKUP($C191,fish_group_yield_w!$A$7:$I$45,9,FALSE)),0,$E191*VLOOKUP($C191,fish_group_yield_w!$A$7:$I$45,9,FALSE))</f>
        <v>0.27615474049364891</v>
      </c>
      <c r="J191" s="429">
        <f>IF(ISERROR($E191*VLOOKUP($C191,fish_group_yield_w!$A$7:$I$45,9,FALSE)),0,$E191*VLOOKUP($C191,fish_group_yield_w!$A$7:$I$45,9,FALSE))</f>
        <v>0.27615474049364891</v>
      </c>
      <c r="L191" s="814"/>
      <c r="M191" s="814"/>
    </row>
    <row r="192" spans="1:13" ht="12.75" customHeight="1">
      <c r="A192" s="403" t="s">
        <v>6093</v>
      </c>
      <c r="B192" s="403">
        <v>302.29000000000002</v>
      </c>
      <c r="C192" s="403" t="s">
        <v>1739</v>
      </c>
      <c r="D192" s="403" t="s">
        <v>4681</v>
      </c>
      <c r="E192" s="87">
        <f t="shared" si="11"/>
        <v>0.89552238805970152</v>
      </c>
      <c r="F192" s="87">
        <f>IFERROR($E192*(VLOOKUP(C192,fish_group_yield_n!$A$7:$J$49,7,FALSE)),0)</f>
        <v>5.1133333707053322E-2</v>
      </c>
      <c r="G192" s="87">
        <f>IFERROR($E192*(VLOOKUP(C192,fish_group_yield_n!$A$7:$J$49,10,FALSE)),0)</f>
        <v>5.1133333707053322E-2</v>
      </c>
      <c r="H192" s="823">
        <f t="shared" si="7"/>
        <v>533.76666666666665</v>
      </c>
      <c r="I192" s="428">
        <f>IF(ISERROR($E192*VLOOKUP($C192,fish_group_yield_w!$A$7:$I$45,9,FALSE)),0,$E192*VLOOKUP($C192,fish_group_yield_w!$A$7:$I$45,9,FALSE))</f>
        <v>0.24977217663025422</v>
      </c>
      <c r="J192" s="429">
        <f>IF(ISERROR($E192*VLOOKUP($C192,fish_group_yield_w!$A$7:$I$45,9,FALSE)),0,$E192*VLOOKUP($C192,fish_group_yield_w!$A$7:$I$45,9,FALSE))</f>
        <v>0.24977217663025422</v>
      </c>
      <c r="L192" s="814"/>
      <c r="M192" s="814"/>
    </row>
    <row r="193" spans="1:13" ht="12.75" customHeight="1">
      <c r="A193" s="403" t="s">
        <v>6094</v>
      </c>
      <c r="B193" s="403">
        <v>303.39</v>
      </c>
      <c r="C193" s="403" t="s">
        <v>1739</v>
      </c>
      <c r="D193" s="403" t="s">
        <v>4681</v>
      </c>
      <c r="E193" s="87">
        <f t="shared" si="11"/>
        <v>0.61224489795918358</v>
      </c>
      <c r="F193" s="87">
        <f>IFERROR($E193*(VLOOKUP(C193,fish_group_yield_n!$A$7:$J$49,7,FALSE)),0)</f>
        <v>3.4958503656862983E-2</v>
      </c>
      <c r="G193" s="87">
        <f>IFERROR($E193*(VLOOKUP(C193,fish_group_yield_n!$A$7:$J$49,10,FALSE)),0)</f>
        <v>3.4958503656862983E-2</v>
      </c>
      <c r="H193" s="823">
        <f t="shared" si="7"/>
        <v>107.80000000000001</v>
      </c>
      <c r="I193" s="428">
        <f>IF(ISERROR($E193*VLOOKUP($C193,fish_group_yield_w!$A$7:$I$45,9,FALSE)),0,$E193*VLOOKUP($C193,fish_group_yield_w!$A$7:$I$45,9,FALSE))</f>
        <v>0.17076261055333705</v>
      </c>
      <c r="J193" s="429">
        <f>IF(ISERROR($E193*VLOOKUP($C193,fish_group_yield_w!$A$7:$I$45,9,FALSE)),0,$E193*VLOOKUP($C193,fish_group_yield_w!$A$7:$I$45,9,FALSE))</f>
        <v>0.17076261055333705</v>
      </c>
      <c r="L193" s="814"/>
      <c r="M193" s="814"/>
    </row>
    <row r="194" spans="1:13" ht="12.75" customHeight="1">
      <c r="A194" s="403" t="s">
        <v>6095</v>
      </c>
      <c r="B194" s="403">
        <v>302.69</v>
      </c>
      <c r="C194" s="403" t="s">
        <v>1738</v>
      </c>
      <c r="D194" s="403"/>
      <c r="E194" s="87">
        <f t="shared" si="11"/>
        <v>0.89972190413872077</v>
      </c>
      <c r="F194" s="87">
        <f>IFERROR($E194*(VLOOKUP(C194,fish_group_yield_n!$A$7:$J$49,7,FALSE)),0)</f>
        <v>8.1081600035783741E-2</v>
      </c>
      <c r="G194" s="87">
        <f>IFERROR($E194*(VLOOKUP(C194,fish_group_yield_n!$A$7:$J$49,10,FALSE)),0)</f>
        <v>5.5762182297396365E-2</v>
      </c>
      <c r="H194" s="823">
        <f t="shared" si="7"/>
        <v>0</v>
      </c>
      <c r="I194" s="428">
        <f>IF(ISERROR($E194*VLOOKUP($C194,fish_group_yield_w!$A$7:$I$45,9,FALSE)),0,$E194*VLOOKUP($C194,fish_group_yield_w!$A$7:$I$45,9,FALSE))</f>
        <v>0.24846246895388011</v>
      </c>
      <c r="J194" s="429">
        <f>IF(ISERROR($E194*VLOOKUP($C194,fish_group_yield_w!$A$7:$I$45,9,FALSE)),0,$E194*VLOOKUP($C194,fish_group_yield_w!$A$7:$I$45,9,FALSE))</f>
        <v>0.24846246895388011</v>
      </c>
      <c r="L194" s="814"/>
      <c r="M194" s="814"/>
    </row>
    <row r="195" spans="1:13" ht="12.75" customHeight="1">
      <c r="A195" s="403" t="s">
        <v>6096</v>
      </c>
      <c r="B195" s="403">
        <v>303.79000000000002</v>
      </c>
      <c r="C195" s="403" t="s">
        <v>1738</v>
      </c>
      <c r="D195" s="403"/>
      <c r="E195" s="87">
        <f t="shared" si="11"/>
        <v>0.64922665648271916</v>
      </c>
      <c r="F195" s="87">
        <f>IFERROR($E195*(VLOOKUP(C195,fish_group_yield_n!$A$7:$J$49,7,FALSE)),0)</f>
        <v>5.8507340825376654E-2</v>
      </c>
      <c r="G195" s="87">
        <f>IFERROR($E195*(VLOOKUP(C195,fish_group_yield_n!$A$7:$J$49,10,FALSE)),0)</f>
        <v>4.0237205523826813E-2</v>
      </c>
      <c r="H195" s="823">
        <f t="shared" si="7"/>
        <v>0</v>
      </c>
      <c r="I195" s="428">
        <f>IF(ISERROR($E195*VLOOKUP($C195,fish_group_yield_w!$A$7:$I$45,9,FALSE)),0,$E195*VLOOKUP($C195,fish_group_yield_w!$A$7:$I$45,9,FALSE))</f>
        <v>0.17928701884254467</v>
      </c>
      <c r="J195" s="429">
        <f>IF(ISERROR($E195*VLOOKUP($C195,fish_group_yield_w!$A$7:$I$45,9,FALSE)),0,$E195*VLOOKUP($C195,fish_group_yield_w!$A$7:$I$45,9,FALSE))</f>
        <v>0.17928701884254467</v>
      </c>
      <c r="L195" s="814"/>
      <c r="M195" s="814"/>
    </row>
    <row r="196" spans="1:13" ht="12.75" customHeight="1">
      <c r="A196" s="403" t="s">
        <v>6096</v>
      </c>
      <c r="B196" s="403">
        <v>303.89</v>
      </c>
      <c r="C196" s="403" t="s">
        <v>1738</v>
      </c>
      <c r="D196" s="403"/>
      <c r="E196" s="87">
        <f t="shared" si="11"/>
        <v>0</v>
      </c>
      <c r="F196" s="87">
        <f>IFERROR($E196*(VLOOKUP(C196,fish_group_yield_n!$A$7:$J$49,7,FALSE)),0)</f>
        <v>0</v>
      </c>
      <c r="G196" s="87">
        <f>IFERROR($E196*(VLOOKUP(C196,fish_group_yield_n!$A$7:$J$49,10,FALSE)),0)</f>
        <v>0</v>
      </c>
      <c r="H196" s="823">
        <f t="shared" si="7"/>
        <v>0</v>
      </c>
      <c r="I196" s="428">
        <f>IF(ISERROR($E196*VLOOKUP($C196,fish_group_yield_w!$A$7:$I$45,9,FALSE)),0,$E196*VLOOKUP($C196,fish_group_yield_w!$A$7:$I$45,9,FALSE))</f>
        <v>0</v>
      </c>
      <c r="J196" s="429">
        <f>IF(ISERROR($E196*VLOOKUP($C196,fish_group_yield_w!$A$7:$I$45,9,FALSE)),0,$E196*VLOOKUP($C196,fish_group_yield_w!$A$7:$I$45,9,FALSE))</f>
        <v>0</v>
      </c>
      <c r="L196" s="814"/>
      <c r="M196" s="814"/>
    </row>
    <row r="197" spans="1:13" ht="12.75" customHeight="1">
      <c r="A197" s="403" t="s">
        <v>8458</v>
      </c>
      <c r="B197" s="403">
        <v>302.89</v>
      </c>
      <c r="C197" s="403" t="s">
        <v>1738</v>
      </c>
      <c r="D197" s="403"/>
      <c r="E197" s="87">
        <f t="shared" si="11"/>
        <v>0.89972190413872077</v>
      </c>
      <c r="F197" s="87">
        <f>IFERROR($E197*(VLOOKUP(C197,fish_group_yield_n!$A$7:$J$49,7,FALSE)),0)</f>
        <v>8.1081600035783741E-2</v>
      </c>
      <c r="G197" s="87">
        <f>IFERROR($E197*(VLOOKUP(C197,fish_group_yield_n!$A$7:$J$49,10,FALSE)),0)</f>
        <v>5.5762182297396365E-2</v>
      </c>
      <c r="H197" s="823">
        <f t="shared" si="7"/>
        <v>5301.6381818181817</v>
      </c>
      <c r="I197" s="428">
        <f>IF(ISERROR($E197*VLOOKUP($C197,fish_group_yield_w!$A$7:$I$45,9,FALSE)),0,$E197*VLOOKUP($C197,fish_group_yield_w!$A$7:$I$45,9,FALSE))</f>
        <v>0.24846246895388011</v>
      </c>
      <c r="J197" s="429">
        <f>IF(ISERROR($E197*VLOOKUP($C197,fish_group_yield_w!$A$7:$I$45,9,FALSE)),0,$E197*VLOOKUP($C197,fish_group_yield_w!$A$7:$I$45,9,FALSE))</f>
        <v>0.24846246895388011</v>
      </c>
      <c r="L197" s="814"/>
      <c r="M197" s="814"/>
    </row>
    <row r="198" spans="1:13" ht="12.75" customHeight="1">
      <c r="A198" s="403" t="s">
        <v>8432</v>
      </c>
      <c r="B198" s="403">
        <v>302.58999999999997</v>
      </c>
      <c r="C198" s="403" t="s">
        <v>5195</v>
      </c>
      <c r="D198" s="403" t="s">
        <v>4681</v>
      </c>
      <c r="E198" s="87">
        <f t="shared" si="11"/>
        <v>0.64516129032258063</v>
      </c>
      <c r="F198" s="87">
        <f>IFERROR($E198*(VLOOKUP(C198,fish_group_yield_n!$A$7:$J$49,7,FALSE)),0)</f>
        <v>8.75210558009837E-3</v>
      </c>
      <c r="G198" s="87">
        <f>IFERROR($E198*(VLOOKUP(C198,fish_group_yield_n!$A$7:$J$49,10,FALSE)),0)</f>
        <v>8.4965698744087874E-3</v>
      </c>
      <c r="H198" s="823">
        <f t="shared" si="7"/>
        <v>23.25</v>
      </c>
      <c r="I198" s="428">
        <f>IF(ISERROR($E198*VLOOKUP($C198,fish_group_yield_w!$A$7:$I$45,9,FALSE)),0,$E198*VLOOKUP($C198,fish_group_yield_w!$A$7:$I$45,9,FALSE))</f>
        <v>2.2437062435067603E-4</v>
      </c>
      <c r="J198" s="429">
        <f>IF(ISERROR($E198*VLOOKUP($C198,fish_group_yield_w!$A$7:$I$45,9,FALSE)),0,$E198*VLOOKUP($C198,fish_group_yield_w!$A$7:$I$45,9,FALSE))</f>
        <v>2.2437062435067603E-4</v>
      </c>
      <c r="L198" s="814"/>
      <c r="M198" s="814"/>
    </row>
    <row r="199" spans="1:13" ht="12.75" customHeight="1">
      <c r="A199" s="403" t="s">
        <v>8470</v>
      </c>
      <c r="B199" s="403">
        <v>303.69</v>
      </c>
      <c r="C199" s="403" t="s">
        <v>5195</v>
      </c>
      <c r="D199" s="403" t="s">
        <v>4681</v>
      </c>
      <c r="E199" s="87">
        <f t="shared" si="11"/>
        <v>0.5524861878453039</v>
      </c>
      <c r="F199" s="87">
        <f>IFERROR($E199*(VLOOKUP(C199,fish_group_yield_n!$A$7:$J$49,7,FALSE)),0)</f>
        <v>7.4948970437306497E-3</v>
      </c>
      <c r="G199" s="87">
        <f>IFERROR($E199*(VLOOKUP(C199,fish_group_yield_n!$A$7:$J$49,10,FALSE)),0)</f>
        <v>7.2760681244937141E-3</v>
      </c>
      <c r="H199" s="823">
        <f t="shared" ref="H199:H262" si="12">IF(ISERROR(VLOOKUP(B199,tbl_figis_commodity,2,FALSE)/E199),0,VLOOKUP(B199,tbl_figis_commodity,2,FALSE)/E199)</f>
        <v>56.11</v>
      </c>
      <c r="I199" s="428">
        <f>IF(ISERROR($E199*VLOOKUP($C199,fish_group_yield_w!$A$7:$I$45,9,FALSE)),0,$E199*VLOOKUP($C199,fish_group_yield_w!$A$7:$I$45,9,FALSE))</f>
        <v>1.9214058991356235E-4</v>
      </c>
      <c r="J199" s="429">
        <f>IF(ISERROR($E199*VLOOKUP($C199,fish_group_yield_w!$A$7:$I$45,9,FALSE)),0,$E199*VLOOKUP($C199,fish_group_yield_w!$A$7:$I$45,9,FALSE))</f>
        <v>1.9214058991356235E-4</v>
      </c>
      <c r="L199" s="814"/>
      <c r="M199" s="814"/>
    </row>
    <row r="200" spans="1:13" ht="12.75" customHeight="1">
      <c r="A200" t="s">
        <v>9159</v>
      </c>
      <c r="B200">
        <v>307.92</v>
      </c>
      <c r="C200" s="403" t="s">
        <v>1736</v>
      </c>
      <c r="D200" s="403" t="s">
        <v>4691</v>
      </c>
      <c r="E200" s="87">
        <v>3</v>
      </c>
      <c r="F200" s="87">
        <f>IFERROR($E200*(VLOOKUP(C200,fish_group_yield_n!$A$7:$J$49,7,FALSE)),0)</f>
        <v>1.4536048028099442</v>
      </c>
      <c r="G200" s="87">
        <f>IFERROR($E200*(VLOOKUP(C200,fish_group_yield_n!$A$7:$J$49,10,FALSE)),0)</f>
        <v>3.3814273152883292</v>
      </c>
      <c r="H200" s="823">
        <f t="shared" si="12"/>
        <v>4.333333333333333</v>
      </c>
      <c r="I200" s="428">
        <f>IF(ISERROR($E200*VLOOKUP($C200,fish_group_yield_w!$A$7:$I$45,9,FALSE)),0,$E200*VLOOKUP($C200,fish_group_yield_w!$A$7:$I$45,9,FALSE))</f>
        <v>1.6978665503931005</v>
      </c>
      <c r="J200" s="429">
        <f>IF(ISERROR($E200*VLOOKUP($C200,fish_group_yield_w!$A$7:$I$45,9,FALSE)),0,$E200*VLOOKUP($C200,fish_group_yield_w!$A$7:$I$45,9,FALSE))</f>
        <v>1.6978665503931005</v>
      </c>
      <c r="L200" s="814"/>
      <c r="M200" s="814"/>
    </row>
    <row r="201" spans="1:13" ht="12.75" customHeight="1">
      <c r="A201" s="403" t="s">
        <v>6097</v>
      </c>
      <c r="B201" s="403">
        <v>307.91000000000003</v>
      </c>
      <c r="C201" s="403" t="s">
        <v>1736</v>
      </c>
      <c r="D201" s="403" t="s">
        <v>4691</v>
      </c>
      <c r="E201" s="87">
        <f t="shared" ref="E201:E213" si="13">IFERROR(1/VLOOKUP(B201,constant_fish_extr,2,FALSE),0)</f>
        <v>0.33333333333333331</v>
      </c>
      <c r="F201" s="87">
        <f>IFERROR($E201*(VLOOKUP(C201,fish_group_yield_n!$A$7:$J$49,7,FALSE)),0)</f>
        <v>0.16151164475666047</v>
      </c>
      <c r="G201" s="87">
        <f>IFERROR($E201*(VLOOKUP(C201,fish_group_yield_n!$A$7:$J$49,10,FALSE)),0)</f>
        <v>0.37571414614314769</v>
      </c>
      <c r="H201" s="823">
        <f t="shared" si="12"/>
        <v>498.24920127795599</v>
      </c>
      <c r="I201" s="428">
        <f>IF(ISERROR($E201*VLOOKUP($C201,fish_group_yield_w!$A$7:$I$45,9,FALSE)),0,$E201*VLOOKUP($C201,fish_group_yield_w!$A$7:$I$45,9,FALSE))</f>
        <v>0.18865183893256671</v>
      </c>
      <c r="J201" s="429">
        <f>IF(ISERROR($E201*VLOOKUP($C201,fish_group_yield_w!$A$7:$I$45,9,FALSE)),0,$E201*VLOOKUP($C201,fish_group_yield_w!$A$7:$I$45,9,FALSE))</f>
        <v>0.18865183893256671</v>
      </c>
      <c r="L201" s="814"/>
      <c r="M201" s="814"/>
    </row>
    <row r="202" spans="1:13" ht="12.75" customHeight="1">
      <c r="A202" s="403" t="s">
        <v>6138</v>
      </c>
      <c r="B202" s="403">
        <v>307.99</v>
      </c>
      <c r="C202" s="403" t="s">
        <v>1736</v>
      </c>
      <c r="D202" s="403" t="s">
        <v>4691</v>
      </c>
      <c r="E202" s="87">
        <f t="shared" si="13"/>
        <v>0.33333333333333331</v>
      </c>
      <c r="F202" s="87">
        <f>IFERROR($E202*(VLOOKUP(C202,fish_group_yield_n!$A$7:$J$49,7,FALSE)),0)</f>
        <v>0.16151164475666047</v>
      </c>
      <c r="G202" s="87">
        <f>IFERROR($E202*(VLOOKUP(C202,fish_group_yield_n!$A$7:$J$49,10,FALSE)),0)</f>
        <v>0.37571414614314769</v>
      </c>
      <c r="H202" s="823">
        <f t="shared" si="12"/>
        <v>2304</v>
      </c>
      <c r="I202" s="428">
        <f>IF(ISERROR($E202*VLOOKUP($C202,fish_group_yield_w!$A$7:$I$45,9,FALSE)),0,$E202*VLOOKUP($C202,fish_group_yield_w!$A$7:$I$45,9,FALSE))</f>
        <v>0.18865183893256671</v>
      </c>
      <c r="J202" s="429">
        <f>IF(ISERROR($E202*VLOOKUP($C202,fish_group_yield_w!$A$7:$I$45,9,FALSE)),0,$E202*VLOOKUP($C202,fish_group_yield_w!$A$7:$I$45,9,FALSE))</f>
        <v>0.18865183893256671</v>
      </c>
      <c r="L202" s="814"/>
      <c r="M202" s="814"/>
    </row>
    <row r="203" spans="1:13" ht="12.75" customHeight="1">
      <c r="A203" s="403" t="s">
        <v>8481</v>
      </c>
      <c r="B203" s="403">
        <v>1605.59</v>
      </c>
      <c r="C203" s="403" t="s">
        <v>1736</v>
      </c>
      <c r="D203" s="403" t="s">
        <v>4691</v>
      </c>
      <c r="E203" s="87">
        <f t="shared" si="13"/>
        <v>0.19129603060736489</v>
      </c>
      <c r="F203" s="87">
        <f>IFERROR($E203*(VLOOKUP(C203,fish_group_yield_n!$A$7:$J$49,7,FALSE)),0)</f>
        <v>9.2689609616447899E-2</v>
      </c>
      <c r="G203" s="87">
        <f>IFERROR($E203*(VLOOKUP(C203,fish_group_yield_n!$A$7:$J$49,10,FALSE)),0)</f>
        <v>0.21561787440065863</v>
      </c>
      <c r="H203" s="823">
        <f t="shared" si="12"/>
        <v>1045.5</v>
      </c>
      <c r="I203" s="428">
        <f>IF(ISERROR($E203*VLOOKUP($C203,fish_group_yield_w!$A$7:$I$45,9,FALSE)),0,$E203*VLOOKUP($C203,fish_group_yield_w!$A$7:$I$45,9,FALSE))</f>
        <v>0.10826504386373986</v>
      </c>
      <c r="J203" s="429">
        <f>IF(ISERROR($E203*VLOOKUP($C203,fish_group_yield_w!$A$7:$I$45,9,FALSE)),0,$E203*VLOOKUP($C203,fish_group_yield_w!$A$7:$I$45,9,FALSE))</f>
        <v>0.10826504386373986</v>
      </c>
      <c r="L203" s="814"/>
      <c r="M203" s="814"/>
    </row>
    <row r="204" spans="1:13" ht="12.75" customHeight="1">
      <c r="A204" s="403" t="s">
        <v>6098</v>
      </c>
      <c r="B204" s="403">
        <v>303.19</v>
      </c>
      <c r="C204" s="403" t="s">
        <v>3791</v>
      </c>
      <c r="D204" s="403" t="s">
        <v>4685</v>
      </c>
      <c r="E204" s="87">
        <f t="shared" si="13"/>
        <v>1</v>
      </c>
      <c r="F204" s="87">
        <f>IFERROR($E204*(VLOOKUP(C204,fish_group_yield_n!$A$7:$J$49,7,FALSE)),0)</f>
        <v>7.2122236327625946E-2</v>
      </c>
      <c r="G204" s="87">
        <f>IFERROR($E204*(VLOOKUP(C204,fish_group_yield_n!$A$7:$J$49,10,FALSE)),0)</f>
        <v>0.10192959905011592</v>
      </c>
      <c r="H204" s="823">
        <f t="shared" si="12"/>
        <v>21</v>
      </c>
      <c r="I204" s="428">
        <f>IF(ISERROR($E204*VLOOKUP($C204,fish_group_yield_w!$A$7:$I$45,9,FALSE)),0,$E204*VLOOKUP($C204,fish_group_yield_w!$A$7:$I$45,9,FALSE))</f>
        <v>0.41367897697444916</v>
      </c>
      <c r="J204" s="429">
        <f>IF(ISERROR($E204*VLOOKUP($C204,fish_group_yield_w!$A$7:$I$45,9,FALSE)),0,$E204*VLOOKUP($C204,fish_group_yield_w!$A$7:$I$45,9,FALSE))</f>
        <v>0.41367897697444916</v>
      </c>
      <c r="L204" s="814"/>
      <c r="M204" s="814"/>
    </row>
    <row r="205" spans="1:13" ht="12.75" customHeight="1">
      <c r="A205" s="403" t="s">
        <v>6098</v>
      </c>
      <c r="B205" s="403">
        <v>303.12</v>
      </c>
      <c r="C205" s="403" t="s">
        <v>3791</v>
      </c>
      <c r="D205" s="403" t="s">
        <v>4685</v>
      </c>
      <c r="E205" s="87">
        <f t="shared" si="13"/>
        <v>0</v>
      </c>
      <c r="F205" s="87">
        <f>IFERROR($E205*(VLOOKUP(C205,fish_group_yield_n!$A$7:$J$49,7,FALSE)),0)</f>
        <v>0</v>
      </c>
      <c r="G205" s="87">
        <f>IFERROR($E205*(VLOOKUP(C205,fish_group_yield_n!$A$7:$J$49,10,FALSE)),0)</f>
        <v>0</v>
      </c>
      <c r="H205" s="823">
        <f t="shared" si="12"/>
        <v>0</v>
      </c>
      <c r="I205" s="428">
        <f>IF(ISERROR($E205*VLOOKUP($C205,fish_group_yield_w!$A$7:$I$45,9,FALSE)),0,$E205*VLOOKUP($C205,fish_group_yield_w!$A$7:$I$45,9,FALSE))</f>
        <v>0</v>
      </c>
      <c r="J205" s="429">
        <f>IF(ISERROR($E205*VLOOKUP($C205,fish_group_yield_w!$A$7:$I$45,9,FALSE)),0,$E205*VLOOKUP($C205,fish_group_yield_w!$A$7:$I$45,9,FALSE))</f>
        <v>0</v>
      </c>
      <c r="L205" s="814"/>
      <c r="M205" s="814"/>
    </row>
    <row r="206" spans="1:13" ht="12.75" customHeight="1">
      <c r="A206" s="403" t="s">
        <v>6099</v>
      </c>
      <c r="B206" s="403">
        <v>302.19</v>
      </c>
      <c r="C206" s="403" t="s">
        <v>3791</v>
      </c>
      <c r="D206" s="403" t="s">
        <v>4685</v>
      </c>
      <c r="E206" s="87">
        <f t="shared" si="13"/>
        <v>0.93023255813953487</v>
      </c>
      <c r="F206" s="87">
        <f>IFERROR($E206*(VLOOKUP(C206,fish_group_yield_n!$A$7:$J$49,7,FALSE)),0)</f>
        <v>6.7090452397791572E-2</v>
      </c>
      <c r="G206" s="87">
        <f>IFERROR($E206*(VLOOKUP(C206,fish_group_yield_n!$A$7:$J$49,10,FALSE)),0)</f>
        <v>9.4818231674526438E-2</v>
      </c>
      <c r="H206" s="823">
        <f t="shared" si="12"/>
        <v>591.25</v>
      </c>
      <c r="I206" s="428">
        <f>IF(ISERROR($E206*VLOOKUP($C206,fish_group_yield_w!$A$7:$I$45,9,FALSE)),0,$E206*VLOOKUP($C206,fish_group_yield_w!$A$7:$I$45,9,FALSE))</f>
        <v>0.38481765299948761</v>
      </c>
      <c r="J206" s="429">
        <f>IF(ISERROR($E206*VLOOKUP($C206,fish_group_yield_w!$A$7:$I$45,9,FALSE)),0,$E206*VLOOKUP($C206,fish_group_yield_w!$A$7:$I$45,9,FALSE))</f>
        <v>0.38481765299948761</v>
      </c>
      <c r="L206" s="814"/>
      <c r="M206" s="814"/>
    </row>
    <row r="207" spans="1:13" ht="12.75" customHeight="1">
      <c r="A207" s="403" t="s">
        <v>6100</v>
      </c>
      <c r="B207" s="403">
        <v>303.29000000000002</v>
      </c>
      <c r="C207" s="403" t="s">
        <v>3791</v>
      </c>
      <c r="D207" s="403" t="s">
        <v>4685</v>
      </c>
      <c r="E207" s="87">
        <f t="shared" si="13"/>
        <v>0.6635071090047393</v>
      </c>
      <c r="F207" s="87">
        <f>IFERROR($E207*(VLOOKUP(C207,fish_group_yield_n!$A$7:$J$49,7,FALSE)),0)</f>
        <v>4.7853616520699679E-2</v>
      </c>
      <c r="G207" s="87">
        <f>IFERROR($E207*(VLOOKUP(C207,fish_group_yield_n!$A$7:$J$49,10,FALSE)),0)</f>
        <v>6.763101358775464E-2</v>
      </c>
      <c r="H207" s="823">
        <f t="shared" si="12"/>
        <v>69.328571428571436</v>
      </c>
      <c r="I207" s="428">
        <f>IF(ISERROR($E207*VLOOKUP($C207,fish_group_yield_w!$A$7:$I$45,9,FALSE)),0,$E207*VLOOKUP($C207,fish_group_yield_w!$A$7:$I$45,9,FALSE))</f>
        <v>0.27447894206835488</v>
      </c>
      <c r="J207" s="429">
        <f>IF(ISERROR($E207*VLOOKUP($C207,fish_group_yield_w!$A$7:$I$45,9,FALSE)),0,$E207*VLOOKUP($C207,fish_group_yield_w!$A$7:$I$45,9,FALSE))</f>
        <v>0.27447894206835488</v>
      </c>
      <c r="L207" s="814"/>
      <c r="M207" s="814"/>
    </row>
    <row r="208" spans="1:13" ht="12.75" customHeight="1">
      <c r="A208" s="403" t="s">
        <v>8483</v>
      </c>
      <c r="B208" s="403">
        <v>1605.29</v>
      </c>
      <c r="C208" s="403" t="s">
        <v>2322</v>
      </c>
      <c r="D208" s="403" t="s">
        <v>4680</v>
      </c>
      <c r="E208" s="87">
        <f t="shared" si="13"/>
        <v>0.3127932436659368</v>
      </c>
      <c r="F208" s="87">
        <f>IFERROR($E208*(VLOOKUP(C208,fish_group_yield_n!$A$7:$J$49,7,FALSE)),0)</f>
        <v>0.17069775887422928</v>
      </c>
      <c r="G208" s="87">
        <f>IFERROR($E208*(VLOOKUP(C208,fish_group_yield_n!$A$7:$J$49,10,FALSE)),0)</f>
        <v>0.46582453587290468</v>
      </c>
      <c r="H208" s="823">
        <f t="shared" si="12"/>
        <v>39482.950000000004</v>
      </c>
      <c r="I208" s="428">
        <f>IF(ISERROR($E208*VLOOKUP($C208,fish_group_yield_w!$A$7:$I$45,9,FALSE)),0,$E208*VLOOKUP($C208,fish_group_yield_w!$A$7:$I$45,9,FALSE))</f>
        <v>0.13659711224815455</v>
      </c>
      <c r="J208" s="429">
        <f>IF(ISERROR($E208*VLOOKUP($C208,fish_group_yield_w!$A$7:$I$45,9,FALSE)),0,$E208*VLOOKUP($C208,fish_group_yield_w!$A$7:$I$45,9,FALSE))</f>
        <v>0.13659711224815455</v>
      </c>
      <c r="L208" s="814"/>
      <c r="M208" s="814"/>
    </row>
    <row r="209" spans="1:13" ht="12.75" customHeight="1">
      <c r="A209" s="403" t="s">
        <v>8463</v>
      </c>
      <c r="B209" s="403">
        <v>306.17</v>
      </c>
      <c r="C209" s="403" t="s">
        <v>2322</v>
      </c>
      <c r="D209" s="403" t="s">
        <v>4680</v>
      </c>
      <c r="E209" s="87">
        <f t="shared" si="13"/>
        <v>0.55605169595767268</v>
      </c>
      <c r="F209" s="87">
        <f>IFERROR($E209*(VLOOKUP(C209,fish_group_yield_n!$A$7:$J$49,7,FALSE)),0)</f>
        <v>0.30344894028325042</v>
      </c>
      <c r="G209" s="87">
        <f>IFERROR($E209*(VLOOKUP(C209,fish_group_yield_n!$A$7:$J$49,10,FALSE)),0)</f>
        <v>0.8280950066410655</v>
      </c>
      <c r="H209" s="823">
        <f t="shared" si="12"/>
        <v>69432.393212121213</v>
      </c>
      <c r="I209" s="428">
        <f>IF(ISERROR($E209*VLOOKUP($C209,fish_group_yield_w!$A$7:$I$45,9,FALSE)),0,$E209*VLOOKUP($C209,fish_group_yield_w!$A$7:$I$45,9,FALSE))</f>
        <v>0.24282831380343664</v>
      </c>
      <c r="J209" s="429">
        <f>IF(ISERROR($E209*VLOOKUP($C209,fish_group_yield_w!$A$7:$I$45,9,FALSE)),0,$E209*VLOOKUP($C209,fish_group_yield_w!$A$7:$I$45,9,FALSE))</f>
        <v>0.24282831380343664</v>
      </c>
      <c r="L209" s="814"/>
      <c r="M209" s="814"/>
    </row>
    <row r="210" spans="1:13" ht="12.75" customHeight="1">
      <c r="A210" s="403" t="s">
        <v>8464</v>
      </c>
      <c r="B210" s="403">
        <v>306.27</v>
      </c>
      <c r="C210" s="403" t="s">
        <v>2322</v>
      </c>
      <c r="D210" s="403" t="s">
        <v>4680</v>
      </c>
      <c r="E210" s="87">
        <f t="shared" si="13"/>
        <v>0.55605169595767268</v>
      </c>
      <c r="F210" s="87">
        <f>IFERROR($E210*(VLOOKUP(C210,fish_group_yield_n!$A$7:$J$49,7,FALSE)),0)</f>
        <v>0.30344894028325042</v>
      </c>
      <c r="G210" s="87">
        <f>IFERROR($E210*(VLOOKUP(C210,fish_group_yield_n!$A$7:$J$49,10,FALSE)),0)</f>
        <v>0.8280950066410655</v>
      </c>
      <c r="H210" s="823">
        <f t="shared" si="12"/>
        <v>0</v>
      </c>
      <c r="I210" s="428">
        <f>IF(ISERROR($E210*VLOOKUP($C210,fish_group_yield_w!$A$7:$I$45,9,FALSE)),0,$E210*VLOOKUP($C210,fish_group_yield_w!$A$7:$I$45,9,FALSE))</f>
        <v>0.24282831380343664</v>
      </c>
      <c r="J210" s="429">
        <f>IF(ISERROR($E210*VLOOKUP($C210,fish_group_yield_w!$A$7:$I$45,9,FALSE)),0,$E210*VLOOKUP($C210,fish_group_yield_w!$A$7:$I$45,9,FALSE))</f>
        <v>0.24282831380343664</v>
      </c>
      <c r="L210" s="814"/>
      <c r="M210" s="814"/>
    </row>
    <row r="211" spans="1:13" ht="12.75" customHeight="1">
      <c r="A211" s="403" t="s">
        <v>6101</v>
      </c>
      <c r="B211" s="403">
        <v>302.39</v>
      </c>
      <c r="C211" s="403" t="s">
        <v>2843</v>
      </c>
      <c r="D211" s="403" t="s">
        <v>4699</v>
      </c>
      <c r="E211" s="87">
        <f t="shared" si="13"/>
        <v>0.93023255813953487</v>
      </c>
      <c r="F211" s="87">
        <f>IFERROR($E211*(VLOOKUP(C211,fish_group_yield_n!$A$7:$J$49,7,FALSE)),0)</f>
        <v>1.3670535555443869E-2</v>
      </c>
      <c r="G211" s="87">
        <f>IFERROR($E211*(VLOOKUP(C211,fish_group_yield_n!$A$7:$J$49,10,FALSE)),0)</f>
        <v>1.3348868013600714E-2</v>
      </c>
      <c r="H211" s="823">
        <f t="shared" si="12"/>
        <v>65.575000000000003</v>
      </c>
      <c r="I211" s="428">
        <f>IF(ISERROR($E211*VLOOKUP($C211,fish_group_yield_w!$A$7:$I$45,9,FALSE)),0,$E211*VLOOKUP($C211,fish_group_yield_w!$A$7:$I$45,9,FALSE))</f>
        <v>9.2146376319546582E-3</v>
      </c>
      <c r="J211" s="429">
        <f>IF(ISERROR($E211*VLOOKUP($C211,fish_group_yield_w!$A$7:$I$45,9,FALSE)),0,$E211*VLOOKUP($C211,fish_group_yield_w!$A$7:$I$45,9,FALSE))</f>
        <v>9.2146376319546582E-3</v>
      </c>
      <c r="L211" s="814"/>
      <c r="M211" s="814"/>
    </row>
    <row r="212" spans="1:13" ht="12.75" customHeight="1">
      <c r="A212" s="403" t="s">
        <v>6102</v>
      </c>
      <c r="B212" s="403">
        <v>303.49</v>
      </c>
      <c r="C212" s="403" t="s">
        <v>2843</v>
      </c>
      <c r="D212" s="403" t="s">
        <v>4699</v>
      </c>
      <c r="E212" s="87">
        <f t="shared" si="13"/>
        <v>0.6635071090047393</v>
      </c>
      <c r="F212" s="87">
        <f>IFERROR($E212*(VLOOKUP(C212,fish_group_yield_n!$A$7:$J$49,7,FALSE)),0)</f>
        <v>9.7507848393094884E-3</v>
      </c>
      <c r="G212" s="87">
        <f>IFERROR($E212*(VLOOKUP(C212,fish_group_yield_n!$A$7:$J$49,10,FALSE)),0)</f>
        <v>9.5213489860042997E-3</v>
      </c>
      <c r="H212" s="823">
        <f t="shared" si="12"/>
        <v>360.20714285714286</v>
      </c>
      <c r="I212" s="428">
        <f>IF(ISERROR($E212*VLOOKUP($C212,fish_group_yield_w!$A$7:$I$45,9,FALSE)),0,$E212*VLOOKUP($C212,fish_group_yield_w!$A$7:$I$45,9,FALSE))</f>
        <v>6.572525893882351E-3</v>
      </c>
      <c r="J212" s="429">
        <f>IF(ISERROR($E212*VLOOKUP($C212,fish_group_yield_w!$A$7:$I$45,9,FALSE)),0,$E212*VLOOKUP($C212,fish_group_yield_w!$A$7:$I$45,9,FALSE))</f>
        <v>6.572525893882351E-3</v>
      </c>
      <c r="L212" s="814"/>
      <c r="M212" s="814"/>
    </row>
    <row r="213" spans="1:13" ht="12.75" customHeight="1">
      <c r="A213" s="403" t="s">
        <v>6082</v>
      </c>
      <c r="B213" s="403">
        <v>509</v>
      </c>
      <c r="C213" s="403" t="s">
        <v>1449</v>
      </c>
      <c r="D213" s="403"/>
      <c r="E213" s="87">
        <f t="shared" si="13"/>
        <v>0</v>
      </c>
      <c r="F213" s="87">
        <f>IFERROR($E213*(VLOOKUP(C213,fish_group_yield_n!$A$7:$J$49,7,FALSE)),0)</f>
        <v>0</v>
      </c>
      <c r="G213" s="87">
        <f>IFERROR($E213*(VLOOKUP(C213,fish_group_yield_n!$A$7:$J$49,10,FALSE)),0)</f>
        <v>0</v>
      </c>
      <c r="H213" s="823">
        <f t="shared" si="12"/>
        <v>0</v>
      </c>
      <c r="I213" s="428">
        <f>IF(ISERROR($E213*VLOOKUP($C213,fish_group_yield_w!$A$7:$I$45,9,FALSE)),0,$E213*VLOOKUP($C213,fish_group_yield_w!$A$7:$I$45,9,FALSE))</f>
        <v>0</v>
      </c>
      <c r="J213" s="429">
        <f>IF(ISERROR($E213*VLOOKUP($C213,fish_group_yield_w!$A$7:$I$45,9,FALSE)),0,$E213*VLOOKUP($C213,fish_group_yield_w!$A$7:$I$45,9,FALSE))</f>
        <v>0</v>
      </c>
      <c r="L213" s="814"/>
      <c r="M213" s="814"/>
    </row>
    <row r="214" spans="1:13" ht="12.75" customHeight="1">
      <c r="A214" t="s">
        <v>9148</v>
      </c>
      <c r="B214">
        <v>307.12</v>
      </c>
      <c r="C214" t="s">
        <v>9163</v>
      </c>
      <c r="D214" s="403" t="s">
        <v>4691</v>
      </c>
      <c r="E214" s="87">
        <v>1</v>
      </c>
      <c r="F214" s="87">
        <f>IFERROR($E214*(VLOOKUP(C214,fish_group_yield_n!$A$7:$J$49,7,FALSE)),0)</f>
        <v>0</v>
      </c>
      <c r="G214" s="87">
        <f>IFERROR($E214*(VLOOKUP(C214,fish_group_yield_n!$A$7:$J$49,10,FALSE)),0)</f>
        <v>0</v>
      </c>
      <c r="H214" s="823">
        <f t="shared" si="12"/>
        <v>89</v>
      </c>
      <c r="I214" s="428">
        <f>IF(ISERROR($E214*VLOOKUP($C214,fish_group_yield_w!$A$7:$I$45,9,FALSE)),0,$E214*VLOOKUP($C214,fish_group_yield_w!$A$7:$I$45,9,FALSE))</f>
        <v>0</v>
      </c>
      <c r="J214" s="429">
        <f>IF(ISERROR($E214*VLOOKUP($C214,fish_group_yield_w!$A$7:$I$45,9,FALSE)),0,$E214*VLOOKUP($C214,fish_group_yield_w!$A$7:$I$45,9,FALSE))</f>
        <v>0</v>
      </c>
      <c r="L214" s="814"/>
      <c r="M214" s="814"/>
    </row>
    <row r="215" spans="1:13" ht="12.75" customHeight="1">
      <c r="A215" s="403" t="s">
        <v>8465</v>
      </c>
      <c r="B215" s="403">
        <v>307.11</v>
      </c>
      <c r="C215" s="403" t="s">
        <v>2316</v>
      </c>
      <c r="D215" s="403" t="s">
        <v>4691</v>
      </c>
      <c r="E215" s="87">
        <f t="shared" ref="E215:E226" si="14">IFERROR(1/VLOOKUP(B215,constant_fish_extr,2,FALSE),0)</f>
        <v>0.26926529042184894</v>
      </c>
      <c r="F215" s="87">
        <f>IFERROR($E215*(VLOOKUP(C215,fish_group_yield_n!$A$7:$J$49,7,FALSE)),0)</f>
        <v>0.11069658666118411</v>
      </c>
      <c r="G215" s="87">
        <f>IFERROR($E215*(VLOOKUP(C215,fish_group_yield_n!$A$7:$J$49,10,FALSE)),0)</f>
        <v>6.8768816167169344E-2</v>
      </c>
      <c r="H215" s="823">
        <f t="shared" si="12"/>
        <v>5210.4747619047621</v>
      </c>
      <c r="I215" s="428">
        <f>IF(ISERROR($E215*VLOOKUP($C215,fish_group_yield_w!$A$7:$I$45,9,FALSE)),0,$E215*VLOOKUP($C215,fish_group_yield_w!$A$7:$I$45,9,FALSE))</f>
        <v>0.18940853958920842</v>
      </c>
      <c r="J215" s="429">
        <f>IF(ISERROR($E215*VLOOKUP($C215,fish_group_yield_w!$A$7:$I$45,9,FALSE)),0,$E215*VLOOKUP($C215,fish_group_yield_w!$A$7:$I$45,9,FALSE))</f>
        <v>0.18940853958920842</v>
      </c>
      <c r="L215" s="814"/>
      <c r="M215" s="814"/>
    </row>
    <row r="216" spans="1:13" ht="12.75" customHeight="1">
      <c r="A216" s="403" t="s">
        <v>6103</v>
      </c>
      <c r="B216" s="403">
        <v>307.10000000000002</v>
      </c>
      <c r="C216" s="403" t="s">
        <v>2316</v>
      </c>
      <c r="D216" s="403" t="s">
        <v>4691</v>
      </c>
      <c r="E216" s="87">
        <f t="shared" si="14"/>
        <v>0.26926529042184894</v>
      </c>
      <c r="F216" s="87">
        <f>IFERROR($E216*(VLOOKUP(C216,fish_group_yield_n!$A$7:$J$49,7,FALSE)),0)</f>
        <v>0.11069658666118411</v>
      </c>
      <c r="G216" s="87">
        <f>IFERROR($E216*(VLOOKUP(C216,fish_group_yield_n!$A$7:$J$49,10,FALSE)),0)</f>
        <v>6.8768816167169344E-2</v>
      </c>
      <c r="H216" s="823">
        <f t="shared" si="12"/>
        <v>0</v>
      </c>
      <c r="I216" s="428">
        <f>IF(ISERROR($E216*VLOOKUP($C216,fish_group_yield_w!$A$7:$I$45,9,FALSE)),0,$E216*VLOOKUP($C216,fish_group_yield_w!$A$7:$I$45,9,FALSE))</f>
        <v>0.18940853958920842</v>
      </c>
      <c r="J216" s="429">
        <f>IF(ISERROR($E216*VLOOKUP($C216,fish_group_yield_w!$A$7:$I$45,9,FALSE)),0,$E216*VLOOKUP($C216,fish_group_yield_w!$A$7:$I$45,9,FALSE))</f>
        <v>0.18940853958920842</v>
      </c>
      <c r="L216" s="814"/>
      <c r="M216" s="814"/>
    </row>
    <row r="217" spans="1:13" ht="12.75" customHeight="1">
      <c r="A217" s="403" t="s">
        <v>8466</v>
      </c>
      <c r="B217" s="403">
        <v>307.19</v>
      </c>
      <c r="C217" s="403" t="s">
        <v>2316</v>
      </c>
      <c r="D217" s="403" t="s">
        <v>4691</v>
      </c>
      <c r="E217" s="87">
        <f t="shared" si="14"/>
        <v>0.3127932436659368</v>
      </c>
      <c r="F217" s="87">
        <f>IFERROR($E217*(VLOOKUP(C217,fish_group_yield_n!$A$7:$J$49,7,FALSE)),0)</f>
        <v>0.12859119105270936</v>
      </c>
      <c r="G217" s="87">
        <f>IFERROR($E217*(VLOOKUP(C217,fish_group_yield_n!$A$7:$J$49,10,FALSE)),0)</f>
        <v>7.9885606638329637E-2</v>
      </c>
      <c r="H217" s="823">
        <f t="shared" si="12"/>
        <v>204.608</v>
      </c>
      <c r="I217" s="428">
        <f>IF(ISERROR($E217*VLOOKUP($C217,fish_group_yield_w!$A$7:$I$45,9,FALSE)),0,$E217*VLOOKUP($C217,fish_group_yield_w!$A$7:$I$45,9,FALSE))</f>
        <v>0.22002728752494696</v>
      </c>
      <c r="J217" s="429">
        <f>IF(ISERROR($E217*VLOOKUP($C217,fish_group_yield_w!$A$7:$I$45,9,FALSE)),0,$E217*VLOOKUP($C217,fish_group_yield_w!$A$7:$I$45,9,FALSE))</f>
        <v>0.22002728752494696</v>
      </c>
      <c r="L217" s="814"/>
      <c r="M217" s="814"/>
    </row>
    <row r="218" spans="1:13" ht="12.75" customHeight="1">
      <c r="A218" s="403" t="s">
        <v>8487</v>
      </c>
      <c r="B218" s="403">
        <v>1605.51</v>
      </c>
      <c r="C218" s="403" t="s">
        <v>2316</v>
      </c>
      <c r="D218" s="403" t="s">
        <v>4691</v>
      </c>
      <c r="E218" s="87">
        <f t="shared" si="14"/>
        <v>0.3127932436659368</v>
      </c>
      <c r="F218" s="87">
        <f>IFERROR($E218*(VLOOKUP(C218,fish_group_yield_n!$A$7:$J$49,7,FALSE)),0)</f>
        <v>0.12859119105270936</v>
      </c>
      <c r="G218" s="87">
        <f>IFERROR($E218*(VLOOKUP(C218,fish_group_yield_n!$A$7:$J$49,10,FALSE)),0)</f>
        <v>7.9885606638329637E-2</v>
      </c>
      <c r="H218" s="823">
        <f t="shared" si="12"/>
        <v>4184.8730000000005</v>
      </c>
      <c r="I218" s="428">
        <f>IF(ISERROR($E218*VLOOKUP($C218,fish_group_yield_w!$A$7:$I$45,9,FALSE)),0,$E218*VLOOKUP($C218,fish_group_yield_w!$A$7:$I$45,9,FALSE))</f>
        <v>0.22002728752494696</v>
      </c>
      <c r="J218" s="429">
        <f>IF(ISERROR($E218*VLOOKUP($C218,fish_group_yield_w!$A$7:$I$45,9,FALSE)),0,$E218*VLOOKUP($C218,fish_group_yield_w!$A$7:$I$45,9,FALSE))</f>
        <v>0.22002728752494696</v>
      </c>
      <c r="L218" s="814"/>
      <c r="M218" s="814"/>
    </row>
    <row r="219" spans="1:13" ht="12.75" customHeight="1">
      <c r="A219" s="403" t="s">
        <v>8468</v>
      </c>
      <c r="B219" s="403">
        <v>302.13</v>
      </c>
      <c r="C219" s="403" t="s">
        <v>3791</v>
      </c>
      <c r="D219" s="403" t="s">
        <v>4685</v>
      </c>
      <c r="E219" s="87">
        <f t="shared" si="14"/>
        <v>0.83333333333333337</v>
      </c>
      <c r="F219" s="87">
        <f>IFERROR($E219*(VLOOKUP(C219,fish_group_yield_n!$A$7:$J$49,7,FALSE)),0)</f>
        <v>6.0101863606354958E-2</v>
      </c>
      <c r="G219" s="87">
        <f>IFERROR($E219*(VLOOKUP(C219,fish_group_yield_n!$A$7:$J$49,10,FALSE)),0)</f>
        <v>8.4941332541763268E-2</v>
      </c>
      <c r="H219" s="823">
        <f t="shared" si="12"/>
        <v>2775.6</v>
      </c>
      <c r="I219" s="428">
        <f>IF(ISERROR($E219*VLOOKUP($C219,fish_group_yield_w!$A$7:$I$45,9,FALSE)),0,$E219*VLOOKUP($C219,fish_group_yield_w!$A$7:$I$45,9,FALSE))</f>
        <v>0.344732480812041</v>
      </c>
      <c r="J219" s="429">
        <f>IF(ISERROR($E219*VLOOKUP($C219,fish_group_yield_w!$A$7:$I$45,9,FALSE)),0,$E219*VLOOKUP($C219,fish_group_yield_w!$A$7:$I$45,9,FALSE))</f>
        <v>0.344732480812041</v>
      </c>
      <c r="L219" s="814"/>
      <c r="M219" s="814"/>
    </row>
    <row r="220" spans="1:13" ht="12.75" customHeight="1">
      <c r="A220" s="403" t="s">
        <v>8383</v>
      </c>
      <c r="B220" s="403">
        <v>304.41000000000003</v>
      </c>
      <c r="C220" s="403" t="s">
        <v>3791</v>
      </c>
      <c r="D220" s="403" t="s">
        <v>4685</v>
      </c>
      <c r="E220" s="87">
        <f t="shared" si="14"/>
        <v>0.50820469632624188</v>
      </c>
      <c r="F220" s="87">
        <f>IFERROR($E220*(VLOOKUP(C220,fish_group_yield_n!$A$7:$J$49,7,FALSE)),0)</f>
        <v>3.6652859211250596E-2</v>
      </c>
      <c r="G220" s="87">
        <f>IFERROR($E220*(VLOOKUP(C220,fish_group_yield_n!$A$7:$J$49,10,FALSE)),0)</f>
        <v>5.1801100931919752E-2</v>
      </c>
      <c r="H220" s="823">
        <f t="shared" si="12"/>
        <v>21558.24233660131</v>
      </c>
      <c r="I220" s="428">
        <f>IF(ISERROR($E220*VLOOKUP($C220,fish_group_yield_w!$A$7:$I$45,9,FALSE)),0,$E220*VLOOKUP($C220,fish_group_yield_w!$A$7:$I$45,9,FALSE))</f>
        <v>0.21023359886985035</v>
      </c>
      <c r="J220" s="429">
        <f>IF(ISERROR($E220*VLOOKUP($C220,fish_group_yield_w!$A$7:$I$45,9,FALSE)),0,$E220*VLOOKUP($C220,fish_group_yield_w!$A$7:$I$45,9,FALSE))</f>
        <v>0.21023359886985035</v>
      </c>
      <c r="L220" s="814"/>
      <c r="M220" s="814"/>
    </row>
    <row r="221" spans="1:13" ht="12.75" customHeight="1">
      <c r="A221" s="403" t="s">
        <v>8404</v>
      </c>
      <c r="B221" s="403">
        <v>304.81</v>
      </c>
      <c r="C221" s="403" t="s">
        <v>3791</v>
      </c>
      <c r="D221" s="403" t="s">
        <v>4685</v>
      </c>
      <c r="E221" s="87">
        <f t="shared" si="14"/>
        <v>0.50820469632624188</v>
      </c>
      <c r="F221" s="87">
        <f>IFERROR($E221*(VLOOKUP(C221,fish_group_yield_n!$A$7:$J$49,7,FALSE)),0)</f>
        <v>3.6652859211250596E-2</v>
      </c>
      <c r="G221" s="87">
        <f>IFERROR($E221*(VLOOKUP(C221,fish_group_yield_n!$A$7:$J$49,10,FALSE)),0)</f>
        <v>5.1801100931919752E-2</v>
      </c>
      <c r="H221" s="823">
        <f t="shared" si="12"/>
        <v>21076.153127723315</v>
      </c>
      <c r="I221" s="428">
        <f>IF(ISERROR($E221*VLOOKUP($C221,fish_group_yield_w!$A$7:$I$45,9,FALSE)),0,$E221*VLOOKUP($C221,fish_group_yield_w!$A$7:$I$45,9,FALSE))</f>
        <v>0.21023359886985035</v>
      </c>
      <c r="J221" s="429">
        <f>IF(ISERROR($E221*VLOOKUP($C221,fish_group_yield_w!$A$7:$I$45,9,FALSE)),0,$E221*VLOOKUP($C221,fish_group_yield_w!$A$7:$I$45,9,FALSE))</f>
        <v>0.21023359886985035</v>
      </c>
      <c r="L221" s="814"/>
      <c r="M221" s="814"/>
    </row>
    <row r="222" spans="1:13" ht="12.75" customHeight="1">
      <c r="A222" s="403" t="s">
        <v>6104</v>
      </c>
      <c r="B222" s="403">
        <v>302.22000000000003</v>
      </c>
      <c r="C222" s="403" t="s">
        <v>2317</v>
      </c>
      <c r="D222" s="403" t="s">
        <v>4681</v>
      </c>
      <c r="E222" s="87">
        <f t="shared" si="14"/>
        <v>0.74329705335810992</v>
      </c>
      <c r="F222" s="87">
        <f>IFERROR($E222*(VLOOKUP(C222,fish_group_yield_n!$A$7:$J$49,7,FALSE)),0)</f>
        <v>0.13608590094406883</v>
      </c>
      <c r="G222" s="87">
        <f>IFERROR($E222*(VLOOKUP(C222,fish_group_yield_n!$A$7:$J$49,10,FALSE)),0)</f>
        <v>0.13608590094406883</v>
      </c>
      <c r="H222" s="823">
        <f t="shared" si="12"/>
        <v>18.835000000000001</v>
      </c>
      <c r="I222" s="428">
        <f>IF(ISERROR($E222*VLOOKUP($C222,fish_group_yield_w!$A$7:$I$45,9,FALSE)),0,$E222*VLOOKUP($C222,fish_group_yield_w!$A$7:$I$45,9,FALSE))</f>
        <v>8.6757936214013051E-2</v>
      </c>
      <c r="J222" s="429">
        <f>IF(ISERROR($E222*VLOOKUP($C222,fish_group_yield_w!$A$7:$I$45,9,FALSE)),0,$E222*VLOOKUP($C222,fish_group_yield_w!$A$7:$I$45,9,FALSE))</f>
        <v>8.6757936214013051E-2</v>
      </c>
      <c r="L222" s="814"/>
      <c r="M222" s="814"/>
    </row>
    <row r="223" spans="1:13" ht="12.75" customHeight="1">
      <c r="A223" s="403" t="s">
        <v>6105</v>
      </c>
      <c r="B223" s="403">
        <v>303.32</v>
      </c>
      <c r="C223" s="403" t="s">
        <v>2317</v>
      </c>
      <c r="D223" s="403" t="s">
        <v>4681</v>
      </c>
      <c r="E223" s="87">
        <f t="shared" si="14"/>
        <v>0.69337442218798151</v>
      </c>
      <c r="F223" s="87">
        <f>IFERROR($E223*(VLOOKUP(C223,fish_group_yield_n!$A$7:$J$49,7,FALSE)),0)</f>
        <v>0.12694585900579919</v>
      </c>
      <c r="G223" s="87">
        <f>IFERROR($E223*(VLOOKUP(C223,fish_group_yield_n!$A$7:$J$49,10,FALSE)),0)</f>
        <v>0.12694585900579919</v>
      </c>
      <c r="H223" s="823">
        <f t="shared" si="12"/>
        <v>0</v>
      </c>
      <c r="I223" s="428">
        <f>IF(ISERROR($E223*VLOOKUP($C223,fish_group_yield_w!$A$7:$I$45,9,FALSE)),0,$E223*VLOOKUP($C223,fish_group_yield_w!$A$7:$I$45,9,FALSE))</f>
        <v>8.0930946276240492E-2</v>
      </c>
      <c r="J223" s="429">
        <f>IF(ISERROR($E223*VLOOKUP($C223,fish_group_yield_w!$A$7:$I$45,9,FALSE)),0,$E223*VLOOKUP($C223,fish_group_yield_w!$A$7:$I$45,9,FALSE))</f>
        <v>8.0930946276240492E-2</v>
      </c>
      <c r="L223" s="814"/>
      <c r="M223" s="814"/>
    </row>
    <row r="224" spans="1:13" ht="12.75" customHeight="1">
      <c r="A224" s="403" t="s">
        <v>1818</v>
      </c>
      <c r="B224" s="403">
        <v>2309.9</v>
      </c>
      <c r="C224" s="403" t="s">
        <v>1735</v>
      </c>
      <c r="D224" s="403"/>
      <c r="E224" s="87">
        <f t="shared" si="14"/>
        <v>0.267538644470868</v>
      </c>
      <c r="F224" s="87">
        <f>IFERROR($E224*(VLOOKUP(C224,fish_group_yield_n!$A$7:$J$49,7,FALSE)),0)</f>
        <v>1.6024702614654978E-2</v>
      </c>
      <c r="G224" s="87">
        <f>IFERROR($E224*(VLOOKUP(C224,fish_group_yield_n!$A$7:$J$49,10,FALSE)),0)</f>
        <v>1.6024702614654978E-2</v>
      </c>
      <c r="H224" s="823">
        <f t="shared" si="12"/>
        <v>0</v>
      </c>
      <c r="I224" s="428">
        <f>IF(ISERROR($E224*VLOOKUP($C224,fish_group_yield_w!$A$7:$I$45,9,FALSE)),0,$E224*VLOOKUP($C224,fish_group_yield_w!$A$7:$I$45,9,FALSE))</f>
        <v>0</v>
      </c>
      <c r="J224" s="429">
        <f>IF(ISERROR($E224*VLOOKUP($C224,fish_group_yield_w!$A$7:$I$45,9,FALSE)),0,$E224*VLOOKUP($C224,fish_group_yield_w!$A$7:$I$45,9,FALSE))</f>
        <v>0</v>
      </c>
      <c r="L224" s="814"/>
      <c r="M224" s="814"/>
    </row>
    <row r="225" spans="1:13" ht="12.75" customHeight="1">
      <c r="A225" s="403" t="s">
        <v>1251</v>
      </c>
      <c r="B225" s="403">
        <v>1604.2</v>
      </c>
      <c r="C225" s="403" t="s">
        <v>1735</v>
      </c>
      <c r="D225" s="403"/>
      <c r="E225" s="87">
        <f t="shared" si="14"/>
        <v>0.66666666666666663</v>
      </c>
      <c r="F225" s="87">
        <f>IFERROR($E225*(VLOOKUP(C225,fish_group_yield_n!$A$7:$J$49,7,FALSE)),0)</f>
        <v>3.9931184885703214E-2</v>
      </c>
      <c r="G225" s="87">
        <f>IFERROR($E225*(VLOOKUP(C225,fish_group_yield_n!$A$7:$J$49,10,FALSE)),0)</f>
        <v>3.9931184885703221E-2</v>
      </c>
      <c r="H225" s="823">
        <f t="shared" si="12"/>
        <v>20160</v>
      </c>
      <c r="I225" s="428">
        <f>IF(ISERROR($E225*VLOOKUP($C225,fish_group_yield_w!$A$7:$I$45,9,FALSE)),0,$E225*VLOOKUP($C225,fish_group_yield_w!$A$7:$I$45,9,FALSE))</f>
        <v>0</v>
      </c>
      <c r="J225" s="429">
        <f>IF(ISERROR($E225*VLOOKUP($C225,fish_group_yield_w!$A$7:$I$45,9,FALSE)),0,$E225*VLOOKUP($C225,fish_group_yield_w!$A$7:$I$45,9,FALSE))</f>
        <v>0</v>
      </c>
      <c r="L225" s="814"/>
      <c r="M225" s="814"/>
    </row>
    <row r="226" spans="1:13" ht="12.75" customHeight="1">
      <c r="A226" s="403" t="s">
        <v>6142</v>
      </c>
      <c r="B226" s="403">
        <v>511.99</v>
      </c>
      <c r="C226" s="403" t="s">
        <v>2310</v>
      </c>
      <c r="D226" s="403"/>
      <c r="E226" s="87">
        <f t="shared" si="14"/>
        <v>0</v>
      </c>
      <c r="F226" s="87">
        <f>IFERROR($E226*(VLOOKUP(C226,fish_group_yield_n!$A$7:$J$49,7,FALSE)),0)</f>
        <v>0</v>
      </c>
      <c r="G226" s="87">
        <f>IFERROR($E226*(VLOOKUP(C226,fish_group_yield_n!$A$7:$J$49,10,FALSE)),0)</f>
        <v>0</v>
      </c>
      <c r="H226" s="823">
        <f t="shared" si="12"/>
        <v>0</v>
      </c>
      <c r="I226" s="428">
        <f>IF(ISERROR($E226*VLOOKUP($C226,fish_group_yield_w!$A$7:$I$45,9,FALSE)),0,$E226*VLOOKUP($C226,fish_group_yield_w!$A$7:$I$45,9,FALSE))</f>
        <v>0</v>
      </c>
      <c r="J226" s="429">
        <f>IF(ISERROR($E226*VLOOKUP($C226,fish_group_yield_w!$A$7:$I$45,9,FALSE)),0,$E226*VLOOKUP($C226,fish_group_yield_w!$A$7:$I$45,9,FALSE))</f>
        <v>0</v>
      </c>
      <c r="L226" s="814"/>
      <c r="M226" s="814"/>
    </row>
    <row r="227" spans="1:13" ht="12.75" customHeight="1">
      <c r="A227" t="s">
        <v>9129</v>
      </c>
      <c r="B227">
        <v>304.48</v>
      </c>
      <c r="C227" s="403" t="s">
        <v>1738</v>
      </c>
      <c r="D227" s="403" t="s">
        <v>4681</v>
      </c>
      <c r="E227" s="87">
        <v>1.55</v>
      </c>
      <c r="F227" s="87">
        <f>IFERROR($E227*(VLOOKUP(C227,fish_group_yield_n!$A$7:$J$49,7,FALSE)),0)</f>
        <v>0.13968369501437386</v>
      </c>
      <c r="G227" s="87">
        <f>IFERROR($E227*(VLOOKUP(C227,fish_group_yield_n!$A$7:$J$49,10,FALSE)),0)</f>
        <v>9.6064553017304571E-2</v>
      </c>
      <c r="H227" s="823">
        <f t="shared" si="12"/>
        <v>0</v>
      </c>
      <c r="I227" s="428">
        <f>IF(ISERROR($E227*VLOOKUP($C227,fish_group_yield_w!$A$7:$I$45,9,FALSE)),0,$E227*VLOOKUP($C227,fish_group_yield_w!$A$7:$I$45,9,FALSE))</f>
        <v>0.4280398477651558</v>
      </c>
      <c r="J227" s="429">
        <f>IF(ISERROR($E227*VLOOKUP($C227,fish_group_yield_w!$A$7:$I$45,9,FALSE)),0,$E227*VLOOKUP($C227,fish_group_yield_w!$A$7:$I$45,9,FALSE))</f>
        <v>0.4280398477651558</v>
      </c>
      <c r="L227" s="814"/>
      <c r="M227" s="814"/>
    </row>
    <row r="228" spans="1:13" ht="12.75" customHeight="1">
      <c r="A228" t="s">
        <v>9134</v>
      </c>
      <c r="B228">
        <v>304.97000000000003</v>
      </c>
      <c r="C228" t="s">
        <v>1738</v>
      </c>
      <c r="D228" t="s">
        <v>4681</v>
      </c>
      <c r="E228" s="87">
        <v>1.81</v>
      </c>
      <c r="F228" s="87">
        <f>IFERROR($E228*(VLOOKUP(C228,fish_group_yield_n!$A$7:$J$49,7,FALSE)),0)</f>
        <v>0.16311450837162367</v>
      </c>
      <c r="G228" s="87">
        <f>IFERROR($E228*(VLOOKUP(C228,fish_group_yield_n!$A$7:$J$49,10,FALSE)),0)</f>
        <v>0.11217860707182019</v>
      </c>
      <c r="H228" s="823">
        <f t="shared" si="12"/>
        <v>7.7348066298342539</v>
      </c>
      <c r="I228" s="428">
        <f>IF(ISERROR($E228*VLOOKUP($C228,fish_group_yield_w!$A$7:$I$45,9,FALSE)),0,$E228*VLOOKUP($C228,fish_group_yield_w!$A$7:$I$45,9,FALSE))</f>
        <v>0.49984008029350452</v>
      </c>
      <c r="J228" s="429">
        <f>IF(ISERROR($E228*VLOOKUP($C228,fish_group_yield_w!$A$7:$I$45,9,FALSE)),0,$E228*VLOOKUP($C228,fish_group_yield_w!$A$7:$I$45,9,FALSE))</f>
        <v>0.49984008029350452</v>
      </c>
      <c r="L228" s="814"/>
      <c r="M228" s="814"/>
    </row>
    <row r="229" spans="1:13" ht="12.75" customHeight="1">
      <c r="A229" t="s">
        <v>9131</v>
      </c>
      <c r="B229">
        <v>304.57</v>
      </c>
      <c r="C229" t="s">
        <v>1738</v>
      </c>
      <c r="D229" t="s">
        <v>4681</v>
      </c>
      <c r="E229" s="87">
        <v>1.5</v>
      </c>
      <c r="F229" s="87">
        <f>IFERROR($E229*(VLOOKUP(C229,fish_group_yield_n!$A$7:$J$49,7,FALSE)),0)</f>
        <v>0.1351777693687489</v>
      </c>
      <c r="G229" s="87">
        <f>IFERROR($E229*(VLOOKUP(C229,fish_group_yield_n!$A$7:$J$49,10,FALSE)),0)</f>
        <v>9.2965696468359268E-2</v>
      </c>
      <c r="H229" s="823">
        <f t="shared" si="12"/>
        <v>0</v>
      </c>
      <c r="I229" s="428">
        <f>IF(ISERROR($E229*VLOOKUP($C229,fish_group_yield_w!$A$7:$I$45,9,FALSE)),0,$E229*VLOOKUP($C229,fish_group_yield_w!$A$7:$I$45,9,FALSE))</f>
        <v>0.41423211074047339</v>
      </c>
      <c r="J229" s="429">
        <f>IF(ISERROR($E229*VLOOKUP($C229,fish_group_yield_w!$A$7:$I$45,9,FALSE)),0,$E229*VLOOKUP($C229,fish_group_yield_w!$A$7:$I$45,9,FALSE))</f>
        <v>0.41423211074047339</v>
      </c>
      <c r="L229" s="814"/>
      <c r="M229" s="814"/>
    </row>
    <row r="230" spans="1:13" ht="12.75" customHeight="1">
      <c r="A230" s="403" t="s">
        <v>8437</v>
      </c>
      <c r="B230" s="403">
        <v>302.82</v>
      </c>
      <c r="C230" s="403" t="s">
        <v>1738</v>
      </c>
      <c r="D230" s="403" t="s">
        <v>4681</v>
      </c>
      <c r="E230" s="87">
        <f>IFERROR(1/VLOOKUP(B230,constant_fish_extr,2,FALSE),0)</f>
        <v>0.64516129032258063</v>
      </c>
      <c r="F230" s="87">
        <f>IFERROR($E230*(VLOOKUP(C230,fish_group_yield_n!$A$7:$J$49,7,FALSE)),0)</f>
        <v>5.8140976072580175E-2</v>
      </c>
      <c r="G230" s="87">
        <f>IFERROR($E230*(VLOOKUP(C230,fish_group_yield_n!$A$7:$J$49,10,FALSE)),0)</f>
        <v>3.9985245792842697E-2</v>
      </c>
      <c r="H230" s="823">
        <f t="shared" si="12"/>
        <v>364.25</v>
      </c>
      <c r="I230" s="428">
        <f>IF(ISERROR($E230*VLOOKUP($C230,fish_group_yield_w!$A$7:$I$45,9,FALSE)),0,$E230*VLOOKUP($C230,fish_group_yield_w!$A$7:$I$45,9,FALSE))</f>
        <v>0.17816434870557993</v>
      </c>
      <c r="J230" s="429">
        <f>IF(ISERROR($E230*VLOOKUP($C230,fish_group_yield_w!$A$7:$I$45,9,FALSE)),0,$E230*VLOOKUP($C230,fish_group_yield_w!$A$7:$I$45,9,FALSE))</f>
        <v>0.17816434870557993</v>
      </c>
      <c r="L230" s="814"/>
      <c r="M230" s="814"/>
    </row>
    <row r="231" spans="1:13" ht="12.75" customHeight="1">
      <c r="A231" s="403" t="s">
        <v>8471</v>
      </c>
      <c r="B231" s="403">
        <v>303.82</v>
      </c>
      <c r="C231" s="403" t="s">
        <v>1738</v>
      </c>
      <c r="D231" s="403" t="s">
        <v>4681</v>
      </c>
      <c r="E231" s="87">
        <f>IFERROR(1/VLOOKUP(B231,constant_fish_extr,2,FALSE),0)</f>
        <v>0.5524861878453039</v>
      </c>
      <c r="F231" s="87">
        <f>IFERROR($E231*(VLOOKUP(C231,fish_group_yield_n!$A$7:$J$49,7,FALSE)),0)</f>
        <v>4.9789233653314516E-2</v>
      </c>
      <c r="G231" s="87">
        <f>IFERROR($E231*(VLOOKUP(C231,fish_group_yield_n!$A$7:$J$49,10,FALSE)),0)</f>
        <v>3.4241508828124961E-2</v>
      </c>
      <c r="H231" s="823">
        <f t="shared" si="12"/>
        <v>5.43</v>
      </c>
      <c r="I231" s="428">
        <f>IF(ISERROR($E231*VLOOKUP($C231,fish_group_yield_w!$A$7:$I$45,9,FALSE)),0,$E231*VLOOKUP($C231,fish_group_yield_w!$A$7:$I$45,9,FALSE))</f>
        <v>0.15257167983074527</v>
      </c>
      <c r="J231" s="429">
        <f>IF(ISERROR($E231*VLOOKUP($C231,fish_group_yield_w!$A$7:$I$45,9,FALSE)),0,$E231*VLOOKUP($C231,fish_group_yield_w!$A$7:$I$45,9,FALSE))</f>
        <v>0.15257167983074527</v>
      </c>
      <c r="L231" s="814"/>
      <c r="M231" s="814"/>
    </row>
    <row r="232" spans="1:13" ht="12.75" customHeight="1">
      <c r="A232" t="s">
        <v>9138</v>
      </c>
      <c r="B232">
        <v>306.31</v>
      </c>
      <c r="C232" t="s">
        <v>2312</v>
      </c>
      <c r="D232" t="s">
        <v>4680</v>
      </c>
      <c r="E232" s="87">
        <v>2.15</v>
      </c>
      <c r="F232" s="87">
        <f>IFERROR($E232*(VLOOKUP(C232,fish_group_yield_n!$A$7:$J$49,7,FALSE)),0)</f>
        <v>0.63090324126988062</v>
      </c>
      <c r="G232" s="87">
        <f>IFERROR($E232*(VLOOKUP(C232,fish_group_yield_n!$A$7:$J$49,10,FALSE)),0)</f>
        <v>0.63090324126988062</v>
      </c>
      <c r="H232" s="823">
        <f t="shared" si="12"/>
        <v>17.209302325581397</v>
      </c>
      <c r="I232" s="428">
        <f>IF(ISERROR($E232*VLOOKUP($C232,fish_group_yield_w!$A$7:$I$45,9,FALSE)),0,$E232*VLOOKUP($C232,fish_group_yield_w!$A$7:$I$45,9,FALSE))</f>
        <v>3.1494680892038406E-2</v>
      </c>
      <c r="J232" s="429">
        <f>IF(ISERROR($E232*VLOOKUP($C232,fish_group_yield_w!$A$7:$I$45,9,FALSE)),0,$E232*VLOOKUP($C232,fish_group_yield_w!$A$7:$I$45,9,FALSE))</f>
        <v>3.1494680892038406E-2</v>
      </c>
      <c r="L232" s="814"/>
      <c r="M232" s="814"/>
    </row>
    <row r="233" spans="1:13" ht="12.75" customHeight="1">
      <c r="A233" s="403" t="s">
        <v>6106</v>
      </c>
      <c r="B233" s="403">
        <v>306.11</v>
      </c>
      <c r="C233" s="403" t="s">
        <v>2312</v>
      </c>
      <c r="D233" s="403" t="s">
        <v>4680</v>
      </c>
      <c r="E233" s="87">
        <f t="shared" ref="E233:E244" si="15">IFERROR(1/VLOOKUP(B233,constant_fish_extr,2,FALSE),0)</f>
        <v>0.46433094132545383</v>
      </c>
      <c r="F233" s="87">
        <f>IFERROR($E233*(VLOOKUP(C233,fish_group_yield_n!$A$7:$J$49,7,FALSE)),0)</f>
        <v>0.13625483530424354</v>
      </c>
      <c r="G233" s="87">
        <f>IFERROR($E233*(VLOOKUP(C233,fish_group_yield_n!$A$7:$J$49,10,FALSE)),0)</f>
        <v>0.13625483530424354</v>
      </c>
      <c r="H233" s="823">
        <f t="shared" si="12"/>
        <v>611.63272727272715</v>
      </c>
      <c r="I233" s="428">
        <f>IF(ISERROR($E233*VLOOKUP($C233,fish_group_yield_w!$A$7:$I$45,9,FALSE)),0,$E233*VLOOKUP($C233,fish_group_yield_w!$A$7:$I$45,9,FALSE))</f>
        <v>6.8018394536488265E-3</v>
      </c>
      <c r="J233" s="429">
        <f>IF(ISERROR($E233*VLOOKUP($C233,fish_group_yield_w!$A$7:$I$45,9,FALSE)),0,$E233*VLOOKUP($C233,fish_group_yield_w!$A$7:$I$45,9,FALSE))</f>
        <v>6.8018394536488265E-3</v>
      </c>
      <c r="L233" s="814"/>
      <c r="M233" s="814"/>
    </row>
    <row r="234" spans="1:13" ht="12.75" customHeight="1">
      <c r="A234" s="403" t="s">
        <v>6139</v>
      </c>
      <c r="B234" s="403">
        <v>306.20999999999998</v>
      </c>
      <c r="C234" s="403" t="s">
        <v>2312</v>
      </c>
      <c r="D234" s="403" t="s">
        <v>4680</v>
      </c>
      <c r="E234" s="87">
        <f t="shared" si="15"/>
        <v>0.46433094132545383</v>
      </c>
      <c r="F234" s="87">
        <f>IFERROR($E234*(VLOOKUP(C234,fish_group_yield_n!$A$7:$J$49,7,FALSE)),0)</f>
        <v>0.13625483530424354</v>
      </c>
      <c r="G234" s="87">
        <f>IFERROR($E234*(VLOOKUP(C234,fish_group_yield_n!$A$7:$J$49,10,FALSE)),0)</f>
        <v>0.13625483530424354</v>
      </c>
      <c r="H234" s="823">
        <f t="shared" si="12"/>
        <v>0</v>
      </c>
      <c r="I234" s="428">
        <f>IF(ISERROR($E234*VLOOKUP($C234,fish_group_yield_w!$A$7:$I$45,9,FALSE)),0,$E234*VLOOKUP($C234,fish_group_yield_w!$A$7:$I$45,9,FALSE))</f>
        <v>6.8018394536488265E-3</v>
      </c>
      <c r="J234" s="429">
        <f>IF(ISERROR($E234*VLOOKUP($C234,fish_group_yield_w!$A$7:$I$45,9,FALSE)),0,$E234*VLOOKUP($C234,fish_group_yield_w!$A$7:$I$45,9,FALSE))</f>
        <v>6.8018394536488265E-3</v>
      </c>
      <c r="L234" s="814"/>
      <c r="M234" s="814"/>
    </row>
    <row r="235" spans="1:13" ht="12.75" customHeight="1">
      <c r="A235" s="403" t="s">
        <v>3932</v>
      </c>
      <c r="B235" s="403">
        <v>302.12</v>
      </c>
      <c r="C235" s="403" t="s">
        <v>3791</v>
      </c>
      <c r="D235" s="403" t="s">
        <v>4685</v>
      </c>
      <c r="E235" s="87">
        <f t="shared" si="15"/>
        <v>0.5852456491606346</v>
      </c>
      <c r="F235" s="87">
        <f>IFERROR($E235*(VLOOKUP(C235,fish_group_yield_n!$A$7:$J$49,7,FALSE)),0)</f>
        <v>4.2209225018478153E-2</v>
      </c>
      <c r="G235" s="87">
        <f>IFERROR($E235*(VLOOKUP(C235,fish_group_yield_n!$A$7:$J$49,10,FALSE)),0)</f>
        <v>5.9653854364768298E-2</v>
      </c>
      <c r="H235" s="823">
        <f t="shared" si="12"/>
        <v>0</v>
      </c>
      <c r="I235" s="428">
        <f>IF(ISERROR($E235*VLOOKUP($C235,fish_group_yield_w!$A$7:$I$45,9,FALSE)),0,$E235*VLOOKUP($C235,fish_group_yield_w!$A$7:$I$45,9,FALSE))</f>
        <v>0.24210382142351872</v>
      </c>
      <c r="J235" s="429">
        <f>IF(ISERROR($E235*VLOOKUP($C235,fish_group_yield_w!$A$7:$I$45,9,FALSE)),0,$E235*VLOOKUP($C235,fish_group_yield_w!$A$7:$I$45,9,FALSE))</f>
        <v>0.24210382142351872</v>
      </c>
      <c r="L235" s="814"/>
      <c r="M235" s="814"/>
    </row>
    <row r="236" spans="1:13" ht="12.75" customHeight="1">
      <c r="A236" s="403" t="s">
        <v>6107</v>
      </c>
      <c r="B236" s="403">
        <v>1604.11</v>
      </c>
      <c r="C236" s="403" t="s">
        <v>3791</v>
      </c>
      <c r="D236" s="403" t="s">
        <v>4685</v>
      </c>
      <c r="E236" s="87">
        <f t="shared" si="15"/>
        <v>0.90006207324643073</v>
      </c>
      <c r="F236" s="87">
        <f>IFERROR($E236*(VLOOKUP(C236,fish_group_yield_n!$A$7:$J$49,7,FALSE)),0)</f>
        <v>6.4914489556212054E-2</v>
      </c>
      <c r="G236" s="87">
        <f>IFERROR($E236*(VLOOKUP(C236,fish_group_yield_n!$A$7:$J$49,10,FALSE)),0)</f>
        <v>9.1742966246224758E-2</v>
      </c>
      <c r="H236" s="823">
        <f t="shared" si="12"/>
        <v>10510.386206896552</v>
      </c>
      <c r="I236" s="428">
        <f>IF(ISERROR($E236*VLOOKUP($C236,fish_group_yield_w!$A$7:$I$45,9,FALSE)),0,$E236*VLOOKUP($C236,fish_group_yield_w!$A$7:$I$45,9,FALSE))</f>
        <v>0.37233675767408519</v>
      </c>
      <c r="J236" s="429">
        <f>IF(ISERROR($E236*VLOOKUP($C236,fish_group_yield_w!$A$7:$I$45,9,FALSE)),0,$E236*VLOOKUP($C236,fish_group_yield_w!$A$7:$I$45,9,FALSE))</f>
        <v>0.37233675767408519</v>
      </c>
      <c r="L236" s="814"/>
      <c r="M236" s="814"/>
    </row>
    <row r="237" spans="1:13" ht="12.75" customHeight="1">
      <c r="A237" s="403" t="s">
        <v>8472</v>
      </c>
      <c r="B237" s="403">
        <v>304.52</v>
      </c>
      <c r="C237" s="403" t="s">
        <v>3791</v>
      </c>
      <c r="D237" s="403" t="s">
        <v>4685</v>
      </c>
      <c r="E237" s="87">
        <f t="shared" si="15"/>
        <v>0.43478260869565222</v>
      </c>
      <c r="F237" s="87">
        <f>IFERROR($E237*(VLOOKUP(C237,fish_group_yield_n!$A$7:$J$49,7,FALSE)),0)</f>
        <v>3.1357494055489543E-2</v>
      </c>
      <c r="G237" s="87">
        <f>IFERROR($E237*(VLOOKUP(C237,fish_group_yield_n!$A$7:$J$49,10,FALSE)),0)</f>
        <v>4.4317216978311272E-2</v>
      </c>
      <c r="H237" s="823">
        <f t="shared" si="12"/>
        <v>45.999999999999993</v>
      </c>
      <c r="I237" s="428">
        <f>IF(ISERROR($E237*VLOOKUP($C237,fish_group_yield_w!$A$7:$I$45,9,FALSE)),0,$E237*VLOOKUP($C237,fish_group_yield_w!$A$7:$I$45,9,FALSE))</f>
        <v>0.17986042477149966</v>
      </c>
      <c r="J237" s="429">
        <f>IF(ISERROR($E237*VLOOKUP($C237,fish_group_yield_w!$A$7:$I$45,9,FALSE)),0,$E237*VLOOKUP($C237,fish_group_yield_w!$A$7:$I$45,9,FALSE))</f>
        <v>0.17986042477149966</v>
      </c>
      <c r="L237" s="814"/>
      <c r="M237" s="814"/>
    </row>
    <row r="238" spans="1:13" ht="12.75" customHeight="1">
      <c r="A238" s="403" t="s">
        <v>6108</v>
      </c>
      <c r="B238" s="403">
        <v>305.41000000000003</v>
      </c>
      <c r="C238" s="403" t="s">
        <v>3791</v>
      </c>
      <c r="D238" s="403" t="s">
        <v>4685</v>
      </c>
      <c r="E238" s="87">
        <f t="shared" si="15"/>
        <v>0.44798407167745147</v>
      </c>
      <c r="F238" s="87">
        <f>IFERROR($E238*(VLOOKUP(C238,fish_group_yield_n!$A$7:$J$49,7,FALSE)),0)</f>
        <v>3.2309613088533279E-2</v>
      </c>
      <c r="G238" s="87">
        <f>IFERROR($E238*(VLOOKUP(C238,fish_group_yield_n!$A$7:$J$49,10,FALSE)),0)</f>
        <v>4.5662836806921021E-2</v>
      </c>
      <c r="H238" s="823">
        <f t="shared" si="12"/>
        <v>1841.5833333333333</v>
      </c>
      <c r="I238" s="428">
        <f>IF(ISERROR($E238*VLOOKUP($C238,fish_group_yield_w!$A$7:$I$45,9,FALSE)),0,$E238*VLOOKUP($C238,fish_group_yield_w!$A$7:$I$45,9,FALSE))</f>
        <v>0.18532159247237642</v>
      </c>
      <c r="J238" s="429">
        <f>IF(ISERROR($E238*VLOOKUP($C238,fish_group_yield_w!$A$7:$I$45,9,FALSE)),0,$E238*VLOOKUP($C238,fish_group_yield_w!$A$7:$I$45,9,FALSE))</f>
        <v>0.18532159247237642</v>
      </c>
      <c r="L238" s="814"/>
      <c r="M238" s="814"/>
    </row>
    <row r="239" spans="1:13" ht="12.75" customHeight="1">
      <c r="A239" s="403" t="s">
        <v>6109</v>
      </c>
      <c r="B239" s="403">
        <v>1604.13</v>
      </c>
      <c r="C239" s="403" t="s">
        <v>2321</v>
      </c>
      <c r="D239" s="403" t="s">
        <v>4699</v>
      </c>
      <c r="E239" s="87">
        <f t="shared" si="15"/>
        <v>0.64239828693790146</v>
      </c>
      <c r="F239" s="87">
        <f>IFERROR($E239*(VLOOKUP(C239,fish_group_yield_n!$A$7:$J$49,7,FALSE)),0)</f>
        <v>0.2271136174297394</v>
      </c>
      <c r="G239" s="87">
        <f>IFERROR($E239*(VLOOKUP(C239,fish_group_yield_n!$A$7:$J$49,10,FALSE)),0)</f>
        <v>0.2271136174297394</v>
      </c>
      <c r="H239" s="823">
        <f t="shared" si="12"/>
        <v>5161.9066666666668</v>
      </c>
      <c r="I239" s="428">
        <f>IF(ISERROR($E239*VLOOKUP($C239,fish_group_yield_w!$A$7:$I$45,9,FALSE)),0,$E239*VLOOKUP($C239,fish_group_yield_w!$A$7:$I$45,9,FALSE))</f>
        <v>0</v>
      </c>
      <c r="J239" s="429">
        <f>IF(ISERROR($E239*VLOOKUP($C239,fish_group_yield_w!$A$7:$I$45,9,FALSE)),0,$E239*VLOOKUP($C239,fish_group_yield_w!$A$7:$I$45,9,FALSE))</f>
        <v>0</v>
      </c>
      <c r="L239" s="814"/>
      <c r="M239" s="814"/>
    </row>
    <row r="240" spans="1:13" ht="12.75" customHeight="1">
      <c r="A240" s="403" t="s">
        <v>8473</v>
      </c>
      <c r="B240" s="403">
        <v>303.52999999999997</v>
      </c>
      <c r="C240" s="403" t="s">
        <v>2321</v>
      </c>
      <c r="D240" s="403" t="s">
        <v>4699</v>
      </c>
      <c r="E240" s="87">
        <f t="shared" si="15"/>
        <v>0.8112094395280236</v>
      </c>
      <c r="F240" s="87">
        <f>IFERROR($E240*(VLOOKUP(C240,fish_group_yield_n!$A$7:$J$49,7,FALSE)),0)</f>
        <v>0.28679514570712178</v>
      </c>
      <c r="G240" s="87">
        <f>IFERROR($E240*(VLOOKUP(C240,fish_group_yield_n!$A$7:$J$49,10,FALSE)),0)</f>
        <v>0.28679514570712178</v>
      </c>
      <c r="H240" s="823">
        <f t="shared" si="12"/>
        <v>1021.930909090909</v>
      </c>
      <c r="I240" s="428">
        <f>IF(ISERROR($E240*VLOOKUP($C240,fish_group_yield_w!$A$7:$I$45,9,FALSE)),0,$E240*VLOOKUP($C240,fish_group_yield_w!$A$7:$I$45,9,FALSE))</f>
        <v>0</v>
      </c>
      <c r="J240" s="429">
        <f>IF(ISERROR($E240*VLOOKUP($C240,fish_group_yield_w!$A$7:$I$45,9,FALSE)),0,$E240*VLOOKUP($C240,fish_group_yield_w!$A$7:$I$45,9,FALSE))</f>
        <v>0</v>
      </c>
      <c r="L240" s="814"/>
      <c r="M240" s="814"/>
    </row>
    <row r="241" spans="1:13" ht="12.75" customHeight="1">
      <c r="A241" s="403" t="s">
        <v>282</v>
      </c>
      <c r="B241" s="403">
        <v>302.61</v>
      </c>
      <c r="C241" s="403" t="s">
        <v>2321</v>
      </c>
      <c r="D241" s="403" t="s">
        <v>4699</v>
      </c>
      <c r="E241" s="87">
        <f t="shared" si="15"/>
        <v>0.87412587412587417</v>
      </c>
      <c r="F241" s="87">
        <f>IFERROR($E241*(VLOOKUP(C241,fish_group_yield_n!$A$7:$J$49,7,FALSE)),0)</f>
        <v>0.30903863443965124</v>
      </c>
      <c r="G241" s="87">
        <f>IFERROR($E241*(VLOOKUP(C241,fish_group_yield_n!$A$7:$J$49,10,FALSE)),0)</f>
        <v>0.30903863443965124</v>
      </c>
      <c r="H241" s="823">
        <f t="shared" si="12"/>
        <v>0</v>
      </c>
      <c r="I241" s="428">
        <f>IF(ISERROR($E241*VLOOKUP($C241,fish_group_yield_w!$A$7:$I$45,9,FALSE)),0,$E241*VLOOKUP($C241,fish_group_yield_w!$A$7:$I$45,9,FALSE))</f>
        <v>0</v>
      </c>
      <c r="J241" s="429">
        <f>IF(ISERROR($E241*VLOOKUP($C241,fish_group_yield_w!$A$7:$I$45,9,FALSE)),0,$E241*VLOOKUP($C241,fish_group_yield_w!$A$7:$I$45,9,FALSE))</f>
        <v>0</v>
      </c>
      <c r="L241" s="814"/>
      <c r="M241" s="814"/>
    </row>
    <row r="242" spans="1:13" ht="12.75" customHeight="1">
      <c r="A242" s="403" t="s">
        <v>282</v>
      </c>
      <c r="B242" s="403">
        <v>302.43</v>
      </c>
      <c r="C242" s="403" t="s">
        <v>2321</v>
      </c>
      <c r="D242" s="403" t="s">
        <v>4699</v>
      </c>
      <c r="E242" s="87">
        <f t="shared" si="15"/>
        <v>0</v>
      </c>
      <c r="F242" s="87">
        <f>IFERROR($E242*(VLOOKUP(C242,fish_group_yield_n!$A$7:$J$49,7,FALSE)),0)</f>
        <v>0</v>
      </c>
      <c r="G242" s="87">
        <f>IFERROR($E242*(VLOOKUP(C242,fish_group_yield_n!$A$7:$J$49,10,FALSE)),0)</f>
        <v>0</v>
      </c>
      <c r="H242" s="823">
        <f t="shared" si="12"/>
        <v>0</v>
      </c>
      <c r="I242" s="428">
        <f>IF(ISERROR($E242*VLOOKUP($C242,fish_group_yield_w!$A$7:$I$45,9,FALSE)),0,$E242*VLOOKUP($C242,fish_group_yield_w!$A$7:$I$45,9,FALSE))</f>
        <v>0</v>
      </c>
      <c r="J242" s="429">
        <f>IF(ISERROR($E242*VLOOKUP($C242,fish_group_yield_w!$A$7:$I$45,9,FALSE)),0,$E242*VLOOKUP($C242,fish_group_yield_w!$A$7:$I$45,9,FALSE))</f>
        <v>0</v>
      </c>
      <c r="L242" s="814"/>
      <c r="M242" s="814"/>
    </row>
    <row r="243" spans="1:13" ht="12.75" customHeight="1">
      <c r="A243" s="403" t="s">
        <v>6110</v>
      </c>
      <c r="B243" s="403">
        <v>303.70999999999998</v>
      </c>
      <c r="C243" s="403" t="s">
        <v>2321</v>
      </c>
      <c r="D243" s="403" t="s">
        <v>4699</v>
      </c>
      <c r="E243" s="87">
        <f t="shared" si="15"/>
        <v>0.8112094395280236</v>
      </c>
      <c r="F243" s="87">
        <f>IFERROR($E243*(VLOOKUP(C243,fish_group_yield_n!$A$7:$J$49,7,FALSE)),0)</f>
        <v>0.28679514570712178</v>
      </c>
      <c r="G243" s="87">
        <f>IFERROR($E243*(VLOOKUP(C243,fish_group_yield_n!$A$7:$J$49,10,FALSE)),0)</f>
        <v>0.28679514570712178</v>
      </c>
      <c r="H243" s="823">
        <f t="shared" si="12"/>
        <v>0</v>
      </c>
      <c r="I243" s="428">
        <f>IF(ISERROR($E243*VLOOKUP($C243,fish_group_yield_w!$A$7:$I$45,9,FALSE)),0,$E243*VLOOKUP($C243,fish_group_yield_w!$A$7:$I$45,9,FALSE))</f>
        <v>0</v>
      </c>
      <c r="J243" s="429">
        <f>IF(ISERROR($E243*VLOOKUP($C243,fish_group_yield_w!$A$7:$I$45,9,FALSE)),0,$E243*VLOOKUP($C243,fish_group_yield_w!$A$7:$I$45,9,FALSE))</f>
        <v>0</v>
      </c>
      <c r="L243" s="814"/>
      <c r="M243" s="814"/>
    </row>
    <row r="244" spans="1:13" ht="12.75" customHeight="1">
      <c r="A244" s="403" t="s">
        <v>6111</v>
      </c>
      <c r="B244" s="403">
        <v>2103.9</v>
      </c>
      <c r="C244" s="403" t="s">
        <v>1738</v>
      </c>
      <c r="D244" s="403"/>
      <c r="E244" s="87">
        <f t="shared" si="15"/>
        <v>0.26753864447086789</v>
      </c>
      <c r="F244" s="87">
        <f>IFERROR($E244*(VLOOKUP(C244,fish_group_yield_n!$A$7:$J$49,7,FALSE)),0)</f>
        <v>2.4110184786340458E-2</v>
      </c>
      <c r="G244" s="87">
        <f>IFERROR($E244*(VLOOKUP(C244,fish_group_yield_n!$A$7:$J$49,10,FALSE)),0)</f>
        <v>1.6581277610289991E-2</v>
      </c>
      <c r="H244" s="823">
        <f t="shared" si="12"/>
        <v>0</v>
      </c>
      <c r="I244" s="428">
        <f>IF(ISERROR($E244*VLOOKUP($C244,fish_group_yield_w!$A$7:$I$45,9,FALSE)),0,$E244*VLOOKUP($C244,fish_group_yield_w!$A$7:$I$45,9,FALSE))</f>
        <v>7.3882064935875125E-2</v>
      </c>
      <c r="J244" s="429">
        <f>IF(ISERROR($E244*VLOOKUP($C244,fish_group_yield_w!$A$7:$I$45,9,FALSE)),0,$E244*VLOOKUP($C244,fish_group_yield_w!$A$7:$I$45,9,FALSE))</f>
        <v>7.3882064935875125E-2</v>
      </c>
      <c r="L244" s="814"/>
      <c r="M244" s="814"/>
    </row>
    <row r="245" spans="1:13" ht="12.75" customHeight="1">
      <c r="A245" t="s">
        <v>9149</v>
      </c>
      <c r="B245">
        <v>307.22000000000003</v>
      </c>
      <c r="C245" s="403" t="s">
        <v>2318</v>
      </c>
      <c r="D245" s="403" t="s">
        <v>4691</v>
      </c>
      <c r="E245" s="87">
        <v>1</v>
      </c>
      <c r="F245" s="87">
        <f>IFERROR($E245*(VLOOKUP(C245,fish_group_yield_n!$A$7:$J$49,7,FALSE)),0)</f>
        <v>0.52158176823995928</v>
      </c>
      <c r="G245" s="87">
        <f>IFERROR($E245*(VLOOKUP(C245,fish_group_yield_n!$A$7:$J$49,10,FALSE)),0)</f>
        <v>2.3563086282313277</v>
      </c>
      <c r="H245" s="823">
        <f t="shared" si="12"/>
        <v>3725</v>
      </c>
      <c r="I245" s="428">
        <f>IF(ISERROR($E245*VLOOKUP($C245,fish_group_yield_w!$A$7:$I$45,9,FALSE)),0,$E245*VLOOKUP($C245,fish_group_yield_w!$A$7:$I$45,9,FALSE))</f>
        <v>0.523542126522486</v>
      </c>
      <c r="J245" s="429">
        <f>IF(ISERROR($E245*VLOOKUP($C245,fish_group_yield_w!$A$7:$I$45,9,FALSE)),0,$E245*VLOOKUP($C245,fish_group_yield_w!$A$7:$I$45,9,FALSE))</f>
        <v>0.523542126522486</v>
      </c>
      <c r="L245" s="814"/>
      <c r="M245" s="814"/>
    </row>
    <row r="246" spans="1:13" ht="12.75" customHeight="1">
      <c r="A246" s="403" t="s">
        <v>6112</v>
      </c>
      <c r="B246" s="403">
        <v>307.20999999999998</v>
      </c>
      <c r="C246" s="403" t="s">
        <v>2318</v>
      </c>
      <c r="D246" s="403" t="s">
        <v>4691</v>
      </c>
      <c r="E246" s="87">
        <f t="shared" ref="E246:E258" si="16">IFERROR(1/VLOOKUP(B246,constant_fish_extr,2,FALSE),0)</f>
        <v>0.32653061224489793</v>
      </c>
      <c r="F246" s="87">
        <f>IFERROR($E246*(VLOOKUP(C246,fish_group_yield_n!$A$7:$J$49,7,FALSE)),0)</f>
        <v>0.17031241411917036</v>
      </c>
      <c r="G246" s="87">
        <f>IFERROR($E246*(VLOOKUP(C246,fish_group_yield_n!$A$7:$J$49,10,FALSE)),0)</f>
        <v>0.76940689901431103</v>
      </c>
      <c r="H246" s="823">
        <f t="shared" si="12"/>
        <v>1289.3125</v>
      </c>
      <c r="I246" s="428">
        <f>IF(ISERROR($E246*VLOOKUP($C246,fish_group_yield_w!$A$7:$I$45,9,FALSE)),0,$E246*VLOOKUP($C246,fish_group_yield_w!$A$7:$I$45,9,FALSE))</f>
        <v>0.17095253110938316</v>
      </c>
      <c r="J246" s="429">
        <f>IF(ISERROR($E246*VLOOKUP($C246,fish_group_yield_w!$A$7:$I$45,9,FALSE)),0,$E246*VLOOKUP($C246,fish_group_yield_w!$A$7:$I$45,9,FALSE))</f>
        <v>0.17095253110938316</v>
      </c>
      <c r="L246" s="814"/>
      <c r="M246" s="814"/>
    </row>
    <row r="247" spans="1:13" ht="12.75" customHeight="1">
      <c r="A247" s="403" t="s">
        <v>6113</v>
      </c>
      <c r="B247" s="403">
        <v>307.29000000000002</v>
      </c>
      <c r="C247" s="403" t="s">
        <v>2318</v>
      </c>
      <c r="D247" s="403" t="s">
        <v>4691</v>
      </c>
      <c r="E247" s="87">
        <f t="shared" si="16"/>
        <v>0.13698630136986301</v>
      </c>
      <c r="F247" s="87">
        <f>IFERROR($E247*(VLOOKUP(C247,fish_group_yield_n!$A$7:$J$49,7,FALSE)),0)</f>
        <v>7.1449557293145102E-2</v>
      </c>
      <c r="G247" s="87">
        <f>IFERROR($E247*(VLOOKUP(C247,fish_group_yield_n!$A$7:$J$49,10,FALSE)),0)</f>
        <v>0.32278200386730516</v>
      </c>
      <c r="H247" s="823">
        <f t="shared" si="12"/>
        <v>0</v>
      </c>
      <c r="I247" s="428">
        <f>IF(ISERROR($E247*VLOOKUP($C247,fish_group_yield_w!$A$7:$I$45,9,FALSE)),0,$E247*VLOOKUP($C247,fish_group_yield_w!$A$7:$I$45,9,FALSE))</f>
        <v>7.1718099523628218E-2</v>
      </c>
      <c r="J247" s="429">
        <f>IF(ISERROR($E247*VLOOKUP($C247,fish_group_yield_w!$A$7:$I$45,9,FALSE)),0,$E247*VLOOKUP($C247,fish_group_yield_w!$A$7:$I$45,9,FALSE))</f>
        <v>7.1718099523628218E-2</v>
      </c>
      <c r="L247" s="814"/>
      <c r="M247" s="814"/>
    </row>
    <row r="248" spans="1:13" ht="12.75" customHeight="1">
      <c r="A248" s="403" t="s">
        <v>8474</v>
      </c>
      <c r="B248" s="403">
        <v>1605.52</v>
      </c>
      <c r="C248" s="403" t="s">
        <v>2318</v>
      </c>
      <c r="D248" s="403" t="s">
        <v>4691</v>
      </c>
      <c r="E248" s="87">
        <f t="shared" si="16"/>
        <v>0.13698630136986301</v>
      </c>
      <c r="F248" s="87">
        <f>IFERROR($E248*(VLOOKUP(C248,fish_group_yield_n!$A$7:$J$49,7,FALSE)),0)</f>
        <v>7.1449557293145102E-2</v>
      </c>
      <c r="G248" s="87">
        <f>IFERROR($E248*(VLOOKUP(C248,fish_group_yield_n!$A$7:$J$49,10,FALSE)),0)</f>
        <v>0.32278200386730516</v>
      </c>
      <c r="H248" s="823">
        <f t="shared" si="12"/>
        <v>1036.6000000000001</v>
      </c>
      <c r="I248" s="428">
        <f>IF(ISERROR($E248*VLOOKUP($C248,fish_group_yield_w!$A$7:$I$45,9,FALSE)),0,$E248*VLOOKUP($C248,fish_group_yield_w!$A$7:$I$45,9,FALSE))</f>
        <v>7.1718099523628218E-2</v>
      </c>
      <c r="J248" s="429">
        <f>IF(ISERROR($E248*VLOOKUP($C248,fish_group_yield_w!$A$7:$I$45,9,FALSE)),0,$E248*VLOOKUP($C248,fish_group_yield_w!$A$7:$I$45,9,FALSE))</f>
        <v>7.1718099523628218E-2</v>
      </c>
      <c r="L248" s="814"/>
      <c r="M248" s="814"/>
    </row>
    <row r="249" spans="1:13" ht="12.75" customHeight="1">
      <c r="A249" s="403" t="s">
        <v>6114</v>
      </c>
      <c r="B249" s="403">
        <v>303.77</v>
      </c>
      <c r="C249" s="403" t="s">
        <v>2319</v>
      </c>
      <c r="D249" s="403" t="s">
        <v>4681</v>
      </c>
      <c r="E249" s="87">
        <f t="shared" si="16"/>
        <v>0.61871616395978346</v>
      </c>
      <c r="F249" s="87">
        <f>IFERROR($E249*(VLOOKUP(C249,fish_group_yield_n!$A$7:$J$49,7,FALSE)),0)</f>
        <v>0.1340307311285657</v>
      </c>
      <c r="G249" s="87">
        <f>IFERROR($E249*(VLOOKUP(C249,fish_group_yield_n!$A$7:$J$49,10,FALSE)),0)</f>
        <v>0.1340307311285657</v>
      </c>
      <c r="H249" s="823">
        <f t="shared" si="12"/>
        <v>0</v>
      </c>
      <c r="I249" s="428">
        <f>IF(ISERROR($E249*VLOOKUP($C249,fish_group_yield_w!$A$7:$I$45,9,FALSE)),0,$E249*VLOOKUP($C249,fish_group_yield_w!$A$7:$I$45,9,FALSE))</f>
        <v>0.40390277640167754</v>
      </c>
      <c r="J249" s="429">
        <f>IF(ISERROR($E249*VLOOKUP($C249,fish_group_yield_w!$A$7:$I$45,9,FALSE)),0,$E249*VLOOKUP($C249,fish_group_yield_w!$A$7:$I$45,9,FALSE))</f>
        <v>0.40390277640167754</v>
      </c>
      <c r="L249" s="814"/>
      <c r="M249" s="814"/>
    </row>
    <row r="250" spans="1:13" ht="12.75" customHeight="1">
      <c r="A250" s="403" t="s">
        <v>8439</v>
      </c>
      <c r="B250" s="403">
        <v>308.19</v>
      </c>
      <c r="C250" s="403"/>
      <c r="D250" s="403"/>
      <c r="E250" s="87">
        <f t="shared" si="16"/>
        <v>0.64516129032258063</v>
      </c>
      <c r="F250" s="87">
        <f>IFERROR($E250*(VLOOKUP(C250,fish_group_yield_n!$A$7:$J$49,7,FALSE)),0)</f>
        <v>0</v>
      </c>
      <c r="G250" s="87">
        <f>IFERROR($E250*(VLOOKUP(C250,fish_group_yield_n!$A$7:$J$49,10,FALSE)),0)</f>
        <v>0</v>
      </c>
      <c r="H250" s="823">
        <f t="shared" si="12"/>
        <v>215.45000000000002</v>
      </c>
      <c r="I250" s="428">
        <f>IF(ISERROR($E250*VLOOKUP($C250,fish_group_yield_w!$A$7:$I$45,9,FALSE)),0,$E250*VLOOKUP($C250,fish_group_yield_w!$A$7:$I$45,9,FALSE))</f>
        <v>0</v>
      </c>
      <c r="J250" s="429">
        <f>IF(ISERROR($E250*VLOOKUP($C250,fish_group_yield_w!$A$7:$I$45,9,FALSE)),0,$E250*VLOOKUP($C250,fish_group_yield_w!$A$7:$I$45,9,FALSE))</f>
        <v>0</v>
      </c>
      <c r="L250" s="814"/>
      <c r="M250" s="814"/>
    </row>
    <row r="251" spans="1:13" ht="12.75" customHeight="1">
      <c r="A251" s="403" t="s">
        <v>8442</v>
      </c>
      <c r="B251" s="403">
        <v>308.11</v>
      </c>
      <c r="C251" s="403"/>
      <c r="D251" s="403"/>
      <c r="E251" s="87">
        <f t="shared" si="16"/>
        <v>0.64516129032258063</v>
      </c>
      <c r="F251" s="87">
        <f>IFERROR($E251*(VLOOKUP(C251,fish_group_yield_n!$A$7:$J$49,7,FALSE)),0)</f>
        <v>0</v>
      </c>
      <c r="G251" s="87">
        <f>IFERROR($E251*(VLOOKUP(C251,fish_group_yield_n!$A$7:$J$49,10,FALSE)),0)</f>
        <v>0</v>
      </c>
      <c r="H251" s="823">
        <f t="shared" si="12"/>
        <v>2280.0500000000002</v>
      </c>
      <c r="I251" s="428">
        <f>IF(ISERROR($E251*VLOOKUP($C251,fish_group_yield_w!$A$7:$I$45,9,FALSE)),0,$E251*VLOOKUP($C251,fish_group_yield_w!$A$7:$I$45,9,FALSE))</f>
        <v>0</v>
      </c>
      <c r="J251" s="429">
        <f>IF(ISERROR($E251*VLOOKUP($C251,fish_group_yield_w!$A$7:$I$45,9,FALSE)),0,$E251*VLOOKUP($C251,fish_group_yield_w!$A$7:$I$45,9,FALSE))</f>
        <v>0</v>
      </c>
      <c r="L251" s="814"/>
      <c r="M251" s="814"/>
    </row>
    <row r="252" spans="1:13" ht="12.75" customHeight="1">
      <c r="A252" s="403" t="s">
        <v>8491</v>
      </c>
      <c r="B252" s="403">
        <v>1605.61</v>
      </c>
      <c r="C252" s="403"/>
      <c r="D252" s="403"/>
      <c r="E252" s="87">
        <f t="shared" si="16"/>
        <v>0.3127932436659368</v>
      </c>
      <c r="F252" s="87">
        <f>IFERROR($E252*(VLOOKUP(C252,fish_group_yield_n!$A$7:$J$49,7,FALSE)),0)</f>
        <v>0</v>
      </c>
      <c r="G252" s="87">
        <f>IFERROR($E252*(VLOOKUP(C252,fish_group_yield_n!$A$7:$J$49,10,FALSE)),0)</f>
        <v>0</v>
      </c>
      <c r="H252" s="823">
        <f t="shared" si="12"/>
        <v>0</v>
      </c>
      <c r="I252" s="428">
        <f>IF(ISERROR($E252*VLOOKUP($C252,fish_group_yield_w!$A$7:$I$45,9,FALSE)),0,$E252*VLOOKUP($C252,fish_group_yield_w!$A$7:$I$45,9,FALSE))</f>
        <v>0</v>
      </c>
      <c r="J252" s="429">
        <f>IF(ISERROR($E252*VLOOKUP($C252,fish_group_yield_w!$A$7:$I$45,9,FALSE)),0,$E252*VLOOKUP($C252,fish_group_yield_w!$A$7:$I$45,9,FALSE))</f>
        <v>0</v>
      </c>
      <c r="L252" s="814"/>
      <c r="M252" s="814"/>
    </row>
    <row r="253" spans="1:13" ht="12.75" customHeight="1">
      <c r="A253" s="403" t="s">
        <v>8445</v>
      </c>
      <c r="B253" s="403">
        <v>308.29000000000002</v>
      </c>
      <c r="C253" s="403" t="s">
        <v>1736</v>
      </c>
      <c r="D253" s="403" t="s">
        <v>4691</v>
      </c>
      <c r="E253" s="87">
        <f t="shared" si="16"/>
        <v>0.64516129032258063</v>
      </c>
      <c r="F253" s="87">
        <f>IFERROR($E253*(VLOOKUP(C253,fish_group_yield_n!$A$7:$J$49,7,FALSE)),0)</f>
        <v>0.31260318339998799</v>
      </c>
      <c r="G253" s="87">
        <f>IFERROR($E253*(VLOOKUP(C253,fish_group_yield_n!$A$7:$J$49,10,FALSE)),0)</f>
        <v>0.72718866995447939</v>
      </c>
      <c r="H253" s="823">
        <f t="shared" si="12"/>
        <v>0</v>
      </c>
      <c r="I253" s="428">
        <f>IF(ISERROR($E253*VLOOKUP($C253,fish_group_yield_w!$A$7:$I$45,9,FALSE)),0,$E253*VLOOKUP($C253,fish_group_yield_w!$A$7:$I$45,9,FALSE))</f>
        <v>0.36513259148238719</v>
      </c>
      <c r="J253" s="429">
        <f>IF(ISERROR($E253*VLOOKUP($C253,fish_group_yield_w!$A$7:$I$45,9,FALSE)),0,$E253*VLOOKUP($C253,fish_group_yield_w!$A$7:$I$45,9,FALSE))</f>
        <v>0.36513259148238719</v>
      </c>
      <c r="L253" s="814"/>
      <c r="M253" s="814"/>
    </row>
    <row r="254" spans="1:13" ht="12.75" customHeight="1">
      <c r="A254" s="403" t="s">
        <v>8446</v>
      </c>
      <c r="B254" s="403">
        <v>308.20999999999998</v>
      </c>
      <c r="C254" s="403" t="s">
        <v>1736</v>
      </c>
      <c r="D254" s="403" t="s">
        <v>4691</v>
      </c>
      <c r="E254" s="87">
        <f t="shared" si="16"/>
        <v>0.64516129032258063</v>
      </c>
      <c r="F254" s="87">
        <f>IFERROR($E254*(VLOOKUP(C254,fish_group_yield_n!$A$7:$J$49,7,FALSE)),0)</f>
        <v>0.31260318339998799</v>
      </c>
      <c r="G254" s="87">
        <f>IFERROR($E254*(VLOOKUP(C254,fish_group_yield_n!$A$7:$J$49,10,FALSE)),0)</f>
        <v>0.72718866995447939</v>
      </c>
      <c r="H254" s="823">
        <f t="shared" si="12"/>
        <v>130.20000000000002</v>
      </c>
      <c r="I254" s="428">
        <f>IF(ISERROR($E254*VLOOKUP($C254,fish_group_yield_w!$A$7:$I$45,9,FALSE)),0,$E254*VLOOKUP($C254,fish_group_yield_w!$A$7:$I$45,9,FALSE))</f>
        <v>0.36513259148238719</v>
      </c>
      <c r="J254" s="429">
        <f>IF(ISERROR($E254*VLOOKUP($C254,fish_group_yield_w!$A$7:$I$45,9,FALSE)),0,$E254*VLOOKUP($C254,fish_group_yield_w!$A$7:$I$45,9,FALSE))</f>
        <v>0.36513259148238719</v>
      </c>
      <c r="L254" s="814"/>
      <c r="M254" s="814"/>
    </row>
    <row r="255" spans="1:13" ht="12.75" customHeight="1">
      <c r="A255" s="403" t="s">
        <v>8492</v>
      </c>
      <c r="B255" s="403">
        <v>1605.62</v>
      </c>
      <c r="C255" s="403" t="s">
        <v>1736</v>
      </c>
      <c r="D255" s="403" t="s">
        <v>4691</v>
      </c>
      <c r="E255" s="87">
        <f t="shared" si="16"/>
        <v>0.3127932436659368</v>
      </c>
      <c r="F255" s="87">
        <f>IFERROR($E255*(VLOOKUP(C255,fish_group_yield_n!$A$7:$J$49,7,FALSE)),0)</f>
        <v>0.15155925375976897</v>
      </c>
      <c r="G255" s="87">
        <f>IFERROR($E255*(VLOOKUP(C255,fish_group_yield_n!$A$7:$J$49,10,FALSE)),0)</f>
        <v>0.35256253938987897</v>
      </c>
      <c r="H255" s="823">
        <f t="shared" si="12"/>
        <v>0</v>
      </c>
      <c r="I255" s="428">
        <f>IF(ISERROR($E255*VLOOKUP($C255,fish_group_yield_w!$A$7:$I$45,9,FALSE)),0,$E255*VLOOKUP($C255,fish_group_yield_w!$A$7:$I$45,9,FALSE))</f>
        <v>0.17702706186978423</v>
      </c>
      <c r="J255" s="429">
        <f>IF(ISERROR($E255*VLOOKUP($C255,fish_group_yield_w!$A$7:$I$45,9,FALSE)),0,$E255*VLOOKUP($C255,fish_group_yield_w!$A$7:$I$45,9,FALSE))</f>
        <v>0.17702706186978423</v>
      </c>
      <c r="L255" s="814"/>
      <c r="M255" s="814"/>
    </row>
    <row r="256" spans="1:13" ht="12.75" customHeight="1">
      <c r="A256" s="403" t="s">
        <v>8447</v>
      </c>
      <c r="B256" s="403">
        <v>302.83999999999997</v>
      </c>
      <c r="C256" s="403" t="s">
        <v>2319</v>
      </c>
      <c r="D256" s="403" t="s">
        <v>4681</v>
      </c>
      <c r="E256" s="87">
        <f t="shared" si="16"/>
        <v>0.64516129032258063</v>
      </c>
      <c r="F256" s="87">
        <f>IFERROR($E256*(VLOOKUP(C256,fish_group_yield_n!$A$7:$J$49,7,FALSE)),0)</f>
        <v>0.13975946399131889</v>
      </c>
      <c r="G256" s="87">
        <f>IFERROR($E256*(VLOOKUP(C256,fish_group_yield_n!$A$7:$J$49,10,FALSE)),0)</f>
        <v>0.13975946399131889</v>
      </c>
      <c r="H256" s="823">
        <f t="shared" si="12"/>
        <v>1458.55</v>
      </c>
      <c r="I256" s="428">
        <f>IF(ISERROR($E256*VLOOKUP($C256,fish_group_yield_w!$A$7:$I$45,9,FALSE)),0,$E256*VLOOKUP($C256,fish_group_yield_w!$A$7:$I$45,9,FALSE))</f>
        <v>0.42116636281239439</v>
      </c>
      <c r="J256" s="429">
        <f>IF(ISERROR($E256*VLOOKUP($C256,fish_group_yield_w!$A$7:$I$45,9,FALSE)),0,$E256*VLOOKUP($C256,fish_group_yield_w!$A$7:$I$45,9,FALSE))</f>
        <v>0.42116636281239439</v>
      </c>
      <c r="L256" s="814"/>
      <c r="M256" s="814"/>
    </row>
    <row r="257" spans="1:13" ht="12.75" customHeight="1">
      <c r="A257" s="403" t="s">
        <v>8482</v>
      </c>
      <c r="B257" s="403">
        <v>303.83999999999997</v>
      </c>
      <c r="C257" s="403" t="s">
        <v>2319</v>
      </c>
      <c r="D257" s="403" t="s">
        <v>4681</v>
      </c>
      <c r="E257" s="87">
        <f t="shared" si="16"/>
        <v>0.61871616395978346</v>
      </c>
      <c r="F257" s="87">
        <f>IFERROR($E257*(VLOOKUP(C257,fish_group_yield_n!$A$7:$J$49,7,FALSE)),0)</f>
        <v>0.1340307311285657</v>
      </c>
      <c r="G257" s="87">
        <f>IFERROR($E257*(VLOOKUP(C257,fish_group_yield_n!$A$7:$J$49,10,FALSE)),0)</f>
        <v>0.1340307311285657</v>
      </c>
      <c r="H257" s="823">
        <f t="shared" si="12"/>
        <v>19.395</v>
      </c>
      <c r="I257" s="428">
        <f>IF(ISERROR($E257*VLOOKUP($C257,fish_group_yield_w!$A$7:$I$45,9,FALSE)),0,$E257*VLOOKUP($C257,fish_group_yield_w!$A$7:$I$45,9,FALSE))</f>
        <v>0.40390277640167754</v>
      </c>
      <c r="J257" s="429">
        <f>IF(ISERROR($E257*VLOOKUP($C257,fish_group_yield_w!$A$7:$I$45,9,FALSE)),0,$E257*VLOOKUP($C257,fish_group_yield_w!$A$7:$I$45,9,FALSE))</f>
        <v>0.40390277640167754</v>
      </c>
      <c r="L257" s="814"/>
      <c r="M257" s="814"/>
    </row>
    <row r="258" spans="1:13" ht="12.75" customHeight="1">
      <c r="A258" s="403" t="s">
        <v>8455</v>
      </c>
      <c r="B258" s="403">
        <v>302.85000000000002</v>
      </c>
      <c r="C258" s="403" t="s">
        <v>1738</v>
      </c>
      <c r="D258" s="403" t="s">
        <v>4681</v>
      </c>
      <c r="E258" s="87">
        <f t="shared" si="16"/>
        <v>0.64516129032258063</v>
      </c>
      <c r="F258" s="87">
        <f>IFERROR($E258*(VLOOKUP(C258,fish_group_yield_n!$A$7:$J$49,7,FALSE)),0)</f>
        <v>5.8140976072580175E-2</v>
      </c>
      <c r="G258" s="87">
        <f>IFERROR($E258*(VLOOKUP(C258,fish_group_yield_n!$A$7:$J$49,10,FALSE)),0)</f>
        <v>3.9985245792842697E-2</v>
      </c>
      <c r="H258" s="823">
        <f t="shared" si="12"/>
        <v>1303.55</v>
      </c>
      <c r="I258" s="428">
        <f>IF(ISERROR($E258*VLOOKUP($C258,fish_group_yield_w!$A$7:$I$45,9,FALSE)),0,$E258*VLOOKUP($C258,fish_group_yield_w!$A$7:$I$45,9,FALSE))</f>
        <v>0.17816434870557993</v>
      </c>
      <c r="J258" s="429">
        <f>IF(ISERROR($E258*VLOOKUP($C258,fish_group_yield_w!$A$7:$I$45,9,FALSE)),0,$E258*VLOOKUP($C258,fish_group_yield_w!$A$7:$I$45,9,FALSE))</f>
        <v>0.17816434870557993</v>
      </c>
      <c r="L258" s="814"/>
      <c r="M258" s="814"/>
    </row>
    <row r="259" spans="1:13" ht="12.75" customHeight="1">
      <c r="A259" t="s">
        <v>9160</v>
      </c>
      <c r="B259">
        <v>308.12</v>
      </c>
      <c r="C259" s="403" t="s">
        <v>1736</v>
      </c>
      <c r="D259" s="403" t="s">
        <v>4691</v>
      </c>
      <c r="E259" s="87">
        <v>1.55</v>
      </c>
      <c r="F259" s="87">
        <f>IFERROR($E259*(VLOOKUP(C259,fish_group_yield_n!$A$7:$J$49,7,FALSE)),0)</f>
        <v>0.75102914811847121</v>
      </c>
      <c r="G259" s="87">
        <f>IFERROR($E259*(VLOOKUP(C259,fish_group_yield_n!$A$7:$J$49,10,FALSE)),0)</f>
        <v>1.7470707795656368</v>
      </c>
      <c r="H259" s="823">
        <f t="shared" si="12"/>
        <v>77.41935483870968</v>
      </c>
      <c r="I259" s="428">
        <f>IF(ISERROR($E259*VLOOKUP($C259,fish_group_yield_w!$A$7:$I$45,9,FALSE)),0,$E259*VLOOKUP($C259,fish_group_yield_w!$A$7:$I$45,9,FALSE))</f>
        <v>0.87723105103643528</v>
      </c>
      <c r="J259" s="429">
        <f>IF(ISERROR($E259*VLOOKUP($C259,fish_group_yield_w!$A$7:$I$45,9,FALSE)),0,$E259*VLOOKUP($C259,fish_group_yield_w!$A$7:$I$45,9,FALSE))</f>
        <v>0.87723105103643528</v>
      </c>
      <c r="L259" s="814"/>
      <c r="M259" s="814"/>
    </row>
    <row r="260" spans="1:13" ht="12.75" customHeight="1">
      <c r="A260" t="s">
        <v>9161</v>
      </c>
      <c r="B260">
        <v>308.22000000000003</v>
      </c>
      <c r="C260" s="403" t="s">
        <v>1736</v>
      </c>
      <c r="D260" s="403" t="s">
        <v>4691</v>
      </c>
      <c r="E260" s="87">
        <v>3</v>
      </c>
      <c r="F260" s="87">
        <f>IFERROR($E260*(VLOOKUP(C260,fish_group_yield_n!$A$7:$J$49,7,FALSE)),0)</f>
        <v>1.4536048028099442</v>
      </c>
      <c r="G260" s="87">
        <f>IFERROR($E260*(VLOOKUP(C260,fish_group_yield_n!$A$7:$J$49,10,FALSE)),0)</f>
        <v>3.3814273152883292</v>
      </c>
      <c r="H260" s="823">
        <f t="shared" si="12"/>
        <v>0</v>
      </c>
      <c r="I260" s="428">
        <f>IF(ISERROR($E260*VLOOKUP($C260,fish_group_yield_w!$A$7:$I$45,9,FALSE)),0,$E260*VLOOKUP($C260,fish_group_yield_w!$A$7:$I$45,9,FALSE))</f>
        <v>1.6978665503931005</v>
      </c>
      <c r="J260" s="429">
        <f>IF(ISERROR($E260*VLOOKUP($C260,fish_group_yield_w!$A$7:$I$45,9,FALSE)),0,$E260*VLOOKUP($C260,fish_group_yield_w!$A$7:$I$45,9,FALSE))</f>
        <v>1.6978665503931005</v>
      </c>
      <c r="L260" s="814"/>
      <c r="M260" s="814"/>
    </row>
    <row r="261" spans="1:13" ht="12.75" customHeight="1">
      <c r="A261" s="403" t="s">
        <v>6115</v>
      </c>
      <c r="B261" s="403">
        <v>1212.2</v>
      </c>
      <c r="C261" s="403" t="s">
        <v>1740</v>
      </c>
      <c r="D261" s="403" t="s">
        <v>4671</v>
      </c>
      <c r="E261" s="87">
        <f>IFERROR(1/VLOOKUP(B261,constant_fish_extr,2,FALSE),0)</f>
        <v>0.13999999999999999</v>
      </c>
      <c r="F261" s="87">
        <f>IFERROR($E261*(VLOOKUP(C261,fish_group_yield_n!$A$7:$J$49,7,FALSE)),0)</f>
        <v>8.9802419020514801</v>
      </c>
      <c r="G261" s="87">
        <f>IFERROR($E261*(VLOOKUP(C261,fish_group_yield_n!$A$7:$J$49,10,FALSE)),0)</f>
        <v>4.2190909090909088</v>
      </c>
      <c r="H261" s="823">
        <f t="shared" si="12"/>
        <v>0</v>
      </c>
      <c r="I261" s="428">
        <f>IF(ISERROR($E261*VLOOKUP($C261,fish_group_yield_w!$A$7:$I$45,9,FALSE)),0,$E261*VLOOKUP($C261,fish_group_yield_w!$A$7:$I$45,9,FALSE))</f>
        <v>0</v>
      </c>
      <c r="J261" s="429">
        <f>IF(ISERROR($E261*VLOOKUP($C261,fish_group_yield_w!$A$7:$I$45,9,FALSE)),0,$E261*VLOOKUP($C261,fish_group_yield_w!$A$7:$I$45,9,FALSE))</f>
        <v>0</v>
      </c>
      <c r="L261" s="814"/>
      <c r="M261" s="814"/>
    </row>
    <row r="262" spans="1:13" ht="12.75" customHeight="1">
      <c r="A262" s="403" t="s">
        <v>8484</v>
      </c>
      <c r="B262" s="403">
        <v>1212.21</v>
      </c>
      <c r="C262" s="403" t="s">
        <v>1740</v>
      </c>
      <c r="D262" s="403" t="s">
        <v>4671</v>
      </c>
      <c r="E262" s="87">
        <f>IFERROR(1/VLOOKUP(B262,constant_fish_extr,2,FALSE),0)</f>
        <v>0.13999999999999999</v>
      </c>
      <c r="F262" s="87">
        <f>IFERROR($E262*(VLOOKUP(C262,fish_group_yield_n!$A$7:$J$49,7,FALSE)),0)</f>
        <v>8.9802419020514801</v>
      </c>
      <c r="G262" s="87">
        <f>IFERROR($E262*(VLOOKUP(C262,fish_group_yield_n!$A$7:$J$49,10,FALSE)),0)</f>
        <v>4.2190909090909088</v>
      </c>
      <c r="H262" s="823">
        <f t="shared" si="12"/>
        <v>8028.5714285714294</v>
      </c>
      <c r="I262" s="428">
        <f>IF(ISERROR($E262*VLOOKUP($C262,fish_group_yield_w!$A$7:$I$45,9,FALSE)),0,$E262*VLOOKUP($C262,fish_group_yield_w!$A$7:$I$45,9,FALSE))</f>
        <v>0</v>
      </c>
      <c r="J262" s="429">
        <f>IF(ISERROR($E262*VLOOKUP($C262,fish_group_yield_w!$A$7:$I$45,9,FALSE)),0,$E262*VLOOKUP($C262,fish_group_yield_w!$A$7:$I$45,9,FALSE))</f>
        <v>0</v>
      </c>
      <c r="L262" s="814"/>
      <c r="M262" s="814"/>
    </row>
    <row r="263" spans="1:13" ht="12.75" customHeight="1">
      <c r="A263" s="403" t="s">
        <v>8485</v>
      </c>
      <c r="B263" s="403">
        <v>1212.29</v>
      </c>
      <c r="C263" s="403" t="s">
        <v>1740</v>
      </c>
      <c r="D263" s="403" t="s">
        <v>4671</v>
      </c>
      <c r="E263" s="87">
        <f>IFERROR(1/VLOOKUP(B263,constant_fish_extr,2,FALSE),0)</f>
        <v>0.13999999999999999</v>
      </c>
      <c r="F263" s="87">
        <f>IFERROR($E263*(VLOOKUP(C263,fish_group_yield_n!$A$7:$J$49,7,FALSE)),0)</f>
        <v>8.9802419020514801</v>
      </c>
      <c r="G263" s="87">
        <f>IFERROR($E263*(VLOOKUP(C263,fish_group_yield_n!$A$7:$J$49,10,FALSE)),0)</f>
        <v>4.2190909090909088</v>
      </c>
      <c r="H263" s="823">
        <f t="shared" ref="H263:H322" si="17">IF(ISERROR(VLOOKUP(B263,tbl_figis_commodity,2,FALSE)/E263),0,VLOOKUP(B263,tbl_figis_commodity,2,FALSE)/E263)</f>
        <v>1964.2857142857144</v>
      </c>
      <c r="I263" s="428">
        <f>IF(ISERROR($E263*VLOOKUP($C263,fish_group_yield_w!$A$7:$I$45,9,FALSE)),0,$E263*VLOOKUP($C263,fish_group_yield_w!$A$7:$I$45,9,FALSE))</f>
        <v>0</v>
      </c>
      <c r="J263" s="429">
        <f>IF(ISERROR($E263*VLOOKUP($C263,fish_group_yield_w!$A$7:$I$45,9,FALSE)),0,$E263*VLOOKUP($C263,fish_group_yield_w!$A$7:$I$45,9,FALSE))</f>
        <v>0</v>
      </c>
      <c r="L263" s="814"/>
      <c r="M263" s="814"/>
    </row>
    <row r="264" spans="1:13" ht="12.75" customHeight="1">
      <c r="A264" s="403" t="s">
        <v>8486</v>
      </c>
      <c r="B264" s="403">
        <v>305.70999999999998</v>
      </c>
      <c r="C264" s="403" t="s">
        <v>3785</v>
      </c>
      <c r="D264" s="403" t="s">
        <v>4681</v>
      </c>
      <c r="E264" s="87">
        <f>IFERROR(1/VLOOKUP(B264,constant_fish_extr,2,FALSE),0)</f>
        <v>0.25</v>
      </c>
      <c r="F264" s="87">
        <f>IFERROR($E264*(VLOOKUP(C264,fish_group_yield_n!$A$7:$J$49,7,FALSE)),0)</f>
        <v>7.2250190633792342E-3</v>
      </c>
      <c r="G264" s="87">
        <f>IFERROR($E264*(VLOOKUP(C264,fish_group_yield_n!$A$7:$J$49,10,FALSE)),0)</f>
        <v>4.8109992235271298E-3</v>
      </c>
      <c r="H264" s="823">
        <f t="shared" si="17"/>
        <v>592</v>
      </c>
      <c r="I264" s="428">
        <f>IF(ISERROR($E264*VLOOKUP($C264,fish_group_yield_w!$A$7:$I$45,9,FALSE)),0,$E264*VLOOKUP($C264,fish_group_yield_w!$A$7:$I$45,9,FALSE))</f>
        <v>0</v>
      </c>
      <c r="J264" s="429">
        <f>IF(ISERROR($E264*VLOOKUP($C264,fish_group_yield_w!$A$7:$I$45,9,FALSE)),0,$E264*VLOOKUP($C264,fish_group_yield_w!$A$7:$I$45,9,FALSE))</f>
        <v>0</v>
      </c>
      <c r="L264" s="814"/>
      <c r="M264" s="814"/>
    </row>
    <row r="265" spans="1:13" ht="12.75" customHeight="1">
      <c r="A265" t="s">
        <v>9122</v>
      </c>
      <c r="B265">
        <v>302.92</v>
      </c>
      <c r="C265" s="403" t="s">
        <v>3785</v>
      </c>
      <c r="D265" s="403" t="s">
        <v>4681</v>
      </c>
      <c r="E265" s="87">
        <v>4</v>
      </c>
      <c r="F265" s="87">
        <f>IFERROR($E265*(VLOOKUP(C265,fish_group_yield_n!$A$7:$J$49,7,FALSE)),0)</f>
        <v>0.11560030501406775</v>
      </c>
      <c r="G265" s="87">
        <f>IFERROR($E265*(VLOOKUP(C265,fish_group_yield_n!$A$7:$J$49,10,FALSE)),0)</f>
        <v>7.6975987576434077E-2</v>
      </c>
      <c r="H265" s="823">
        <f t="shared" si="17"/>
        <v>1</v>
      </c>
      <c r="I265" s="428">
        <f>IF(ISERROR($E265*VLOOKUP($C265,fish_group_yield_w!$A$7:$I$45,9,FALSE)),0,$E265*VLOOKUP($C265,fish_group_yield_w!$A$7:$I$45,9,FALSE))</f>
        <v>0</v>
      </c>
      <c r="J265" s="429">
        <f>IF(ISERROR($E265*VLOOKUP($C265,fish_group_yield_w!$A$7:$I$45,9,FALSE)),0,$E265*VLOOKUP($C265,fish_group_yield_w!$A$7:$I$45,9,FALSE))</f>
        <v>0</v>
      </c>
      <c r="L265" s="814"/>
      <c r="M265" s="814"/>
    </row>
    <row r="266" spans="1:13" ht="12.75" customHeight="1">
      <c r="A266" t="s">
        <v>9126</v>
      </c>
      <c r="B266">
        <v>303.92</v>
      </c>
      <c r="C266" t="s">
        <v>3785</v>
      </c>
      <c r="D266" t="s">
        <v>4681</v>
      </c>
      <c r="E266" s="87">
        <v>4</v>
      </c>
      <c r="F266" s="87">
        <f>IFERROR($E266*(VLOOKUP(C266,fish_group_yield_n!$A$7:$J$49,7,FALSE)),0)</f>
        <v>0.11560030501406775</v>
      </c>
      <c r="G266" s="87">
        <f>IFERROR($E266*(VLOOKUP(C266,fish_group_yield_n!$A$7:$J$49,10,FALSE)),0)</f>
        <v>7.6975987576434077E-2</v>
      </c>
      <c r="H266" s="823">
        <f t="shared" si="17"/>
        <v>6.75</v>
      </c>
      <c r="I266" s="428">
        <f>IF(ISERROR($E266*VLOOKUP($C266,fish_group_yield_w!$A$7:$I$45,9,FALSE)),0,$E266*VLOOKUP($C266,fish_group_yield_w!$A$7:$I$45,9,FALSE))</f>
        <v>0</v>
      </c>
      <c r="J266" s="429">
        <f>IF(ISERROR($E266*VLOOKUP($C266,fish_group_yield_w!$A$7:$I$45,9,FALSE)),0,$E266*VLOOKUP($C266,fish_group_yield_w!$A$7:$I$45,9,FALSE))</f>
        <v>0</v>
      </c>
      <c r="L266" s="814"/>
      <c r="M266" s="814"/>
    </row>
    <row r="267" spans="1:13" ht="12.75" customHeight="1">
      <c r="A267" t="s">
        <v>9162</v>
      </c>
      <c r="B267">
        <v>1604.18</v>
      </c>
      <c r="C267" s="403" t="s">
        <v>3785</v>
      </c>
      <c r="D267" s="403" t="s">
        <v>4681</v>
      </c>
      <c r="E267" s="87">
        <v>4</v>
      </c>
      <c r="F267" s="87">
        <f>IFERROR($E267*(VLOOKUP(C267,fish_group_yield_n!$A$7:$J$49,7,FALSE)),0)</f>
        <v>0.11560030501406775</v>
      </c>
      <c r="G267" s="87">
        <f>IFERROR($E267*(VLOOKUP(C267,fish_group_yield_n!$A$7:$J$49,10,FALSE)),0)</f>
        <v>7.6975987576434077E-2</v>
      </c>
      <c r="H267" s="823">
        <f t="shared" si="17"/>
        <v>0</v>
      </c>
      <c r="I267" s="428">
        <f>IF(ISERROR($E267*VLOOKUP($C267,fish_group_yield_w!$A$7:$I$45,9,FALSE)),0,$E267*VLOOKUP($C267,fish_group_yield_w!$A$7:$I$45,9,FALSE))</f>
        <v>0</v>
      </c>
      <c r="J267" s="429">
        <f>IF(ISERROR($E267*VLOOKUP($C267,fish_group_yield_w!$A$7:$I$45,9,FALSE)),0,$E267*VLOOKUP($C267,fish_group_yield_w!$A$7:$I$45,9,FALSE))</f>
        <v>0</v>
      </c>
      <c r="L267" s="814"/>
      <c r="M267" s="814"/>
    </row>
    <row r="268" spans="1:13" ht="12.75" customHeight="1">
      <c r="A268" t="s">
        <v>9146</v>
      </c>
      <c r="B268">
        <v>306.95</v>
      </c>
      <c r="C268" t="s">
        <v>2322</v>
      </c>
      <c r="D268" t="s">
        <v>4680</v>
      </c>
      <c r="E268" s="87">
        <v>2.93</v>
      </c>
      <c r="F268" s="87">
        <f>IFERROR($E268*(VLOOKUP(C268,fish_group_yield_n!$A$7:$J$49,7,FALSE)),0)</f>
        <v>1.5989617539042693</v>
      </c>
      <c r="G268" s="87">
        <f>IFERROR($E268*(VLOOKUP(C268,fish_group_yield_n!$A$7:$J$49,10,FALSE)),0)</f>
        <v>4.3634762506740312</v>
      </c>
      <c r="H268" s="823">
        <f t="shared" si="17"/>
        <v>480.20477815699655</v>
      </c>
      <c r="I268" s="428">
        <f>IF(ISERROR($E268*VLOOKUP($C268,fish_group_yield_w!$A$7:$I$45,9,FALSE)),0,$E268*VLOOKUP($C268,fish_group_yield_w!$A$7:$I$45,9,FALSE))</f>
        <v>1.2795338358220361</v>
      </c>
      <c r="J268" s="429">
        <f>IF(ISERROR($E268*VLOOKUP($C268,fish_group_yield_w!$A$7:$I$45,9,FALSE)),0,$E268*VLOOKUP($C268,fish_group_yield_w!$A$7:$I$45,9,FALSE))</f>
        <v>1.2795338358220361</v>
      </c>
      <c r="L268" s="814"/>
      <c r="M268" s="814"/>
    </row>
    <row r="269" spans="1:13" ht="12.75" customHeight="1">
      <c r="A269" s="403" t="s">
        <v>6116</v>
      </c>
      <c r="B269" s="403">
        <v>1605.2</v>
      </c>
      <c r="C269" s="403" t="s">
        <v>2322</v>
      </c>
      <c r="D269" s="403" t="s">
        <v>4680</v>
      </c>
      <c r="E269" s="87">
        <f t="shared" ref="E269:E278" si="18">IFERROR(1/VLOOKUP(B269,constant_fish_extr,2,FALSE),0)</f>
        <v>0.34127045683704338</v>
      </c>
      <c r="F269" s="87">
        <f>IFERROR($E269*(VLOOKUP(C269,fish_group_yield_n!$A$7:$J$49,7,FALSE)),0)</f>
        <v>0.18623836458016044</v>
      </c>
      <c r="G269" s="87">
        <f>IFERROR($E269*(VLOOKUP(C269,fish_group_yield_n!$A$7:$J$49,10,FALSE)),0)</f>
        <v>0.5082339704659099</v>
      </c>
      <c r="H269" s="823">
        <f t="shared" si="17"/>
        <v>0</v>
      </c>
      <c r="I269" s="428">
        <f>IF(ISERROR($E269*VLOOKUP($C269,fish_group_yield_w!$A$7:$I$45,9,FALSE)),0,$E269*VLOOKUP($C269,fish_group_yield_w!$A$7:$I$45,9,FALSE))</f>
        <v>0.14903313880185687</v>
      </c>
      <c r="J269" s="429">
        <f>IF(ISERROR($E269*VLOOKUP($C269,fish_group_yield_w!$A$7:$I$45,9,FALSE)),0,$E269*VLOOKUP($C269,fish_group_yield_w!$A$7:$I$45,9,FALSE))</f>
        <v>0.14903313880185687</v>
      </c>
      <c r="L269" s="814"/>
      <c r="M269" s="814"/>
    </row>
    <row r="270" spans="1:13" ht="12.75" customHeight="1">
      <c r="A270" s="403" t="s">
        <v>8493</v>
      </c>
      <c r="B270" s="403">
        <v>1605.21</v>
      </c>
      <c r="C270" s="403" t="s">
        <v>2322</v>
      </c>
      <c r="D270" s="403" t="s">
        <v>4680</v>
      </c>
      <c r="E270" s="87">
        <f t="shared" si="18"/>
        <v>0.3127932436659368</v>
      </c>
      <c r="F270" s="87">
        <f>IFERROR($E270*(VLOOKUP(C270,fish_group_yield_n!$A$7:$J$49,7,FALSE)),0)</f>
        <v>0.17069775887422928</v>
      </c>
      <c r="G270" s="87">
        <f>IFERROR($E270*(VLOOKUP(C270,fish_group_yield_n!$A$7:$J$49,10,FALSE)),0)</f>
        <v>0.46582453587290468</v>
      </c>
      <c r="H270" s="823">
        <f t="shared" si="17"/>
        <v>13027.775</v>
      </c>
      <c r="I270" s="428">
        <f>IF(ISERROR($E270*VLOOKUP($C270,fish_group_yield_w!$A$7:$I$45,9,FALSE)),0,$E270*VLOOKUP($C270,fish_group_yield_w!$A$7:$I$45,9,FALSE))</f>
        <v>0.13659711224815455</v>
      </c>
      <c r="J270" s="429">
        <f>IF(ISERROR($E270*VLOOKUP($C270,fish_group_yield_w!$A$7:$I$45,9,FALSE)),0,$E270*VLOOKUP($C270,fish_group_yield_w!$A$7:$I$45,9,FALSE))</f>
        <v>0.13659711224815455</v>
      </c>
      <c r="L270" s="814"/>
      <c r="M270" s="814"/>
    </row>
    <row r="271" spans="1:13" ht="12.75" customHeight="1">
      <c r="A271" s="403" t="s">
        <v>6117</v>
      </c>
      <c r="B271" s="403">
        <v>306.13</v>
      </c>
      <c r="C271" s="403" t="s">
        <v>2322</v>
      </c>
      <c r="D271" s="403" t="s">
        <v>4680</v>
      </c>
      <c r="E271" s="87">
        <f t="shared" si="18"/>
        <v>0.55605169595767268</v>
      </c>
      <c r="F271" s="87">
        <f>IFERROR($E271*(VLOOKUP(C271,fish_group_yield_n!$A$7:$J$49,7,FALSE)),0)</f>
        <v>0.30344894028325042</v>
      </c>
      <c r="G271" s="87">
        <f>IFERROR($E271*(VLOOKUP(C271,fish_group_yield_n!$A$7:$J$49,10,FALSE)),0)</f>
        <v>0.8280950066410655</v>
      </c>
      <c r="H271" s="823">
        <f t="shared" si="17"/>
        <v>0</v>
      </c>
      <c r="I271" s="428">
        <f>IF(ISERROR($E271*VLOOKUP($C271,fish_group_yield_w!$A$7:$I$45,9,FALSE)),0,$E271*VLOOKUP($C271,fish_group_yield_w!$A$7:$I$45,9,FALSE))</f>
        <v>0.24282831380343664</v>
      </c>
      <c r="J271" s="429">
        <f>IF(ISERROR($E271*VLOOKUP($C271,fish_group_yield_w!$A$7:$I$45,9,FALSE)),0,$E271*VLOOKUP($C271,fish_group_yield_w!$A$7:$I$45,9,FALSE))</f>
        <v>0.24282831380343664</v>
      </c>
      <c r="L271" s="814"/>
      <c r="M271" s="814"/>
    </row>
    <row r="272" spans="1:13" ht="12.75" customHeight="1">
      <c r="A272" s="403" t="s">
        <v>6140</v>
      </c>
      <c r="B272" s="403">
        <v>306.23</v>
      </c>
      <c r="C272" s="403" t="s">
        <v>2322</v>
      </c>
      <c r="D272" s="403" t="s">
        <v>4680</v>
      </c>
      <c r="E272" s="87">
        <f t="shared" si="18"/>
        <v>0.55605169595767268</v>
      </c>
      <c r="F272" s="87">
        <f>IFERROR($E272*(VLOOKUP(C272,fish_group_yield_n!$A$7:$J$49,7,FALSE)),0)</f>
        <v>0.30344894028325042</v>
      </c>
      <c r="G272" s="87">
        <f>IFERROR($E272*(VLOOKUP(C272,fish_group_yield_n!$A$7:$J$49,10,FALSE)),0)</f>
        <v>0.8280950066410655</v>
      </c>
      <c r="H272" s="823">
        <f t="shared" si="17"/>
        <v>0</v>
      </c>
      <c r="I272" s="428">
        <f>IF(ISERROR($E272*VLOOKUP($C272,fish_group_yield_w!$A$7:$I$45,9,FALSE)),0,$E272*VLOOKUP($C272,fish_group_yield_w!$A$7:$I$45,9,FALSE))</f>
        <v>0.24282831380343664</v>
      </c>
      <c r="J272" s="429">
        <f>IF(ISERROR($E272*VLOOKUP($C272,fish_group_yield_w!$A$7:$I$45,9,FALSE)),0,$E272*VLOOKUP($C272,fish_group_yield_w!$A$7:$I$45,9,FALSE))</f>
        <v>0.24282831380343664</v>
      </c>
      <c r="L272" s="814"/>
      <c r="M272" s="814"/>
    </row>
    <row r="273" spans="1:13" ht="12.75" customHeight="1">
      <c r="A273" s="403" t="s">
        <v>6118</v>
      </c>
      <c r="B273" s="403">
        <v>302.33</v>
      </c>
      <c r="C273" s="403" t="s">
        <v>2320</v>
      </c>
      <c r="D273" s="403" t="s">
        <v>4699</v>
      </c>
      <c r="E273" s="87">
        <f t="shared" si="18"/>
        <v>0.88028169014084512</v>
      </c>
      <c r="F273" s="87">
        <f>IFERROR($E273*(VLOOKUP(C273,fish_group_yield_n!$A$7:$J$49,7,FALSE)),0)</f>
        <v>1.2140787153496386E-2</v>
      </c>
      <c r="G273" s="87">
        <f>IFERROR($E273*(VLOOKUP(C273,fish_group_yield_n!$A$7:$J$49,10,FALSE)),0)</f>
        <v>1.2140787153496386E-2</v>
      </c>
      <c r="H273" s="823">
        <f t="shared" si="17"/>
        <v>3.4079999999999999</v>
      </c>
      <c r="I273" s="428">
        <f>IF(ISERROR($E273*VLOOKUP($C273,fish_group_yield_w!$A$7:$I$45,9,FALSE)),0,$E273*VLOOKUP($C273,fish_group_yield_w!$A$7:$I$45,9,FALSE))</f>
        <v>2.4947121946871438E-2</v>
      </c>
      <c r="J273" s="429">
        <f>IF(ISERROR($E273*VLOOKUP($C273,fish_group_yield_w!$A$7:$I$45,9,FALSE)),0,$E273*VLOOKUP($C273,fish_group_yield_w!$A$7:$I$45,9,FALSE))</f>
        <v>2.4947121946871438E-2</v>
      </c>
      <c r="L273" s="814"/>
      <c r="M273" s="814"/>
    </row>
    <row r="274" spans="1:13" ht="12.75" customHeight="1">
      <c r="A274" s="403" t="s">
        <v>6119</v>
      </c>
      <c r="B274" s="403">
        <v>303.43</v>
      </c>
      <c r="C274" s="403" t="s">
        <v>2320</v>
      </c>
      <c r="D274" s="403" t="s">
        <v>4699</v>
      </c>
      <c r="E274" s="87">
        <f t="shared" si="18"/>
        <v>0.65055762081784374</v>
      </c>
      <c r="F274" s="87">
        <f>IFERROR($E274*(VLOOKUP(C274,fish_group_yield_n!$A$7:$J$49,7,FALSE)),0)</f>
        <v>8.9724479037735349E-3</v>
      </c>
      <c r="G274" s="87">
        <f>IFERROR($E274*(VLOOKUP(C274,fish_group_yield_n!$A$7:$J$49,10,FALSE)),0)</f>
        <v>8.9724479037735349E-3</v>
      </c>
      <c r="H274" s="823">
        <f t="shared" si="17"/>
        <v>484.2000000000001</v>
      </c>
      <c r="I274" s="428">
        <f>IF(ISERROR($E274*VLOOKUP($C274,fish_group_yield_w!$A$7:$I$45,9,FALSE)),0,$E274*VLOOKUP($C274,fish_group_yield_w!$A$7:$I$45,9,FALSE))</f>
        <v>1.843675778081056E-2</v>
      </c>
      <c r="J274" s="429">
        <f>IF(ISERROR($E274*VLOOKUP($C274,fish_group_yield_w!$A$7:$I$45,9,FALSE)),0,$E274*VLOOKUP($C274,fish_group_yield_w!$A$7:$I$45,9,FALSE))</f>
        <v>1.843675778081056E-2</v>
      </c>
      <c r="L274" s="814"/>
      <c r="M274" s="814"/>
    </row>
    <row r="275" spans="1:13" ht="12.75" customHeight="1">
      <c r="A275" s="403" t="s">
        <v>6120</v>
      </c>
      <c r="B275" s="403">
        <v>303.11</v>
      </c>
      <c r="C275" s="403" t="s">
        <v>3791</v>
      </c>
      <c r="D275" s="403" t="s">
        <v>4685</v>
      </c>
      <c r="E275" s="87">
        <f t="shared" si="18"/>
        <v>0.44798407167745147</v>
      </c>
      <c r="F275" s="87">
        <f>IFERROR($E275*(VLOOKUP(C275,fish_group_yield_n!$A$7:$J$49,7,FALSE)),0)</f>
        <v>3.2309613088533279E-2</v>
      </c>
      <c r="G275" s="87">
        <f>IFERROR($E275*(VLOOKUP(C275,fish_group_yield_n!$A$7:$J$49,10,FALSE)),0)</f>
        <v>4.5662836806921021E-2</v>
      </c>
      <c r="H275" s="823">
        <f t="shared" si="17"/>
        <v>11966.943333333333</v>
      </c>
      <c r="I275" s="428">
        <f>IF(ISERROR($E275*VLOOKUP($C275,fish_group_yield_w!$A$7:$I$45,9,FALSE)),0,$E275*VLOOKUP($C275,fish_group_yield_w!$A$7:$I$45,9,FALSE))</f>
        <v>0.18532159247237642</v>
      </c>
      <c r="J275" s="429">
        <f>IF(ISERROR($E275*VLOOKUP($C275,fish_group_yield_w!$A$7:$I$45,9,FALSE)),0,$E275*VLOOKUP($C275,fish_group_yield_w!$A$7:$I$45,9,FALSE))</f>
        <v>0.18532159247237642</v>
      </c>
      <c r="L275" s="814"/>
      <c r="M275" s="814"/>
    </row>
    <row r="276" spans="1:13" ht="12.75" customHeight="1">
      <c r="A276" s="403" t="s">
        <v>6121</v>
      </c>
      <c r="B276" s="403">
        <v>302.23</v>
      </c>
      <c r="C276" s="403" t="s">
        <v>1741</v>
      </c>
      <c r="D276" s="403" t="s">
        <v>4681</v>
      </c>
      <c r="E276" s="87">
        <f t="shared" si="18"/>
        <v>0.81530260269677024</v>
      </c>
      <c r="F276" s="87">
        <f>IFERROR($E276*(VLOOKUP(C276,fish_group_yield_n!$A$7:$J$49,7,FALSE)),0)</f>
        <v>0.12350466484194299</v>
      </c>
      <c r="G276" s="87">
        <f>IFERROR($E276*(VLOOKUP(C276,fish_group_yield_n!$A$7:$J$49,10,FALSE)),0)</f>
        <v>0.12350466484194299</v>
      </c>
      <c r="H276" s="823">
        <f t="shared" si="17"/>
        <v>13.491923076923076</v>
      </c>
      <c r="I276" s="428">
        <f>IF(ISERROR($E276*VLOOKUP($C276,fish_group_yield_w!$A$7:$I$45,9,FALSE)),0,$E276*VLOOKUP($C276,fish_group_yield_w!$A$7:$I$45,9,FALSE))</f>
        <v>3.6614411592233533E-3</v>
      </c>
      <c r="J276" s="429">
        <f>IF(ISERROR($E276*VLOOKUP($C276,fish_group_yield_w!$A$7:$I$45,9,FALSE)),0,$E276*VLOOKUP($C276,fish_group_yield_w!$A$7:$I$45,9,FALSE))</f>
        <v>3.6614411592233533E-3</v>
      </c>
      <c r="L276" s="814"/>
      <c r="M276" s="814"/>
    </row>
    <row r="277" spans="1:13" ht="12.75" customHeight="1">
      <c r="A277" s="403" t="s">
        <v>6122</v>
      </c>
      <c r="B277" s="403">
        <v>303.33</v>
      </c>
      <c r="C277" s="403" t="s">
        <v>1741</v>
      </c>
      <c r="D277" s="403" t="s">
        <v>4681</v>
      </c>
      <c r="E277" s="87">
        <f t="shared" si="18"/>
        <v>0.81632653061224481</v>
      </c>
      <c r="F277" s="87">
        <f>IFERROR($E277*(VLOOKUP(C277,fish_group_yield_n!$A$7:$J$49,7,FALSE)),0)</f>
        <v>0.12365977274127349</v>
      </c>
      <c r="G277" s="87">
        <f>IFERROR($E277*(VLOOKUP(C277,fish_group_yield_n!$A$7:$J$49,10,FALSE)),0)</f>
        <v>0.12365977274127349</v>
      </c>
      <c r="H277" s="823">
        <f t="shared" si="17"/>
        <v>231.52500000000003</v>
      </c>
      <c r="I277" s="428">
        <f>IF(ISERROR($E277*VLOOKUP($C277,fish_group_yield_w!$A$7:$I$45,9,FALSE)),0,$E277*VLOOKUP($C277,fish_group_yield_w!$A$7:$I$45,9,FALSE))</f>
        <v>3.666039515467275E-3</v>
      </c>
      <c r="J277" s="429">
        <f>IF(ISERROR($E277*VLOOKUP($C277,fish_group_yield_w!$A$7:$I$45,9,FALSE)),0,$E277*VLOOKUP($C277,fish_group_yield_w!$A$7:$I$45,9,FALSE))</f>
        <v>3.666039515467275E-3</v>
      </c>
      <c r="L277" s="814"/>
      <c r="M277" s="814"/>
    </row>
    <row r="278" spans="1:13" ht="12.75" customHeight="1">
      <c r="A278" s="403" t="s">
        <v>6123</v>
      </c>
      <c r="B278" s="403">
        <v>301.95</v>
      </c>
      <c r="C278" s="403" t="s">
        <v>2843</v>
      </c>
      <c r="D278" s="403" t="s">
        <v>4699</v>
      </c>
      <c r="E278" s="87">
        <f t="shared" si="18"/>
        <v>0.85034013605442182</v>
      </c>
      <c r="F278" s="87">
        <f>IFERROR($E278*(VLOOKUP(C278,fish_group_yield_n!$A$7:$J$49,7,FALSE)),0)</f>
        <v>1.2496450443964422E-2</v>
      </c>
      <c r="G278" s="87">
        <f>IFERROR($E278*(VLOOKUP(C278,fish_group_yield_n!$A$7:$J$49,10,FALSE)),0)</f>
        <v>1.2202409111072083E-2</v>
      </c>
      <c r="H278" s="823">
        <f t="shared" si="17"/>
        <v>1.1759999999999999</v>
      </c>
      <c r="I278" s="428">
        <f>IF(ISERROR($E278*VLOOKUP($C278,fish_group_yield_w!$A$7:$I$45,9,FALSE)),0,$E278*VLOOKUP($C278,fish_group_yield_w!$A$7:$I$45,9,FALSE))</f>
        <v>8.4232444339721584E-3</v>
      </c>
      <c r="J278" s="429">
        <f>IF(ISERROR($E278*VLOOKUP($C278,fish_group_yield_w!$A$7:$I$45,9,FALSE)),0,$E278*VLOOKUP($C278,fish_group_yield_w!$A$7:$I$45,9,FALSE))</f>
        <v>8.4232444339721584E-3</v>
      </c>
      <c r="L278" s="814"/>
      <c r="M278" s="814"/>
    </row>
    <row r="279" spans="1:13" ht="12.75" customHeight="1">
      <c r="A279" t="s">
        <v>9156</v>
      </c>
      <c r="B279">
        <v>307.83999999999997</v>
      </c>
      <c r="C279" t="s">
        <v>1736</v>
      </c>
      <c r="D279" t="s">
        <v>4691</v>
      </c>
      <c r="E279" s="87">
        <v>1</v>
      </c>
      <c r="F279" s="87">
        <f>IFERROR($E279*(VLOOKUP(C279,fish_group_yield_n!$A$7:$J$49,7,FALSE)),0)</f>
        <v>0.4845349342699814</v>
      </c>
      <c r="G279" s="87">
        <f>IFERROR($E279*(VLOOKUP(C279,fish_group_yield_n!$A$7:$J$49,10,FALSE)),0)</f>
        <v>1.1271424384294431</v>
      </c>
      <c r="H279" s="823">
        <f t="shared" si="17"/>
        <v>4</v>
      </c>
      <c r="I279" s="428">
        <f>IF(ISERROR($E279*VLOOKUP($C279,fish_group_yield_w!$A$7:$I$45,9,FALSE)),0,$E279*VLOOKUP($C279,fish_group_yield_w!$A$7:$I$45,9,FALSE))</f>
        <v>0.56595551679770018</v>
      </c>
      <c r="J279" s="429">
        <f>IF(ISERROR($E279*VLOOKUP($C279,fish_group_yield_w!$A$7:$I$45,9,FALSE)),0,$E279*VLOOKUP($C279,fish_group_yield_w!$A$7:$I$45,9,FALSE))</f>
        <v>0.56595551679770018</v>
      </c>
      <c r="L279" s="814"/>
      <c r="M279" s="814"/>
    </row>
    <row r="280" spans="1:13" ht="12.75" customHeight="1">
      <c r="A280" t="s">
        <v>9154</v>
      </c>
      <c r="B280">
        <v>307.82</v>
      </c>
      <c r="C280" s="403" t="s">
        <v>1736</v>
      </c>
      <c r="D280" s="403" t="s">
        <v>4691</v>
      </c>
      <c r="E280" s="87">
        <v>1</v>
      </c>
      <c r="F280" s="87">
        <f>IFERROR($E280*(VLOOKUP(C280,fish_group_yield_n!$A$7:$J$49,7,FALSE)),0)</f>
        <v>0.4845349342699814</v>
      </c>
      <c r="G280" s="87">
        <f>IFERROR($E280*(VLOOKUP(C280,fish_group_yield_n!$A$7:$J$49,10,FALSE)),0)</f>
        <v>1.1271424384294431</v>
      </c>
      <c r="H280" s="823">
        <f t="shared" si="17"/>
        <v>14</v>
      </c>
      <c r="I280" s="428">
        <f>IF(ISERROR($E280*VLOOKUP($C280,fish_group_yield_w!$A$7:$I$45,9,FALSE)),0,$E280*VLOOKUP($C280,fish_group_yield_w!$A$7:$I$45,9,FALSE))</f>
        <v>0.56595551679770018</v>
      </c>
      <c r="J280" s="429">
        <f>IF(ISERROR($E280*VLOOKUP($C280,fish_group_yield_w!$A$7:$I$45,9,FALSE)),0,$E280*VLOOKUP($C280,fish_group_yield_w!$A$7:$I$45,9,FALSE))</f>
        <v>0.56595551679770018</v>
      </c>
    </row>
    <row r="281" spans="1:13" ht="12.75" customHeight="1">
      <c r="A281" t="s">
        <v>9158</v>
      </c>
      <c r="B281">
        <v>307.88</v>
      </c>
      <c r="C281" t="s">
        <v>1736</v>
      </c>
      <c r="D281" t="s">
        <v>4691</v>
      </c>
      <c r="E281" s="87">
        <v>5.6</v>
      </c>
      <c r="F281" s="87">
        <f>IFERROR($E281*(VLOOKUP(C281,fish_group_yield_n!$A$7:$J$49,7,FALSE)),0)</f>
        <v>2.7133956319118955</v>
      </c>
      <c r="G281" s="87">
        <f>IFERROR($E281*(VLOOKUP(C281,fish_group_yield_n!$A$7:$J$49,10,FALSE)),0)</f>
        <v>6.3119976552048804</v>
      </c>
      <c r="H281" s="823">
        <f t="shared" si="17"/>
        <v>2.1428571428571428</v>
      </c>
      <c r="I281" s="428">
        <f>IF(ISERROR($E281*VLOOKUP($C281,fish_group_yield_w!$A$7:$I$45,9,FALSE)),0,$E281*VLOOKUP($C281,fish_group_yield_w!$A$7:$I$45,9,FALSE))</f>
        <v>3.1693508940671209</v>
      </c>
      <c r="J281" s="429">
        <f>IF(ISERROR($E281*VLOOKUP($C281,fish_group_yield_w!$A$7:$I$45,9,FALSE)),0,$E281*VLOOKUP($C281,fish_group_yield_w!$A$7:$I$45,9,FALSE))</f>
        <v>3.1693508940671209</v>
      </c>
    </row>
    <row r="282" spans="1:13" ht="12.75" customHeight="1">
      <c r="A282" s="403" t="s">
        <v>6124</v>
      </c>
      <c r="B282" s="403">
        <v>304.20999999999998</v>
      </c>
      <c r="C282" s="403" t="s">
        <v>4084</v>
      </c>
      <c r="D282" s="403" t="s">
        <v>4699</v>
      </c>
      <c r="E282" s="87">
        <f t="shared" ref="E282:E322" si="19">IFERROR(1/VLOOKUP(B282,constant_fish_extr,2,FALSE),0)</f>
        <v>0.45248868778280543</v>
      </c>
      <c r="F282" s="87">
        <f>IFERROR($E282*(VLOOKUP(C282,fish_group_yield_n!$A$7:$J$49,7,FALSE)),0)</f>
        <v>4.4126407763131108E-3</v>
      </c>
      <c r="G282" s="87">
        <f>IFERROR($E282*(VLOOKUP(C282,fish_group_yield_n!$A$7:$J$49,10,FALSE)),0)</f>
        <v>4.4126407763131108E-3</v>
      </c>
      <c r="H282" s="823">
        <f t="shared" si="17"/>
        <v>0</v>
      </c>
      <c r="I282" s="428">
        <f>IF(ISERROR($E282*VLOOKUP($C282,fish_group_yield_w!$A$7:$I$45,9,FALSE)),0,$E282*VLOOKUP($C282,fish_group_yield_w!$A$7:$I$45,9,FALSE))</f>
        <v>0</v>
      </c>
      <c r="J282" s="429">
        <f>IF(ISERROR($E282*VLOOKUP($C282,fish_group_yield_w!$A$7:$I$45,9,FALSE)),0,$E282*VLOOKUP($C282,fish_group_yield_w!$A$7:$I$45,9,FALSE))</f>
        <v>0</v>
      </c>
    </row>
    <row r="283" spans="1:13" ht="12.75" customHeight="1">
      <c r="A283" s="403" t="s">
        <v>6125</v>
      </c>
      <c r="B283" s="403">
        <v>304.11</v>
      </c>
      <c r="C283" s="403" t="s">
        <v>4084</v>
      </c>
      <c r="D283" s="403" t="s">
        <v>4699</v>
      </c>
      <c r="E283" s="87">
        <f t="shared" si="19"/>
        <v>0.45248868778280543</v>
      </c>
      <c r="F283" s="87">
        <f>IFERROR($E283*(VLOOKUP(C283,fish_group_yield_n!$A$7:$J$49,7,FALSE)),0)</f>
        <v>4.4126407763131108E-3</v>
      </c>
      <c r="G283" s="87">
        <f>IFERROR($E283*(VLOOKUP(C283,fish_group_yield_n!$A$7:$J$49,10,FALSE)),0)</f>
        <v>4.4126407763131108E-3</v>
      </c>
      <c r="H283" s="823">
        <f t="shared" si="17"/>
        <v>0</v>
      </c>
      <c r="I283" s="428">
        <f>IF(ISERROR($E283*VLOOKUP($C283,fish_group_yield_w!$A$7:$I$45,9,FALSE)),0,$E283*VLOOKUP($C283,fish_group_yield_w!$A$7:$I$45,9,FALSE))</f>
        <v>0</v>
      </c>
      <c r="J283" s="429">
        <f>IF(ISERROR($E283*VLOOKUP($C283,fish_group_yield_w!$A$7:$I$45,9,FALSE)),0,$E283*VLOOKUP($C283,fish_group_yield_w!$A$7:$I$45,9,FALSE))</f>
        <v>0</v>
      </c>
    </row>
    <row r="284" spans="1:13" ht="12.75" customHeight="1">
      <c r="A284" s="403" t="s">
        <v>6126</v>
      </c>
      <c r="B284" s="403">
        <v>304.91000000000003</v>
      </c>
      <c r="C284" s="403" t="s">
        <v>4084</v>
      </c>
      <c r="D284" s="403" t="s">
        <v>4699</v>
      </c>
      <c r="E284" s="87">
        <f t="shared" si="19"/>
        <v>0.68027210884353739</v>
      </c>
      <c r="F284" s="87">
        <f>IFERROR($E284*(VLOOKUP(C284,fish_group_yield_n!$A$7:$J$49,7,FALSE)),0)</f>
        <v>6.6339701467020232E-3</v>
      </c>
      <c r="G284" s="87">
        <f>IFERROR($E284*(VLOOKUP(C284,fish_group_yield_n!$A$7:$J$49,10,FALSE)),0)</f>
        <v>6.6339701467020232E-3</v>
      </c>
      <c r="H284" s="823">
        <f t="shared" si="17"/>
        <v>8.82</v>
      </c>
      <c r="I284" s="428">
        <f>IF(ISERROR($E284*VLOOKUP($C284,fish_group_yield_w!$A$7:$I$45,9,FALSE)),0,$E284*VLOOKUP($C284,fish_group_yield_w!$A$7:$I$45,9,FALSE))</f>
        <v>0</v>
      </c>
      <c r="J284" s="429">
        <f>IF(ISERROR($E284*VLOOKUP($C284,fish_group_yield_w!$A$7:$I$45,9,FALSE)),0,$E284*VLOOKUP($C284,fish_group_yield_w!$A$7:$I$45,9,FALSE))</f>
        <v>0</v>
      </c>
    </row>
    <row r="285" spans="1:13" ht="12.75" customHeight="1">
      <c r="A285" s="403" t="s">
        <v>8488</v>
      </c>
      <c r="B285" s="403">
        <v>304.54000000000002</v>
      </c>
      <c r="C285" s="403" t="s">
        <v>4084</v>
      </c>
      <c r="D285" s="403" t="s">
        <v>4699</v>
      </c>
      <c r="E285" s="87">
        <f t="shared" si="19"/>
        <v>0.45248868778280543</v>
      </c>
      <c r="F285" s="87">
        <f>IFERROR($E285*(VLOOKUP(C285,fish_group_yield_n!$A$7:$J$49,7,FALSE)),0)</f>
        <v>4.4126407763131108E-3</v>
      </c>
      <c r="G285" s="87">
        <f>IFERROR($E285*(VLOOKUP(C285,fish_group_yield_n!$A$7:$J$49,10,FALSE)),0)</f>
        <v>4.4126407763131108E-3</v>
      </c>
      <c r="H285" s="823">
        <f t="shared" si="17"/>
        <v>13.26</v>
      </c>
      <c r="I285" s="428">
        <f>IF(ISERROR($E285*VLOOKUP($C285,fish_group_yield_w!$A$7:$I$45,9,FALSE)),0,$E285*VLOOKUP($C285,fish_group_yield_w!$A$7:$I$45,9,FALSE))</f>
        <v>0</v>
      </c>
      <c r="J285" s="429">
        <f>IF(ISERROR($E285*VLOOKUP($C285,fish_group_yield_w!$A$7:$I$45,9,FALSE)),0,$E285*VLOOKUP($C285,fish_group_yield_w!$A$7:$I$45,9,FALSE))</f>
        <v>0</v>
      </c>
    </row>
    <row r="286" spans="1:13" ht="12.75" customHeight="1">
      <c r="A286" s="403" t="s">
        <v>8489</v>
      </c>
      <c r="B286" s="403">
        <v>304.45</v>
      </c>
      <c r="C286" s="403" t="s">
        <v>4084</v>
      </c>
      <c r="D286" s="403" t="s">
        <v>4699</v>
      </c>
      <c r="E286" s="87">
        <f t="shared" si="19"/>
        <v>0.45248868778280543</v>
      </c>
      <c r="F286" s="87">
        <f>IFERROR($E286*(VLOOKUP(C286,fish_group_yield_n!$A$7:$J$49,7,FALSE)),0)</f>
        <v>4.4126407763131108E-3</v>
      </c>
      <c r="G286" s="87">
        <f>IFERROR($E286*(VLOOKUP(C286,fish_group_yield_n!$A$7:$J$49,10,FALSE)),0)</f>
        <v>4.4126407763131108E-3</v>
      </c>
      <c r="H286" s="823">
        <f t="shared" si="17"/>
        <v>2.21</v>
      </c>
      <c r="I286" s="428">
        <f>IF(ISERROR($E286*VLOOKUP($C286,fish_group_yield_w!$A$7:$I$45,9,FALSE)),0,$E286*VLOOKUP($C286,fish_group_yield_w!$A$7:$I$45,9,FALSE))</f>
        <v>0</v>
      </c>
      <c r="J286" s="429">
        <f>IF(ISERROR($E286*VLOOKUP($C286,fish_group_yield_w!$A$7:$I$45,9,FALSE)),0,$E286*VLOOKUP($C286,fish_group_yield_w!$A$7:$I$45,9,FALSE))</f>
        <v>0</v>
      </c>
    </row>
    <row r="287" spans="1:13" ht="12.75" customHeight="1">
      <c r="A287" s="403" t="s">
        <v>8490</v>
      </c>
      <c r="B287" s="403">
        <v>304.83999999999997</v>
      </c>
      <c r="C287" s="403" t="s">
        <v>4084</v>
      </c>
      <c r="D287" s="403" t="s">
        <v>4699</v>
      </c>
      <c r="E287" s="87">
        <f t="shared" si="19"/>
        <v>0.45248868778280543</v>
      </c>
      <c r="F287" s="87">
        <f>IFERROR($E287*(VLOOKUP(C287,fish_group_yield_n!$A$7:$J$49,7,FALSE)),0)</f>
        <v>4.4126407763131108E-3</v>
      </c>
      <c r="G287" s="87">
        <f>IFERROR($E287*(VLOOKUP(C287,fish_group_yield_n!$A$7:$J$49,10,FALSE)),0)</f>
        <v>4.4126407763131108E-3</v>
      </c>
      <c r="H287" s="823">
        <f t="shared" si="17"/>
        <v>0</v>
      </c>
      <c r="I287" s="428">
        <f>IF(ISERROR($E287*VLOOKUP($C287,fish_group_yield_w!$A$7:$I$45,9,FALSE)),0,$E287*VLOOKUP($C287,fish_group_yield_w!$A$7:$I$45,9,FALSE))</f>
        <v>0</v>
      </c>
      <c r="J287" s="429">
        <f>IF(ISERROR($E287*VLOOKUP($C287,fish_group_yield_w!$A$7:$I$45,9,FALSE)),0,$E287*VLOOKUP($C287,fish_group_yield_w!$A$7:$I$45,9,FALSE))</f>
        <v>0</v>
      </c>
    </row>
    <row r="288" spans="1:13" ht="12.75" customHeight="1">
      <c r="A288" s="403" t="s">
        <v>6127</v>
      </c>
      <c r="B288" s="403">
        <v>302.67</v>
      </c>
      <c r="C288" s="403" t="s">
        <v>4084</v>
      </c>
      <c r="D288" s="403" t="s">
        <v>4699</v>
      </c>
      <c r="E288" s="87">
        <f t="shared" si="19"/>
        <v>0.84033613445378152</v>
      </c>
      <c r="F288" s="87">
        <f>IFERROR($E288*(VLOOKUP(C288,fish_group_yield_n!$A$7:$J$49,7,FALSE)),0)</f>
        <v>8.1949042988672064E-3</v>
      </c>
      <c r="G288" s="87">
        <f>IFERROR($E288*(VLOOKUP(C288,fish_group_yield_n!$A$7:$J$49,10,FALSE)),0)</f>
        <v>8.1949042988672064E-3</v>
      </c>
      <c r="H288" s="823">
        <f t="shared" si="17"/>
        <v>0</v>
      </c>
      <c r="I288" s="428">
        <f>IF(ISERROR($E288*VLOOKUP($C288,fish_group_yield_w!$A$7:$I$45,9,FALSE)),0,$E288*VLOOKUP($C288,fish_group_yield_w!$A$7:$I$45,9,FALSE))</f>
        <v>0</v>
      </c>
      <c r="J288" s="429">
        <f>IF(ISERROR($E288*VLOOKUP($C288,fish_group_yield_w!$A$7:$I$45,9,FALSE)),0,$E288*VLOOKUP($C288,fish_group_yield_w!$A$7:$I$45,9,FALSE))</f>
        <v>0</v>
      </c>
    </row>
    <row r="289" spans="1:10" ht="12.75" customHeight="1">
      <c r="A289" s="403" t="s">
        <v>6127</v>
      </c>
      <c r="B289" s="403">
        <v>302.47000000000003</v>
      </c>
      <c r="C289" s="403" t="s">
        <v>4084</v>
      </c>
      <c r="D289" s="403" t="s">
        <v>4699</v>
      </c>
      <c r="E289" s="87">
        <f t="shared" si="19"/>
        <v>0</v>
      </c>
      <c r="F289" s="87">
        <f>IFERROR($E289*(VLOOKUP(C289,fish_group_yield_n!$A$7:$J$49,7,FALSE)),0)</f>
        <v>0</v>
      </c>
      <c r="G289" s="87">
        <f>IFERROR($E289*(VLOOKUP(C289,fish_group_yield_n!$A$7:$J$49,10,FALSE)),0)</f>
        <v>0</v>
      </c>
      <c r="H289" s="823">
        <f t="shared" si="17"/>
        <v>0</v>
      </c>
      <c r="I289" s="428">
        <f>IF(ISERROR($E289*VLOOKUP($C289,fish_group_yield_w!$A$7:$I$45,9,FALSE)),0,$E289*VLOOKUP($C289,fish_group_yield_w!$A$7:$I$45,9,FALSE))</f>
        <v>0</v>
      </c>
      <c r="J289" s="429">
        <f>IF(ISERROR($E289*VLOOKUP($C289,fish_group_yield_w!$A$7:$I$45,9,FALSE)),0,$E289*VLOOKUP($C289,fish_group_yield_w!$A$7:$I$45,9,FALSE))</f>
        <v>0</v>
      </c>
    </row>
    <row r="290" spans="1:10" ht="12.75" customHeight="1">
      <c r="A290" s="403" t="s">
        <v>6128</v>
      </c>
      <c r="B290" s="403">
        <v>303.61</v>
      </c>
      <c r="C290" s="403" t="s">
        <v>4084</v>
      </c>
      <c r="D290" s="403" t="s">
        <v>4699</v>
      </c>
      <c r="E290" s="87">
        <f t="shared" si="19"/>
        <v>0.70754716981132071</v>
      </c>
      <c r="F290" s="87">
        <f>IFERROR($E290*(VLOOKUP(C290,fish_group_yield_n!$A$7:$J$49,7,FALSE)),0)</f>
        <v>6.8999547988103597E-3</v>
      </c>
      <c r="G290" s="87">
        <f>IFERROR($E290*(VLOOKUP(C290,fish_group_yield_n!$A$7:$J$49,10,FALSE)),0)</f>
        <v>6.8999547988103597E-3</v>
      </c>
      <c r="H290" s="823">
        <f t="shared" si="17"/>
        <v>0</v>
      </c>
      <c r="I290" s="428">
        <f>IF(ISERROR($E290*VLOOKUP($C290,fish_group_yield_w!$A$7:$I$45,9,FALSE)),0,$E290*VLOOKUP($C290,fish_group_yield_w!$A$7:$I$45,9,FALSE))</f>
        <v>0</v>
      </c>
      <c r="J290" s="429">
        <f>IF(ISERROR($E290*VLOOKUP($C290,fish_group_yield_w!$A$7:$I$45,9,FALSE)),0,$E290*VLOOKUP($C290,fish_group_yield_w!$A$7:$I$45,9,FALSE))</f>
        <v>0</v>
      </c>
    </row>
    <row r="291" spans="1:10" ht="12.75" customHeight="1">
      <c r="A291" s="403" t="s">
        <v>6128</v>
      </c>
      <c r="B291" s="403">
        <v>303.57</v>
      </c>
      <c r="C291" s="403" t="s">
        <v>4084</v>
      </c>
      <c r="D291" s="403" t="s">
        <v>4699</v>
      </c>
      <c r="E291" s="87">
        <f t="shared" si="19"/>
        <v>0</v>
      </c>
      <c r="F291" s="87">
        <f>IFERROR($E291*(VLOOKUP(C291,fish_group_yield_n!$A$7:$J$49,7,FALSE)),0)</f>
        <v>0</v>
      </c>
      <c r="G291" s="87">
        <f>IFERROR($E291*(VLOOKUP(C291,fish_group_yield_n!$A$7:$J$49,10,FALSE)),0)</f>
        <v>0</v>
      </c>
      <c r="H291" s="823">
        <f t="shared" si="17"/>
        <v>0</v>
      </c>
      <c r="I291" s="428">
        <f>IF(ISERROR($E291*VLOOKUP($C291,fish_group_yield_w!$A$7:$I$45,9,FALSE)),0,$E291*VLOOKUP($C291,fish_group_yield_w!$A$7:$I$45,9,FALSE))</f>
        <v>0</v>
      </c>
      <c r="J291" s="429">
        <f>IF(ISERROR($E291*VLOOKUP($C291,fish_group_yield_w!$A$7:$I$45,9,FALSE)),0,$E291*VLOOKUP($C291,fish_group_yield_w!$A$7:$I$45,9,FALSE))</f>
        <v>0</v>
      </c>
    </row>
    <row r="292" spans="1:10" ht="12.75" customHeight="1">
      <c r="A292" s="403" t="s">
        <v>8395</v>
      </c>
      <c r="B292" s="403">
        <v>304.31</v>
      </c>
      <c r="C292" s="403" t="s">
        <v>1738</v>
      </c>
      <c r="D292" s="403" t="s">
        <v>4685</v>
      </c>
      <c r="E292" s="87">
        <f t="shared" si="19"/>
        <v>0.50820469632624188</v>
      </c>
      <c r="F292" s="87">
        <f>IFERROR($E292*(VLOOKUP(C292,fish_group_yield_n!$A$7:$J$49,7,FALSE)),0)</f>
        <v>4.5798651488069199E-2</v>
      </c>
      <c r="G292" s="87">
        <f>IFERROR($E292*(VLOOKUP(C292,fish_group_yield_n!$A$7:$J$49,10,FALSE)),0)</f>
        <v>3.1497069028306734E-2</v>
      </c>
      <c r="H292" s="823">
        <f t="shared" si="17"/>
        <v>3968.8732012527239</v>
      </c>
      <c r="I292" s="428">
        <f>IF(ISERROR($E292*VLOOKUP($C292,fish_group_yield_w!$A$7:$I$45,9,FALSE)),0,$E292*VLOOKUP($C292,fish_group_yield_w!$A$7:$I$45,9,FALSE))</f>
        <v>0.14034313603162699</v>
      </c>
      <c r="J292" s="429">
        <f>IF(ISERROR($E292*VLOOKUP($C292,fish_group_yield_w!$A$7:$I$45,9,FALSE)),0,$E292*VLOOKUP($C292,fish_group_yield_w!$A$7:$I$45,9,FALSE))</f>
        <v>0.14034313603162699</v>
      </c>
    </row>
    <row r="293" spans="1:10" ht="12.75" customHeight="1">
      <c r="A293" s="403" t="s">
        <v>8405</v>
      </c>
      <c r="B293" s="403">
        <v>304.61</v>
      </c>
      <c r="C293" s="403" t="s">
        <v>1738</v>
      </c>
      <c r="D293" s="403" t="s">
        <v>4685</v>
      </c>
      <c r="E293" s="87">
        <f t="shared" si="19"/>
        <v>0.50820469632624188</v>
      </c>
      <c r="F293" s="87">
        <f>IFERROR($E293*(VLOOKUP(C293,fish_group_yield_n!$A$7:$J$49,7,FALSE)),0)</f>
        <v>4.5798651488069199E-2</v>
      </c>
      <c r="G293" s="87">
        <f>IFERROR($E293*(VLOOKUP(C293,fish_group_yield_n!$A$7:$J$49,10,FALSE)),0)</f>
        <v>3.1497069028306734E-2</v>
      </c>
      <c r="H293" s="823">
        <f t="shared" si="17"/>
        <v>4490.3166312636176</v>
      </c>
      <c r="I293" s="428">
        <f>IF(ISERROR($E293*VLOOKUP($C293,fish_group_yield_w!$A$7:$I$45,9,FALSE)),0,$E293*VLOOKUP($C293,fish_group_yield_w!$A$7:$I$45,9,FALSE))</f>
        <v>0.14034313603162699</v>
      </c>
      <c r="J293" s="429">
        <f>IF(ISERROR($E293*VLOOKUP($C293,fish_group_yield_w!$A$7:$I$45,9,FALSE)),0,$E293*VLOOKUP($C293,fish_group_yield_w!$A$7:$I$45,9,FALSE))</f>
        <v>0.14034313603162699</v>
      </c>
    </row>
    <row r="294" spans="1:10" ht="12.75" customHeight="1">
      <c r="A294" s="403" t="s">
        <v>8459</v>
      </c>
      <c r="B294" s="403">
        <v>302.70999999999998</v>
      </c>
      <c r="C294" s="403" t="s">
        <v>1738</v>
      </c>
      <c r="D294" s="403" t="s">
        <v>4685</v>
      </c>
      <c r="E294" s="87">
        <f t="shared" si="19"/>
        <v>0.64516129032258063</v>
      </c>
      <c r="F294" s="87">
        <f>IFERROR($E294*(VLOOKUP(C294,fish_group_yield_n!$A$7:$J$49,7,FALSE)),0)</f>
        <v>5.8140976072580175E-2</v>
      </c>
      <c r="G294" s="87">
        <f>IFERROR($E294*(VLOOKUP(C294,fish_group_yield_n!$A$7:$J$49,10,FALSE)),0)</f>
        <v>3.9985245792842697E-2</v>
      </c>
      <c r="H294" s="823">
        <f t="shared" si="17"/>
        <v>254.20000000000002</v>
      </c>
      <c r="I294" s="428">
        <f>IF(ISERROR($E294*VLOOKUP($C294,fish_group_yield_w!$A$7:$I$45,9,FALSE)),0,$E294*VLOOKUP($C294,fish_group_yield_w!$A$7:$I$45,9,FALSE))</f>
        <v>0.17816434870557993</v>
      </c>
      <c r="J294" s="429">
        <f>IF(ISERROR($E294*VLOOKUP($C294,fish_group_yield_w!$A$7:$I$45,9,FALSE)),0,$E294*VLOOKUP($C294,fish_group_yield_w!$A$7:$I$45,9,FALSE))</f>
        <v>0.17816434870557993</v>
      </c>
    </row>
    <row r="295" spans="1:10" ht="12.75" customHeight="1">
      <c r="A295" s="403" t="s">
        <v>8475</v>
      </c>
      <c r="B295" s="403">
        <v>303.23</v>
      </c>
      <c r="C295" s="403" t="s">
        <v>1738</v>
      </c>
      <c r="D295" s="403" t="s">
        <v>4685</v>
      </c>
      <c r="E295" s="87">
        <f t="shared" si="19"/>
        <v>0.5524861878453039</v>
      </c>
      <c r="F295" s="87">
        <f>IFERROR($E295*(VLOOKUP(C295,fish_group_yield_n!$A$7:$J$49,7,FALSE)),0)</f>
        <v>4.9789233653314516E-2</v>
      </c>
      <c r="G295" s="87">
        <f>IFERROR($E295*(VLOOKUP(C295,fish_group_yield_n!$A$7:$J$49,10,FALSE)),0)</f>
        <v>3.4241508828124961E-2</v>
      </c>
      <c r="H295" s="823">
        <f t="shared" si="17"/>
        <v>4642.6499999999996</v>
      </c>
      <c r="I295" s="428">
        <f>IF(ISERROR($E295*VLOOKUP($C295,fish_group_yield_w!$A$7:$I$45,9,FALSE)),0,$E295*VLOOKUP($C295,fish_group_yield_w!$A$7:$I$45,9,FALSE))</f>
        <v>0.15257167983074527</v>
      </c>
      <c r="J295" s="429">
        <f>IF(ISERROR($E295*VLOOKUP($C295,fish_group_yield_w!$A$7:$I$45,9,FALSE)),0,$E295*VLOOKUP($C295,fish_group_yield_w!$A$7:$I$45,9,FALSE))</f>
        <v>0.15257167983074527</v>
      </c>
    </row>
    <row r="296" spans="1:10" ht="12.75" customHeight="1">
      <c r="A296" s="403" t="s">
        <v>8476</v>
      </c>
      <c r="B296" s="403">
        <v>304.93</v>
      </c>
      <c r="C296" s="403" t="s">
        <v>1738</v>
      </c>
      <c r="D296" s="403" t="s">
        <v>4685</v>
      </c>
      <c r="E296" s="87">
        <f t="shared" si="19"/>
        <v>0.5524861878453039</v>
      </c>
      <c r="F296" s="87">
        <f>IFERROR($E296*(VLOOKUP(C296,fish_group_yield_n!$A$7:$J$49,7,FALSE)),0)</f>
        <v>4.9789233653314516E-2</v>
      </c>
      <c r="G296" s="87">
        <f>IFERROR($E296*(VLOOKUP(C296,fish_group_yield_n!$A$7:$J$49,10,FALSE)),0)</f>
        <v>3.4241508828124961E-2</v>
      </c>
      <c r="H296" s="823">
        <f t="shared" si="17"/>
        <v>1138.49</v>
      </c>
      <c r="I296" s="428">
        <f>IF(ISERROR($E296*VLOOKUP($C296,fish_group_yield_w!$A$7:$I$45,9,FALSE)),0,$E296*VLOOKUP($C296,fish_group_yield_w!$A$7:$I$45,9,FALSE))</f>
        <v>0.15257167983074527</v>
      </c>
      <c r="J296" s="429">
        <f>IF(ISERROR($E296*VLOOKUP($C296,fish_group_yield_w!$A$7:$I$45,9,FALSE)),0,$E296*VLOOKUP($C296,fish_group_yield_w!$A$7:$I$45,9,FALSE))</f>
        <v>0.15257167983074527</v>
      </c>
    </row>
    <row r="297" spans="1:10" ht="12.75" customHeight="1">
      <c r="A297" s="403" t="s">
        <v>8496</v>
      </c>
      <c r="B297" s="403">
        <v>305.31</v>
      </c>
      <c r="C297" s="403" t="s">
        <v>1738</v>
      </c>
      <c r="D297" s="403" t="s">
        <v>4685</v>
      </c>
      <c r="E297" s="87">
        <f t="shared" si="19"/>
        <v>0.5524861878453039</v>
      </c>
      <c r="F297" s="87">
        <f>IFERROR($E297*(VLOOKUP(C297,fish_group_yield_n!$A$7:$J$49,7,FALSE)),0)</f>
        <v>4.9789233653314516E-2</v>
      </c>
      <c r="G297" s="87">
        <f>IFERROR($E297*(VLOOKUP(C297,fish_group_yield_n!$A$7:$J$49,10,FALSE)),0)</f>
        <v>3.4241508828124961E-2</v>
      </c>
      <c r="H297" s="823">
        <f t="shared" si="17"/>
        <v>48.87</v>
      </c>
      <c r="I297" s="428">
        <f>IF(ISERROR($E297*VLOOKUP($C297,fish_group_yield_w!$A$7:$I$45,9,FALSE)),0,$E297*VLOOKUP($C297,fish_group_yield_w!$A$7:$I$45,9,FALSE))</f>
        <v>0.15257167983074527</v>
      </c>
      <c r="J297" s="429">
        <f>IF(ISERROR($E297*VLOOKUP($C297,fish_group_yield_w!$A$7:$I$45,9,FALSE)),0,$E297*VLOOKUP($C297,fish_group_yield_w!$A$7:$I$45,9,FALSE))</f>
        <v>0.15257167983074527</v>
      </c>
    </row>
    <row r="298" spans="1:10" ht="12.75" customHeight="1">
      <c r="A298" s="403" t="s">
        <v>8497</v>
      </c>
      <c r="B298" s="403">
        <v>305.44</v>
      </c>
      <c r="C298" s="403" t="s">
        <v>1738</v>
      </c>
      <c r="D298" s="403" t="s">
        <v>4685</v>
      </c>
      <c r="E298" s="87">
        <f t="shared" si="19"/>
        <v>0.5524861878453039</v>
      </c>
      <c r="F298" s="87">
        <f>IFERROR($E298*(VLOOKUP(C298,fish_group_yield_n!$A$7:$J$49,7,FALSE)),0)</f>
        <v>4.9789233653314516E-2</v>
      </c>
      <c r="G298" s="87">
        <f>IFERROR($E298*(VLOOKUP(C298,fish_group_yield_n!$A$7:$J$49,10,FALSE)),0)</f>
        <v>3.4241508828124961E-2</v>
      </c>
      <c r="H298" s="823">
        <f t="shared" si="17"/>
        <v>28.959999999999997</v>
      </c>
      <c r="I298" s="428">
        <f>IF(ISERROR($E298*VLOOKUP($C298,fish_group_yield_w!$A$7:$I$45,9,FALSE)),0,$E298*VLOOKUP($C298,fish_group_yield_w!$A$7:$I$45,9,FALSE))</f>
        <v>0.15257167983074527</v>
      </c>
      <c r="J298" s="429">
        <f>IF(ISERROR($E298*VLOOKUP($C298,fish_group_yield_w!$A$7:$I$45,9,FALSE)),0,$E298*VLOOKUP($C298,fish_group_yield_w!$A$7:$I$45,9,FALSE))</f>
        <v>0.15257167983074527</v>
      </c>
    </row>
    <row r="299" spans="1:10" ht="12.75" customHeight="1">
      <c r="A299" s="403" t="s">
        <v>8498</v>
      </c>
      <c r="B299" s="403">
        <v>305.64</v>
      </c>
      <c r="C299" s="403" t="s">
        <v>1738</v>
      </c>
      <c r="D299" s="403" t="s">
        <v>4685</v>
      </c>
      <c r="E299" s="87">
        <f t="shared" si="19"/>
        <v>0.5524861878453039</v>
      </c>
      <c r="F299" s="87">
        <f>IFERROR($E299*(VLOOKUP(C299,fish_group_yield_n!$A$7:$J$49,7,FALSE)),0)</f>
        <v>4.9789233653314516E-2</v>
      </c>
      <c r="G299" s="87">
        <f>IFERROR($E299*(VLOOKUP(C299,fish_group_yield_n!$A$7:$J$49,10,FALSE)),0)</f>
        <v>3.4241508828124961E-2</v>
      </c>
      <c r="H299" s="823">
        <f t="shared" si="17"/>
        <v>0</v>
      </c>
      <c r="I299" s="428">
        <f>IF(ISERROR($E299*VLOOKUP($C299,fish_group_yield_w!$A$7:$I$45,9,FALSE)),0,$E299*VLOOKUP($C299,fish_group_yield_w!$A$7:$I$45,9,FALSE))</f>
        <v>0.15257167983074527</v>
      </c>
      <c r="J299" s="429">
        <f>IF(ISERROR($E299*VLOOKUP($C299,fish_group_yield_w!$A$7:$I$45,9,FALSE)),0,$E299*VLOOKUP($C299,fish_group_yield_w!$A$7:$I$45,9,FALSE))</f>
        <v>0.15257167983074527</v>
      </c>
    </row>
    <row r="300" spans="1:10" ht="12.75" customHeight="1">
      <c r="A300" s="403" t="s">
        <v>6129</v>
      </c>
      <c r="B300" s="403">
        <v>304.22000000000003</v>
      </c>
      <c r="C300" s="403" t="s">
        <v>4065</v>
      </c>
      <c r="D300" s="403" t="s">
        <v>4681</v>
      </c>
      <c r="E300" s="87">
        <f t="shared" si="19"/>
        <v>0.45454545454545453</v>
      </c>
      <c r="F300" s="87">
        <f>IFERROR($E300*(VLOOKUP(C300,fish_group_yield_n!$A$7:$J$49,7,FALSE)),0)</f>
        <v>1.0892830698012435E-2</v>
      </c>
      <c r="G300" s="87">
        <f>IFERROR($E300*(VLOOKUP(C300,fish_group_yield_n!$A$7:$J$49,10,FALSE)),0)</f>
        <v>1.0892830698012435E-2</v>
      </c>
      <c r="H300" s="823">
        <f t="shared" si="17"/>
        <v>0</v>
      </c>
      <c r="I300" s="428">
        <f>IF(ISERROR($E300*VLOOKUP($C300,fish_group_yield_w!$A$7:$I$45,9,FALSE)),0,$E300*VLOOKUP($C300,fish_group_yield_w!$A$7:$I$45,9,FALSE))</f>
        <v>0</v>
      </c>
      <c r="J300" s="429">
        <f>IF(ISERROR($E300*VLOOKUP($C300,fish_group_yield_w!$A$7:$I$45,9,FALSE)),0,$E300*VLOOKUP($C300,fish_group_yield_w!$A$7:$I$45,9,FALSE))</f>
        <v>0</v>
      </c>
    </row>
    <row r="301" spans="1:10" ht="12.75" customHeight="1">
      <c r="A301" s="403" t="s">
        <v>6130</v>
      </c>
      <c r="B301" s="403">
        <v>304.12</v>
      </c>
      <c r="C301" s="403" t="s">
        <v>4065</v>
      </c>
      <c r="D301" s="403" t="s">
        <v>4681</v>
      </c>
      <c r="E301" s="87">
        <f t="shared" si="19"/>
        <v>0.37037037037037035</v>
      </c>
      <c r="F301" s="87">
        <f>IFERROR($E301*(VLOOKUP(C301,fish_group_yield_n!$A$7:$J$49,7,FALSE)),0)</f>
        <v>8.8756398280101321E-3</v>
      </c>
      <c r="G301" s="87">
        <f>IFERROR($E301*(VLOOKUP(C301,fish_group_yield_n!$A$7:$J$49,10,FALSE)),0)</f>
        <v>8.8756398280101321E-3</v>
      </c>
      <c r="H301" s="823">
        <f t="shared" si="17"/>
        <v>0</v>
      </c>
      <c r="I301" s="428">
        <f>IF(ISERROR($E301*VLOOKUP($C301,fish_group_yield_w!$A$7:$I$45,9,FALSE)),0,$E301*VLOOKUP($C301,fish_group_yield_w!$A$7:$I$45,9,FALSE))</f>
        <v>0</v>
      </c>
      <c r="J301" s="429">
        <f>IF(ISERROR($E301*VLOOKUP($C301,fish_group_yield_w!$A$7:$I$45,9,FALSE)),0,$E301*VLOOKUP($C301,fish_group_yield_w!$A$7:$I$45,9,FALSE))</f>
        <v>0</v>
      </c>
    </row>
    <row r="302" spans="1:10" ht="12.75" customHeight="1">
      <c r="A302" s="403" t="s">
        <v>6131</v>
      </c>
      <c r="B302" s="403">
        <v>304.92</v>
      </c>
      <c r="C302" s="403" t="s">
        <v>4065</v>
      </c>
      <c r="D302" s="403" t="s">
        <v>4681</v>
      </c>
      <c r="E302" s="87">
        <f t="shared" si="19"/>
        <v>0.625</v>
      </c>
      <c r="F302" s="87">
        <f>IFERROR($E302*(VLOOKUP(C302,fish_group_yield_n!$A$7:$J$49,7,FALSE)),0)</f>
        <v>1.4977642209767099E-2</v>
      </c>
      <c r="G302" s="87">
        <f>IFERROR($E302*(VLOOKUP(C302,fish_group_yield_n!$A$7:$J$49,10,FALSE)),0)</f>
        <v>1.4977642209767099E-2</v>
      </c>
      <c r="H302" s="823">
        <f t="shared" si="17"/>
        <v>1.6</v>
      </c>
      <c r="I302" s="428">
        <f>IF(ISERROR($E302*VLOOKUP($C302,fish_group_yield_w!$A$7:$I$45,9,FALSE)),0,$E302*VLOOKUP($C302,fish_group_yield_w!$A$7:$I$45,9,FALSE))</f>
        <v>0</v>
      </c>
      <c r="J302" s="429">
        <f>IF(ISERROR($E302*VLOOKUP($C302,fish_group_yield_w!$A$7:$I$45,9,FALSE)),0,$E302*VLOOKUP($C302,fish_group_yield_w!$A$7:$I$45,9,FALSE))</f>
        <v>0</v>
      </c>
    </row>
    <row r="303" spans="1:10" ht="12.75" customHeight="1">
      <c r="A303" s="403" t="s">
        <v>8499</v>
      </c>
      <c r="B303" s="403">
        <v>302.83</v>
      </c>
      <c r="C303" s="403" t="s">
        <v>4065</v>
      </c>
      <c r="D303" s="403" t="s">
        <v>4681</v>
      </c>
      <c r="E303" s="87">
        <f t="shared" si="19"/>
        <v>0.63643595863166269</v>
      </c>
      <c r="F303" s="87">
        <f>IFERROR($E303*(VLOOKUP(C303,fish_group_yield_n!$A$7:$J$49,7,FALSE)),0)</f>
        <v>1.5251696124504286E-2</v>
      </c>
      <c r="G303" s="87">
        <f>IFERROR($E303*(VLOOKUP(C303,fish_group_yield_n!$A$7:$J$49,10,FALSE)),0)</f>
        <v>1.5251696124504286E-2</v>
      </c>
      <c r="H303" s="823">
        <f t="shared" si="17"/>
        <v>18.855</v>
      </c>
      <c r="I303" s="428">
        <f>IF(ISERROR($E303*VLOOKUP($C303,fish_group_yield_w!$A$7:$I$45,9,FALSE)),0,$E303*VLOOKUP($C303,fish_group_yield_w!$A$7:$I$45,9,FALSE))</f>
        <v>0</v>
      </c>
      <c r="J303" s="429">
        <f>IF(ISERROR($E303*VLOOKUP($C303,fish_group_yield_w!$A$7:$I$45,9,FALSE)),0,$E303*VLOOKUP($C303,fish_group_yield_w!$A$7:$I$45,9,FALSE))</f>
        <v>0</v>
      </c>
    </row>
    <row r="304" spans="1:10" ht="12.75" customHeight="1">
      <c r="A304" s="403" t="s">
        <v>8500</v>
      </c>
      <c r="B304" s="403">
        <v>304.45999999999998</v>
      </c>
      <c r="C304" s="403" t="s">
        <v>4065</v>
      </c>
      <c r="D304" s="403" t="s">
        <v>4681</v>
      </c>
      <c r="E304" s="87">
        <f t="shared" si="19"/>
        <v>0.37037037037037035</v>
      </c>
      <c r="F304" s="87">
        <f>IFERROR($E304*(VLOOKUP(C304,fish_group_yield_n!$A$7:$J$49,7,FALSE)),0)</f>
        <v>8.8756398280101321E-3</v>
      </c>
      <c r="G304" s="87">
        <f>IFERROR($E304*(VLOOKUP(C304,fish_group_yield_n!$A$7:$J$49,10,FALSE)),0)</f>
        <v>8.8756398280101321E-3</v>
      </c>
      <c r="H304" s="823">
        <f t="shared" si="17"/>
        <v>0</v>
      </c>
      <c r="I304" s="428">
        <f>IF(ISERROR($E304*VLOOKUP($C304,fish_group_yield_w!$A$7:$I$45,9,FALSE)),0,$E304*VLOOKUP($C304,fish_group_yield_w!$A$7:$I$45,9,FALSE))</f>
        <v>0</v>
      </c>
      <c r="J304" s="429">
        <f>IF(ISERROR($E304*VLOOKUP($C304,fish_group_yield_w!$A$7:$I$45,9,FALSE)),0,$E304*VLOOKUP($C304,fish_group_yield_w!$A$7:$I$45,9,FALSE))</f>
        <v>0</v>
      </c>
    </row>
    <row r="305" spans="1:10" ht="12.75" customHeight="1">
      <c r="A305" s="403" t="s">
        <v>8501</v>
      </c>
      <c r="B305" s="403">
        <v>304.85000000000002</v>
      </c>
      <c r="C305" s="403" t="s">
        <v>4065</v>
      </c>
      <c r="D305" s="403" t="s">
        <v>4681</v>
      </c>
      <c r="E305" s="87">
        <f t="shared" si="19"/>
        <v>0.45454545454545453</v>
      </c>
      <c r="F305" s="87">
        <f>IFERROR($E305*(VLOOKUP(C305,fish_group_yield_n!$A$7:$J$49,7,FALSE)),0)</f>
        <v>1.0892830698012435E-2</v>
      </c>
      <c r="G305" s="87">
        <f>IFERROR($E305*(VLOOKUP(C305,fish_group_yield_n!$A$7:$J$49,10,FALSE)),0)</f>
        <v>1.0892830698012435E-2</v>
      </c>
      <c r="H305" s="823">
        <f t="shared" si="17"/>
        <v>123.2</v>
      </c>
      <c r="I305" s="428">
        <f>IF(ISERROR($E305*VLOOKUP($C305,fish_group_yield_w!$A$7:$I$45,9,FALSE)),0,$E305*VLOOKUP($C305,fish_group_yield_w!$A$7:$I$45,9,FALSE))</f>
        <v>0</v>
      </c>
      <c r="J305" s="429">
        <f>IF(ISERROR($E305*VLOOKUP($C305,fish_group_yield_w!$A$7:$I$45,9,FALSE)),0,$E305*VLOOKUP($C305,fish_group_yield_w!$A$7:$I$45,9,FALSE))</f>
        <v>0</v>
      </c>
    </row>
    <row r="306" spans="1:10" ht="12.75" customHeight="1">
      <c r="A306" s="403" t="s">
        <v>1819</v>
      </c>
      <c r="B306" s="403">
        <v>302.68</v>
      </c>
      <c r="C306" s="403" t="s">
        <v>4065</v>
      </c>
      <c r="D306" s="403" t="s">
        <v>4681</v>
      </c>
      <c r="E306" s="87">
        <f t="shared" si="19"/>
        <v>0.83333333333333337</v>
      </c>
      <c r="F306" s="87">
        <f>IFERROR($E306*(VLOOKUP(C306,fish_group_yield_n!$A$7:$J$49,7,FALSE)),0)</f>
        <v>1.9970189613022802E-2</v>
      </c>
      <c r="G306" s="87">
        <f>IFERROR($E306*(VLOOKUP(C306,fish_group_yield_n!$A$7:$J$49,10,FALSE)),0)</f>
        <v>1.9970189613022802E-2</v>
      </c>
      <c r="H306" s="823">
        <f t="shared" si="17"/>
        <v>0</v>
      </c>
      <c r="I306" s="428">
        <f>IF(ISERROR($E306*VLOOKUP($C306,fish_group_yield_w!$A$7:$I$45,9,FALSE)),0,$E306*VLOOKUP($C306,fish_group_yield_w!$A$7:$I$45,9,FALSE))</f>
        <v>0</v>
      </c>
      <c r="J306" s="429">
        <f>IF(ISERROR($E306*VLOOKUP($C306,fish_group_yield_w!$A$7:$I$45,9,FALSE)),0,$E306*VLOOKUP($C306,fish_group_yield_w!$A$7:$I$45,9,FALSE))</f>
        <v>0</v>
      </c>
    </row>
    <row r="307" spans="1:10" ht="12.75" customHeight="1">
      <c r="A307" s="403" t="s">
        <v>1817</v>
      </c>
      <c r="B307" s="403">
        <v>303.62</v>
      </c>
      <c r="C307" s="403" t="s">
        <v>4065</v>
      </c>
      <c r="D307" s="403" t="s">
        <v>4681</v>
      </c>
      <c r="E307" s="87">
        <f t="shared" si="19"/>
        <v>0.7407407407407407</v>
      </c>
      <c r="F307" s="87">
        <f>IFERROR($E307*(VLOOKUP(C307,fish_group_yield_n!$A$7:$J$49,7,FALSE)),0)</f>
        <v>1.7751279656020264E-2</v>
      </c>
      <c r="G307" s="87">
        <f>IFERROR($E307*(VLOOKUP(C307,fish_group_yield_n!$A$7:$J$49,10,FALSE)),0)</f>
        <v>1.7751279656020264E-2</v>
      </c>
      <c r="H307" s="823">
        <f t="shared" si="17"/>
        <v>0</v>
      </c>
      <c r="I307" s="428">
        <f>IF(ISERROR($E307*VLOOKUP($C307,fish_group_yield_w!$A$7:$I$45,9,FALSE)),0,$E307*VLOOKUP($C307,fish_group_yield_w!$A$7:$I$45,9,FALSE))</f>
        <v>0</v>
      </c>
      <c r="J307" s="429">
        <f>IF(ISERROR($E307*VLOOKUP($C307,fish_group_yield_w!$A$7:$I$45,9,FALSE)),0,$E307*VLOOKUP($C307,fish_group_yield_w!$A$7:$I$45,9,FALSE))</f>
        <v>0</v>
      </c>
    </row>
    <row r="308" spans="1:10" ht="12.75" customHeight="1">
      <c r="A308" s="403" t="s">
        <v>1817</v>
      </c>
      <c r="B308" s="403">
        <v>303.83</v>
      </c>
      <c r="C308" s="403" t="s">
        <v>4065</v>
      </c>
      <c r="D308" s="403" t="s">
        <v>4681</v>
      </c>
      <c r="E308" s="87">
        <f t="shared" si="19"/>
        <v>0</v>
      </c>
      <c r="F308" s="87">
        <f>IFERROR($E308*(VLOOKUP(C308,fish_group_yield_n!$A$7:$J$49,7,FALSE)),0)</f>
        <v>0</v>
      </c>
      <c r="G308" s="87">
        <f>IFERROR($E308*(VLOOKUP(C308,fish_group_yield_n!$A$7:$J$49,10,FALSE)),0)</f>
        <v>0</v>
      </c>
      <c r="H308" s="823">
        <f t="shared" si="17"/>
        <v>0</v>
      </c>
      <c r="I308" s="428">
        <f>IF(ISERROR($E308*VLOOKUP($C308,fish_group_yield_w!$A$7:$I$45,9,FALSE)),0,$E308*VLOOKUP($C308,fish_group_yield_w!$A$7:$I$45,9,FALSE))</f>
        <v>0</v>
      </c>
      <c r="J308" s="429">
        <f>IF(ISERROR($E308*VLOOKUP($C308,fish_group_yield_w!$A$7:$I$45,9,FALSE)),0,$E308*VLOOKUP($C308,fish_group_yield_w!$A$7:$I$45,9,FALSE))</f>
        <v>0</v>
      </c>
    </row>
    <row r="309" spans="1:10" ht="12.75" customHeight="1">
      <c r="A309" s="403" t="s">
        <v>8502</v>
      </c>
      <c r="B309" s="403">
        <v>304.55</v>
      </c>
      <c r="C309" s="403" t="s">
        <v>4065</v>
      </c>
      <c r="D309" s="403" t="s">
        <v>4681</v>
      </c>
      <c r="E309" s="87">
        <f t="shared" si="19"/>
        <v>0.37037037037037035</v>
      </c>
      <c r="F309" s="87">
        <f>IFERROR($E309*(VLOOKUP(C309,fish_group_yield_n!$A$7:$J$49,7,FALSE)),0)</f>
        <v>8.8756398280101321E-3</v>
      </c>
      <c r="G309" s="87">
        <f>IFERROR($E309*(VLOOKUP(C309,fish_group_yield_n!$A$7:$J$49,10,FALSE)),0)</f>
        <v>8.8756398280101321E-3</v>
      </c>
      <c r="H309" s="823">
        <f t="shared" si="17"/>
        <v>0</v>
      </c>
      <c r="I309" s="428">
        <f>IF(ISERROR($E309*VLOOKUP($C309,fish_group_yield_w!$A$7:$I$45,9,FALSE)),0,$E309*VLOOKUP($C309,fish_group_yield_w!$A$7:$I$45,9,FALSE))</f>
        <v>0</v>
      </c>
      <c r="J309" s="429">
        <f>IF(ISERROR($E309*VLOOKUP($C309,fish_group_yield_w!$A$7:$I$45,9,FALSE)),0,$E309*VLOOKUP($C309,fish_group_yield_w!$A$7:$I$45,9,FALSE))</f>
        <v>0</v>
      </c>
    </row>
    <row r="310" spans="1:10" ht="12.75" customHeight="1">
      <c r="A310" s="403" t="s">
        <v>6132</v>
      </c>
      <c r="B310" s="403">
        <v>302.11</v>
      </c>
      <c r="C310" s="403" t="s">
        <v>2323</v>
      </c>
      <c r="D310" s="403" t="s">
        <v>4685</v>
      </c>
      <c r="E310" s="87">
        <f t="shared" si="19"/>
        <v>0.63643595863166269</v>
      </c>
      <c r="F310" s="87">
        <f>IFERROR($E310*(VLOOKUP(C310,fish_group_yield_n!$A$7:$J$49,7,FALSE)),0)</f>
        <v>0.16808801796117764</v>
      </c>
      <c r="G310" s="87">
        <f>IFERROR($E310*(VLOOKUP(C310,fish_group_yield_n!$A$7:$J$49,10,FALSE)),0)</f>
        <v>6.3543269990914308E-2</v>
      </c>
      <c r="H310" s="823">
        <f t="shared" si="17"/>
        <v>626.92875000000004</v>
      </c>
      <c r="I310" s="428">
        <f>IF(ISERROR($E310*VLOOKUP($C310,fish_group_yield_w!$A$7:$I$45,9,FALSE)),0,$E310*VLOOKUP($C310,fish_group_yield_w!$A$7:$I$45,9,FALSE))</f>
        <v>0.43108426467859856</v>
      </c>
      <c r="J310" s="429">
        <f>IF(ISERROR($E310*VLOOKUP($C310,fish_group_yield_w!$A$7:$I$45,9,FALSE)),0,$E310*VLOOKUP($C310,fish_group_yield_w!$A$7:$I$45,9,FALSE))</f>
        <v>0.43108426467859856</v>
      </c>
    </row>
    <row r="311" spans="1:10" ht="12.75" customHeight="1">
      <c r="A311" s="403" t="s">
        <v>6133</v>
      </c>
      <c r="B311" s="403">
        <v>301.91000000000003</v>
      </c>
      <c r="C311" s="403" t="s">
        <v>2323</v>
      </c>
      <c r="D311" s="403" t="s">
        <v>4685</v>
      </c>
      <c r="E311" s="87">
        <f t="shared" si="19"/>
        <v>0.63643595863166269</v>
      </c>
      <c r="F311" s="87">
        <f>IFERROR($E311*(VLOOKUP(C311,fish_group_yield_n!$A$7:$J$49,7,FALSE)),0)</f>
        <v>0.16808801796117764</v>
      </c>
      <c r="G311" s="87">
        <f>IFERROR($E311*(VLOOKUP(C311,fish_group_yield_n!$A$7:$J$49,10,FALSE)),0)</f>
        <v>6.3543269990914308E-2</v>
      </c>
      <c r="H311" s="823">
        <f t="shared" si="17"/>
        <v>7.8562500000000002</v>
      </c>
      <c r="I311" s="428">
        <f>IF(ISERROR($E311*VLOOKUP($C311,fish_group_yield_w!$A$7:$I$45,9,FALSE)),0,$E311*VLOOKUP($C311,fish_group_yield_w!$A$7:$I$45,9,FALSE))</f>
        <v>0.43108426467859856</v>
      </c>
      <c r="J311" s="429">
        <f>IF(ISERROR($E311*VLOOKUP($C311,fish_group_yield_w!$A$7:$I$45,9,FALSE)),0,$E311*VLOOKUP($C311,fish_group_yield_w!$A$7:$I$45,9,FALSE))</f>
        <v>0.43108426467859856</v>
      </c>
    </row>
    <row r="312" spans="1:10" ht="12.75" customHeight="1">
      <c r="A312" s="403" t="s">
        <v>8503</v>
      </c>
      <c r="B312" s="403">
        <v>304.42</v>
      </c>
      <c r="C312" s="403" t="s">
        <v>2323</v>
      </c>
      <c r="D312" s="403" t="s">
        <v>4685</v>
      </c>
      <c r="E312" s="87">
        <f t="shared" si="19"/>
        <v>0.63643595863166269</v>
      </c>
      <c r="F312" s="87">
        <f>IFERROR($E312*(VLOOKUP(C312,fish_group_yield_n!$A$7:$J$49,7,FALSE)),0)</f>
        <v>0.16808801796117764</v>
      </c>
      <c r="G312" s="87">
        <f>IFERROR($E312*(VLOOKUP(C312,fish_group_yield_n!$A$7:$J$49,10,FALSE)),0)</f>
        <v>6.3543269990914308E-2</v>
      </c>
      <c r="H312" s="823">
        <f t="shared" si="17"/>
        <v>2124.33</v>
      </c>
      <c r="I312" s="428">
        <f>IF(ISERROR($E312*VLOOKUP($C312,fish_group_yield_w!$A$7:$I$45,9,FALSE)),0,$E312*VLOOKUP($C312,fish_group_yield_w!$A$7:$I$45,9,FALSE))</f>
        <v>0.43108426467859856</v>
      </c>
      <c r="J312" s="429">
        <f>IF(ISERROR($E312*VLOOKUP($C312,fish_group_yield_w!$A$7:$I$45,9,FALSE)),0,$E312*VLOOKUP($C312,fish_group_yield_w!$A$7:$I$45,9,FALSE))</f>
        <v>0.43108426467859856</v>
      </c>
    </row>
    <row r="313" spans="1:10" ht="12.75" customHeight="1">
      <c r="A313" s="403" t="s">
        <v>8504</v>
      </c>
      <c r="B313" s="403">
        <v>304.82</v>
      </c>
      <c r="C313" s="403" t="s">
        <v>2323</v>
      </c>
      <c r="D313" s="403" t="s">
        <v>4685</v>
      </c>
      <c r="E313" s="87">
        <f t="shared" si="19"/>
        <v>0.5852456491606346</v>
      </c>
      <c r="F313" s="87">
        <f>IFERROR($E313*(VLOOKUP(C313,fish_group_yield_n!$A$7:$J$49,7,FALSE)),0)</f>
        <v>0.15456823244135248</v>
      </c>
      <c r="G313" s="87">
        <f>IFERROR($E313*(VLOOKUP(C313,fish_group_yield_n!$A$7:$J$49,10,FALSE)),0)</f>
        <v>5.8432308531996255E-2</v>
      </c>
      <c r="H313" s="823">
        <f t="shared" si="17"/>
        <v>3200.3655263157893</v>
      </c>
      <c r="I313" s="428">
        <f>IF(ISERROR($E313*VLOOKUP($C313,fish_group_yield_w!$A$7:$I$45,9,FALSE)),0,$E313*VLOOKUP($C313,fish_group_yield_w!$A$7:$I$45,9,FALSE))</f>
        <v>0.3964109615477811</v>
      </c>
      <c r="J313" s="429">
        <f>IF(ISERROR($E313*VLOOKUP($C313,fish_group_yield_w!$A$7:$I$45,9,FALSE)),0,$E313*VLOOKUP($C313,fish_group_yield_w!$A$7:$I$45,9,FALSE))</f>
        <v>0.3964109615477811</v>
      </c>
    </row>
    <row r="314" spans="1:10" ht="12.75" customHeight="1">
      <c r="A314" s="403" t="s">
        <v>6134</v>
      </c>
      <c r="B314" s="403">
        <v>303.20999999999998</v>
      </c>
      <c r="C314" s="403" t="s">
        <v>2323</v>
      </c>
      <c r="D314" s="403" t="s">
        <v>4685</v>
      </c>
      <c r="E314" s="87">
        <f t="shared" si="19"/>
        <v>0.5852456491606346</v>
      </c>
      <c r="F314" s="87">
        <f>IFERROR($E314*(VLOOKUP(C314,fish_group_yield_n!$A$7:$J$49,7,FALSE)),0)</f>
        <v>0.15456823244135248</v>
      </c>
      <c r="G314" s="87">
        <f>IFERROR($E314*(VLOOKUP(C314,fish_group_yield_n!$A$7:$J$49,10,FALSE)),0)</f>
        <v>5.8432308531996255E-2</v>
      </c>
      <c r="H314" s="823">
        <f t="shared" si="17"/>
        <v>0</v>
      </c>
      <c r="I314" s="428">
        <f>IF(ISERROR($E314*VLOOKUP($C314,fish_group_yield_w!$A$7:$I$45,9,FALSE)),0,$E314*VLOOKUP($C314,fish_group_yield_w!$A$7:$I$45,9,FALSE))</f>
        <v>0.3964109615477811</v>
      </c>
      <c r="J314" s="429">
        <f>IF(ISERROR($E314*VLOOKUP($C314,fish_group_yield_w!$A$7:$I$45,9,FALSE)),0,$E314*VLOOKUP($C314,fish_group_yield_w!$A$7:$I$45,9,FALSE))</f>
        <v>0.3964109615477811</v>
      </c>
    </row>
    <row r="315" spans="1:10" ht="12.75" customHeight="1">
      <c r="A315" s="403" t="s">
        <v>6134</v>
      </c>
      <c r="B315" s="403">
        <v>303.14</v>
      </c>
      <c r="C315" s="403" t="s">
        <v>2323</v>
      </c>
      <c r="D315" s="403" t="s">
        <v>4685</v>
      </c>
      <c r="E315" s="87">
        <f t="shared" si="19"/>
        <v>0</v>
      </c>
      <c r="F315" s="87">
        <f>IFERROR($E315*(VLOOKUP(C315,fish_group_yield_n!$A$7:$J$49,7,FALSE)),0)</f>
        <v>0</v>
      </c>
      <c r="G315" s="87">
        <f>IFERROR($E315*(VLOOKUP(C315,fish_group_yield_n!$A$7:$J$49,10,FALSE)),0)</f>
        <v>0</v>
      </c>
      <c r="H315" s="823">
        <f t="shared" si="17"/>
        <v>0</v>
      </c>
      <c r="I315" s="428">
        <f>IF(ISERROR($E315*VLOOKUP($C315,fish_group_yield_w!$A$7:$I$45,9,FALSE)),0,$E315*VLOOKUP($C315,fish_group_yield_w!$A$7:$I$45,9,FALSE))</f>
        <v>0</v>
      </c>
      <c r="J315" s="429">
        <f>IF(ISERROR($E315*VLOOKUP($C315,fish_group_yield_w!$A$7:$I$45,9,FALSE)),0,$E315*VLOOKUP($C315,fish_group_yield_w!$A$7:$I$45,9,FALSE))</f>
        <v>0</v>
      </c>
    </row>
    <row r="316" spans="1:10" ht="12.75" customHeight="1">
      <c r="A316" s="403" t="s">
        <v>8505</v>
      </c>
      <c r="B316" s="403">
        <v>305.43</v>
      </c>
      <c r="C316" s="403" t="s">
        <v>2323</v>
      </c>
      <c r="D316" s="403" t="s">
        <v>4685</v>
      </c>
      <c r="E316" s="87">
        <f t="shared" si="19"/>
        <v>0.5852456491606346</v>
      </c>
      <c r="F316" s="87">
        <f>IFERROR($E316*(VLOOKUP(C316,fish_group_yield_n!$A$7:$J$49,7,FALSE)),0)</f>
        <v>0.15456823244135248</v>
      </c>
      <c r="G316" s="87">
        <f>IFERROR($E316*(VLOOKUP(C316,fish_group_yield_n!$A$7:$J$49,10,FALSE)),0)</f>
        <v>5.8432308531996255E-2</v>
      </c>
      <c r="H316" s="823">
        <f t="shared" si="17"/>
        <v>1713.8102631578945</v>
      </c>
      <c r="I316" s="428">
        <f>IF(ISERROR($E316*VLOOKUP($C316,fish_group_yield_w!$A$7:$I$45,9,FALSE)),0,$E316*VLOOKUP($C316,fish_group_yield_w!$A$7:$I$45,9,FALSE))</f>
        <v>0.3964109615477811</v>
      </c>
      <c r="J316" s="429">
        <f>IF(ISERROR($E316*VLOOKUP($C316,fish_group_yield_w!$A$7:$I$45,9,FALSE)),0,$E316*VLOOKUP($C316,fish_group_yield_w!$A$7:$I$45,9,FALSE))</f>
        <v>0.3964109615477811</v>
      </c>
    </row>
    <row r="317" spans="1:10" ht="12.75" customHeight="1">
      <c r="A317" s="403" t="s">
        <v>6135</v>
      </c>
      <c r="B317" s="403">
        <v>1604.14</v>
      </c>
      <c r="C317" s="403" t="s">
        <v>2320</v>
      </c>
      <c r="D317" s="403" t="s">
        <v>4699</v>
      </c>
      <c r="E317" s="87">
        <f t="shared" si="19"/>
        <v>0.90006207324643073</v>
      </c>
      <c r="F317" s="87">
        <f>IFERROR($E317*(VLOOKUP(C317,fish_group_yield_n!$A$7:$J$49,7,FALSE)),0)</f>
        <v>1.2413596895865454E-2</v>
      </c>
      <c r="G317" s="87">
        <f>IFERROR($E317*(VLOOKUP(C317,fish_group_yield_n!$A$7:$J$49,10,FALSE)),0)</f>
        <v>1.2413596895865454E-2</v>
      </c>
      <c r="H317" s="823">
        <f t="shared" si="17"/>
        <v>36426.376551724141</v>
      </c>
      <c r="I317" s="428">
        <f>IF(ISERROR($E317*VLOOKUP($C317,fish_group_yield_w!$A$7:$I$45,9,FALSE)),0,$E317*VLOOKUP($C317,fish_group_yield_w!$A$7:$I$45,9,FALSE))</f>
        <v>2.5507696629973077E-2</v>
      </c>
      <c r="J317" s="429">
        <f>IF(ISERROR($E317*VLOOKUP($C317,fish_group_yield_w!$A$7:$I$45,9,FALSE)),0,$E317*VLOOKUP($C317,fish_group_yield_w!$A$7:$I$45,9,FALSE))</f>
        <v>2.5507696629973077E-2</v>
      </c>
    </row>
    <row r="318" spans="1:10" ht="12.75" customHeight="1">
      <c r="A318" s="403" t="s">
        <v>8506</v>
      </c>
      <c r="B318" s="403">
        <v>304.87</v>
      </c>
      <c r="C318" s="403" t="s">
        <v>2320</v>
      </c>
      <c r="D318" s="403" t="s">
        <v>4699</v>
      </c>
      <c r="E318" s="87">
        <f t="shared" si="19"/>
        <v>0.47664442326024786</v>
      </c>
      <c r="F318" s="87">
        <f>IFERROR($E318*(VLOOKUP(C318,fish_group_yield_n!$A$7:$J$49,7,FALSE)),0)</f>
        <v>6.5738485254394161E-3</v>
      </c>
      <c r="G318" s="87">
        <f>IFERROR($E318*(VLOOKUP(C318,fish_group_yield_n!$A$7:$J$49,10,FALSE)),0)</f>
        <v>6.5738485254394161E-3</v>
      </c>
      <c r="H318" s="823">
        <f t="shared" si="17"/>
        <v>1101.45</v>
      </c>
      <c r="I318" s="428">
        <f>IF(ISERROR($E318*VLOOKUP($C318,fish_group_yield_w!$A$7:$I$45,9,FALSE)),0,$E318*VLOOKUP($C318,fish_group_yield_w!$A$7:$I$45,9,FALSE))</f>
        <v>1.3508069843491875E-2</v>
      </c>
      <c r="J318" s="429">
        <f>IF(ISERROR($E318*VLOOKUP($C318,fish_group_yield_w!$A$7:$I$45,9,FALSE)),0,$E318*VLOOKUP($C318,fish_group_yield_w!$A$7:$I$45,9,FALSE))</f>
        <v>1.3508069843491875E-2</v>
      </c>
    </row>
    <row r="319" spans="1:10" ht="12.75" customHeight="1">
      <c r="A319" s="403" t="s">
        <v>8507</v>
      </c>
      <c r="B319" s="403">
        <v>302.24</v>
      </c>
      <c r="C319" s="403" t="s">
        <v>1738</v>
      </c>
      <c r="D319" s="403" t="s">
        <v>4681</v>
      </c>
      <c r="E319" s="87">
        <f t="shared" si="19"/>
        <v>1</v>
      </c>
      <c r="F319" s="87">
        <f>IFERROR($E319*(VLOOKUP(C319,fish_group_yield_n!$A$7:$J$49,7,FALSE)),0)</f>
        <v>9.0118512912499268E-2</v>
      </c>
      <c r="G319" s="87">
        <f>IFERROR($E319*(VLOOKUP(C319,fish_group_yield_n!$A$7:$J$49,10,FALSE)),0)</f>
        <v>6.1977130978906177E-2</v>
      </c>
      <c r="H319" s="823">
        <f t="shared" si="17"/>
        <v>33</v>
      </c>
      <c r="I319" s="428">
        <f>IF(ISERROR($E319*VLOOKUP($C319,fish_group_yield_w!$A$7:$I$45,9,FALSE)),0,$E319*VLOOKUP($C319,fish_group_yield_w!$A$7:$I$45,9,FALSE))</f>
        <v>0.27615474049364891</v>
      </c>
      <c r="J319" s="429">
        <f>IF(ISERROR($E319*VLOOKUP($C319,fish_group_yield_w!$A$7:$I$45,9,FALSE)),0,$E319*VLOOKUP($C319,fish_group_yield_w!$A$7:$I$45,9,FALSE))</f>
        <v>0.27615474049364891</v>
      </c>
    </row>
    <row r="320" spans="1:10" ht="12.75" customHeight="1">
      <c r="A320" s="403" t="s">
        <v>8508</v>
      </c>
      <c r="B320" s="403">
        <v>303.33999999999997</v>
      </c>
      <c r="C320" s="403" t="s">
        <v>1738</v>
      </c>
      <c r="D320" s="403" t="s">
        <v>4681</v>
      </c>
      <c r="E320" s="87">
        <f t="shared" si="19"/>
        <v>0.9009009009009008</v>
      </c>
      <c r="F320" s="87">
        <f>IFERROR($E320*(VLOOKUP(C320,fish_group_yield_n!$A$7:$J$49,7,FALSE)),0)</f>
        <v>8.1187849470720053E-2</v>
      </c>
      <c r="G320" s="87">
        <f>IFERROR($E320*(VLOOKUP(C320,fish_group_yield_n!$A$7:$J$49,10,FALSE)),0)</f>
        <v>5.58352531341497E-2</v>
      </c>
      <c r="H320" s="823">
        <f t="shared" si="17"/>
        <v>56.610000000000007</v>
      </c>
      <c r="I320" s="428">
        <f>IF(ISERROR($E320*VLOOKUP($C320,fish_group_yield_w!$A$7:$I$45,9,FALSE)),0,$E320*VLOOKUP($C320,fish_group_yield_w!$A$7:$I$45,9,FALSE))</f>
        <v>0.24878805449878277</v>
      </c>
      <c r="J320" s="429">
        <f>IF(ISERROR($E320*VLOOKUP($C320,fish_group_yield_w!$A$7:$I$45,9,FALSE)),0,$E320*VLOOKUP($C320,fish_group_yield_w!$A$7:$I$45,9,FALSE))</f>
        <v>0.24878805449878277</v>
      </c>
    </row>
    <row r="321" spans="1:10" ht="12.75" customHeight="1">
      <c r="A321" s="403" t="s">
        <v>6136</v>
      </c>
      <c r="B321" s="403">
        <v>302.32</v>
      </c>
      <c r="C321" s="403" t="s">
        <v>2843</v>
      </c>
      <c r="D321" s="403" t="s">
        <v>4699</v>
      </c>
      <c r="E321" s="87">
        <f t="shared" si="19"/>
        <v>0.50388410665546934</v>
      </c>
      <c r="F321" s="87">
        <f>IFERROR($E321*(VLOOKUP(C321,fish_group_yield_n!$A$7:$J$49,7,FALSE)),0)</f>
        <v>7.4049930155459139E-3</v>
      </c>
      <c r="G321" s="87">
        <f>IFERROR($E321*(VLOOKUP(C321,fish_group_yield_n!$A$7:$J$49,10,FALSE)),0)</f>
        <v>7.2307536164370875E-3</v>
      </c>
      <c r="H321" s="826">
        <f t="shared" si="17"/>
        <v>1151.0583333333332</v>
      </c>
      <c r="I321" s="428">
        <f>IF(ISERROR($E321*VLOOKUP($C321,fish_group_yield_w!$A$7:$I$45,9,FALSE)),0,$E321*VLOOKUP($C321,fish_group_yield_w!$A$7:$I$45,9,FALSE))</f>
        <v>4.9913426601811937E-3</v>
      </c>
      <c r="J321" s="827">
        <f>IF(ISERROR($E321*VLOOKUP($C321,fish_group_yield_w!$A$7:$I$45,9,FALSE)),0,$E321*VLOOKUP($C321,fish_group_yield_w!$A$7:$I$45,9,FALSE))</f>
        <v>4.9913426601811937E-3</v>
      </c>
    </row>
    <row r="322" spans="1:10" ht="12.75" customHeight="1">
      <c r="A322" s="427" t="s">
        <v>6137</v>
      </c>
      <c r="B322" s="427">
        <v>303.42</v>
      </c>
      <c r="C322" s="427" t="s">
        <v>2843</v>
      </c>
      <c r="D322" s="427" t="s">
        <v>4699</v>
      </c>
      <c r="E322" s="88">
        <f t="shared" si="19"/>
        <v>0.54945054945054939</v>
      </c>
      <c r="F322" s="88">
        <f>IFERROR($E322*(VLOOKUP(C322,fish_group_yield_n!$A$7:$J$49,7,FALSE)),0)</f>
        <v>8.0746295176385482E-3</v>
      </c>
      <c r="G322" s="88">
        <f>IFERROR($E322*(VLOOKUP(C322,fish_group_yield_n!$A$7:$J$49,10,FALSE)),0)</f>
        <v>7.8846335794619596E-3</v>
      </c>
      <c r="H322" s="828">
        <f t="shared" si="17"/>
        <v>118.30000000000001</v>
      </c>
      <c r="I322" s="433">
        <f>IF(ISERROR($E322*VLOOKUP($C322,fish_group_yield_w!$A$7:$I$45,9,FALSE)),0,$E322*VLOOKUP($C322,fish_group_yield_w!$A$7:$I$45,9,FALSE))</f>
        <v>5.4427117881050866E-3</v>
      </c>
      <c r="J322" s="434">
        <f>IF(ISERROR($E322*VLOOKUP($C322,fish_group_yield_w!$A$7:$I$45,9,FALSE)),0,$E322*VLOOKUP($C322,fish_group_yield_w!$A$7:$I$45,9,FALSE))</f>
        <v>5.4427117881050866E-3</v>
      </c>
    </row>
  </sheetData>
  <sortState xmlns:xlrd2="http://schemas.microsoft.com/office/spreadsheetml/2017/richdata2" ref="A6:J322">
    <sortCondition ref="A6:A322"/>
  </sortState>
  <phoneticPr fontId="5" type="noConversion"/>
  <hyperlinks>
    <hyperlink ref="C2" location="fish_group_yield_n!A1" tooltip="Go to fish_group_yield_n" display="fish_group_yield_n" xr:uid="{00000000-0004-0000-2900-000000000000}"/>
    <hyperlink ref="C3" location="fish_efi_efe!A1" tooltip="Go to fish_efi_efe" display="fish_efi_efe" xr:uid="{00000000-0004-0000-2900-000001000000}"/>
    <hyperlink ref="F2" location="fish_group_yield_w!A1" display="fish_group_yield_w" xr:uid="{00000000-0004-0000-2900-000002000000}"/>
    <hyperlink ref="E3" location="fish_feed_group_yield_n!A1" display="fish_feed_group_yield_n" xr:uid="{00000000-0004-0000-2900-000003000000}"/>
    <hyperlink ref="D2" location="constant_fish_extr" display="constant_fish_extr" xr:uid="{00000000-0004-0000-2900-000004000000}"/>
    <hyperlink ref="D3" location="fish_group_yield_n!A1" tooltip="Go to fish_group_yield_n" display="fish_group_yield_n" xr:uid="{00000000-0004-0000-2900-000005000000}"/>
    <hyperlink ref="E2" location="fish_efi_efe!A1" display="fish_efi_efe" xr:uid="{00000000-0004-0000-2900-000006000000}"/>
  </hyperlinks>
  <pageMargins left="0.75" right="0.75" top="1" bottom="1" header="0.5" footer="0.5"/>
  <pageSetup orientation="portrait"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2">
    <tabColor theme="4"/>
  </sheetPr>
  <dimension ref="A1:K47"/>
  <sheetViews>
    <sheetView zoomScaleNormal="100" workbookViewId="0">
      <pane xSplit="1" ySplit="6" topLeftCell="B7" activePane="bottomRight" state="frozen"/>
      <selection activeCell="B24" sqref="B24"/>
      <selection pane="topRight" activeCell="B24" sqref="B24"/>
      <selection pane="bottomLeft" activeCell="B24" sqref="B24"/>
      <selection pane="bottomRight" activeCell="A65536" sqref="A65536"/>
    </sheetView>
  </sheetViews>
  <sheetFormatPr defaultColWidth="9.1796875" defaultRowHeight="12.5"/>
  <cols>
    <col min="1" max="1" width="24" style="36" customWidth="1"/>
    <col min="2" max="2" width="21.7265625" style="36" customWidth="1"/>
    <col min="3" max="3" width="22.1796875" style="36" customWidth="1"/>
    <col min="4" max="4" width="21.1796875" style="36" customWidth="1"/>
    <col min="5" max="5" width="22.7265625" style="36" customWidth="1"/>
    <col min="6" max="6" width="21.1796875" style="36" customWidth="1"/>
    <col min="7" max="7" width="22.7265625" style="36" customWidth="1"/>
    <col min="8" max="8" width="24.7265625" style="36" customWidth="1"/>
    <col min="9" max="10" width="22.7265625" style="36" customWidth="1"/>
    <col min="11" max="11" width="15.1796875" style="36" customWidth="1"/>
    <col min="12" max="16384" width="9.1796875" style="36"/>
  </cols>
  <sheetData>
    <row r="1" spans="1:11" ht="12.75" customHeight="1">
      <c r="B1" s="75"/>
      <c r="C1" s="75"/>
      <c r="D1" s="75"/>
      <c r="E1" s="75"/>
      <c r="F1" s="75"/>
      <c r="G1" s="75"/>
      <c r="H1" s="75"/>
      <c r="I1" s="75"/>
      <c r="J1" s="75"/>
      <c r="K1" s="75"/>
    </row>
    <row r="2" spans="1:11" ht="12.75" customHeight="1">
      <c r="C2" s="37" t="s">
        <v>985</v>
      </c>
      <c r="D2" s="466" t="s">
        <v>8829</v>
      </c>
      <c r="E2" s="466" t="s">
        <v>1759</v>
      </c>
      <c r="F2" s="466" t="s">
        <v>1760</v>
      </c>
      <c r="G2" s="466" t="s">
        <v>5245</v>
      </c>
      <c r="H2" s="466" t="s">
        <v>5246</v>
      </c>
      <c r="I2" s="466" t="s">
        <v>5247</v>
      </c>
    </row>
    <row r="3" spans="1:11" ht="12.75" customHeight="1">
      <c r="C3" s="37" t="s">
        <v>986</v>
      </c>
      <c r="D3" s="466" t="s">
        <v>1760</v>
      </c>
      <c r="E3" s="466" t="s">
        <v>5250</v>
      </c>
      <c r="F3" s="466"/>
      <c r="G3" s="466"/>
      <c r="H3" s="466"/>
      <c r="I3" s="466"/>
    </row>
    <row r="4" spans="1:11" ht="12.75" customHeight="1">
      <c r="H4" s="74"/>
    </row>
    <row r="5" spans="1:11" ht="13">
      <c r="A5" s="1016" t="s">
        <v>102</v>
      </c>
      <c r="B5" s="1017" t="s">
        <v>3918</v>
      </c>
      <c r="C5" s="1017" t="s">
        <v>3920</v>
      </c>
      <c r="D5" s="1017" t="s">
        <v>2243</v>
      </c>
      <c r="E5" s="1017" t="s">
        <v>1926</v>
      </c>
      <c r="F5" s="1017" t="s">
        <v>5396</v>
      </c>
      <c r="G5" s="1017" t="s">
        <v>3919</v>
      </c>
      <c r="H5" s="1017" t="s">
        <v>4310</v>
      </c>
      <c r="I5" s="1017" t="s">
        <v>4309</v>
      </c>
      <c r="J5" s="1017" t="s">
        <v>4308</v>
      </c>
      <c r="K5" s="1035" t="s">
        <v>4291</v>
      </c>
    </row>
    <row r="6" spans="1:11" ht="14.5">
      <c r="A6" s="1020" t="s">
        <v>542</v>
      </c>
      <c r="B6" s="1022" t="s">
        <v>9223</v>
      </c>
      <c r="C6" s="1034" t="s">
        <v>542</v>
      </c>
      <c r="D6" s="1022" t="s">
        <v>9226</v>
      </c>
      <c r="E6" s="1021" t="s">
        <v>9227</v>
      </c>
      <c r="F6" s="1022" t="s">
        <v>9223</v>
      </c>
      <c r="G6" s="1034" t="s">
        <v>9227</v>
      </c>
      <c r="H6" s="1021" t="s">
        <v>2977</v>
      </c>
      <c r="I6" s="1021" t="s">
        <v>9227</v>
      </c>
      <c r="J6" s="1021" t="s">
        <v>9227</v>
      </c>
      <c r="K6" s="1036" t="s">
        <v>4299</v>
      </c>
    </row>
    <row r="7" spans="1:11">
      <c r="A7" s="17" t="s">
        <v>1740</v>
      </c>
      <c r="B7" s="27">
        <f>SUMIF(fish_efp!$N$7:$N$2327,A7,fish_efp!$P$7:$P$2327)</f>
        <v>11497</v>
      </c>
      <c r="C7" s="109">
        <f t="array" ref="C7">IF(ISERROR(1+LOG(SUM(IF(fish_efp!$N$7:$N$2327=A7,fish_efp!$P$7:$P$2327*fish_efp!$S$7:$S$2327,0))*9/(SUM(IF(fish_efp!$N$7:$N$2327=A7,fish_efp!$P$7:$P$2327,0))*cnst_fish!$C$7),1/cnst_fish!$C$8)),0,1+LOG(SUM(IF(fish_efp!$N$7:$N$2327=A7,fish_efp!$P$7:$P$2327*fish_efp!$S$7:$S$2327,0))*9/(SUM(IF(fish_efp!$N$7:$N$2327=A7,fish_efp!$P$7:$P$2327,0))*cnst_fish!$C$7),1/cnst_fish!$C$8))</f>
        <v>1</v>
      </c>
      <c r="D7" s="55">
        <f>IF(C7=0,0,(1/9)*cnst_fish!$C$7*(1/cnst_fish!$C$8)^(C7-1))</f>
        <v>0.141025641025641</v>
      </c>
      <c r="E7" s="55">
        <f>IF(D7=0,G7,(1/D7)*cnst_fish!$C$6)</f>
        <v>30.136363636363644</v>
      </c>
      <c r="F7" s="25">
        <f>SUMIF(fish_commodity_yield_n!$C$7:$C$181,A7,fish_commodity_yield_n!$H$7:$H$181)</f>
        <v>0</v>
      </c>
      <c r="G7" s="87">
        <f>VLOOKUP(A7,fish_group_yield_w!$A$7:$H$47,8,FALSE)</f>
        <v>64.14458501465343</v>
      </c>
      <c r="H7" s="25">
        <f>SUMIF(aquaculture_production_n!$C$7:$C$611,A7,aquaculture_production_n!$D$7:$D$611)</f>
        <v>0</v>
      </c>
      <c r="I7" s="2">
        <f>VLOOKUP(A7,aquaculture_yields!$A$7:$H$46,7,FALSE)</f>
        <v>0</v>
      </c>
      <c r="J7" s="2">
        <f>IF(ISERROR((H7+F7+B7)/(IF(ISERROR(B7/E7),0,B7/E7)+IF(ISERROR(F7/G7),0,F7/G7)+IF(ISERROR(H7/I7),0,H7/I7))),G7,((H7+F7+B7)/(IF(ISERROR(B7/E7),0,B7/E7)+IF(ISERROR(F7/G7),0,F7/G7)+IF(ISERROR(H7/I7),0,H7/I7))))</f>
        <v>30.13636363636364</v>
      </c>
      <c r="K7" s="218">
        <f>IF(ISERROR((VLOOKUP(A7,fish_group_yield_w!$A$7:$I$47,9,FALSE)*F7+H7*VLOOKUP(A7,aquaculture_yields!$A$7:$I$46,9,FALSE))/(B7+F7+H7)),VLOOKUP(A7,fish_group_yield_w!$A$7:$I$47,9,FALSE),(VLOOKUP(A7,fish_group_yield_w!$A$7:$I$47,9,FALSE)*F7+H7*VLOOKUP(A7,aquaculture_yields!$A$7:$I$46,9,FALSE))/(B7+F7+H7))</f>
        <v>0</v>
      </c>
    </row>
    <row r="8" spans="1:11">
      <c r="A8" s="14" t="s">
        <v>2843</v>
      </c>
      <c r="B8" s="25">
        <f>SUMIF(fish_efp!$N$7:$N$2327,A8,fish_efp!$P$7:$P$2327)</f>
        <v>3505</v>
      </c>
      <c r="C8" s="43">
        <f t="array" ref="C8">IF(ISERROR(1+LOG(SUM(IF(fish_efp!$N$7:$N$2327=A8,fish_efp!$P$7:$P$2327*fish_efp!$S$7:$S$2327,0))*9/(SUM(IF(fish_efp!$N$7:$N$2327=A8,fish_efp!$P$7:$P$2327,0))*cnst_fish!$C$7),1/cnst_fish!$C$8)),0,1+LOG(SUM(IF(fish_efp!$N$7:$N$2327=A8,fish_efp!$P$7:$P$2327*fish_efp!$S$7:$S$2327,0))*9/(SUM(IF(fish_efp!$N$7:$N$2327=A8,fish_efp!$P$7:$P$2327,0))*cnst_fish!$C$7),1/cnst_fish!$C$8))</f>
        <v>4.3439988541812431</v>
      </c>
      <c r="D8" s="2">
        <f>IF(C8=0,0,(1/9)*cnst_fish!$C$7*(1/cnst_fish!$C$8)^(C8-1))</f>
        <v>311.38446132086068</v>
      </c>
      <c r="E8" s="2">
        <f>IF(D8=0,G8,(1/D8)*cnst_fish!$C$6)</f>
        <v>1.3648722167997528E-2</v>
      </c>
      <c r="F8" s="25">
        <f>SUMIF(fish_commodity_yield_n!$C$7:$C$181,A8,fish_commodity_yield_n!$H$7:$H$181)</f>
        <v>7653.9379166666668</v>
      </c>
      <c r="G8" s="87">
        <f>VLOOKUP(A8,fish_group_yield_w!$A$7:$H$47,8,FALSE)</f>
        <v>1.4695825722102158E-2</v>
      </c>
      <c r="H8" s="25">
        <f>SUMIF(aquaculture_production_n!$C$7:$C$611,A8,aquaculture_production_n!$D$7:$D$611)</f>
        <v>0</v>
      </c>
      <c r="I8" s="2">
        <f>VLOOKUP(A8,aquaculture_yields!$A$7:$H$46,7,FALSE)</f>
        <v>0.23063782452645643</v>
      </c>
      <c r="J8" s="2">
        <f t="shared" ref="J8:J47" si="0">IF(ISERROR((H8+F8+B8)/(IF(ISERROR(B8/E8),0,B8/E8)+IF(ISERROR(F8/G8),0,F8/G8)+IF(ISERROR(H8/I8),0,H8/I8))),G8,((H8+F8+B8)/(IF(ISERROR(B8/E8),0,B8/E8)+IF(ISERROR(F8/G8),0,F8/G8)+IF(ISERROR(H8/I8),0,H8/I8))))</f>
        <v>1.4350033114620768E-2</v>
      </c>
      <c r="K8" s="219">
        <f>IF(ISERROR((VLOOKUP(A8,fish_group_yield_w!$A$7:$I$47,9,FALSE)*F8+H8*VLOOKUP(A8,aquaculture_yields!$A$7:$I$46,9,FALSE))/(B8+F8+H8)),VLOOKUP(A8,fish_group_yield_w!$A$7:$I$47,9,FALSE),(VLOOKUP(A8,fish_group_yield_w!$A$7:$I$47,9,FALSE)*F8+H8*VLOOKUP(A8,aquaculture_yields!$A$7:$I$46,9,FALSE))/(B8+F8+H8))</f>
        <v>6.7943638321787785E-3</v>
      </c>
    </row>
    <row r="9" spans="1:11">
      <c r="A9" s="14" t="s">
        <v>103</v>
      </c>
      <c r="B9" s="25">
        <f>SUMIF(fish_efp!$N$7:$N$2327,A9,fish_efp!$P$7:$P$2327)</f>
        <v>0</v>
      </c>
      <c r="C9" s="43">
        <f t="array" ref="C9">IF(ISERROR(1+LOG(SUM(IF(fish_efp!$N$7:$N$2327=A9,fish_efp!$P$7:$P$2327*fish_efp!$S$7:$S$2327,0))*9/(SUM(IF(fish_efp!$N$7:$N$2327=A9,fish_efp!$P$7:$P$2327,0))*cnst_fish!$C$7),1/cnst_fish!$C$8)),0,1+LOG(SUM(IF(fish_efp!$N$7:$N$2327=A9,fish_efp!$P$7:$P$2327*fish_efp!$S$7:$S$2327,0))*9/(SUM(IF(fish_efp!$N$7:$N$2327=A9,fish_efp!$P$7:$P$2327,0))*cnst_fish!$C$7),1/cnst_fish!$C$8))</f>
        <v>0</v>
      </c>
      <c r="D9" s="2">
        <f>IF(C9=0,0,(1/9)*cnst_fish!$C$7*(1/cnst_fish!$C$8)^(C9-1))</f>
        <v>0</v>
      </c>
      <c r="E9" s="2">
        <f>IF(D9=0,G9,(1/D9)*cnst_fish!$C$6)</f>
        <v>0.49067815207244281</v>
      </c>
      <c r="F9" s="25">
        <f>SUMIF(fish_commodity_yield_n!$C$7:$C$181,A9,fish_commodity_yield_n!$H$7:$H$181)</f>
        <v>1975.0153863636363</v>
      </c>
      <c r="G9" s="87">
        <f>VLOOKUP(A9,fish_group_yield_w!$A$7:$H$47,8,FALSE)</f>
        <v>0.49067815207244281</v>
      </c>
      <c r="H9" s="25">
        <f>SUMIF(aquaculture_production_n!$C$7:$C$611,A9,aquaculture_production_n!$D$7:$D$611)</f>
        <v>0</v>
      </c>
      <c r="I9" s="2">
        <f>VLOOKUP(A9,aquaculture_yields!$A$7:$H$46,7,FALSE)</f>
        <v>0</v>
      </c>
      <c r="J9" s="2">
        <f t="shared" si="0"/>
        <v>0.49067815207244281</v>
      </c>
      <c r="K9" s="219">
        <f>IF(ISERROR((VLOOKUP(A9,fish_group_yield_w!$A$7:$I$47,9,FALSE)*F9+H9*VLOOKUP(A9,aquaculture_yields!$A$7:$I$46,9,FALSE))/(B9+F9+H9)),VLOOKUP(A9,fish_group_yield_w!$A$7:$I$47,9,FALSE),(VLOOKUP(A9,fish_group_yield_w!$A$7:$I$47,9,FALSE)*F9+H9*VLOOKUP(A9,aquaculture_yields!$A$7:$I$46,9,FALSE))/(B9+F9+H9))</f>
        <v>0</v>
      </c>
    </row>
    <row r="10" spans="1:11">
      <c r="A10" s="14" t="s">
        <v>5194</v>
      </c>
      <c r="B10" s="25">
        <f>SUMIF(fish_efp!$N$7:$N$2327,A10,fish_efp!$P$7:$P$2327)</f>
        <v>610</v>
      </c>
      <c r="C10" s="43">
        <f t="array" ref="C10">IF(ISERROR(1+LOG(SUM(IF(fish_efp!$N$7:$N$2327=A10,fish_efp!$P$7:$P$2327*fish_efp!$S$7:$S$2327,0))*9/(SUM(IF(fish_efp!$N$7:$N$2327=A10,fish_efp!$P$7:$P$2327,0))*cnst_fish!$C$7),1/cnst_fish!$C$8)),0,1+LOG(SUM(IF(fish_efp!$N$7:$N$2327=A10,fish_efp!$P$7:$P$2327*fish_efp!$S$7:$S$2327,0))*9/(SUM(IF(fish_efp!$N$7:$N$2327=A10,fish_efp!$P$7:$P$2327,0))*cnst_fish!$C$7),1/cnst_fish!$C$8))</f>
        <v>2.96</v>
      </c>
      <c r="D10" s="2">
        <f>IF(C10=0,0,(1/9)*cnst_fish!$C$7*(1/cnst_fish!$C$8)^(C10-1))</f>
        <v>12.861691324250007</v>
      </c>
      <c r="E10" s="2">
        <f>IF(D10=0,G10,(1/D10)*cnst_fish!$C$6)</f>
        <v>0.33043865638315079</v>
      </c>
      <c r="F10" s="25">
        <f>SUMIF(fish_commodity_yield_n!$C$7:$C$181,A10,fish_commodity_yield_n!$H$7:$H$181)</f>
        <v>1442.6520638892985</v>
      </c>
      <c r="G10" s="87">
        <f>VLOOKUP(A10,fish_group_yield_w!$A$7:$H$47,8,FALSE)</f>
        <v>2.7253283411782552</v>
      </c>
      <c r="H10" s="25">
        <f>SUMIF(aquaculture_production_n!$C$7:$C$611,A10,aquaculture_production_n!$D$7:$D$611)</f>
        <v>0</v>
      </c>
      <c r="I10" s="2">
        <f>VLOOKUP(A10,aquaculture_yields!$A$7:$H$46,7,FALSE)</f>
        <v>1.6808991614533872</v>
      </c>
      <c r="J10" s="2">
        <f>IF(ISERROR((H10+F10+B10)/(IF(ISERROR(B10/E10),0,B10/E10)+IF(ISERROR(F10/G10),0,F10/G10)+IF(ISERROR(H10/I10),0,H10/I10))),G10,((H10+F10+B10)/(IF(ISERROR(B10/E10),0,B10/E10)+IF(ISERROR(F10/G10),0,F10/G10)+IF(ISERROR(H10/I10),0,H10/I10))))</f>
        <v>0.86413599711052858</v>
      </c>
      <c r="K10" s="219">
        <f>IF(ISERROR((VLOOKUP(A10,fish_group_yield_w!$A$7:$I$47,9,FALSE)*F10+H10*VLOOKUP(A10,aquaculture_yields!$A$7:$I$46,9,FALSE))/(B10+F10+H10)),VLOOKUP(A10,fish_group_yield_w!$A$7:$I$47,9,FALSE),(VLOOKUP(A10,fish_group_yield_w!$A$7:$I$47,9,FALSE)*F10+H10*VLOOKUP(A10,aquaculture_yields!$A$7:$I$46,9,FALSE))/(B10+F10+H10))</f>
        <v>0.41897521390912668</v>
      </c>
    </row>
    <row r="11" spans="1:11">
      <c r="A11" s="14" t="s">
        <v>4011</v>
      </c>
      <c r="B11" s="25">
        <f>SUMIF(fish_efp!$N$7:$N$2327,A11,fish_efp!$P$7:$P$2327)</f>
        <v>3707</v>
      </c>
      <c r="C11" s="43">
        <f t="array" ref="C11">IF(ISERROR(1+LOG(SUM(IF(fish_efp!$N$7:$N$2327=A11,fish_efp!$P$7:$P$2327*fish_efp!$S$7:$S$2327,0))*9/(SUM(IF(fish_efp!$N$7:$N$2327=A11,fish_efp!$P$7:$P$2327,0))*cnst_fish!$C$7),1/cnst_fish!$C$8)),0,1+LOG(SUM(IF(fish_efp!$N$7:$N$2327=A11,fish_efp!$P$7:$P$2327*fish_efp!$S$7:$S$2327,0))*9/(SUM(IF(fish_efp!$N$7:$N$2327=A11,fish_efp!$P$7:$P$2327,0))*cnst_fish!$C$7),1/cnst_fish!$C$8))</f>
        <v>4.38</v>
      </c>
      <c r="D11" s="2">
        <f>IF(C11=0,0,(1/9)*cnst_fish!$C$7*(1/cnst_fish!$C$8)^(C11-1))</f>
        <v>338.2969501181334</v>
      </c>
      <c r="E11" s="2">
        <f>IF(D11=0,G11,(1/D11)*cnst_fish!$C$6)</f>
        <v>1.256292732912874E-2</v>
      </c>
      <c r="F11" s="25">
        <f>SUMIF(fish_commodity_yield_n!$C$7:$C$181,A11,fish_commodity_yield_n!$H$7:$H$181)</f>
        <v>547.98870824524329</v>
      </c>
      <c r="G11" s="87">
        <f>VLOOKUP(A11,fish_group_yield_w!$A$7:$H$47,8,FALSE)</f>
        <v>1.256292732912874E-2</v>
      </c>
      <c r="H11" s="25">
        <f>SUMIF(aquaculture_production_n!$C$7:$C$611,A11,aquaculture_production_n!$D$7:$D$611)</f>
        <v>0</v>
      </c>
      <c r="I11" s="2">
        <f>VLOOKUP(A11,aquaculture_yields!$A$7:$H$46,7,FALSE)</f>
        <v>0</v>
      </c>
      <c r="J11" s="2">
        <f t="shared" si="0"/>
        <v>1.256292732912874E-2</v>
      </c>
      <c r="K11" s="219">
        <f>IF(ISERROR((VLOOKUP(A11,fish_group_yield_w!$A$7:$I$47,9,FALSE)*F11+H11*VLOOKUP(A11,aquaculture_yields!$A$7:$I$46,9,FALSE))/(B11+F11+H11)),VLOOKUP(A11,fish_group_yield_w!$A$7:$I$47,9,FALSE),(VLOOKUP(A11,fish_group_yield_w!$A$7:$I$47,9,FALSE)*F11+H11*VLOOKUP(A11,aquaculture_yields!$A$7:$I$46,9,FALSE))/(B11+F11+H11))</f>
        <v>0</v>
      </c>
    </row>
    <row r="12" spans="1:11">
      <c r="A12" s="14" t="s">
        <v>5195</v>
      </c>
      <c r="B12" s="25">
        <f>SUMIF(fish_efp!$N$7:$N$2327,A12,fish_efp!$P$7:$P$2327)</f>
        <v>18353</v>
      </c>
      <c r="C12" s="43">
        <f t="array" ref="C12">IF(ISERROR(1+LOG(SUM(IF(fish_efp!$N$7:$N$2327=A12,fish_efp!$P$7:$P$2327*fish_efp!$S$7:$S$2327,0))*9/(SUM(IF(fish_efp!$N$7:$N$2327=A12,fish_efp!$P$7:$P$2327,0))*cnst_fish!$C$7),1/cnst_fish!$C$8)),0,1+LOG(SUM(IF(fish_efp!$N$7:$N$2327=A12,fish_efp!$P$7:$P$2327*fish_efp!$S$7:$S$2327,0))*9/(SUM(IF(fish_efp!$N$7:$N$2327=A12,fish_efp!$P$7:$P$2327,0))*cnst_fish!$C$7),1/cnst_fish!$C$8))</f>
        <v>4.4159329798746345</v>
      </c>
      <c r="D12" s="2">
        <f>IF(C12=0,0,(1/9)*cnst_fish!$C$7*(1/cnst_fish!$C$8)^(C12-1))</f>
        <v>367.47776162424509</v>
      </c>
      <c r="E12" s="2">
        <f>IF(D12=0,G12,(1/D12)*cnst_fish!$C$6)</f>
        <v>1.1565325698118648E-2</v>
      </c>
      <c r="F12" s="25">
        <f>SUMIF(fish_commodity_yield_n!$C$7:$C$181,A12,fish_commodity_yield_n!$H$7:$H$181)</f>
        <v>87198.965113703816</v>
      </c>
      <c r="G12" s="87">
        <f>VLOOKUP(A12,fish_group_yield_w!$A$7:$H$47,8,FALSE)</f>
        <v>1.3565763649152475E-2</v>
      </c>
      <c r="H12" s="25">
        <f>SUMIF(aquaculture_production_n!$C$7:$C$611,A12,aquaculture_production_n!$D$7:$D$611)</f>
        <v>0</v>
      </c>
      <c r="I12" s="2">
        <f>VLOOKUP(A12,aquaculture_yields!$A$7:$H$46,7,FALSE)</f>
        <v>0.23063782452645643</v>
      </c>
      <c r="J12" s="2">
        <f t="shared" si="0"/>
        <v>1.3169683305333621E-2</v>
      </c>
      <c r="K12" s="219">
        <f>IF(ISERROR((VLOOKUP(A12,fish_group_yield_w!$A$7:$I$47,9,FALSE)*F12+H12*VLOOKUP(A12,aquaculture_yields!$A$7:$I$46,9,FALSE))/(B12+F12+H12)),VLOOKUP(A12,fish_group_yield_w!$A$7:$I$47,9,FALSE),(VLOOKUP(A12,fish_group_yield_w!$A$7:$I$47,9,FALSE)*F12+H12*VLOOKUP(A12,aquaculture_yields!$A$7:$I$46,9,FALSE))/(B12+F12+H12))</f>
        <v>2.8730468113539055E-4</v>
      </c>
    </row>
    <row r="13" spans="1:11">
      <c r="A13" s="14" t="s">
        <v>5196</v>
      </c>
      <c r="B13" s="25">
        <f>SUMIF(fish_efp!$N$7:$N$2327,A13,fish_efp!$P$7:$P$2327)</f>
        <v>0</v>
      </c>
      <c r="C13" s="43">
        <f t="array" ref="C13">IF(ISERROR(1+LOG(SUM(IF(fish_efp!$N$7:$N$2327=A13,fish_efp!$P$7:$P$2327*fish_efp!$S$7:$S$2327,0))*9/(SUM(IF(fish_efp!$N$7:$N$2327=A13,fish_efp!$P$7:$P$2327,0))*cnst_fish!$C$7),1/cnst_fish!$C$8)),0,1+LOG(SUM(IF(fish_efp!$N$7:$N$2327=A13,fish_efp!$P$7:$P$2327*fish_efp!$S$7:$S$2327,0))*9/(SUM(IF(fish_efp!$N$7:$N$2327=A13,fish_efp!$P$7:$P$2327,0))*cnst_fish!$C$7),1/cnst_fish!$C$8))</f>
        <v>0</v>
      </c>
      <c r="D13" s="2">
        <f>IF(C13=0,0,(1/9)*cnst_fish!$C$7*(1/cnst_fish!$C$8)^(C13-1))</f>
        <v>0</v>
      </c>
      <c r="E13" s="2">
        <f>IF(D13=0,G13,(1/D13)*cnst_fish!$C$6)</f>
        <v>1.5104126953237047</v>
      </c>
      <c r="F13" s="25">
        <f>SUMIF(fish_commodity_yield_n!$C$7:$C$181,A13,fish_commodity_yield_n!$H$7:$H$181)</f>
        <v>4355</v>
      </c>
      <c r="G13" s="87">
        <f>VLOOKUP(A13,fish_group_yield_w!$A$7:$H$47,8,FALSE)</f>
        <v>1.5104126953237047</v>
      </c>
      <c r="H13" s="25">
        <f>SUMIF(aquaculture_production_n!$C$7:$C$611,A13,aquaculture_production_n!$D$7:$D$611)</f>
        <v>0</v>
      </c>
      <c r="I13" s="2">
        <f>VLOOKUP(A13,aquaculture_yields!$A$7:$H$46,7,FALSE)</f>
        <v>0</v>
      </c>
      <c r="J13" s="2">
        <f t="shared" si="0"/>
        <v>1.5104126953237047</v>
      </c>
      <c r="K13" s="219">
        <f>IF(ISERROR((VLOOKUP(A13,fish_group_yield_w!$A$7:$I$47,9,FALSE)*F13+H13*VLOOKUP(A13,aquaculture_yields!$A$7:$I$46,9,FALSE))/(B13+F13+H13)),VLOOKUP(A13,fish_group_yield_w!$A$7:$I$47,9,FALSE),(VLOOKUP(A13,fish_group_yield_w!$A$7:$I$47,9,FALSE)*F13+H13*VLOOKUP(A13,aquaculture_yields!$A$7:$I$46,9,FALSE))/(B13+F13+H13))</f>
        <v>0</v>
      </c>
    </row>
    <row r="14" spans="1:11">
      <c r="A14" s="14" t="s">
        <v>2311</v>
      </c>
      <c r="B14" s="25">
        <f>SUMIF(fish_efp!$N$7:$N$2327,A14,fish_efp!$P$7:$P$2327)</f>
        <v>76864</v>
      </c>
      <c r="C14" s="43">
        <f t="array" ref="C14">IF(ISERROR(1+LOG(SUM(IF(fish_efp!$N$7:$N$2327=A14,fish_efp!$P$7:$P$2327*fish_efp!$S$7:$S$2327,0))*9/(SUM(IF(fish_efp!$N$7:$N$2327=A14,fish_efp!$P$7:$P$2327,0))*cnst_fish!$C$7),1/cnst_fish!$C$8)),0,1+LOG(SUM(IF(fish_efp!$N$7:$N$2327=A14,fish_efp!$P$7:$P$2327*fish_efp!$S$7:$S$2327,0))*9/(SUM(IF(fish_efp!$N$7:$N$2327=A14,fish_efp!$P$7:$P$2327,0))*cnst_fish!$C$7),1/cnst_fish!$C$8))</f>
        <v>3.1321763027756035</v>
      </c>
      <c r="D14" s="2">
        <f>IF(C14=0,0,(1/9)*cnst_fish!$C$7*(1/cnst_fish!$C$8)^(C14-1))</f>
        <v>19.119405547252118</v>
      </c>
      <c r="E14" s="2">
        <f>IF(D14=0,G14,(1/D14)*cnst_fish!$C$6)</f>
        <v>0.2222872457774096</v>
      </c>
      <c r="F14" s="25">
        <f>SUMIF(fish_commodity_yield_n!$C$7:$C$181,A14,fish_commodity_yield_n!$H$7:$H$181)</f>
        <v>21683.014028083235</v>
      </c>
      <c r="G14" s="87">
        <f>VLOOKUP(A14,fish_group_yield_w!$A$7:$H$47,8,FALSE)</f>
        <v>0.14687838431463016</v>
      </c>
      <c r="H14" s="25">
        <f>SUMIF(aquaculture_production_n!$C$7:$C$611,A14,aquaculture_production_n!$D$7:$D$611)</f>
        <v>0</v>
      </c>
      <c r="I14" s="2">
        <f>VLOOKUP(A14,aquaculture_yields!$A$7:$H$46,7,FALSE)</f>
        <v>0.23063782452645643</v>
      </c>
      <c r="J14" s="2">
        <f t="shared" si="0"/>
        <v>0.19972543026409229</v>
      </c>
      <c r="K14" s="219">
        <f>IF(ISERROR((VLOOKUP(A14,fish_group_yield_w!$A$7:$I$47,9,FALSE)*F14+H14*VLOOKUP(A14,aquaculture_yields!$A$7:$I$46,9,FALSE))/(B14+F14+H14)),VLOOKUP(A14,fish_group_yield_w!$A$7:$I$47,9,FALSE),(VLOOKUP(A14,fish_group_yield_w!$A$7:$I$47,9,FALSE)*F14+H14*VLOOKUP(A14,aquaculture_yields!$A$7:$I$46,9,FALSE))/(B14+F14+H14))</f>
        <v>6.3960070594662841E-2</v>
      </c>
    </row>
    <row r="15" spans="1:11">
      <c r="A15" s="14" t="s">
        <v>5197</v>
      </c>
      <c r="B15" s="25">
        <f>SUMIF(fish_efp!$N$7:$N$2327,A15,fish_efp!$P$7:$P$2327)</f>
        <v>1274</v>
      </c>
      <c r="C15" s="43">
        <f t="array" ref="C15">IF(ISERROR(1+LOG(SUM(IF(fish_efp!$N$7:$N$2327=A15,fish_efp!$P$7:$P$2327*fish_efp!$S$7:$S$2327,0))*9/(SUM(IF(fish_efp!$N$7:$N$2327=A15,fish_efp!$P$7:$P$2327,0))*cnst_fish!$C$7),1/cnst_fish!$C$8)),0,1+LOG(SUM(IF(fish_efp!$N$7:$N$2327=A15,fish_efp!$P$7:$P$2327*fish_efp!$S$7:$S$2327,0))*9/(SUM(IF(fish_efp!$N$7:$N$2327=A15,fish_efp!$P$7:$P$2327,0))*cnst_fish!$C$7),1/cnst_fish!$C$8))</f>
        <v>3.98</v>
      </c>
      <c r="D15" s="2">
        <f>IF(C15=0,0,(1/9)*cnst_fish!$C$7*(1/cnst_fish!$C$8)^(C15-1))</f>
        <v>134.67844161840773</v>
      </c>
      <c r="E15" s="2">
        <f>IF(D15=0,G15,(1/D15)*cnst_fish!$C$6)</f>
        <v>3.1556646698079359E-2</v>
      </c>
      <c r="F15" s="25">
        <f>SUMIF(fish_commodity_yield_n!$C$7:$C$181,A15,fish_commodity_yield_n!$H$7:$H$181)</f>
        <v>10071.404316498316</v>
      </c>
      <c r="G15" s="87">
        <f>VLOOKUP(A15,fish_group_yield_w!$A$7:$H$47,8,FALSE)</f>
        <v>4.2083065180809703E-2</v>
      </c>
      <c r="H15" s="25">
        <f>SUMIF(aquaculture_production_n!$C$7:$C$611,A15,aquaculture_production_n!$D$7:$D$611)</f>
        <v>0</v>
      </c>
      <c r="I15" s="2">
        <f>VLOOKUP(A15,aquaculture_yields!$A$7:$H$46,7,FALSE)</f>
        <v>0.23063782452645643</v>
      </c>
      <c r="J15" s="2">
        <f t="shared" si="0"/>
        <v>4.0563650674022712E-2</v>
      </c>
      <c r="K15" s="219">
        <f>IF(ISERROR((VLOOKUP(A15,fish_group_yield_w!$A$7:$I$47,9,FALSE)*F15+H15*VLOOKUP(A15,aquaculture_yields!$A$7:$I$46,9,FALSE))/(B15+F15+H15)),VLOOKUP(A15,fish_group_yield_w!$A$7:$I$47,9,FALSE),(VLOOKUP(A15,fish_group_yield_w!$A$7:$I$47,9,FALSE)*F15+H15*VLOOKUP(A15,aquaculture_yields!$A$7:$I$46,9,FALSE))/(B15+F15+H15))</f>
        <v>0</v>
      </c>
    </row>
    <row r="16" spans="1:11">
      <c r="A16" s="14" t="s">
        <v>3785</v>
      </c>
      <c r="B16" s="25">
        <f>SUMIF(fish_efp!$N$7:$N$2327,A16,fish_efp!$P$7:$P$2327)</f>
        <v>331</v>
      </c>
      <c r="C16" s="43">
        <f t="array" ref="C16">IF(ISERROR(1+LOG(SUM(IF(fish_efp!$N$7:$N$2327=A16,fish_efp!$P$7:$P$2327*fish_efp!$S$7:$S$2327,0))*9/(SUM(IF(fish_efp!$N$7:$N$2327=A16,fish_efp!$P$7:$P$2327,0))*cnst_fish!$C$7),1/cnst_fish!$C$8)),0,1+LOG(SUM(IF(fish_efp!$N$7:$N$2327=A16,fish_efp!$P$7:$P$2327*fish_efp!$S$7:$S$2327,0))*9/(SUM(IF(fish_efp!$N$7:$N$2327=A16,fish_efp!$P$7:$P$2327,0))*cnst_fish!$C$7),1/cnst_fish!$C$8))</f>
        <v>4.2790813696232561</v>
      </c>
      <c r="D16" s="2">
        <f>IF(C16=0,0,(1/9)*cnst_fish!$C$7*(1/cnst_fish!$C$8)^(C16-1))</f>
        <v>268.15101926391316</v>
      </c>
      <c r="E16" s="2">
        <f>IF(D16=0,G16,(1/D16)*cnst_fish!$C$6)</f>
        <v>1.5849277812429893E-2</v>
      </c>
      <c r="F16" s="25">
        <f>SUMIF(fish_commodity_yield_n!$C$7:$C$181,A16,fish_commodity_yield_n!$H$7:$H$181)</f>
        <v>212.18785357087049</v>
      </c>
      <c r="G16" s="87">
        <f>VLOOKUP(A16,fish_group_yield_w!$A$7:$H$47,8,FALSE)</f>
        <v>2.8900076253516937E-2</v>
      </c>
      <c r="H16" s="25">
        <f>SUMIF(aquaculture_production_n!$C$7:$C$611,A16,aquaculture_production_n!$D$7:$D$611)</f>
        <v>0</v>
      </c>
      <c r="I16" s="2">
        <f>VLOOKUP(A16,aquaculture_yields!$A$7:$H$46,7,FALSE)</f>
        <v>0</v>
      </c>
      <c r="J16" s="2">
        <f t="shared" si="0"/>
        <v>1.9243996894108519E-2</v>
      </c>
      <c r="K16" s="219">
        <f>IF(ISERROR((VLOOKUP(A16,fish_group_yield_w!$A$7:$I$47,9,FALSE)*F16+H16*VLOOKUP(A16,aquaculture_yields!$A$7:$I$46,9,FALSE))/(B16+F16+H16)),VLOOKUP(A16,fish_group_yield_w!$A$7:$I$47,9,FALSE),(VLOOKUP(A16,fish_group_yield_w!$A$7:$I$47,9,FALSE)*F16+H16*VLOOKUP(A16,aquaculture_yields!$A$7:$I$46,9,FALSE))/(B16+F16+H16))</f>
        <v>0</v>
      </c>
    </row>
    <row r="17" spans="1:11">
      <c r="A17" s="14" t="s">
        <v>3786</v>
      </c>
      <c r="B17" s="25">
        <f>SUMIF(fish_efp!$N$7:$N$2327,A17,fish_efp!$P$7:$P$2327)</f>
        <v>276</v>
      </c>
      <c r="C17" s="43">
        <f t="array" ref="C17">IF(ISERROR(1+LOG(SUM(IF(fish_efp!$N$7:$N$2327=A17,fish_efp!$P$7:$P$2327*fish_efp!$S$7:$S$2327,0))*9/(SUM(IF(fish_efp!$N$7:$N$2327=A17,fish_efp!$P$7:$P$2327,0))*cnst_fish!$C$7),1/cnst_fish!$C$8)),0,1+LOG(SUM(IF(fish_efp!$N$7:$N$2327=A17,fish_efp!$P$7:$P$2327*fish_efp!$S$7:$S$2327,0))*9/(SUM(IF(fish_efp!$N$7:$N$2327=A17,fish_efp!$P$7:$P$2327,0))*cnst_fish!$C$7),1/cnst_fish!$C$8))</f>
        <v>3.67</v>
      </c>
      <c r="D17" s="2">
        <f>IF(C17=0,0,(1/9)*cnst_fish!$C$7*(1/cnst_fish!$C$8)^(C17-1))</f>
        <v>65.962648130245896</v>
      </c>
      <c r="E17" s="2">
        <f>IF(D17=0,G17,(1/D17)*cnst_fish!$C$6)</f>
        <v>6.4430402969999093E-2</v>
      </c>
      <c r="F17" s="25">
        <f>SUMIF(fish_commodity_yield_n!$C$7:$C$181,A17,fish_commodity_yield_n!$H$7:$H$181)</f>
        <v>1319.9225807874573</v>
      </c>
      <c r="G17" s="87">
        <f>VLOOKUP(A17,fish_group_yield_w!$A$7:$H$47,8,FALSE)</f>
        <v>5.1029359228699431E-2</v>
      </c>
      <c r="H17" s="25">
        <f>SUMIF(aquaculture_production_n!$C$7:$C$611,A17,aquaculture_production_n!$D$7:$D$611)</f>
        <v>0</v>
      </c>
      <c r="I17" s="2">
        <f>VLOOKUP(A17,aquaculture_yields!$A$7:$H$46,7,FALSE)</f>
        <v>8.6760626845153677E-2</v>
      </c>
      <c r="J17" s="2">
        <f t="shared" si="0"/>
        <v>5.2933393570444159E-2</v>
      </c>
      <c r="K17" s="219">
        <f>IF(ISERROR((VLOOKUP(A17,fish_group_yield_w!$A$7:$I$47,9,FALSE)*F17+H17*VLOOKUP(A17,aquaculture_yields!$A$7:$I$46,9,FALSE))/(B17+F17+H17)),VLOOKUP(A17,fish_group_yield_w!$A$7:$I$47,9,FALSE),(VLOOKUP(A17,fish_group_yield_w!$A$7:$I$47,9,FALSE)*F17+H17*VLOOKUP(A17,aquaculture_yields!$A$7:$I$46,9,FALSE))/(B17+F17+H17))</f>
        <v>0.24992344727590604</v>
      </c>
    </row>
    <row r="18" spans="1:11">
      <c r="A18" s="14" t="s">
        <v>3787</v>
      </c>
      <c r="B18" s="25">
        <f>SUMIF(fish_efp!$N$7:$N$2327,A18,fish_efp!$P$7:$P$2327)</f>
        <v>20173</v>
      </c>
      <c r="C18" s="43">
        <f t="array" ref="C18">IF(ISERROR(1+LOG(SUM(IF(fish_efp!$N$7:$N$2327=A18,fish_efp!$P$7:$P$2327*fish_efp!$S$7:$S$2327,0))*9/(SUM(IF(fish_efp!$N$7:$N$2327=A18,fish_efp!$P$7:$P$2327,0))*cnst_fish!$C$7),1/cnst_fish!$C$8)),0,1+LOG(SUM(IF(fish_efp!$N$7:$N$2327=A18,fish_efp!$P$7:$P$2327*fish_efp!$S$7:$S$2327,0))*9/(SUM(IF(fish_efp!$N$7:$N$2327=A18,fish_efp!$P$7:$P$2327,0))*cnst_fish!$C$7),1/cnst_fish!$C$8))</f>
        <v>4.4534131237607877</v>
      </c>
      <c r="D18" s="2">
        <f>IF(C18=0,0,(1/9)*cnst_fish!$C$7*(1/cnst_fish!$C$8)^(C18-1))</f>
        <v>400.60024100049293</v>
      </c>
      <c r="E18" s="2">
        <f>IF(D18=0,G18,(1/D18)*cnst_fish!$C$6)</f>
        <v>1.0609079988034183E-2</v>
      </c>
      <c r="F18" s="25">
        <f>SUMIF(fish_commodity_yield_n!$C$7:$C$181,A18,fish_commodity_yield_n!$H$7:$H$181)</f>
        <v>2566.0150119047621</v>
      </c>
      <c r="G18" s="87">
        <f>VLOOKUP(A18,fish_group_yield_w!$A$7:$H$47,8,FALSE)</f>
        <v>1.0714341466813734E-2</v>
      </c>
      <c r="H18" s="25">
        <f>SUMIF(aquaculture_production_n!$C$7:$C$611,A18,aquaculture_production_n!$D$7:$D$611)</f>
        <v>0</v>
      </c>
      <c r="I18" s="2">
        <f>VLOOKUP(A18,aquaculture_yields!$A$7:$H$46,7,FALSE)</f>
        <v>0.23063782452645643</v>
      </c>
      <c r="J18" s="2">
        <f t="shared" si="0"/>
        <v>1.0620854719092005E-2</v>
      </c>
      <c r="K18" s="219">
        <f>IF(ISERROR((VLOOKUP(A18,fish_group_yield_w!$A$7:$I$47,9,FALSE)*F18+H18*VLOOKUP(A18,aquaculture_yields!$A$7:$I$46,9,FALSE))/(B18+F18+H18)),VLOOKUP(A18,fish_group_yield_w!$A$7:$I$47,9,FALSE),(VLOOKUP(A18,fish_group_yield_w!$A$7:$I$47,9,FALSE)*F18+H18*VLOOKUP(A18,aquaculture_yields!$A$7:$I$46,9,FALSE))/(B18+F18+H18))</f>
        <v>9.1298833092222777E-4</v>
      </c>
    </row>
    <row r="19" spans="1:11">
      <c r="A19" s="14" t="s">
        <v>600</v>
      </c>
      <c r="B19" s="25">
        <f>SUMIF(fish_efp!$N$7:$N$2327,A19,fish_efp!$P$7:$P$2327)</f>
        <v>17294</v>
      </c>
      <c r="C19" s="43">
        <f t="array" ref="C19">IF(ISERROR(1+LOG(SUM(IF(fish_efp!$N$7:$N$2327=A19,fish_efp!$P$7:$P$2327*fish_efp!$S$7:$S$2327,0))*9/(SUM(IF(fish_efp!$N$7:$N$2327=A19,fish_efp!$P$7:$P$2327,0))*cnst_fish!$C$7),1/cnst_fish!$C$8)),0,1+LOG(SUM(IF(fish_efp!$N$7:$N$2327=A19,fish_efp!$P$7:$P$2327*fish_efp!$S$7:$S$2327,0))*9/(SUM(IF(fish_efp!$N$7:$N$2327=A19,fish_efp!$P$7:$P$2327,0))*cnst_fish!$C$7),1/cnst_fish!$C$8))</f>
        <v>4.09</v>
      </c>
      <c r="D19" s="2">
        <f>IF(C19=0,0,(1/9)*cnst_fish!$C$7*(1/cnst_fish!$C$8)^(C19-1))</f>
        <v>173.49944203764363</v>
      </c>
      <c r="E19" s="2">
        <f>IF(D19=0,G19,(1/D19)*cnst_fish!$C$6)</f>
        <v>2.4495756009854434E-2</v>
      </c>
      <c r="F19" s="25">
        <f>SUMIF(fish_commodity_yield_n!$C$7:$C$181,A19,fish_commodity_yield_n!$H$7:$H$181)</f>
        <v>11895.508880266076</v>
      </c>
      <c r="G19" s="87">
        <f>VLOOKUP(A19,fish_group_yield_w!$A$7:$H$47,8,FALSE)</f>
        <v>2.4495756009854434E-2</v>
      </c>
      <c r="H19" s="25">
        <f>SUMIF(aquaculture_production_n!$C$7:$C$611,A19,aquaculture_production_n!$D$7:$D$611)</f>
        <v>0</v>
      </c>
      <c r="I19" s="2">
        <f>VLOOKUP(A19,aquaculture_yields!$A$7:$H$46,7,FALSE)</f>
        <v>0.23063782452645643</v>
      </c>
      <c r="J19" s="2">
        <f t="shared" si="0"/>
        <v>2.4495756009854434E-2</v>
      </c>
      <c r="K19" s="219">
        <f>IF(ISERROR((VLOOKUP(A19,fish_group_yield_w!$A$7:$I$47,9,FALSE)*F19+H19*VLOOKUP(A19,aquaculture_yields!$A$7:$I$46,9,FALSE))/(B19+F19+H19)),VLOOKUP(A19,fish_group_yield_w!$A$7:$I$47,9,FALSE),(VLOOKUP(A19,fish_group_yield_w!$A$7:$I$47,9,FALSE)*F19+H19*VLOOKUP(A19,aquaculture_yields!$A$7:$I$46,9,FALSE))/(B19+F19+H19))</f>
        <v>0</v>
      </c>
    </row>
    <row r="20" spans="1:11">
      <c r="A20" s="14" t="s">
        <v>3788</v>
      </c>
      <c r="B20" s="25">
        <f>SUMIF(fish_efp!$N$7:$N$2327,A20,fish_efp!$P$7:$P$2327)</f>
        <v>109020</v>
      </c>
      <c r="C20" s="43">
        <f t="array" ref="C20">IF(ISERROR(1+LOG(SUM(IF(fish_efp!$N$7:$N$2327=A20,fish_efp!$P$7:$P$2327*fish_efp!$S$7:$S$2327,0))*9/(SUM(IF(fish_efp!$N$7:$N$2327=A20,fish_efp!$P$7:$P$2327,0))*cnst_fish!$C$7),1/cnst_fish!$C$8)),0,1+LOG(SUM(IF(fish_efp!$N$7:$N$2327=A20,fish_efp!$P$7:$P$2327*fish_efp!$S$7:$S$2327,0))*9/(SUM(IF(fish_efp!$N$7:$N$2327=A20,fish_efp!$P$7:$P$2327,0))*cnst_fish!$C$7),1/cnst_fish!$C$8))</f>
        <v>4.3449158494111817</v>
      </c>
      <c r="D20" s="2">
        <f>IF(C20=0,0,(1/9)*cnst_fish!$C$7*(1/cnst_fish!$C$8)^(C20-1))</f>
        <v>312.04263161989894</v>
      </c>
      <c r="E20" s="2">
        <f>IF(D20=0,G20,(1/D20)*cnst_fish!$C$6)</f>
        <v>1.3619933846657693E-2</v>
      </c>
      <c r="F20" s="25">
        <f>SUMIF(fish_commodity_yield_n!$C$7:$C$181,A20,fish_commodity_yield_n!$H$7:$H$181)</f>
        <v>1315.978721405229</v>
      </c>
      <c r="G20" s="87">
        <f>VLOOKUP(A20,fish_group_yield_w!$A$7:$H$47,8,FALSE)</f>
        <v>1.461260674287247E-2</v>
      </c>
      <c r="H20" s="25">
        <f>SUMIF(aquaculture_production_n!$C$7:$C$611,A20,aquaculture_production_n!$D$7:$D$611)</f>
        <v>0</v>
      </c>
      <c r="I20" s="2">
        <f>VLOOKUP(A20,aquaculture_yields!$A$7:$H$46,7,FALSE)</f>
        <v>0</v>
      </c>
      <c r="J20" s="2">
        <f t="shared" si="0"/>
        <v>1.3630978121444577E-2</v>
      </c>
      <c r="K20" s="219">
        <f>IF(ISERROR((VLOOKUP(A20,fish_group_yield_w!$A$7:$I$47,9,FALSE)*F20+H20*VLOOKUP(A20,aquaculture_yields!$A$7:$I$46,9,FALSE))/(B20+F20+H20)),VLOOKUP(A20,fish_group_yield_w!$A$7:$I$47,9,FALSE),(VLOOKUP(A20,fish_group_yield_w!$A$7:$I$47,9,FALSE)*F20+H20*VLOOKUP(A20,aquaculture_yields!$A$7:$I$46,9,FALSE))/(B20+F20+H20))</f>
        <v>0</v>
      </c>
    </row>
    <row r="21" spans="1:11">
      <c r="A21" s="14" t="s">
        <v>3789</v>
      </c>
      <c r="B21" s="25">
        <f>SUMIF(fish_efp!$N$7:$N$2327,A21,fish_efp!$P$7:$P$2327)</f>
        <v>115444</v>
      </c>
      <c r="C21" s="43">
        <f t="array" ref="C21">IF(ISERROR(1+LOG(SUM(IF(fish_efp!$N$7:$N$2327=A21,fish_efp!$P$7:$P$2327*fish_efp!$S$7:$S$2327,0))*9/(SUM(IF(fish_efp!$N$7:$N$2327=A21,fish_efp!$P$7:$P$2327,0))*cnst_fish!$C$7),1/cnst_fish!$C$8)),0,1+LOG(SUM(IF(fish_efp!$N$7:$N$2327=A21,fish_efp!$P$7:$P$2327*fish_efp!$S$7:$S$2327,0))*9/(SUM(IF(fish_efp!$N$7:$N$2327=A21,fish_efp!$P$7:$P$2327,0))*cnst_fish!$C$7),1/cnst_fish!$C$8))</f>
        <v>3.2194769501406153</v>
      </c>
      <c r="D21" s="2">
        <f>IF(C21=0,0,(1/9)*cnst_fish!$C$7*(1/cnst_fish!$C$8)^(C21-1))</f>
        <v>23.376260193582013</v>
      </c>
      <c r="E21" s="2">
        <f>IF(D21=0,G21,(1/D21)*cnst_fish!$C$6)</f>
        <v>0.18180838016026379</v>
      </c>
      <c r="F21" s="25">
        <f>SUMIF(fish_commodity_yield_n!$C$7:$C$181,A21,fish_commodity_yield_n!$H$7:$H$181)</f>
        <v>11705.134166666665</v>
      </c>
      <c r="G21" s="87">
        <f>VLOOKUP(A21,fish_group_yield_w!$A$7:$H$47,8,FALSE)</f>
        <v>0.18367470865164995</v>
      </c>
      <c r="H21" s="25">
        <f>SUMIF(aquaculture_production_n!$C$7:$C$611,A21,aquaculture_production_n!$D$7:$D$611)</f>
        <v>0</v>
      </c>
      <c r="I21" s="2">
        <f>VLOOKUP(A21,aquaculture_yields!$A$7:$H$46,7,FALSE)</f>
        <v>0</v>
      </c>
      <c r="J21" s="2">
        <f t="shared" si="0"/>
        <v>0.18197860465195198</v>
      </c>
      <c r="K21" s="219">
        <f>IF(ISERROR((VLOOKUP(A21,fish_group_yield_w!$A$7:$I$47,9,FALSE)*F21+H21*VLOOKUP(A21,aquaculture_yields!$A$7:$I$46,9,FALSE))/(B21+F21+H21)),VLOOKUP(A21,fish_group_yield_w!$A$7:$I$47,9,FALSE),(VLOOKUP(A21,fish_group_yield_w!$A$7:$I$47,9,FALSE)*F21+H21*VLOOKUP(A21,aquaculture_yields!$A$7:$I$46,9,FALSE))/(B21+F21+H21))</f>
        <v>0</v>
      </c>
    </row>
    <row r="22" spans="1:11">
      <c r="A22" s="14" t="s">
        <v>3790</v>
      </c>
      <c r="B22" s="25">
        <f>SUMIF(fish_efp!$N$7:$N$2327,A22,fish_efp!$P$7:$P$2327)</f>
        <v>97381</v>
      </c>
      <c r="C22" s="43">
        <f t="array" ref="C22">IF(ISERROR(1+LOG(SUM(IF(fish_efp!$N$7:$N$2327=A22,fish_efp!$P$7:$P$2327*fish_efp!$S$7:$S$2327,0))*9/(SUM(IF(fish_efp!$N$7:$N$2327=A22,fish_efp!$P$7:$P$2327,0))*cnst_fish!$C$7),1/cnst_fish!$C$8)),0,1+LOG(SUM(IF(fish_efp!$N$7:$N$2327=A22,fish_efp!$P$7:$P$2327*fish_efp!$S$7:$S$2327,0))*9/(SUM(IF(fish_efp!$N$7:$N$2327=A22,fish_efp!$P$7:$P$2327,0))*cnst_fish!$C$7),1/cnst_fish!$C$8))</f>
        <v>3.4</v>
      </c>
      <c r="D22" s="2">
        <f>IF(C22=0,0,(1/9)*cnst_fish!$C$7*(1/cnst_fish!$C$8)^(C22-1))</f>
        <v>35.424039418724846</v>
      </c>
      <c r="E22" s="2">
        <f>IF(D22=0,G22,(1/D22)*cnst_fish!$C$6)</f>
        <v>0.11997502458044032</v>
      </c>
      <c r="F22" s="25">
        <f>SUMIF(fish_commodity_yield_n!$C$7:$C$181,A22,fish_commodity_yield_n!$H$7:$H$181)</f>
        <v>14951.117885835094</v>
      </c>
      <c r="G22" s="87">
        <f>VLOOKUP(A22,fish_group_yield_w!$A$7:$H$47,8,FALSE)</f>
        <v>0.16027517864994512</v>
      </c>
      <c r="H22" s="25">
        <f>SUMIF(aquaculture_production_n!$C$7:$C$611,A22,aquaculture_production_n!$D$7:$D$611)</f>
        <v>0</v>
      </c>
      <c r="I22" s="2">
        <f>VLOOKUP(A22,aquaculture_yields!$A$7:$H$46,7,FALSE)</f>
        <v>0.23063782452645643</v>
      </c>
      <c r="J22" s="2">
        <f t="shared" si="0"/>
        <v>0.12412919287778228</v>
      </c>
      <c r="K22" s="219">
        <f>IF(ISERROR((VLOOKUP(A22,fish_group_yield_w!$A$7:$I$47,9,FALSE)*F22+H22*VLOOKUP(A22,aquaculture_yields!$A$7:$I$46,9,FALSE))/(B22+F22+H22)),VLOOKUP(A22,fish_group_yield_w!$A$7:$I$47,9,FALSE),(VLOOKUP(A22,fish_group_yield_w!$A$7:$I$47,9,FALSE)*F22+H22*VLOOKUP(A22,aquaculture_yields!$A$7:$I$46,9,FALSE))/(B22+F22+H22))</f>
        <v>2.3856857018831E-5</v>
      </c>
    </row>
    <row r="23" spans="1:11">
      <c r="A23" s="14" t="s">
        <v>2312</v>
      </c>
      <c r="B23" s="25">
        <f>SUMIF(fish_efp!$N$7:$N$2327,A23,fish_efp!$P$7:$P$2327)</f>
        <v>0</v>
      </c>
      <c r="C23" s="43">
        <f t="array" ref="C23">IF(ISERROR(1+LOG(SUM(IF(fish_efp!$N$7:$N$2327=A23,fish_efp!$P$7:$P$2327*fish_efp!$S$7:$S$2327,0))*9/(SUM(IF(fish_efp!$N$7:$N$2327=A23,fish_efp!$P$7:$P$2327,0))*cnst_fish!$C$7),1/cnst_fish!$C$8)),0,1+LOG(SUM(IF(fish_efp!$N$7:$N$2327=A23,fish_efp!$P$7:$P$2327*fish_efp!$S$7:$S$2327,0))*9/(SUM(IF(fish_efp!$N$7:$N$2327=A23,fish_efp!$P$7:$P$2327,0))*cnst_fish!$C$7),1/cnst_fish!$C$8))</f>
        <v>0</v>
      </c>
      <c r="D23" s="2">
        <f>IF(C23=0,0,(1/9)*cnst_fish!$C$7*(1/cnst_fish!$C$8)^(C23-1))</f>
        <v>0</v>
      </c>
      <c r="E23" s="2">
        <f>IF(D23=0,G23,(1/D23)*cnst_fish!$C$6)</f>
        <v>0.29344336803250265</v>
      </c>
      <c r="F23" s="25">
        <f>SUMIF(fish_commodity_yield_n!$C$7:$C$181,A23,fish_commodity_yield_n!$H$7:$H$181)</f>
        <v>0</v>
      </c>
      <c r="G23" s="87">
        <f>VLOOKUP(A23,fish_group_yield_w!$A$7:$H$47,8,FALSE)</f>
        <v>0.29344336803250265</v>
      </c>
      <c r="H23" s="25">
        <f>SUMIF(aquaculture_production_n!$C$7:$C$611,A23,aquaculture_production_n!$D$7:$D$611)</f>
        <v>0</v>
      </c>
      <c r="I23" s="2">
        <f>VLOOKUP(A23,aquaculture_yields!$A$7:$H$46,7,FALSE)</f>
        <v>0.23063782452645643</v>
      </c>
      <c r="J23" s="2">
        <f t="shared" si="0"/>
        <v>0.29344336803250265</v>
      </c>
      <c r="K23" s="219">
        <f>IF(ISERROR((VLOOKUP(A23,fish_group_yield_w!$A$7:$I$47,9,FALSE)*F23+H23*VLOOKUP(A23,aquaculture_yields!$A$7:$I$46,9,FALSE))/(B23+F23+H23)),VLOOKUP(A23,fish_group_yield_w!$A$7:$I$47,9,FALSE),(VLOOKUP(A23,fish_group_yield_w!$A$7:$I$47,9,FALSE)*F23+H23*VLOOKUP(A23,aquaculture_yields!$A$7:$I$46,9,FALSE))/(B23+F23+H23))</f>
        <v>1.4648688786994607E-2</v>
      </c>
    </row>
    <row r="24" spans="1:11">
      <c r="A24" s="14" t="s">
        <v>2313</v>
      </c>
      <c r="B24" s="25">
        <f>SUMIF(fish_efp!$N$7:$N$2327,A24,fish_efp!$P$7:$P$2327)</f>
        <v>10787</v>
      </c>
      <c r="C24" s="43">
        <f t="array" ref="C24">IF(ISERROR(1+LOG(SUM(IF(fish_efp!$N$7:$N$2327=A24,fish_efp!$P$7:$P$2327*fish_efp!$S$7:$S$2327,0))*9/(SUM(IF(fish_efp!$N$7:$N$2327=A24,fish_efp!$P$7:$P$2327,0))*cnst_fish!$C$7),1/cnst_fish!$C$8)),0,1+LOG(SUM(IF(fish_efp!$N$7:$N$2327=A24,fish_efp!$P$7:$P$2327*fish_efp!$S$7:$S$2327,0))*9/(SUM(IF(fish_efp!$N$7:$N$2327=A24,fish_efp!$P$7:$P$2327,0))*cnst_fish!$C$7),1/cnst_fish!$C$8))</f>
        <v>3.65</v>
      </c>
      <c r="D24" s="2">
        <f>IF(C24=0,0,(1/9)*cnst_fish!$C$7*(1/cnst_fish!$C$8)^(C24-1))</f>
        <v>62.993839918725584</v>
      </c>
      <c r="E24" s="2">
        <f>IF(D24=0,G24,(1/D24)*cnst_fish!$C$6)</f>
        <v>6.7466914312309487E-2</v>
      </c>
      <c r="F24" s="25">
        <f>SUMIF(fish_commodity_yield_n!$C$7:$C$181,A24,fish_commodity_yield_n!$H$7:$H$181)</f>
        <v>7986.3725000000068</v>
      </c>
      <c r="G24" s="87">
        <f>VLOOKUP(A24,fish_group_yield_w!$A$7:$H$47,8,FALSE)</f>
        <v>6.0100576045917259E-2</v>
      </c>
      <c r="H24" s="25">
        <f>SUMIF(aquaculture_production_n!$C$7:$C$611,A24,aquaculture_production_n!$D$7:$D$611)</f>
        <v>0</v>
      </c>
      <c r="I24" s="2">
        <f>VLOOKUP(A24,aquaculture_yields!$A$7:$H$46,7,FALSE)</f>
        <v>0.23063782452645643</v>
      </c>
      <c r="J24" s="2">
        <f t="shared" si="0"/>
        <v>6.4123446509159479E-2</v>
      </c>
      <c r="K24" s="219">
        <f>IF(ISERROR((VLOOKUP(A24,fish_group_yield_w!$A$7:$I$47,9,FALSE)*F24+H24*VLOOKUP(A24,aquaculture_yields!$A$7:$I$46,9,FALSE))/(B24+F24+H24)),VLOOKUP(A24,fish_group_yield_w!$A$7:$I$47,9,FALSE),(VLOOKUP(A24,fish_group_yield_w!$A$7:$I$47,9,FALSE)*F24+H24*VLOOKUP(A24,aquaculture_yields!$A$7:$I$46,9,FALSE))/(B24+F24+H24))</f>
        <v>5.4998104001601687E-5</v>
      </c>
    </row>
    <row r="25" spans="1:11">
      <c r="A25" s="14" t="s">
        <v>2314</v>
      </c>
      <c r="B25" s="25">
        <f>SUMIF(fish_efp!$N$7:$N$2327,A25,fish_efp!$P$7:$P$2327)</f>
        <v>0</v>
      </c>
      <c r="C25" s="43">
        <f t="array" ref="C25">IF(ISERROR(1+LOG(SUM(IF(fish_efp!$N$7:$N$2327=A25,fish_efp!$P$7:$P$2327*fish_efp!$S$7:$S$2327,0))*9/(SUM(IF(fish_efp!$N$7:$N$2327=A25,fish_efp!$P$7:$P$2327,0))*cnst_fish!$C$7),1/cnst_fish!$C$8)),0,1+LOG(SUM(IF(fish_efp!$N$7:$N$2327=A25,fish_efp!$P$7:$P$2327*fish_efp!$S$7:$S$2327,0))*9/(SUM(IF(fish_efp!$N$7:$N$2327=A25,fish_efp!$P$7:$P$2327,0))*cnst_fish!$C$7),1/cnst_fish!$C$8))</f>
        <v>0</v>
      </c>
      <c r="D25" s="2">
        <f>IF(C25=0,0,(1/9)*cnst_fish!$C$7*(1/cnst_fish!$C$8)^(C25-1))</f>
        <v>0</v>
      </c>
      <c r="E25" s="2">
        <f>IF(D25=0,G25,(1/D25)*cnst_fish!$C$6)</f>
        <v>0.41590975856716078</v>
      </c>
      <c r="F25" s="25">
        <f>SUMIF(fish_commodity_yield_n!$C$7:$C$181,A25,fish_commodity_yield_n!$H$7:$H$181)</f>
        <v>5554.8278571428564</v>
      </c>
      <c r="G25" s="87">
        <f>VLOOKUP(A25,fish_group_yield_w!$A$7:$H$47,8,FALSE)</f>
        <v>0.41590975856716078</v>
      </c>
      <c r="H25" s="25">
        <f>SUMIF(aquaculture_production_n!$C$7:$C$611,A25,aquaculture_production_n!$D$7:$D$611)</f>
        <v>26822</v>
      </c>
      <c r="I25" s="2">
        <f>VLOOKUP(A25,aquaculture_yields!$A$7:$H$46,7,FALSE)</f>
        <v>0.23063782452645643</v>
      </c>
      <c r="J25" s="2">
        <f t="shared" si="0"/>
        <v>0.24972343868943189</v>
      </c>
      <c r="K25" s="219">
        <f>IF(ISERROR((VLOOKUP(A25,fish_group_yield_w!$A$7:$I$47,9,FALSE)*F25+H25*VLOOKUP(A25,aquaculture_yields!$A$7:$I$46,9,FALSE))/(B25+F25+H25)),VLOOKUP(A25,fish_group_yield_w!$A$7:$I$47,9,FALSE),(VLOOKUP(A25,fish_group_yield_w!$A$7:$I$47,9,FALSE)*F25+H25*VLOOKUP(A25,aquaculture_yields!$A$7:$I$46,9,FALSE))/(B25+F25+H25))</f>
        <v>0.71548521726219938</v>
      </c>
    </row>
    <row r="26" spans="1:11">
      <c r="A26" s="14" t="s">
        <v>1449</v>
      </c>
      <c r="B26" s="25">
        <f>SUMIF(fish_efp!$N$7:$N$2327,A26,fish_efp!$P$7:$P$2327)</f>
        <v>0</v>
      </c>
      <c r="C26" s="43">
        <f t="array" ref="C26">IF(ISERROR(1+LOG(SUM(IF(fish_efp!$N$7:$N$2327=A26,fish_efp!$P$7:$P$2327*fish_efp!$S$7:$S$2327,0))*9/(SUM(IF(fish_efp!$N$7:$N$2327=A26,fish_efp!$P$7:$P$2327,0))*cnst_fish!$C$7),1/cnst_fish!$C$8)),0,1+LOG(SUM(IF(fish_efp!$N$7:$N$2327=A26,fish_efp!$P$7:$P$2327*fish_efp!$S$7:$S$2327,0))*9/(SUM(IF(fish_efp!$N$7:$N$2327=A26,fish_efp!$P$7:$P$2327,0))*cnst_fish!$C$7),1/cnst_fish!$C$8))</f>
        <v>0</v>
      </c>
      <c r="D26" s="2">
        <f>IF(C26=0,0,(1/9)*cnst_fish!$C$7*(1/cnst_fish!$C$8)^(C26-1))</f>
        <v>0</v>
      </c>
      <c r="E26" s="2">
        <f>IF(D26=0,G26,(1/D26)*cnst_fish!$C$6)</f>
        <v>1.8273916646927224</v>
      </c>
      <c r="F26" s="25">
        <f>SUMIF(fish_commodity_yield_n!$C$7:$C$181,A26,fish_commodity_yield_n!$H$7:$H$181)</f>
        <v>0</v>
      </c>
      <c r="G26" s="87">
        <f>VLOOKUP(A26,fish_group_yield_w!$A$7:$H$47,8,FALSE)</f>
        <v>1.8273916646927224</v>
      </c>
      <c r="H26" s="25">
        <f>SUMIF(aquaculture_production_n!$C$7:$C$611,A26,aquaculture_production_n!$D$7:$D$611)</f>
        <v>0</v>
      </c>
      <c r="I26" s="2">
        <f>VLOOKUP(A26,aquaculture_yields!$A$7:$H$46,7,FALSE)</f>
        <v>0</v>
      </c>
      <c r="J26" s="2">
        <f t="shared" si="0"/>
        <v>1.8273916646927224</v>
      </c>
      <c r="K26" s="219">
        <f>IF(ISERROR((VLOOKUP(A26,fish_group_yield_w!$A$7:$I$47,9,FALSE)*F26+H26*VLOOKUP(A26,aquaculture_yields!$A$7:$I$46,9,FALSE))/(B26+F26+H26)),VLOOKUP(A26,fish_group_yield_w!$A$7:$I$47,9,FALSE),(VLOOKUP(A26,fish_group_yield_w!$A$7:$I$47,9,FALSE)*F26+H26*VLOOKUP(A26,aquaculture_yields!$A$7:$I$46,9,FALSE))/(B26+F26+H26))</f>
        <v>0</v>
      </c>
    </row>
    <row r="27" spans="1:11">
      <c r="A27" s="14" t="s">
        <v>2315</v>
      </c>
      <c r="B27" s="25">
        <f>SUMIF(fish_efp!$N$7:$N$2327,A27,fish_efp!$P$7:$P$2327)</f>
        <v>0</v>
      </c>
      <c r="C27" s="43">
        <f t="array" ref="C27">IF(ISERROR(1+LOG(SUM(IF(fish_efp!$N$7:$N$2327=A27,fish_efp!$P$7:$P$2327*fish_efp!$S$7:$S$2327,0))*9/(SUM(IF(fish_efp!$N$7:$N$2327=A27,fish_efp!$P$7:$P$2327,0))*cnst_fish!$C$7),1/cnst_fish!$C$8)),0,1+LOG(SUM(IF(fish_efp!$N$7:$N$2327=A27,fish_efp!$P$7:$P$2327*fish_efp!$S$7:$S$2327,0))*9/(SUM(IF(fish_efp!$N$7:$N$2327=A27,fish_efp!$P$7:$P$2327,0))*cnst_fish!$C$7),1/cnst_fish!$C$8))</f>
        <v>0</v>
      </c>
      <c r="D27" s="2">
        <f>IF(C27=0,0,(1/9)*cnst_fish!$C$7*(1/cnst_fish!$C$8)^(C27-1))</f>
        <v>0</v>
      </c>
      <c r="E27" s="2">
        <f>IF(D27=0,G27,(1/D27)*cnst_fish!$C$6)</f>
        <v>0.15605485490698934</v>
      </c>
      <c r="F27" s="25">
        <f>SUMIF(fish_commodity_yield_n!$C$7:$C$181,A27,fish_commodity_yield_n!$H$7:$H$181)</f>
        <v>1913.5519014084507</v>
      </c>
      <c r="G27" s="87">
        <f>VLOOKUP(A27,fish_group_yield_w!$A$7:$H$47,8,FALSE)</f>
        <v>0.15605485490698934</v>
      </c>
      <c r="H27" s="25">
        <f>SUMIF(aquaculture_production_n!$C$7:$C$611,A27,aquaculture_production_n!$D$7:$D$611)</f>
        <v>0</v>
      </c>
      <c r="I27" s="2">
        <f>VLOOKUP(A27,aquaculture_yields!$A$7:$H$46,7,FALSE)</f>
        <v>0.23063782452645643</v>
      </c>
      <c r="J27" s="2">
        <f t="shared" si="0"/>
        <v>0.15605485490698934</v>
      </c>
      <c r="K27" s="219">
        <f>IF(ISERROR((VLOOKUP(A27,fish_group_yield_w!$A$7:$I$47,9,FALSE)*F27+H27*VLOOKUP(A27,aquaculture_yields!$A$7:$I$46,9,FALSE))/(B27+F27+H27)),VLOOKUP(A27,fish_group_yield_w!$A$7:$I$47,9,FALSE),(VLOOKUP(A27,fish_group_yield_w!$A$7:$I$47,9,FALSE)*F27+H27*VLOOKUP(A27,aquaculture_yields!$A$7:$I$46,9,FALSE))/(B27+F27+H27))</f>
        <v>1.6056019969687405E-6</v>
      </c>
    </row>
    <row r="28" spans="1:11">
      <c r="A28" s="14" t="s">
        <v>2316</v>
      </c>
      <c r="B28" s="25">
        <f>SUMIF(fish_efp!$N$7:$N$2327,A28,fish_efp!$P$7:$P$2327)</f>
        <v>1756</v>
      </c>
      <c r="C28" s="43">
        <f t="array" ref="C28">IF(ISERROR(1+LOG(SUM(IF(fish_efp!$N$7:$N$2327=A28,fish_efp!$P$7:$P$2327*fish_efp!$S$7:$S$2327,0))*9/(SUM(IF(fish_efp!$N$7:$N$2327=A28,fish_efp!$P$7:$P$2327,0))*cnst_fish!$C$7),1/cnst_fish!$C$8)),0,1+LOG(SUM(IF(fish_efp!$N$7:$N$2327=A28,fish_efp!$P$7:$P$2327*fish_efp!$S$7:$S$2327,0))*9/(SUM(IF(fish_efp!$N$7:$N$2327=A28,fish_efp!$P$7:$P$2327,0))*cnst_fish!$C$7),1/cnst_fish!$C$8))</f>
        <v>2.1</v>
      </c>
      <c r="D28" s="2">
        <f>IF(C28=0,0,(1/9)*cnst_fish!$C$7*(1/cnst_fish!$C$8)^(C28-1))</f>
        <v>1.7754076320174161</v>
      </c>
      <c r="E28" s="2">
        <f>IF(D28=0,G28,(1/D28)*cnst_fish!$C$6)</f>
        <v>2.3938164528281742</v>
      </c>
      <c r="F28" s="25">
        <f>SUMIF(fish_commodity_yield_n!$C$7:$C$181,A28,fish_commodity_yield_n!$H$7:$H$181)</f>
        <v>0</v>
      </c>
      <c r="G28" s="87">
        <f>VLOOKUP(A28,fish_group_yield_w!$A$7:$H$47,8,FALSE)</f>
        <v>0.41110603779551186</v>
      </c>
      <c r="H28" s="25">
        <f>SUMIF(aquaculture_production_n!$C$7:$C$611,A28,aquaculture_production_n!$D$7:$D$611)</f>
        <v>14614</v>
      </c>
      <c r="I28" s="2">
        <f>VLOOKUP(A28,aquaculture_yields!$A$7:$H$46,7,FALSE)</f>
        <v>0.23063782452645643</v>
      </c>
      <c r="J28" s="2">
        <f t="shared" si="0"/>
        <v>0.25539428442273987</v>
      </c>
      <c r="K28" s="219">
        <f>IF(ISERROR((VLOOKUP(A28,fish_group_yield_w!$A$7:$I$47,9,FALSE)*F28+H28*VLOOKUP(A28,aquaculture_yields!$A$7:$I$46,9,FALSE))/(B28+F28+H28)),VLOOKUP(A28,fish_group_yield_w!$A$7:$I$47,9,FALSE),(VLOOKUP(A28,fish_group_yield_w!$A$7:$I$47,9,FALSE)*F28+H28*VLOOKUP(A28,aquaculture_yields!$A$7:$I$46,9,FALSE))/(B28+F28+H28))</f>
        <v>0.64318076424134041</v>
      </c>
    </row>
    <row r="29" spans="1:11">
      <c r="A29" s="14" t="s">
        <v>2317</v>
      </c>
      <c r="B29" s="25">
        <f>SUMIF(fish_efp!$N$7:$N$2327,A29,fish_efp!$P$7:$P$2327)</f>
        <v>0</v>
      </c>
      <c r="C29" s="43">
        <f t="array" ref="C29">IF(ISERROR(1+LOG(SUM(IF(fish_efp!$N$7:$N$2327=A29,fish_efp!$P$7:$P$2327*fish_efp!$S$7:$S$2327,0))*9/(SUM(IF(fish_efp!$N$7:$N$2327=A29,fish_efp!$P$7:$P$2327,0))*cnst_fish!$C$7),1/cnst_fish!$C$8)),0,1+LOG(SUM(IF(fish_efp!$N$7:$N$2327=A29,fish_efp!$P$7:$P$2327*fish_efp!$S$7:$S$2327,0))*9/(SUM(IF(fish_efp!$N$7:$N$2327=A29,fish_efp!$P$7:$P$2327,0))*cnst_fish!$C$7),1/cnst_fish!$C$8))</f>
        <v>0</v>
      </c>
      <c r="D29" s="2">
        <f>IF(C29=0,0,(1/9)*cnst_fish!$C$7*(1/cnst_fish!$C$8)^(C29-1))</f>
        <v>0</v>
      </c>
      <c r="E29" s="2">
        <f>IF(D29=0,G29,(1/D29)*cnst_fish!$C$6)</f>
        <v>0.18308413887725261</v>
      </c>
      <c r="F29" s="25">
        <f>SUMIF(fish_commodity_yield_n!$C$7:$C$181,A29,fish_commodity_yield_n!$H$7:$H$181)</f>
        <v>0</v>
      </c>
      <c r="G29" s="87">
        <f>VLOOKUP(A29,fish_group_yield_w!$A$7:$H$47,8,FALSE)</f>
        <v>0.18308413887725261</v>
      </c>
      <c r="H29" s="25">
        <f>SUMIF(aquaculture_production_n!$C$7:$C$611,A29,aquaculture_production_n!$D$7:$D$611)</f>
        <v>0</v>
      </c>
      <c r="I29" s="2">
        <f>VLOOKUP(A29,aquaculture_yields!$A$7:$H$46,7,FALSE)</f>
        <v>0.23063782452645643</v>
      </c>
      <c r="J29" s="2">
        <f t="shared" si="0"/>
        <v>0.18308413887725261</v>
      </c>
      <c r="K29" s="219">
        <f>IF(ISERROR((VLOOKUP(A29,fish_group_yield_w!$A$7:$I$47,9,FALSE)*F29+H29*VLOOKUP(A29,aquaculture_yields!$A$7:$I$46,9,FALSE))/(B29+F29+H29)),VLOOKUP(A29,fish_group_yield_w!$A$7:$I$47,9,FALSE),(VLOOKUP(A29,fish_group_yield_w!$A$7:$I$47,9,FALSE)*F29+H29*VLOOKUP(A29,aquaculture_yields!$A$7:$I$46,9,FALSE))/(B29+F29+H29))</f>
        <v>0.11672040918506685</v>
      </c>
    </row>
    <row r="30" spans="1:11">
      <c r="A30" s="14" t="s">
        <v>3791</v>
      </c>
      <c r="B30" s="25">
        <f>SUMIF(fish_efp!$N$7:$N$2327,A30,fish_efp!$P$7:$P$2327)</f>
        <v>17586</v>
      </c>
      <c r="C30" s="43">
        <f t="array" ref="C30">IF(ISERROR(1+LOG(SUM(IF(fish_efp!$N$7:$N$2327=A30,fish_efp!$P$7:$P$2327*fish_efp!$S$7:$S$2327,0))*9/(SUM(IF(fish_efp!$N$7:$N$2327=A30,fish_efp!$P$7:$P$2327,0))*cnst_fish!$C$7),1/cnst_fish!$C$8)),0,1+LOG(SUM(IF(fish_efp!$N$7:$N$2327=A30,fish_efp!$P$7:$P$2327*fish_efp!$S$7:$S$2327,0))*9/(SUM(IF(fish_efp!$N$7:$N$2327=A30,fish_efp!$P$7:$P$2327,0))*cnst_fish!$C$7),1/cnst_fish!$C$8))</f>
        <v>3.81</v>
      </c>
      <c r="D30" s="2">
        <f>IF(C30=0,0,(1/9)*cnst_fish!$C$7*(1/cnst_fish!$C$8)^(C30-1))</f>
        <v>91.053801530528389</v>
      </c>
      <c r="E30" s="2">
        <f>IF(D30=0,G30,(1/D30)*cnst_fish!$C$6)</f>
        <v>4.6675700833589753E-2</v>
      </c>
      <c r="F30" s="25">
        <f>SUMIF(fish_commodity_yield_n!$C$7:$C$181,A30,fish_commodity_yield_n!$H$7:$H$181)</f>
        <v>15165.332565789473</v>
      </c>
      <c r="G30" s="87">
        <f>VLOOKUP(A30,fish_group_yield_w!$A$7:$H$47,8,FALSE)</f>
        <v>7.2122236327625946E-2</v>
      </c>
      <c r="H30" s="25">
        <f>SUMIF(aquaculture_production_n!$C$7:$C$611,A30,aquaculture_production_n!$D$7:$D$611)</f>
        <v>123184</v>
      </c>
      <c r="I30" s="2">
        <f>VLOOKUP(A30,aquaculture_yields!$A$7:$H$46,7,FALSE)</f>
        <v>0.1306588465768683</v>
      </c>
      <c r="J30" s="2">
        <f t="shared" si="0"/>
        <v>0.10192959905011592</v>
      </c>
      <c r="K30" s="219">
        <f>IF(ISERROR((VLOOKUP(A30,fish_group_yield_w!$A$7:$I$47,9,FALSE)*F30+H30*VLOOKUP(A30,aquaculture_yields!$A$7:$I$46,9,FALSE))/(B30+F30+H30)),VLOOKUP(A30,fish_group_yield_w!$A$7:$I$47,9,FALSE),(VLOOKUP(A30,fish_group_yield_w!$A$7:$I$47,9,FALSE)*F30+H30*VLOOKUP(A30,aquaculture_yields!$A$7:$I$46,9,FALSE))/(B30+F30+H30))</f>
        <v>0.51390660219871487</v>
      </c>
    </row>
    <row r="31" spans="1:11">
      <c r="A31" s="14" t="s">
        <v>2318</v>
      </c>
      <c r="B31" s="25">
        <f>SUMIF(fish_efp!$N$7:$N$2327,A31,fish_efp!$P$7:$P$2327)</f>
        <v>55292</v>
      </c>
      <c r="C31" s="43">
        <f t="array" ref="C31">IF(ISERROR(1+LOG(SUM(IF(fish_efp!$N$7:$N$2327=A31,fish_efp!$P$7:$P$2327*fish_efp!$S$7:$S$2327,0))*9/(SUM(IF(fish_efp!$N$7:$N$2327=A31,fish_efp!$P$7:$P$2327,0))*cnst_fish!$C$7),1/cnst_fish!$C$8)),0,1+LOG(SUM(IF(fish_efp!$N$7:$N$2327=A31,fish_efp!$P$7:$P$2327*fish_efp!$S$7:$S$2327,0))*9/(SUM(IF(fish_efp!$N$7:$N$2327=A31,fish_efp!$P$7:$P$2327,0))*cnst_fish!$C$7),1/cnst_fish!$C$8))</f>
        <v>2.1</v>
      </c>
      <c r="D31" s="2">
        <f>IF(C31=0,0,(1/9)*cnst_fish!$C$7*(1/cnst_fish!$C$8)^(C31-1))</f>
        <v>1.7754076320174161</v>
      </c>
      <c r="E31" s="2">
        <f>IF(D31=0,G31,(1/D31)*cnst_fish!$C$6)</f>
        <v>2.3938164528281742</v>
      </c>
      <c r="F31" s="25">
        <f>SUMIF(fish_commodity_yield_n!$C$7:$C$181,A31,fish_commodity_yield_n!$H$7:$H$181)</f>
        <v>0</v>
      </c>
      <c r="G31" s="87">
        <f>VLOOKUP(A31,fish_group_yield_w!$A$7:$H$47,8,FALSE)</f>
        <v>0.52158176823995928</v>
      </c>
      <c r="H31" s="25">
        <f>SUMIF(aquaculture_production_n!$C$7:$C$611,A31,aquaculture_production_n!$D$7:$D$611)</f>
        <v>94</v>
      </c>
      <c r="I31" s="2">
        <f>VLOOKUP(A31,aquaculture_yields!$A$7:$H$46,7,FALSE)</f>
        <v>0.23063782452645643</v>
      </c>
      <c r="J31" s="2">
        <f t="shared" si="0"/>
        <v>2.3563086282313277</v>
      </c>
      <c r="K31" s="219">
        <f>IF(ISERROR((VLOOKUP(A31,fish_group_yield_w!$A$7:$I$47,9,FALSE)*F31+H31*VLOOKUP(A31,aquaculture_yields!$A$7:$I$46,9,FALSE))/(B31+F31+H31)),VLOOKUP(A31,fish_group_yield_w!$A$7:$I$47,9,FALSE),(VLOOKUP(A31,fish_group_yield_w!$A$7:$I$47,9,FALSE)*F31+H31*VLOOKUP(A31,aquaculture_yields!$A$7:$I$46,9,FALSE))/(B31+F31+H31))</f>
        <v>1.2227578961840873E-3</v>
      </c>
    </row>
    <row r="32" spans="1:11">
      <c r="A32" s="14" t="s">
        <v>2319</v>
      </c>
      <c r="B32" s="25">
        <f>SUMIF(fish_efp!$N$7:$N$2327,A32,fish_efp!$P$7:$P$2327)</f>
        <v>0</v>
      </c>
      <c r="C32" s="43">
        <f t="array" ref="C32">IF(ISERROR(1+LOG(SUM(IF(fish_efp!$N$7:$N$2327=A32,fish_efp!$P$7:$P$2327*fish_efp!$S$7:$S$2327,0))*9/(SUM(IF(fish_efp!$N$7:$N$2327=A32,fish_efp!$P$7:$P$2327,0))*cnst_fish!$C$7),1/cnst_fish!$C$8)),0,1+LOG(SUM(IF(fish_efp!$N$7:$N$2327=A32,fish_efp!$P$7:$P$2327*fish_efp!$S$7:$S$2327,0))*9/(SUM(IF(fish_efp!$N$7:$N$2327=A32,fish_efp!$P$7:$P$2327,0))*cnst_fish!$C$7),1/cnst_fish!$C$8))</f>
        <v>0</v>
      </c>
      <c r="D32" s="2">
        <f>IF(C32=0,0,(1/9)*cnst_fish!$C$7*(1/cnst_fish!$C$8)^(C32-1))</f>
        <v>0</v>
      </c>
      <c r="E32" s="2">
        <f>IF(D32=0,G32,(1/D32)*cnst_fish!$C$6)</f>
        <v>0.21662716918654429</v>
      </c>
      <c r="F32" s="25">
        <f>SUMIF(fish_commodity_yield_n!$C$7:$C$181,A32,fish_commodity_yield_n!$H$7:$H$181)</f>
        <v>0</v>
      </c>
      <c r="G32" s="87">
        <f>VLOOKUP(A32,fish_group_yield_w!$A$7:$H$47,8,FALSE)</f>
        <v>0.21662716918654429</v>
      </c>
      <c r="H32" s="25">
        <f>SUMIF(aquaculture_production_n!$C$7:$C$611,A32,aquaculture_production_n!$D$7:$D$611)</f>
        <v>0</v>
      </c>
      <c r="I32" s="2">
        <f>VLOOKUP(A32,aquaculture_yields!$A$7:$H$46,7,FALSE)</f>
        <v>0.23063782452645643</v>
      </c>
      <c r="J32" s="2">
        <f t="shared" si="0"/>
        <v>0.21662716918654429</v>
      </c>
      <c r="K32" s="219">
        <f>IF(ISERROR((VLOOKUP(A32,fish_group_yield_w!$A$7:$I$47,9,FALSE)*F32+H32*VLOOKUP(A32,aquaculture_yields!$A$7:$I$46,9,FALSE))/(B32+F32+H32)),VLOOKUP(A32,fish_group_yield_w!$A$7:$I$47,9,FALSE),(VLOOKUP(A32,fish_group_yield_w!$A$7:$I$47,9,FALSE)*F32+H32*VLOOKUP(A32,aquaculture_yields!$A$7:$I$46,9,FALSE))/(B32+F32+H32))</f>
        <v>0.65280786235921129</v>
      </c>
    </row>
    <row r="33" spans="1:11">
      <c r="A33" s="14" t="s">
        <v>2320</v>
      </c>
      <c r="B33" s="25">
        <f>SUMIF(fish_efp!$N$7:$N$2327,A33,fish_efp!$P$7:$P$2327)</f>
        <v>0</v>
      </c>
      <c r="C33" s="43">
        <f t="array" ref="C33">IF(ISERROR(1+LOG(SUM(IF(fish_efp!$N$7:$N$2327=A33,fish_efp!$P$7:$P$2327*fish_efp!$S$7:$S$2327,0))*9/(SUM(IF(fish_efp!$N$7:$N$2327=A33,fish_efp!$P$7:$P$2327,0))*cnst_fish!$C$7),1/cnst_fish!$C$8)),0,1+LOG(SUM(IF(fish_efp!$N$7:$N$2327=A33,fish_efp!$P$7:$P$2327*fish_efp!$S$7:$S$2327,0))*9/(SUM(IF(fish_efp!$N$7:$N$2327=A33,fish_efp!$P$7:$P$2327,0))*cnst_fish!$C$7),1/cnst_fish!$C$8))</f>
        <v>0</v>
      </c>
      <c r="D33" s="2">
        <f>IF(C33=0,0,(1/9)*cnst_fish!$C$7*(1/cnst_fish!$C$8)^(C33-1))</f>
        <v>0</v>
      </c>
      <c r="E33" s="2">
        <f>IF(D33=0,G33,(1/D33)*cnst_fish!$C$6)</f>
        <v>1.3791934206371894E-2</v>
      </c>
      <c r="F33" s="25">
        <f>SUMIF(fish_commodity_yield_n!$C$7:$C$181,A33,fish_commodity_yield_n!$H$7:$H$181)</f>
        <v>0</v>
      </c>
      <c r="G33" s="87">
        <f>VLOOKUP(A33,fish_group_yield_w!$A$7:$H$47,8,FALSE)</f>
        <v>1.3791934206371894E-2</v>
      </c>
      <c r="H33" s="25">
        <f>SUMIF(aquaculture_production_n!$C$7:$C$611,A33,aquaculture_production_n!$D$7:$D$611)</f>
        <v>0</v>
      </c>
      <c r="I33" s="2">
        <f>VLOOKUP(A33,aquaculture_yields!$A$7:$H$46,7,FALSE)</f>
        <v>0.23063782452645643</v>
      </c>
      <c r="J33" s="2">
        <f t="shared" si="0"/>
        <v>1.3791934206371894E-2</v>
      </c>
      <c r="K33" s="219">
        <f>IF(ISERROR((VLOOKUP(A33,fish_group_yield_w!$A$7:$I$47,9,FALSE)*F33+H33*VLOOKUP(A33,aquaculture_yields!$A$7:$I$46,9,FALSE))/(B33+F33+H33)),VLOOKUP(A33,fish_group_yield_w!$A$7:$I$47,9,FALSE),(VLOOKUP(A33,fish_group_yield_w!$A$7:$I$47,9,FALSE)*F33+H33*VLOOKUP(A33,aquaculture_yields!$A$7:$I$46,9,FALSE))/(B33+F33+H33))</f>
        <v>2.8339930531645952E-2</v>
      </c>
    </row>
    <row r="34" spans="1:11">
      <c r="A34" s="14" t="s">
        <v>2321</v>
      </c>
      <c r="B34" s="25">
        <f>SUMIF(fish_efp!$N$7:$N$2327,A34,fish_efp!$P$7:$P$2327)</f>
        <v>0</v>
      </c>
      <c r="C34" s="43">
        <f t="array" ref="C34">IF(ISERROR(1+LOG(SUM(IF(fish_efp!$N$7:$N$2327=A34,fish_efp!$P$7:$P$2327*fish_efp!$S$7:$S$2327,0))*9/(SUM(IF(fish_efp!$N$7:$N$2327=A34,fish_efp!$P$7:$P$2327,0))*cnst_fish!$C$7),1/cnst_fish!$C$8)),0,1+LOG(SUM(IF(fish_efp!$N$7:$N$2327=A34,fish_efp!$P$7:$P$2327*fish_efp!$S$7:$S$2327,0))*9/(SUM(IF(fish_efp!$N$7:$N$2327=A34,fish_efp!$P$7:$P$2327,0))*cnst_fish!$C$7),1/cnst_fish!$C$8))</f>
        <v>0</v>
      </c>
      <c r="D34" s="2">
        <f>IF(C34=0,0,(1/9)*cnst_fish!$C$7*(1/cnst_fish!$C$8)^(C34-1))</f>
        <v>0</v>
      </c>
      <c r="E34" s="2">
        <f>IF(D34=0,G34,(1/D34)*cnst_fish!$C$6)</f>
        <v>0.35354019779896101</v>
      </c>
      <c r="F34" s="25">
        <f>SUMIF(fish_commodity_yield_n!$C$7:$C$181,A34,fish_commodity_yield_n!$H$7:$H$181)</f>
        <v>0</v>
      </c>
      <c r="G34" s="87">
        <f>VLOOKUP(A34,fish_group_yield_w!$A$7:$H$47,8,FALSE)</f>
        <v>0.35354019779896101</v>
      </c>
      <c r="H34" s="25">
        <f>SUMIF(aquaculture_production_n!$C$7:$C$611,A34,aquaculture_production_n!$D$7:$D$611)</f>
        <v>0</v>
      </c>
      <c r="I34" s="2">
        <f>VLOOKUP(A34,aquaculture_yields!$A$7:$H$46,7,FALSE)</f>
        <v>0</v>
      </c>
      <c r="J34" s="2">
        <f t="shared" si="0"/>
        <v>0.35354019779896101</v>
      </c>
      <c r="K34" s="219">
        <f>IF(ISERROR((VLOOKUP(A34,fish_group_yield_w!$A$7:$I$47,9,FALSE)*F34+H34*VLOOKUP(A34,aquaculture_yields!$A$7:$I$46,9,FALSE))/(B34+F34+H34)),VLOOKUP(A34,fish_group_yield_w!$A$7:$I$47,9,FALSE),(VLOOKUP(A34,fish_group_yield_w!$A$7:$I$47,9,FALSE)*F34+H34*VLOOKUP(A34,aquaculture_yields!$A$7:$I$46,9,FALSE))/(B34+F34+H34))</f>
        <v>0</v>
      </c>
    </row>
    <row r="35" spans="1:11">
      <c r="A35" s="14" t="s">
        <v>2322</v>
      </c>
      <c r="B35" s="25">
        <f>SUMIF(fish_efp!$N$7:$N$2327,A35,fish_efp!$P$7:$P$2327)</f>
        <v>85066</v>
      </c>
      <c r="C35" s="43">
        <f t="array" ref="C35">IF(ISERROR(1+LOG(SUM(IF(fish_efp!$N$7:$N$2327=A35,fish_efp!$P$7:$P$2327*fish_efp!$S$7:$S$2327,0))*9/(SUM(IF(fish_efp!$N$7:$N$2327=A35,fish_efp!$P$7:$P$2327,0))*cnst_fish!$C$7),1/cnst_fish!$C$8)),0,1+LOG(SUM(IF(fish_efp!$N$7:$N$2327=A35,fish_efp!$P$7:$P$2327*fish_efp!$S$7:$S$2327,0))*9/(SUM(IF(fish_efp!$N$7:$N$2327=A35,fish_efp!$P$7:$P$2327,0))*cnst_fish!$C$7),1/cnst_fish!$C$8))</f>
        <v>2.2978811229461993</v>
      </c>
      <c r="D35" s="2">
        <f>IF(C35=0,0,(1/9)*cnst_fish!$C$7*(1/cnst_fish!$C$8)^(C35-1))</f>
        <v>2.8001365176132902</v>
      </c>
      <c r="E35" s="2">
        <f>IF(D35=0,G35,(1/D35)*cnst_fish!$C$6)</f>
        <v>1.5177831413814453</v>
      </c>
      <c r="F35" s="25">
        <f>SUMIF(fish_commodity_yield_n!$C$7:$C$181,A35,fish_commodity_yield_n!$H$7:$H$181)</f>
        <v>925.23364646464643</v>
      </c>
      <c r="G35" s="87">
        <f>VLOOKUP(A35,fish_group_yield_w!$A$7:$H$47,8,FALSE)</f>
        <v>0.54572073512091102</v>
      </c>
      <c r="H35" s="25">
        <f>SUMIF(aquaculture_production_n!$C$7:$C$611,A35,aquaculture_production_n!$D$7:$D$611)</f>
        <v>0</v>
      </c>
      <c r="I35" s="2">
        <f>VLOOKUP(A35,aquaculture_yields!$A$7:$H$46,7,FALSE)</f>
        <v>0.21532096503826093</v>
      </c>
      <c r="J35" s="2">
        <f t="shared" si="0"/>
        <v>1.4892410411856762</v>
      </c>
      <c r="K35" s="219">
        <f>IF(ISERROR((VLOOKUP(A35,fish_group_yield_w!$A$7:$I$47,9,FALSE)*F35+H35*VLOOKUP(A35,aquaculture_yields!$A$7:$I$46,9,FALSE))/(B35+F35+H35)),VLOOKUP(A35,fish_group_yield_w!$A$7:$I$47,9,FALSE),(VLOOKUP(A35,fish_group_yield_w!$A$7:$I$47,9,FALSE)*F35+H35*VLOOKUP(A35,aquaculture_yields!$A$7:$I$46,9,FALSE))/(B35+F35+H35))</f>
        <v>4.6987397641772071E-3</v>
      </c>
    </row>
    <row r="36" spans="1:11">
      <c r="A36" s="14" t="s">
        <v>1741</v>
      </c>
      <c r="B36" s="25">
        <f>SUMIF(fish_efp!$N$7:$N$2327,A36,fish_efp!$P$7:$P$2327)</f>
        <v>0</v>
      </c>
      <c r="C36" s="43">
        <f t="array" ref="C36">IF(ISERROR(1+LOG(SUM(IF(fish_efp!$N$7:$N$2327=A36,fish_efp!$P$7:$P$2327*fish_efp!$S$7:$S$2327,0))*9/(SUM(IF(fish_efp!$N$7:$N$2327=A36,fish_efp!$P$7:$P$2327,0))*cnst_fish!$C$7),1/cnst_fish!$C$8)),0,1+LOG(SUM(IF(fish_efp!$N$7:$N$2327=A36,fish_efp!$P$7:$P$2327*fish_efp!$S$7:$S$2327,0))*9/(SUM(IF(fish_efp!$N$7:$N$2327=A36,fish_efp!$P$7:$P$2327,0))*cnst_fish!$C$7),1/cnst_fish!$C$8))</f>
        <v>0</v>
      </c>
      <c r="D36" s="2">
        <f>IF(C36=0,0,(1/9)*cnst_fish!$C$7*(1/cnst_fish!$C$8)^(C36-1))</f>
        <v>0</v>
      </c>
      <c r="E36" s="2">
        <f>IF(D36=0,G36,(1/D36)*cnst_fish!$C$6)</f>
        <v>0.15148322160806005</v>
      </c>
      <c r="F36" s="25">
        <f>SUMIF(fish_commodity_yield_n!$C$7:$C$181,A36,fish_commodity_yield_n!$H$7:$H$181)</f>
        <v>0</v>
      </c>
      <c r="G36" s="87">
        <f>VLOOKUP(A36,fish_group_yield_w!$A$7:$H$47,8,FALSE)</f>
        <v>0.15148322160806005</v>
      </c>
      <c r="H36" s="25">
        <f>SUMIF(aquaculture_production_n!$C$7:$C$611,A36,aquaculture_production_n!$D$7:$D$611)</f>
        <v>0</v>
      </c>
      <c r="I36" s="2">
        <f>VLOOKUP(A36,aquaculture_yields!$A$7:$H$46,7,FALSE)</f>
        <v>0.23063782452645643</v>
      </c>
      <c r="J36" s="2">
        <f t="shared" si="0"/>
        <v>0.15148322160806005</v>
      </c>
      <c r="K36" s="219">
        <f>IF(ISERROR((VLOOKUP(A36,fish_group_yield_w!$A$7:$I$47,9,FALSE)*F36+H36*VLOOKUP(A36,aquaculture_yields!$A$7:$I$46,9,FALSE))/(B36+F36+H36)),VLOOKUP(A36,fish_group_yield_w!$A$7:$I$47,9,FALSE),(VLOOKUP(A36,fish_group_yield_w!$A$7:$I$47,9,FALSE)*F36+H36*VLOOKUP(A36,aquaculture_yields!$A$7:$I$46,9,FALSE))/(B36+F36+H36))</f>
        <v>4.4908984064474123E-3</v>
      </c>
    </row>
    <row r="37" spans="1:11">
      <c r="A37" s="14" t="s">
        <v>1739</v>
      </c>
      <c r="B37" s="25">
        <f>SUMIF(fish_efp!$N$7:$N$2327,A37,fish_efp!$P$7:$P$2327)</f>
        <v>0</v>
      </c>
      <c r="C37" s="43">
        <f t="array" ref="C37">IF(ISERROR(1+LOG(SUM(IF(fish_efp!$N$7:$N$2327=A37,fish_efp!$P$7:$P$2327*fish_efp!$S$7:$S$2327,0))*9/(SUM(IF(fish_efp!$N$7:$N$2327=A37,fish_efp!$P$7:$P$2327,0))*cnst_fish!$C$7),1/cnst_fish!$C$8)),0,1+LOG(SUM(IF(fish_efp!$N$7:$N$2327=A37,fish_efp!$P$7:$P$2327*fish_efp!$S$7:$S$2327,0))*9/(SUM(IF(fish_efp!$N$7:$N$2327=A37,fish_efp!$P$7:$P$2327,0))*cnst_fish!$C$7),1/cnst_fish!$C$8))</f>
        <v>0</v>
      </c>
      <c r="D37" s="2">
        <f>IF(C37=0,0,(1/9)*cnst_fish!$C$7*(1/cnst_fish!$C$8)^(C37-1))</f>
        <v>0</v>
      </c>
      <c r="E37" s="2">
        <f>IF(D37=0,G37,(1/D37)*cnst_fish!$C$6)</f>
        <v>5.7098889306209544E-2</v>
      </c>
      <c r="F37" s="25">
        <f>SUMIF(fish_commodity_yield_n!$C$7:$C$181,A37,fish_commodity_yield_n!$H$7:$H$181)</f>
        <v>0</v>
      </c>
      <c r="G37" s="87">
        <f>VLOOKUP(A37,fish_group_yield_w!$A$7:$H$47,8,FALSE)</f>
        <v>5.7098889306209544E-2</v>
      </c>
      <c r="H37" s="25">
        <f>SUMIF(aquaculture_production_n!$C$7:$C$611,A37,aquaculture_production_n!$D$7:$D$611)</f>
        <v>0</v>
      </c>
      <c r="I37" s="2">
        <f>VLOOKUP(A37,aquaculture_yields!$A$7:$H$46,7,FALSE)</f>
        <v>0.23063782452645643</v>
      </c>
      <c r="J37" s="2">
        <f t="shared" si="0"/>
        <v>5.7098889306209544E-2</v>
      </c>
      <c r="K37" s="219">
        <f>IF(ISERROR((VLOOKUP(A37,fish_group_yield_w!$A$7:$I$47,9,FALSE)*F37+H37*VLOOKUP(A37,aquaculture_yields!$A$7:$I$46,9,FALSE))/(B37+F37+H37)),VLOOKUP(A37,fish_group_yield_w!$A$7:$I$47,9,FALSE),(VLOOKUP(A37,fish_group_yield_w!$A$7:$I$47,9,FALSE)*F37+H37*VLOOKUP(A37,aquaculture_yields!$A$7:$I$46,9,FALSE))/(B37+F37+H37))</f>
        <v>0.27891226390378387</v>
      </c>
    </row>
    <row r="38" spans="1:11">
      <c r="A38" s="14" t="s">
        <v>2323</v>
      </c>
      <c r="B38" s="25">
        <f>SUMIF(fish_efp!$N$7:$N$2327,A38,fish_efp!$P$7:$P$2327)</f>
        <v>635</v>
      </c>
      <c r="C38" s="43">
        <f t="array" ref="C38">IF(ISERROR(1+LOG(SUM(IF(fish_efp!$N$7:$N$2327=A38,fish_efp!$P$7:$P$2327*fish_efp!$S$7:$S$2327,0))*9/(SUM(IF(fish_efp!$N$7:$N$2327=A38,fish_efp!$P$7:$P$2327,0))*cnst_fish!$C$7),1/cnst_fish!$C$8)),0,1+LOG(SUM(IF(fish_efp!$N$7:$N$2327=A38,fish_efp!$P$7:$P$2327*fish_efp!$S$7:$S$2327,0))*9/(SUM(IF(fish_efp!$N$7:$N$2327=A38,fish_efp!$P$7:$P$2327,0))*cnst_fish!$C$7),1/cnst_fish!$C$8))</f>
        <v>4.29</v>
      </c>
      <c r="D38" s="2">
        <f>IF(C38=0,0,(1/9)*cnst_fish!$C$7*(1/cnst_fish!$C$8)^(C38-1))</f>
        <v>274.97808458126286</v>
      </c>
      <c r="E38" s="2">
        <f>IF(D38=0,G38,(1/D38)*cnst_fish!$C$6)</f>
        <v>1.5455777163012491E-2</v>
      </c>
      <c r="F38" s="25">
        <f>SUMIF(fish_commodity_yield_n!$C$7:$C$181,A38,fish_commodity_yield_n!$H$7:$H$181)</f>
        <v>0</v>
      </c>
      <c r="G38" s="87">
        <f>VLOOKUP(A38,fish_group_yield_w!$A$7:$H$47,8,FALSE)</f>
        <v>0.26410829822150039</v>
      </c>
      <c r="H38" s="25">
        <f>SUMIF(aquaculture_production_n!$C$7:$C$611,A38,aquaculture_production_n!$D$7:$D$611)</f>
        <v>9388</v>
      </c>
      <c r="I38" s="2">
        <f>VLOOKUP(A38,aquaculture_yields!$A$7:$H$46,7,FALSE)</f>
        <v>0.15830488137138704</v>
      </c>
      <c r="J38" s="2">
        <f t="shared" si="0"/>
        <v>9.9842362973224116E-2</v>
      </c>
      <c r="K38" s="219">
        <f>IF(ISERROR((VLOOKUP(A38,fish_group_yield_w!$A$7:$I$47,9,FALSE)*F38+H38*VLOOKUP(A38,aquaculture_yields!$A$7:$I$46,9,FALSE))/(B38+F38+H38)),VLOOKUP(A38,fish_group_yield_w!$A$7:$I$47,9,FALSE),(VLOOKUP(A38,fish_group_yield_w!$A$7:$I$47,9,FALSE)*F38+H38*VLOOKUP(A38,aquaculture_yields!$A$7:$I$46,9,FALSE))/(B38+F38+H38))</f>
        <v>0.63908950405165466</v>
      </c>
    </row>
    <row r="39" spans="1:11">
      <c r="A39" s="14" t="s">
        <v>1736</v>
      </c>
      <c r="B39" s="25">
        <f>SUMIF(fish_efp!$N$7:$N$2327,A39,fish_efp!$P$7:$P$2327)</f>
        <v>47649</v>
      </c>
      <c r="C39" s="43">
        <f t="array" ref="C39">IF(ISERROR(1+LOG(SUM(IF(fish_efp!$N$7:$N$2327=A39,fish_efp!$P$7:$P$2327*fish_efp!$S$7:$S$2327,0))*9/(SUM(IF(fish_efp!$N$7:$N$2327=A39,fish_efp!$P$7:$P$2327,0))*cnst_fish!$C$7),1/cnst_fish!$C$8)),0,1+LOG(SUM(IF(fish_efp!$N$7:$N$2327=A39,fish_efp!$P$7:$P$2327*fish_efp!$S$7:$S$2327,0))*9/(SUM(IF(fish_efp!$N$7:$N$2327=A39,fish_efp!$P$7:$P$2327,0))*cnst_fish!$C$7),1/cnst_fish!$C$8))</f>
        <v>2.123218913210422</v>
      </c>
      <c r="D39" s="2">
        <f>IF(C39=0,0,(1/9)*cnst_fish!$C$7*(1/cnst_fish!$C$8)^(C39-1))</f>
        <v>1.8729103760490655</v>
      </c>
      <c r="E39" s="2">
        <f>IF(D39=0,G39,(1/D39)*cnst_fish!$C$6)</f>
        <v>2.2691956082626032</v>
      </c>
      <c r="F39" s="25">
        <f>SUMIF(fish_commodity_yield_n!$C$7:$C$181,A39,fish_commodity_yield_n!$H$7:$H$181)</f>
        <v>12832.796838709233</v>
      </c>
      <c r="G39" s="87">
        <f>VLOOKUP(A39,fish_group_yield_w!$A$7:$H$47,8,FALSE)</f>
        <v>0.4845349342699814</v>
      </c>
      <c r="H39" s="25">
        <f>SUMIF(aquaculture_production_n!$C$7:$C$611,A39,aquaculture_production_n!$D$7:$D$611)</f>
        <v>1791</v>
      </c>
      <c r="I39" s="2">
        <f>VLOOKUP(A39,aquaculture_yields!$A$7:$H$46,7,FALSE)</f>
        <v>0.23063782452645643</v>
      </c>
      <c r="J39" s="2">
        <f t="shared" si="0"/>
        <v>1.1271424384294431</v>
      </c>
      <c r="K39" s="219">
        <f>IF(ISERROR((VLOOKUP(A39,fish_group_yield_w!$A$7:$I$47,9,FALSE)*F39+H39*VLOOKUP(A39,aquaculture_yields!$A$7:$I$46,9,FALSE))/(B39+F39+H39)),VLOOKUP(A39,fish_group_yield_w!$A$7:$I$47,9,FALSE),(VLOOKUP(A39,fish_group_yield_w!$A$7:$I$47,9,FALSE)*F39+H39*VLOOKUP(A39,aquaculture_yields!$A$7:$I$46,9,FALSE))/(B39+F39+H39))</f>
        <v>0.13734960740077759</v>
      </c>
    </row>
    <row r="40" spans="1:11">
      <c r="A40" s="14" t="s">
        <v>4065</v>
      </c>
      <c r="B40" s="25">
        <f>SUMIF(fish_efp!$N$7:$N$2327,A40,fish_efp!$P$7:$P$2327)</f>
        <v>0</v>
      </c>
      <c r="C40" s="43">
        <f t="array" ref="C40">IF(ISERROR(1+LOG(SUM(IF(fish_efp!$N$7:$N$2327=A40,fish_efp!$P$7:$P$2327*fish_efp!$S$7:$S$2327,0))*9/(SUM(IF(fish_efp!$N$7:$N$2327=A40,fish_efp!$P$7:$P$2327,0))*cnst_fish!$C$7),1/cnst_fish!$C$8)),0,1+LOG(SUM(IF(fish_efp!$N$7:$N$2327=A40,fish_efp!$P$7:$P$2327*fish_efp!$S$7:$S$2327,0))*9/(SUM(IF(fish_efp!$N$7:$N$2327=A40,fish_efp!$P$7:$P$2327,0))*cnst_fish!$C$7),1/cnst_fish!$C$8))</f>
        <v>0</v>
      </c>
      <c r="D40" s="2">
        <f>IF(C40=0,0,(1/9)*cnst_fish!$C$7*(1/cnst_fish!$C$8)^(C40-1))</f>
        <v>0</v>
      </c>
      <c r="E40" s="2">
        <f>IF(D40=0,G40,(1/D40)*cnst_fish!$C$6)</f>
        <v>2.396422753562736E-2</v>
      </c>
      <c r="F40" s="25">
        <f>SUMIF(fish_commodity_yield_n!$C$7:$C$181,A40,fish_commodity_yield_n!$H$7:$H$181)</f>
        <v>0</v>
      </c>
      <c r="G40" s="87">
        <f>VLOOKUP(A40,fish_group_yield_w!$A$7:$H$47,8,FALSE)</f>
        <v>2.396422753562736E-2</v>
      </c>
      <c r="H40" s="25">
        <f>SUMIF(aquaculture_production_n!$C$7:$C$611,A40,aquaculture_production_n!$D$7:$D$611)</f>
        <v>0</v>
      </c>
      <c r="I40" s="2">
        <f>VLOOKUP(A40,aquaculture_yields!$A$7:$H$46,7,FALSE)</f>
        <v>0</v>
      </c>
      <c r="J40" s="2">
        <f t="shared" si="0"/>
        <v>2.396422753562736E-2</v>
      </c>
      <c r="K40" s="219">
        <f>IF(ISERROR((VLOOKUP(A40,fish_group_yield_w!$A$7:$I$47,9,FALSE)*F40+H40*VLOOKUP(A40,aquaculture_yields!$A$7:$I$46,9,FALSE))/(B40+F40+H40)),VLOOKUP(A40,fish_group_yield_w!$A$7:$I$47,9,FALSE),(VLOOKUP(A40,fish_group_yield_w!$A$7:$I$47,9,FALSE)*F40+H40*VLOOKUP(A40,aquaculture_yields!$A$7:$I$46,9,FALSE))/(B40+F40+H40))</f>
        <v>0</v>
      </c>
    </row>
    <row r="41" spans="1:11">
      <c r="A41" s="14" t="s">
        <v>4084</v>
      </c>
      <c r="B41" s="25">
        <f>SUMIF(fish_efp!$N$7:$N$2327,A41,fish_efp!$P$7:$P$2327)</f>
        <v>782</v>
      </c>
      <c r="C41" s="43">
        <f t="array" ref="C41">IF(ISERROR(1+LOG(SUM(IF(fish_efp!$N$7:$N$2327=A41,fish_efp!$P$7:$P$2327*fish_efp!$S$7:$S$2327,0))*9/(SUM(IF(fish_efp!$N$7:$N$2327=A41,fish_efp!$P$7:$P$2327,0))*cnst_fish!$C$7),1/cnst_fish!$C$8)),0,1+LOG(SUM(IF(fish_efp!$N$7:$N$2327=A41,fish_efp!$P$7:$P$2327*fish_efp!$S$7:$S$2327,0))*9/(SUM(IF(fish_efp!$N$7:$N$2327=A41,fish_efp!$P$7:$P$2327,0))*cnst_fish!$C$7),1/cnst_fish!$C$8))</f>
        <v>4.49</v>
      </c>
      <c r="D41" s="2">
        <f>IF(C41=0,0,(1/9)*cnst_fish!$C$7*(1/cnst_fish!$C$8)^(C41-1))</f>
        <v>435.81089432883982</v>
      </c>
      <c r="E41" s="2">
        <f>IF(D41=0,G41,(1/D41)*cnst_fish!$C$6)</f>
        <v>9.7519361156519751E-3</v>
      </c>
      <c r="F41" s="25">
        <f>SUMIF(fish_commodity_yield_n!$C$7:$C$181,A41,fish_commodity_yield_n!$H$7:$H$181)</f>
        <v>0</v>
      </c>
      <c r="G41" s="87">
        <f>VLOOKUP(A41,fish_group_yield_w!$A$7:$H$47,8,FALSE)</f>
        <v>9.7519361156519751E-3</v>
      </c>
      <c r="H41" s="25">
        <f>SUMIF(aquaculture_production_n!$C$7:$C$611,A41,aquaculture_production_n!$D$7:$D$611)</f>
        <v>0</v>
      </c>
      <c r="I41" s="2">
        <f>VLOOKUP(A41,aquaculture_yields!$A$7:$H$46,7,FALSE)</f>
        <v>0</v>
      </c>
      <c r="J41" s="2">
        <f t="shared" si="0"/>
        <v>9.7519361156519751E-3</v>
      </c>
      <c r="K41" s="219">
        <f>IF(ISERROR((VLOOKUP(A41,fish_group_yield_w!$A$7:$I$47,9,FALSE)*F41+H41*VLOOKUP(A41,aquaculture_yields!$A$7:$I$46,9,FALSE))/(B41+F41+H41)),VLOOKUP(A41,fish_group_yield_w!$A$7:$I$47,9,FALSE),(VLOOKUP(A41,fish_group_yield_w!$A$7:$I$47,9,FALSE)*F41+H41*VLOOKUP(A41,aquaculture_yields!$A$7:$I$46,9,FALSE))/(B41+F41+H41))</f>
        <v>0</v>
      </c>
    </row>
    <row r="42" spans="1:11">
      <c r="A42" s="14" t="s">
        <v>1737</v>
      </c>
      <c r="B42" s="25">
        <f>SUMIF(fish_efp!$N$7:$N$2327,A42,fish_efp!$P$7:$P$2327)</f>
        <v>83</v>
      </c>
      <c r="C42" s="43">
        <f t="array" ref="C42">IF(ISERROR(1+LOG(SUM(IF(fish_efp!$N$7:$N$2327=A42,fish_efp!$P$7:$P$2327*fish_efp!$S$7:$S$2327,0))*9/(SUM(IF(fish_efp!$N$7:$N$2327=A42,fish_efp!$P$7:$P$2327,0))*cnst_fish!$C$7),1/cnst_fish!$C$8)),0,1+LOG(SUM(IF(fish_efp!$N$7:$N$2327=A42,fish_efp!$P$7:$P$2327*fish_efp!$S$7:$S$2327,0))*9/(SUM(IF(fish_efp!$N$7:$N$2327=A42,fish_efp!$P$7:$P$2327,0))*cnst_fish!$C$7),1/cnst_fish!$C$8))</f>
        <v>2.2000000000000002</v>
      </c>
      <c r="D42" s="2">
        <f>IF(C42=0,0,(1/9)*cnst_fish!$C$7*(1/cnst_fish!$C$8)^(C42-1))</f>
        <v>2.2351057842400328</v>
      </c>
      <c r="E42" s="2">
        <f>IF(D42=0,G42,(1/D42)*cnst_fish!$C$6)</f>
        <v>1.9014759972289452</v>
      </c>
      <c r="F42" s="25">
        <f>SUMIF(fish_commodity_yield_n!$C$7:$C$181,A42,fish_commodity_yield_n!$H$7:$H$181)</f>
        <v>0.45454545454545453</v>
      </c>
      <c r="G42" s="87">
        <f>VLOOKUP(A42,fish_group_yield_w!$A$7:$H$47,8,FALSE)</f>
        <v>1.8969441859980902</v>
      </c>
      <c r="H42" s="25">
        <f>SUMIF(aquaculture_production_n!$C$7:$C$611,A42,aquaculture_production_n!$D$7:$D$611)</f>
        <v>0</v>
      </c>
      <c r="I42" s="2">
        <f>VLOOKUP(A42,aquaculture_yields!$A$7:$H$46,7,FALSE)</f>
        <v>0.44484101187865105</v>
      </c>
      <c r="J42" s="2">
        <f t="shared" si="0"/>
        <v>1.9014512555151792</v>
      </c>
      <c r="K42" s="219">
        <f>IF(ISERROR((VLOOKUP(A42,fish_group_yield_w!$A$7:$I$47,9,FALSE)*F42+H42*VLOOKUP(A42,aquaculture_yields!$A$7:$I$46,9,FALSE))/(B42+F42+H42)),VLOOKUP(A42,fish_group_yield_w!$A$7:$I$47,9,FALSE),(VLOOKUP(A42,fish_group_yield_w!$A$7:$I$47,9,FALSE)*F42+H42*VLOOKUP(A42,aquaculture_yields!$A$7:$I$46,9,FALSE))/(B42+F42+H42))</f>
        <v>3.6672171594709049E-6</v>
      </c>
    </row>
    <row r="43" spans="1:11">
      <c r="A43" s="14" t="s">
        <v>2310</v>
      </c>
      <c r="B43" s="25">
        <f>SUMIF(fish_efp!$N$7:$N$2327,A43,fish_efp!$P$7:$P$2327)</f>
        <v>0</v>
      </c>
      <c r="C43" s="43">
        <f t="array" ref="C43">IF(ISERROR(1+LOG(SUM(IF(fish_efp!$N$7:$N$2327=A43,fish_efp!$P$7:$P$2327*fish_efp!$S$7:$S$2327,0))*9/(SUM(IF(fish_efp!$N$7:$N$2327=A43,fish_efp!$P$7:$P$2327,0))*cnst_fish!$C$7),1/cnst_fish!$C$8)),0,1+LOG(SUM(IF(fish_efp!$N$7:$N$2327=A43,fish_efp!$P$7:$P$2327*fish_efp!$S$7:$S$2327,0))*9/(SUM(IF(fish_efp!$N$7:$N$2327=A43,fish_efp!$P$7:$P$2327,0))*cnst_fish!$C$7),1/cnst_fish!$C$8))</f>
        <v>0</v>
      </c>
      <c r="D43" s="2">
        <f>IF(C43=0,0,(1/9)*cnst_fish!$C$7*(1/cnst_fish!$C$8)^(C43-1))</f>
        <v>0</v>
      </c>
      <c r="E43" s="2">
        <f>IF(D43=0,G43,(1/D43)*cnst_fish!$C$6)</f>
        <v>0.23383867422431026</v>
      </c>
      <c r="F43" s="25">
        <f>SUMIF(fish_commodity_yield_n!$C$7:$C$181,A43,fish_commodity_yield_n!$H$7:$H$181)</f>
        <v>0</v>
      </c>
      <c r="G43" s="87">
        <f>VLOOKUP(A43,fish_group_yield_w!$A$7:$H$47,8,FALSE)</f>
        <v>0.23383867422431026</v>
      </c>
      <c r="H43" s="25">
        <f>SUMIF(aquaculture_production_n!$C$7:$C$611,A43,aquaculture_production_n!$D$7:$D$611)</f>
        <v>0</v>
      </c>
      <c r="I43" s="2">
        <f>VLOOKUP(A43,aquaculture_yields!$A$7:$H$46,7,FALSE)</f>
        <v>0.23063782452645643</v>
      </c>
      <c r="J43" s="2">
        <f t="shared" si="0"/>
        <v>0.23383867422431026</v>
      </c>
      <c r="K43" s="219">
        <f>IF(ISERROR((VLOOKUP(A43,fish_group_yield_w!$A$7:$I$47,9,FALSE)*F43+H43*VLOOKUP(A43,aquaculture_yields!$A$7:$I$46,9,FALSE))/(B43+F43+H43)),VLOOKUP(A43,fish_group_yield_w!$A$7:$I$47,9,FALSE),(VLOOKUP(A43,fish_group_yield_w!$A$7:$I$47,9,FALSE)*F43+H43*VLOOKUP(A43,aquaculture_yields!$A$7:$I$46,9,FALSE))/(B43+F43+H43))</f>
        <v>0.24930927599466401</v>
      </c>
    </row>
    <row r="44" spans="1:11">
      <c r="A44" s="14" t="s">
        <v>1738</v>
      </c>
      <c r="B44" s="25">
        <f>SUMIF(fish_efp!$N$7:$N$2327,A44,fish_efp!$P$7:$P$2327)</f>
        <v>143753.97999999998</v>
      </c>
      <c r="C44" s="43">
        <f t="array" ref="C44">IF(ISERROR(1+LOG(SUM(IF(fish_efp!$N$7:$N$2327=A44,fish_efp!$P$7:$P$2327*fish_efp!$S$7:$S$2327,0))*9/(SUM(IF(fish_efp!$N$7:$N$2327=A44,fish_efp!$P$7:$P$2327,0))*cnst_fish!$C$7),1/cnst_fish!$C$8)),0,1+LOG(SUM(IF(fish_efp!$N$7:$N$2327=A44,fish_efp!$P$7:$P$2327*fish_efp!$S$7:$S$2327,0))*9/(SUM(IF(fish_efp!$N$7:$N$2327=A44,fish_efp!$P$7:$P$2327,0))*cnst_fish!$C$7),1/cnst_fish!$C$8))</f>
        <v>3.7250598987361938</v>
      </c>
      <c r="D44" s="2">
        <f>IF(C44=0,0,(1/9)*cnst_fish!$C$7*(1/cnst_fish!$C$8)^(C44-1))</f>
        <v>74.878645753927017</v>
      </c>
      <c r="E44" s="2">
        <f>IF(D44=0,G44,(1/D44)*cnst_fish!$C$6)</f>
        <v>5.6758505141328741E-2</v>
      </c>
      <c r="F44" s="25">
        <f>SUMIF(fish_commodity_yield_n!$C$7:$C$181,A44,fish_commodity_yield_n!$H$7:$H$181)</f>
        <v>38860.748228048309</v>
      </c>
      <c r="G44" s="87">
        <f>VLOOKUP(A44,fish_group_yield_w!$A$7:$H$47,8,FALSE)</f>
        <v>9.0118512912499268E-2</v>
      </c>
      <c r="H44" s="25">
        <f>SUMIF(aquaculture_production_n!$C$7:$C$611,A44,aquaculture_production_n!$D$7:$D$611)</f>
        <v>1480</v>
      </c>
      <c r="I44" s="2">
        <f>VLOOKUP(A44,aquaculture_yields!$A$7:$H$46,7,FALSE)</f>
        <v>0.23063782452645643</v>
      </c>
      <c r="J44" s="2">
        <f t="shared" si="0"/>
        <v>6.1977130978906177E-2</v>
      </c>
      <c r="K44" s="219">
        <f>IF(ISERROR((VLOOKUP(A44,fish_group_yield_w!$A$7:$I$47,9,FALSE)*F44+H44*VLOOKUP(A44,aquaculture_yields!$A$7:$I$46,9,FALSE))/(B44+F44+H44)),VLOOKUP(A44,fish_group_yield_w!$A$7:$I$47,9,FALSE),(VLOOKUP(A44,fish_group_yield_w!$A$7:$I$47,9,FALSE)*F44+H44*VLOOKUP(A44,aquaculture_yields!$A$7:$I$46,9,FALSE))/(B44+F44+H44))</f>
        <v>6.4085851386299894E-2</v>
      </c>
    </row>
    <row r="45" spans="1:11">
      <c r="A45" s="153" t="s">
        <v>3476</v>
      </c>
      <c r="B45" s="187">
        <f>SUM(fishmeal_fishes!$E$7:$E$30)</f>
        <v>28340</v>
      </c>
      <c r="C45" s="154">
        <f t="array" ref="C45">IF(ISERROR(1+LOG(SUM(IF(fish_efp!$N$7:$N$2327=A45,fish_efp!$P$7:$P$2327*fish_efp!$S$7:$S$2327,0))*9/(SUM(IF(fish_efp!$N$7:$N$2327=A45,fish_efp!$P$7:$P$2327,0))*cnst_fish!$C$7),1/cnst_fish!$C$8)),0,1+LOG(SUM(IF(fish_efp!$N$7:$N$2327=A45,fish_efp!$P$7:$P$2327*fish_efp!$S$7:$S$2327,0))*9/(SUM(IF(fish_efp!$N$7:$N$2327=A45,fish_efp!$P$7:$P$2327,0))*cnst_fish!$C$7),1/cnst_fish!$C$8))</f>
        <v>0</v>
      </c>
      <c r="D45" s="154"/>
      <c r="E45" s="154">
        <f>fishmeal_fishes!G37</f>
        <v>0.21334911593031072</v>
      </c>
      <c r="F45" s="187">
        <f>SUM(fishmeal_fishes!$D$35:$D$36)</f>
        <v>0</v>
      </c>
      <c r="G45" s="185">
        <f>VLOOKUP(A45,fish_group_yield_w!$A$7:$H$47,8,FALSE)</f>
        <v>0.37281043899686855</v>
      </c>
      <c r="H45" s="188"/>
      <c r="I45" s="186"/>
      <c r="J45" s="186">
        <f>IF(ISERROR((H45+F45+B45)/(IF(ISERROR(B45/E45),0,B45/E45)+IF(ISERROR(F45/G45),0,F45/G45)+IF(ISERROR(H45/I45),0,H45/I45))),G45,((H45+F45+B45)/(IF(ISERROR(B45/E45),0,B45/E45)+IF(ISERROR(F45/G45),0,F45/G45)+IF(ISERROR(H45/I45),0,H45/I45))))</f>
        <v>0.2133491159303107</v>
      </c>
      <c r="K45" s="220"/>
    </row>
    <row r="46" spans="1:11">
      <c r="A46" s="14" t="s">
        <v>1735</v>
      </c>
      <c r="B46" s="25">
        <f>SUMIF(fish_efp!$O$7:$O$2327,"*"&amp;"Fish"&amp;"*",fish_efp!$P$7:$P$2327)</f>
        <v>450628.98</v>
      </c>
      <c r="C46" s="43">
        <f>IF(ISERROR(1+LOG(SUM(IF(RIGHT(fish_efp!$O$7:$O$2327,4)="Fish",fish_efp!$P$7:$P$2327*fish_efp!$S$7:$S$2327,0))*9/(SUM(IF(RIGHT(fish_efp!$O$7:$O$2327,4)="Fish",fish_efp!$P$7:$P$2327,0))*cnst_fish!$C$7),1/cnst_fish!$C$8)),0,1+LOG(SUM(IF(RIGHT(fish_efp!$O$7:$O$2327,4)="Fish",fish_efp!$P$7:$P$2327*fish_efp!$S$7:$S$2327,0))*9/(SUM(IF(RIGHT(fish_efp!$O$7:$O$2327,4)="Fish",fish_efp!$P$7:$P$2327,0))*cnst_fish!$C$7),1/cnst_fish!$C$8))</f>
        <v>0</v>
      </c>
      <c r="D46" s="2">
        <f>IF(C46=0,0,(1/9)*cnst_fish!$C$7*(1/cnst_fish!$C$8)^(C46-1))</f>
        <v>0</v>
      </c>
      <c r="E46" s="2">
        <f>IF(D46=0,G46,(1/D46)*cnst_fish!$C$6)</f>
        <v>5.9896777328554827E-2</v>
      </c>
      <c r="F46" s="25">
        <f>SUMIF(fish_commodity_yield_n!$C$7:$C$181,A46,fish_commodity_yield_n!$H$7:$H$181)</f>
        <v>3637.3396716602119</v>
      </c>
      <c r="G46" s="87">
        <f>VLOOKUP(A46,fish_group_yield_w!$A$7:$H$47,8,FALSE)</f>
        <v>5.9896777328554827E-2</v>
      </c>
      <c r="H46" s="25">
        <f>SUMIF(aquaculture_production_n!$C$7:$C$611,A46,aquaculture_production_n!$D$7:$D$611)</f>
        <v>0</v>
      </c>
      <c r="I46" s="2">
        <f>VLOOKUP(A46,aquaculture_yields!$A$7:$H$46,7,FALSE)</f>
        <v>0</v>
      </c>
      <c r="J46" s="2">
        <f t="shared" si="0"/>
        <v>5.9896777328554834E-2</v>
      </c>
      <c r="K46" s="219">
        <f>IF(ISERROR((VLOOKUP(A46,fish_group_yield_w!$A$7:$I$47,9,FALSE)*F46+H46*VLOOKUP(A46,aquaculture_yields!$A$7:$I$46,9,FALSE))/(B46+F46+H46)),VLOOKUP(A46,fish_group_yield_w!$A$7:$I$47,9,FALSE),(VLOOKUP(A46,fish_group_yield_w!$A$7:$I$47,9,FALSE)*F46+H46*VLOOKUP(A46,aquaculture_yields!$A$7:$I$46,9,FALSE))/(B46+F46+H46))</f>
        <v>0</v>
      </c>
    </row>
    <row r="47" spans="1:11">
      <c r="A47" s="19" t="s">
        <v>2324</v>
      </c>
      <c r="B47" s="26">
        <f>SUM(fish_efp!P$7:P$2327)</f>
        <v>839118.97999999986</v>
      </c>
      <c r="C47" s="358">
        <f t="array" ref="C47">IF(ISERROR(1+LOG(SUM(fish_efp!$P$7:$P$2327*fish_efp!$S$7:$S$2327)*9/(SUM(fish_efp!$P$7:$P$2327)*cnst_fish!$C$7),1/cnst_fish!$C$8)),0,1+LOG(SUM(fish_efp!$P$7:$P$2327*fish_efp!$S$7:$S$2327)*9/(SUM(fish_efp!$P$7:$P$2327)*cnst_fish!$C$7),1/cnst_fish!$C$8))</f>
        <v>3.808180726976865</v>
      </c>
      <c r="D47" s="57">
        <f>IF(C47=0,0,(1/9)*cnst_fish!$C$7*(1/cnst_fish!$C$8)^(C47-1))</f>
        <v>90.673172129201248</v>
      </c>
      <c r="E47" s="57">
        <f>IF(D47=0,G47,(1/D47)*cnst_fish!$C$6)</f>
        <v>4.6871636893260182E-2</v>
      </c>
      <c r="F47" s="26">
        <f>SUMIF(fish_commodity_yield_n!$C$7:$C$181,A47,fish_commodity_yield_n!$H$7:$H$181)</f>
        <v>0</v>
      </c>
      <c r="G47" s="88">
        <f>VLOOKUP(A47,fish_group_yield_w!$A$7:$H$47,8,FALSE)</f>
        <v>5.2057853901875561E-2</v>
      </c>
      <c r="H47" s="26">
        <f>SUMIF(aquaculture_production_n!$C$7:$C$611,A47,aquaculture_production_n!$D$7:$D$611)</f>
        <v>0</v>
      </c>
      <c r="I47" s="57">
        <f>VLOOKUP(A47,aquaculture_yields!$A$7:$H$46,7,FALSE)</f>
        <v>0</v>
      </c>
      <c r="J47" s="57">
        <f t="shared" si="0"/>
        <v>4.6871636893260182E-2</v>
      </c>
      <c r="K47" s="221">
        <f>IF(ISERROR((VLOOKUP(A47,fish_group_yield_w!$A$7:$I$47,9,FALSE)*F47+H47*VLOOKUP(A47,aquaculture_yields!$A$7:$I$46,9,FALSE))/(B47+F47+H47)),VLOOKUP(A47,fish_group_yield_w!$A$7:$I$47,9,FALSE),(VLOOKUP(A47,fish_group_yield_w!$A$7:$I$47,9,FALSE)*F47+H47*VLOOKUP(A47,aquaculture_yields!$A$7:$I$46,9,FALSE))/(B47+F47+H47))</f>
        <v>0</v>
      </c>
    </row>
  </sheetData>
  <phoneticPr fontId="0" type="noConversion"/>
  <hyperlinks>
    <hyperlink ref="E2" location="cnst_fish!A1" tooltip="Go to cnst_fish" display="cnst_fish" xr:uid="{00000000-0004-0000-2A00-000000000000}"/>
    <hyperlink ref="F2" location="fish_commodity_yield_n!A1" tooltip="Go to fish_commodity_yield_n" display="fish_commodity_yield_n" xr:uid="{00000000-0004-0000-2A00-000001000000}"/>
    <hyperlink ref="D3" location="fish_commodity_yield_n!A1" tooltip="Go to fish_commodity_yield_n" display="fish_commodity_yield_n" xr:uid="{00000000-0004-0000-2A00-000002000000}"/>
    <hyperlink ref="G2" location="fish_group_yield_w!A1" display="fish_group_yield_w" xr:uid="{00000000-0004-0000-2A00-000003000000}"/>
    <hyperlink ref="H2" location="aquaculture_production_n!A1" display="aquaculture_production_n" xr:uid="{00000000-0004-0000-2A00-000004000000}"/>
    <hyperlink ref="I2" location="aquaculture_yields!A1" display="aquaculture_yields" xr:uid="{00000000-0004-0000-2A00-000005000000}"/>
    <hyperlink ref="E3" location="fishmeal_fishes!A1" display="fishmeal_fishes" xr:uid="{00000000-0004-0000-2A00-000006000000}"/>
    <hyperlink ref="D2" location="fish_efp!A1" display="fish_efp" xr:uid="{00000000-0004-0000-2A00-000007000000}"/>
  </hyperlinks>
  <pageMargins left="0.75" right="0.75" top="1" bottom="1" header="0.5" footer="0.5"/>
  <pageSetup orientation="portrait"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tabColor theme="4"/>
  </sheetPr>
  <dimension ref="A1:I47"/>
  <sheetViews>
    <sheetView zoomScaleNormal="100" workbookViewId="0">
      <pane xSplit="1" ySplit="6" topLeftCell="B7" activePane="bottomRight" state="frozen"/>
      <selection activeCell="B24" sqref="B24"/>
      <selection pane="topRight" activeCell="B24" sqref="B24"/>
      <selection pane="bottomLeft" activeCell="B24" sqref="B24"/>
      <selection pane="bottomRight" activeCell="A65536" sqref="A65536"/>
    </sheetView>
  </sheetViews>
  <sheetFormatPr defaultColWidth="9.1796875" defaultRowHeight="12.5"/>
  <cols>
    <col min="1" max="1" width="24" style="36" customWidth="1"/>
    <col min="2" max="3" width="21.7265625" style="36" customWidth="1"/>
    <col min="4" max="4" width="20.7265625" style="36" bestFit="1" customWidth="1"/>
    <col min="5" max="5" width="22.54296875" style="36" bestFit="1" customWidth="1"/>
    <col min="6" max="6" width="24.54296875" style="36" bestFit="1" customWidth="1"/>
    <col min="7" max="7" width="22.26953125" style="36" bestFit="1" customWidth="1"/>
    <col min="8" max="9" width="21.7265625" style="36" customWidth="1"/>
    <col min="10" max="16384" width="9.1796875" style="36"/>
  </cols>
  <sheetData>
    <row r="1" spans="1:9" ht="12.75" customHeight="1">
      <c r="B1" s="75"/>
      <c r="C1" s="75"/>
      <c r="D1" s="75"/>
      <c r="E1" s="75"/>
      <c r="F1" s="75"/>
      <c r="G1" s="75"/>
      <c r="H1" s="75"/>
      <c r="I1" s="75"/>
    </row>
    <row r="2" spans="1:9" ht="12.75" customHeight="1">
      <c r="C2" s="37" t="s">
        <v>985</v>
      </c>
      <c r="D2" s="466" t="s">
        <v>5244</v>
      </c>
      <c r="E2" s="466" t="s">
        <v>5248</v>
      </c>
      <c r="F2" s="466" t="s">
        <v>5247</v>
      </c>
      <c r="G2" s="466" t="s">
        <v>1759</v>
      </c>
      <c r="H2" s="466" t="s">
        <v>8829</v>
      </c>
    </row>
    <row r="3" spans="1:9" ht="12.75" customHeight="1">
      <c r="C3" s="37" t="s">
        <v>986</v>
      </c>
      <c r="D3" s="466" t="s">
        <v>1760</v>
      </c>
      <c r="E3" s="466" t="s">
        <v>1761</v>
      </c>
      <c r="F3" s="466"/>
      <c r="G3" s="466"/>
    </row>
    <row r="4" spans="1:9" ht="12.75" customHeight="1"/>
    <row r="5" spans="1:9" ht="13">
      <c r="A5" s="1016" t="s">
        <v>102</v>
      </c>
      <c r="B5" s="1017" t="s">
        <v>3918</v>
      </c>
      <c r="C5" s="1017" t="s">
        <v>3920</v>
      </c>
      <c r="D5" s="1017" t="s">
        <v>2243</v>
      </c>
      <c r="E5" s="1017" t="s">
        <v>4307</v>
      </c>
      <c r="F5" s="1017" t="s">
        <v>4306</v>
      </c>
      <c r="G5" s="1017" t="s">
        <v>4305</v>
      </c>
      <c r="H5" s="1017" t="s">
        <v>4304</v>
      </c>
      <c r="I5" s="924" t="s">
        <v>4291</v>
      </c>
    </row>
    <row r="6" spans="1:9" ht="14.5">
      <c r="A6" s="1020" t="s">
        <v>542</v>
      </c>
      <c r="B6" s="1022" t="s">
        <v>9223</v>
      </c>
      <c r="C6" s="1021" t="s">
        <v>542</v>
      </c>
      <c r="D6" s="1022" t="s">
        <v>9226</v>
      </c>
      <c r="E6" s="1034" t="s">
        <v>9227</v>
      </c>
      <c r="F6" s="1021" t="s">
        <v>2977</v>
      </c>
      <c r="G6" s="1021" t="s">
        <v>9227</v>
      </c>
      <c r="H6" s="1021" t="s">
        <v>9227</v>
      </c>
      <c r="I6" s="1037" t="s">
        <v>4299</v>
      </c>
    </row>
    <row r="7" spans="1:9">
      <c r="A7" s="17" t="s">
        <v>1740</v>
      </c>
      <c r="B7" s="25">
        <f>SUMIF(fish_efp!$N$7:$N$2327,A7,fish_efp!$Q$7:$Q$2327)</f>
        <v>953030</v>
      </c>
      <c r="C7" s="43">
        <f t="array" ref="C7">IF(ISERROR(1+LOG(SUM(IF(fish_efp!$N$7:$N$2327=A7,fish_efp!$Q$7:$Q$2327*fish_efp!$S$7:$S$2327,0))*9/(SUM(IF(fish_efp!$N$7:$N$2327=A7,fish_efp!$Q$7:$Q$2327,0))*cnst_fish!$C$7),1/cnst_fish!$C$8)),0,1+LOG(SUM(IF(fish_efp!$N$7:$N$2327=A7,fish_efp!$Q$7:$Q$2327*fish_efp!$S$7:$S$2327,0))*9/(SUM(IF(fish_efp!$N$7:$N$2327=A7,fish_efp!$Q$7:$Q$2327,0))*cnst_fish!$C$7),1/cnst_fish!$C$8))</f>
        <v>1.0999179380296238</v>
      </c>
      <c r="D7" s="55">
        <f>IF(C7=0,0,(1/9)*cnst_fish!$C$7*(1/cnst_fish!$C$8)^(C7-1))</f>
        <v>0.17750721921472049</v>
      </c>
      <c r="E7" s="55">
        <f>IF(ISERROR((1/D7)*cnst_fish!$C$6),0,(1/D7)*cnst_fish!$C$6)</f>
        <v>23.942688183622629</v>
      </c>
      <c r="F7" s="678">
        <f>SUMIF(aquaculture_production_w!$C$7:$C$598,A7,aquaculture_production_w!$D$7:$D$598)</f>
        <v>1600221.8900000001</v>
      </c>
      <c r="G7" s="2">
        <f>VLOOKUP(A7,aquaculture_yields!$A$7:$H$46,8,FALSE)</f>
        <v>0</v>
      </c>
      <c r="H7" s="56">
        <f>IF(ISERROR((B7+F7)/(IF(ISERROR(F7/G7),0,F7/G7)+IF(ISERROR(B7/E7),0,B7/E7))),0,(B7+F7)/(IF(ISERROR(F7/G7),0,F7/G7)+IF(ISERROR(B7/E7),0,B7/E7)))</f>
        <v>64.14458501465343</v>
      </c>
      <c r="I7" s="222">
        <f>IFERROR(VLOOKUP(A7,aquaculture_yields!$A$7:$I$46,9,FALSE)*F7/(F7+B7),0)</f>
        <v>0</v>
      </c>
    </row>
    <row r="8" spans="1:9">
      <c r="A8" s="14" t="s">
        <v>2843</v>
      </c>
      <c r="B8" s="25">
        <f>SUMIF(fish_efp!$N$7:$N$2327,A8,fish_efp!$Q$7:$Q$2327)</f>
        <v>3349100.38</v>
      </c>
      <c r="C8" s="43">
        <f t="array" ref="C8">IF(ISERROR(1+LOG(SUM(IF(fish_efp!$N$7:$N$2327=A8,fish_efp!$Q$7:$Q$2327*fish_efp!$S$7:$S$2327,0))*9/(SUM(IF(fish_efp!$N$7:$N$2327=A8,fish_efp!$Q$7:$Q$2327,0))*cnst_fish!$C$7),1/cnst_fish!$C$8)),0,1+LOG(SUM(IF(fish_efp!$N$7:$N$2327=A8,fish_efp!$Q$7:$Q$2327*fish_efp!$S$7:$S$2327,0))*9/(SUM(IF(fish_efp!$N$7:$N$2327=A8,fish_efp!$Q$7:$Q$2327,0))*cnst_fish!$C$7),1/cnst_fish!$C$8))</f>
        <v>4.3176916518679569</v>
      </c>
      <c r="D8" s="2">
        <f>IF(C8=0,0,(1/9)*cnst_fish!$C$7*(1/cnst_fish!$C$8)^(C8-1))</f>
        <v>293.08239668878099</v>
      </c>
      <c r="E8" s="2">
        <f>IF(ISERROR((1/D8)*cnst_fish!$C$6),0,(1/D8)*cnst_fish!$C$6)</f>
        <v>1.4501041509200566E-2</v>
      </c>
      <c r="F8" s="678">
        <f>SUMIF(aquaculture_production_w!$C$7:$C$598,A8,aquaculture_production_w!$D$7:$D$598)</f>
        <v>46689.03</v>
      </c>
      <c r="G8" s="2">
        <f>VLOOKUP(A8,aquaculture_yields!$A$7:$H$46,8,FALSE)</f>
        <v>0.40302106824326928</v>
      </c>
      <c r="H8" s="54">
        <f t="shared" ref="H8:H47" si="0">IF(ISERROR((B8+F8)/(IF(ISERROR(F8/G8),0,F8/G8)+IF(ISERROR(B8/E8),0,B8/E8))),0,(B8+F8)/(IF(ISERROR(F8/G8),0,F8/G8)+IF(ISERROR(B8/E8),0,B8/E8)))</f>
        <v>1.4695825722102158E-2</v>
      </c>
      <c r="I8" s="222">
        <f>IFERROR(VLOOKUP(A8,aquaculture_yields!$A$7:$I$46,9,FALSE)*F8/(F8+B8),0)</f>
        <v>9.9057354543512586E-3</v>
      </c>
    </row>
    <row r="9" spans="1:9">
      <c r="A9" s="14" t="s">
        <v>103</v>
      </c>
      <c r="B9" s="25">
        <f>SUMIF(fish_efp!$N$7:$N$2327,A9,fish_efp!$Q$7:$Q$2327)</f>
        <v>9479267.5500000007</v>
      </c>
      <c r="C9" s="43">
        <f t="array" ref="C9">IF(ISERROR(1+LOG(SUM(IF(fish_efp!$N$7:$N$2327=A9,fish_efp!$Q$7:$Q$2327*fish_efp!$S$7:$S$2327,0))*9/(SUM(IF(fish_efp!$N$7:$N$2327=A9,fish_efp!$Q$7:$Q$2327,0))*cnst_fish!$C$7),1/cnst_fish!$C$8)),0,1+LOG(SUM(IF(fish_efp!$N$7:$N$2327=A9,fish_efp!$Q$7:$Q$2327*fish_efp!$S$7:$S$2327,0))*9/(SUM(IF(fish_efp!$N$7:$N$2327=A9,fish_efp!$Q$7:$Q$2327,0))*cnst_fish!$C$7),1/cnst_fish!$C$8))</f>
        <v>2.7882941265603165</v>
      </c>
      <c r="D9" s="2">
        <f>IF(C9=0,0,(1/9)*cnst_fish!$C$7*(1/cnst_fish!$C$8)^(C9-1))</f>
        <v>8.6614820367476604</v>
      </c>
      <c r="E9" s="2">
        <f>IF(ISERROR((1/D9)*cnst_fish!$C$6),0,(1/D9)*cnst_fish!$C$6)</f>
        <v>0.49067815207244281</v>
      </c>
      <c r="F9" s="678">
        <f>SUMIF(aquaculture_production_w!$C$7:$C$598,A9,aquaculture_production_w!$D$7:$D$598)</f>
        <v>0</v>
      </c>
      <c r="G9" s="2">
        <f>VLOOKUP(A9,aquaculture_yields!$A$7:$H$46,8,FALSE)</f>
        <v>0</v>
      </c>
      <c r="H9" s="54">
        <f t="shared" si="0"/>
        <v>0.49067815207244281</v>
      </c>
      <c r="I9" s="222">
        <f>IFERROR(VLOOKUP(A9,aquaculture_yields!$A$7:$I$46,9,FALSE)*F9/(F9+B9),0)</f>
        <v>0</v>
      </c>
    </row>
    <row r="10" spans="1:9">
      <c r="A10" s="14" t="s">
        <v>5194</v>
      </c>
      <c r="B10" s="25">
        <f>SUMIF(fish_efp!$N$7:$N$2327,A10,fish_efp!$Q$7:$Q$2327)</f>
        <v>241279.74</v>
      </c>
      <c r="C10" s="43">
        <f t="array" ref="C10">IF(ISERROR(1+LOG(SUM(IF(fish_efp!$N$7:$N$2327=A10,fish_efp!$Q$7:$Q$2327*fish_efp!$S$7:$S$2327,0))*9/(SUM(IF(fish_efp!$N$7:$N$2327=A10,fish_efp!$Q$7:$Q$2327,0))*cnst_fish!$C$7),1/cnst_fish!$C$8)),0,1+LOG(SUM(IF(fish_efp!$N$7:$N$2327=A10,fish_efp!$Q$7:$Q$2327*fish_efp!$S$7:$S$2327,0))*9/(SUM(IF(fish_efp!$N$7:$N$2327=A10,fish_efp!$Q$7:$Q$2327,0))*cnst_fish!$C$7),1/cnst_fish!$C$8))</f>
        <v>2.8721406933468976</v>
      </c>
      <c r="D10" s="2">
        <f>IF(C10=0,0,(1/9)*cnst_fish!$C$7*(1/cnst_fish!$C$8)^(C10-1))</f>
        <v>10.506033367793064</v>
      </c>
      <c r="E10" s="2">
        <f>IF(ISERROR((1/D10)*cnst_fish!$C$6),0,(1/D10)*cnst_fish!$C$6)</f>
        <v>0.40452945952262576</v>
      </c>
      <c r="F10" s="678">
        <f>SUMIF(aquaculture_production_w!$C$7:$C$598,A10,aquaculture_production_w!$D$7:$D$598)</f>
        <v>19186685.119999997</v>
      </c>
      <c r="G10" s="2">
        <f>VLOOKUP(A10,aquaculture_yields!$A$7:$H$46,8,FALSE)</f>
        <v>2.9372362362898157</v>
      </c>
      <c r="H10" s="54">
        <f t="shared" si="0"/>
        <v>2.7253283411782552</v>
      </c>
      <c r="I10" s="222">
        <f>IFERROR(VLOOKUP(A10,aquaculture_yields!$A$7:$I$46,9,FALSE)*F10/(F10+B10),0)</f>
        <v>0.59613149911593777</v>
      </c>
    </row>
    <row r="11" spans="1:9">
      <c r="A11" s="14" t="s">
        <v>4011</v>
      </c>
      <c r="B11" s="25">
        <f>SUMIF(fish_efp!$N$7:$N$2327,A11,fish_efp!$Q$7:$Q$2327)</f>
        <v>369330</v>
      </c>
      <c r="C11" s="43">
        <f t="array" ref="C11">IF(ISERROR(1+LOG(SUM(IF(fish_efp!$N$7:$N$2327=A11,fish_efp!$Q$7:$Q$2327*fish_efp!$S$7:$S$2327,0))*9/(SUM(IF(fish_efp!$N$7:$N$2327=A11,fish_efp!$Q$7:$Q$2327,0))*cnst_fish!$C$7),1/cnst_fish!$C$8)),0,1+LOG(SUM(IF(fish_efp!$N$7:$N$2327=A11,fish_efp!$Q$7:$Q$2327*fish_efp!$S$7:$S$2327,0))*9/(SUM(IF(fish_efp!$N$7:$N$2327=A11,fish_efp!$Q$7:$Q$2327,0))*cnst_fish!$C$7),1/cnst_fish!$C$8))</f>
        <v>4.38</v>
      </c>
      <c r="D11" s="2">
        <f>IF(C11=0,0,(1/9)*cnst_fish!$C$7*(1/cnst_fish!$C$8)^(C11-1))</f>
        <v>338.2969501181334</v>
      </c>
      <c r="E11" s="2">
        <f>IF(ISERROR((1/D11)*cnst_fish!$C$6),0,(1/D11)*cnst_fish!$C$6)</f>
        <v>1.256292732912874E-2</v>
      </c>
      <c r="F11" s="678">
        <f>SUMIF(aquaculture_production_w!$C$7:$C$598,A11,aquaculture_production_w!$D$7:$D$598)</f>
        <v>0</v>
      </c>
      <c r="G11" s="2">
        <f>VLOOKUP(A11,aquaculture_yields!$A$7:$H$46,8,FALSE)</f>
        <v>0</v>
      </c>
      <c r="H11" s="54">
        <f t="shared" si="0"/>
        <v>1.256292732912874E-2</v>
      </c>
      <c r="I11" s="222">
        <f>IFERROR(VLOOKUP(A11,aquaculture_yields!$A$7:$I$46,9,FALSE)*F11/(F11+B11),0)</f>
        <v>0</v>
      </c>
    </row>
    <row r="12" spans="1:9">
      <c r="A12" s="14" t="s">
        <v>5195</v>
      </c>
      <c r="B12" s="25">
        <f>SUMIF(fish_efp!$N$7:$N$2327,A12,fish_efp!$Q$7:$Q$2327)</f>
        <v>1636077.2</v>
      </c>
      <c r="C12" s="43">
        <f t="array" ref="C12">IF(ISERROR(1+LOG(SUM(IF(fish_efp!$N$7:$N$2327=A12,fish_efp!$Q$7:$Q$2327*fish_efp!$S$7:$S$2327,0))*9/(SUM(IF(fish_efp!$N$7:$N$2327=A12,fish_efp!$Q$7:$Q$2327,0))*cnst_fish!$C$7),1/cnst_fish!$C$8)),0,1+LOG(SUM(IF(fish_efp!$N$7:$N$2327=A12,fish_efp!$Q$7:$Q$2327*fish_efp!$S$7:$S$2327,0))*9/(SUM(IF(fish_efp!$N$7:$N$2327=A12,fish_efp!$Q$7:$Q$2327,0))*cnst_fish!$C$7),1/cnst_fish!$C$8))</f>
        <v>4.3468492331361084</v>
      </c>
      <c r="D12" s="2">
        <f>IF(C12=0,0,(1/9)*cnst_fish!$C$7*(1/cnst_fish!$C$8)^(C12-1))</f>
        <v>313.43487361484506</v>
      </c>
      <c r="E12" s="2">
        <f>IF(ISERROR((1/D12)*cnst_fish!$C$6),0,(1/D12)*cnst_fish!$C$6)</f>
        <v>1.3559435652404408E-2</v>
      </c>
      <c r="F12" s="678">
        <f>SUMIF(aquaculture_production_w!$C$7:$C$598,A12,aquaculture_production_w!$D$7:$D$598)</f>
        <v>790.13</v>
      </c>
      <c r="G12" s="2">
        <f>VLOOKUP(A12,aquaculture_yields!$A$7:$H$46,8,FALSE)</f>
        <v>0.40302106824326928</v>
      </c>
      <c r="H12" s="54">
        <f t="shared" si="0"/>
        <v>1.3565763649152475E-2</v>
      </c>
      <c r="I12" s="222">
        <f>IFERROR(VLOOKUP(A12,aquaculture_yields!$A$7:$I$46,9,FALSE)*F12/(F12+B12),0)</f>
        <v>3.4777446774354785E-4</v>
      </c>
    </row>
    <row r="13" spans="1:9">
      <c r="A13" s="14" t="s">
        <v>5196</v>
      </c>
      <c r="B13" s="25">
        <f>SUMIF(fish_efp!$N$7:$N$2327,A13,fish_efp!$Q$7:$Q$2327)</f>
        <v>4079.1000000000004</v>
      </c>
      <c r="C13" s="43">
        <f t="array" ref="C13">IF(ISERROR(1+LOG(SUM(IF(fish_efp!$N$7:$N$2327=A13,fish_efp!$Q$7:$Q$2327*fish_efp!$S$7:$S$2327,0))*9/(SUM(IF(fish_efp!$N$7:$N$2327=A13,fish_efp!$Q$7:$Q$2327,0))*cnst_fish!$C$7),1/cnst_fish!$C$8)),0,1+LOG(SUM(IF(fish_efp!$N$7:$N$2327=A13,fish_efp!$Q$7:$Q$2327*fish_efp!$S$7:$S$2327,0))*9/(SUM(IF(fish_efp!$N$7:$N$2327=A13,fish_efp!$Q$7:$Q$2327,0))*cnst_fish!$C$7),1/cnst_fish!$C$8))</f>
        <v>2.2999952202804139</v>
      </c>
      <c r="D13" s="2">
        <f>IF(C13=0,0,(1/9)*cnst_fish!$C$7*(1/cnst_fish!$C$8)^(C13-1))</f>
        <v>2.8138005017821701</v>
      </c>
      <c r="E13" s="2">
        <f>IF(ISERROR((1/D13)*cnst_fish!$C$6),0,(1/D13)*cnst_fish!$C$6)</f>
        <v>1.5104126953237047</v>
      </c>
      <c r="F13" s="678">
        <f>SUMIF(aquaculture_production_w!$C$7:$C$598,A13,aquaculture_production_w!$D$7:$D$598)</f>
        <v>0</v>
      </c>
      <c r="G13" s="2">
        <f>VLOOKUP(A13,aquaculture_yields!$A$7:$H$46,8,FALSE)</f>
        <v>0</v>
      </c>
      <c r="H13" s="54">
        <f t="shared" si="0"/>
        <v>1.5104126953237047</v>
      </c>
      <c r="I13" s="222">
        <f>IFERROR(VLOOKUP(A13,aquaculture_yields!$A$7:$I$46,9,FALSE)*F13/(F13+B13),0)</f>
        <v>0</v>
      </c>
    </row>
    <row r="14" spans="1:9">
      <c r="A14" s="14" t="s">
        <v>2311</v>
      </c>
      <c r="B14" s="25">
        <f>SUMIF(fish_efp!$N$7:$N$2327,A14,fish_efp!$Q$7:$Q$2327)</f>
        <v>1688093.05</v>
      </c>
      <c r="C14" s="43">
        <f t="array" ref="C14">IF(ISERROR(1+LOG(SUM(IF(fish_efp!$N$7:$N$2327=A14,fish_efp!$Q$7:$Q$2327*fish_efp!$S$7:$S$2327,0))*9/(SUM(IF(fish_efp!$N$7:$N$2327=A14,fish_efp!$Q$7:$Q$2327,0))*cnst_fish!$C$7),1/cnst_fish!$C$8)),0,1+LOG(SUM(IF(fish_efp!$N$7:$N$2327=A14,fish_efp!$Q$7:$Q$2327*fish_efp!$S$7:$S$2327,0))*9/(SUM(IF(fish_efp!$N$7:$N$2327=A14,fish_efp!$Q$7:$Q$2327,0))*cnst_fish!$C$7),1/cnst_fish!$C$8))</f>
        <v>3.4674327970202898</v>
      </c>
      <c r="D14" s="2">
        <f>IF(C14=0,0,(1/9)*cnst_fish!$C$7*(1/cnst_fish!$C$8)^(C14-1))</f>
        <v>41.374320991967899</v>
      </c>
      <c r="E14" s="2">
        <f>IF(ISERROR((1/D14)*cnst_fish!$C$6),0,(1/D14)*cnst_fish!$C$6)</f>
        <v>0.10272071898956514</v>
      </c>
      <c r="F14" s="678">
        <f>SUMIF(aquaculture_production_w!$C$7:$C$598,A14,aquaculture_production_w!$D$7:$D$598)</f>
        <v>1141800.5</v>
      </c>
      <c r="G14" s="2">
        <f>VLOOKUP(A14,aquaculture_yields!$A$7:$H$46,8,FALSE)</f>
        <v>0.40302106824326928</v>
      </c>
      <c r="H14" s="54">
        <f t="shared" si="0"/>
        <v>0.14687838431463016</v>
      </c>
      <c r="I14" s="222">
        <f>IFERROR(VLOOKUP(A14,aquaculture_yields!$A$7:$I$46,9,FALSE)*F14/(F14+B14),0)</f>
        <v>0.29069178140851948</v>
      </c>
    </row>
    <row r="15" spans="1:9">
      <c r="A15" s="14" t="s">
        <v>5197</v>
      </c>
      <c r="B15" s="25">
        <f>SUMIF(fish_efp!$N$7:$N$2327,A15,fish_efp!$Q$7:$Q$2327)</f>
        <v>2933303.46</v>
      </c>
      <c r="C15" s="43">
        <f t="array" ref="C15">IF(ISERROR(1+LOG(SUM(IF(fish_efp!$N$7:$N$2327=A15,fish_efp!$Q$7:$Q$2327*fish_efp!$S$7:$S$2327,0))*9/(SUM(IF(fish_efp!$N$7:$N$2327=A15,fish_efp!$Q$7:$Q$2327,0))*cnst_fish!$C$7),1/cnst_fish!$C$8)),0,1+LOG(SUM(IF(fish_efp!$N$7:$N$2327=A15,fish_efp!$Q$7:$Q$2327*fish_efp!$S$7:$S$2327,0))*9/(SUM(IF(fish_efp!$N$7:$N$2327=A15,fish_efp!$Q$7:$Q$2327,0))*cnst_fish!$C$7),1/cnst_fish!$C$8))</f>
        <v>3.8549834828192298</v>
      </c>
      <c r="D15" s="2">
        <f>IF(C15=0,0,(1/9)*cnst_fish!$C$7*(1/cnst_fish!$C$8)^(C15-1))</f>
        <v>100.99074251696956</v>
      </c>
      <c r="E15" s="2">
        <f>IF(ISERROR((1/D15)*cnst_fish!$C$6),0,(1/D15)*cnst_fish!$C$6)</f>
        <v>4.2083065180809703E-2</v>
      </c>
      <c r="F15" s="678">
        <f>SUMIF(aquaculture_production_w!$C$7:$C$598,A15,aquaculture_production_w!$D$7:$D$598)</f>
        <v>0</v>
      </c>
      <c r="G15" s="2">
        <f>VLOOKUP(A15,aquaculture_yields!$A$7:$H$46,8,FALSE)</f>
        <v>0.40302106824326928</v>
      </c>
      <c r="H15" s="54">
        <f t="shared" si="0"/>
        <v>4.2083065180809703E-2</v>
      </c>
      <c r="I15" s="222">
        <f>IFERROR(VLOOKUP(A15,aquaculture_yields!$A$7:$I$46,9,FALSE)*F15/(F15+B15),0)</f>
        <v>0</v>
      </c>
    </row>
    <row r="16" spans="1:9">
      <c r="A16" s="14" t="s">
        <v>3785</v>
      </c>
      <c r="B16" s="25">
        <f>SUMIF(fish_efp!$N$7:$N$2327,A16,fish_efp!$Q$7:$Q$2327)</f>
        <v>411022.31999999995</v>
      </c>
      <c r="C16" s="43">
        <f t="array" ref="C16">IF(ISERROR(1+LOG(SUM(IF(fish_efp!$N$7:$N$2327=A16,fish_efp!$Q$7:$Q$2327*fish_efp!$S$7:$S$2327,0))*9/(SUM(IF(fish_efp!$N$7:$N$2327=A16,fish_efp!$Q$7:$Q$2327,0))*cnst_fish!$C$7),1/cnst_fish!$C$8)),0,1+LOG(SUM(IF(fish_efp!$N$7:$N$2327=A16,fish_efp!$Q$7:$Q$2327*fish_efp!$S$7:$S$2327,0))*9/(SUM(IF(fish_efp!$N$7:$N$2327=A16,fish_efp!$Q$7:$Q$2327,0))*cnst_fish!$C$7),1/cnst_fish!$C$8))</f>
        <v>4.0181918589285122</v>
      </c>
      <c r="D16" s="2">
        <f>IF(C16=0,0,(1/9)*cnst_fish!$C$7*(1/cnst_fish!$C$8)^(C16-1))</f>
        <v>147.05843551131824</v>
      </c>
      <c r="E16" s="2">
        <f>IF(ISERROR((1/D16)*cnst_fish!$C$6),0,(1/D16)*cnst_fish!$C$6)</f>
        <v>2.8900076253516937E-2</v>
      </c>
      <c r="F16" s="678">
        <f>SUMIF(aquaculture_production_w!$C$7:$C$598,A16,aquaculture_production_w!$D$7:$D$598)</f>
        <v>0</v>
      </c>
      <c r="G16" s="2">
        <f>VLOOKUP(A16,aquaculture_yields!$A$7:$H$46,8,FALSE)</f>
        <v>0</v>
      </c>
      <c r="H16" s="54">
        <f t="shared" si="0"/>
        <v>2.8900076253516937E-2</v>
      </c>
      <c r="I16" s="222">
        <f>IFERROR(VLOOKUP(A16,aquaculture_yields!$A$7:$I$46,9,FALSE)*F16/(F16+B16),0)</f>
        <v>0</v>
      </c>
    </row>
    <row r="17" spans="1:9">
      <c r="A17" s="14" t="s">
        <v>3786</v>
      </c>
      <c r="B17" s="25">
        <f>SUMIF(fish_efp!$N$7:$N$2327,A17,fish_efp!$Q$7:$Q$2327)</f>
        <v>404285.31</v>
      </c>
      <c r="C17" s="43">
        <f t="array" ref="C17">IF(ISERROR(1+LOG(SUM(IF(fish_efp!$N$7:$N$2327=A17,fish_efp!$Q$7:$Q$2327*fish_efp!$S$7:$S$2327,0))*9/(SUM(IF(fish_efp!$N$7:$N$2327=A17,fish_efp!$Q$7:$Q$2327,0))*cnst_fish!$C$7),1/cnst_fish!$C$8)),0,1+LOG(SUM(IF(fish_efp!$N$7:$N$2327=A17,fish_efp!$Q$7:$Q$2327*fish_efp!$S$7:$S$2327,0))*9/(SUM(IF(fish_efp!$N$7:$N$2327=A17,fish_efp!$Q$7:$Q$2327,0))*cnst_fish!$C$7),1/cnst_fish!$C$8))</f>
        <v>4.0646098925552208</v>
      </c>
      <c r="D17" s="2">
        <f>IF(C17=0,0,(1/9)*cnst_fish!$C$7*(1/cnst_fish!$C$8)^(C17-1))</f>
        <v>163.64697243776249</v>
      </c>
      <c r="E17" s="2">
        <f>IF(ISERROR((1/D17)*cnst_fish!$C$6),0,(1/D17)*cnst_fish!$C$6)</f>
        <v>2.597053851158989E-2</v>
      </c>
      <c r="F17" s="678">
        <f>SUMIF(aquaculture_production_w!$C$7:$C$598,A17,aquaculture_production_w!$D$7:$D$598)</f>
        <v>588010.54999999993</v>
      </c>
      <c r="G17" s="2">
        <f>VLOOKUP(A17,aquaculture_yields!$A$7:$H$46,8,FALSE)</f>
        <v>0.15160722480964312</v>
      </c>
      <c r="H17" s="54">
        <f t="shared" si="0"/>
        <v>5.1029359228699431E-2</v>
      </c>
      <c r="I17" s="222">
        <f>IFERROR(VLOOKUP(A17,aquaculture_yields!$A$7:$I$46,9,FALSE)*F17/(F17+B17),0)</f>
        <v>0.30218323315440637</v>
      </c>
    </row>
    <row r="18" spans="1:9">
      <c r="A18" s="14" t="s">
        <v>3787</v>
      </c>
      <c r="B18" s="25">
        <f>SUMIF(fish_efp!$N$7:$N$2327,A18,fish_efp!$Q$7:$Q$2327)</f>
        <v>162251</v>
      </c>
      <c r="C18" s="43">
        <f t="array" ref="C18">IF(ISERROR(1+LOG(SUM(IF(fish_efp!$N$7:$N$2327=A18,fish_efp!$Q$7:$Q$2327*fish_efp!$S$7:$S$2327,0))*9/(SUM(IF(fish_efp!$N$7:$N$2327=A18,fish_efp!$Q$7:$Q$2327,0))*cnst_fish!$C$7),1/cnst_fish!$C$8)),0,1+LOG(SUM(IF(fish_efp!$N$7:$N$2327=A18,fish_efp!$Q$7:$Q$2327*fish_efp!$S$7:$S$2327,0))*9/(SUM(IF(fish_efp!$N$7:$N$2327=A18,fish_efp!$Q$7:$Q$2327,0))*cnst_fish!$C$7),1/cnst_fish!$C$8))</f>
        <v>4.4539002425574958</v>
      </c>
      <c r="D18" s="2">
        <f>IF(C18=0,0,(1/9)*cnst_fish!$C$7*(1/cnst_fish!$C$8)^(C18-1))</f>
        <v>401.04981932591471</v>
      </c>
      <c r="E18" s="2">
        <f>IF(ISERROR((1/D18)*cnst_fish!$C$6),0,(1/D18)*cnst_fish!$C$6)</f>
        <v>1.0597187170270786E-2</v>
      </c>
      <c r="F18" s="678">
        <f>SUMIF(aquaculture_production_w!$C$7:$C$598,A18,aquaculture_production_w!$D$7:$D$598)</f>
        <v>1842.71</v>
      </c>
      <c r="G18" s="2">
        <f>VLOOKUP(A18,aquaculture_yields!$A$7:$H$46,8,FALSE)</f>
        <v>0.40302106824326928</v>
      </c>
      <c r="H18" s="54">
        <f t="shared" si="0"/>
        <v>1.0714341466813734E-2</v>
      </c>
      <c r="I18" s="222">
        <f>IFERROR(VLOOKUP(A18,aquaculture_yields!$A$7:$I$46,9,FALSE)*F18/(F18+B18),0)</f>
        <v>8.0905432221629325E-3</v>
      </c>
    </row>
    <row r="19" spans="1:9">
      <c r="A19" s="14" t="s">
        <v>600</v>
      </c>
      <c r="B19" s="25">
        <f>SUMIF(fish_efp!$N$7:$N$2327,A19,fish_efp!$Q$7:$Q$2327)</f>
        <v>316412</v>
      </c>
      <c r="C19" s="43">
        <f t="array" ref="C19">IF(ISERROR(1+LOG(SUM(IF(fish_efp!$N$7:$N$2327=A19,fish_efp!$Q$7:$Q$2327*fish_efp!$S$7:$S$2327,0))*9/(SUM(IF(fish_efp!$N$7:$N$2327=A19,fish_efp!$Q$7:$Q$2327,0))*cnst_fish!$C$7),1/cnst_fish!$C$8)),0,1+LOG(SUM(IF(fish_efp!$N$7:$N$2327=A19,fish_efp!$Q$7:$Q$2327*fish_efp!$S$7:$S$2327,0))*9/(SUM(IF(fish_efp!$N$7:$N$2327=A19,fish_efp!$Q$7:$Q$2327,0))*cnst_fish!$C$7),1/cnst_fish!$C$8))</f>
        <v>4.09</v>
      </c>
      <c r="D19" s="2">
        <f>IF(C19=0,0,(1/9)*cnst_fish!$C$7*(1/cnst_fish!$C$8)^(C19-1))</f>
        <v>173.49944203764363</v>
      </c>
      <c r="E19" s="2">
        <f>IF(ISERROR((1/D19)*cnst_fish!$C$6),0,(1/D19)*cnst_fish!$C$6)</f>
        <v>2.4495756009854434E-2</v>
      </c>
      <c r="F19" s="678">
        <f>SUMIF(aquaculture_production_w!$C$7:$C$598,A19,aquaculture_production_w!$D$7:$D$598)</f>
        <v>0</v>
      </c>
      <c r="G19" s="2">
        <f>VLOOKUP(A19,aquaculture_yields!$A$7:$H$46,8,FALSE)</f>
        <v>0.40302106824326928</v>
      </c>
      <c r="H19" s="54">
        <f t="shared" si="0"/>
        <v>2.4495756009854434E-2</v>
      </c>
      <c r="I19" s="222">
        <f>IFERROR(VLOOKUP(A19,aquaculture_yields!$A$7:$I$46,9,FALSE)*F19/(F19+B19),0)</f>
        <v>0</v>
      </c>
    </row>
    <row r="20" spans="1:9">
      <c r="A20" s="14" t="s">
        <v>3788</v>
      </c>
      <c r="B20" s="25">
        <f>SUMIF(fish_efp!$N$7:$N$2327,A20,fish_efp!$Q$7:$Q$2327)</f>
        <v>1380769.28</v>
      </c>
      <c r="C20" s="43">
        <f t="array" ref="C20">IF(ISERROR(1+LOG(SUM(IF(fish_efp!$N$7:$N$2327=A20,fish_efp!$Q$7:$Q$2327*fish_efp!$S$7:$S$2327,0))*9/(SUM(IF(fish_efp!$N$7:$N$2327=A20,fish_efp!$Q$7:$Q$2327,0))*cnst_fish!$C$7),1/cnst_fish!$C$8)),0,1+LOG(SUM(IF(fish_efp!$N$7:$N$2327=A20,fish_efp!$Q$7:$Q$2327*fish_efp!$S$7:$S$2327,0))*9/(SUM(IF(fish_efp!$N$7:$N$2327=A20,fish_efp!$Q$7:$Q$2327,0))*cnst_fish!$C$7),1/cnst_fish!$C$8))</f>
        <v>4.3143631509458658</v>
      </c>
      <c r="D20" s="2">
        <f>IF(C20=0,0,(1/9)*cnst_fish!$C$7*(1/cnst_fish!$C$8)^(C20-1))</f>
        <v>290.84475308096586</v>
      </c>
      <c r="E20" s="2">
        <f>IF(ISERROR((1/D20)*cnst_fish!$C$6),0,(1/D20)*cnst_fish!$C$6)</f>
        <v>1.461260674287247E-2</v>
      </c>
      <c r="F20" s="678">
        <f>SUMIF(aquaculture_production_w!$C$7:$C$598,A20,aquaculture_production_w!$D$7:$D$598)</f>
        <v>0</v>
      </c>
      <c r="G20" s="2">
        <f>VLOOKUP(A20,aquaculture_yields!$A$7:$H$46,8,FALSE)</f>
        <v>0</v>
      </c>
      <c r="H20" s="54">
        <f t="shared" si="0"/>
        <v>1.461260674287247E-2</v>
      </c>
      <c r="I20" s="222">
        <f>IFERROR(VLOOKUP(A20,aquaculture_yields!$A$7:$I$46,9,FALSE)*F20/(F20+B20),0)</f>
        <v>0</v>
      </c>
    </row>
    <row r="21" spans="1:9">
      <c r="A21" s="14" t="s">
        <v>3789</v>
      </c>
      <c r="B21" s="25">
        <f>SUMIF(fish_efp!$N$7:$N$2327,A21,fish_efp!$Q$7:$Q$2327)</f>
        <v>2281025.2999999998</v>
      </c>
      <c r="C21" s="43">
        <f t="array" ref="C21">IF(ISERROR(1+LOG(SUM(IF(fish_efp!$N$7:$N$2327=A21,fish_efp!$Q$7:$Q$2327*fish_efp!$S$7:$S$2327,0))*9/(SUM(IF(fish_efp!$N$7:$N$2327=A21,fish_efp!$Q$7:$Q$2327,0))*cnst_fish!$C$7),1/cnst_fish!$C$8)),0,1+LOG(SUM(IF(fish_efp!$N$7:$N$2327=A21,fish_efp!$Q$7:$Q$2327*fish_efp!$S$7:$S$2327,0))*9/(SUM(IF(fish_efp!$N$7:$N$2327=A21,fish_efp!$Q$7:$Q$2327,0))*cnst_fish!$C$7),1/cnst_fish!$C$8))</f>
        <v>3.2150414879518534</v>
      </c>
      <c r="D21" s="2">
        <f>IF(C21=0,0,(1/9)*cnst_fish!$C$7*(1/cnst_fish!$C$8)^(C21-1))</f>
        <v>23.138732769465715</v>
      </c>
      <c r="E21" s="2">
        <f>IF(ISERROR((1/D21)*cnst_fish!$C$6),0,(1/D21)*cnst_fish!$C$6)</f>
        <v>0.18367470865164995</v>
      </c>
      <c r="F21" s="678">
        <f>SUMIF(aquaculture_production_w!$C$7:$C$598,A21,aquaculture_production_w!$D$7:$D$598)</f>
        <v>0</v>
      </c>
      <c r="G21" s="2">
        <f>VLOOKUP(A21,aquaculture_yields!$A$7:$H$46,8,FALSE)</f>
        <v>0</v>
      </c>
      <c r="H21" s="54">
        <f t="shared" si="0"/>
        <v>0.18367470865164995</v>
      </c>
      <c r="I21" s="222">
        <f>IFERROR(VLOOKUP(A21,aquaculture_yields!$A$7:$I$46,9,FALSE)*F21/(F21+B21),0)</f>
        <v>0</v>
      </c>
    </row>
    <row r="22" spans="1:9">
      <c r="A22" s="14" t="s">
        <v>3790</v>
      </c>
      <c r="B22" s="25">
        <f>SUMIF(fish_efp!$N$7:$N$2327,A22,fish_efp!$Q$7:$Q$2327)</f>
        <v>232107</v>
      </c>
      <c r="C22" s="43">
        <f t="array" ref="C22">IF(ISERROR(1+LOG(SUM(IF(fish_efp!$N$7:$N$2327=A22,fish_efp!$Q$7:$Q$2327*fish_efp!$S$7:$S$2327,0))*9/(SUM(IF(fish_efp!$N$7:$N$2327=A22,fish_efp!$Q$7:$Q$2327,0))*cnst_fish!$C$7),1/cnst_fish!$C$8)),0,1+LOG(SUM(IF(fish_efp!$N$7:$N$2327=A22,fish_efp!$Q$7:$Q$2327*fish_efp!$S$7:$S$2327,0))*9/(SUM(IF(fish_efp!$N$7:$N$2327=A22,fish_efp!$Q$7:$Q$2327,0))*cnst_fish!$C$7),1/cnst_fish!$C$8))</f>
        <v>3.2742896680285543</v>
      </c>
      <c r="D22" s="2">
        <f>IF(C22=0,0,(1/9)*cnst_fish!$C$7*(1/cnst_fish!$C$8)^(C22-1))</f>
        <v>26.520869009505589</v>
      </c>
      <c r="E22" s="2">
        <f>IF(ISERROR((1/D22)*cnst_fish!$C$6),0,(1/D22)*cnst_fish!$C$6)</f>
        <v>0.16025115913346274</v>
      </c>
      <c r="F22" s="678">
        <f>SUMIF(aquaculture_production_w!$C$7:$C$598,A22,aquaculture_production_w!$D$7:$D$598)</f>
        <v>57.76</v>
      </c>
      <c r="G22" s="2">
        <f>VLOOKUP(A22,aquaculture_yields!$A$7:$H$46,8,FALSE)</f>
        <v>0.40302106824326928</v>
      </c>
      <c r="H22" s="54">
        <f t="shared" si="0"/>
        <v>0.16027517864994512</v>
      </c>
      <c r="I22" s="222">
        <f>IFERROR(VLOOKUP(A22,aquaculture_yields!$A$7:$I$46,9,FALSE)*F22/(F22+B22),0)</f>
        <v>1.7924353854261319E-4</v>
      </c>
    </row>
    <row r="23" spans="1:9">
      <c r="A23" s="14" t="s">
        <v>2312</v>
      </c>
      <c r="B23" s="25">
        <f>SUMIF(fish_efp!$N$7:$N$2327,A23,fish_efp!$Q$7:$Q$2327)</f>
        <v>81634.31</v>
      </c>
      <c r="C23" s="43">
        <f t="array" ref="C23">IF(ISERROR(1+LOG(SUM(IF(fish_efp!$N$7:$N$2327=A23,fish_efp!$Q$7:$Q$2327*fish_efp!$S$7:$S$2327,0))*9/(SUM(IF(fish_efp!$N$7:$N$2327=A23,fish_efp!$Q$7:$Q$2327,0))*cnst_fish!$C$7),1/cnst_fish!$C$8)),0,1+LOG(SUM(IF(fish_efp!$N$7:$N$2327=A23,fish_efp!$Q$7:$Q$2327*fish_efp!$S$7:$S$2327,0))*9/(SUM(IF(fish_efp!$N$7:$N$2327=A23,fish_efp!$Q$7:$Q$2327,0))*cnst_fish!$C$7),1/cnst_fish!$C$8))</f>
        <v>3.0140103373403129</v>
      </c>
      <c r="D23" s="2">
        <f>IF(C23=0,0,(1/9)*cnst_fish!$C$7*(1/cnst_fish!$C$8)^(C23-1))</f>
        <v>14.564930606578741</v>
      </c>
      <c r="E23" s="2">
        <f>IF(ISERROR((1/D23)*cnst_fish!$C$6),0,(1/D23)*cnst_fish!$C$6)</f>
        <v>0.29179679016667226</v>
      </c>
      <c r="F23" s="678">
        <f>SUMIF(aquaculture_production_w!$C$7:$C$598,A23,aquaculture_production_w!$D$7:$D$598)</f>
        <v>1694.26</v>
      </c>
      <c r="G23" s="2">
        <f>VLOOKUP(A23,aquaculture_yields!$A$7:$H$46,8,FALSE)</f>
        <v>0.40302106824326928</v>
      </c>
      <c r="H23" s="54">
        <f t="shared" si="0"/>
        <v>0.29344336803250265</v>
      </c>
      <c r="I23" s="222">
        <f>IFERROR(VLOOKUP(A23,aquaculture_yields!$A$7:$I$46,9,FALSE)*F23/(F23+B23),0)</f>
        <v>1.4648688786994607E-2</v>
      </c>
    </row>
    <row r="24" spans="1:9">
      <c r="A24" s="14" t="s">
        <v>2313</v>
      </c>
      <c r="B24" s="25">
        <f>SUMIF(fish_efp!$N$7:$N$2327,A24,fish_efp!$Q$7:$Q$2327)</f>
        <v>6563560.9600000009</v>
      </c>
      <c r="C24" s="43">
        <f t="array" ref="C24">IF(ISERROR(1+LOG(SUM(IF(fish_efp!$N$7:$N$2327=A24,fish_efp!$Q$7:$Q$2327*fish_efp!$S$7:$S$2327,0))*9/(SUM(IF(fish_efp!$N$7:$N$2327=A24,fish_efp!$Q$7:$Q$2327,0))*cnst_fish!$C$7),1/cnst_fish!$C$8)),0,1+LOG(SUM(IF(fish_efp!$N$7:$N$2327=A24,fish_efp!$Q$7:$Q$2327*fish_efp!$S$7:$S$2327,0))*9/(SUM(IF(fish_efp!$N$7:$N$2327=A24,fish_efp!$Q$7:$Q$2327,0))*cnst_fish!$C$7),1/cnst_fish!$C$8))</f>
        <v>3.7002785296324903</v>
      </c>
      <c r="D24" s="2">
        <f>IF(C24=0,0,(1/9)*cnst_fish!$C$7*(1/cnst_fish!$C$8)^(C24-1))</f>
        <v>70.725595378626011</v>
      </c>
      <c r="E24" s="2">
        <f>IF(ISERROR((1/D24)*cnst_fish!$C$6),0,(1/D24)*cnst_fish!$C$6)</f>
        <v>6.009139940424444E-2</v>
      </c>
      <c r="F24" s="678">
        <f>SUMIF(aquaculture_production_w!$C$7:$C$598,A24,aquaculture_production_w!$D$7:$D$598)</f>
        <v>1178</v>
      </c>
      <c r="G24" s="2">
        <f>VLOOKUP(A24,aquaculture_yields!$A$7:$H$46,8,FALSE)</f>
        <v>0.40302106824326928</v>
      </c>
      <c r="H24" s="54">
        <f t="shared" si="0"/>
        <v>6.0100576045917259E-2</v>
      </c>
      <c r="I24" s="222">
        <f>IFERROR(VLOOKUP(A24,aquaculture_yields!$A$7:$I$46,9,FALSE)*F24/(F24+B24),0)</f>
        <v>1.2928271167113837E-4</v>
      </c>
    </row>
    <row r="25" spans="1:9">
      <c r="A25" s="14" t="s">
        <v>2314</v>
      </c>
      <c r="B25" s="25">
        <f>SUMIF(fish_efp!$N$7:$N$2327,A25,fish_efp!$Q$7:$Q$2327)</f>
        <v>87826.29</v>
      </c>
      <c r="C25" s="43">
        <f t="array" ref="C25">IF(ISERROR(1+LOG(SUM(IF(fish_efp!$N$7:$N$2327=A25,fish_efp!$Q$7:$Q$2327*fish_efp!$S$7:$S$2327,0))*9/(SUM(IF(fish_efp!$N$7:$N$2327=A25,fish_efp!$Q$7:$Q$2327,0))*cnst_fish!$C$7),1/cnst_fish!$C$8)),0,1+LOG(SUM(IF(fish_efp!$N$7:$N$2327=A25,fish_efp!$Q$7:$Q$2327*fish_efp!$S$7:$S$2327,0))*9/(SUM(IF(fish_efp!$N$7:$N$2327=A25,fish_efp!$Q$7:$Q$2327,0))*cnst_fish!$C$7),1/cnst_fish!$C$8))</f>
        <v>2.2368417890236243</v>
      </c>
      <c r="D25" s="2">
        <f>IF(C25=0,0,(1/9)*cnst_fish!$C$7*(1/cnst_fish!$C$8)^(C25-1))</f>
        <v>2.4329874654724275</v>
      </c>
      <c r="E25" s="2">
        <f>IF(ISERROR((1/D25)*cnst_fish!$C$6),0,(1/D25)*cnst_fish!$C$6)</f>
        <v>1.7468236315696564</v>
      </c>
      <c r="F25" s="678">
        <f>SUMIF(aquaculture_production_w!$C$7:$C$598,A25,aquaculture_production_w!$D$7:$D$598)</f>
        <v>2092398.46</v>
      </c>
      <c r="G25" s="2">
        <f>VLOOKUP(A25,aquaculture_yields!$A$7:$H$46,8,FALSE)</f>
        <v>0.40302106824326928</v>
      </c>
      <c r="H25" s="54">
        <f t="shared" si="0"/>
        <v>0.41590975856716078</v>
      </c>
      <c r="I25" s="222">
        <f>IFERROR(VLOOKUP(A25,aquaculture_yields!$A$7:$I$46,9,FALSE)*F25/(F25+B25),0)</f>
        <v>0.69144199020634201</v>
      </c>
    </row>
    <row r="26" spans="1:9">
      <c r="A26" s="14" t="s">
        <v>1449</v>
      </c>
      <c r="B26" s="25">
        <f>SUMIF(fish_efp!$N$7:$N$2327,A26,fish_efp!$Q$7:$Q$2327)</f>
        <v>333.56</v>
      </c>
      <c r="C26" s="43">
        <f t="array" ref="C26">IF(ISERROR(1+LOG(SUM(IF(fish_efp!$N$7:$N$2327=A26,fish_efp!$Q$7:$Q$2327*fish_efp!$S$7:$S$2327,0))*9/(SUM(IF(fish_efp!$N$7:$N$2327=A26,fish_efp!$Q$7:$Q$2327,0))*cnst_fish!$C$7),1/cnst_fish!$C$8)),0,1+LOG(SUM(IF(fish_efp!$N$7:$N$2327=A26,fish_efp!$Q$7:$Q$2327*fish_efp!$S$7:$S$2327,0))*9/(SUM(IF(fish_efp!$N$7:$N$2327=A26,fish_efp!$Q$7:$Q$2327,0))*cnst_fish!$C$7),1/cnst_fish!$C$8))</f>
        <v>2.2172592079558209</v>
      </c>
      <c r="D26" s="2">
        <f>IF(C26=0,0,(1/9)*cnst_fish!$C$7*(1/cnst_fish!$C$8)^(C26-1))</f>
        <v>2.3257192653960375</v>
      </c>
      <c r="E26" s="2">
        <f>IF(ISERROR((1/D26)*cnst_fish!$C$6),0,(1/D26)*cnst_fish!$C$6)</f>
        <v>1.8273916646927224</v>
      </c>
      <c r="F26" s="678">
        <f>SUMIF(aquaculture_production_w!$C$7:$C$598,A26,aquaculture_production_w!$D$7:$D$598)</f>
        <v>0</v>
      </c>
      <c r="G26" s="2">
        <f>VLOOKUP(A26,aquaculture_yields!$A$7:$H$46,8,FALSE)</f>
        <v>0</v>
      </c>
      <c r="H26" s="54">
        <f t="shared" si="0"/>
        <v>1.8273916646927224</v>
      </c>
      <c r="I26" s="222">
        <f>IFERROR(VLOOKUP(A26,aquaculture_yields!$A$7:$I$46,9,FALSE)*F26/(F26+B26),0)</f>
        <v>0</v>
      </c>
    </row>
    <row r="27" spans="1:9">
      <c r="A27" s="14" t="s">
        <v>2315</v>
      </c>
      <c r="B27" s="25">
        <f>SUMIF(fish_efp!$N$7:$N$2327,A27,fish_efp!$Q$7:$Q$2327)</f>
        <v>376923.35</v>
      </c>
      <c r="C27" s="43">
        <f t="array" ref="C27">IF(ISERROR(1+LOG(SUM(IF(fish_efp!$N$7:$N$2327=A27,fish_efp!$Q$7:$Q$2327*fish_efp!$S$7:$S$2327,0))*9/(SUM(IF(fish_efp!$N$7:$N$2327=A27,fish_efp!$Q$7:$Q$2327,0))*cnst_fish!$C$7),1/cnst_fish!$C$8)),0,1+LOG(SUM(IF(fish_efp!$N$7:$N$2327=A27,fish_efp!$Q$7:$Q$2327*fish_efp!$S$7:$S$2327,0))*9/(SUM(IF(fish_efp!$N$7:$N$2327=A27,fish_efp!$Q$7:$Q$2327,0))*cnst_fish!$C$7),1/cnst_fish!$C$8))</f>
        <v>3.2858141564463827</v>
      </c>
      <c r="D27" s="2">
        <f>IF(C27=0,0,(1/9)*cnst_fish!$C$7*(1/cnst_fish!$C$8)^(C27-1))</f>
        <v>27.234050529863296</v>
      </c>
      <c r="E27" s="2">
        <f>IF(ISERROR((1/D27)*cnst_fish!$C$6),0,(1/D27)*cnst_fish!$C$6)</f>
        <v>0.1560546417926226</v>
      </c>
      <c r="F27" s="678">
        <f>SUMIF(aquaculture_production_w!$C$7:$C$598,A27,aquaculture_production_w!$D$7:$D$598)</f>
        <v>0.84</v>
      </c>
      <c r="G27" s="2">
        <f>VLOOKUP(A27,aquaculture_yields!$A$7:$H$46,8,FALSE)</f>
        <v>0.40302106824326928</v>
      </c>
      <c r="H27" s="54">
        <f t="shared" si="0"/>
        <v>0.15605485490698934</v>
      </c>
      <c r="I27" s="222">
        <f>IFERROR(VLOOKUP(A27,aquaculture_yields!$A$7:$I$46,9,FALSE)*F27/(F27+B27),0)</f>
        <v>1.6056019969687407E-6</v>
      </c>
    </row>
    <row r="28" spans="1:9">
      <c r="A28" s="14" t="s">
        <v>2316</v>
      </c>
      <c r="B28" s="25">
        <f>SUMIF(fish_efp!$N$7:$N$2327,A28,fish_efp!$Q$7:$Q$2327)</f>
        <v>145876</v>
      </c>
      <c r="C28" s="43">
        <f t="array" ref="C28">IF(ISERROR(1+LOG(SUM(IF(fish_efp!$N$7:$N$2327=A28,fish_efp!$Q$7:$Q$2327*fish_efp!$S$7:$S$2327,0))*9/(SUM(IF(fish_efp!$N$7:$N$2327=A28,fish_efp!$Q$7:$Q$2327,0))*cnst_fish!$C$7),1/cnst_fish!$C$8)),0,1+LOG(SUM(IF(fish_efp!$N$7:$N$2327=A28,fish_efp!$Q$7:$Q$2327*fish_efp!$S$7:$S$2327,0))*9/(SUM(IF(fish_efp!$N$7:$N$2327=A28,fish_efp!$Q$7:$Q$2327,0))*cnst_fish!$C$7),1/cnst_fish!$C$8))</f>
        <v>2.0999999999999996</v>
      </c>
      <c r="D28" s="2">
        <f>IF(C28=0,0,(1/9)*cnst_fish!$C$7*(1/cnst_fish!$C$8)^(C28-1))</f>
        <v>1.7754076320174135</v>
      </c>
      <c r="E28" s="2">
        <f>IF(ISERROR((1/D28)*cnst_fish!$C$6),0,(1/D28)*cnst_fish!$C$6)</f>
        <v>2.3938164528281782</v>
      </c>
      <c r="F28" s="678">
        <f>SUMIF(aquaculture_production_w!$C$7:$C$598,A28,aquaculture_production_w!$D$7:$D$598)</f>
        <v>6022844.46</v>
      </c>
      <c r="G28" s="2">
        <f>VLOOKUP(A28,aquaculture_yields!$A$7:$H$46,8,FALSE)</f>
        <v>0.40302106824326928</v>
      </c>
      <c r="H28" s="54">
        <f t="shared" si="0"/>
        <v>0.41110603779551186</v>
      </c>
      <c r="I28" s="222">
        <f>IFERROR(VLOOKUP(A28,aquaculture_yields!$A$7:$I$46,9,FALSE)*F28/(F28+B28),0)</f>
        <v>0.7034272382172555</v>
      </c>
    </row>
    <row r="29" spans="1:9">
      <c r="A29" s="14" t="s">
        <v>2317</v>
      </c>
      <c r="B29" s="25">
        <f>SUMIF(fish_efp!$N$7:$N$2327,A29,fish_efp!$Q$7:$Q$2327)</f>
        <v>89563</v>
      </c>
      <c r="C29" s="43">
        <f t="array" ref="C29">IF(ISERROR(1+LOG(SUM(IF(fish_efp!$N$7:$N$2327=A29,fish_efp!$Q$7:$Q$2327*fish_efp!$S$7:$S$2327,0))*9/(SUM(IF(fish_efp!$N$7:$N$2327=A29,fish_efp!$Q$7:$Q$2327,0))*cnst_fish!$C$7),1/cnst_fish!$C$8)),0,1+LOG(SUM(IF(fish_efp!$N$7:$N$2327=A29,fish_efp!$Q$7:$Q$2327*fish_efp!$S$7:$S$2327,0))*9/(SUM(IF(fish_efp!$N$7:$N$2327=A29,fish_efp!$Q$7:$Q$2327,0))*cnst_fish!$C$7),1/cnst_fish!$C$8))</f>
        <v>3.26</v>
      </c>
      <c r="D29" s="2">
        <f>IF(C29=0,0,(1/9)*cnst_fish!$C$7*(1/cnst_fish!$C$8)^(C29-1))</f>
        <v>25.662448006038215</v>
      </c>
      <c r="E29" s="2">
        <f>IF(ISERROR((1/D29)*cnst_fish!$C$6),0,(1/D29)*cnst_fish!$C$6)</f>
        <v>0.16561163607618423</v>
      </c>
      <c r="F29" s="678">
        <f>SUMIF(aquaculture_production_w!$C$7:$C$598,A29,aquaculture_production_w!$D$7:$D$598)</f>
        <v>17315</v>
      </c>
      <c r="G29" s="2">
        <f>VLOOKUP(A29,aquaculture_yields!$A$7:$H$46,8,FALSE)</f>
        <v>0.40302106824326928</v>
      </c>
      <c r="H29" s="54">
        <f t="shared" si="0"/>
        <v>0.18308413887725261</v>
      </c>
      <c r="I29" s="222">
        <f>IFERROR(VLOOKUP(A29,aquaculture_yields!$A$7:$I$46,9,FALSE)*F29/(F29+B29),0)</f>
        <v>0.11672040918506685</v>
      </c>
    </row>
    <row r="30" spans="1:9">
      <c r="A30" s="14" t="s">
        <v>3791</v>
      </c>
      <c r="B30" s="25">
        <f>SUMIF(fish_efp!$N$7:$N$2327,A30,fish_efp!$Q$7:$Q$2327)</f>
        <v>1092229.98</v>
      </c>
      <c r="C30" s="43">
        <f t="array" ref="C30">IF(ISERROR(1+LOG(SUM(IF(fish_efp!$N$7:$N$2327=A30,fish_efp!$Q$7:$Q$2327*fish_efp!$S$7:$S$2327,0))*9/(SUM(IF(fish_efp!$N$7:$N$2327=A30,fish_efp!$Q$7:$Q$2327,0))*cnst_fish!$C$7),1/cnst_fish!$C$8)),0,1+LOG(SUM(IF(fish_efp!$N$7:$N$2327=A30,fish_efp!$Q$7:$Q$2327*fish_efp!$S$7:$S$2327,0))*9/(SUM(IF(fish_efp!$N$7:$N$2327=A30,fish_efp!$Q$7:$Q$2327,0))*cnst_fish!$C$7),1/cnst_fish!$C$8))</f>
        <v>4.0227783442596223</v>
      </c>
      <c r="D30" s="2">
        <f>IF(C30=0,0,(1/9)*cnst_fish!$C$7*(1/cnst_fish!$C$8)^(C30-1))</f>
        <v>148.61971588295478</v>
      </c>
      <c r="E30" s="2">
        <f>IF(ISERROR((1/D30)*cnst_fish!$C$6),0,(1/D30)*cnst_fish!$C$6)</f>
        <v>2.8596475068940926E-2</v>
      </c>
      <c r="F30" s="678">
        <f>SUMIF(aquaculture_production_w!$C$7:$C$598,A30,aquaculture_production_w!$D$7:$D$598)</f>
        <v>2430081.09</v>
      </c>
      <c r="G30" s="2">
        <f>VLOOKUP(A30,aquaculture_yields!$A$7:$H$46,8,FALSE)</f>
        <v>0.22831583687957682</v>
      </c>
      <c r="H30" s="54">
        <f t="shared" si="0"/>
        <v>7.2122236327625946E-2</v>
      </c>
      <c r="I30" s="222">
        <f>IFERROR(VLOOKUP(A30,aquaculture_yields!$A$7:$I$46,9,FALSE)*F30/(F30+B30),0)</f>
        <v>0.41367897697444916</v>
      </c>
    </row>
    <row r="31" spans="1:9">
      <c r="A31" s="14" t="s">
        <v>2318</v>
      </c>
      <c r="B31" s="25">
        <f>SUMIF(fish_efp!$N$7:$N$2327,A31,fish_efp!$Q$7:$Q$2327)</f>
        <v>728959</v>
      </c>
      <c r="C31" s="43">
        <f t="array" ref="C31">IF(ISERROR(1+LOG(SUM(IF(fish_efp!$N$7:$N$2327=A31,fish_efp!$Q$7:$Q$2327*fish_efp!$S$7:$S$2327,0))*9/(SUM(IF(fish_efp!$N$7:$N$2327=A31,fish_efp!$Q$7:$Q$2327,0))*cnst_fish!$C$7),1/cnst_fish!$C$8)),0,1+LOG(SUM(IF(fish_efp!$N$7:$N$2327=A31,fish_efp!$Q$7:$Q$2327*fish_efp!$S$7:$S$2327,0))*9/(SUM(IF(fish_efp!$N$7:$N$2327=A31,fish_efp!$Q$7:$Q$2327,0))*cnst_fish!$C$7),1/cnst_fish!$C$8))</f>
        <v>2.1</v>
      </c>
      <c r="D31" s="2">
        <f>IF(C31=0,0,(1/9)*cnst_fish!$C$7*(1/cnst_fish!$C$8)^(C31-1))</f>
        <v>1.7754076320174161</v>
      </c>
      <c r="E31" s="2">
        <f>IF(ISERROR((1/D31)*cnst_fish!$C$6),0,(1/D31)*cnst_fish!$C$6)</f>
        <v>2.3938164528281742</v>
      </c>
      <c r="F31" s="678">
        <f>SUMIF(aquaculture_production_w!$C$7:$C$598,A31,aquaculture_production_w!$D$7:$D$598)</f>
        <v>1938025.72</v>
      </c>
      <c r="G31" s="2">
        <f>VLOOKUP(A31,aquaculture_yields!$A$7:$H$46,8,FALSE)</f>
        <v>0.40302106824326928</v>
      </c>
      <c r="H31" s="54">
        <f t="shared" si="0"/>
        <v>0.52158176823995928</v>
      </c>
      <c r="I31" s="222">
        <f>IFERROR(VLOOKUP(A31,aquaculture_yields!$A$7:$I$46,9,FALSE)*F31/(F31+B31),0)</f>
        <v>0.523542126522486</v>
      </c>
    </row>
    <row r="32" spans="1:9">
      <c r="A32" s="14" t="s">
        <v>2319</v>
      </c>
      <c r="B32" s="25">
        <f>SUMIF(fish_efp!$N$7:$N$2327,A32,fish_efp!$Q$7:$Q$2327)</f>
        <v>87966.28</v>
      </c>
      <c r="C32" s="43">
        <f t="array" ref="C32">IF(ISERROR(1+LOG(SUM(IF(fish_efp!$N$7:$N$2327=A32,fish_efp!$Q$7:$Q$2327*fish_efp!$S$7:$S$2327,0))*9/(SUM(IF(fish_efp!$N$7:$N$2327=A32,fish_efp!$Q$7:$Q$2327,0))*cnst_fish!$C$7),1/cnst_fish!$C$8)),0,1+LOG(SUM(IF(fish_efp!$N$7:$N$2327=A32,fish_efp!$Q$7:$Q$2327*fish_efp!$S$7:$S$2327,0))*9/(SUM(IF(fish_efp!$N$7:$N$2327=A32,fish_efp!$Q$7:$Q$2327,0))*cnst_fish!$C$7),1/cnst_fish!$C$8))</f>
        <v>3.8807696027922707</v>
      </c>
      <c r="D32" s="2">
        <f>IF(C32=0,0,(1/9)*cnst_fish!$C$7*(1/cnst_fish!$C$8)^(C32-1))</f>
        <v>107.16863156826726</v>
      </c>
      <c r="E32" s="2">
        <f>IF(ISERROR((1/D32)*cnst_fish!$C$6),0,(1/D32)*cnst_fish!$C$6)</f>
        <v>3.9657126696562475E-2</v>
      </c>
      <c r="F32" s="678">
        <f>SUMIF(aquaculture_production_w!$C$7:$C$598,A32,aquaculture_production_w!$D$7:$D$598)</f>
        <v>848771.51</v>
      </c>
      <c r="G32" s="2">
        <f>VLOOKUP(A32,aquaculture_yields!$A$7:$H$46,8,FALSE)</f>
        <v>0.40302106824326928</v>
      </c>
      <c r="H32" s="54">
        <f t="shared" si="0"/>
        <v>0.21662716918654429</v>
      </c>
      <c r="I32" s="222">
        <f>IFERROR(VLOOKUP(A32,aquaculture_yields!$A$7:$I$46,9,FALSE)*F32/(F32+B32),0)</f>
        <v>0.65280786235921129</v>
      </c>
    </row>
    <row r="33" spans="1:9">
      <c r="A33" s="14" t="s">
        <v>2320</v>
      </c>
      <c r="B33" s="25">
        <f>SUMIF(fish_efp!$N$7:$N$2327,A33,fish_efp!$Q$7:$Q$2327)</f>
        <v>3375862.0399999996</v>
      </c>
      <c r="C33" s="43">
        <f t="array" ref="C33">IF(ISERROR(1+LOG(SUM(IF(fish_efp!$N$7:$N$2327=A33,fish_efp!$Q$7:$Q$2327*fish_efp!$S$7:$S$2327,0))*9/(SUM(IF(fish_efp!$N$7:$N$2327=A33,fish_efp!$Q$7:$Q$2327,0))*cnst_fish!$C$7),1/cnst_fish!$C$8)),0,1+LOG(SUM(IF(fish_efp!$N$7:$N$2327=A33,fish_efp!$Q$7:$Q$2327*fish_efp!$S$7:$S$2327,0))*9/(SUM(IF(fish_efp!$N$7:$N$2327=A33,fish_efp!$Q$7:$Q$2327,0))*cnst_fish!$C$7),1/cnst_fish!$C$8))</f>
        <v>4.356308983261524</v>
      </c>
      <c r="D33" s="2">
        <f>IF(C33=0,0,(1/9)*cnst_fish!$C$7*(1/cnst_fish!$C$8)^(C33-1))</f>
        <v>320.33697174695175</v>
      </c>
      <c r="E33" s="2">
        <f>IF(ISERROR((1/D33)*cnst_fish!$C$6),0,(1/D33)*cnst_fish!$C$6)</f>
        <v>1.3267279068109759E-2</v>
      </c>
      <c r="F33" s="678">
        <f>SUMIF(aquaculture_production_w!$C$7:$C$598,A33,aquaculture_production_w!$D$7:$D$598)</f>
        <v>138229</v>
      </c>
      <c r="G33" s="2">
        <f>VLOOKUP(A33,aquaculture_yields!$A$7:$H$46,8,FALSE)</f>
        <v>0.40302106824326928</v>
      </c>
      <c r="H33" s="54">
        <f t="shared" si="0"/>
        <v>1.3791934206371894E-2</v>
      </c>
      <c r="I33" s="222">
        <f>IFERROR(VLOOKUP(A33,aquaculture_yields!$A$7:$I$46,9,FALSE)*F33/(F33+B33),0)</f>
        <v>2.8339930531645952E-2</v>
      </c>
    </row>
    <row r="34" spans="1:9">
      <c r="A34" s="14" t="s">
        <v>2321</v>
      </c>
      <c r="B34" s="25">
        <f>SUMIF(fish_efp!$N$7:$N$2327,A34,fish_efp!$Q$7:$Q$2327)</f>
        <v>5073357.24</v>
      </c>
      <c r="C34" s="43">
        <f t="array" ref="C34">IF(ISERROR(1+LOG(SUM(IF(fish_efp!$N$7:$N$2327=A34,fish_efp!$Q$7:$Q$2327*fish_efp!$S$7:$S$2327,0))*9/(SUM(IF(fish_efp!$N$7:$N$2327=A34,fish_efp!$Q$7:$Q$2327,0))*cnst_fish!$C$7),1/cnst_fish!$C$8)),0,1+LOG(SUM(IF(fish_efp!$N$7:$N$2327=A34,fish_efp!$Q$7:$Q$2327*fish_efp!$S$7:$S$2327,0))*9/(SUM(IF(fish_efp!$N$7:$N$2327=A34,fish_efp!$Q$7:$Q$2327,0))*cnst_fish!$C$7),1/cnst_fish!$C$8))</f>
        <v>2.9306520470175137</v>
      </c>
      <c r="D34" s="2">
        <f>IF(C34=0,0,(1/9)*cnst_fish!$C$7*(1/cnst_fish!$C$8)^(C34-1))</f>
        <v>12.021263851916332</v>
      </c>
      <c r="E34" s="2">
        <f>IF(ISERROR((1/D34)*cnst_fish!$C$6),0,(1/D34)*cnst_fish!$C$6)</f>
        <v>0.35354019779896101</v>
      </c>
      <c r="F34" s="678">
        <f>SUMIF(aquaculture_production_w!$C$7:$C$598,A34,aquaculture_production_w!$D$7:$D$598)</f>
        <v>0</v>
      </c>
      <c r="G34" s="2">
        <f>VLOOKUP(A34,aquaculture_yields!$A$7:$H$46,8,FALSE)</f>
        <v>0</v>
      </c>
      <c r="H34" s="54">
        <f t="shared" si="0"/>
        <v>0.35354019779896101</v>
      </c>
      <c r="I34" s="222">
        <f>IFERROR(VLOOKUP(A34,aquaculture_yields!$A$7:$I$46,9,FALSE)*F34/(F34+B34),0)</f>
        <v>0</v>
      </c>
    </row>
    <row r="35" spans="1:9">
      <c r="A35" s="14" t="s">
        <v>2322</v>
      </c>
      <c r="B35" s="25">
        <f>SUMIF(fish_efp!$N$7:$N$2327,A35,fish_efp!$Q$7:$Q$2327)</f>
        <v>4273783.99</v>
      </c>
      <c r="C35" s="43">
        <f t="array" ref="C35">IF(ISERROR(1+LOG(SUM(IF(fish_efp!$N$7:$N$2327=A35,fish_efp!$Q$7:$Q$2327*fish_efp!$S$7:$S$2327,0))*9/(SUM(IF(fish_efp!$N$7:$N$2327=A35,fish_efp!$Q$7:$Q$2327,0))*cnst_fish!$C$7),1/cnst_fish!$C$8)),0,1+LOG(SUM(IF(fish_efp!$N$7:$N$2327=A35,fish_efp!$Q$7:$Q$2327*fish_efp!$S$7:$S$2327,0))*9/(SUM(IF(fish_efp!$N$7:$N$2327=A35,fish_efp!$Q$7:$Q$2327,0))*cnst_fish!$C$7),1/cnst_fish!$C$8))</f>
        <v>2.5579627499271007</v>
      </c>
      <c r="D35" s="2">
        <f>IF(C35=0,0,(1/9)*cnst_fish!$C$7*(1/cnst_fish!$C$8)^(C35-1))</f>
        <v>5.0963686134373853</v>
      </c>
      <c r="E35" s="2">
        <f>IF(ISERROR((1/D35)*cnst_fish!$C$6),0,(1/D35)*cnst_fish!$C$6)</f>
        <v>0.8339271199485454</v>
      </c>
      <c r="F35" s="678">
        <f>SUMIF(aquaculture_production_w!$C$7:$C$598,A35,aquaculture_production_w!$D$7:$D$598)</f>
        <v>3279385.62</v>
      </c>
      <c r="G35" s="2">
        <f>VLOOKUP(A35,aquaculture_yields!$A$7:$H$46,8,FALSE)</f>
        <v>0.37625608688889262</v>
      </c>
      <c r="H35" s="54">
        <f t="shared" si="0"/>
        <v>0.54572073512091102</v>
      </c>
      <c r="I35" s="222">
        <f>IFERROR(VLOOKUP(A35,aquaculture_yields!$A$7:$I$46,9,FALSE)*F35/(F35+B35),0)</f>
        <v>0.43670096785735013</v>
      </c>
    </row>
    <row r="36" spans="1:9">
      <c r="A36" s="14" t="s">
        <v>1741</v>
      </c>
      <c r="B36" s="25">
        <f>SUMIF(fish_efp!$N$7:$N$2327,A36,fish_efp!$Q$7:$Q$2327)</f>
        <v>232503</v>
      </c>
      <c r="C36" s="43">
        <f t="array" ref="C36">IF(ISERROR(1+LOG(SUM(IF(fish_efp!$N$7:$N$2327=A36,fish_efp!$Q$7:$Q$2327*fish_efp!$S$7:$S$2327,0))*9/(SUM(IF(fish_efp!$N$7:$N$2327=A36,fish_efp!$Q$7:$Q$2327,0))*cnst_fish!$C$7),1/cnst_fish!$C$8)),0,1+LOG(SUM(IF(fish_efp!$N$7:$N$2327=A36,fish_efp!$Q$7:$Q$2327*fish_efp!$S$7:$S$2327,0))*9/(SUM(IF(fish_efp!$N$7:$N$2327=A36,fish_efp!$Q$7:$Q$2327,0))*cnst_fish!$C$7),1/cnst_fish!$C$8))</f>
        <v>3.3004231801752844</v>
      </c>
      <c r="D36" s="2">
        <f>IF(C36=0,0,(1/9)*cnst_fish!$C$7*(1/cnst_fish!$C$8)^(C36-1))</f>
        <v>28.165746270055159</v>
      </c>
      <c r="E36" s="2">
        <f>IF(ISERROR((1/D36)*cnst_fish!$C$6),0,(1/D36)*cnst_fish!$C$6)</f>
        <v>0.15089250464911175</v>
      </c>
      <c r="F36" s="678">
        <f>SUMIF(aquaculture_production_w!$C$7:$C$598,A36,aquaculture_production_w!$D$7:$D$598)</f>
        <v>1458.36</v>
      </c>
      <c r="G36" s="2">
        <f>VLOOKUP(A36,aquaculture_yields!$A$7:$H$46,8,FALSE)</f>
        <v>0.40302106824326928</v>
      </c>
      <c r="H36" s="54">
        <f t="shared" si="0"/>
        <v>0.15148322160806005</v>
      </c>
      <c r="I36" s="222">
        <f>IFERROR(VLOOKUP(A36,aquaculture_yields!$A$7:$I$46,9,FALSE)*F36/(F36+B36),0)</f>
        <v>4.4908984064474123E-3</v>
      </c>
    </row>
    <row r="37" spans="1:9">
      <c r="A37" s="14" t="s">
        <v>1739</v>
      </c>
      <c r="B37" s="25">
        <f>SUMIF(fish_efp!$N$7:$N$2327,A37,fish_efp!$Q$7:$Q$2327)</f>
        <v>75937.64</v>
      </c>
      <c r="C37" s="43">
        <f t="array" ref="C37">IF(ISERROR(1+LOG(SUM(IF(fish_efp!$N$7:$N$2327=A37,fish_efp!$Q$7:$Q$2327*fish_efp!$S$7:$S$2327,0))*9/(SUM(IF(fish_efp!$N$7:$N$2327=A37,fish_efp!$Q$7:$Q$2327,0))*cnst_fish!$C$7),1/cnst_fish!$C$8)),0,1+LOG(SUM(IF(fish_efp!$N$7:$N$2327=A37,fish_efp!$Q$7:$Q$2327*fish_efp!$S$7:$S$2327,0))*9/(SUM(IF(fish_efp!$N$7:$N$2327=A37,fish_efp!$Q$7:$Q$2327,0))*cnst_fish!$C$7),1/cnst_fish!$C$8))</f>
        <v>3.9105956614003321</v>
      </c>
      <c r="D37" s="2">
        <f>IF(C37=0,0,(1/9)*cnst_fish!$C$7*(1/cnst_fish!$C$8)^(C37-1))</f>
        <v>114.78727442472672</v>
      </c>
      <c r="E37" s="2">
        <f>IF(ISERROR((1/D37)*cnst_fish!$C$6),0,(1/D37)*cnst_fish!$C$6)</f>
        <v>3.7025010144194979E-2</v>
      </c>
      <c r="F37" s="678">
        <f>SUMIF(aquaculture_production_w!$C$7:$C$598,A37,aquaculture_production_w!$D$7:$D$598)</f>
        <v>47967</v>
      </c>
      <c r="G37" s="2">
        <f>VLOOKUP(A37,aquaculture_yields!$A$7:$H$46,8,FALSE)</f>
        <v>0.40302106824326928</v>
      </c>
      <c r="H37" s="54">
        <f t="shared" si="0"/>
        <v>5.7098889306209544E-2</v>
      </c>
      <c r="I37" s="222">
        <f>IFERROR(VLOOKUP(A37,aquaculture_yields!$A$7:$I$46,9,FALSE)*F37/(F37+B37),0)</f>
        <v>0.27891226390378387</v>
      </c>
    </row>
    <row r="38" spans="1:9">
      <c r="A38" s="14" t="s">
        <v>2323</v>
      </c>
      <c r="B38" s="25">
        <f>SUMIF(fish_efp!$N$7:$N$2327,A38,fish_efp!$Q$7:$Q$2327)</f>
        <v>6431.49</v>
      </c>
      <c r="C38" s="43">
        <f t="array" ref="C38">IF(ISERROR(1+LOG(SUM(IF(fish_efp!$N$7:$N$2327=A38,fish_efp!$Q$7:$Q$2327*fish_efp!$S$7:$S$2327,0))*9/(SUM(IF(fish_efp!$N$7:$N$2327=A38,fish_efp!$Q$7:$Q$2327,0))*cnst_fish!$C$7),1/cnst_fish!$C$8)),0,1+LOG(SUM(IF(fish_efp!$N$7:$N$2327=A38,fish_efp!$Q$7:$Q$2327*fish_efp!$S$7:$S$2327,0))*9/(SUM(IF(fish_efp!$N$7:$N$2327=A38,fish_efp!$Q$7:$Q$2327,0))*cnst_fish!$C$7),1/cnst_fish!$C$8))</f>
        <v>3.9121706418073892</v>
      </c>
      <c r="D38" s="2">
        <f>IF(C38=0,0,(1/9)*cnst_fish!$C$7*(1/cnst_fish!$C$8)^(C38-1))</f>
        <v>115.20430924345295</v>
      </c>
      <c r="E38" s="2">
        <f>IF(ISERROR((1/D38)*cnst_fish!$C$6),0,(1/D38)*cnst_fish!$C$6)</f>
        <v>3.689098114393257E-2</v>
      </c>
      <c r="F38" s="678">
        <f>SUMIF(aquaculture_production_w!$C$7:$C$598,A38,aquaculture_production_w!$D$7:$D$598)</f>
        <v>875451.93000000028</v>
      </c>
      <c r="G38" s="2">
        <f>VLOOKUP(A38,aquaculture_yields!$A$7:$H$46,8,FALSE)</f>
        <v>0.27662506151978522</v>
      </c>
      <c r="H38" s="54">
        <f t="shared" si="0"/>
        <v>0.26410829822150039</v>
      </c>
      <c r="I38" s="222">
        <f>IFERROR(VLOOKUP(A38,aquaculture_yields!$A$7:$I$46,9,FALSE)*F38/(F38+B38),0)</f>
        <v>0.67734115087624802</v>
      </c>
    </row>
    <row r="39" spans="1:9">
      <c r="A39" s="14" t="s">
        <v>1736</v>
      </c>
      <c r="B39" s="25">
        <f>SUMIF(fish_efp!$N$7:$N$2327,A39,fish_efp!$Q$7:$Q$2327)</f>
        <v>1708988.18</v>
      </c>
      <c r="C39" s="43">
        <f t="array" ref="C39">IF(ISERROR(1+LOG(SUM(IF(fish_efp!$N$7:$N$2327=A39,fish_efp!$Q$7:$Q$2327*fish_efp!$S$7:$S$2327,0))*9/(SUM(IF(fish_efp!$N$7:$N$2327=A39,fish_efp!$Q$7:$Q$2327,0))*cnst_fish!$C$7),1/cnst_fish!$C$8)),0,1+LOG(SUM(IF(fish_efp!$N$7:$N$2327=A39,fish_efp!$Q$7:$Q$2327*fish_efp!$S$7:$S$2327,0))*9/(SUM(IF(fish_efp!$N$7:$N$2327=A39,fish_efp!$Q$7:$Q$2327,0))*cnst_fish!$C$7),1/cnst_fish!$C$8))</f>
        <v>2.2073116922605873</v>
      </c>
      <c r="D39" s="2">
        <f>IF(C39=0,0,(1/9)*cnst_fish!$C$7*(1/cnst_fish!$C$8)^(C39-1))</f>
        <v>2.273054112670903</v>
      </c>
      <c r="E39" s="2">
        <f>IF(ISERROR((1/D39)*cnst_fish!$C$6),0,(1/D39)*cnst_fish!$C$6)</f>
        <v>1.869731114762653</v>
      </c>
      <c r="F39" s="678">
        <f>SUMIF(aquaculture_production_w!$C$7:$C$598,A39,aquaculture_production_w!$D$7:$D$598)</f>
        <v>6259900.75</v>
      </c>
      <c r="G39" s="2">
        <f>VLOOKUP(A39,aquaculture_yields!$A$7:$H$46,8,FALSE)</f>
        <v>0.40302106824326928</v>
      </c>
      <c r="H39" s="54">
        <f t="shared" si="0"/>
        <v>0.4845349342699814</v>
      </c>
      <c r="I39" s="222">
        <f>IFERROR(VLOOKUP(A39,aquaculture_yields!$A$7:$I$46,9,FALSE)*F39/(F39+B39),0)</f>
        <v>0.56595551679770018</v>
      </c>
    </row>
    <row r="40" spans="1:9">
      <c r="A40" s="14" t="s">
        <v>4065</v>
      </c>
      <c r="B40" s="25">
        <f>SUMIF(fish_efp!$N$7:$N$2327,A40,fish_efp!$Q$7:$Q$2327)</f>
        <v>27802.950000000004</v>
      </c>
      <c r="C40" s="43">
        <f t="array" ref="C40">IF(ISERROR(1+LOG(SUM(IF(fish_efp!$N$7:$N$2327=A40,fish_efp!$Q$7:$Q$2327*fish_efp!$S$7:$S$2327,0))*9/(SUM(IF(fish_efp!$N$7:$N$2327=A40,fish_efp!$Q$7:$Q$2327,0))*cnst_fish!$C$7),1/cnst_fish!$C$8)),0,1+LOG(SUM(IF(fish_efp!$N$7:$N$2327=A40,fish_efp!$Q$7:$Q$2327*fish_efp!$S$7:$S$2327,0))*9/(SUM(IF(fish_efp!$N$7:$N$2327=A40,fish_efp!$Q$7:$Q$2327,0))*cnst_fish!$C$7),1/cnst_fish!$C$8))</f>
        <v>4.0995274131039707</v>
      </c>
      <c r="D40" s="2">
        <f>IF(C40=0,0,(1/9)*cnst_fish!$C$7*(1/cnst_fish!$C$8)^(C40-1))</f>
        <v>177.34767347211883</v>
      </c>
      <c r="E40" s="2">
        <f>IF(ISERROR((1/D40)*cnst_fish!$C$6),0,(1/D40)*cnst_fish!$C$6)</f>
        <v>2.396422753562736E-2</v>
      </c>
      <c r="F40" s="678">
        <f>SUMIF(aquaculture_production_w!$C$7:$C$598,A40,aquaculture_production_w!$D$7:$D$598)</f>
        <v>0</v>
      </c>
      <c r="G40" s="2">
        <f>VLOOKUP(A40,aquaculture_yields!$A$7:$H$46,8,FALSE)</f>
        <v>0</v>
      </c>
      <c r="H40" s="54">
        <f t="shared" si="0"/>
        <v>2.396422753562736E-2</v>
      </c>
      <c r="I40" s="222">
        <f>IFERROR(VLOOKUP(A40,aquaculture_yields!$A$7:$I$46,9,FALSE)*F40/(F40+B40),0)</f>
        <v>0</v>
      </c>
    </row>
    <row r="41" spans="1:9">
      <c r="A41" s="14" t="s">
        <v>4084</v>
      </c>
      <c r="B41" s="25">
        <f>SUMIF(fish_efp!$N$7:$N$2327,A41,fish_efp!$Q$7:$Q$2327)</f>
        <v>116638.13999999998</v>
      </c>
      <c r="C41" s="43">
        <f t="array" ref="C41">IF(ISERROR(1+LOG(SUM(IF(fish_efp!$N$7:$N$2327=A41,fish_efp!$Q$7:$Q$2327*fish_efp!$S$7:$S$2327,0))*9/(SUM(IF(fish_efp!$N$7:$N$2327=A41,fish_efp!$Q$7:$Q$2327,0))*cnst_fish!$C$7),1/cnst_fish!$C$8)),0,1+LOG(SUM(IF(fish_efp!$N$7:$N$2327=A41,fish_efp!$Q$7:$Q$2327*fish_efp!$S$7:$S$2327,0))*9/(SUM(IF(fish_efp!$N$7:$N$2327=A41,fish_efp!$Q$7:$Q$2327,0))*cnst_fish!$C$7),1/cnst_fish!$C$8))</f>
        <v>4.49</v>
      </c>
      <c r="D41" s="2">
        <f>IF(C41=0,0,(1/9)*cnst_fish!$C$7*(1/cnst_fish!$C$8)^(C41-1))</f>
        <v>435.81089432883982</v>
      </c>
      <c r="E41" s="2">
        <f>IF(ISERROR((1/D41)*cnst_fish!$C$6),0,(1/D41)*cnst_fish!$C$6)</f>
        <v>9.7519361156519751E-3</v>
      </c>
      <c r="F41" s="678">
        <f>SUMIF(aquaculture_production_w!$C$7:$C$598,A41,aquaculture_production_w!$D$7:$D$598)</f>
        <v>0</v>
      </c>
      <c r="G41" s="2">
        <f>VLOOKUP(A41,aquaculture_yields!$A$7:$H$46,8,FALSE)</f>
        <v>0</v>
      </c>
      <c r="H41" s="54">
        <f t="shared" si="0"/>
        <v>9.7519361156519751E-3</v>
      </c>
      <c r="I41" s="222">
        <f>IFERROR(VLOOKUP(A41,aquaculture_yields!$A$7:$I$46,9,FALSE)*F41/(F41+B41),0)</f>
        <v>0</v>
      </c>
    </row>
    <row r="42" spans="1:9">
      <c r="A42" s="14" t="s">
        <v>1737</v>
      </c>
      <c r="B42" s="25">
        <f>SUMIF(fish_efp!$N$7:$N$2327,A42,fish_efp!$Q$7:$Q$2327)</f>
        <v>210333.43</v>
      </c>
      <c r="C42" s="43">
        <f t="array" ref="C42">IF(ISERROR(1+LOG(SUM(IF(fish_efp!$N$7:$N$2327=A42,fish_efp!$Q$7:$Q$2327*fish_efp!$S$7:$S$2327,0))*9/(SUM(IF(fish_efp!$N$7:$N$2327=A42,fish_efp!$Q$7:$Q$2327,0))*cnst_fish!$C$7),1/cnst_fish!$C$8)),0,1+LOG(SUM(IF(fish_efp!$N$7:$N$2327=A42,fish_efp!$Q$7:$Q$2327*fish_efp!$S$7:$S$2327,0))*9/(SUM(IF(fish_efp!$N$7:$N$2327=A42,fish_efp!$Q$7:$Q$2327,0))*cnst_fish!$C$7),1/cnst_fish!$C$8))</f>
        <v>2.20040016088491</v>
      </c>
      <c r="D42" s="2">
        <f>IF(C42=0,0,(1/9)*cnst_fish!$C$7*(1/cnst_fish!$C$8)^(C42-1))</f>
        <v>2.237166169820155</v>
      </c>
      <c r="E42" s="2">
        <f>IF(ISERROR((1/D42)*cnst_fish!$C$6),0,(1/D42)*cnst_fish!$C$6)</f>
        <v>1.8997247756261466</v>
      </c>
      <c r="F42" s="678">
        <f>SUMIF(aquaculture_production_w!$C$7:$C$598,A42,aquaculture_production_w!$D$7:$D$598)</f>
        <v>213.74</v>
      </c>
      <c r="G42" s="2">
        <f>VLOOKUP(A42,aquaculture_yields!$A$7:$H$46,8,FALSE)</f>
        <v>0.77732392843128628</v>
      </c>
      <c r="H42" s="54">
        <f t="shared" si="0"/>
        <v>1.8969441859980902</v>
      </c>
      <c r="I42" s="222">
        <f>IFERROR(VLOOKUP(A42,aquaculture_yields!$A$7:$I$46,9,FALSE)*F42/(F42+B42),0)</f>
        <v>6.7330107047885817E-4</v>
      </c>
    </row>
    <row r="43" spans="1:9">
      <c r="A43" s="14" t="s">
        <v>2310</v>
      </c>
      <c r="B43" s="25">
        <f>SUMIF(fish_efp!$N$7:$N$2327,A43,fish_efp!$Q$7:$Q$2327)</f>
        <v>324463.18</v>
      </c>
      <c r="C43" s="43">
        <f t="array" ref="C43">IF(ISERROR(1+LOG(SUM(IF(fish_efp!$N$7:$N$2327=A43,fish_efp!$Q$7:$Q$2327*fish_efp!$S$7:$S$2327,0))*9/(SUM(IF(fish_efp!$N$7:$N$2327=A43,fish_efp!$Q$7:$Q$2327,0))*cnst_fish!$C$7),1/cnst_fish!$C$8)),0,1+LOG(SUM(IF(fish_efp!$N$7:$N$2327=A43,fish_efp!$Q$7:$Q$2327*fish_efp!$S$7:$S$2327,0))*9/(SUM(IF(fish_efp!$N$7:$N$2327=A43,fish_efp!$Q$7:$Q$2327,0))*cnst_fish!$C$7),1/cnst_fish!$C$8))</f>
        <v>3.1972909254217101</v>
      </c>
      <c r="D43" s="2">
        <f>IF(C43=0,0,(1/9)*cnst_fish!$C$7*(1/cnst_fish!$C$8)^(C43-1))</f>
        <v>22.21206869241632</v>
      </c>
      <c r="E43" s="2">
        <f>IF(ISERROR((1/D43)*cnst_fish!$C$6),0,(1/D43)*cnst_fish!$C$6)</f>
        <v>0.19133742376058119</v>
      </c>
      <c r="F43" s="678">
        <f>SUMIF(aquaculture_production_w!$C$7:$C$598,A43,aquaculture_production_w!$D$7:$D$598)</f>
        <v>171687.94</v>
      </c>
      <c r="G43" s="2">
        <f>VLOOKUP(A43,aquaculture_yields!$A$7:$H$46,8,FALSE)</f>
        <v>0.40302106824326928</v>
      </c>
      <c r="H43" s="54">
        <f t="shared" si="0"/>
        <v>0.23383867422431026</v>
      </c>
      <c r="I43" s="222">
        <f>IFERROR(VLOOKUP(A43,aquaculture_yields!$A$7:$I$46,9,FALSE)*F43/(F43+B43),0)</f>
        <v>0.24930927599466401</v>
      </c>
    </row>
    <row r="44" spans="1:9">
      <c r="A44" s="14" t="s">
        <v>1738</v>
      </c>
      <c r="B44" s="25">
        <f>SUMIF(fish_efp!$N$7:$N$2327,A44,fish_efp!$Q$7:$Q$2327)</f>
        <v>47060367.649999961</v>
      </c>
      <c r="C44" s="43">
        <f t="array" ref="C44">IF(ISERROR(1+LOG(SUM(IF(fish_efp!$N$7:$N$2327=A44,fish_efp!$Q$7:$Q$2327*fish_efp!$S$7:$S$2327,0))*9/(SUM(IF(fish_efp!$N$7:$N$2327=A44,fish_efp!$Q$7:$Q$2327,0))*cnst_fish!$C$7),1/cnst_fish!$C$8)),0,1+LOG(SUM(IF(fish_efp!$N$7:$N$2327=A44,fish_efp!$Q$7:$Q$2327*fish_efp!$S$7:$S$2327,0))*9/(SUM(IF(fish_efp!$N$7:$N$2327=A44,fish_efp!$Q$7:$Q$2327,0))*cnst_fish!$C$7),1/cnst_fish!$C$8))</f>
        <v>3.6952880123790535</v>
      </c>
      <c r="D44" s="2">
        <f>IF(C44=0,0,(1/9)*cnst_fish!$C$7*(1/cnst_fish!$C$8)^(C44-1))</f>
        <v>69.917532803832572</v>
      </c>
      <c r="E44" s="2">
        <f>IF(ISERROR((1/D44)*cnst_fish!$C$6),0,(1/D44)*cnst_fish!$C$6)</f>
        <v>6.0785897750771797E-2</v>
      </c>
      <c r="F44" s="678">
        <f>SUMIF(aquaculture_production_w!$C$7:$C$598,A44,aquaculture_production_w!$D$7:$D$598)</f>
        <v>29249732.919999998</v>
      </c>
      <c r="G44" s="2">
        <f>VLOOKUP(A44,aquaculture_yields!$A$7:$H$46,8,FALSE)</f>
        <v>0.40302106824326928</v>
      </c>
      <c r="H44" s="54">
        <f t="shared" si="0"/>
        <v>9.0118512912499268E-2</v>
      </c>
      <c r="I44" s="222">
        <f>IFERROR(VLOOKUP(A44,aquaculture_yields!$A$7:$I$46,9,FALSE)*F44/(F44+B44),0)</f>
        <v>0.27615474049364891</v>
      </c>
    </row>
    <row r="45" spans="1:9" s="253" customFormat="1">
      <c r="A45" s="153" t="s">
        <v>3476</v>
      </c>
      <c r="B45" s="187">
        <f>fishmeal_fishes!C37</f>
        <v>6152224.2400000002</v>
      </c>
      <c r="C45" s="154"/>
      <c r="D45" s="154">
        <f>fishmeal_fishes!F37</f>
        <v>11.399895376952408</v>
      </c>
      <c r="E45" s="154">
        <f>IF(ISERROR((1/D45)*cnst_fish!$C$6),0,(1/D45)*cnst_fish!$C$6)</f>
        <v>0.37281043899686855</v>
      </c>
      <c r="F45" s="225"/>
      <c r="G45" s="684"/>
      <c r="H45" s="684">
        <f t="shared" si="0"/>
        <v>0.37281043899686855</v>
      </c>
      <c r="I45" s="223"/>
    </row>
    <row r="46" spans="1:9">
      <c r="A46" s="14" t="s">
        <v>1735</v>
      </c>
      <c r="B46" s="25">
        <f>SUMIF(fish_efp!$O$7:$O$2327,"*"&amp;"Fish"&amp;"*",fish_efp!$Q$7:$Q$2327)</f>
        <v>83330058.070000008</v>
      </c>
      <c r="C46" s="2">
        <f t="array" ref="C46">IF(ISERROR(1+LOG(SUM(IF(RIGHT(fish_efp!$O$7:$O$2327,4)="Fish",fish_efp!$Q$7:$Q$2327*fish_efp!$S$7:$S$2327,0))*9/(SUM(IF(RIGHT(fish_efp!$O$7:$O$2327,4)="Fish",fish_efp!$Q$7:$Q$2327,0))*cnst_fish!$C$7),1/cnst_fish!$C$8)),0,1+LOG(SUM(IF(RIGHT(fish_efp!$N$7:$N$2327,4)="Fish",fish_efp!$Q$7:$Q$2327*fish_efp!$S$7:$S$2327,0))*9/(SUM(IF(RIGHT(fish_efp!$N$7:$N$2327,4)="Fish",fish_efp!$Q$7:$Q$2327,0))*cnst_fish!$C$7),1/cnst_fish!$C$8))</f>
        <v>3.7016873912379382</v>
      </c>
      <c r="D46" s="2">
        <f>IF(C46=0,0,(1/9)*cnst_fish!$C$7*(1/cnst_fish!$C$8)^(C46-1))</f>
        <v>70.955403438272796</v>
      </c>
      <c r="E46" s="2">
        <f>IF(ISERROR((1/D46)*cnst_fish!$C$6),0,(1/D46)*cnst_fish!$C$6)</f>
        <v>5.9896777328554834E-2</v>
      </c>
      <c r="F46">
        <f>SUMIF(aquaculture_production_w!$C$7:$C$598,A46,aquaculture_production_w!$D$7:$D$598)</f>
        <v>0</v>
      </c>
      <c r="G46" s="2">
        <f>VLOOKUP(A46,aquaculture_yields!$A$7:$H$46,8,FALSE)</f>
        <v>0</v>
      </c>
      <c r="H46" s="54">
        <f t="shared" si="0"/>
        <v>5.9896777328554827E-2</v>
      </c>
      <c r="I46" s="222">
        <f>IF(ISERROR(VLOOKUP(A46,aquaculture_yields!$A$7:$I$46,10,FALSE)*F46/(F46+B46)),0,VLOOKUP(A46,aquaculture_yields!$A$7:$I$46,10,FALSE)*F46/(F46+B46))</f>
        <v>0</v>
      </c>
    </row>
    <row r="47" spans="1:9">
      <c r="A47" s="19" t="s">
        <v>2324</v>
      </c>
      <c r="B47" s="26">
        <f>SUM(fish_efp!$Q$7:$Q$2327)</f>
        <v>97582774.350000098</v>
      </c>
      <c r="C47" s="57">
        <f t="array" ref="C47">IF(ISERROR(1+LOG(SUM(fish_efp!$Q$7:$Q$2327*fish_efp!$S$7:$S$2327)*9/(SUM(fish_efp!$Q$7:$Q$2327)*cnst_fish!$C$7),1/cnst_fish!$C$8)),0,1+LOG(SUM(fish_efp!$Q$7:$Q$2327*fish_efp!$S$7:$S$2327)*9/(SUM(fish_efp!$Q$7:$Q$2327)*cnst_fish!$C$7),1/cnst_fish!$C$8))</f>
        <v>3.7626045873395948</v>
      </c>
      <c r="D47" s="57">
        <f>IF(C47=0,0,(1/9)*cnst_fish!$C$7*(1/cnst_fish!$C$8)^(C47-1))</f>
        <v>81.639938673055426</v>
      </c>
      <c r="E47" s="57">
        <f>IF(ISERROR((1/D47)*cnst_fish!$C$6),0,(1/D47)*cnst_fish!$C$6)</f>
        <v>5.2057853901875561E-2</v>
      </c>
      <c r="F47" s="20">
        <f>SUMIF(aquaculture_production_w!$C$7:$C$598,A47,aquaculture_production_w!$D$7:$D$598)</f>
        <v>0</v>
      </c>
      <c r="G47" s="57">
        <f>VLOOKUP(A47,aquaculture_yields!$A$7:$H$46,8,FALSE)</f>
        <v>0</v>
      </c>
      <c r="H47" s="81">
        <f t="shared" si="0"/>
        <v>5.2057853901875561E-2</v>
      </c>
      <c r="I47" s="224">
        <f>IF(ISERROR(VLOOKUP(A47,aquaculture_yields!$A$7:$I$46,10,FALSE)*F47/(F47+B47)),0,VLOOKUP(A47,aquaculture_yields!$A$7:$I$46,10,FALSE)*F47/(F47+B47))</f>
        <v>0</v>
      </c>
    </row>
  </sheetData>
  <phoneticPr fontId="0" type="noConversion"/>
  <hyperlinks>
    <hyperlink ref="G2" location="cnst_fish!A1" tooltip="Go to cnst_fish" display="cnst_fish" xr:uid="{00000000-0004-0000-2B00-000000000000}"/>
    <hyperlink ref="D3" location="fish_commodity_yield_n!A1" tooltip="Go to fish_commodity_yield_n" display="fish_commodity_yield_n" xr:uid="{00000000-0004-0000-2B00-000001000000}"/>
    <hyperlink ref="E3" location="fish_group_yield_n!A1" display="fish_group_yield_n" xr:uid="{00000000-0004-0000-2B00-000002000000}"/>
    <hyperlink ref="D2" location="fish_capture_yield!A1" tooltip="Go to fish_capture_yield_w" display="fish_capture_yield" xr:uid="{00000000-0004-0000-2B00-000003000000}"/>
    <hyperlink ref="E2" location="aquaculture_production_w!A1" display="aquaculture_production_w" xr:uid="{00000000-0004-0000-2B00-000004000000}"/>
    <hyperlink ref="F2" location="aquaculture_yields!A1" display="aquaculture_yields" xr:uid="{00000000-0004-0000-2B00-000005000000}"/>
    <hyperlink ref="H2" location="fish_efp" display="fish_efp" xr:uid="{00000000-0004-0000-2B00-000006000000}"/>
  </hyperlinks>
  <pageMargins left="0.75" right="0.75" top="1" bottom="1" header="0.5" footer="0.5"/>
  <pageSetup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7">
    <tabColor theme="4"/>
  </sheetPr>
  <dimension ref="A1:I46"/>
  <sheetViews>
    <sheetView zoomScaleNormal="100" workbookViewId="0">
      <pane xSplit="1" ySplit="6" topLeftCell="B7" activePane="bottomRight" state="frozen"/>
      <selection activeCell="B24" sqref="B24"/>
      <selection pane="topRight" activeCell="B24" sqref="B24"/>
      <selection pane="bottomLeft" activeCell="B24" sqref="B24"/>
      <selection pane="bottomRight" activeCell="A65536" sqref="A65536"/>
    </sheetView>
  </sheetViews>
  <sheetFormatPr defaultColWidth="9.1796875" defaultRowHeight="12.5"/>
  <cols>
    <col min="1" max="1" width="24" style="36" customWidth="1"/>
    <col min="2" max="9" width="21.7265625" style="36" customWidth="1"/>
    <col min="10" max="16384" width="9.1796875" style="36"/>
  </cols>
  <sheetData>
    <row r="1" spans="1:9" ht="12.75" customHeight="1">
      <c r="B1" s="75"/>
      <c r="C1" s="75"/>
      <c r="D1" s="466"/>
      <c r="E1" s="466"/>
      <c r="F1" s="466"/>
      <c r="G1" s="466"/>
      <c r="H1" s="75"/>
      <c r="I1" s="75"/>
    </row>
    <row r="2" spans="1:9" ht="12.75" customHeight="1">
      <c r="C2" s="37" t="s">
        <v>985</v>
      </c>
      <c r="D2" s="466" t="s">
        <v>5091</v>
      </c>
      <c r="E2" s="466" t="s">
        <v>2004</v>
      </c>
      <c r="F2" s="466" t="s">
        <v>5249</v>
      </c>
      <c r="G2" s="466" t="s">
        <v>6161</v>
      </c>
    </row>
    <row r="3" spans="1:9" ht="12.75" customHeight="1">
      <c r="C3" s="37" t="s">
        <v>986</v>
      </c>
      <c r="D3" s="466" t="s">
        <v>5245</v>
      </c>
      <c r="E3" s="466" t="s">
        <v>1761</v>
      </c>
      <c r="F3" s="466"/>
      <c r="G3" s="466"/>
    </row>
    <row r="4" spans="1:9" ht="12.75" customHeight="1"/>
    <row r="5" spans="1:9" ht="13">
      <c r="A5" s="1016" t="s">
        <v>102</v>
      </c>
      <c r="B5" s="1017" t="s">
        <v>4289</v>
      </c>
      <c r="C5" s="1017" t="s">
        <v>4290</v>
      </c>
      <c r="D5" s="1017" t="s">
        <v>4291</v>
      </c>
      <c r="E5" s="1017" t="s">
        <v>4292</v>
      </c>
      <c r="F5" s="1017" t="s">
        <v>4293</v>
      </c>
      <c r="G5" s="1017" t="s">
        <v>5351</v>
      </c>
      <c r="H5" s="1017" t="s">
        <v>5352</v>
      </c>
      <c r="I5" s="926" t="s">
        <v>4294</v>
      </c>
    </row>
    <row r="6" spans="1:9" ht="14.5">
      <c r="A6" s="1020" t="s">
        <v>542</v>
      </c>
      <c r="B6" s="1021" t="s">
        <v>4295</v>
      </c>
      <c r="C6" s="1021" t="s">
        <v>4296</v>
      </c>
      <c r="D6" s="1021" t="s">
        <v>4297</v>
      </c>
      <c r="E6" s="1021" t="s">
        <v>4298</v>
      </c>
      <c r="F6" s="1021" t="s">
        <v>4298</v>
      </c>
      <c r="G6" s="1021" t="s">
        <v>9227</v>
      </c>
      <c r="H6" s="1021" t="s">
        <v>9227</v>
      </c>
      <c r="I6" s="1032" t="s">
        <v>4299</v>
      </c>
    </row>
    <row r="7" spans="1:9">
      <c r="A7" s="17" t="s">
        <v>1740</v>
      </c>
      <c r="B7" s="55">
        <v>0</v>
      </c>
      <c r="C7" s="55">
        <v>0</v>
      </c>
      <c r="D7" s="55">
        <v>0</v>
      </c>
      <c r="E7" s="55">
        <v>0</v>
      </c>
      <c r="F7" s="55">
        <v>0</v>
      </c>
      <c r="G7" s="55">
        <v>0</v>
      </c>
      <c r="H7" s="55">
        <v>0</v>
      </c>
      <c r="I7" s="226">
        <v>0</v>
      </c>
    </row>
    <row r="8" spans="1:9">
      <c r="A8" s="14" t="s">
        <v>2843</v>
      </c>
      <c r="B8" s="2">
        <f t="shared" ref="B8:B46" si="0">IF(ISERROR(VLOOKUP(A8,constant_aquafeed_factors,2,FALSE)),0,VLOOKUP(A8,constant_aquafeed_factors,2,FALSE))</f>
        <v>0.23903099999999999</v>
      </c>
      <c r="C8" s="2">
        <f t="shared" ref="C8:C46" si="1">IF(ISERROR(VLOOKUP(A8,constant_aquafeed_factors,3,FALSE)),0,VLOOKUP(A8,constant_aquafeed_factors,3,FALSE))</f>
        <v>6.0399499999999995E-2</v>
      </c>
      <c r="D8" s="2">
        <f t="shared" ref="D8:D46" si="2">IF(ISERROR(VLOOKUP(A8,constant_aquafeed_factors,4,FALSE)),0,VLOOKUP(A8,constant_aquafeed_factors,4,FALSE))</f>
        <v>0.90596949999999998</v>
      </c>
      <c r="E8" s="2">
        <f>B8*fish_feed_group_yield_n!$C$21+fish_feed_group_yield_n!$C$24*C8</f>
        <v>1.5803590763110691</v>
      </c>
      <c r="F8" s="2">
        <f>B8*fish_feed_group_yield_w!$C$21+C8*fish_feed_group_yield_w!$C$24</f>
        <v>0.90439584441529353</v>
      </c>
      <c r="G8" s="2">
        <f>IF(ISERROR(eqf!$B$10/aquaculture_yields!E8),0,eqf!$B$10/aquaculture_yields!E8)</f>
        <v>0.23063782452645643</v>
      </c>
      <c r="H8" s="2">
        <f>IF(ISERROR(eqf!$B$10/aquaculture_yields!F8),0,eqf!$B$10/aquaculture_yields!F8)</f>
        <v>0.40302106824326928</v>
      </c>
      <c r="I8" s="222">
        <f>D8*fish_feed_group_yield_w!$B$36</f>
        <v>0.72046456210693466</v>
      </c>
    </row>
    <row r="9" spans="1:9">
      <c r="A9" s="14" t="s">
        <v>103</v>
      </c>
      <c r="B9" s="2">
        <f t="shared" si="0"/>
        <v>0</v>
      </c>
      <c r="C9" s="2">
        <f t="shared" si="1"/>
        <v>0</v>
      </c>
      <c r="D9" s="2">
        <f t="shared" si="2"/>
        <v>0</v>
      </c>
      <c r="E9" s="2">
        <f>B9*fish_feed_group_yield_n!$C$21+fish_feed_group_yield_n!$C$24*C9</f>
        <v>0</v>
      </c>
      <c r="F9" s="2">
        <f>B9*fish_feed_group_yield_w!$C$21+C9*fish_feed_group_yield_w!$C$24</f>
        <v>0</v>
      </c>
      <c r="G9" s="2">
        <f>IF(ISERROR(eqf!$B$10/aquaculture_yields!E9),0,eqf!$B$10/aquaculture_yields!E9)</f>
        <v>0</v>
      </c>
      <c r="H9" s="2">
        <f>IF(ISERROR(eqf!$B$10/aquaculture_yields!F9),0,eqf!$B$10/aquaculture_yields!F9)</f>
        <v>0</v>
      </c>
      <c r="I9" s="222">
        <f>D9*fish_feed_group_yield_w!$B$36</f>
        <v>0</v>
      </c>
    </row>
    <row r="10" spans="1:9">
      <c r="A10" s="14" t="s">
        <v>5194</v>
      </c>
      <c r="B10" s="2">
        <f t="shared" si="0"/>
        <v>3.9949999999999999E-2</v>
      </c>
      <c r="C10" s="2">
        <f t="shared" si="1"/>
        <v>0</v>
      </c>
      <c r="D10" s="2">
        <f t="shared" si="2"/>
        <v>0.75905</v>
      </c>
      <c r="E10" s="2">
        <f>B10*fish_feed_group_yield_n!$C$21+fish_feed_group_yield_n!$C$24*C10</f>
        <v>0.21684262071727659</v>
      </c>
      <c r="F10" s="2">
        <f>B10*fish_feed_group_yield_w!$C$21+C10*fish_feed_group_yield_w!$C$24</f>
        <v>0.12409304189690687</v>
      </c>
      <c r="G10" s="2">
        <f>IF(ISERROR(eqf!$B$10/aquaculture_yields!E10),0,eqf!$B$10/aquaculture_yields!E10)</f>
        <v>1.6808991614533872</v>
      </c>
      <c r="H10" s="2">
        <f>IF(ISERROR(eqf!$B$10/aquaculture_yields!F10),0,eqf!$B$10/aquaculture_yields!F10)</f>
        <v>2.9372362362898157</v>
      </c>
      <c r="I10" s="222">
        <f>D10*fish_feed_group_yield_w!$B$36</f>
        <v>0.60362807563308563</v>
      </c>
    </row>
    <row r="11" spans="1:9">
      <c r="A11" s="14" t="s">
        <v>4011</v>
      </c>
      <c r="B11" s="2">
        <f t="shared" si="0"/>
        <v>0</v>
      </c>
      <c r="C11" s="2">
        <f t="shared" si="1"/>
        <v>0</v>
      </c>
      <c r="D11" s="2">
        <f t="shared" si="2"/>
        <v>0</v>
      </c>
      <c r="E11" s="2">
        <f>B11*fish_feed_group_yield_n!$C$21+fish_feed_group_yield_n!$C$24*C11</f>
        <v>0</v>
      </c>
      <c r="F11" s="2">
        <f>B11*fish_feed_group_yield_w!$C$21+C11*fish_feed_group_yield_w!$C$24</f>
        <v>0</v>
      </c>
      <c r="G11" s="2">
        <f>IF(ISERROR(eqf!$B$10/aquaculture_yields!E11),0,eqf!$B$10/aquaculture_yields!E11)</f>
        <v>0</v>
      </c>
      <c r="H11" s="2">
        <f>IF(ISERROR(eqf!$B$10/aquaculture_yields!F11),0,eqf!$B$10/aquaculture_yields!F11)</f>
        <v>0</v>
      </c>
      <c r="I11" s="222">
        <f>D11*fish_feed_group_yield_w!$B$36</f>
        <v>0</v>
      </c>
    </row>
    <row r="12" spans="1:9">
      <c r="A12" s="14" t="s">
        <v>5195</v>
      </c>
      <c r="B12" s="2">
        <f t="shared" si="0"/>
        <v>0.23903099999999999</v>
      </c>
      <c r="C12" s="2">
        <f t="shared" si="1"/>
        <v>6.0399499999999995E-2</v>
      </c>
      <c r="D12" s="2">
        <f t="shared" si="2"/>
        <v>0.90596949999999998</v>
      </c>
      <c r="E12" s="2">
        <f>B12*fish_feed_group_yield_n!$C$21+fish_feed_group_yield_n!$C$24*C12</f>
        <v>1.5803590763110691</v>
      </c>
      <c r="F12" s="2">
        <f>B12*fish_feed_group_yield_w!$C$21+C12*fish_feed_group_yield_w!$C$24</f>
        <v>0.90439584441529353</v>
      </c>
      <c r="G12" s="2">
        <f>IF(ISERROR(eqf!$B$10/aquaculture_yields!E12),0,eqf!$B$10/aquaculture_yields!E12)</f>
        <v>0.23063782452645643</v>
      </c>
      <c r="H12" s="2">
        <f>IF(ISERROR(eqf!$B$10/aquaculture_yields!F12),0,eqf!$B$10/aquaculture_yields!F12)</f>
        <v>0.40302106824326928</v>
      </c>
      <c r="I12" s="222">
        <f>D12*fish_feed_group_yield_w!$B$36</f>
        <v>0.72046456210693466</v>
      </c>
    </row>
    <row r="13" spans="1:9">
      <c r="A13" s="14" t="s">
        <v>5196</v>
      </c>
      <c r="B13" s="2">
        <f t="shared" si="0"/>
        <v>0</v>
      </c>
      <c r="C13" s="2">
        <f t="shared" si="1"/>
        <v>0</v>
      </c>
      <c r="D13" s="2">
        <f t="shared" si="2"/>
        <v>0</v>
      </c>
      <c r="E13" s="2">
        <f>B13*fish_feed_group_yield_n!$C$21+fish_feed_group_yield_n!$C$24*C13</f>
        <v>0</v>
      </c>
      <c r="F13" s="2">
        <f>B13*fish_feed_group_yield_w!$C$21+C13*fish_feed_group_yield_w!$C$24</f>
        <v>0</v>
      </c>
      <c r="G13" s="2">
        <f>IF(ISERROR(eqf!$B$10/aquaculture_yields!E13),0,eqf!$B$10/aquaculture_yields!E13)</f>
        <v>0</v>
      </c>
      <c r="H13" s="2">
        <f>IF(ISERROR(eqf!$B$10/aquaculture_yields!F13),0,eqf!$B$10/aquaculture_yields!F13)</f>
        <v>0</v>
      </c>
      <c r="I13" s="222">
        <f>D13*fish_feed_group_yield_w!$B$36</f>
        <v>0</v>
      </c>
    </row>
    <row r="14" spans="1:9">
      <c r="A14" s="14" t="s">
        <v>2311</v>
      </c>
      <c r="B14" s="2">
        <f t="shared" si="0"/>
        <v>0.23903099999999999</v>
      </c>
      <c r="C14" s="2">
        <f t="shared" si="1"/>
        <v>6.0399499999999995E-2</v>
      </c>
      <c r="D14" s="2">
        <f t="shared" si="2"/>
        <v>0.90596949999999998</v>
      </c>
      <c r="E14" s="2">
        <f>B14*fish_feed_group_yield_n!$C$21+fish_feed_group_yield_n!$C$24*C14</f>
        <v>1.5803590763110691</v>
      </c>
      <c r="F14" s="2">
        <f>B14*fish_feed_group_yield_w!$C$21+C14*fish_feed_group_yield_w!$C$24</f>
        <v>0.90439584441529353</v>
      </c>
      <c r="G14" s="2">
        <f>IF(ISERROR(eqf!$B$10/aquaculture_yields!E14),0,eqf!$B$10/aquaculture_yields!E14)</f>
        <v>0.23063782452645643</v>
      </c>
      <c r="H14" s="2">
        <f>IF(ISERROR(eqf!$B$10/aquaculture_yields!F14),0,eqf!$B$10/aquaculture_yields!F14)</f>
        <v>0.40302106824326928</v>
      </c>
      <c r="I14" s="222">
        <f>D14*fish_feed_group_yield_w!$B$36</f>
        <v>0.72046456210693466</v>
      </c>
    </row>
    <row r="15" spans="1:9">
      <c r="A15" s="14" t="s">
        <v>5197</v>
      </c>
      <c r="B15" s="2">
        <f t="shared" si="0"/>
        <v>0.23903099999999999</v>
      </c>
      <c r="C15" s="2">
        <f t="shared" si="1"/>
        <v>6.0399499999999995E-2</v>
      </c>
      <c r="D15" s="2">
        <f t="shared" si="2"/>
        <v>0.90596949999999998</v>
      </c>
      <c r="E15" s="2">
        <f>B15*fish_feed_group_yield_n!$C$21+fish_feed_group_yield_n!$C$24*C15</f>
        <v>1.5803590763110691</v>
      </c>
      <c r="F15" s="2">
        <f>B15*fish_feed_group_yield_w!$C$21+C15*fish_feed_group_yield_w!$C$24</f>
        <v>0.90439584441529353</v>
      </c>
      <c r="G15" s="2">
        <f>IF(ISERROR(eqf!$B$10/aquaculture_yields!E15),0,eqf!$B$10/aquaculture_yields!E15)</f>
        <v>0.23063782452645643</v>
      </c>
      <c r="H15" s="2">
        <f>IF(ISERROR(eqf!$B$10/aquaculture_yields!F15),0,eqf!$B$10/aquaculture_yields!F15)</f>
        <v>0.40302106824326928</v>
      </c>
      <c r="I15" s="222">
        <f>D15*fish_feed_group_yield_w!$B$36</f>
        <v>0.72046456210693466</v>
      </c>
    </row>
    <row r="16" spans="1:9">
      <c r="A16" s="14" t="s">
        <v>3785</v>
      </c>
      <c r="B16" s="2">
        <f t="shared" si="0"/>
        <v>0</v>
      </c>
      <c r="C16" s="2">
        <f t="shared" si="1"/>
        <v>0</v>
      </c>
      <c r="D16" s="2">
        <f t="shared" si="2"/>
        <v>0</v>
      </c>
      <c r="E16" s="2">
        <f>B16*fish_feed_group_yield_n!$C$21+fish_feed_group_yield_n!$C$24*C16</f>
        <v>0</v>
      </c>
      <c r="F16" s="2">
        <f>B16*fish_feed_group_yield_w!$C$21+C16*fish_feed_group_yield_w!$C$24</f>
        <v>0</v>
      </c>
      <c r="G16" s="2">
        <f>IF(ISERROR(eqf!$B$10/aquaculture_yields!E16),0,eqf!$B$10/aquaculture_yields!E16)</f>
        <v>0</v>
      </c>
      <c r="H16" s="2">
        <f>IF(ISERROR(eqf!$B$10/aquaculture_yields!F16),0,eqf!$B$10/aquaculture_yields!F16)</f>
        <v>0</v>
      </c>
      <c r="I16" s="222">
        <f>D16*fish_feed_group_yield_w!$B$36</f>
        <v>0</v>
      </c>
    </row>
    <row r="17" spans="1:9">
      <c r="A17" s="14" t="s">
        <v>3786</v>
      </c>
      <c r="B17" s="2">
        <f t="shared" si="0"/>
        <v>0.71249999999999991</v>
      </c>
      <c r="C17" s="2">
        <f t="shared" si="1"/>
        <v>7.1250000000000008E-2</v>
      </c>
      <c r="D17" s="2">
        <f t="shared" si="2"/>
        <v>0.64124999999999988</v>
      </c>
      <c r="E17" s="2">
        <f>B17*fish_feed_group_yield_n!$C$21+fish_feed_group_yield_n!$C$24*C17</f>
        <v>4.2011058769959204</v>
      </c>
      <c r="F17" s="2">
        <f>B17*fish_feed_group_yield_w!$C$21+C17*fish_feed_group_yield_w!$C$24</f>
        <v>2.4041768443995775</v>
      </c>
      <c r="G17" s="2">
        <f>IF(ISERROR(eqf!$B$10/aquaculture_yields!E17),0,eqf!$B$10/aquaculture_yields!E17)</f>
        <v>8.6760626845153677E-2</v>
      </c>
      <c r="H17" s="2">
        <f>IF(ISERROR(eqf!$B$10/aquaculture_yields!F17),0,eqf!$B$10/aquaculture_yields!F17)</f>
        <v>0.15160722480964312</v>
      </c>
      <c r="I17" s="222">
        <f>D17*fish_feed_group_yield_w!$B$36</f>
        <v>0.50994862459616108</v>
      </c>
    </row>
    <row r="18" spans="1:9">
      <c r="A18" s="14" t="s">
        <v>3787</v>
      </c>
      <c r="B18" s="2">
        <f t="shared" si="0"/>
        <v>0.23903099999999999</v>
      </c>
      <c r="C18" s="2">
        <f t="shared" si="1"/>
        <v>6.0399499999999995E-2</v>
      </c>
      <c r="D18" s="2">
        <f t="shared" si="2"/>
        <v>0.90596949999999998</v>
      </c>
      <c r="E18" s="2">
        <f>B18*fish_feed_group_yield_n!$C$21+fish_feed_group_yield_n!$C$24*C18</f>
        <v>1.5803590763110691</v>
      </c>
      <c r="F18" s="2">
        <f>B18*fish_feed_group_yield_w!$C$21+C18*fish_feed_group_yield_w!$C$24</f>
        <v>0.90439584441529353</v>
      </c>
      <c r="G18" s="2">
        <f>IF(ISERROR(eqf!$B$10/aquaculture_yields!E18),0,eqf!$B$10/aquaculture_yields!E18)</f>
        <v>0.23063782452645643</v>
      </c>
      <c r="H18" s="2">
        <f>IF(ISERROR(eqf!$B$10/aquaculture_yields!F18),0,eqf!$B$10/aquaculture_yields!F18)</f>
        <v>0.40302106824326928</v>
      </c>
      <c r="I18" s="222">
        <f>D18*fish_feed_group_yield_w!$B$36</f>
        <v>0.72046456210693466</v>
      </c>
    </row>
    <row r="19" spans="1:9">
      <c r="A19" s="14" t="s">
        <v>600</v>
      </c>
      <c r="B19" s="2">
        <f t="shared" si="0"/>
        <v>0.23903099999999999</v>
      </c>
      <c r="C19" s="2">
        <f t="shared" si="1"/>
        <v>6.0399499999999995E-2</v>
      </c>
      <c r="D19" s="2">
        <f t="shared" si="2"/>
        <v>0.90596949999999998</v>
      </c>
      <c r="E19" s="2">
        <f>B19*fish_feed_group_yield_n!$C$21+fish_feed_group_yield_n!$C$24*C19</f>
        <v>1.5803590763110691</v>
      </c>
      <c r="F19" s="2">
        <f>B19*fish_feed_group_yield_w!$C$21+C19*fish_feed_group_yield_w!$C$24</f>
        <v>0.90439584441529353</v>
      </c>
      <c r="G19" s="2">
        <f>IF(ISERROR(eqf!$B$10/aquaculture_yields!E19),0,eqf!$B$10/aquaculture_yields!E19)</f>
        <v>0.23063782452645643</v>
      </c>
      <c r="H19" s="2">
        <f>IF(ISERROR(eqf!$B$10/aquaculture_yields!F19),0,eqf!$B$10/aquaculture_yields!F19)</f>
        <v>0.40302106824326928</v>
      </c>
      <c r="I19" s="222">
        <f>D19*fish_feed_group_yield_w!$B$36</f>
        <v>0.72046456210693466</v>
      </c>
    </row>
    <row r="20" spans="1:9">
      <c r="A20" s="14" t="s">
        <v>3788</v>
      </c>
      <c r="B20" s="2">
        <f t="shared" si="0"/>
        <v>0</v>
      </c>
      <c r="C20" s="2">
        <f t="shared" si="1"/>
        <v>0</v>
      </c>
      <c r="D20" s="2">
        <f t="shared" si="2"/>
        <v>0</v>
      </c>
      <c r="E20" s="2">
        <f>B20*fish_feed_group_yield_n!$C$21+fish_feed_group_yield_n!$C$24*C20</f>
        <v>0</v>
      </c>
      <c r="F20" s="2">
        <f>B20*fish_feed_group_yield_w!$C$21+C20*fish_feed_group_yield_w!$C$24</f>
        <v>0</v>
      </c>
      <c r="G20" s="2">
        <f>IF(ISERROR(eqf!$B$10/aquaculture_yields!E20),0,eqf!$B$10/aquaculture_yields!E20)</f>
        <v>0</v>
      </c>
      <c r="H20" s="2">
        <f>IF(ISERROR(eqf!$B$10/aquaculture_yields!F20),0,eqf!$B$10/aquaculture_yields!F20)</f>
        <v>0</v>
      </c>
      <c r="I20" s="222">
        <f>D20*fish_feed_group_yield_w!$B$36</f>
        <v>0</v>
      </c>
    </row>
    <row r="21" spans="1:9">
      <c r="A21" s="14" t="s">
        <v>3789</v>
      </c>
      <c r="B21" s="2">
        <f t="shared" si="0"/>
        <v>0</v>
      </c>
      <c r="C21" s="2">
        <f t="shared" si="1"/>
        <v>0</v>
      </c>
      <c r="D21" s="2">
        <f t="shared" si="2"/>
        <v>0</v>
      </c>
      <c r="E21" s="2">
        <f>B21*fish_feed_group_yield_n!$C$21+fish_feed_group_yield_n!$C$24*C21</f>
        <v>0</v>
      </c>
      <c r="F21" s="2">
        <f>B21*fish_feed_group_yield_w!$C$21+C21*fish_feed_group_yield_w!$C$24</f>
        <v>0</v>
      </c>
      <c r="G21" s="2">
        <f>IF(ISERROR(eqf!$B$10/aquaculture_yields!E21),0,eqf!$B$10/aquaculture_yields!E21)</f>
        <v>0</v>
      </c>
      <c r="H21" s="2">
        <f>IF(ISERROR(eqf!$B$10/aquaculture_yields!F21),0,eqf!$B$10/aquaculture_yields!F21)</f>
        <v>0</v>
      </c>
      <c r="I21" s="222">
        <f>D21*fish_feed_group_yield_w!$B$36</f>
        <v>0</v>
      </c>
    </row>
    <row r="22" spans="1:9">
      <c r="A22" s="14" t="s">
        <v>3790</v>
      </c>
      <c r="B22" s="2">
        <f t="shared" si="0"/>
        <v>0.23903099999999999</v>
      </c>
      <c r="C22" s="2">
        <f t="shared" si="1"/>
        <v>6.0399499999999995E-2</v>
      </c>
      <c r="D22" s="2">
        <f t="shared" si="2"/>
        <v>0.90596949999999998</v>
      </c>
      <c r="E22" s="2">
        <f>B22*fish_feed_group_yield_n!$C$21+fish_feed_group_yield_n!$C$24*C22</f>
        <v>1.5803590763110691</v>
      </c>
      <c r="F22" s="2">
        <f>B22*fish_feed_group_yield_w!$C$21+C22*fish_feed_group_yield_w!$C$24</f>
        <v>0.90439584441529353</v>
      </c>
      <c r="G22" s="2">
        <f>IF(ISERROR(eqf!$B$10/aquaculture_yields!E22),0,eqf!$B$10/aquaculture_yields!E22)</f>
        <v>0.23063782452645643</v>
      </c>
      <c r="H22" s="2">
        <f>IF(ISERROR(eqf!$B$10/aquaculture_yields!F22),0,eqf!$B$10/aquaculture_yields!F22)</f>
        <v>0.40302106824326928</v>
      </c>
      <c r="I22" s="222">
        <f>D22*fish_feed_group_yield_w!$B$36</f>
        <v>0.72046456210693466</v>
      </c>
    </row>
    <row r="23" spans="1:9">
      <c r="A23" s="14" t="s">
        <v>2312</v>
      </c>
      <c r="B23" s="2">
        <f t="shared" si="0"/>
        <v>0.23903099999999999</v>
      </c>
      <c r="C23" s="2">
        <f t="shared" si="1"/>
        <v>6.0399499999999995E-2</v>
      </c>
      <c r="D23" s="2">
        <f t="shared" si="2"/>
        <v>0.90596949999999998</v>
      </c>
      <c r="E23" s="2">
        <f>B23*fish_feed_group_yield_n!$C$21+fish_feed_group_yield_n!$C$24*C23</f>
        <v>1.5803590763110691</v>
      </c>
      <c r="F23" s="2">
        <f>B23*fish_feed_group_yield_w!$C$21+C23*fish_feed_group_yield_w!$C$24</f>
        <v>0.90439584441529353</v>
      </c>
      <c r="G23" s="2">
        <f>IF(ISERROR(eqf!$B$10/aquaculture_yields!E23),0,eqf!$B$10/aquaculture_yields!E23)</f>
        <v>0.23063782452645643</v>
      </c>
      <c r="H23" s="2">
        <f>IF(ISERROR(eqf!$B$10/aquaculture_yields!F23),0,eqf!$B$10/aquaculture_yields!F23)</f>
        <v>0.40302106824326928</v>
      </c>
      <c r="I23" s="222">
        <f>D23*fish_feed_group_yield_w!$B$36</f>
        <v>0.72046456210693466</v>
      </c>
    </row>
    <row r="24" spans="1:9">
      <c r="A24" s="14" t="s">
        <v>2313</v>
      </c>
      <c r="B24" s="2">
        <f t="shared" si="0"/>
        <v>0.23903099999999999</v>
      </c>
      <c r="C24" s="2">
        <f t="shared" si="1"/>
        <v>6.0399499999999995E-2</v>
      </c>
      <c r="D24" s="2">
        <f t="shared" si="2"/>
        <v>0.90596949999999998</v>
      </c>
      <c r="E24" s="2">
        <f>B24*fish_feed_group_yield_n!$C$21+fish_feed_group_yield_n!$C$24*C24</f>
        <v>1.5803590763110691</v>
      </c>
      <c r="F24" s="2">
        <f>B24*fish_feed_group_yield_w!$C$21+C24*fish_feed_group_yield_w!$C$24</f>
        <v>0.90439584441529353</v>
      </c>
      <c r="G24" s="2">
        <f>IF(ISERROR(eqf!$B$10/aquaculture_yields!E24),0,eqf!$B$10/aquaculture_yields!E24)</f>
        <v>0.23063782452645643</v>
      </c>
      <c r="H24" s="2">
        <f>IF(ISERROR(eqf!$B$10/aquaculture_yields!F24),0,eqf!$B$10/aquaculture_yields!F24)</f>
        <v>0.40302106824326928</v>
      </c>
      <c r="I24" s="222">
        <f>D24*fish_feed_group_yield_w!$B$36</f>
        <v>0.72046456210693466</v>
      </c>
    </row>
    <row r="25" spans="1:9">
      <c r="A25" s="14" t="s">
        <v>2314</v>
      </c>
      <c r="B25" s="2">
        <f t="shared" si="0"/>
        <v>0.23903099999999999</v>
      </c>
      <c r="C25" s="2">
        <f t="shared" si="1"/>
        <v>6.0399499999999995E-2</v>
      </c>
      <c r="D25" s="2">
        <f t="shared" si="2"/>
        <v>0.90596949999999998</v>
      </c>
      <c r="E25" s="2">
        <f>B25*fish_feed_group_yield_n!$C$21+fish_feed_group_yield_n!$C$24*C25</f>
        <v>1.5803590763110691</v>
      </c>
      <c r="F25" s="2">
        <f>B25*fish_feed_group_yield_w!$C$21+C25*fish_feed_group_yield_w!$C$24</f>
        <v>0.90439584441529353</v>
      </c>
      <c r="G25" s="2">
        <f>IF(ISERROR(eqf!$B$10/aquaculture_yields!E25),0,eqf!$B$10/aquaculture_yields!E25)</f>
        <v>0.23063782452645643</v>
      </c>
      <c r="H25" s="2">
        <f>IF(ISERROR(eqf!$B$10/aquaculture_yields!F25),0,eqf!$B$10/aquaculture_yields!F25)</f>
        <v>0.40302106824326928</v>
      </c>
      <c r="I25" s="222">
        <f>D25*fish_feed_group_yield_w!$B$36</f>
        <v>0.72046456210693466</v>
      </c>
    </row>
    <row r="26" spans="1:9">
      <c r="A26" s="14" t="s">
        <v>1449</v>
      </c>
      <c r="B26" s="2">
        <f t="shared" si="0"/>
        <v>0</v>
      </c>
      <c r="C26" s="2">
        <f t="shared" si="1"/>
        <v>0</v>
      </c>
      <c r="D26" s="2">
        <f t="shared" si="2"/>
        <v>0</v>
      </c>
      <c r="E26" s="2">
        <f>B26*fish_feed_group_yield_n!$C$21+fish_feed_group_yield_n!$C$24*C26</f>
        <v>0</v>
      </c>
      <c r="F26" s="2">
        <f>B26*fish_feed_group_yield_w!$C$21+C26*fish_feed_group_yield_w!$C$24</f>
        <v>0</v>
      </c>
      <c r="G26" s="2">
        <f>IF(ISERROR(eqf!$B$10/aquaculture_yields!E26),0,eqf!$B$10/aquaculture_yields!E26)</f>
        <v>0</v>
      </c>
      <c r="H26" s="2">
        <f>IF(ISERROR(eqf!$B$10/aquaculture_yields!F26),0,eqf!$B$10/aquaculture_yields!F26)</f>
        <v>0</v>
      </c>
      <c r="I26" s="222">
        <f>D26*fish_feed_group_yield_w!$B$36</f>
        <v>0</v>
      </c>
    </row>
    <row r="27" spans="1:9">
      <c r="A27" s="14" t="s">
        <v>2315</v>
      </c>
      <c r="B27" s="2">
        <f t="shared" si="0"/>
        <v>0.23903099999999999</v>
      </c>
      <c r="C27" s="2">
        <f t="shared" si="1"/>
        <v>6.0399499999999995E-2</v>
      </c>
      <c r="D27" s="2">
        <f t="shared" si="2"/>
        <v>0.90596949999999998</v>
      </c>
      <c r="E27" s="2">
        <f>B27*fish_feed_group_yield_n!$C$21+fish_feed_group_yield_n!$C$24*C27</f>
        <v>1.5803590763110691</v>
      </c>
      <c r="F27" s="2">
        <f>B27*fish_feed_group_yield_w!$C$21+C27*fish_feed_group_yield_w!$C$24</f>
        <v>0.90439584441529353</v>
      </c>
      <c r="G27" s="2">
        <f>IF(ISERROR(eqf!$B$10/aquaculture_yields!E27),0,eqf!$B$10/aquaculture_yields!E27)</f>
        <v>0.23063782452645643</v>
      </c>
      <c r="H27" s="2">
        <f>IF(ISERROR(eqf!$B$10/aquaculture_yields!F27),0,eqf!$B$10/aquaculture_yields!F27)</f>
        <v>0.40302106824326928</v>
      </c>
      <c r="I27" s="222">
        <f>D27*fish_feed_group_yield_w!$B$36</f>
        <v>0.72046456210693466</v>
      </c>
    </row>
    <row r="28" spans="1:9">
      <c r="A28" s="14" t="s">
        <v>2316</v>
      </c>
      <c r="B28" s="2">
        <f t="shared" si="0"/>
        <v>0.23903099999999999</v>
      </c>
      <c r="C28" s="2">
        <f t="shared" si="1"/>
        <v>6.0399499999999995E-2</v>
      </c>
      <c r="D28" s="2">
        <f t="shared" si="2"/>
        <v>0.90596949999999998</v>
      </c>
      <c r="E28" s="2">
        <f>B28*fish_feed_group_yield_n!$C$21+fish_feed_group_yield_n!$C$24*C28</f>
        <v>1.5803590763110691</v>
      </c>
      <c r="F28" s="2">
        <f>B28*fish_feed_group_yield_w!$C$21+C28*fish_feed_group_yield_w!$C$24</f>
        <v>0.90439584441529353</v>
      </c>
      <c r="G28" s="2">
        <f>IF(ISERROR(eqf!$B$10/aquaculture_yields!E28),0,eqf!$B$10/aquaculture_yields!E28)</f>
        <v>0.23063782452645643</v>
      </c>
      <c r="H28" s="2">
        <f>IF(ISERROR(eqf!$B$10/aquaculture_yields!F28),0,eqf!$B$10/aquaculture_yields!F28)</f>
        <v>0.40302106824326928</v>
      </c>
      <c r="I28" s="222">
        <f>D28*fish_feed_group_yield_w!$B$36</f>
        <v>0.72046456210693466</v>
      </c>
    </row>
    <row r="29" spans="1:9">
      <c r="A29" s="14" t="s">
        <v>2317</v>
      </c>
      <c r="B29" s="2">
        <f t="shared" si="0"/>
        <v>0.23903099999999999</v>
      </c>
      <c r="C29" s="2">
        <f t="shared" si="1"/>
        <v>6.0399499999999995E-2</v>
      </c>
      <c r="D29" s="2">
        <f t="shared" si="2"/>
        <v>0.90596949999999998</v>
      </c>
      <c r="E29" s="2">
        <f>B29*fish_feed_group_yield_n!$C$21+fish_feed_group_yield_n!$C$24*C29</f>
        <v>1.5803590763110691</v>
      </c>
      <c r="F29" s="2">
        <f>B29*fish_feed_group_yield_w!$C$21+C29*fish_feed_group_yield_w!$C$24</f>
        <v>0.90439584441529353</v>
      </c>
      <c r="G29" s="2">
        <f>IF(ISERROR(eqf!$B$10/aquaculture_yields!E29),0,eqf!$B$10/aquaculture_yields!E29)</f>
        <v>0.23063782452645643</v>
      </c>
      <c r="H29" s="2">
        <f>IF(ISERROR(eqf!$B$10/aquaculture_yields!F29),0,eqf!$B$10/aquaculture_yields!F29)</f>
        <v>0.40302106824326928</v>
      </c>
      <c r="I29" s="222">
        <f>D29*fish_feed_group_yield_w!$B$36</f>
        <v>0.72046456210693466</v>
      </c>
    </row>
    <row r="30" spans="1:9">
      <c r="A30" s="14" t="s">
        <v>3791</v>
      </c>
      <c r="B30" s="2">
        <f t="shared" si="0"/>
        <v>0.312</v>
      </c>
      <c r="C30" s="2">
        <f t="shared" si="1"/>
        <v>0.23399999999999999</v>
      </c>
      <c r="D30" s="2">
        <f t="shared" si="2"/>
        <v>0.75400000000000011</v>
      </c>
      <c r="E30" s="2">
        <f>B30*fish_feed_group_yield_n!$C$21+fish_feed_group_yield_n!$C$24*C30</f>
        <v>2.7896356724425129</v>
      </c>
      <c r="F30" s="2">
        <f>B30*fish_feed_group_yield_w!$C$21+C30*fish_feed_group_yield_w!$C$24</f>
        <v>1.596431435999214</v>
      </c>
      <c r="G30" s="2">
        <f>IF(ISERROR(eqf!$B$10/aquaculture_yields!E30),0,eqf!$B$10/aquaculture_yields!E30)</f>
        <v>0.1306588465768683</v>
      </c>
      <c r="H30" s="2">
        <f>IF(ISERROR(eqf!$B$10/aquaculture_yields!F30),0,eqf!$B$10/aquaculture_yields!F30)</f>
        <v>0.22831583687957682</v>
      </c>
      <c r="I30" s="222">
        <f>D30*fish_feed_group_yield_w!$B$36</f>
        <v>0.59961210595790349</v>
      </c>
    </row>
    <row r="31" spans="1:9">
      <c r="A31" s="14" t="s">
        <v>2318</v>
      </c>
      <c r="B31" s="2">
        <f t="shared" si="0"/>
        <v>0.23903099999999999</v>
      </c>
      <c r="C31" s="2">
        <f t="shared" si="1"/>
        <v>6.0399499999999995E-2</v>
      </c>
      <c r="D31" s="2">
        <f t="shared" si="2"/>
        <v>0.90596949999999998</v>
      </c>
      <c r="E31" s="2">
        <f>B31*fish_feed_group_yield_n!$C$21+fish_feed_group_yield_n!$C$24*C31</f>
        <v>1.5803590763110691</v>
      </c>
      <c r="F31" s="2">
        <f>B31*fish_feed_group_yield_w!$C$21+C31*fish_feed_group_yield_w!$C$24</f>
        <v>0.90439584441529353</v>
      </c>
      <c r="G31" s="2">
        <f>IF(ISERROR(eqf!$B$10/aquaculture_yields!E31),0,eqf!$B$10/aquaculture_yields!E31)</f>
        <v>0.23063782452645643</v>
      </c>
      <c r="H31" s="2">
        <f>IF(ISERROR(eqf!$B$10/aquaculture_yields!F31),0,eqf!$B$10/aquaculture_yields!F31)</f>
        <v>0.40302106824326928</v>
      </c>
      <c r="I31" s="222">
        <f>D31*fish_feed_group_yield_w!$B$36</f>
        <v>0.72046456210693466</v>
      </c>
    </row>
    <row r="32" spans="1:9">
      <c r="A32" s="14" t="s">
        <v>2319</v>
      </c>
      <c r="B32" s="2">
        <f t="shared" si="0"/>
        <v>0.23903099999999999</v>
      </c>
      <c r="C32" s="2">
        <f t="shared" si="1"/>
        <v>6.0399499999999995E-2</v>
      </c>
      <c r="D32" s="2">
        <f t="shared" si="2"/>
        <v>0.90596949999999998</v>
      </c>
      <c r="E32" s="2">
        <f>B32*fish_feed_group_yield_n!$C$21+fish_feed_group_yield_n!$C$24*C32</f>
        <v>1.5803590763110691</v>
      </c>
      <c r="F32" s="2">
        <f>B32*fish_feed_group_yield_w!$C$21+C32*fish_feed_group_yield_w!$C$24</f>
        <v>0.90439584441529353</v>
      </c>
      <c r="G32" s="2">
        <f>IF(ISERROR(eqf!$B$10/aquaculture_yields!E32),0,eqf!$B$10/aquaculture_yields!E32)</f>
        <v>0.23063782452645643</v>
      </c>
      <c r="H32" s="2">
        <f>IF(ISERROR(eqf!$B$10/aquaculture_yields!F32),0,eqf!$B$10/aquaculture_yields!F32)</f>
        <v>0.40302106824326928</v>
      </c>
      <c r="I32" s="222">
        <f>D32*fish_feed_group_yield_w!$B$36</f>
        <v>0.72046456210693466</v>
      </c>
    </row>
    <row r="33" spans="1:9">
      <c r="A33" s="14" t="s">
        <v>2320</v>
      </c>
      <c r="B33" s="2">
        <f t="shared" si="0"/>
        <v>0.23903099999999999</v>
      </c>
      <c r="C33" s="2">
        <f t="shared" si="1"/>
        <v>6.0399499999999995E-2</v>
      </c>
      <c r="D33" s="2">
        <f t="shared" si="2"/>
        <v>0.90596949999999998</v>
      </c>
      <c r="E33" s="2">
        <f>B33*fish_feed_group_yield_n!$C$21+fish_feed_group_yield_n!$C$24*C33</f>
        <v>1.5803590763110691</v>
      </c>
      <c r="F33" s="2">
        <f>B33*fish_feed_group_yield_w!$C$21+C33*fish_feed_group_yield_w!$C$24</f>
        <v>0.90439584441529353</v>
      </c>
      <c r="G33" s="2">
        <f>IF(ISERROR(eqf!$B$10/aquaculture_yields!E33),0,eqf!$B$10/aquaculture_yields!E33)</f>
        <v>0.23063782452645643</v>
      </c>
      <c r="H33" s="2">
        <f>IF(ISERROR(eqf!$B$10/aquaculture_yields!F33),0,eqf!$B$10/aquaculture_yields!F33)</f>
        <v>0.40302106824326928</v>
      </c>
      <c r="I33" s="222">
        <f>D33*fish_feed_group_yield_w!$B$36</f>
        <v>0.72046456210693466</v>
      </c>
    </row>
    <row r="34" spans="1:9">
      <c r="A34" s="14" t="s">
        <v>2321</v>
      </c>
      <c r="B34" s="2">
        <f t="shared" si="0"/>
        <v>0</v>
      </c>
      <c r="C34" s="2">
        <f t="shared" si="1"/>
        <v>0</v>
      </c>
      <c r="D34" s="2">
        <f t="shared" si="2"/>
        <v>0</v>
      </c>
      <c r="E34" s="2">
        <f>B34*fish_feed_group_yield_n!$C$21+fish_feed_group_yield_n!$C$24*C34</f>
        <v>0</v>
      </c>
      <c r="F34" s="2">
        <f>B34*fish_feed_group_yield_w!$C$21+C34*fish_feed_group_yield_w!$C$24</f>
        <v>0</v>
      </c>
      <c r="G34" s="2">
        <f>IF(ISERROR(eqf!$B$10/aquaculture_yields!E34),0,eqf!$B$10/aquaculture_yields!E34)</f>
        <v>0</v>
      </c>
      <c r="H34" s="2">
        <f>IF(ISERROR(eqf!$B$10/aquaculture_yields!F34),0,eqf!$B$10/aquaculture_yields!F34)</f>
        <v>0</v>
      </c>
      <c r="I34" s="222">
        <f>D34*fish_feed_group_yield_w!$B$36</f>
        <v>0</v>
      </c>
    </row>
    <row r="35" spans="1:9">
      <c r="A35" s="14" t="s">
        <v>2322</v>
      </c>
      <c r="B35" s="2">
        <f t="shared" si="0"/>
        <v>0.28458</v>
      </c>
      <c r="C35" s="2">
        <f t="shared" si="1"/>
        <v>3.1620000000000002E-2</v>
      </c>
      <c r="D35" s="2">
        <f t="shared" si="2"/>
        <v>1.2648000000000001</v>
      </c>
      <c r="E35" s="2">
        <f>B35*fish_feed_group_yield_n!$C$21+fish_feed_group_yield_n!$C$24*C35</f>
        <v>1.6927779385823294</v>
      </c>
      <c r="F35" s="2">
        <f>B35*fish_feed_group_yield_w!$C$21+C35*fish_feed_group_yield_w!$C$24</f>
        <v>0.96873005389719635</v>
      </c>
      <c r="G35" s="2">
        <f>IF(ISERROR(eqf!$B$10/aquaculture_yields!E35),0,eqf!$B$10/aquaculture_yields!E35)</f>
        <v>0.21532096503826093</v>
      </c>
      <c r="H35" s="2">
        <f>IF(ISERROR(eqf!$B$10/aquaculture_yields!F35),0,eqf!$B$10/aquaculture_yields!F35)</f>
        <v>0.37625608688889262</v>
      </c>
      <c r="I35" s="222">
        <f>D35*fish_feed_group_yield_w!$B$36</f>
        <v>1.0058214742911886</v>
      </c>
    </row>
    <row r="36" spans="1:9">
      <c r="A36" s="14" t="s">
        <v>1741</v>
      </c>
      <c r="B36" s="2">
        <f t="shared" si="0"/>
        <v>0.23903099999999999</v>
      </c>
      <c r="C36" s="2">
        <f t="shared" si="1"/>
        <v>6.0399499999999995E-2</v>
      </c>
      <c r="D36" s="2">
        <f t="shared" si="2"/>
        <v>0.90596949999999998</v>
      </c>
      <c r="E36" s="2">
        <f>B36*fish_feed_group_yield_n!$C$21+fish_feed_group_yield_n!$C$24*C36</f>
        <v>1.5803590763110691</v>
      </c>
      <c r="F36" s="2">
        <f>B36*fish_feed_group_yield_w!$C$21+C36*fish_feed_group_yield_w!$C$24</f>
        <v>0.90439584441529353</v>
      </c>
      <c r="G36" s="2">
        <f>IF(ISERROR(eqf!$B$10/aquaculture_yields!E36),0,eqf!$B$10/aquaculture_yields!E36)</f>
        <v>0.23063782452645643</v>
      </c>
      <c r="H36" s="2">
        <f>IF(ISERROR(eqf!$B$10/aquaculture_yields!F36),0,eqf!$B$10/aquaculture_yields!F36)</f>
        <v>0.40302106824326928</v>
      </c>
      <c r="I36" s="222">
        <f>D36*fish_feed_group_yield_w!$B$36</f>
        <v>0.72046456210693466</v>
      </c>
    </row>
    <row r="37" spans="1:9">
      <c r="A37" s="14" t="s">
        <v>1739</v>
      </c>
      <c r="B37" s="2">
        <f t="shared" si="0"/>
        <v>0.23903099999999999</v>
      </c>
      <c r="C37" s="2">
        <f t="shared" si="1"/>
        <v>6.0399499999999995E-2</v>
      </c>
      <c r="D37" s="2">
        <f t="shared" si="2"/>
        <v>0.90596949999999998</v>
      </c>
      <c r="E37" s="2">
        <f>B37*fish_feed_group_yield_n!$C$21+fish_feed_group_yield_n!$C$24*C37</f>
        <v>1.5803590763110691</v>
      </c>
      <c r="F37" s="2">
        <f>B37*fish_feed_group_yield_w!$C$21+C37*fish_feed_group_yield_w!$C$24</f>
        <v>0.90439584441529353</v>
      </c>
      <c r="G37" s="2">
        <f>IF(ISERROR(eqf!$B$10/aquaculture_yields!E37),0,eqf!$B$10/aquaculture_yields!E37)</f>
        <v>0.23063782452645643</v>
      </c>
      <c r="H37" s="2">
        <f>IF(ISERROR(eqf!$B$10/aquaculture_yields!F37),0,eqf!$B$10/aquaculture_yields!F37)</f>
        <v>0.40302106824326928</v>
      </c>
      <c r="I37" s="222">
        <f>D37*fish_feed_group_yield_w!$B$36</f>
        <v>0.72046456210693466</v>
      </c>
    </row>
    <row r="38" spans="1:9">
      <c r="A38" s="14" t="s">
        <v>2323</v>
      </c>
      <c r="B38" s="2">
        <f t="shared" si="0"/>
        <v>0.312</v>
      </c>
      <c r="C38" s="2">
        <f t="shared" si="1"/>
        <v>0.13</v>
      </c>
      <c r="D38" s="2">
        <f t="shared" si="2"/>
        <v>0.8580000000000001</v>
      </c>
      <c r="E38" s="2">
        <f>B38*fish_feed_group_yield_n!$C$21+fish_feed_group_yield_n!$C$24*C38</f>
        <v>2.3024595083453017</v>
      </c>
      <c r="F38" s="2">
        <f>B38*fish_feed_group_yield_w!$C$21+C38*fish_feed_group_yield_w!$C$24</f>
        <v>1.3176339747689689</v>
      </c>
      <c r="G38" s="2">
        <f>IF(ISERROR(eqf!$B$10/aquaculture_yields!E38),0,eqf!$B$10/aquaculture_yields!E38)</f>
        <v>0.15830488137138704</v>
      </c>
      <c r="H38" s="2">
        <f>IF(ISERROR(eqf!$B$10/aquaculture_yields!F38),0,eqf!$B$10/aquaculture_yields!F38)</f>
        <v>0.27662506151978522</v>
      </c>
      <c r="I38" s="222">
        <f>D38*fish_feed_group_yield_w!$B$36</f>
        <v>0.68231722402106254</v>
      </c>
    </row>
    <row r="39" spans="1:9">
      <c r="A39" s="14" t="s">
        <v>1736</v>
      </c>
      <c r="B39" s="2">
        <f t="shared" si="0"/>
        <v>0.23903099999999999</v>
      </c>
      <c r="C39" s="2">
        <f t="shared" si="1"/>
        <v>6.0399499999999995E-2</v>
      </c>
      <c r="D39" s="2">
        <f t="shared" si="2"/>
        <v>0.90596949999999998</v>
      </c>
      <c r="E39" s="2">
        <f>B39*fish_feed_group_yield_n!$C$21+fish_feed_group_yield_n!$C$24*C39</f>
        <v>1.5803590763110691</v>
      </c>
      <c r="F39" s="2">
        <f>B39*fish_feed_group_yield_w!$C$21+C39*fish_feed_group_yield_w!$C$24</f>
        <v>0.90439584441529353</v>
      </c>
      <c r="G39" s="2">
        <f>IF(ISERROR(eqf!$B$10/aquaculture_yields!E39),0,eqf!$B$10/aquaculture_yields!E39)</f>
        <v>0.23063782452645643</v>
      </c>
      <c r="H39" s="2">
        <f>IF(ISERROR(eqf!$B$10/aquaculture_yields!F39),0,eqf!$B$10/aquaculture_yields!F39)</f>
        <v>0.40302106824326928</v>
      </c>
      <c r="I39" s="222">
        <f>D39*fish_feed_group_yield_w!$B$36</f>
        <v>0.72046456210693466</v>
      </c>
    </row>
    <row r="40" spans="1:9">
      <c r="A40" s="14" t="s">
        <v>4065</v>
      </c>
      <c r="B40" s="2">
        <f t="shared" si="0"/>
        <v>0</v>
      </c>
      <c r="C40" s="2">
        <f t="shared" si="1"/>
        <v>0</v>
      </c>
      <c r="D40" s="2">
        <f t="shared" si="2"/>
        <v>0</v>
      </c>
      <c r="E40" s="2">
        <v>0</v>
      </c>
      <c r="F40" s="2">
        <v>0</v>
      </c>
      <c r="G40" s="2">
        <v>0</v>
      </c>
      <c r="H40" s="2">
        <v>0</v>
      </c>
      <c r="I40" s="222">
        <v>0</v>
      </c>
    </row>
    <row r="41" spans="1:9">
      <c r="A41" s="14" t="s">
        <v>4084</v>
      </c>
      <c r="B41" s="2">
        <f t="shared" si="0"/>
        <v>0</v>
      </c>
      <c r="C41" s="2">
        <f t="shared" si="1"/>
        <v>0</v>
      </c>
      <c r="D41" s="2">
        <f t="shared" si="2"/>
        <v>0</v>
      </c>
      <c r="E41" s="2">
        <v>0</v>
      </c>
      <c r="F41" s="2">
        <v>0</v>
      </c>
      <c r="G41" s="2">
        <v>0</v>
      </c>
      <c r="H41" s="2">
        <v>0</v>
      </c>
      <c r="I41" s="222">
        <v>0</v>
      </c>
    </row>
    <row r="42" spans="1:9">
      <c r="A42" s="14" t="s">
        <v>1737</v>
      </c>
      <c r="B42" s="2">
        <f t="shared" si="0"/>
        <v>0.13818</v>
      </c>
      <c r="C42" s="2">
        <f t="shared" si="1"/>
        <v>1.4804999999999999E-2</v>
      </c>
      <c r="D42" s="2">
        <f t="shared" si="2"/>
        <v>0.83401499999999995</v>
      </c>
      <c r="E42" s="2">
        <f>B42*fish_feed_group_yield_n!$C$21+fish_feed_group_yield_n!$C$24*C42</f>
        <v>0.81937269630718124</v>
      </c>
      <c r="F42" s="2">
        <f>B42*fish_feed_group_yield_w!$C$21+C42*fish_feed_group_yield_w!$C$24</f>
        <v>0.46890436020231852</v>
      </c>
      <c r="G42" s="2">
        <f>IF(ISERROR(eqf!$B$10/aquaculture_yields!E42),0,eqf!$B$10/aquaculture_yields!E42)</f>
        <v>0.44484101187865105</v>
      </c>
      <c r="H42" s="2">
        <f>IF(ISERROR(eqf!$B$10/aquaculture_yields!F42),0,eqf!$B$10/aquaculture_yields!F42)</f>
        <v>0.77732392843128628</v>
      </c>
      <c r="I42" s="222">
        <f>D42*fish_feed_group_yield_w!$B$36</f>
        <v>0.66324335616774632</v>
      </c>
    </row>
    <row r="43" spans="1:9">
      <c r="A43" s="14" t="s">
        <v>2310</v>
      </c>
      <c r="B43" s="2">
        <f t="shared" si="0"/>
        <v>0.23903099999999999</v>
      </c>
      <c r="C43" s="2">
        <f t="shared" si="1"/>
        <v>6.0399499999999995E-2</v>
      </c>
      <c r="D43" s="2">
        <f t="shared" si="2"/>
        <v>0.90596949999999998</v>
      </c>
      <c r="E43" s="2">
        <f>B43*fish_feed_group_yield_n!$C$21+fish_feed_group_yield_n!$C$24*C43</f>
        <v>1.5803590763110691</v>
      </c>
      <c r="F43" s="2">
        <f>B43*fish_feed_group_yield_w!$C$21+C43*fish_feed_group_yield_w!$C$24</f>
        <v>0.90439584441529353</v>
      </c>
      <c r="G43" s="2">
        <f>IF(ISERROR(eqf!$B$10/aquaculture_yields!E43),0,eqf!$B$10/aquaculture_yields!E43)</f>
        <v>0.23063782452645643</v>
      </c>
      <c r="H43" s="2">
        <f>IF(ISERROR(eqf!$B$10/aquaculture_yields!F43),0,eqf!$B$10/aquaculture_yields!F43)</f>
        <v>0.40302106824326928</v>
      </c>
      <c r="I43" s="222">
        <f>D43*fish_feed_group_yield_w!$B$36</f>
        <v>0.72046456210693466</v>
      </c>
    </row>
    <row r="44" spans="1:9">
      <c r="A44" s="14" t="s">
        <v>1738</v>
      </c>
      <c r="B44" s="2">
        <f t="shared" si="0"/>
        <v>0.23903099999999999</v>
      </c>
      <c r="C44" s="2">
        <f t="shared" si="1"/>
        <v>6.0399499999999995E-2</v>
      </c>
      <c r="D44" s="2">
        <f t="shared" si="2"/>
        <v>0.90596949999999998</v>
      </c>
      <c r="E44" s="2">
        <f>B44*fish_feed_group_yield_n!$C$21+fish_feed_group_yield_n!$C$24*C44</f>
        <v>1.5803590763110691</v>
      </c>
      <c r="F44" s="2">
        <f>B44*fish_feed_group_yield_w!$C$21+C44*fish_feed_group_yield_w!$C$24</f>
        <v>0.90439584441529353</v>
      </c>
      <c r="G44" s="2">
        <f>IF(ISERROR(eqf!$B$10/aquaculture_yields!E44),0,eqf!$B$10/aquaculture_yields!E44)</f>
        <v>0.23063782452645643</v>
      </c>
      <c r="H44" s="2">
        <f>IF(ISERROR(eqf!$B$10/aquaculture_yields!F44),0,eqf!$B$10/aquaculture_yields!F44)</f>
        <v>0.40302106824326928</v>
      </c>
      <c r="I44" s="222">
        <f>D44*fish_feed_group_yield_w!$B$36</f>
        <v>0.72046456210693466</v>
      </c>
    </row>
    <row r="45" spans="1:9">
      <c r="A45" s="14" t="s">
        <v>1735</v>
      </c>
      <c r="B45" s="2">
        <f t="shared" si="0"/>
        <v>0</v>
      </c>
      <c r="C45" s="2">
        <f t="shared" si="1"/>
        <v>0</v>
      </c>
      <c r="D45" s="2">
        <f t="shared" si="2"/>
        <v>0</v>
      </c>
      <c r="E45" s="2">
        <f>B45*fish_feed_group_yield_n!$C$21+fish_feed_group_yield_n!$C$24*C45</f>
        <v>0</v>
      </c>
      <c r="F45" s="2">
        <f>B45*fish_feed_group_yield_w!$C$21+C45*fish_feed_group_yield_w!$C$24</f>
        <v>0</v>
      </c>
      <c r="G45" s="2">
        <f>IF(ISERROR(eqf!$B$10/aquaculture_yields!E45),0,eqf!$B$10/aquaculture_yields!E45)</f>
        <v>0</v>
      </c>
      <c r="H45" s="2">
        <f>IF(ISERROR(eqf!$B$10/aquaculture_yields!F45),0,eqf!$B$10/aquaculture_yields!F45)</f>
        <v>0</v>
      </c>
      <c r="I45" s="222">
        <f>D45*fish_feed_group_yield_w!$B$36</f>
        <v>0</v>
      </c>
    </row>
    <row r="46" spans="1:9">
      <c r="A46" s="19" t="s">
        <v>2324</v>
      </c>
      <c r="B46" s="57">
        <f t="shared" si="0"/>
        <v>0</v>
      </c>
      <c r="C46" s="57">
        <f t="shared" si="1"/>
        <v>0</v>
      </c>
      <c r="D46" s="57">
        <f t="shared" si="2"/>
        <v>0</v>
      </c>
      <c r="E46" s="57">
        <f>B46*fish_feed_group_yield_n!$C$21+fish_feed_group_yield_n!$C$24*C46</f>
        <v>0</v>
      </c>
      <c r="F46" s="57">
        <f>B46*fish_feed_group_yield_w!$C$21+C46*fish_feed_group_yield_w!$C$24</f>
        <v>0</v>
      </c>
      <c r="G46" s="57">
        <f>IF(ISERROR(eqf!$B$10/aquaculture_yields!E46),0,eqf!$B$10/aquaculture_yields!E46)</f>
        <v>0</v>
      </c>
      <c r="H46" s="57">
        <f>IF(ISERROR(eqf!$B$10/aquaculture_yields!F46),0,eqf!$B$10/aquaculture_yields!F46)</f>
        <v>0</v>
      </c>
      <c r="I46" s="224">
        <f>D46*fish_feed_group_yield_w!$B$36</f>
        <v>0</v>
      </c>
    </row>
  </sheetData>
  <phoneticPr fontId="0" type="noConversion"/>
  <hyperlinks>
    <hyperlink ref="D2" location="fish_feed_group_yield_n!A1" display="fish_feed_group_yield_n" xr:uid="{00000000-0004-0000-2C00-000000000000}"/>
    <hyperlink ref="F2" location="fish_feed_group_yield_w!A1" display="fish_feed_group_yield_w" xr:uid="{00000000-0004-0000-2C00-000001000000}"/>
    <hyperlink ref="D3" location="fish_group_yield_w!A1" display="fish_group_yield_w" xr:uid="{00000000-0004-0000-2C00-000002000000}"/>
    <hyperlink ref="E3" location="fish_group_yield_n!A1" display="fish_group_yield_n" xr:uid="{00000000-0004-0000-2C00-000003000000}"/>
    <hyperlink ref="E2" location="eqf!A1" tooltip="Go to eqf" display="eqf" xr:uid="{00000000-0004-0000-2C00-000004000000}"/>
    <hyperlink ref="G2" location="constant_aquafeed_factors" display="constant_aquafeed_factors" xr:uid="{00000000-0004-0000-2C00-000005000000}"/>
  </hyperlinks>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8">
    <tabColor theme="4"/>
  </sheetPr>
  <dimension ref="A1:J24"/>
  <sheetViews>
    <sheetView zoomScaleNormal="100" workbookViewId="0">
      <selection activeCell="A65536" sqref="A65536"/>
    </sheetView>
  </sheetViews>
  <sheetFormatPr defaultColWidth="9.1796875" defaultRowHeight="12.5"/>
  <cols>
    <col min="1" max="1" width="50.7265625" style="36" customWidth="1"/>
    <col min="2" max="2" width="39.1796875" style="36" customWidth="1"/>
    <col min="3" max="3" width="21.7265625" style="36" customWidth="1"/>
    <col min="4" max="4" width="23.26953125" style="36" customWidth="1"/>
    <col min="5" max="9" width="21.7265625" style="36" customWidth="1"/>
    <col min="10" max="16384" width="9.1796875" style="36"/>
  </cols>
  <sheetData>
    <row r="1" spans="1:10" ht="12.75" customHeight="1">
      <c r="B1" s="75"/>
      <c r="C1" s="75"/>
      <c r="D1" s="75"/>
      <c r="E1" s="75"/>
      <c r="F1" s="75"/>
      <c r="G1" s="75"/>
      <c r="H1" s="75"/>
      <c r="I1" s="75"/>
    </row>
    <row r="2" spans="1:10" ht="12.75" customHeight="1">
      <c r="B2" s="37" t="s">
        <v>985</v>
      </c>
      <c r="C2" s="466" t="s">
        <v>5244</v>
      </c>
      <c r="D2" s="466" t="s">
        <v>1760</v>
      </c>
      <c r="E2" s="466" t="s">
        <v>5249</v>
      </c>
      <c r="F2" s="466" t="s">
        <v>5250</v>
      </c>
      <c r="G2" s="466" t="s">
        <v>1759</v>
      </c>
      <c r="H2" s="466" t="s">
        <v>2004</v>
      </c>
      <c r="I2" s="466" t="s">
        <v>6169</v>
      </c>
      <c r="J2" s="466" t="s">
        <v>8829</v>
      </c>
    </row>
    <row r="3" spans="1:10" ht="12.75" customHeight="1">
      <c r="B3" s="37" t="s">
        <v>986</v>
      </c>
      <c r="C3" s="466" t="s">
        <v>5247</v>
      </c>
      <c r="D3" s="466" t="s">
        <v>1750</v>
      </c>
      <c r="E3" s="466"/>
      <c r="F3" s="466"/>
      <c r="G3" s="466"/>
      <c r="H3" s="466"/>
      <c r="I3" s="466"/>
    </row>
    <row r="4" spans="1:10" ht="12.75" customHeight="1"/>
    <row r="5" spans="1:10" ht="13">
      <c r="A5" s="1016" t="s">
        <v>115</v>
      </c>
      <c r="B5" s="1017" t="s">
        <v>116</v>
      </c>
      <c r="C5" s="1017" t="s">
        <v>3918</v>
      </c>
      <c r="D5" s="1017" t="s">
        <v>3920</v>
      </c>
      <c r="E5" s="1017" t="s">
        <v>2243</v>
      </c>
      <c r="F5" s="1017" t="s">
        <v>1926</v>
      </c>
      <c r="G5" s="1017" t="s">
        <v>5396</v>
      </c>
      <c r="H5" s="1017" t="s">
        <v>3919</v>
      </c>
      <c r="I5" s="1019" t="s">
        <v>3921</v>
      </c>
    </row>
    <row r="6" spans="1:10" ht="13">
      <c r="A6" s="1048"/>
      <c r="B6" s="1049"/>
      <c r="C6" s="1050"/>
      <c r="D6" s="1050"/>
      <c r="E6" s="1050"/>
      <c r="F6" s="1050"/>
      <c r="G6" s="1050"/>
      <c r="H6" s="1050"/>
      <c r="I6" s="1051"/>
    </row>
    <row r="7" spans="1:10">
      <c r="A7" s="14" t="s">
        <v>4344</v>
      </c>
      <c r="B7" t="s">
        <v>4685</v>
      </c>
      <c r="C7" s="25">
        <f>SUMIF(fish_efp!$O$7:$O$2327,B7,fish_efp!$P$7:$P$2327)</f>
        <v>63102.98</v>
      </c>
      <c r="D7" s="685">
        <f t="array" ref="D7">IF(ISERROR(1+LOG(SUM(IF(fish_efp!$O$7:$O$2327=B7,fish_efp!$P$7:$P$2327*fish_efp!$S$7:$S$2327,0))*9/(SUM(IF(fish_efp!$O$7:$O$2327=B7,fish_efp!$P$7:$P$2327,0))*cnst_fish!$C$7),1/cnst_fish!$C$8)),0,1+LOG(SUM(IF(fish_efp!$O$7:$O$2327=B7,fish_efp!$P$7:$P$2327*fish_efp!$S$7:$S$2327,0))*9/(SUM(IF(fish_efp!$O$7:$O$2327=B7,fish_efp!$P$7:$P$2327,0))*cnst_fish!$C$7),1/cnst_fish!$C$8))</f>
        <v>3.9766854118039037</v>
      </c>
      <c r="E7" s="87">
        <f>IF(D7=0,0,(1/9)*cnst_fish!$C$7*(1/cnst_fish!$C$8)^(D7-1))</f>
        <v>133.65447190709875</v>
      </c>
      <c r="F7" s="2">
        <f>IF(E7=0,H7,(1/E7)*cnst_fish!$C$6)</f>
        <v>3.1798412274256803E-2</v>
      </c>
      <c r="G7" s="25">
        <f>SUMIF(fish_commodity_yield_n!$D$7:$D$172,B7,fish_commodity_yield_n!$H$7:$H$172)</f>
        <v>18030.044995377189</v>
      </c>
      <c r="H7" s="2">
        <f>VLOOKUP(B7,fish_feed_group_yield_w!$B$7:$F$11,5,FALSE)</f>
        <v>9.6504159026322214E-2</v>
      </c>
      <c r="I7" s="56">
        <f t="shared" ref="I7:I11" si="0">IF(ISERROR((C7+G7)/((C7/F7)+(G7/H7))),F7,(C7+G7)/((C7/F7)+(G7/H7)))</f>
        <v>3.7366082942223391E-2</v>
      </c>
    </row>
    <row r="8" spans="1:10">
      <c r="A8" s="14" t="s">
        <v>4345</v>
      </c>
      <c r="B8" t="s">
        <v>4691</v>
      </c>
      <c r="C8" s="25">
        <f>SUMIF(fish_efp!$O$7:$O$2327,B8,fish_efp!$P$7:$P$2327)</f>
        <v>104697</v>
      </c>
      <c r="D8" s="685">
        <f t="array" ref="D8">IF(ISERROR(1+LOG(SUM(IF(fish_efp!$O$7:$O$2327=B8,fish_efp!$P$7:$P$2327*fish_efp!$S$7:$S$2327,0))*9/(SUM(IF(fish_efp!$O$7:$O$2327=B8,fish_efp!$P$7:$P$2327,0))*cnst_fish!$C$7),1/cnst_fish!$C$8)),0,1+LOG(SUM(IF(fish_efp!$O$7:$O$2327=B8,fish_efp!$P$7:$P$2327*fish_efp!$S$7:$S$2327,0))*9/(SUM(IF(fish_efp!$O$7:$O$2327=B8,fish_efp!$P$7:$P$2327,0))*cnst_fish!$C$7),1/cnst_fish!$C$8))</f>
        <v>2.1107213851926532</v>
      </c>
      <c r="E8" s="87">
        <f>IF(D8=0,0,(1/9)*cnst_fish!$C$7*(1/cnst_fish!$C$8)^(D8-1))</f>
        <v>1.8197824302481593</v>
      </c>
      <c r="F8" s="2">
        <f>IF(E8=0,H8,(1/E8)*cnst_fish!$C$6)</f>
        <v>2.3354440230640305</v>
      </c>
      <c r="G8" s="25">
        <f>SUMIF(fish_commodity_yield_n!$D$7:$D$172,B8,fish_commodity_yield_n!$H$7:$H$172)</f>
        <v>17476.479695852089</v>
      </c>
      <c r="H8" s="2">
        <f>VLOOKUP(B8,fish_feed_group_yield_w!$B$7:$F$11,5,FALSE)</f>
        <v>2.0091174210315512</v>
      </c>
      <c r="I8" s="54">
        <f t="shared" si="0"/>
        <v>2.2824143843497926</v>
      </c>
    </row>
    <row r="9" spans="1:10">
      <c r="A9" s="14" t="s">
        <v>112</v>
      </c>
      <c r="B9" t="s">
        <v>4680</v>
      </c>
      <c r="C9" s="25">
        <f>SUMIF(fish_efp!$O$7:$O$2327,B9,fish_efp!$P$7:$P$2327)</f>
        <v>259394</v>
      </c>
      <c r="D9" s="685">
        <f t="array" ref="D9">IF(ISERROR(1+LOG(SUM(IF(fish_efp!$O$7:$O$2327=B9,fish_efp!$P$7:$P$2327*fish_efp!$S$7:$S$2327,0))*9/(SUM(IF(fish_efp!$O$7:$O$2327=B9,fish_efp!$P$7:$P$2327,0))*cnst_fish!$C$7),1/cnst_fish!$C$8)),0,1+LOG(SUM(IF(fish_efp!$O$7:$O$2327=B9,fish_efp!$P$7:$P$2327*fish_efp!$S$7:$S$2327,0))*9/(SUM(IF(fish_efp!$O$7:$O$2327=B9,fish_efp!$P$7:$P$2327,0))*cnst_fish!$C$7),1/cnst_fish!$C$8))</f>
        <v>3.149190010327295</v>
      </c>
      <c r="E9" s="87">
        <f>IF(D9=0,0,(1/9)*cnst_fish!$C$7*(1/cnst_fish!$C$8)^(D9-1))</f>
        <v>19.883282949513898</v>
      </c>
      <c r="F9" s="2">
        <f>IF(E9=0,H9,(1/E9)*cnst_fish!$C$6)</f>
        <v>0.21374739829389708</v>
      </c>
      <c r="G9" s="25">
        <f>SUMIF(fish_commodity_yield_n!$D$7:$D$172,B9,fish_commodity_yield_n!$H$7:$H$172)</f>
        <v>37559.820105837513</v>
      </c>
      <c r="H9" s="2">
        <f>VLOOKUP(B9,fish_feed_group_yield_w!$B$7:$F$11,5,FALSE)</f>
        <v>0.27727538273256347</v>
      </c>
      <c r="I9" s="54">
        <f t="shared" si="0"/>
        <v>0.22012651742787773</v>
      </c>
    </row>
    <row r="10" spans="1:10">
      <c r="A10" s="14" t="s">
        <v>113</v>
      </c>
      <c r="B10" t="s">
        <v>4681</v>
      </c>
      <c r="C10" s="25">
        <f>SUMIF(fish_efp!$O$7:$O$2327,B10,fish_efp!$P$7:$P$2327)</f>
        <v>224092</v>
      </c>
      <c r="D10" s="685">
        <f t="array" ref="D10">IF(ISERROR(1+LOG(SUM(IF(fish_efp!$O$7:$O$2327=B10,fish_efp!$P$7:$P$2327*fish_efp!$S$7:$S$2327,0))*9/(SUM(IF(fish_efp!$O$7:$O$2327=B10,fish_efp!$P$7:$P$2327,0))*cnst_fish!$C$7),1/cnst_fish!$C$8)),0,1+LOG(SUM(IF(fish_efp!$O$7:$O$2327=B10,fish_efp!$P$7:$P$2327*fish_efp!$S$7:$S$2327,0))*9/(SUM(IF(fish_efp!$O$7:$O$2327=B10,fish_efp!$P$7:$P$2327,0))*cnst_fish!$C$7),1/cnst_fish!$C$8))</f>
        <v>4.2533856297238346</v>
      </c>
      <c r="E10" s="87">
        <f>IF(D10=0,0,(1/9)*cnst_fish!$C$7*(1/cnst_fish!$C$8)^(D10-1))</f>
        <v>252.74566309271628</v>
      </c>
      <c r="F10" s="2">
        <f>IF(E10=0,H10,(1/E10)*cnst_fish!$C$6)</f>
        <v>1.6815323151325234E-2</v>
      </c>
      <c r="G10" s="25">
        <f>SUMIF(fish_commodity_yield_n!$D$7:$D$172,B10,fish_commodity_yield_n!$H$7:$H$172)</f>
        <v>133762.0571735327</v>
      </c>
      <c r="H10" s="2">
        <f>VLOOKUP(B10,fish_feed_group_yield_w!$B$7:$F$11,5,FALSE)</f>
        <v>2.9280312643088512E-2</v>
      </c>
      <c r="I10" s="54">
        <f t="shared" si="0"/>
        <v>1.9997452899244223E-2</v>
      </c>
    </row>
    <row r="11" spans="1:10">
      <c r="A11" s="14" t="s">
        <v>114</v>
      </c>
      <c r="B11" t="s">
        <v>4699</v>
      </c>
      <c r="C11" s="25">
        <f>SUMIF(fish_efp!$O$7:$O$2327,B11,fish_efp!$P$7:$P$2327)</f>
        <v>159064</v>
      </c>
      <c r="D11" s="685">
        <f t="array" ref="D11">IF(ISERROR(1+LOG(SUM(IF(fish_efp!$O$7:$O$2327=B11,fish_efp!$P$7:$P$2327*fish_efp!$S$7:$S$2327,0))*9/(SUM(IF(fish_efp!$O$7:$O$2327=B11,fish_efp!$P$7:$P$2327,0))*cnst_fish!$C$7),1/cnst_fish!$C$8)),0,1+LOG(SUM(IF(fish_efp!$O$7:$O$2327=B11,fish_efp!$P$7:$P$2327*fish_efp!$S$7:$S$2327,0))*9/(SUM(IF(fish_efp!$O$7:$O$2327=B11,fish_efp!$P$7:$P$2327,0))*cnst_fish!$C$7),1/cnst_fish!$C$8))</f>
        <v>3.380046823275713</v>
      </c>
      <c r="E11" s="87">
        <f>IF(D11=0,0,(1/9)*cnst_fish!$C$7*(1/cnst_fish!$C$8)^(D11-1))</f>
        <v>33.833342542684605</v>
      </c>
      <c r="F11" s="2">
        <f>IF(E11=0,H11,(1/E11)*cnst_fish!$C$6)</f>
        <v>0.12561572935450119</v>
      </c>
      <c r="G11" s="25">
        <f>SUMIF(fish_commodity_yield_n!$D$7:$D$172,B11,fish_commodity_yield_n!$H$7:$H$172)</f>
        <v>29705.014019410704</v>
      </c>
      <c r="H11" s="2">
        <f>VLOOKUP(B11,fish_feed_group_yield_w!$B$7:$F$11,5,FALSE)</f>
        <v>4.4339814596513684E-2</v>
      </c>
      <c r="I11" s="54">
        <f t="shared" si="0"/>
        <v>9.7493853631092212E-2</v>
      </c>
    </row>
    <row r="12" spans="1:10">
      <c r="A12" s="19"/>
      <c r="B12" s="20" t="s">
        <v>4689</v>
      </c>
      <c r="C12" s="26">
        <f>C10+C11</f>
        <v>383156</v>
      </c>
      <c r="D12" s="686">
        <f t="array" ref="D12">IF(ISERROR(1+LOG(SUM(IF(fish_efp!$O$7:$O$2327=B12,fish_efp!$P$7:$P$2327*fish_efp!$S$7:$S$2327,0))*9/(SUM(IF(fish_efp!$O$7:$O$2327=B12,fish_efp!$P$7:$P$2327,0))*cnst_fish!$C$7),1/cnst_fish!$C$8)),0,1+LOG(SUM(IF(fish_efp!$O$7:$O$2327=B12,fish_efp!$P$7:$P$2327*fish_efp!$S$7:$S$2327,0))*9/(SUM(IF(fish_efp!$O$7:$O$2327=B12,fish_efp!$P$7:$P$2327,0))*cnst_fish!$C$7),1/cnst_fish!$C$8))</f>
        <v>3.1</v>
      </c>
      <c r="E12" s="88">
        <f>IF(C12=0,0,SUMPRODUCT(C10:C11,E10:E11)/C12)</f>
        <v>161.8660491600877</v>
      </c>
      <c r="F12" s="57">
        <f>IF(E12=0,H12,(1/E12)*cnst_fish!$C$6)</f>
        <v>2.6256278089525079E-2</v>
      </c>
      <c r="G12" s="26">
        <f>G10+G11</f>
        <v>163467.0711929434</v>
      </c>
      <c r="H12" s="57">
        <f>IF(ISERROR((G10+G11)/((G10/H10)+(G11/H11))),0,(G10+G11)/((G10/H10)+(G11/H11)))</f>
        <v>3.1206323934236949E-2</v>
      </c>
      <c r="I12" s="81">
        <f>IF(ISERROR((C12+G12)/((C12/F12)+(G12/H12))),F12,(C12+G12)/((C12/F12)+(G12/H12)))</f>
        <v>2.7563796988947103E-2</v>
      </c>
    </row>
    <row r="14" spans="1:10" ht="13">
      <c r="A14" s="1016" t="s">
        <v>3916</v>
      </c>
      <c r="B14" s="1017" t="s">
        <v>9228</v>
      </c>
      <c r="C14" s="1017" t="s">
        <v>5340</v>
      </c>
      <c r="D14" s="1017" t="s">
        <v>5341</v>
      </c>
      <c r="E14" s="1017" t="s">
        <v>4342</v>
      </c>
      <c r="F14" s="1017" t="s">
        <v>3987</v>
      </c>
      <c r="G14" s="1019" t="s">
        <v>6925</v>
      </c>
    </row>
    <row r="15" spans="1:10">
      <c r="A15" s="1020" t="s">
        <v>5342</v>
      </c>
      <c r="B15" s="1021" t="s">
        <v>5342</v>
      </c>
      <c r="C15" s="1021" t="s">
        <v>2977</v>
      </c>
      <c r="D15" s="1021" t="s">
        <v>5342</v>
      </c>
      <c r="E15" s="1021" t="s">
        <v>2977</v>
      </c>
      <c r="F15" s="1021" t="s">
        <v>5342</v>
      </c>
      <c r="G15" s="1033" t="s">
        <v>2977</v>
      </c>
    </row>
    <row r="16" spans="1:10">
      <c r="A16" s="14" t="s">
        <v>2321</v>
      </c>
      <c r="B16" s="2">
        <f>VLOOKUP($A16,fish_feed_group_yield_w!$A$16:$C$17,2,FALSE)</f>
        <v>1.014626896260473</v>
      </c>
      <c r="C16" s="25">
        <f>VLOOKUP($A16,fishmeal_fishes!$A$35:$H$36,4,FALSE)</f>
        <v>0</v>
      </c>
      <c r="D16" s="2">
        <f>eqf!$B$10/VLOOKUP($A16,fishmeal_fishes!$A$35:$H$36,7,FALSE)</f>
        <v>1.014626896260473</v>
      </c>
      <c r="E16" s="2">
        <f>VLOOKUP($A16,fishmeal_fishes!$A$35:$H$36,2,FALSE)</f>
        <v>0</v>
      </c>
      <c r="F16" s="2">
        <f t="shared" ref="F16" si="1">IF(G16=0,0,(B16*C16+D16*E16)/G16)</f>
        <v>0</v>
      </c>
      <c r="G16" s="23">
        <f>C16+E16</f>
        <v>0</v>
      </c>
    </row>
    <row r="17" spans="1:7">
      <c r="A17" s="19" t="s">
        <v>1738</v>
      </c>
      <c r="B17" s="57">
        <f>VLOOKUP($A17,fish_feed_group_yield_w!$A$16:$C$17,2,FALSE)</f>
        <v>0.8331647185686184</v>
      </c>
      <c r="C17" s="300"/>
      <c r="D17" s="57">
        <f>eqf!$B$10/VLOOKUP($A17,fishmeal_fishes!$A$35:$H$36,7,FALSE)</f>
        <v>1.7084231998884116</v>
      </c>
      <c r="E17" s="57">
        <f>VLOOKUP($A17,fishmeal_fishes!$A$35:$H$36,2,FALSE)</f>
        <v>28340</v>
      </c>
      <c r="F17" s="57">
        <f>D17</f>
        <v>1.7084231998884116</v>
      </c>
      <c r="G17" s="44">
        <f>C17+E17</f>
        <v>28340</v>
      </c>
    </row>
    <row r="19" spans="1:7" ht="13">
      <c r="A19" s="1016" t="s">
        <v>5343</v>
      </c>
      <c r="B19" s="1017" t="s">
        <v>5344</v>
      </c>
      <c r="C19" s="1019" t="s">
        <v>5345</v>
      </c>
    </row>
    <row r="20" spans="1:7">
      <c r="A20" s="1020" t="s">
        <v>5342</v>
      </c>
      <c r="B20" s="1021" t="s">
        <v>542</v>
      </c>
      <c r="C20" s="1033" t="s">
        <v>5342</v>
      </c>
    </row>
    <row r="21" spans="1:7">
      <c r="A21" s="196">
        <f>IF(SUM(G16:G17)=0,0,SUMPRODUCT(F16:F17,G16:G17)/SUM(G16:G17))</f>
        <v>1.7084231998884116</v>
      </c>
      <c r="B21" s="2">
        <f>VLOOKUP(305.1, constant_fish_extr,2,FALSE)</f>
        <v>3.7377777777777781</v>
      </c>
      <c r="C21" s="54">
        <f>A21*B21*0.85</f>
        <v>5.4278503308454713</v>
      </c>
    </row>
    <row r="22" spans="1:7" ht="13">
      <c r="A22" s="1038" t="s">
        <v>1791</v>
      </c>
      <c r="B22" s="1018" t="s">
        <v>5251</v>
      </c>
      <c r="C22" s="1039" t="s">
        <v>1792</v>
      </c>
    </row>
    <row r="23" spans="1:7">
      <c r="A23" s="1040" t="s">
        <v>5342</v>
      </c>
      <c r="B23" s="1022" t="s">
        <v>542</v>
      </c>
      <c r="C23" s="1041" t="s">
        <v>5342</v>
      </c>
    </row>
    <row r="24" spans="1:7">
      <c r="A24" s="227">
        <f>A21</f>
        <v>1.7084231998884116</v>
      </c>
      <c r="B24" s="57">
        <f>VLOOKUP(1504.2, constant_fish_extr,2,FALSE)</f>
        <v>3.2258064516129035</v>
      </c>
      <c r="C24" s="81">
        <f>A24*B24*0.85</f>
        <v>4.6843861932424193</v>
      </c>
    </row>
  </sheetData>
  <phoneticPr fontId="41" type="noConversion"/>
  <hyperlinks>
    <hyperlink ref="C2" location="fish_capture_yield!A1" display="fish_capture_yield" xr:uid="{00000000-0004-0000-2D00-000000000000}"/>
    <hyperlink ref="D2" location="fish_commodity_yield_n!A1" display="fish_commodity_yield_n" xr:uid="{00000000-0004-0000-2D00-000001000000}"/>
    <hyperlink ref="E2" location="fish_feed_group_yield_w!A1" display="fish_feed_group_yield_w" xr:uid="{00000000-0004-0000-2D00-000002000000}"/>
    <hyperlink ref="F2" location="fishmeal_fishes!A1" display="fishmeal_fishes" xr:uid="{00000000-0004-0000-2D00-000003000000}"/>
    <hyperlink ref="H2" location="eqf!A1" display="eqf" xr:uid="{00000000-0004-0000-2D00-000004000000}"/>
    <hyperlink ref="C3" location="aquaculture_yields!A1" display="aquaculture_yields" xr:uid="{00000000-0004-0000-2D00-000005000000}"/>
    <hyperlink ref="D3" location="feed_intensity_w!A1" display="feed_intensity_w" xr:uid="{00000000-0004-0000-2D00-000006000000}"/>
    <hyperlink ref="G2" location="cnst_fish!A1" display="cnst_fish" xr:uid="{00000000-0004-0000-2D00-000007000000}"/>
    <hyperlink ref="I2" location="constant_fish_extr" display="constant_fish_extr" xr:uid="{00000000-0004-0000-2D00-000008000000}"/>
    <hyperlink ref="J2" location="fish_efp" display="fish_efp" xr:uid="{00000000-0004-0000-2D00-000009000000}"/>
  </hyperlinks>
  <pageMargins left="0.75" right="0.75" top="1" bottom="1" header="0.5" footer="0.5"/>
  <headerFooter alignWithMargins="0"/>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9">
    <tabColor theme="4"/>
  </sheetPr>
  <dimension ref="A1:H36"/>
  <sheetViews>
    <sheetView zoomScaleNormal="100" workbookViewId="0">
      <selection activeCell="A65536" sqref="A65536"/>
    </sheetView>
  </sheetViews>
  <sheetFormatPr defaultColWidth="9.1796875" defaultRowHeight="12.5"/>
  <cols>
    <col min="1" max="1" width="50.7265625" style="36" customWidth="1"/>
    <col min="2" max="2" width="26.54296875" style="36" customWidth="1"/>
    <col min="3" max="8" width="21.7265625" style="36" customWidth="1"/>
    <col min="9" max="16384" width="9.1796875" style="36"/>
  </cols>
  <sheetData>
    <row r="1" spans="1:8" ht="12.75" customHeight="1">
      <c r="B1" s="75"/>
      <c r="C1" s="75"/>
      <c r="D1" s="75"/>
      <c r="E1" s="75"/>
      <c r="F1" s="75"/>
      <c r="G1" s="75"/>
      <c r="H1" s="75"/>
    </row>
    <row r="2" spans="1:8" ht="12.75" customHeight="1">
      <c r="B2" s="37" t="s">
        <v>985</v>
      </c>
      <c r="C2" s="466" t="s">
        <v>2004</v>
      </c>
      <c r="D2" s="466" t="s">
        <v>5250</v>
      </c>
      <c r="E2" s="466" t="s">
        <v>1759</v>
      </c>
      <c r="F2" s="466" t="s">
        <v>6169</v>
      </c>
      <c r="G2" s="466" t="s">
        <v>8829</v>
      </c>
    </row>
    <row r="3" spans="1:8" ht="12.75" customHeight="1">
      <c r="B3" s="37" t="s">
        <v>986</v>
      </c>
      <c r="C3" s="466" t="s">
        <v>5247</v>
      </c>
      <c r="D3" s="466" t="s">
        <v>5091</v>
      </c>
      <c r="E3" s="466"/>
      <c r="F3" s="466"/>
      <c r="G3" s="466"/>
      <c r="H3" s="466"/>
    </row>
    <row r="4" spans="1:8" ht="12.75" customHeight="1"/>
    <row r="5" spans="1:8" ht="13">
      <c r="A5" s="1016" t="s">
        <v>115</v>
      </c>
      <c r="B5" s="1017" t="s">
        <v>116</v>
      </c>
      <c r="C5" s="1017" t="s">
        <v>3918</v>
      </c>
      <c r="D5" s="1017" t="s">
        <v>3920</v>
      </c>
      <c r="E5" s="1017" t="s">
        <v>2243</v>
      </c>
      <c r="F5" s="1019" t="s">
        <v>1926</v>
      </c>
    </row>
    <row r="6" spans="1:8" ht="13">
      <c r="A6" s="1048"/>
      <c r="B6" s="1049"/>
      <c r="C6" s="1050"/>
      <c r="D6" s="1050"/>
      <c r="E6" s="1050"/>
      <c r="F6" s="1051"/>
    </row>
    <row r="7" spans="1:8">
      <c r="A7" s="14" t="s">
        <v>4344</v>
      </c>
      <c r="B7" t="s">
        <v>4685</v>
      </c>
      <c r="C7" s="25">
        <f>SUMIF(fish_efp!$O$7:$O$2327,B7,fish_efp!$Q$7:$Q$2327)</f>
        <v>13106979.129999995</v>
      </c>
      <c r="D7" s="43">
        <f t="array" ref="D7">IF(ISERROR(1+LOG(SUM(IF(fish_efp!$O$7:$O$2327=B7,fish_efp!$Q$7:$Q$2327*fish_efp!$S$7:$S$2327,0))*9/(SUM(IF(fish_efp!$O$7:$O$2327=B7,fish_efp!$Q$7:$Q$2327,0))*cnst_fish!$C$7),1/cnst_fish!$C$8)),0,1+LOG(SUM(IF(fish_efp!$O$7:$O$2327=B7,fish_efp!$Q$7:$Q$2327*fish_efp!$S$7:$S$2327,0))*9/(SUM(IF(fish_efp!$O$7:$O$2327=B7,fish_efp!$Q$7:$Q$2327,0))*cnst_fish!$C$7),1/cnst_fish!$C$8))</f>
        <v>3.4945448171065507</v>
      </c>
      <c r="E7" s="2">
        <f>IF(D7=0,0,(1/9)*cnst_fish!$C$7*(1/cnst_fish!$C$8)^(D7-1))</f>
        <v>44.039552728922096</v>
      </c>
      <c r="F7" s="56">
        <f>IFERROR((1/E7)*cnst_fish!$C$6,0)</f>
        <v>9.6504159026322214E-2</v>
      </c>
    </row>
    <row r="8" spans="1:8">
      <c r="A8" s="14" t="s">
        <v>4345</v>
      </c>
      <c r="B8" t="s">
        <v>4691</v>
      </c>
      <c r="C8" s="25">
        <f>SUMIF(fish_efp!$O$7:$O$2327,B8,fish_efp!$Q$7:$Q$2327)</f>
        <v>2671649.4699999997</v>
      </c>
      <c r="D8" s="43">
        <f t="array" ref="D8">IF(ISERROR(1+LOG(SUM(IF(fish_efp!$O$7:$O$2327=B8,fish_efp!$Q$7:$Q$2327*fish_efp!$S$7:$S$2327,0))*9/(SUM(IF(fish_efp!$O$7:$O$2327=B8,fish_efp!$Q$7:$Q$2327,0))*cnst_fish!$C$7),1/cnst_fish!$C$8)),0,1+LOG(SUM(IF(fish_efp!$O$7:$O$2327=B8,fish_efp!$Q$7:$Q$2327*fish_efp!$S$7:$S$2327,0))*9/(SUM(IF(fish_efp!$O$7:$O$2327=B8,fish_efp!$Q$7:$Q$2327,0))*cnst_fish!$C$7),1/cnst_fish!$C$8))</f>
        <v>2.176085528148481</v>
      </c>
      <c r="E8" s="2">
        <f>IF(D8=0,0,(1/9)*cnst_fish!$C$7*(1/cnst_fish!$C$8)^(D8-1))</f>
        <v>2.1153567011617973</v>
      </c>
      <c r="F8" s="54">
        <f>IFERROR((1/E8)*cnst_fish!$C$6,0)</f>
        <v>2.0091174210315512</v>
      </c>
    </row>
    <row r="9" spans="1:8">
      <c r="A9" s="14" t="s">
        <v>112</v>
      </c>
      <c r="B9" t="s">
        <v>4680</v>
      </c>
      <c r="C9" s="25">
        <f>SUMIF(fish_efp!$O$7:$O$2327,B9,fish_efp!$Q$7:$Q$2327)</f>
        <v>6487814.7799999993</v>
      </c>
      <c r="D9" s="43">
        <f t="array" ref="D9">IF(ISERROR(1+LOG(SUM(IF(fish_efp!$O$7:$O$2327=B9,fish_efp!$Q$7:$Q$2327*fish_efp!$S$7:$S$2327,0))*9/(SUM(IF(fish_efp!$O$7:$O$2327=B9,fish_efp!$Q$7:$Q$2327,0))*cnst_fish!$C$7),1/cnst_fish!$C$8)),0,1+LOG(SUM(IF(fish_efp!$O$7:$O$2327=B9,fish_efp!$Q$7:$Q$2327*fish_efp!$S$7:$S$2327,0))*9/(SUM(IF(fish_efp!$O$7:$O$2327=B9,fish_efp!$Q$7:$Q$2327,0))*cnst_fish!$C$7),1/cnst_fish!$C$8))</f>
        <v>3.0361795341460236</v>
      </c>
      <c r="E9" s="2">
        <f>IF(D9=0,0,(1/9)*cnst_fish!$C$7*(1/cnst_fish!$C$8)^(D9-1))</f>
        <v>15.327722057818573</v>
      </c>
      <c r="F9" s="54">
        <f>IFERROR((1/E9)*cnst_fish!$C$6,0)</f>
        <v>0.27727538273256347</v>
      </c>
    </row>
    <row r="10" spans="1:8">
      <c r="A10" s="14" t="s">
        <v>113</v>
      </c>
      <c r="B10" t="s">
        <v>4681</v>
      </c>
      <c r="C10" s="25">
        <f>SUMIF(fish_efp!$O$7:$O$2327,B10,fish_efp!$Q$7:$Q$2327)</f>
        <v>21290851.870000005</v>
      </c>
      <c r="D10" s="43">
        <f t="array" ref="D10">IF(ISERROR(1+LOG(SUM(IF(fish_efp!$O$7:$O$2327=B10,fish_efp!$Q$7:$Q$2327*fish_efp!$S$7:$S$2327,0))*9/(SUM(IF(fish_efp!$O$7:$O$2327=B10,fish_efp!$Q$7:$Q$2327,0))*cnst_fish!$C$7),1/cnst_fish!$C$8)),0,1+LOG(SUM(IF(fish_efp!$O$7:$O$2327=B10,fish_efp!$Q$7:$Q$2327*fish_efp!$S$7:$S$2327,0))*9/(SUM(IF(fish_efp!$O$7:$O$2327=B10,fish_efp!$Q$7:$Q$2327,0))*cnst_fish!$C$7),1/cnst_fish!$C$8))</f>
        <v>4.0125151379542983</v>
      </c>
      <c r="E10" s="2">
        <f>IF(D10=0,0,(1/9)*cnst_fish!$C$7*(1/cnst_fish!$C$8)^(D10-1))</f>
        <v>145.14872336935903</v>
      </c>
      <c r="F10" s="54">
        <f>IFERROR((1/E10)*cnst_fish!$C$6,0)</f>
        <v>2.9280312643088512E-2</v>
      </c>
    </row>
    <row r="11" spans="1:8">
      <c r="A11" s="14" t="s">
        <v>114</v>
      </c>
      <c r="B11" t="s">
        <v>4699</v>
      </c>
      <c r="C11" s="25">
        <f>SUMIF(fish_efp!$O$7:$O$2327,B11,fish_efp!$Q$7:$Q$2327)</f>
        <v>38529694.749999985</v>
      </c>
      <c r="D11" s="43">
        <f t="array" ref="D11">IF(ISERROR(1+LOG(SUM(IF(fish_efp!$O$7:$O$2327=B11,fish_efp!$Q$7:$Q$2327*fish_efp!$S$7:$S$2327,0))*9/(SUM(IF(fish_efp!$O$7:$O$2327=B11,fish_efp!$Q$7:$Q$2327,0))*cnst_fish!$C$7),1/cnst_fish!$C$8)),0,1+LOG(SUM(IF(fish_efp!$O$7:$O$2327=B11,fish_efp!$Q$7:$Q$2327*fish_efp!$S$7:$S$2327,0))*9/(SUM(IF(fish_efp!$O$7:$O$2327=B11,fish_efp!$Q$7:$Q$2327,0))*cnst_fish!$C$7),1/cnst_fish!$C$8))</f>
        <v>3.8322969747689006</v>
      </c>
      <c r="E11" s="2">
        <f>IF(D11=0,0,(1/9)*cnst_fish!$C$7*(1/cnst_fish!$C$8)^(D11-1))</f>
        <v>95.850648873352881</v>
      </c>
      <c r="F11" s="54">
        <f>IFERROR((1/E11)*cnst_fish!$C$6,0)</f>
        <v>4.4339814596513684E-2</v>
      </c>
    </row>
    <row r="12" spans="1:8">
      <c r="A12" s="19"/>
      <c r="B12" s="20" t="s">
        <v>4689</v>
      </c>
      <c r="C12" s="26">
        <f>SUMIF(fish_efp!$O$7:$O$2327,B12,fish_efp!$Q$7:$Q$2327)</f>
        <v>10402532.319999998</v>
      </c>
      <c r="D12" s="358">
        <f t="array" ref="D12">IF(ISERROR(1+LOG(SUM(IF(fish_efp!$O$7:$O$2327=B12,fish_efp!$Q$7:$Q$2327*fish_efp!$S$7:$S$2327,0))*9/(SUM(IF(fish_efp!$O$7:$O$2327=B12,fish_efp!$Q$7:$Q$2327,0))*cnst_fish!$C$7),1/cnst_fish!$C$8)),0,1+LOG(SUM(IF(fish_efp!$O$7:$O$2327=B12,fish_efp!$Q$7:$Q$2327*fish_efp!$S$7:$S$2327,0))*9/(SUM(IF(fish_efp!$O$7:$O$2327=B12,fish_efp!$Q$7:$Q$2327,0))*cnst_fish!$C$7),1/cnst_fish!$C$8))</f>
        <v>3.1</v>
      </c>
      <c r="E12" s="57">
        <f>(SUMPRODUCT(C10:C11,E10:E11)/SUM(C10:C11))</f>
        <v>113.39642638418186</v>
      </c>
      <c r="F12" s="81">
        <f>IFERROR((1/E12)*cnst_fish!$C$6,0)</f>
        <v>3.7479135238364533E-2</v>
      </c>
    </row>
    <row r="14" spans="1:8" ht="13">
      <c r="A14" s="1016" t="s">
        <v>3916</v>
      </c>
      <c r="B14" s="1017" t="s">
        <v>5346</v>
      </c>
      <c r="C14" s="1019" t="s">
        <v>4343</v>
      </c>
    </row>
    <row r="15" spans="1:8">
      <c r="A15" s="1046" t="s">
        <v>542</v>
      </c>
      <c r="B15" s="1034" t="s">
        <v>5342</v>
      </c>
      <c r="C15" s="1047" t="s">
        <v>2977</v>
      </c>
      <c r="E15" s="2"/>
    </row>
    <row r="16" spans="1:8">
      <c r="A16" s="14" t="s">
        <v>2321</v>
      </c>
      <c r="B16" s="2">
        <f>eqf!$B$10/VLOOKUP(A16,fishmeal_fishes!$A$35:$H$36,8,FALSE)</f>
        <v>1.014626896260473</v>
      </c>
      <c r="C16" s="23">
        <f>VLOOKUP($A16,fishmeal_fishes!$A$35:$H$36,3,FALSE)</f>
        <v>4899706.24</v>
      </c>
    </row>
    <row r="17" spans="1:3">
      <c r="A17" s="19" t="s">
        <v>1738</v>
      </c>
      <c r="B17" s="57">
        <f>eqf!$B$10/VLOOKUP(A17,fishmeal_fishes!$A$35:$H$36,8,FALSE)</f>
        <v>0.8331647185686184</v>
      </c>
      <c r="C17" s="44">
        <f>VLOOKUP($A17,fishmeal_fishes!$A$35:$H$36,3,FALSE)</f>
        <v>1252518</v>
      </c>
    </row>
    <row r="19" spans="1:3" ht="13">
      <c r="A19" s="1016" t="s">
        <v>5343</v>
      </c>
      <c r="B19" s="1017" t="s">
        <v>5344</v>
      </c>
      <c r="C19" s="1019" t="s">
        <v>5345</v>
      </c>
    </row>
    <row r="20" spans="1:3">
      <c r="A20" s="1020" t="s">
        <v>5342</v>
      </c>
      <c r="B20" s="1021" t="s">
        <v>542</v>
      </c>
      <c r="C20" s="1033" t="s">
        <v>5342</v>
      </c>
    </row>
    <row r="21" spans="1:3">
      <c r="A21" s="196">
        <f>SUMPRODUCT(B16:B17,C16:C17)/SUM(C16:C17)</f>
        <v>0.97768340476669635</v>
      </c>
      <c r="B21" s="2">
        <f>VLOOKUP(305.1, constant_fish_extr,2,FALSE)</f>
        <v>3.7377777777777781</v>
      </c>
      <c r="C21" s="54">
        <f>A21*B21*0.85</f>
        <v>3.1062088084332133</v>
      </c>
    </row>
    <row r="22" spans="1:3" ht="13">
      <c r="A22" s="1038" t="s">
        <v>1791</v>
      </c>
      <c r="B22" s="1018" t="s">
        <v>1793</v>
      </c>
      <c r="C22" s="1039" t="s">
        <v>1792</v>
      </c>
    </row>
    <row r="23" spans="1:3">
      <c r="A23" s="1040" t="s">
        <v>5342</v>
      </c>
      <c r="B23" s="1022" t="s">
        <v>542</v>
      </c>
      <c r="C23" s="1041" t="s">
        <v>5342</v>
      </c>
    </row>
    <row r="24" spans="1:3">
      <c r="A24" s="227">
        <f>A21</f>
        <v>0.97768340476669635</v>
      </c>
      <c r="B24" s="57">
        <f>VLOOKUP(1504.2, constant_fish_extr,2,FALSE)</f>
        <v>3.2258064516129035</v>
      </c>
      <c r="C24" s="81">
        <f>A24*B24*0.85</f>
        <v>2.6807448195215868</v>
      </c>
    </row>
    <row r="26" spans="1:3" ht="13">
      <c r="A26" s="1042" t="s">
        <v>4300</v>
      </c>
      <c r="B26" s="925" t="s">
        <v>1907</v>
      </c>
      <c r="C26" s="926" t="s">
        <v>5352</v>
      </c>
    </row>
    <row r="27" spans="1:3">
      <c r="A27" s="1043" t="s">
        <v>542</v>
      </c>
      <c r="B27" s="1044" t="s">
        <v>542</v>
      </c>
      <c r="C27" s="1045" t="s">
        <v>4301</v>
      </c>
    </row>
    <row r="28" spans="1:3">
      <c r="A28" s="14" t="s">
        <v>2167</v>
      </c>
      <c r="B28" s="353">
        <v>27</v>
      </c>
      <c r="C28" s="687">
        <f>VLOOKUP(B28,crop_efp,4,FALSE)</f>
        <v>4.2066551164310333</v>
      </c>
    </row>
    <row r="29" spans="1:3">
      <c r="A29" s="14" t="s">
        <v>1151</v>
      </c>
      <c r="B29" s="353">
        <v>15</v>
      </c>
      <c r="C29" s="687">
        <f>VLOOKUP(B29,crop_efp,4,FALSE)</f>
        <v>2.6369352977684146</v>
      </c>
    </row>
    <row r="30" spans="1:3">
      <c r="A30" s="14" t="s">
        <v>2057</v>
      </c>
      <c r="B30" s="353">
        <v>56</v>
      </c>
      <c r="C30" s="687">
        <f>VLOOKUP(B30,crop_efp,4,FALSE)</f>
        <v>5.2165514596559106</v>
      </c>
    </row>
    <row r="31" spans="1:3">
      <c r="A31" s="14" t="s">
        <v>3905</v>
      </c>
      <c r="B31" s="353">
        <v>236</v>
      </c>
      <c r="C31" s="687">
        <f>VLOOKUP(B31,crop_efp,4,FALSE)</f>
        <v>2.5364260576660946</v>
      </c>
    </row>
    <row r="32" spans="1:3">
      <c r="A32" s="19" t="s">
        <v>3128</v>
      </c>
      <c r="B32" s="354">
        <v>210</v>
      </c>
      <c r="C32" s="246">
        <f>VLOOKUP(B32,crop_efp,4,FALSE)</f>
        <v>1.1181354109931518</v>
      </c>
    </row>
    <row r="34" spans="1:2" ht="13">
      <c r="A34" s="1042" t="s">
        <v>4302</v>
      </c>
      <c r="B34" s="926" t="s">
        <v>4294</v>
      </c>
    </row>
    <row r="35" spans="1:2">
      <c r="A35" s="1043" t="s">
        <v>4301</v>
      </c>
      <c r="B35" s="1045" t="s">
        <v>5342</v>
      </c>
    </row>
    <row r="36" spans="1:2">
      <c r="A36" s="360">
        <f>SUM(C28:C32)/5</f>
        <v>3.1429406685029209</v>
      </c>
      <c r="B36" s="246">
        <f>IFERROR(iyf!$B$7*eqf!$B$7/A36,0)</f>
        <v>0.79524151983806812</v>
      </c>
    </row>
  </sheetData>
  <phoneticPr fontId="41" type="noConversion"/>
  <hyperlinks>
    <hyperlink ref="C2" location="eqf!A1" display="eqf" xr:uid="{00000000-0004-0000-2E00-000000000000}"/>
    <hyperlink ref="D2" location="fishmeal_fishes!A1" display="fishmeal_fishes" xr:uid="{00000000-0004-0000-2E00-000001000000}"/>
    <hyperlink ref="C3" location="aquaculture_yields!A1" display="aquaculture_yields" xr:uid="{00000000-0004-0000-2E00-000002000000}"/>
    <hyperlink ref="D3" location="fish_feed_group_yield_n!A1" display="fish_feed_group_yield_n" xr:uid="{00000000-0004-0000-2E00-000003000000}"/>
    <hyperlink ref="E2" location="cnst_fish!A1" display="cnst_fish" xr:uid="{00000000-0004-0000-2E00-000004000000}"/>
    <hyperlink ref="F2" location="constant_fish_extr" display="constant_fish_extr" xr:uid="{00000000-0004-0000-2E00-000005000000}"/>
    <hyperlink ref="G2" location="fish_efp" display="fish_efp" xr:uid="{00000000-0004-0000-2E00-000006000000}"/>
  </hyperlinks>
  <pageMargins left="0.75" right="0.75" top="1" bottom="1" header="0.5" footer="0.5"/>
  <headerFooter alignWithMargins="0"/>
  <drawing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0">
    <tabColor theme="4"/>
  </sheetPr>
  <dimension ref="A1:K37"/>
  <sheetViews>
    <sheetView zoomScaleNormal="100" workbookViewId="0">
      <selection activeCell="A65536" sqref="A65536"/>
    </sheetView>
  </sheetViews>
  <sheetFormatPr defaultColWidth="9.1796875" defaultRowHeight="12.5"/>
  <cols>
    <col min="1" max="1" width="28.453125" style="36" customWidth="1"/>
    <col min="2" max="3" width="21.7265625" style="36" customWidth="1"/>
    <col min="4" max="4" width="24" style="36" customWidth="1"/>
    <col min="5" max="11" width="21.7265625" style="36" customWidth="1"/>
    <col min="12" max="16384" width="9.1796875" style="36"/>
  </cols>
  <sheetData>
    <row r="1" spans="1:11" ht="12.75" customHeight="1">
      <c r="B1" s="75"/>
      <c r="C1" s="75"/>
      <c r="D1" s="75"/>
      <c r="E1" s="75"/>
      <c r="F1" s="75"/>
      <c r="G1" s="75"/>
      <c r="H1" s="75"/>
      <c r="I1" s="75"/>
      <c r="J1" s="75"/>
      <c r="K1" s="75"/>
    </row>
    <row r="2" spans="1:11" ht="12.75" customHeight="1">
      <c r="C2" s="37" t="s">
        <v>985</v>
      </c>
      <c r="D2" s="466" t="s">
        <v>8829</v>
      </c>
      <c r="E2" s="466" t="s">
        <v>1761</v>
      </c>
      <c r="F2" s="466" t="s">
        <v>1759</v>
      </c>
    </row>
    <row r="3" spans="1:11" ht="12.75" customHeight="1">
      <c r="C3" s="37" t="s">
        <v>986</v>
      </c>
      <c r="D3" s="466" t="s">
        <v>5091</v>
      </c>
      <c r="E3" s="466" t="s">
        <v>5249</v>
      </c>
      <c r="F3" s="466"/>
    </row>
    <row r="4" spans="1:11" ht="12.75" customHeight="1"/>
    <row r="5" spans="1:11" ht="13">
      <c r="A5" s="1017" t="s">
        <v>6193</v>
      </c>
      <c r="B5" s="1017" t="s">
        <v>5331</v>
      </c>
      <c r="C5" s="1017" t="s">
        <v>6736</v>
      </c>
      <c r="D5" s="1017" t="s">
        <v>102</v>
      </c>
      <c r="E5" s="1017" t="s">
        <v>4342</v>
      </c>
      <c r="F5" s="1017" t="s">
        <v>4343</v>
      </c>
      <c r="G5" s="1017" t="s">
        <v>2242</v>
      </c>
      <c r="H5" s="1017" t="s">
        <v>2243</v>
      </c>
      <c r="I5" s="1017" t="s">
        <v>1926</v>
      </c>
      <c r="J5" s="1017" t="s">
        <v>5347</v>
      </c>
      <c r="K5" s="1019" t="s">
        <v>5348</v>
      </c>
    </row>
    <row r="6" spans="1:11" ht="14.5">
      <c r="A6" s="1022" t="s">
        <v>542</v>
      </c>
      <c r="B6" s="1022" t="s">
        <v>542</v>
      </c>
      <c r="C6" s="1022" t="s">
        <v>542</v>
      </c>
      <c r="D6" s="1022" t="s">
        <v>542</v>
      </c>
      <c r="E6" s="1022" t="s">
        <v>2977</v>
      </c>
      <c r="F6" s="1022" t="s">
        <v>2977</v>
      </c>
      <c r="G6" s="1022" t="s">
        <v>542</v>
      </c>
      <c r="H6" s="1022" t="s">
        <v>9226</v>
      </c>
      <c r="I6" s="1021" t="s">
        <v>9227</v>
      </c>
      <c r="J6" s="1049"/>
      <c r="K6" s="1052"/>
    </row>
    <row r="7" spans="1:11">
      <c r="A7" t="s">
        <v>3913</v>
      </c>
      <c r="B7" t="s">
        <v>1601</v>
      </c>
      <c r="C7" s="356">
        <v>2898</v>
      </c>
      <c r="D7" t="s">
        <v>1738</v>
      </c>
      <c r="E7">
        <f t="shared" ref="E7:E30" si="0">VLOOKUP(C7,fish_efp,14,FALSE)</f>
        <v>0</v>
      </c>
      <c r="F7" s="678">
        <f t="shared" ref="F7:F30" si="1">VLOOKUP(C7,fish_efp,15,FALSE)</f>
        <v>3260</v>
      </c>
      <c r="G7">
        <f t="shared" ref="G7:G30" si="2">VLOOKUP(C7,fish_efp,14,FALSE)</f>
        <v>0</v>
      </c>
      <c r="H7" s="2">
        <f t="shared" ref="H7:H30" si="3">VLOOKUP(C7,fish_efp,17,FALSE)</f>
        <v>35.424039418724846</v>
      </c>
      <c r="I7" s="2">
        <f t="shared" ref="I7:I9" si="4">VLOOKUP(C7,fish_efp,10,FALSE)</f>
        <v>3260</v>
      </c>
      <c r="J7" s="233">
        <f t="shared" ref="J7:J30" si="5">E7*$H7</f>
        <v>0</v>
      </c>
      <c r="K7" s="680">
        <f t="shared" ref="K7:K30" si="6">F7*$H7</f>
        <v>115482.36850504299</v>
      </c>
    </row>
    <row r="8" spans="1:11">
      <c r="A8" t="s">
        <v>5452</v>
      </c>
      <c r="B8" t="s">
        <v>1602</v>
      </c>
      <c r="C8" s="356">
        <v>2094</v>
      </c>
      <c r="D8" t="s">
        <v>1738</v>
      </c>
      <c r="E8">
        <f t="shared" si="0"/>
        <v>0</v>
      </c>
      <c r="F8" s="678">
        <f t="shared" si="1"/>
        <v>188168</v>
      </c>
      <c r="G8">
        <f t="shared" si="2"/>
        <v>0</v>
      </c>
      <c r="H8" s="2">
        <f t="shared" si="3"/>
        <v>2.5078299372343786</v>
      </c>
      <c r="I8" s="2">
        <f t="shared" si="4"/>
        <v>188168</v>
      </c>
      <c r="J8" s="233">
        <f t="shared" si="5"/>
        <v>0</v>
      </c>
      <c r="K8" s="680">
        <f t="shared" si="6"/>
        <v>471893.34362951858</v>
      </c>
    </row>
    <row r="9" spans="1:11">
      <c r="A9" t="s">
        <v>5256</v>
      </c>
      <c r="B9" t="s">
        <v>3783</v>
      </c>
      <c r="C9" s="356">
        <v>2093</v>
      </c>
      <c r="D9" t="s">
        <v>1738</v>
      </c>
      <c r="E9">
        <f t="shared" si="0"/>
        <v>0</v>
      </c>
      <c r="F9" s="678">
        <f t="shared" si="1"/>
        <v>839</v>
      </c>
      <c r="G9">
        <f t="shared" si="2"/>
        <v>0</v>
      </c>
      <c r="H9" s="2">
        <f t="shared" si="3"/>
        <v>7.9304545860177429</v>
      </c>
      <c r="I9" s="2">
        <f t="shared" si="4"/>
        <v>839</v>
      </c>
      <c r="J9" s="233">
        <f t="shared" si="5"/>
        <v>0</v>
      </c>
      <c r="K9" s="680">
        <f t="shared" si="6"/>
        <v>6653.6513976688866</v>
      </c>
    </row>
    <row r="10" spans="1:11">
      <c r="A10" t="s">
        <v>3318</v>
      </c>
      <c r="B10" t="s">
        <v>2995</v>
      </c>
      <c r="C10" s="356">
        <v>2126</v>
      </c>
      <c r="D10" t="s">
        <v>1738</v>
      </c>
      <c r="E10">
        <f t="shared" si="0"/>
        <v>28340</v>
      </c>
      <c r="F10" s="678">
        <f t="shared" si="1"/>
        <v>522250</v>
      </c>
      <c r="G10">
        <f t="shared" si="2"/>
        <v>28340</v>
      </c>
      <c r="H10" s="2">
        <f t="shared" si="3"/>
        <v>19.920401270320887</v>
      </c>
      <c r="I10" s="2">
        <f t="shared" ref="I10:I30" si="7">VLOOKUP(C10,fish_efp,10,FALSE)</f>
        <v>522250</v>
      </c>
      <c r="J10" s="233">
        <f t="shared" si="5"/>
        <v>564544.17200089397</v>
      </c>
      <c r="K10" s="680">
        <f t="shared" si="6"/>
        <v>10403429.563425083</v>
      </c>
    </row>
    <row r="11" spans="1:11">
      <c r="A11" t="s">
        <v>920</v>
      </c>
      <c r="B11" t="s">
        <v>1600</v>
      </c>
      <c r="C11" s="356">
        <v>2899</v>
      </c>
      <c r="D11" t="s">
        <v>1738</v>
      </c>
      <c r="E11">
        <f t="shared" si="0"/>
        <v>0</v>
      </c>
      <c r="F11" s="678">
        <f t="shared" si="1"/>
        <v>529231</v>
      </c>
      <c r="G11">
        <f t="shared" si="2"/>
        <v>0</v>
      </c>
      <c r="H11" s="2">
        <f t="shared" si="3"/>
        <v>2.1842285651329867</v>
      </c>
      <c r="I11" s="2">
        <f t="shared" si="7"/>
        <v>529231</v>
      </c>
      <c r="J11" s="233">
        <f t="shared" si="5"/>
        <v>0</v>
      </c>
      <c r="K11" s="680">
        <f t="shared" si="6"/>
        <v>1155961.4677538958</v>
      </c>
    </row>
    <row r="12" spans="1:11">
      <c r="A12" t="s">
        <v>1387</v>
      </c>
      <c r="B12" t="s">
        <v>2745</v>
      </c>
      <c r="C12" s="356">
        <v>2103</v>
      </c>
      <c r="D12" t="s">
        <v>1738</v>
      </c>
      <c r="E12">
        <f t="shared" si="0"/>
        <v>0</v>
      </c>
      <c r="F12" s="678">
        <f t="shared" si="1"/>
        <v>8770</v>
      </c>
      <c r="G12">
        <f t="shared" si="2"/>
        <v>0</v>
      </c>
      <c r="H12" s="2">
        <f t="shared" si="3"/>
        <v>1.656906808248054</v>
      </c>
      <c r="I12" s="2">
        <f t="shared" si="7"/>
        <v>8770</v>
      </c>
      <c r="J12" s="233">
        <f t="shared" si="5"/>
        <v>0</v>
      </c>
      <c r="K12" s="680">
        <f t="shared" si="6"/>
        <v>14531.072708335434</v>
      </c>
    </row>
    <row r="13" spans="1:11">
      <c r="A13" t="s">
        <v>3108</v>
      </c>
      <c r="B13" t="s">
        <v>4106</v>
      </c>
      <c r="C13" s="356">
        <v>3651</v>
      </c>
      <c r="D13" t="s">
        <v>2321</v>
      </c>
      <c r="E13">
        <f t="shared" si="0"/>
        <v>0</v>
      </c>
      <c r="F13" s="678">
        <f t="shared" si="1"/>
        <v>442</v>
      </c>
      <c r="G13">
        <f t="shared" si="2"/>
        <v>0</v>
      </c>
      <c r="H13" s="2">
        <f t="shared" si="3"/>
        <v>3.7957542106661646</v>
      </c>
      <c r="I13" s="2">
        <f t="shared" si="7"/>
        <v>442</v>
      </c>
      <c r="J13" s="233">
        <f t="shared" si="5"/>
        <v>0</v>
      </c>
      <c r="K13" s="680">
        <f t="shared" si="6"/>
        <v>1677.7233611144447</v>
      </c>
    </row>
    <row r="14" spans="1:11">
      <c r="A14" t="s">
        <v>4951</v>
      </c>
      <c r="B14" t="s">
        <v>2496</v>
      </c>
      <c r="C14" s="356">
        <v>2892</v>
      </c>
      <c r="D14" t="s">
        <v>2321</v>
      </c>
      <c r="E14">
        <f t="shared" si="0"/>
        <v>0</v>
      </c>
      <c r="F14" s="678">
        <f t="shared" si="1"/>
        <v>298593.59999999998</v>
      </c>
      <c r="G14">
        <f t="shared" si="2"/>
        <v>0</v>
      </c>
      <c r="H14" s="2">
        <f t="shared" si="3"/>
        <v>4.2589062723618172</v>
      </c>
      <c r="I14" s="2">
        <f t="shared" si="7"/>
        <v>298593.59999999998</v>
      </c>
      <c r="J14" s="233">
        <f t="shared" si="5"/>
        <v>0</v>
      </c>
      <c r="K14" s="680">
        <f t="shared" si="6"/>
        <v>1271682.1559270953</v>
      </c>
    </row>
    <row r="15" spans="1:11">
      <c r="A15" t="s">
        <v>3811</v>
      </c>
      <c r="B15" t="s">
        <v>4947</v>
      </c>
      <c r="C15" s="356">
        <v>2090</v>
      </c>
      <c r="D15" t="s">
        <v>2321</v>
      </c>
      <c r="E15">
        <f t="shared" si="0"/>
        <v>0</v>
      </c>
      <c r="F15" s="678">
        <f t="shared" si="1"/>
        <v>46400</v>
      </c>
      <c r="G15">
        <f t="shared" si="2"/>
        <v>0</v>
      </c>
      <c r="H15" s="2">
        <f t="shared" si="3"/>
        <v>17.754076320174157</v>
      </c>
      <c r="I15" s="2">
        <f t="shared" si="7"/>
        <v>46400</v>
      </c>
      <c r="J15" s="233">
        <f t="shared" si="5"/>
        <v>0</v>
      </c>
      <c r="K15" s="680">
        <f t="shared" si="6"/>
        <v>823789.14125608082</v>
      </c>
    </row>
    <row r="16" spans="1:11">
      <c r="A16" t="s">
        <v>2094</v>
      </c>
      <c r="B16" t="s">
        <v>3493</v>
      </c>
      <c r="C16" s="356">
        <v>2894</v>
      </c>
      <c r="D16" t="s">
        <v>2321</v>
      </c>
      <c r="E16">
        <f t="shared" si="0"/>
        <v>0</v>
      </c>
      <c r="F16" s="678">
        <f t="shared" si="1"/>
        <v>120707</v>
      </c>
      <c r="G16">
        <f t="shared" si="2"/>
        <v>0</v>
      </c>
      <c r="H16" s="2">
        <f t="shared" si="3"/>
        <v>3.7957542106661646</v>
      </c>
      <c r="I16" s="2">
        <f t="shared" si="7"/>
        <v>120707</v>
      </c>
      <c r="J16" s="233">
        <f t="shared" si="5"/>
        <v>0</v>
      </c>
      <c r="K16" s="680">
        <f t="shared" si="6"/>
        <v>458174.10350688075</v>
      </c>
    </row>
    <row r="17" spans="1:11">
      <c r="A17" t="s">
        <v>3960</v>
      </c>
      <c r="B17" t="s">
        <v>967</v>
      </c>
      <c r="C17" s="356">
        <v>2910</v>
      </c>
      <c r="D17" t="s">
        <v>2321</v>
      </c>
      <c r="E17">
        <f t="shared" si="0"/>
        <v>0</v>
      </c>
      <c r="F17" s="678">
        <f t="shared" si="1"/>
        <v>1608411.84</v>
      </c>
      <c r="G17">
        <f t="shared" si="2"/>
        <v>0</v>
      </c>
      <c r="H17" s="2">
        <f t="shared" si="3"/>
        <v>15.823337176053327</v>
      </c>
      <c r="I17" s="2">
        <f t="shared" si="7"/>
        <v>1608411.84</v>
      </c>
      <c r="J17" s="233">
        <f t="shared" si="5"/>
        <v>0</v>
      </c>
      <c r="K17" s="680">
        <f t="shared" si="6"/>
        <v>25450442.862276338</v>
      </c>
    </row>
    <row r="18" spans="1:11">
      <c r="A18" t="s">
        <v>3113</v>
      </c>
      <c r="B18" t="s">
        <v>4017</v>
      </c>
      <c r="C18" s="356">
        <v>2085</v>
      </c>
      <c r="D18" t="s">
        <v>2321</v>
      </c>
      <c r="E18">
        <f t="shared" si="0"/>
        <v>0</v>
      </c>
      <c r="F18" s="678">
        <f t="shared" si="1"/>
        <v>119004</v>
      </c>
      <c r="G18">
        <f t="shared" si="2"/>
        <v>0</v>
      </c>
      <c r="H18" s="2">
        <f t="shared" si="3"/>
        <v>9.9838508054173385</v>
      </c>
      <c r="I18" s="2">
        <f t="shared" si="7"/>
        <v>119004</v>
      </c>
      <c r="J18" s="233">
        <f t="shared" si="5"/>
        <v>0</v>
      </c>
      <c r="K18" s="680">
        <f t="shared" si="6"/>
        <v>1188118.1812478849</v>
      </c>
    </row>
    <row r="19" spans="1:11">
      <c r="A19" t="s">
        <v>1415</v>
      </c>
      <c r="B19" t="s">
        <v>2497</v>
      </c>
      <c r="C19" s="356">
        <v>2086</v>
      </c>
      <c r="D19" t="s">
        <v>2321</v>
      </c>
      <c r="E19">
        <f t="shared" si="0"/>
        <v>0</v>
      </c>
      <c r="F19" s="678">
        <f t="shared" si="1"/>
        <v>586733</v>
      </c>
      <c r="G19">
        <f t="shared" si="2"/>
        <v>0</v>
      </c>
      <c r="H19" s="2">
        <f t="shared" si="3"/>
        <v>3.6249171295458358</v>
      </c>
      <c r="I19" s="2">
        <f t="shared" si="7"/>
        <v>586733</v>
      </c>
      <c r="J19" s="233">
        <f t="shared" si="5"/>
        <v>0</v>
      </c>
      <c r="K19" s="680">
        <f t="shared" si="6"/>
        <v>2126858.5021698168</v>
      </c>
    </row>
    <row r="20" spans="1:11">
      <c r="A20" t="s">
        <v>2867</v>
      </c>
      <c r="B20" t="s">
        <v>3492</v>
      </c>
      <c r="C20" s="356">
        <v>2891</v>
      </c>
      <c r="D20" t="s">
        <v>2321</v>
      </c>
      <c r="E20">
        <f t="shared" si="0"/>
        <v>0</v>
      </c>
      <c r="F20" s="678">
        <f t="shared" si="1"/>
        <v>1827</v>
      </c>
      <c r="G20">
        <f t="shared" si="2"/>
        <v>0</v>
      </c>
      <c r="H20" s="2">
        <f t="shared" si="3"/>
        <v>18.590800159128833</v>
      </c>
      <c r="I20" s="2">
        <f t="shared" si="7"/>
        <v>1827</v>
      </c>
      <c r="J20" s="233">
        <f t="shared" si="5"/>
        <v>0</v>
      </c>
      <c r="K20" s="680">
        <f t="shared" si="6"/>
        <v>33965.391890728381</v>
      </c>
    </row>
    <row r="21" spans="1:11">
      <c r="A21" t="s">
        <v>186</v>
      </c>
      <c r="B21" t="s">
        <v>2498</v>
      </c>
      <c r="C21" s="356">
        <v>2089</v>
      </c>
      <c r="D21" t="s">
        <v>2321</v>
      </c>
      <c r="E21">
        <f t="shared" si="0"/>
        <v>0</v>
      </c>
      <c r="F21" s="678">
        <f t="shared" si="1"/>
        <v>136990</v>
      </c>
      <c r="G21">
        <f t="shared" si="2"/>
        <v>0</v>
      </c>
      <c r="H21" s="2">
        <f t="shared" si="3"/>
        <v>22.351057842400341</v>
      </c>
      <c r="I21" s="2">
        <f t="shared" si="7"/>
        <v>136990</v>
      </c>
      <c r="J21" s="233">
        <f t="shared" si="5"/>
        <v>0</v>
      </c>
      <c r="K21" s="680">
        <f t="shared" si="6"/>
        <v>3061871.4138304228</v>
      </c>
    </row>
    <row r="22" spans="1:11">
      <c r="A22" t="s">
        <v>1353</v>
      </c>
      <c r="B22" t="s">
        <v>3491</v>
      </c>
      <c r="C22" s="356">
        <v>2084</v>
      </c>
      <c r="D22" t="s">
        <v>2321</v>
      </c>
      <c r="E22">
        <f t="shared" si="0"/>
        <v>0</v>
      </c>
      <c r="F22" s="678">
        <f t="shared" si="1"/>
        <v>879372.80000000005</v>
      </c>
      <c r="G22">
        <f t="shared" si="2"/>
        <v>0</v>
      </c>
      <c r="H22" s="2">
        <f t="shared" si="3"/>
        <v>9.3174717026712273</v>
      </c>
      <c r="I22" s="2">
        <f t="shared" si="7"/>
        <v>879372.80000000005</v>
      </c>
      <c r="J22" s="233">
        <f t="shared" si="5"/>
        <v>0</v>
      </c>
      <c r="K22" s="680">
        <f t="shared" si="6"/>
        <v>8193531.1800987646</v>
      </c>
    </row>
    <row r="23" spans="1:11">
      <c r="A23" t="s">
        <v>1985</v>
      </c>
      <c r="B23" t="s">
        <v>2748</v>
      </c>
      <c r="C23" s="356">
        <v>2903</v>
      </c>
      <c r="D23" t="s">
        <v>2321</v>
      </c>
      <c r="E23">
        <f t="shared" si="0"/>
        <v>0</v>
      </c>
      <c r="F23" s="678">
        <f t="shared" si="1"/>
        <v>953</v>
      </c>
      <c r="G23">
        <f t="shared" si="2"/>
        <v>0</v>
      </c>
      <c r="H23" s="2">
        <f t="shared" si="3"/>
        <v>28.138314698279075</v>
      </c>
      <c r="I23" s="2">
        <f t="shared" si="7"/>
        <v>953</v>
      </c>
      <c r="J23" s="233">
        <f t="shared" si="5"/>
        <v>0</v>
      </c>
      <c r="K23" s="680">
        <f t="shared" si="6"/>
        <v>26815.813907459957</v>
      </c>
    </row>
    <row r="24" spans="1:11">
      <c r="A24" t="s">
        <v>5411</v>
      </c>
      <c r="B24" t="s">
        <v>3969</v>
      </c>
      <c r="C24" s="356">
        <v>2901</v>
      </c>
      <c r="D24" t="s">
        <v>2321</v>
      </c>
      <c r="E24">
        <f t="shared" si="0"/>
        <v>0</v>
      </c>
      <c r="F24" s="678">
        <f t="shared" si="1"/>
        <v>13</v>
      </c>
      <c r="G24">
        <f t="shared" si="2"/>
        <v>0</v>
      </c>
      <c r="H24" s="2">
        <f t="shared" si="3"/>
        <v>35.424039418724846</v>
      </c>
      <c r="I24" s="2">
        <f t="shared" si="7"/>
        <v>13</v>
      </c>
      <c r="J24" s="233">
        <f t="shared" si="5"/>
        <v>0</v>
      </c>
      <c r="K24" s="680">
        <f t="shared" si="6"/>
        <v>460.51251244342302</v>
      </c>
    </row>
    <row r="25" spans="1:11">
      <c r="A25" t="s">
        <v>5222</v>
      </c>
      <c r="B25" t="s">
        <v>3968</v>
      </c>
      <c r="C25" s="356">
        <v>2900</v>
      </c>
      <c r="D25" t="s">
        <v>2321</v>
      </c>
      <c r="E25">
        <f t="shared" si="0"/>
        <v>0</v>
      </c>
      <c r="F25" s="678">
        <f t="shared" si="1"/>
        <v>17951</v>
      </c>
      <c r="G25">
        <f t="shared" si="2"/>
        <v>0</v>
      </c>
      <c r="H25" s="2">
        <f t="shared" si="3"/>
        <v>35.424039418724846</v>
      </c>
      <c r="I25" s="2">
        <f t="shared" si="7"/>
        <v>17951</v>
      </c>
      <c r="J25" s="233">
        <f t="shared" si="5"/>
        <v>0</v>
      </c>
      <c r="K25" s="680">
        <f t="shared" si="6"/>
        <v>635896.93160552974</v>
      </c>
    </row>
    <row r="26" spans="1:11">
      <c r="A26" t="s">
        <v>3501</v>
      </c>
      <c r="B26" t="s">
        <v>4946</v>
      </c>
      <c r="C26" s="356">
        <v>2088</v>
      </c>
      <c r="D26" t="s">
        <v>2321</v>
      </c>
      <c r="E26">
        <f t="shared" si="0"/>
        <v>0</v>
      </c>
      <c r="F26" s="678">
        <f t="shared" si="1"/>
        <v>301188</v>
      </c>
      <c r="G26">
        <f t="shared" si="2"/>
        <v>0</v>
      </c>
      <c r="H26" s="2">
        <f t="shared" si="3"/>
        <v>35.424039418724846</v>
      </c>
      <c r="I26" s="2">
        <f t="shared" si="7"/>
        <v>301165</v>
      </c>
      <c r="J26" s="233">
        <f t="shared" si="5"/>
        <v>0</v>
      </c>
      <c r="K26" s="680">
        <f t="shared" si="6"/>
        <v>10669295.5844469</v>
      </c>
    </row>
    <row r="27" spans="1:11">
      <c r="A27" t="s">
        <v>5225</v>
      </c>
      <c r="B27" t="s">
        <v>844</v>
      </c>
      <c r="C27" s="356">
        <v>10324</v>
      </c>
      <c r="D27" t="s">
        <v>2321</v>
      </c>
      <c r="E27">
        <f t="shared" si="0"/>
        <v>0</v>
      </c>
      <c r="F27" s="678">
        <f t="shared" si="1"/>
        <v>43514</v>
      </c>
      <c r="G27">
        <f t="shared" si="2"/>
        <v>0</v>
      </c>
      <c r="H27" s="2">
        <f t="shared" si="3"/>
        <v>28.138314698279075</v>
      </c>
      <c r="I27" s="2">
        <f t="shared" si="7"/>
        <v>43514</v>
      </c>
      <c r="J27" s="233">
        <f t="shared" si="5"/>
        <v>0</v>
      </c>
      <c r="K27" s="680">
        <f t="shared" si="6"/>
        <v>1224410.6257809156</v>
      </c>
    </row>
    <row r="28" spans="1:11">
      <c r="A28" t="s">
        <v>502</v>
      </c>
      <c r="B28" t="s">
        <v>3494</v>
      </c>
      <c r="C28" s="356">
        <v>2893</v>
      </c>
      <c r="D28" t="s">
        <v>2321</v>
      </c>
      <c r="E28">
        <f t="shared" si="0"/>
        <v>0</v>
      </c>
      <c r="F28" s="678">
        <f t="shared" si="1"/>
        <v>697344</v>
      </c>
      <c r="G28">
        <f t="shared" si="2"/>
        <v>0</v>
      </c>
      <c r="H28" s="2">
        <f t="shared" si="3"/>
        <v>3.7957542106661646</v>
      </c>
      <c r="I28" s="2">
        <f t="shared" si="7"/>
        <v>697344</v>
      </c>
      <c r="J28" s="233">
        <f t="shared" si="5"/>
        <v>0</v>
      </c>
      <c r="K28" s="680">
        <f t="shared" si="6"/>
        <v>2646946.424282786</v>
      </c>
    </row>
    <row r="29" spans="1:11">
      <c r="A29" t="s">
        <v>1641</v>
      </c>
      <c r="B29" t="s">
        <v>4108</v>
      </c>
      <c r="C29" s="356">
        <v>2091</v>
      </c>
      <c r="D29" t="s">
        <v>2321</v>
      </c>
      <c r="E29">
        <f t="shared" si="0"/>
        <v>0</v>
      </c>
      <c r="F29" s="678">
        <f t="shared" si="1"/>
        <v>1694</v>
      </c>
      <c r="G29">
        <f t="shared" si="2"/>
        <v>0</v>
      </c>
      <c r="H29" s="2">
        <f t="shared" si="3"/>
        <v>3.7957542106661646</v>
      </c>
      <c r="I29" s="2">
        <f t="shared" si="7"/>
        <v>1694</v>
      </c>
      <c r="J29" s="233">
        <f t="shared" si="5"/>
        <v>0</v>
      </c>
      <c r="K29" s="680">
        <f t="shared" si="6"/>
        <v>6430.0076328684827</v>
      </c>
    </row>
    <row r="30" spans="1:11">
      <c r="A30" s="20" t="s">
        <v>2123</v>
      </c>
      <c r="B30" s="20" t="s">
        <v>4107</v>
      </c>
      <c r="C30" s="357">
        <v>2895</v>
      </c>
      <c r="D30" s="20" t="s">
        <v>2321</v>
      </c>
      <c r="E30" s="20">
        <f t="shared" si="0"/>
        <v>0</v>
      </c>
      <c r="F30" s="688">
        <f t="shared" si="1"/>
        <v>38568</v>
      </c>
      <c r="G30" s="20">
        <f t="shared" si="2"/>
        <v>0</v>
      </c>
      <c r="H30" s="346">
        <f t="shared" si="3"/>
        <v>3.7957542106661646</v>
      </c>
      <c r="I30" s="57">
        <f t="shared" si="7"/>
        <v>38568</v>
      </c>
      <c r="J30" s="235">
        <f t="shared" si="5"/>
        <v>0</v>
      </c>
      <c r="K30" s="683">
        <f t="shared" si="6"/>
        <v>146394.64839697263</v>
      </c>
    </row>
    <row r="33" spans="1:8" ht="13">
      <c r="A33" s="178" t="s">
        <v>102</v>
      </c>
      <c r="B33" s="152" t="s">
        <v>4342</v>
      </c>
      <c r="C33" s="152" t="s">
        <v>4343</v>
      </c>
      <c r="D33" s="152" t="s">
        <v>5340</v>
      </c>
      <c r="E33" s="152" t="s">
        <v>5349</v>
      </c>
      <c r="F33" s="152" t="s">
        <v>5350</v>
      </c>
      <c r="G33" s="152" t="s">
        <v>5351</v>
      </c>
      <c r="H33" s="217" t="s">
        <v>5352</v>
      </c>
    </row>
    <row r="34" spans="1:8" ht="14.5">
      <c r="A34" s="147" t="s">
        <v>542</v>
      </c>
      <c r="B34" s="148" t="s">
        <v>2977</v>
      </c>
      <c r="C34" s="148" t="s">
        <v>2977</v>
      </c>
      <c r="D34" s="148" t="s">
        <v>2977</v>
      </c>
      <c r="E34" s="148" t="s">
        <v>3231</v>
      </c>
      <c r="F34" s="148" t="s">
        <v>3231</v>
      </c>
      <c r="G34" s="149" t="s">
        <v>3232</v>
      </c>
      <c r="H34" s="151" t="s">
        <v>3232</v>
      </c>
    </row>
    <row r="35" spans="1:8" ht="13">
      <c r="A35" s="229" t="s">
        <v>1738</v>
      </c>
      <c r="B35" s="25">
        <f>SUMIF($D$7:$D$30,$A35,$E$7:$E$30)</f>
        <v>28340</v>
      </c>
      <c r="C35" s="25">
        <f>SUMIF($D$7:$D$30,$A35,$F$7:$F$30)</f>
        <v>1252518</v>
      </c>
      <c r="D35" s="359"/>
      <c r="E35" s="2">
        <f>IF(ISERROR(SUMIF($D$7:$D$30,A35,$J$7:$J$30)/SUMIF($D$7:$D$30,A35,$E$7:$E$30)),0,(SUMIF($D$7:$D$30,A35,$J$7:$J$30)/SUMIF($D$7:$D$30,A35,$E$7:$E$30)))</f>
        <v>19.920401270320887</v>
      </c>
      <c r="F35" s="2">
        <f>SUMIF($D$7:$D$30,A35,$K$7:$K$30)/SUMIF($D$7:$D$30,A35,$F$7:$F$30)</f>
        <v>9.714791697540111</v>
      </c>
      <c r="G35" s="2">
        <f>IF(ISERROR(cnst_fish!$C$6/E35),H35,cnst_fish!$C$6/E35)</f>
        <v>0.21334911593031072</v>
      </c>
      <c r="H35" s="54">
        <f>cnst_fish!$C$6/F35</f>
        <v>0.43747721333810435</v>
      </c>
    </row>
    <row r="36" spans="1:8" ht="13">
      <c r="A36" s="77" t="s">
        <v>2321</v>
      </c>
      <c r="B36" s="25">
        <f>SUMIF($D$7:$D$30,$A36,$E$7:$E$30)</f>
        <v>0</v>
      </c>
      <c r="C36" s="25">
        <f>SUMIF($D$7:$D$30,$A36,$F$7:$F$30)</f>
        <v>4899706.24</v>
      </c>
      <c r="D36" s="26">
        <f>VLOOKUP($A36,fish_group_yield_n!$A$7:$J$48,6,FALSE)</f>
        <v>0</v>
      </c>
      <c r="E36" s="2">
        <f>IF(ISERROR(SUMIF($D$7:$D$30,A36,$J$7:$J$30)/SUMIF($D$7:$D$30,A36,$E$7:$E$30)),0,(SUMIF($D$7:$D$30,A36,$J$7:$J$30)/SUMIF($D$7:$D$30,A36,$E$7:$E$30)))</f>
        <v>0</v>
      </c>
      <c r="F36" s="2">
        <f>SUMIF($D$7:$D$30,A36,$K$7:$K$30)/SUMIF($D$7:$D$30,A36,$F$7:$F$30)</f>
        <v>11.830660526319841</v>
      </c>
      <c r="G36" s="2">
        <f>IF(ISERROR(cnst_fish!$C$6/E36),H36,cnst_fish!$C$6/E36)</f>
        <v>0.35923607059343504</v>
      </c>
      <c r="H36" s="81">
        <f>cnst_fish!$C$6/F36</f>
        <v>0.35923607059343504</v>
      </c>
    </row>
    <row r="37" spans="1:8" ht="13">
      <c r="A37" s="184" t="s">
        <v>4068</v>
      </c>
      <c r="B37" s="232">
        <f>SUM(B35:B36)</f>
        <v>28340</v>
      </c>
      <c r="C37" s="232">
        <f>SUM(F7:F30)</f>
        <v>6152224.2400000002</v>
      </c>
      <c r="D37" s="232">
        <f>SUM(D35:D36)</f>
        <v>0</v>
      </c>
      <c r="E37" s="135">
        <f>IF(ISERROR(SUM(J7:J30)/B37),F37,(SUM(J7:J30)/B37))</f>
        <v>19.920401270320887</v>
      </c>
      <c r="F37" s="135">
        <f>SUM(K7:K30)/C37</f>
        <v>11.399895376952408</v>
      </c>
      <c r="G37" s="135">
        <f>IF(ISERROR(cnst_fish!$C$6/E37),H37,cnst_fish!$C$6/E37)</f>
        <v>0.21334911593031072</v>
      </c>
      <c r="H37" s="309">
        <f>cnst_fish!$C$6/F37</f>
        <v>0.37281043899686861</v>
      </c>
    </row>
  </sheetData>
  <phoneticPr fontId="41" type="noConversion"/>
  <hyperlinks>
    <hyperlink ref="D3" location="fish_feed_group_yield_n!A1" display="fish_feed_group_yield_n" xr:uid="{00000000-0004-0000-2F00-000000000000}"/>
    <hyperlink ref="E3" location="fish_feed_group_yield_w!A1" display="fish_feed_group_yield_w" xr:uid="{00000000-0004-0000-2F00-000001000000}"/>
    <hyperlink ref="E2" location="fish_group_yield_n!A1" display="fish_group_yield_n" xr:uid="{00000000-0004-0000-2F00-000002000000}"/>
    <hyperlink ref="F2" location="cnst_fish!A1" display="cnst_fish" xr:uid="{00000000-0004-0000-2F00-000003000000}"/>
    <hyperlink ref="D2" location="fish_efp" display="fish_efp" xr:uid="{00000000-0004-0000-2F00-000004000000}"/>
  </hyperlinks>
  <pageMargins left="0.75" right="0.75" top="1" bottom="1" header="0.5" footer="0.5"/>
  <pageSetup orientation="portrait" verticalDpi="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1"/>
    <pageSetUpPr autoPageBreaks="0"/>
  </sheetPr>
  <dimension ref="A1:F41"/>
  <sheetViews>
    <sheetView zoomScaleNormal="100" workbookViewId="0">
      <selection activeCell="A65536" sqref="A65536"/>
    </sheetView>
  </sheetViews>
  <sheetFormatPr defaultColWidth="9.1796875" defaultRowHeight="12.75" customHeight="1"/>
  <cols>
    <col min="1" max="1" width="50.7265625" style="36" customWidth="1"/>
    <col min="2" max="6" width="21.7265625" style="36" customWidth="1"/>
    <col min="7" max="16384" width="9.1796875" style="36"/>
  </cols>
  <sheetData>
    <row r="1" spans="1:6" ht="15">
      <c r="A1" s="933" t="s">
        <v>1923</v>
      </c>
      <c r="B1" s="934" t="s">
        <v>9209</v>
      </c>
      <c r="C1" s="935" t="s">
        <v>9210</v>
      </c>
      <c r="D1" s="934" t="s">
        <v>9211</v>
      </c>
      <c r="E1" s="936" t="s">
        <v>9212</v>
      </c>
    </row>
    <row r="2" spans="1:6" ht="12.5">
      <c r="A2" s="937" t="s">
        <v>542</v>
      </c>
      <c r="B2" s="938" t="s">
        <v>720</v>
      </c>
      <c r="C2" s="938" t="s">
        <v>720</v>
      </c>
      <c r="D2" s="938" t="s">
        <v>720</v>
      </c>
      <c r="E2" s="939" t="s">
        <v>720</v>
      </c>
    </row>
    <row r="3" spans="1:6" ht="12.5">
      <c r="A3" s="4" t="s">
        <v>2989</v>
      </c>
      <c r="B3" s="25">
        <f>fossil_efp!F8</f>
        <v>192084346.76125029</v>
      </c>
      <c r="C3" s="25">
        <f>carbon_efi_efe!J632</f>
        <v>53254942.326028198</v>
      </c>
      <c r="D3" s="25">
        <f>carbon_efi_efe!K632</f>
        <v>64192191.683038965</v>
      </c>
      <c r="E3" s="23">
        <f>MAX(0,B3+C3-D3)</f>
        <v>181147097.40423954</v>
      </c>
      <c r="F3" s="39"/>
    </row>
    <row r="4" spans="1:6" ht="12.5">
      <c r="A4" s="4" t="s">
        <v>596</v>
      </c>
      <c r="B4" s="25">
        <f>other_co2_efp!C9</f>
        <v>9836165.1777411196</v>
      </c>
      <c r="C4" s="25">
        <v>0</v>
      </c>
      <c r="D4" s="25">
        <v>0</v>
      </c>
      <c r="E4" s="23">
        <f>MAX(0,B4+C4-D4)</f>
        <v>9836165.1777411196</v>
      </c>
    </row>
    <row r="5" spans="1:6" ht="12.5">
      <c r="A5" s="4" t="s">
        <v>4103</v>
      </c>
      <c r="B5" s="25">
        <v>0</v>
      </c>
      <c r="C5" s="25">
        <f>electricity_trade!E7</f>
        <v>1682822.5125973253</v>
      </c>
      <c r="D5" s="25">
        <f>electricity_trade!E8</f>
        <v>2899913.4906320241</v>
      </c>
      <c r="E5" s="23">
        <f>MAX(0,B5+C5-D5)</f>
        <v>0</v>
      </c>
    </row>
    <row r="6" spans="1:6" ht="12.5">
      <c r="A6" s="4" t="s">
        <v>6176</v>
      </c>
      <c r="B6" s="25">
        <f>IF(COUNTRY="World",Int_transport!C7,0)</f>
        <v>0</v>
      </c>
      <c r="C6" s="25">
        <f>IF(COUNTRY="World",0,Int_transport!C7)</f>
        <v>6371397.4512010971</v>
      </c>
      <c r="D6" s="25">
        <v>0</v>
      </c>
      <c r="E6" s="23">
        <f>MAX(0,B6+C6-D6)</f>
        <v>6371397.4512010971</v>
      </c>
    </row>
    <row r="7" spans="1:6" ht="13">
      <c r="A7" s="42" t="s">
        <v>3843</v>
      </c>
      <c r="B7" s="45">
        <f>SUM(B3:B6)</f>
        <v>201920511.9389914</v>
      </c>
      <c r="C7" s="45">
        <f>SUM(C3:C6)</f>
        <v>61309162.289826617</v>
      </c>
      <c r="D7" s="45">
        <f>SUM(D3:D6)</f>
        <v>67092105.173670992</v>
      </c>
      <c r="E7" s="46">
        <f>MAX(0,B7+C7-D7)</f>
        <v>196137569.05514699</v>
      </c>
    </row>
    <row r="30" spans="1:3" ht="12.75" customHeight="1">
      <c r="A30" s="68"/>
      <c r="B30" s="68"/>
      <c r="C30" s="68"/>
    </row>
    <row r="31" spans="1:3" ht="12.75" customHeight="1">
      <c r="A31" s="68"/>
      <c r="B31" s="68"/>
      <c r="C31" s="68"/>
    </row>
    <row r="32" spans="1:3" ht="12.75" customHeight="1">
      <c r="A32" s="68"/>
      <c r="B32" s="68"/>
      <c r="C32" s="68"/>
    </row>
    <row r="33" spans="1:4" ht="12.75" customHeight="1">
      <c r="A33" s="68"/>
      <c r="B33" s="68"/>
      <c r="C33" s="68"/>
    </row>
    <row r="34" spans="1:4" ht="12.75" customHeight="1">
      <c r="A34" s="68"/>
      <c r="B34" s="68"/>
      <c r="C34" s="68"/>
    </row>
    <row r="35" spans="1:4" ht="12.75" customHeight="1">
      <c r="A35" s="68"/>
      <c r="B35" s="68"/>
      <c r="C35" s="68"/>
    </row>
    <row r="36" spans="1:4" ht="12.75" customHeight="1">
      <c r="A36" s="68"/>
      <c r="B36" s="68"/>
      <c r="C36" s="68"/>
    </row>
    <row r="37" spans="1:4" ht="12.75" customHeight="1">
      <c r="A37" s="155"/>
      <c r="B37" s="155"/>
      <c r="C37" s="155"/>
      <c r="D37" s="155"/>
    </row>
    <row r="38" spans="1:4" ht="12.75" customHeight="1">
      <c r="A38" s="156"/>
      <c r="B38" s="156"/>
      <c r="C38" s="156"/>
      <c r="D38" s="156"/>
    </row>
    <row r="39" spans="1:4" ht="12.75" customHeight="1">
      <c r="A39" s="157">
        <f>B7</f>
        <v>201920511.9389914</v>
      </c>
      <c r="B39" s="158">
        <f>MIN(A39,C39)</f>
        <v>196137569.05514699</v>
      </c>
      <c r="C39" s="157">
        <f>E7</f>
        <v>196137569.05514699</v>
      </c>
      <c r="D39" s="156"/>
    </row>
    <row r="40" spans="1:4" ht="12.75" customHeight="1">
      <c r="A40" s="157">
        <f>C7</f>
        <v>61309162.289826617</v>
      </c>
      <c r="B40" s="158">
        <f>MAX(A39,C39)-B39</f>
        <v>5782942.8838444054</v>
      </c>
      <c r="C40" s="157">
        <f>D7</f>
        <v>67092105.173670992</v>
      </c>
      <c r="D40" s="156"/>
    </row>
    <row r="41" spans="1:4" ht="12.75" customHeight="1">
      <c r="A41" s="156">
        <v>0</v>
      </c>
      <c r="B41" s="158">
        <f>A39+A40-(B40+B39)</f>
        <v>61309162.289826602</v>
      </c>
      <c r="C41" s="156">
        <v>0</v>
      </c>
      <c r="D41" s="156"/>
    </row>
  </sheetData>
  <phoneticPr fontId="5" type="noConversion"/>
  <pageMargins left="0.75" right="0.75" top="1" bottom="1" header="0.5" footer="0.5"/>
  <pageSetup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91">
    <tabColor theme="4"/>
  </sheetPr>
  <dimension ref="A1:D648"/>
  <sheetViews>
    <sheetView zoomScaleNormal="100" workbookViewId="0">
      <pane ySplit="6" topLeftCell="A7" activePane="bottomLeft" state="frozen"/>
      <selection pane="bottomLeft" activeCell="A65536" sqref="A65536"/>
    </sheetView>
  </sheetViews>
  <sheetFormatPr defaultColWidth="9.1796875" defaultRowHeight="12.5"/>
  <cols>
    <col min="1" max="1" width="15" style="36" customWidth="1"/>
    <col min="2" max="2" width="27.81640625" style="36" customWidth="1"/>
    <col min="3" max="3" width="24" style="36" customWidth="1"/>
    <col min="4" max="4" width="16.453125" style="36" customWidth="1"/>
    <col min="5" max="16384" width="9.1796875" style="36"/>
  </cols>
  <sheetData>
    <row r="1" spans="1:4" ht="12.75" customHeight="1">
      <c r="B1" s="75"/>
      <c r="C1" s="75"/>
      <c r="D1" s="75"/>
    </row>
    <row r="2" spans="1:4" ht="12.75" customHeight="1">
      <c r="C2" s="37" t="s">
        <v>985</v>
      </c>
      <c r="D2" s="96" t="s">
        <v>1745</v>
      </c>
    </row>
    <row r="3" spans="1:4" ht="12.75" customHeight="1">
      <c r="C3" s="37" t="s">
        <v>986</v>
      </c>
      <c r="D3" s="466" t="s">
        <v>1761</v>
      </c>
    </row>
    <row r="4" spans="1:4" ht="12.75" customHeight="1"/>
    <row r="5" spans="1:4" ht="13">
      <c r="A5" s="1017" t="s">
        <v>6736</v>
      </c>
      <c r="B5" s="1017" t="s">
        <v>6193</v>
      </c>
      <c r="C5" s="1017" t="s">
        <v>102</v>
      </c>
      <c r="D5" s="1019" t="s">
        <v>1925</v>
      </c>
    </row>
    <row r="6" spans="1:4">
      <c r="A6" s="1021" t="s">
        <v>542</v>
      </c>
      <c r="B6" s="1021" t="s">
        <v>542</v>
      </c>
      <c r="C6" s="1021" t="s">
        <v>542</v>
      </c>
      <c r="D6" s="1033"/>
    </row>
    <row r="7" spans="1:4">
      <c r="A7" s="307">
        <v>12441</v>
      </c>
      <c r="B7" t="s">
        <v>2817</v>
      </c>
      <c r="C7" s="308" t="s">
        <v>1738</v>
      </c>
      <c r="D7" s="856"/>
    </row>
    <row r="8" spans="1:4">
      <c r="A8" s="307">
        <v>2651</v>
      </c>
      <c r="B8" t="s">
        <v>2893</v>
      </c>
      <c r="C8" s="308" t="s">
        <v>1736</v>
      </c>
      <c r="D8" s="856"/>
    </row>
    <row r="9" spans="1:4">
      <c r="A9" s="307">
        <v>10183</v>
      </c>
      <c r="B9" t="s">
        <v>3998</v>
      </c>
      <c r="C9" s="308" t="s">
        <v>1738</v>
      </c>
      <c r="D9" s="856"/>
    </row>
    <row r="10" spans="1:4">
      <c r="A10" s="307">
        <v>2981</v>
      </c>
      <c r="B10" t="s">
        <v>6738</v>
      </c>
      <c r="C10" s="308"/>
      <c r="D10" s="856"/>
    </row>
    <row r="11" spans="1:4">
      <c r="A11" s="307">
        <v>2141</v>
      </c>
      <c r="B11" t="s">
        <v>3999</v>
      </c>
      <c r="C11" s="308" t="s">
        <v>1738</v>
      </c>
      <c r="D11" s="856"/>
    </row>
    <row r="12" spans="1:4">
      <c r="A12" s="307">
        <v>2198</v>
      </c>
      <c r="B12" t="s">
        <v>4000</v>
      </c>
      <c r="C12" s="308" t="s">
        <v>1738</v>
      </c>
      <c r="D12" s="856"/>
    </row>
    <row r="13" spans="1:4">
      <c r="A13" s="307">
        <v>3428</v>
      </c>
      <c r="B13" t="s">
        <v>1489</v>
      </c>
      <c r="C13" s="308" t="s">
        <v>2322</v>
      </c>
      <c r="D13" s="856"/>
    </row>
    <row r="14" spans="1:4">
      <c r="A14" s="307">
        <v>10727</v>
      </c>
      <c r="B14" t="s">
        <v>4001</v>
      </c>
      <c r="C14" s="308" t="s">
        <v>1738</v>
      </c>
      <c r="D14" s="856"/>
    </row>
    <row r="15" spans="1:4">
      <c r="A15" s="307">
        <v>19882</v>
      </c>
      <c r="B15" t="s">
        <v>6739</v>
      </c>
      <c r="C15" s="308"/>
      <c r="D15" s="856"/>
    </row>
    <row r="16" spans="1:4">
      <c r="A16" s="307">
        <v>2320</v>
      </c>
      <c r="B16" t="s">
        <v>4850</v>
      </c>
      <c r="C16" s="308" t="s">
        <v>1738</v>
      </c>
      <c r="D16" s="856"/>
    </row>
    <row r="17" spans="1:4">
      <c r="A17" s="307">
        <v>10048</v>
      </c>
      <c r="B17" t="s">
        <v>4002</v>
      </c>
      <c r="C17" s="308" t="s">
        <v>2310</v>
      </c>
      <c r="D17" s="856"/>
    </row>
    <row r="18" spans="1:4">
      <c r="A18" s="307">
        <v>2669</v>
      </c>
      <c r="B18" t="s">
        <v>1326</v>
      </c>
      <c r="C18" s="308" t="s">
        <v>2316</v>
      </c>
      <c r="D18" s="856">
        <v>7436</v>
      </c>
    </row>
    <row r="19" spans="1:4">
      <c r="A19" s="307">
        <v>2989</v>
      </c>
      <c r="B19" t="s">
        <v>3699</v>
      </c>
      <c r="C19" s="308" t="s">
        <v>3786</v>
      </c>
      <c r="D19" s="856"/>
    </row>
    <row r="20" spans="1:4">
      <c r="A20" s="307">
        <v>3096</v>
      </c>
      <c r="B20" t="s">
        <v>4642</v>
      </c>
      <c r="C20" s="308" t="s">
        <v>1738</v>
      </c>
      <c r="D20" s="856"/>
    </row>
    <row r="21" spans="1:4">
      <c r="A21" s="307">
        <v>15319</v>
      </c>
      <c r="B21" t="s">
        <v>4958</v>
      </c>
      <c r="C21" s="308" t="s">
        <v>4959</v>
      </c>
      <c r="D21" s="856"/>
    </row>
    <row r="22" spans="1:4">
      <c r="A22" s="307">
        <v>2663</v>
      </c>
      <c r="B22" t="s">
        <v>3157</v>
      </c>
      <c r="C22" s="308" t="s">
        <v>1736</v>
      </c>
      <c r="D22" s="856"/>
    </row>
    <row r="23" spans="1:4">
      <c r="A23" s="307">
        <v>3625</v>
      </c>
      <c r="B23" t="s">
        <v>2933</v>
      </c>
      <c r="C23" s="308" t="s">
        <v>1738</v>
      </c>
      <c r="D23" s="856"/>
    </row>
    <row r="24" spans="1:4">
      <c r="A24" s="307">
        <v>3642</v>
      </c>
      <c r="B24" t="s">
        <v>3293</v>
      </c>
      <c r="C24" s="308"/>
      <c r="D24" s="856"/>
    </row>
    <row r="25" spans="1:4">
      <c r="A25" s="307">
        <v>2945</v>
      </c>
      <c r="B25" t="s">
        <v>489</v>
      </c>
      <c r="C25" s="308" t="s">
        <v>1738</v>
      </c>
      <c r="D25" s="856"/>
    </row>
    <row r="26" spans="1:4">
      <c r="A26" s="307">
        <v>2120</v>
      </c>
      <c r="B26" t="s">
        <v>1244</v>
      </c>
      <c r="C26" s="308" t="s">
        <v>1738</v>
      </c>
      <c r="D26" s="856">
        <v>200</v>
      </c>
    </row>
    <row r="27" spans="1:4">
      <c r="A27" s="307">
        <v>3076</v>
      </c>
      <c r="B27" t="s">
        <v>2645</v>
      </c>
      <c r="C27" s="308" t="s">
        <v>1738</v>
      </c>
      <c r="D27" s="856"/>
    </row>
    <row r="28" spans="1:4">
      <c r="A28" s="307">
        <v>3059</v>
      </c>
      <c r="B28" t="s">
        <v>4960</v>
      </c>
      <c r="C28" s="308" t="s">
        <v>1738</v>
      </c>
      <c r="D28" s="856"/>
    </row>
    <row r="29" spans="1:4">
      <c r="A29" s="307">
        <v>2174</v>
      </c>
      <c r="B29" t="s">
        <v>6741</v>
      </c>
      <c r="C29" s="308"/>
      <c r="D29" s="856"/>
    </row>
    <row r="30" spans="1:4">
      <c r="A30" s="307">
        <v>2708</v>
      </c>
      <c r="B30" t="s">
        <v>4961</v>
      </c>
      <c r="C30" s="308" t="s">
        <v>1736</v>
      </c>
      <c r="D30" s="523"/>
    </row>
    <row r="31" spans="1:4">
      <c r="A31" s="307">
        <v>2974</v>
      </c>
      <c r="B31" t="s">
        <v>3767</v>
      </c>
      <c r="C31" s="308" t="s">
        <v>1738</v>
      </c>
      <c r="D31" s="523"/>
    </row>
    <row r="32" spans="1:4">
      <c r="A32" s="307">
        <v>2272</v>
      </c>
      <c r="B32" t="s">
        <v>4962</v>
      </c>
      <c r="C32" s="308" t="s">
        <v>3786</v>
      </c>
      <c r="D32" s="523"/>
    </row>
    <row r="33" spans="1:4">
      <c r="A33" s="307">
        <v>2171</v>
      </c>
      <c r="B33" t="s">
        <v>2935</v>
      </c>
      <c r="C33" s="308" t="s">
        <v>1738</v>
      </c>
      <c r="D33" s="523"/>
    </row>
    <row r="34" spans="1:4">
      <c r="A34" s="307">
        <v>2986</v>
      </c>
      <c r="B34" t="s">
        <v>4963</v>
      </c>
      <c r="C34" s="308" t="s">
        <v>1738</v>
      </c>
      <c r="D34" s="523"/>
    </row>
    <row r="35" spans="1:4">
      <c r="A35" s="307">
        <v>14546</v>
      </c>
      <c r="B35" t="s">
        <v>8891</v>
      </c>
      <c r="C35" s="308" t="s">
        <v>4282</v>
      </c>
      <c r="D35" s="523"/>
    </row>
    <row r="36" spans="1:4">
      <c r="A36" s="307">
        <v>3296</v>
      </c>
      <c r="B36" t="s">
        <v>1327</v>
      </c>
      <c r="C36" s="308" t="s">
        <v>2843</v>
      </c>
      <c r="D36" s="523"/>
    </row>
    <row r="37" spans="1:4">
      <c r="A37" s="307">
        <v>2218</v>
      </c>
      <c r="B37" t="s">
        <v>1328</v>
      </c>
      <c r="C37" s="308" t="s">
        <v>5195</v>
      </c>
      <c r="D37" s="523"/>
    </row>
    <row r="38" spans="1:4">
      <c r="A38" s="307">
        <v>16496</v>
      </c>
      <c r="B38" t="s">
        <v>4964</v>
      </c>
      <c r="C38" s="308" t="s">
        <v>2322</v>
      </c>
      <c r="D38" s="523"/>
    </row>
    <row r="39" spans="1:4">
      <c r="A39" s="307">
        <v>14748</v>
      </c>
      <c r="B39" t="s">
        <v>8895</v>
      </c>
      <c r="C39" s="308" t="s">
        <v>4282</v>
      </c>
      <c r="D39" s="523"/>
    </row>
    <row r="40" spans="1:4">
      <c r="A40" s="307">
        <v>3353</v>
      </c>
      <c r="B40" t="s">
        <v>1484</v>
      </c>
      <c r="C40" s="308" t="s">
        <v>3787</v>
      </c>
      <c r="D40" s="523"/>
    </row>
    <row r="41" spans="1:4">
      <c r="A41" s="307">
        <v>2929</v>
      </c>
      <c r="B41" t="s">
        <v>5458</v>
      </c>
      <c r="C41" s="308" t="s">
        <v>3791</v>
      </c>
      <c r="D41" s="523">
        <v>123184</v>
      </c>
    </row>
    <row r="42" spans="1:4">
      <c r="A42" s="307">
        <v>11251</v>
      </c>
      <c r="B42" t="s">
        <v>6742</v>
      </c>
      <c r="C42" s="308"/>
      <c r="D42" s="523"/>
    </row>
    <row r="43" spans="1:4">
      <c r="A43" s="307">
        <v>2456</v>
      </c>
      <c r="B43" t="s">
        <v>1485</v>
      </c>
      <c r="C43" s="308" t="s">
        <v>1738</v>
      </c>
      <c r="D43" s="523"/>
    </row>
    <row r="44" spans="1:4">
      <c r="A44" s="307">
        <v>2689</v>
      </c>
      <c r="B44" t="s">
        <v>2223</v>
      </c>
      <c r="C44" s="308" t="s">
        <v>2314</v>
      </c>
      <c r="D44" s="523"/>
    </row>
    <row r="45" spans="1:4">
      <c r="A45" s="307">
        <v>2124</v>
      </c>
      <c r="B45" t="s">
        <v>2934</v>
      </c>
      <c r="C45" s="308" t="s">
        <v>1738</v>
      </c>
      <c r="D45" s="523"/>
    </row>
    <row r="46" spans="1:4">
      <c r="A46" s="307">
        <v>18543</v>
      </c>
      <c r="B46" t="s">
        <v>6743</v>
      </c>
      <c r="C46" s="308"/>
      <c r="D46" s="523"/>
    </row>
    <row r="47" spans="1:4">
      <c r="A47" s="307">
        <v>2187</v>
      </c>
      <c r="B47" t="s">
        <v>2520</v>
      </c>
      <c r="C47" s="308" t="s">
        <v>1738</v>
      </c>
      <c r="D47" s="523"/>
    </row>
    <row r="48" spans="1:4">
      <c r="A48" s="307">
        <v>13004</v>
      </c>
      <c r="B48" t="s">
        <v>2628</v>
      </c>
      <c r="C48" s="308"/>
      <c r="D48" s="523"/>
    </row>
    <row r="49" spans="1:4">
      <c r="A49" s="307">
        <v>16484</v>
      </c>
      <c r="B49" t="s">
        <v>4965</v>
      </c>
      <c r="C49" s="308" t="s">
        <v>2322</v>
      </c>
      <c r="D49" s="523"/>
    </row>
    <row r="50" spans="1:4">
      <c r="A50" s="307">
        <v>2583</v>
      </c>
      <c r="B50" t="s">
        <v>1483</v>
      </c>
      <c r="C50" s="308" t="s">
        <v>2322</v>
      </c>
      <c r="D50" s="523"/>
    </row>
    <row r="51" spans="1:4">
      <c r="A51" s="307">
        <v>10625</v>
      </c>
      <c r="B51" t="s">
        <v>6233</v>
      </c>
      <c r="C51" s="308"/>
      <c r="D51" s="523"/>
    </row>
    <row r="52" spans="1:4">
      <c r="A52" s="307">
        <v>17577</v>
      </c>
      <c r="B52" t="s">
        <v>340</v>
      </c>
      <c r="C52" s="308" t="s">
        <v>1736</v>
      </c>
      <c r="D52" s="523"/>
    </row>
    <row r="53" spans="1:4">
      <c r="A53" s="307">
        <v>12591</v>
      </c>
      <c r="B53" t="s">
        <v>6235</v>
      </c>
      <c r="C53" s="308"/>
      <c r="D53" s="523"/>
    </row>
    <row r="54" spans="1:4">
      <c r="A54" s="307">
        <v>2958</v>
      </c>
      <c r="B54" t="s">
        <v>2607</v>
      </c>
      <c r="C54" s="308" t="s">
        <v>1738</v>
      </c>
      <c r="D54" s="523"/>
    </row>
    <row r="55" spans="1:4">
      <c r="A55" s="307">
        <v>3068</v>
      </c>
      <c r="B55" t="s">
        <v>5459</v>
      </c>
      <c r="C55" s="308" t="s">
        <v>1738</v>
      </c>
      <c r="D55" s="523"/>
    </row>
    <row r="56" spans="1:4">
      <c r="A56" s="307">
        <v>2202</v>
      </c>
      <c r="B56" t="s">
        <v>4966</v>
      </c>
      <c r="C56" s="308" t="s">
        <v>1738</v>
      </c>
      <c r="D56" s="523"/>
    </row>
    <row r="57" spans="1:4">
      <c r="A57" s="307">
        <v>3350</v>
      </c>
      <c r="B57" t="s">
        <v>2743</v>
      </c>
      <c r="C57" s="308" t="s">
        <v>1738</v>
      </c>
      <c r="D57" s="523"/>
    </row>
    <row r="58" spans="1:4">
      <c r="A58" s="307">
        <v>2540</v>
      </c>
      <c r="B58" t="s">
        <v>1835</v>
      </c>
      <c r="C58" s="308"/>
      <c r="D58" s="523"/>
    </row>
    <row r="59" spans="1:4">
      <c r="A59" s="307">
        <v>10693</v>
      </c>
      <c r="B59" t="s">
        <v>4967</v>
      </c>
      <c r="C59" s="308" t="s">
        <v>1738</v>
      </c>
      <c r="D59" s="523"/>
    </row>
    <row r="60" spans="1:4">
      <c r="A60" s="307">
        <v>3559</v>
      </c>
      <c r="B60" t="s">
        <v>4968</v>
      </c>
      <c r="C60" s="308" t="s">
        <v>1736</v>
      </c>
      <c r="D60" s="523"/>
    </row>
    <row r="61" spans="1:4">
      <c r="A61" s="307">
        <v>2072</v>
      </c>
      <c r="B61" t="s">
        <v>4428</v>
      </c>
      <c r="C61" s="308" t="s">
        <v>1738</v>
      </c>
      <c r="D61" s="523"/>
    </row>
    <row r="62" spans="1:4">
      <c r="A62" s="307">
        <v>2965</v>
      </c>
      <c r="B62" t="s">
        <v>1245</v>
      </c>
      <c r="C62" s="308" t="s">
        <v>5194</v>
      </c>
      <c r="D62" s="523"/>
    </row>
    <row r="63" spans="1:4">
      <c r="A63" s="307">
        <v>2263</v>
      </c>
      <c r="B63" t="s">
        <v>875</v>
      </c>
      <c r="C63" s="308"/>
      <c r="D63" s="523"/>
    </row>
    <row r="64" spans="1:4">
      <c r="A64" s="307">
        <v>17120</v>
      </c>
      <c r="B64" t="s">
        <v>6744</v>
      </c>
      <c r="C64" s="308"/>
      <c r="D64" s="523"/>
    </row>
    <row r="65" spans="1:4">
      <c r="A65" s="307">
        <v>2190</v>
      </c>
      <c r="B65" t="s">
        <v>4969</v>
      </c>
      <c r="C65" s="308" t="s">
        <v>4282</v>
      </c>
      <c r="D65" s="523"/>
    </row>
    <row r="66" spans="1:4">
      <c r="A66" s="307">
        <v>2970</v>
      </c>
      <c r="B66" t="s">
        <v>3294</v>
      </c>
      <c r="C66" s="308" t="s">
        <v>5194</v>
      </c>
      <c r="D66" s="523"/>
    </row>
    <row r="67" spans="1:4">
      <c r="A67" s="307">
        <v>2186</v>
      </c>
      <c r="B67" t="s">
        <v>1716</v>
      </c>
      <c r="C67" s="308" t="s">
        <v>1738</v>
      </c>
      <c r="D67" s="523"/>
    </row>
    <row r="68" spans="1:4">
      <c r="A68" s="307">
        <v>6816</v>
      </c>
      <c r="B68" t="s">
        <v>6745</v>
      </c>
      <c r="C68" s="308"/>
      <c r="D68" s="523"/>
    </row>
    <row r="69" spans="1:4">
      <c r="A69" s="307">
        <v>3079</v>
      </c>
      <c r="B69" t="s">
        <v>4771</v>
      </c>
      <c r="C69" s="308" t="s">
        <v>2319</v>
      </c>
      <c r="D69" s="523"/>
    </row>
    <row r="70" spans="1:4">
      <c r="A70" s="307">
        <v>2416</v>
      </c>
      <c r="B70" t="s">
        <v>4970</v>
      </c>
      <c r="C70" s="308" t="s">
        <v>1738</v>
      </c>
      <c r="D70" s="523"/>
    </row>
    <row r="71" spans="1:4">
      <c r="A71" s="307">
        <v>2414</v>
      </c>
      <c r="B71" t="s">
        <v>4971</v>
      </c>
      <c r="C71" s="308" t="s">
        <v>4972</v>
      </c>
      <c r="D71" s="523"/>
    </row>
    <row r="72" spans="1:4">
      <c r="A72" s="307">
        <v>3202</v>
      </c>
      <c r="B72" t="s">
        <v>4315</v>
      </c>
      <c r="C72" s="308" t="s">
        <v>1738</v>
      </c>
      <c r="D72" s="523"/>
    </row>
    <row r="73" spans="1:4">
      <c r="A73" s="307">
        <v>3492</v>
      </c>
      <c r="B73" t="s">
        <v>4887</v>
      </c>
      <c r="C73" s="308" t="s">
        <v>1738</v>
      </c>
      <c r="D73" s="523"/>
    </row>
    <row r="74" spans="1:4">
      <c r="A74" s="307">
        <v>2664</v>
      </c>
      <c r="B74" t="s">
        <v>6746</v>
      </c>
      <c r="C74" s="308"/>
      <c r="D74" s="523"/>
    </row>
    <row r="75" spans="1:4">
      <c r="A75" s="307">
        <v>3173</v>
      </c>
      <c r="B75" t="s">
        <v>1272</v>
      </c>
      <c r="C75" s="308" t="s">
        <v>1738</v>
      </c>
      <c r="D75" s="523"/>
    </row>
    <row r="76" spans="1:4">
      <c r="A76" s="307">
        <v>2155</v>
      </c>
      <c r="B76" t="s">
        <v>4161</v>
      </c>
      <c r="C76" s="308" t="s">
        <v>1738</v>
      </c>
      <c r="D76" s="523"/>
    </row>
    <row r="77" spans="1:4">
      <c r="A77" s="307">
        <v>3503</v>
      </c>
      <c r="B77" t="s">
        <v>4851</v>
      </c>
      <c r="C77" s="308" t="s">
        <v>1736</v>
      </c>
      <c r="D77" s="523"/>
    </row>
    <row r="78" spans="1:4">
      <c r="A78" s="307">
        <v>2632</v>
      </c>
      <c r="B78" t="s">
        <v>4643</v>
      </c>
      <c r="C78" s="308" t="s">
        <v>2311</v>
      </c>
      <c r="D78" s="523"/>
    </row>
    <row r="79" spans="1:4">
      <c r="A79" s="307">
        <v>2688</v>
      </c>
      <c r="B79" t="s">
        <v>3405</v>
      </c>
      <c r="C79" s="308" t="s">
        <v>2314</v>
      </c>
      <c r="D79" s="523">
        <v>26822</v>
      </c>
    </row>
    <row r="80" spans="1:4">
      <c r="A80" s="307">
        <v>2585</v>
      </c>
      <c r="B80" t="s">
        <v>1576</v>
      </c>
      <c r="C80" s="308" t="s">
        <v>2322</v>
      </c>
      <c r="D80" s="523"/>
    </row>
    <row r="81" spans="1:4">
      <c r="A81" s="307">
        <v>2629</v>
      </c>
      <c r="B81" t="s">
        <v>23</v>
      </c>
      <c r="C81" s="308" t="s">
        <v>2311</v>
      </c>
      <c r="D81" s="523"/>
    </row>
    <row r="82" spans="1:4">
      <c r="A82" s="307">
        <v>2409</v>
      </c>
      <c r="B82" t="s">
        <v>670</v>
      </c>
      <c r="C82" s="308" t="s">
        <v>1738</v>
      </c>
      <c r="D82" s="523"/>
    </row>
    <row r="83" spans="1:4">
      <c r="A83" s="307">
        <v>3102</v>
      </c>
      <c r="B83" t="s">
        <v>3845</v>
      </c>
      <c r="C83" s="308" t="s">
        <v>1738</v>
      </c>
      <c r="D83" s="523"/>
    </row>
    <row r="84" spans="1:4">
      <c r="A84" s="307">
        <v>13119</v>
      </c>
      <c r="B84" t="s">
        <v>4973</v>
      </c>
      <c r="C84" s="308" t="s">
        <v>1738</v>
      </c>
      <c r="D84" s="523"/>
    </row>
    <row r="85" spans="1:4">
      <c r="A85" s="307">
        <v>6824</v>
      </c>
      <c r="B85" t="s">
        <v>6747</v>
      </c>
      <c r="C85" s="308"/>
      <c r="D85" s="523"/>
    </row>
    <row r="86" spans="1:4">
      <c r="A86" s="307">
        <v>15945</v>
      </c>
      <c r="B86" t="s">
        <v>3469</v>
      </c>
      <c r="C86" s="308" t="s">
        <v>1738</v>
      </c>
      <c r="D86" s="523"/>
    </row>
    <row r="87" spans="1:4">
      <c r="A87" s="403">
        <v>3189</v>
      </c>
      <c r="B87" s="403" t="s">
        <v>5437</v>
      </c>
      <c r="C87" s="308" t="s">
        <v>1738</v>
      </c>
      <c r="D87" s="523"/>
    </row>
    <row r="88" spans="1:4">
      <c r="A88" s="307">
        <v>14985</v>
      </c>
      <c r="B88" t="s">
        <v>8899</v>
      </c>
      <c r="C88" s="308" t="s">
        <v>3785</v>
      </c>
      <c r="D88" s="523"/>
    </row>
    <row r="89" spans="1:4">
      <c r="A89" s="307">
        <v>18538</v>
      </c>
      <c r="B89" t="s">
        <v>4974</v>
      </c>
      <c r="C89" s="308" t="s">
        <v>1740</v>
      </c>
      <c r="D89" s="523"/>
    </row>
    <row r="90" spans="1:4">
      <c r="A90" s="307">
        <v>2562</v>
      </c>
      <c r="B90" t="s">
        <v>731</v>
      </c>
      <c r="C90" s="308" t="s">
        <v>1738</v>
      </c>
      <c r="D90" s="523"/>
    </row>
    <row r="91" spans="1:4">
      <c r="A91" s="307">
        <v>2576</v>
      </c>
      <c r="B91" t="s">
        <v>4888</v>
      </c>
      <c r="C91" s="308" t="s">
        <v>2322</v>
      </c>
      <c r="D91" s="523"/>
    </row>
    <row r="92" spans="1:4">
      <c r="A92" s="307">
        <v>13817</v>
      </c>
      <c r="B92" t="s">
        <v>6748</v>
      </c>
      <c r="C92" s="308"/>
      <c r="D92" s="523"/>
    </row>
    <row r="93" spans="1:4">
      <c r="A93" s="307">
        <v>2935</v>
      </c>
      <c r="B93" t="s">
        <v>4015</v>
      </c>
      <c r="C93" s="308" t="s">
        <v>2323</v>
      </c>
      <c r="D93" s="523"/>
    </row>
    <row r="94" spans="1:4">
      <c r="A94" s="307">
        <v>3149</v>
      </c>
      <c r="B94" t="s">
        <v>4130</v>
      </c>
      <c r="C94" s="308"/>
      <c r="D94" s="523"/>
    </row>
    <row r="95" spans="1:4">
      <c r="A95" s="307">
        <v>3628</v>
      </c>
      <c r="B95" t="s">
        <v>1450</v>
      </c>
      <c r="C95" s="308"/>
      <c r="D95" s="523"/>
    </row>
    <row r="96" spans="1:4">
      <c r="A96" s="307">
        <v>2588</v>
      </c>
      <c r="B96" t="s">
        <v>4976</v>
      </c>
      <c r="C96" s="308" t="s">
        <v>2322</v>
      </c>
      <c r="D96" s="523"/>
    </row>
    <row r="97" spans="1:4">
      <c r="A97" s="307">
        <v>18918</v>
      </c>
      <c r="B97" t="s">
        <v>737</v>
      </c>
      <c r="C97" s="308" t="s">
        <v>1738</v>
      </c>
      <c r="D97" s="523"/>
    </row>
    <row r="98" spans="1:4">
      <c r="A98" s="307">
        <v>2954</v>
      </c>
      <c r="B98" t="s">
        <v>2517</v>
      </c>
      <c r="C98" s="308" t="s">
        <v>1738</v>
      </c>
      <c r="D98" s="523"/>
    </row>
    <row r="99" spans="1:4">
      <c r="A99" s="307">
        <v>3012</v>
      </c>
      <c r="B99" t="s">
        <v>2546</v>
      </c>
      <c r="C99" s="308"/>
      <c r="D99" s="523"/>
    </row>
    <row r="100" spans="1:4">
      <c r="A100" s="307">
        <v>2701</v>
      </c>
      <c r="B100" t="s">
        <v>1597</v>
      </c>
      <c r="C100" s="308" t="s">
        <v>1736</v>
      </c>
      <c r="D100" s="523">
        <v>522</v>
      </c>
    </row>
    <row r="101" spans="1:4">
      <c r="A101" s="307">
        <v>2149</v>
      </c>
      <c r="B101" t="s">
        <v>2262</v>
      </c>
      <c r="C101" s="308" t="s">
        <v>1738</v>
      </c>
      <c r="D101" s="523"/>
    </row>
    <row r="102" spans="1:4">
      <c r="A102" s="307">
        <v>2631</v>
      </c>
      <c r="B102" t="s">
        <v>6753</v>
      </c>
      <c r="C102" s="308"/>
      <c r="D102" s="523"/>
    </row>
    <row r="103" spans="1:4">
      <c r="A103" s="307">
        <v>16059</v>
      </c>
      <c r="B103" t="s">
        <v>8919</v>
      </c>
      <c r="C103" s="308" t="s">
        <v>4282</v>
      </c>
      <c r="D103" s="523"/>
    </row>
    <row r="104" spans="1:4">
      <c r="A104" s="307">
        <v>3328</v>
      </c>
      <c r="B104" t="s">
        <v>8909</v>
      </c>
      <c r="C104" s="308" t="s">
        <v>4282</v>
      </c>
      <c r="D104" s="523"/>
    </row>
    <row r="105" spans="1:4">
      <c r="A105" s="307">
        <v>2587</v>
      </c>
      <c r="B105" t="s">
        <v>4340</v>
      </c>
      <c r="C105" s="308" t="s">
        <v>2322</v>
      </c>
      <c r="D105" s="523"/>
    </row>
    <row r="106" spans="1:4">
      <c r="A106" s="307">
        <v>14988</v>
      </c>
      <c r="B106" t="s">
        <v>8901</v>
      </c>
      <c r="C106" s="308" t="s">
        <v>3785</v>
      </c>
      <c r="D106" s="523"/>
    </row>
    <row r="107" spans="1:4">
      <c r="A107" s="307">
        <v>2700</v>
      </c>
      <c r="B107" t="s">
        <v>4026</v>
      </c>
      <c r="C107" s="308" t="s">
        <v>1738</v>
      </c>
      <c r="D107" s="523"/>
    </row>
    <row r="108" spans="1:4">
      <c r="A108" s="307">
        <v>10294</v>
      </c>
      <c r="B108" t="s">
        <v>8840</v>
      </c>
      <c r="C108" s="308" t="s">
        <v>4282</v>
      </c>
      <c r="D108" s="523"/>
    </row>
    <row r="109" spans="1:4">
      <c r="A109" s="307">
        <v>2976</v>
      </c>
      <c r="B109" t="s">
        <v>1246</v>
      </c>
      <c r="C109" s="308" t="s">
        <v>4959</v>
      </c>
      <c r="D109" s="523"/>
    </row>
    <row r="110" spans="1:4">
      <c r="A110" s="307">
        <v>2164</v>
      </c>
      <c r="B110" t="s">
        <v>4028</v>
      </c>
      <c r="C110" s="308" t="s">
        <v>1738</v>
      </c>
      <c r="D110" s="523"/>
    </row>
    <row r="111" spans="1:4">
      <c r="A111" s="307">
        <v>2774</v>
      </c>
      <c r="B111" t="s">
        <v>5985</v>
      </c>
      <c r="C111" s="308"/>
      <c r="D111" s="523"/>
    </row>
    <row r="112" spans="1:4">
      <c r="A112" s="307">
        <v>17811</v>
      </c>
      <c r="B112" t="s">
        <v>8881</v>
      </c>
      <c r="C112" s="308" t="s">
        <v>1736</v>
      </c>
      <c r="D112" s="523"/>
    </row>
    <row r="113" spans="1:4">
      <c r="A113" s="307">
        <v>2188</v>
      </c>
      <c r="B113" t="s">
        <v>2264</v>
      </c>
      <c r="C113" s="308" t="s">
        <v>1738</v>
      </c>
      <c r="D113" s="523"/>
    </row>
    <row r="114" spans="1:4">
      <c r="A114" s="307">
        <v>2950</v>
      </c>
      <c r="B114" t="s">
        <v>1742</v>
      </c>
      <c r="C114" s="308" t="s">
        <v>1738</v>
      </c>
      <c r="D114" s="523"/>
    </row>
    <row r="115" spans="1:4">
      <c r="A115" s="307">
        <v>2119</v>
      </c>
      <c r="B115" t="s">
        <v>3288</v>
      </c>
      <c r="C115" s="308" t="s">
        <v>1738</v>
      </c>
      <c r="D115" s="523"/>
    </row>
    <row r="116" spans="1:4">
      <c r="A116" s="307">
        <v>3509</v>
      </c>
      <c r="B116" t="s">
        <v>2894</v>
      </c>
      <c r="C116" s="308" t="s">
        <v>2316</v>
      </c>
      <c r="D116" s="523"/>
    </row>
    <row r="117" spans="1:4">
      <c r="A117" s="307">
        <v>3527</v>
      </c>
      <c r="B117" t="s">
        <v>2895</v>
      </c>
      <c r="C117" s="308" t="s">
        <v>2314</v>
      </c>
      <c r="D117" s="523"/>
    </row>
    <row r="118" spans="1:4">
      <c r="A118" s="307">
        <v>18993</v>
      </c>
      <c r="B118" t="s">
        <v>427</v>
      </c>
      <c r="C118" s="308" t="s">
        <v>4959</v>
      </c>
      <c r="D118" s="523"/>
    </row>
    <row r="119" spans="1:4">
      <c r="A119" s="307">
        <v>3466</v>
      </c>
      <c r="B119" t="s">
        <v>1184</v>
      </c>
      <c r="C119" s="308" t="s">
        <v>2311</v>
      </c>
      <c r="D119" s="523"/>
    </row>
    <row r="120" spans="1:4">
      <c r="A120" s="307">
        <v>18997</v>
      </c>
      <c r="B120" t="s">
        <v>428</v>
      </c>
      <c r="C120" s="308" t="s">
        <v>1738</v>
      </c>
      <c r="D120" s="523"/>
    </row>
    <row r="121" spans="1:4">
      <c r="A121" s="307">
        <v>2749</v>
      </c>
      <c r="B121" t="s">
        <v>6707</v>
      </c>
      <c r="C121" s="308"/>
      <c r="D121" s="523"/>
    </row>
    <row r="122" spans="1:4">
      <c r="A122" s="307">
        <v>2933</v>
      </c>
      <c r="B122" t="s">
        <v>6543</v>
      </c>
      <c r="C122" s="308"/>
      <c r="D122" s="523"/>
    </row>
    <row r="123" spans="1:4">
      <c r="A123" s="307">
        <v>3533</v>
      </c>
      <c r="B123" t="s">
        <v>4615</v>
      </c>
      <c r="C123" s="308" t="s">
        <v>2314</v>
      </c>
      <c r="D123" s="523"/>
    </row>
    <row r="124" spans="1:4">
      <c r="A124" s="307">
        <v>2690</v>
      </c>
      <c r="B124" t="s">
        <v>4616</v>
      </c>
      <c r="C124" s="308" t="s">
        <v>2314</v>
      </c>
      <c r="D124" s="523"/>
    </row>
    <row r="125" spans="1:4">
      <c r="A125" s="307">
        <v>13179</v>
      </c>
      <c r="B125" t="s">
        <v>3471</v>
      </c>
      <c r="C125" s="308" t="s">
        <v>1738</v>
      </c>
      <c r="D125" s="523"/>
    </row>
    <row r="126" spans="1:4">
      <c r="A126" s="307">
        <v>2961</v>
      </c>
      <c r="B126" t="s">
        <v>932</v>
      </c>
      <c r="C126" s="308" t="s">
        <v>1738</v>
      </c>
      <c r="D126" s="523"/>
    </row>
    <row r="127" spans="1:4">
      <c r="A127" s="307">
        <v>2931</v>
      </c>
      <c r="B127" t="s">
        <v>6540</v>
      </c>
      <c r="C127" s="308"/>
      <c r="D127" s="523"/>
    </row>
    <row r="128" spans="1:4">
      <c r="A128" s="307">
        <v>2415</v>
      </c>
      <c r="B128" t="s">
        <v>429</v>
      </c>
      <c r="C128" s="308" t="s">
        <v>1738</v>
      </c>
      <c r="D128" s="523"/>
    </row>
    <row r="129" spans="1:4">
      <c r="A129" s="307">
        <v>18710</v>
      </c>
      <c r="B129" t="s">
        <v>2818</v>
      </c>
      <c r="C129" s="308" t="s">
        <v>1738</v>
      </c>
      <c r="D129" s="523"/>
    </row>
    <row r="130" spans="1:4">
      <c r="A130" s="307">
        <v>2725</v>
      </c>
      <c r="B130" t="s">
        <v>3698</v>
      </c>
      <c r="C130" s="308" t="s">
        <v>1736</v>
      </c>
      <c r="D130" s="523"/>
    </row>
    <row r="131" spans="1:4">
      <c r="A131" s="307">
        <v>14613</v>
      </c>
      <c r="B131" t="s">
        <v>430</v>
      </c>
      <c r="C131" s="308" t="s">
        <v>1738</v>
      </c>
      <c r="D131" s="523"/>
    </row>
    <row r="132" spans="1:4">
      <c r="A132" s="307">
        <v>3315</v>
      </c>
      <c r="B132" t="s">
        <v>3764</v>
      </c>
      <c r="C132" s="308" t="s">
        <v>1738</v>
      </c>
      <c r="D132" s="523"/>
    </row>
    <row r="133" spans="1:4">
      <c r="A133" s="307">
        <v>11364</v>
      </c>
      <c r="B133" t="s">
        <v>6756</v>
      </c>
      <c r="C133" s="308"/>
      <c r="D133" s="523"/>
    </row>
    <row r="134" spans="1:4">
      <c r="A134" s="307">
        <v>2304</v>
      </c>
      <c r="B134" t="s">
        <v>4852</v>
      </c>
      <c r="C134" s="308" t="s">
        <v>1738</v>
      </c>
      <c r="D134" s="523"/>
    </row>
    <row r="135" spans="1:4">
      <c r="A135" s="307">
        <v>2693</v>
      </c>
      <c r="B135" t="s">
        <v>4772</v>
      </c>
      <c r="C135" s="308" t="s">
        <v>1736</v>
      </c>
      <c r="D135" s="523"/>
    </row>
    <row r="136" spans="1:4">
      <c r="A136" s="307">
        <v>2118</v>
      </c>
      <c r="B136" t="s">
        <v>6541</v>
      </c>
      <c r="C136" s="308"/>
      <c r="D136" s="523"/>
    </row>
    <row r="137" spans="1:4">
      <c r="A137" s="307">
        <v>2957</v>
      </c>
      <c r="B137" t="s">
        <v>2768</v>
      </c>
      <c r="C137" s="308" t="s">
        <v>5194</v>
      </c>
      <c r="D137" s="523"/>
    </row>
    <row r="138" spans="1:4">
      <c r="A138" s="307">
        <v>2711</v>
      </c>
      <c r="B138" t="s">
        <v>732</v>
      </c>
      <c r="C138" s="308" t="s">
        <v>5197</v>
      </c>
      <c r="D138" s="523"/>
    </row>
    <row r="139" spans="1:4">
      <c r="A139" s="307">
        <v>3182</v>
      </c>
      <c r="B139" t="s">
        <v>2699</v>
      </c>
      <c r="C139" s="308" t="s">
        <v>1738</v>
      </c>
      <c r="D139" s="523"/>
    </row>
    <row r="140" spans="1:4">
      <c r="A140" s="307">
        <v>3535</v>
      </c>
      <c r="B140" t="s">
        <v>3158</v>
      </c>
      <c r="C140" s="308" t="s">
        <v>1736</v>
      </c>
      <c r="D140" s="523"/>
    </row>
    <row r="141" spans="1:4">
      <c r="A141" s="307">
        <v>11379</v>
      </c>
      <c r="B141" t="s">
        <v>3319</v>
      </c>
      <c r="C141" s="308"/>
      <c r="D141" s="523"/>
    </row>
    <row r="142" spans="1:4">
      <c r="A142" s="307">
        <v>2368</v>
      </c>
      <c r="B142" t="s">
        <v>1481</v>
      </c>
      <c r="C142" s="308" t="s">
        <v>1738</v>
      </c>
      <c r="D142" s="523"/>
    </row>
    <row r="143" spans="1:4">
      <c r="A143" s="307">
        <v>2607</v>
      </c>
      <c r="B143" t="s">
        <v>1273</v>
      </c>
      <c r="C143" s="308" t="s">
        <v>2322</v>
      </c>
      <c r="D143" s="523"/>
    </row>
    <row r="144" spans="1:4">
      <c r="A144" s="307">
        <v>2274</v>
      </c>
      <c r="B144" t="s">
        <v>3156</v>
      </c>
      <c r="C144" s="308" t="s">
        <v>1738</v>
      </c>
      <c r="D144" s="523"/>
    </row>
    <row r="145" spans="1:4">
      <c r="A145" s="307">
        <v>3367</v>
      </c>
      <c r="B145" t="s">
        <v>4341</v>
      </c>
      <c r="C145" s="308" t="s">
        <v>1741</v>
      </c>
      <c r="D145" s="523"/>
    </row>
    <row r="146" spans="1:4">
      <c r="A146" s="307">
        <v>3177</v>
      </c>
      <c r="B146" t="s">
        <v>385</v>
      </c>
      <c r="C146" s="308" t="s">
        <v>1738</v>
      </c>
      <c r="D146" s="523"/>
    </row>
    <row r="147" spans="1:4">
      <c r="A147" s="307">
        <v>17223</v>
      </c>
      <c r="B147" t="s">
        <v>431</v>
      </c>
      <c r="C147" s="308" t="s">
        <v>1738</v>
      </c>
      <c r="D147" s="523"/>
    </row>
    <row r="148" spans="1:4">
      <c r="A148" s="403">
        <v>12090</v>
      </c>
      <c r="B148" s="403" t="s">
        <v>9164</v>
      </c>
      <c r="C148" s="308" t="s">
        <v>1738</v>
      </c>
      <c r="D148" s="523"/>
    </row>
    <row r="149" spans="1:4">
      <c r="A149" s="307">
        <v>13982</v>
      </c>
      <c r="B149" t="s">
        <v>8885</v>
      </c>
      <c r="C149" s="308" t="s">
        <v>4282</v>
      </c>
      <c r="D149" s="523"/>
    </row>
    <row r="150" spans="1:4">
      <c r="A150" s="307">
        <v>2675</v>
      </c>
      <c r="B150" t="s">
        <v>432</v>
      </c>
      <c r="C150" s="308" t="s">
        <v>2316</v>
      </c>
      <c r="D150" s="523"/>
    </row>
    <row r="151" spans="1:4">
      <c r="A151" s="307">
        <v>3112</v>
      </c>
      <c r="B151" t="s">
        <v>616</v>
      </c>
      <c r="C151" s="308" t="s">
        <v>1738</v>
      </c>
      <c r="D151" s="523"/>
    </row>
    <row r="152" spans="1:4">
      <c r="A152" s="307">
        <v>3201</v>
      </c>
      <c r="B152" t="s">
        <v>433</v>
      </c>
      <c r="C152" s="308" t="s">
        <v>434</v>
      </c>
      <c r="D152" s="523"/>
    </row>
    <row r="153" spans="1:4">
      <c r="A153" s="307">
        <v>13284</v>
      </c>
      <c r="B153" t="s">
        <v>8875</v>
      </c>
      <c r="C153" s="308" t="s">
        <v>4282</v>
      </c>
      <c r="D153" s="523"/>
    </row>
    <row r="154" spans="1:4">
      <c r="A154" s="307">
        <v>3148</v>
      </c>
      <c r="B154" t="s">
        <v>24</v>
      </c>
      <c r="C154" s="308" t="s">
        <v>1738</v>
      </c>
      <c r="D154" s="523"/>
    </row>
    <row r="155" spans="1:4">
      <c r="A155" s="307">
        <v>17470</v>
      </c>
      <c r="B155" t="s">
        <v>435</v>
      </c>
      <c r="C155" s="308" t="s">
        <v>1736</v>
      </c>
      <c r="D155" s="523"/>
    </row>
    <row r="156" spans="1:4">
      <c r="A156" s="307">
        <v>2156</v>
      </c>
      <c r="B156" t="s">
        <v>2769</v>
      </c>
      <c r="C156" s="308" t="s">
        <v>5194</v>
      </c>
      <c r="D156" s="523"/>
    </row>
    <row r="157" spans="1:4">
      <c r="A157" s="307">
        <v>19010</v>
      </c>
      <c r="B157" t="s">
        <v>8844</v>
      </c>
      <c r="C157" s="308" t="s">
        <v>4282</v>
      </c>
      <c r="D157" s="523"/>
    </row>
    <row r="158" spans="1:4">
      <c r="A158" s="307">
        <v>3513</v>
      </c>
      <c r="B158" t="s">
        <v>711</v>
      </c>
      <c r="C158" s="308" t="s">
        <v>2316</v>
      </c>
      <c r="D158" s="523"/>
    </row>
    <row r="159" spans="1:4">
      <c r="A159" s="307">
        <v>2955</v>
      </c>
      <c r="B159" t="s">
        <v>2551</v>
      </c>
      <c r="C159" s="308" t="s">
        <v>1738</v>
      </c>
      <c r="D159" s="523"/>
    </row>
    <row r="160" spans="1:4">
      <c r="A160" s="307">
        <v>2205</v>
      </c>
      <c r="B160" t="s">
        <v>25</v>
      </c>
      <c r="C160" s="308" t="s">
        <v>3786</v>
      </c>
      <c r="D160" s="523"/>
    </row>
    <row r="161" spans="1:4">
      <c r="A161" s="307">
        <v>11264</v>
      </c>
      <c r="B161" t="s">
        <v>3320</v>
      </c>
      <c r="C161" s="308"/>
      <c r="D161" s="523"/>
    </row>
    <row r="162" spans="1:4">
      <c r="A162" s="307">
        <v>3455</v>
      </c>
      <c r="B162" t="s">
        <v>436</v>
      </c>
      <c r="C162" s="308" t="s">
        <v>1737</v>
      </c>
      <c r="D162" s="523"/>
    </row>
    <row r="163" spans="1:4">
      <c r="A163" s="307">
        <v>2877</v>
      </c>
      <c r="B163" t="s">
        <v>4429</v>
      </c>
      <c r="C163" s="308" t="s">
        <v>1738</v>
      </c>
      <c r="D163" s="523"/>
    </row>
    <row r="164" spans="1:4">
      <c r="A164" s="813">
        <v>18498</v>
      </c>
      <c r="B164" s="813" t="s">
        <v>9173</v>
      </c>
      <c r="C164" s="308" t="s">
        <v>1740</v>
      </c>
      <c r="D164" s="523"/>
    </row>
    <row r="165" spans="1:4">
      <c r="A165" s="307">
        <v>10096</v>
      </c>
      <c r="B165" t="s">
        <v>8877</v>
      </c>
      <c r="C165" s="308" t="s">
        <v>2310</v>
      </c>
      <c r="D165" s="523"/>
    </row>
    <row r="166" spans="1:4">
      <c r="A166" s="307">
        <v>17293</v>
      </c>
      <c r="B166" t="s">
        <v>6757</v>
      </c>
      <c r="C166" s="308"/>
      <c r="D166" s="523"/>
    </row>
    <row r="167" spans="1:4">
      <c r="A167" s="307">
        <v>3548</v>
      </c>
      <c r="B167" t="s">
        <v>3477</v>
      </c>
      <c r="C167" s="308" t="s">
        <v>1736</v>
      </c>
      <c r="D167" s="523"/>
    </row>
    <row r="168" spans="1:4">
      <c r="A168" s="307">
        <v>2148</v>
      </c>
      <c r="B168" t="s">
        <v>437</v>
      </c>
      <c r="C168" s="308" t="s">
        <v>1738</v>
      </c>
      <c r="D168" s="523"/>
    </row>
    <row r="169" spans="1:4">
      <c r="A169" s="307">
        <v>15055</v>
      </c>
      <c r="B169" t="s">
        <v>6358</v>
      </c>
      <c r="C169" s="308"/>
      <c r="D169" s="523"/>
    </row>
    <row r="170" spans="1:4">
      <c r="A170" s="307">
        <v>2908</v>
      </c>
      <c r="B170" t="s">
        <v>1056</v>
      </c>
      <c r="C170" s="308" t="s">
        <v>1738</v>
      </c>
      <c r="D170" s="523"/>
    </row>
    <row r="171" spans="1:4">
      <c r="A171" s="307">
        <v>2355</v>
      </c>
      <c r="B171" t="s">
        <v>438</v>
      </c>
      <c r="C171" s="308" t="s">
        <v>1738</v>
      </c>
      <c r="D171" s="523"/>
    </row>
    <row r="172" spans="1:4">
      <c r="A172" s="307">
        <v>2201</v>
      </c>
      <c r="B172" t="s">
        <v>439</v>
      </c>
      <c r="C172" s="308" t="s">
        <v>1738</v>
      </c>
      <c r="D172" s="523"/>
    </row>
    <row r="173" spans="1:4">
      <c r="A173" s="307">
        <v>2787</v>
      </c>
      <c r="B173" t="s">
        <v>6758</v>
      </c>
      <c r="C173" s="308"/>
      <c r="D173" s="523"/>
    </row>
    <row r="174" spans="1:4">
      <c r="A174" s="307">
        <v>3406</v>
      </c>
      <c r="B174" t="s">
        <v>440</v>
      </c>
      <c r="C174" s="308" t="s">
        <v>2322</v>
      </c>
      <c r="D174" s="523"/>
    </row>
    <row r="175" spans="1:4">
      <c r="A175" s="307">
        <v>19045</v>
      </c>
      <c r="B175" t="s">
        <v>441</v>
      </c>
      <c r="C175" s="308" t="s">
        <v>1738</v>
      </c>
      <c r="D175" s="523"/>
    </row>
    <row r="176" spans="1:4">
      <c r="A176" s="307">
        <v>2593</v>
      </c>
      <c r="B176" t="s">
        <v>442</v>
      </c>
      <c r="C176" s="308" t="s">
        <v>2322</v>
      </c>
      <c r="D176" s="523"/>
    </row>
    <row r="177" spans="1:4">
      <c r="A177" s="307">
        <v>2783</v>
      </c>
      <c r="B177" t="s">
        <v>443</v>
      </c>
      <c r="C177" s="308" t="s">
        <v>1740</v>
      </c>
      <c r="D177" s="523"/>
    </row>
    <row r="178" spans="1:4">
      <c r="A178" s="307">
        <v>17471</v>
      </c>
      <c r="B178" t="s">
        <v>444</v>
      </c>
      <c r="C178" s="308" t="s">
        <v>1736</v>
      </c>
      <c r="D178" s="523"/>
    </row>
    <row r="179" spans="1:4">
      <c r="A179" s="307">
        <v>15526</v>
      </c>
      <c r="B179" t="s">
        <v>8913</v>
      </c>
      <c r="C179" s="308" t="s">
        <v>4282</v>
      </c>
      <c r="D179" s="523"/>
    </row>
    <row r="180" spans="1:4">
      <c r="A180" s="307">
        <v>2784</v>
      </c>
      <c r="B180" t="s">
        <v>5987</v>
      </c>
      <c r="C180" s="308"/>
      <c r="D180" s="523"/>
    </row>
    <row r="181" spans="1:4">
      <c r="A181" s="307">
        <v>3441</v>
      </c>
      <c r="B181" t="s">
        <v>5235</v>
      </c>
      <c r="C181" s="308" t="s">
        <v>1737</v>
      </c>
      <c r="D181" s="523"/>
    </row>
    <row r="182" spans="1:4">
      <c r="A182" s="307">
        <v>2203</v>
      </c>
      <c r="B182" t="s">
        <v>2552</v>
      </c>
      <c r="C182" s="308" t="s">
        <v>3786</v>
      </c>
      <c r="D182" s="523"/>
    </row>
    <row r="183" spans="1:4">
      <c r="A183" s="307">
        <v>3510</v>
      </c>
      <c r="B183" t="s">
        <v>2700</v>
      </c>
      <c r="C183" s="308" t="s">
        <v>2316</v>
      </c>
      <c r="D183" s="523"/>
    </row>
    <row r="184" spans="1:4">
      <c r="A184" s="307">
        <v>2550</v>
      </c>
      <c r="B184" t="s">
        <v>3154</v>
      </c>
      <c r="C184" s="308" t="s">
        <v>1739</v>
      </c>
      <c r="D184" s="523"/>
    </row>
    <row r="185" spans="1:4">
      <c r="A185" s="307">
        <v>10093</v>
      </c>
      <c r="B185" t="s">
        <v>6759</v>
      </c>
      <c r="C185" s="308"/>
      <c r="D185" s="523"/>
    </row>
    <row r="186" spans="1:4">
      <c r="A186" s="307">
        <v>2298</v>
      </c>
      <c r="B186" t="s">
        <v>4016</v>
      </c>
      <c r="C186" s="308" t="s">
        <v>1738</v>
      </c>
      <c r="D186" s="523"/>
    </row>
    <row r="187" spans="1:4">
      <c r="A187" s="307">
        <v>2291</v>
      </c>
      <c r="B187" t="s">
        <v>3701</v>
      </c>
      <c r="C187" s="308" t="s">
        <v>2319</v>
      </c>
      <c r="D187" s="523"/>
    </row>
    <row r="188" spans="1:4">
      <c r="A188" s="307">
        <v>2940</v>
      </c>
      <c r="B188" t="s">
        <v>2519</v>
      </c>
      <c r="C188" s="308" t="s">
        <v>1738</v>
      </c>
      <c r="D188" s="523"/>
    </row>
    <row r="189" spans="1:4">
      <c r="A189" s="307">
        <v>3497</v>
      </c>
      <c r="B189" t="s">
        <v>5072</v>
      </c>
      <c r="C189" s="308" t="s">
        <v>1736</v>
      </c>
      <c r="D189" s="523"/>
    </row>
    <row r="190" spans="1:4">
      <c r="A190" s="307">
        <v>2566</v>
      </c>
      <c r="B190" t="s">
        <v>1048</v>
      </c>
      <c r="C190" s="308" t="s">
        <v>1738</v>
      </c>
      <c r="D190" s="523"/>
    </row>
    <row r="191" spans="1:4">
      <c r="A191" s="307">
        <v>18785</v>
      </c>
      <c r="B191" t="s">
        <v>2484</v>
      </c>
      <c r="C191" s="308" t="s">
        <v>1738</v>
      </c>
      <c r="D191" s="523"/>
    </row>
    <row r="192" spans="1:4">
      <c r="A192" s="307">
        <v>3384</v>
      </c>
      <c r="B192" t="s">
        <v>5070</v>
      </c>
      <c r="C192" s="308" t="s">
        <v>1738</v>
      </c>
      <c r="D192" s="523"/>
    </row>
    <row r="193" spans="1:4">
      <c r="A193" s="307">
        <v>3508</v>
      </c>
      <c r="B193" t="s">
        <v>445</v>
      </c>
      <c r="C193" s="308" t="s">
        <v>2316</v>
      </c>
      <c r="D193" s="523"/>
    </row>
    <row r="194" spans="1:4">
      <c r="A194" s="307">
        <v>2666</v>
      </c>
      <c r="B194" t="s">
        <v>446</v>
      </c>
      <c r="C194" s="308" t="s">
        <v>2316</v>
      </c>
      <c r="D194" s="523"/>
    </row>
    <row r="195" spans="1:4">
      <c r="A195" s="307">
        <v>3345</v>
      </c>
      <c r="B195" t="s">
        <v>4725</v>
      </c>
      <c r="C195" s="308" t="s">
        <v>1738</v>
      </c>
      <c r="D195" s="523"/>
    </row>
    <row r="196" spans="1:4">
      <c r="A196" s="307">
        <v>3050</v>
      </c>
      <c r="B196" t="s">
        <v>2544</v>
      </c>
      <c r="C196" s="308" t="s">
        <v>1738</v>
      </c>
      <c r="D196" s="523"/>
    </row>
    <row r="197" spans="1:4">
      <c r="A197" s="307">
        <v>16342</v>
      </c>
      <c r="B197" t="s">
        <v>5073</v>
      </c>
      <c r="C197" s="308" t="s">
        <v>3790</v>
      </c>
      <c r="D197" s="523"/>
    </row>
    <row r="198" spans="1:4">
      <c r="A198" s="307">
        <v>14380</v>
      </c>
      <c r="B198" t="s">
        <v>8887</v>
      </c>
      <c r="C198" s="308" t="s">
        <v>4282</v>
      </c>
      <c r="D198" s="523"/>
    </row>
    <row r="199" spans="1:4">
      <c r="A199" s="307">
        <v>2586</v>
      </c>
      <c r="B199" t="s">
        <v>3602</v>
      </c>
      <c r="C199" s="308" t="s">
        <v>2322</v>
      </c>
      <c r="D199" s="523"/>
    </row>
    <row r="200" spans="1:4">
      <c r="A200" s="307">
        <v>2319</v>
      </c>
      <c r="B200" t="s">
        <v>526</v>
      </c>
      <c r="C200" s="308" t="s">
        <v>1738</v>
      </c>
      <c r="D200" s="523"/>
    </row>
    <row r="201" spans="1:4">
      <c r="A201" s="307">
        <v>2710</v>
      </c>
      <c r="B201" t="s">
        <v>447</v>
      </c>
      <c r="C201" s="308" t="s">
        <v>1736</v>
      </c>
      <c r="D201" s="523"/>
    </row>
    <row r="202" spans="1:4">
      <c r="A202" s="307">
        <v>2267</v>
      </c>
      <c r="B202" t="s">
        <v>4922</v>
      </c>
      <c r="C202" s="308" t="s">
        <v>1738</v>
      </c>
      <c r="D202" s="523"/>
    </row>
    <row r="203" spans="1:4">
      <c r="A203" s="307">
        <v>18489</v>
      </c>
      <c r="B203" t="s">
        <v>448</v>
      </c>
      <c r="C203" s="308" t="s">
        <v>1738</v>
      </c>
      <c r="D203" s="523"/>
    </row>
    <row r="204" spans="1:4">
      <c r="A204" s="307">
        <v>2153</v>
      </c>
      <c r="B204" t="s">
        <v>2936</v>
      </c>
      <c r="C204" s="308" t="s">
        <v>1738</v>
      </c>
      <c r="D204" s="523"/>
    </row>
    <row r="205" spans="1:4">
      <c r="A205" s="307">
        <v>2956</v>
      </c>
      <c r="B205" t="s">
        <v>4800</v>
      </c>
      <c r="C205" s="308" t="s">
        <v>1738</v>
      </c>
      <c r="D205" s="523"/>
    </row>
    <row r="206" spans="1:4">
      <c r="A206" s="307">
        <v>3486</v>
      </c>
      <c r="B206" t="s">
        <v>5481</v>
      </c>
      <c r="C206" s="308" t="s">
        <v>1737</v>
      </c>
      <c r="D206" s="523"/>
    </row>
    <row r="207" spans="1:4">
      <c r="A207" s="307">
        <v>2344</v>
      </c>
      <c r="B207" t="s">
        <v>2385</v>
      </c>
      <c r="C207" s="308" t="s">
        <v>1738</v>
      </c>
      <c r="D207" s="523"/>
    </row>
    <row r="208" spans="1:4">
      <c r="A208" s="307">
        <v>3382</v>
      </c>
      <c r="B208" t="s">
        <v>5482</v>
      </c>
      <c r="C208" s="308" t="s">
        <v>1738</v>
      </c>
      <c r="D208" s="523">
        <v>701</v>
      </c>
    </row>
    <row r="209" spans="1:4">
      <c r="A209" s="307">
        <v>2516</v>
      </c>
      <c r="B209" t="s">
        <v>5483</v>
      </c>
      <c r="C209" s="308" t="s">
        <v>1738</v>
      </c>
      <c r="D209" s="523"/>
    </row>
    <row r="210" spans="1:4">
      <c r="A210" s="307">
        <v>3573</v>
      </c>
      <c r="B210" t="s">
        <v>5484</v>
      </c>
      <c r="C210" s="308" t="s">
        <v>1736</v>
      </c>
      <c r="D210" s="523"/>
    </row>
    <row r="211" spans="1:4">
      <c r="A211" s="307">
        <v>3504</v>
      </c>
      <c r="B211" t="s">
        <v>2244</v>
      </c>
      <c r="C211" s="308"/>
      <c r="D211" s="523"/>
    </row>
    <row r="212" spans="1:4">
      <c r="A212" s="307">
        <v>3429</v>
      </c>
      <c r="B212" t="s">
        <v>5485</v>
      </c>
      <c r="C212" s="308" t="s">
        <v>2322</v>
      </c>
      <c r="D212" s="523"/>
    </row>
    <row r="213" spans="1:4">
      <c r="A213" s="307">
        <v>2180</v>
      </c>
      <c r="B213" t="s">
        <v>3165</v>
      </c>
      <c r="C213" s="308" t="s">
        <v>1738</v>
      </c>
      <c r="D213" s="523"/>
    </row>
    <row r="214" spans="1:4">
      <c r="A214" s="307">
        <v>2746</v>
      </c>
      <c r="B214" t="s">
        <v>3166</v>
      </c>
      <c r="C214" s="308" t="s">
        <v>2310</v>
      </c>
      <c r="D214" s="523"/>
    </row>
    <row r="215" spans="1:4">
      <c r="A215" s="307">
        <v>18996</v>
      </c>
      <c r="B215" t="s">
        <v>5988</v>
      </c>
      <c r="C215" s="308"/>
      <c r="D215" s="523"/>
    </row>
    <row r="216" spans="1:4">
      <c r="A216" s="307">
        <v>10686</v>
      </c>
      <c r="B216" t="s">
        <v>8846</v>
      </c>
      <c r="C216" s="308" t="s">
        <v>4282</v>
      </c>
      <c r="D216" s="523"/>
    </row>
    <row r="217" spans="1:4">
      <c r="A217" s="307">
        <v>18782</v>
      </c>
      <c r="B217" t="s">
        <v>449</v>
      </c>
      <c r="C217" s="308" t="s">
        <v>2316</v>
      </c>
      <c r="D217" s="523"/>
    </row>
    <row r="218" spans="1:4">
      <c r="A218" s="307">
        <v>3488</v>
      </c>
      <c r="B218" t="s">
        <v>2285</v>
      </c>
      <c r="C218" s="308"/>
      <c r="D218" s="523"/>
    </row>
    <row r="219" spans="1:4">
      <c r="A219" s="307">
        <v>2630</v>
      </c>
      <c r="B219" t="s">
        <v>1049</v>
      </c>
      <c r="C219" s="308" t="s">
        <v>2311</v>
      </c>
      <c r="D219" s="523"/>
    </row>
    <row r="220" spans="1:4">
      <c r="A220" s="307">
        <v>2792</v>
      </c>
      <c r="B220" t="s">
        <v>1055</v>
      </c>
      <c r="C220" s="308"/>
      <c r="D220" s="523"/>
    </row>
    <row r="221" spans="1:4">
      <c r="A221" s="307">
        <v>2709</v>
      </c>
      <c r="B221" t="s">
        <v>450</v>
      </c>
      <c r="C221" s="308" t="s">
        <v>1736</v>
      </c>
      <c r="D221" s="523"/>
    </row>
    <row r="222" spans="1:4">
      <c r="A222" s="307">
        <v>2512</v>
      </c>
      <c r="B222" t="s">
        <v>94</v>
      </c>
      <c r="C222" s="308" t="s">
        <v>1738</v>
      </c>
      <c r="D222" s="523"/>
    </row>
    <row r="223" spans="1:4">
      <c r="A223" s="307">
        <v>18545</v>
      </c>
      <c r="B223" t="s">
        <v>6760</v>
      </c>
      <c r="C223" s="308"/>
      <c r="D223" s="523"/>
    </row>
    <row r="224" spans="1:4">
      <c r="A224" s="307">
        <v>2608</v>
      </c>
      <c r="B224" t="s">
        <v>2609</v>
      </c>
      <c r="C224" s="308" t="s">
        <v>2322</v>
      </c>
      <c r="D224" s="523"/>
    </row>
    <row r="225" spans="1:4">
      <c r="A225" s="307">
        <v>3405</v>
      </c>
      <c r="B225" t="s">
        <v>3765</v>
      </c>
      <c r="C225" s="308" t="s">
        <v>2322</v>
      </c>
      <c r="D225" s="523"/>
    </row>
    <row r="226" spans="1:4">
      <c r="A226" s="307">
        <v>2384</v>
      </c>
      <c r="B226" t="s">
        <v>3702</v>
      </c>
      <c r="C226" s="308" t="s">
        <v>1738</v>
      </c>
      <c r="D226" s="523"/>
    </row>
    <row r="227" spans="1:4">
      <c r="A227" s="307">
        <v>3537</v>
      </c>
      <c r="B227" t="s">
        <v>451</v>
      </c>
      <c r="C227" s="308" t="s">
        <v>1736</v>
      </c>
      <c r="D227" s="523"/>
    </row>
    <row r="228" spans="1:4">
      <c r="A228" s="307">
        <v>2517</v>
      </c>
      <c r="B228" t="s">
        <v>3664</v>
      </c>
      <c r="C228" s="308" t="s">
        <v>1738</v>
      </c>
      <c r="D228" s="523"/>
    </row>
    <row r="229" spans="1:4">
      <c r="A229" s="307">
        <v>17576</v>
      </c>
      <c r="B229" t="s">
        <v>4193</v>
      </c>
      <c r="C229" s="308" t="s">
        <v>1738</v>
      </c>
      <c r="D229" s="523"/>
    </row>
    <row r="230" spans="1:4">
      <c r="A230" s="307">
        <v>2294</v>
      </c>
      <c r="B230" t="s">
        <v>4194</v>
      </c>
      <c r="C230" s="308" t="s">
        <v>1738</v>
      </c>
      <c r="D230" s="523"/>
    </row>
    <row r="231" spans="1:4">
      <c r="A231" s="307">
        <v>2323</v>
      </c>
      <c r="B231" t="s">
        <v>3957</v>
      </c>
      <c r="C231" s="308" t="s">
        <v>1738</v>
      </c>
      <c r="D231" s="523"/>
    </row>
    <row r="232" spans="1:4">
      <c r="A232" s="307">
        <v>16074</v>
      </c>
      <c r="B232" t="s">
        <v>4195</v>
      </c>
      <c r="C232" s="308" t="s">
        <v>2323</v>
      </c>
      <c r="D232" s="523"/>
    </row>
    <row r="233" spans="1:4">
      <c r="A233" s="307">
        <v>2959</v>
      </c>
      <c r="B233" t="s">
        <v>1043</v>
      </c>
      <c r="C233" s="308" t="s">
        <v>1738</v>
      </c>
      <c r="D233" s="523"/>
    </row>
    <row r="234" spans="1:4">
      <c r="A234" s="307">
        <v>3193</v>
      </c>
      <c r="B234" t="s">
        <v>4196</v>
      </c>
      <c r="C234" s="308" t="s">
        <v>1738</v>
      </c>
      <c r="D234" s="523"/>
    </row>
    <row r="235" spans="1:4">
      <c r="A235" s="307">
        <v>2398</v>
      </c>
      <c r="B235" t="s">
        <v>5257</v>
      </c>
      <c r="C235" s="308" t="s">
        <v>1738</v>
      </c>
      <c r="D235" s="523"/>
    </row>
    <row r="236" spans="1:4">
      <c r="A236" s="307">
        <v>2513</v>
      </c>
      <c r="B236" t="s">
        <v>4197</v>
      </c>
      <c r="C236" s="308" t="s">
        <v>1738</v>
      </c>
      <c r="D236" s="523"/>
    </row>
    <row r="237" spans="1:4">
      <c r="A237" s="307">
        <v>3636</v>
      </c>
      <c r="B237" t="s">
        <v>4726</v>
      </c>
      <c r="C237" s="308"/>
      <c r="D237" s="523"/>
    </row>
    <row r="238" spans="1:4">
      <c r="A238" s="307">
        <v>17115</v>
      </c>
      <c r="B238" t="s">
        <v>6761</v>
      </c>
      <c r="C238" s="308"/>
      <c r="D238" s="523"/>
    </row>
    <row r="239" spans="1:4">
      <c r="A239" s="307">
        <v>2966</v>
      </c>
      <c r="B239" t="s">
        <v>1869</v>
      </c>
      <c r="C239" s="308" t="s">
        <v>5194</v>
      </c>
      <c r="D239" s="523"/>
    </row>
    <row r="240" spans="1:4">
      <c r="A240" s="307">
        <v>18709</v>
      </c>
      <c r="B240" t="s">
        <v>908</v>
      </c>
      <c r="C240" s="308" t="s">
        <v>1738</v>
      </c>
      <c r="D240" s="523"/>
    </row>
    <row r="241" spans="1:4">
      <c r="A241" s="307">
        <v>2122</v>
      </c>
      <c r="B241" t="s">
        <v>4162</v>
      </c>
      <c r="C241" s="308" t="s">
        <v>1738</v>
      </c>
      <c r="D241" s="523"/>
    </row>
    <row r="242" spans="1:4">
      <c r="A242" s="307">
        <v>3073</v>
      </c>
      <c r="B242" t="s">
        <v>2646</v>
      </c>
      <c r="C242" s="308" t="s">
        <v>1738</v>
      </c>
      <c r="D242" s="523"/>
    </row>
    <row r="243" spans="1:4">
      <c r="A243" s="307">
        <v>2597</v>
      </c>
      <c r="B243" t="s">
        <v>4198</v>
      </c>
      <c r="C243" s="308" t="s">
        <v>2322</v>
      </c>
      <c r="D243" s="523"/>
    </row>
    <row r="244" spans="1:4">
      <c r="A244" s="307">
        <v>3516</v>
      </c>
      <c r="B244" t="s">
        <v>1275</v>
      </c>
      <c r="C244" s="308" t="s">
        <v>2318</v>
      </c>
      <c r="D244" s="523"/>
    </row>
    <row r="245" spans="1:4">
      <c r="A245" s="307">
        <v>6817</v>
      </c>
      <c r="B245" t="s">
        <v>6762</v>
      </c>
      <c r="C245" s="308"/>
      <c r="D245" s="523"/>
    </row>
    <row r="246" spans="1:4">
      <c r="A246" s="307">
        <v>3119</v>
      </c>
      <c r="B246" t="s">
        <v>3478</v>
      </c>
      <c r="C246" s="308" t="s">
        <v>1738</v>
      </c>
      <c r="D246" s="523"/>
    </row>
    <row r="247" spans="1:4">
      <c r="A247" s="307">
        <v>3627</v>
      </c>
      <c r="B247" t="s">
        <v>4199</v>
      </c>
      <c r="C247" s="308" t="s">
        <v>1738</v>
      </c>
      <c r="D247" s="523"/>
    </row>
    <row r="248" spans="1:4">
      <c r="A248" s="307">
        <v>16111</v>
      </c>
      <c r="B248" t="s">
        <v>8907</v>
      </c>
      <c r="C248" s="308" t="s">
        <v>2311</v>
      </c>
      <c r="D248" s="523"/>
    </row>
    <row r="249" spans="1:4">
      <c r="A249" s="307">
        <v>2691</v>
      </c>
      <c r="B249" t="s">
        <v>1488</v>
      </c>
      <c r="C249" s="308" t="s">
        <v>2314</v>
      </c>
      <c r="D249" s="523"/>
    </row>
    <row r="250" spans="1:4">
      <c r="A250" s="307">
        <v>3626</v>
      </c>
      <c r="B250" t="s">
        <v>1452</v>
      </c>
      <c r="C250" s="308"/>
      <c r="D250" s="523"/>
    </row>
    <row r="251" spans="1:4">
      <c r="A251" s="307">
        <v>2422</v>
      </c>
      <c r="B251" t="s">
        <v>4200</v>
      </c>
      <c r="C251" s="308" t="s">
        <v>1738</v>
      </c>
      <c r="D251" s="523"/>
    </row>
    <row r="252" spans="1:4">
      <c r="A252" s="307">
        <v>3408</v>
      </c>
      <c r="B252" t="s">
        <v>715</v>
      </c>
      <c r="C252" s="308" t="s">
        <v>2322</v>
      </c>
      <c r="D252" s="523"/>
    </row>
    <row r="253" spans="1:4">
      <c r="A253" s="307">
        <v>3605</v>
      </c>
      <c r="B253" t="s">
        <v>736</v>
      </c>
      <c r="C253" s="308" t="s">
        <v>2310</v>
      </c>
      <c r="D253" s="523"/>
    </row>
    <row r="254" spans="1:4">
      <c r="A254" s="307">
        <v>3542</v>
      </c>
      <c r="B254" t="s">
        <v>3470</v>
      </c>
      <c r="C254" s="308" t="s">
        <v>1738</v>
      </c>
      <c r="D254" s="523"/>
    </row>
    <row r="255" spans="1:4">
      <c r="A255" s="307">
        <v>3383</v>
      </c>
      <c r="B255" t="s">
        <v>5488</v>
      </c>
      <c r="C255" s="308" t="s">
        <v>1738</v>
      </c>
      <c r="D255" s="523"/>
    </row>
    <row r="256" spans="1:4">
      <c r="A256" s="307">
        <v>2278</v>
      </c>
      <c r="B256" t="s">
        <v>3656</v>
      </c>
      <c r="C256" s="308" t="s">
        <v>1738</v>
      </c>
      <c r="D256" s="523"/>
    </row>
    <row r="257" spans="1:4">
      <c r="A257" s="307">
        <v>3069</v>
      </c>
      <c r="B257" t="s">
        <v>2981</v>
      </c>
      <c r="C257" s="308" t="s">
        <v>2319</v>
      </c>
      <c r="D257" s="523"/>
    </row>
    <row r="258" spans="1:4">
      <c r="A258" s="307">
        <v>2514</v>
      </c>
      <c r="B258" t="s">
        <v>3700</v>
      </c>
      <c r="C258" s="308" t="s">
        <v>1738</v>
      </c>
      <c r="D258" s="523"/>
    </row>
    <row r="259" spans="1:4">
      <c r="A259" s="813">
        <v>13209</v>
      </c>
      <c r="B259" s="813" t="s">
        <v>9171</v>
      </c>
      <c r="C259" s="308" t="s">
        <v>1738</v>
      </c>
      <c r="D259" s="523"/>
    </row>
    <row r="260" spans="1:4">
      <c r="A260" s="307">
        <v>2228</v>
      </c>
      <c r="B260" t="s">
        <v>1486</v>
      </c>
      <c r="C260" s="308" t="s">
        <v>600</v>
      </c>
      <c r="D260" s="523"/>
    </row>
    <row r="261" spans="1:4">
      <c r="A261" s="813">
        <v>3502</v>
      </c>
      <c r="B261" s="813" t="s">
        <v>4443</v>
      </c>
      <c r="C261" s="308" t="s">
        <v>1736</v>
      </c>
      <c r="D261" s="523"/>
    </row>
    <row r="262" spans="1:4">
      <c r="A262" s="307">
        <v>3640</v>
      </c>
      <c r="B262" t="s">
        <v>5989</v>
      </c>
      <c r="C262" s="308"/>
      <c r="D262" s="523"/>
    </row>
    <row r="263" spans="1:4">
      <c r="A263" s="307">
        <v>2885</v>
      </c>
      <c r="B263" t="s">
        <v>8861</v>
      </c>
      <c r="C263" s="308" t="s">
        <v>3789</v>
      </c>
      <c r="D263" s="523"/>
    </row>
    <row r="264" spans="1:4">
      <c r="A264" s="813">
        <v>20629</v>
      </c>
      <c r="B264" s="813" t="s">
        <v>9178</v>
      </c>
      <c r="C264" s="308" t="s">
        <v>1738</v>
      </c>
      <c r="D264" s="523"/>
    </row>
    <row r="265" spans="1:4">
      <c r="A265" s="307">
        <v>2195</v>
      </c>
      <c r="B265" t="s">
        <v>4201</v>
      </c>
      <c r="C265" s="308" t="s">
        <v>1738</v>
      </c>
      <c r="D265" s="523"/>
    </row>
    <row r="266" spans="1:4">
      <c r="A266" s="307">
        <v>2279</v>
      </c>
      <c r="B266" t="s">
        <v>4202</v>
      </c>
      <c r="C266" s="308" t="s">
        <v>1738</v>
      </c>
      <c r="D266" s="523"/>
    </row>
    <row r="267" spans="1:4">
      <c r="A267" s="307">
        <v>2670</v>
      </c>
      <c r="B267" t="s">
        <v>4203</v>
      </c>
      <c r="C267" s="308" t="s">
        <v>2316</v>
      </c>
      <c r="D267" s="523"/>
    </row>
    <row r="268" spans="1:4">
      <c r="A268" s="307">
        <v>2656</v>
      </c>
      <c r="B268" t="s">
        <v>1089</v>
      </c>
      <c r="C268" s="308" t="s">
        <v>2316</v>
      </c>
      <c r="D268" s="523"/>
    </row>
    <row r="269" spans="1:4">
      <c r="A269" s="307">
        <v>3530</v>
      </c>
      <c r="B269" t="s">
        <v>3844</v>
      </c>
      <c r="C269" s="308" t="s">
        <v>2314</v>
      </c>
      <c r="D269" s="523"/>
    </row>
    <row r="270" spans="1:4">
      <c r="A270" s="307">
        <v>2969</v>
      </c>
      <c r="B270" t="s">
        <v>1047</v>
      </c>
      <c r="C270" s="308" t="s">
        <v>5194</v>
      </c>
      <c r="D270" s="523"/>
    </row>
    <row r="271" spans="1:4">
      <c r="A271" s="307">
        <v>12757</v>
      </c>
      <c r="B271" t="s">
        <v>5236</v>
      </c>
      <c r="C271" s="308" t="s">
        <v>3791</v>
      </c>
      <c r="D271" s="523"/>
    </row>
    <row r="272" spans="1:4">
      <c r="A272" s="307">
        <v>11617</v>
      </c>
      <c r="B272" t="s">
        <v>846</v>
      </c>
      <c r="C272" s="308" t="s">
        <v>1738</v>
      </c>
      <c r="D272" s="523"/>
    </row>
    <row r="273" spans="1:4">
      <c r="A273" s="307">
        <v>2671</v>
      </c>
      <c r="B273" t="s">
        <v>4205</v>
      </c>
      <c r="C273" s="308" t="s">
        <v>2316</v>
      </c>
      <c r="D273" s="523"/>
    </row>
    <row r="274" spans="1:4">
      <c r="A274" s="307">
        <v>2589</v>
      </c>
      <c r="B274" t="s">
        <v>3151</v>
      </c>
      <c r="C274" s="308" t="s">
        <v>2322</v>
      </c>
      <c r="D274" s="523"/>
    </row>
    <row r="275" spans="1:4">
      <c r="A275" s="307">
        <v>2271</v>
      </c>
      <c r="B275" t="s">
        <v>3658</v>
      </c>
      <c r="C275" s="308" t="s">
        <v>1738</v>
      </c>
      <c r="D275" s="523"/>
    </row>
    <row r="276" spans="1:4">
      <c r="A276" s="307">
        <v>2637</v>
      </c>
      <c r="B276" t="s">
        <v>3657</v>
      </c>
      <c r="C276" s="308" t="s">
        <v>2311</v>
      </c>
      <c r="D276" s="523"/>
    </row>
    <row r="277" spans="1:4">
      <c r="A277" s="307">
        <v>2662</v>
      </c>
      <c r="B277" t="s">
        <v>4206</v>
      </c>
      <c r="C277" s="308" t="s">
        <v>1738</v>
      </c>
      <c r="D277" s="523"/>
    </row>
    <row r="278" spans="1:4">
      <c r="A278" s="307">
        <v>2168</v>
      </c>
      <c r="B278" t="s">
        <v>4207</v>
      </c>
      <c r="C278" s="308" t="s">
        <v>1738</v>
      </c>
      <c r="D278" s="523"/>
    </row>
    <row r="279" spans="1:4">
      <c r="A279" s="403">
        <v>2305</v>
      </c>
      <c r="B279" s="403" t="s">
        <v>1050</v>
      </c>
      <c r="C279" s="308" t="s">
        <v>2313</v>
      </c>
      <c r="D279" s="523"/>
    </row>
    <row r="280" spans="1:4">
      <c r="A280" s="307">
        <v>3110</v>
      </c>
      <c r="B280" t="s">
        <v>3703</v>
      </c>
      <c r="C280" s="308" t="s">
        <v>1738</v>
      </c>
      <c r="D280" s="523"/>
    </row>
    <row r="281" spans="1:4">
      <c r="A281" s="307">
        <v>3219</v>
      </c>
      <c r="B281" t="s">
        <v>4160</v>
      </c>
      <c r="C281" s="308" t="s">
        <v>1738</v>
      </c>
      <c r="D281" s="523"/>
    </row>
    <row r="282" spans="1:4">
      <c r="A282" s="307">
        <v>3490</v>
      </c>
      <c r="B282" t="s">
        <v>4208</v>
      </c>
      <c r="C282" s="308" t="s">
        <v>1736</v>
      </c>
      <c r="D282" s="523"/>
    </row>
    <row r="283" spans="1:4">
      <c r="A283" s="307">
        <v>2321</v>
      </c>
      <c r="B283" t="s">
        <v>4209</v>
      </c>
      <c r="C283" s="308" t="s">
        <v>2320</v>
      </c>
      <c r="D283" s="523"/>
    </row>
    <row r="284" spans="1:4">
      <c r="A284" s="307">
        <v>3543</v>
      </c>
      <c r="B284" t="s">
        <v>5153</v>
      </c>
      <c r="C284" s="308" t="s">
        <v>1736</v>
      </c>
      <c r="D284" s="523">
        <v>1159</v>
      </c>
    </row>
    <row r="285" spans="1:4">
      <c r="A285" s="307">
        <v>2988</v>
      </c>
      <c r="B285" t="s">
        <v>899</v>
      </c>
      <c r="C285" s="308" t="s">
        <v>3786</v>
      </c>
      <c r="D285" s="523"/>
    </row>
    <row r="286" spans="1:4">
      <c r="A286" s="307">
        <v>3541</v>
      </c>
      <c r="B286" t="s">
        <v>5405</v>
      </c>
      <c r="C286" s="308" t="s">
        <v>1736</v>
      </c>
      <c r="D286" s="523"/>
    </row>
    <row r="287" spans="1:4">
      <c r="A287" s="307">
        <v>18469</v>
      </c>
      <c r="B287" t="s">
        <v>4210</v>
      </c>
      <c r="C287" s="308" t="s">
        <v>1738</v>
      </c>
      <c r="D287" s="523"/>
    </row>
    <row r="288" spans="1:4">
      <c r="A288" s="307">
        <v>2308</v>
      </c>
      <c r="B288" t="s">
        <v>1051</v>
      </c>
      <c r="C288" s="308" t="s">
        <v>2313</v>
      </c>
      <c r="D288" s="523"/>
    </row>
    <row r="289" spans="1:4">
      <c r="A289" s="307">
        <v>2776</v>
      </c>
      <c r="B289" t="s">
        <v>5154</v>
      </c>
      <c r="C289" s="308"/>
      <c r="D289" s="523"/>
    </row>
    <row r="290" spans="1:4">
      <c r="A290" s="307">
        <v>10543</v>
      </c>
      <c r="B290" t="s">
        <v>6766</v>
      </c>
      <c r="C290" s="308"/>
      <c r="D290" s="523"/>
    </row>
    <row r="291" spans="1:4">
      <c r="A291" s="307">
        <v>3622</v>
      </c>
      <c r="B291" t="s">
        <v>5155</v>
      </c>
      <c r="C291" s="308" t="s">
        <v>1738</v>
      </c>
      <c r="D291" s="523"/>
    </row>
    <row r="292" spans="1:4">
      <c r="A292" s="307">
        <v>2286</v>
      </c>
      <c r="B292" t="s">
        <v>4436</v>
      </c>
      <c r="C292" s="308" t="s">
        <v>2319</v>
      </c>
      <c r="D292" s="523"/>
    </row>
    <row r="293" spans="1:4">
      <c r="A293" s="307">
        <v>6350</v>
      </c>
      <c r="B293" t="s">
        <v>6767</v>
      </c>
      <c r="C293" s="308"/>
      <c r="D293" s="523"/>
    </row>
    <row r="294" spans="1:4">
      <c r="A294" s="307">
        <v>16237</v>
      </c>
      <c r="B294" t="s">
        <v>4211</v>
      </c>
      <c r="C294" s="308" t="s">
        <v>3790</v>
      </c>
      <c r="D294" s="523"/>
    </row>
    <row r="295" spans="1:4">
      <c r="A295" s="307">
        <v>2758</v>
      </c>
      <c r="B295" t="s">
        <v>6601</v>
      </c>
      <c r="C295" s="308"/>
      <c r="D295" s="523"/>
    </row>
    <row r="296" spans="1:4">
      <c r="A296" s="307">
        <v>13292</v>
      </c>
      <c r="B296" t="s">
        <v>4923</v>
      </c>
      <c r="C296" s="308" t="s">
        <v>1738</v>
      </c>
      <c r="D296" s="523"/>
    </row>
    <row r="297" spans="1:4">
      <c r="A297" s="307">
        <v>12635</v>
      </c>
      <c r="B297" t="s">
        <v>909</v>
      </c>
      <c r="C297" s="308" t="s">
        <v>1738</v>
      </c>
      <c r="D297" s="523"/>
    </row>
    <row r="298" spans="1:4">
      <c r="A298" s="307">
        <v>2097</v>
      </c>
      <c r="B298" t="s">
        <v>3766</v>
      </c>
      <c r="C298" s="308" t="s">
        <v>1738</v>
      </c>
      <c r="D298" s="523"/>
    </row>
    <row r="299" spans="1:4">
      <c r="A299" s="307">
        <v>3631</v>
      </c>
      <c r="B299" t="s">
        <v>3414</v>
      </c>
      <c r="C299" s="308"/>
      <c r="D299" s="523"/>
    </row>
    <row r="300" spans="1:4">
      <c r="A300" s="307">
        <v>3322</v>
      </c>
      <c r="B300" t="s">
        <v>3659</v>
      </c>
      <c r="C300" s="308" t="s">
        <v>1738</v>
      </c>
      <c r="D300" s="523"/>
    </row>
    <row r="301" spans="1:4">
      <c r="A301" s="307">
        <v>2139</v>
      </c>
      <c r="B301" t="s">
        <v>2040</v>
      </c>
      <c r="C301" s="308" t="s">
        <v>1738</v>
      </c>
      <c r="D301" s="523"/>
    </row>
    <row r="302" spans="1:4">
      <c r="A302" s="307">
        <v>2687</v>
      </c>
      <c r="B302" t="s">
        <v>2917</v>
      </c>
      <c r="C302" s="308" t="s">
        <v>2314</v>
      </c>
      <c r="D302" s="523"/>
    </row>
    <row r="303" spans="1:4">
      <c r="A303" s="307">
        <v>15217</v>
      </c>
      <c r="B303" t="s">
        <v>4212</v>
      </c>
      <c r="C303" s="308" t="s">
        <v>1738</v>
      </c>
      <c r="D303" s="523"/>
    </row>
    <row r="304" spans="1:4">
      <c r="A304" s="307">
        <v>2584</v>
      </c>
      <c r="B304" t="s">
        <v>5027</v>
      </c>
      <c r="C304" s="308" t="s">
        <v>2322</v>
      </c>
      <c r="D304" s="523"/>
    </row>
    <row r="305" spans="1:4">
      <c r="A305" s="307">
        <v>2158</v>
      </c>
      <c r="B305" t="s">
        <v>222</v>
      </c>
      <c r="C305" s="308"/>
      <c r="D305" s="523"/>
    </row>
    <row r="306" spans="1:4">
      <c r="A306" s="307">
        <v>3163</v>
      </c>
      <c r="B306" t="s">
        <v>5157</v>
      </c>
      <c r="C306" s="308" t="s">
        <v>1738</v>
      </c>
      <c r="D306" s="523"/>
    </row>
    <row r="307" spans="1:4">
      <c r="A307" s="307">
        <v>3089</v>
      </c>
      <c r="B307" t="s">
        <v>2518</v>
      </c>
      <c r="C307" s="308" t="s">
        <v>2319</v>
      </c>
      <c r="D307" s="523"/>
    </row>
    <row r="308" spans="1:4">
      <c r="A308" s="307">
        <v>11075</v>
      </c>
      <c r="B308" t="s">
        <v>8850</v>
      </c>
      <c r="C308" s="308" t="s">
        <v>4282</v>
      </c>
      <c r="D308" s="523"/>
    </row>
    <row r="309" spans="1:4">
      <c r="A309" s="307">
        <v>2790</v>
      </c>
      <c r="B309" t="s">
        <v>5158</v>
      </c>
      <c r="C309" s="308" t="s">
        <v>1738</v>
      </c>
      <c r="D309" s="523"/>
    </row>
    <row r="310" spans="1:4">
      <c r="A310" s="307">
        <v>2257</v>
      </c>
      <c r="B310" t="s">
        <v>2655</v>
      </c>
      <c r="C310" s="308"/>
      <c r="D310" s="523"/>
    </row>
    <row r="311" spans="1:4">
      <c r="A311" s="307">
        <v>3348</v>
      </c>
      <c r="B311" t="s">
        <v>5159</v>
      </c>
      <c r="C311" s="308" t="s">
        <v>1739</v>
      </c>
      <c r="D311" s="523"/>
    </row>
    <row r="312" spans="1:4">
      <c r="A312" s="307">
        <v>15763</v>
      </c>
      <c r="B312" t="s">
        <v>8915</v>
      </c>
      <c r="C312" s="308" t="s">
        <v>4282</v>
      </c>
      <c r="D312" s="523"/>
    </row>
    <row r="313" spans="1:4">
      <c r="A313" s="307">
        <v>2411</v>
      </c>
      <c r="B313" t="s">
        <v>4213</v>
      </c>
      <c r="C313" s="308" t="s">
        <v>1738</v>
      </c>
      <c r="D313" s="523"/>
    </row>
    <row r="314" spans="1:4">
      <c r="A314" s="307">
        <v>15250</v>
      </c>
      <c r="B314" t="s">
        <v>6473</v>
      </c>
      <c r="C314" s="308"/>
      <c r="D314" s="523"/>
    </row>
    <row r="315" spans="1:4">
      <c r="A315" s="307">
        <v>3273</v>
      </c>
      <c r="B315" t="s">
        <v>2918</v>
      </c>
      <c r="C315" s="308" t="s">
        <v>2313</v>
      </c>
      <c r="D315" s="523"/>
    </row>
    <row r="316" spans="1:4">
      <c r="A316" s="307">
        <v>19011</v>
      </c>
      <c r="B316" t="s">
        <v>8852</v>
      </c>
      <c r="C316" s="308" t="s">
        <v>4282</v>
      </c>
      <c r="D316" s="523"/>
    </row>
    <row r="317" spans="1:4">
      <c r="A317" s="813">
        <v>20552</v>
      </c>
      <c r="B317" s="813" t="s">
        <v>9176</v>
      </c>
      <c r="C317" s="308" t="s">
        <v>1738</v>
      </c>
      <c r="D317" s="523"/>
    </row>
    <row r="318" spans="1:4">
      <c r="A318" s="307">
        <v>13295</v>
      </c>
      <c r="B318" t="s">
        <v>4573</v>
      </c>
      <c r="C318" s="308" t="s">
        <v>4282</v>
      </c>
      <c r="D318" s="523"/>
    </row>
    <row r="319" spans="1:4">
      <c r="A319" s="307">
        <v>2282</v>
      </c>
      <c r="B319" t="s">
        <v>4214</v>
      </c>
      <c r="C319" s="308" t="s">
        <v>1738</v>
      </c>
      <c r="D319" s="523"/>
    </row>
    <row r="320" spans="1:4">
      <c r="A320" s="307">
        <v>3082</v>
      </c>
      <c r="B320" t="s">
        <v>4215</v>
      </c>
      <c r="C320" s="308" t="s">
        <v>1738</v>
      </c>
      <c r="D320" s="523"/>
    </row>
    <row r="321" spans="1:4">
      <c r="A321" s="307">
        <v>2413</v>
      </c>
      <c r="B321" t="s">
        <v>4556</v>
      </c>
      <c r="C321" s="308" t="s">
        <v>1738</v>
      </c>
      <c r="D321" s="523"/>
    </row>
    <row r="322" spans="1:4">
      <c r="A322" s="307">
        <v>3515</v>
      </c>
      <c r="B322" t="s">
        <v>2056</v>
      </c>
      <c r="C322" s="308" t="s">
        <v>2316</v>
      </c>
      <c r="D322" s="523"/>
    </row>
    <row r="323" spans="1:4">
      <c r="A323" s="307">
        <v>3134</v>
      </c>
      <c r="B323" t="s">
        <v>527</v>
      </c>
      <c r="C323" s="308" t="s">
        <v>1738</v>
      </c>
      <c r="D323" s="523"/>
    </row>
    <row r="324" spans="1:4">
      <c r="A324" s="307">
        <v>13884</v>
      </c>
      <c r="B324" t="s">
        <v>8883</v>
      </c>
      <c r="C324" s="308" t="s">
        <v>4282</v>
      </c>
      <c r="D324" s="523"/>
    </row>
    <row r="325" spans="1:4">
      <c r="A325" s="307">
        <v>2515</v>
      </c>
      <c r="B325" t="s">
        <v>4216</v>
      </c>
      <c r="C325" s="308" t="s">
        <v>1738</v>
      </c>
      <c r="D325" s="523"/>
    </row>
    <row r="326" spans="1:4">
      <c r="A326" s="307">
        <v>2463</v>
      </c>
      <c r="B326" t="s">
        <v>4217</v>
      </c>
      <c r="C326" s="308" t="s">
        <v>1738</v>
      </c>
      <c r="D326" s="523"/>
    </row>
    <row r="327" spans="1:4">
      <c r="A327" s="307">
        <v>2650</v>
      </c>
      <c r="B327" t="s">
        <v>3665</v>
      </c>
      <c r="C327" s="308" t="s">
        <v>2311</v>
      </c>
      <c r="D327" s="523"/>
    </row>
    <row r="328" spans="1:4">
      <c r="A328" s="307">
        <v>3487</v>
      </c>
      <c r="B328" t="s">
        <v>5493</v>
      </c>
      <c r="C328" s="308" t="s">
        <v>1737</v>
      </c>
      <c r="D328" s="523"/>
    </row>
    <row r="329" spans="1:4">
      <c r="A329" s="307">
        <v>3385</v>
      </c>
      <c r="B329" t="s">
        <v>5494</v>
      </c>
      <c r="C329" s="308" t="s">
        <v>1738</v>
      </c>
      <c r="D329" s="523">
        <v>579</v>
      </c>
    </row>
    <row r="330" spans="1:4">
      <c r="A330" s="307">
        <v>3574</v>
      </c>
      <c r="B330" t="s">
        <v>5495</v>
      </c>
      <c r="C330" s="308" t="s">
        <v>1736</v>
      </c>
      <c r="D330" s="523">
        <v>110</v>
      </c>
    </row>
    <row r="331" spans="1:4">
      <c r="A331" s="307">
        <v>2623</v>
      </c>
      <c r="B331" t="s">
        <v>4218</v>
      </c>
      <c r="C331" s="308" t="s">
        <v>1737</v>
      </c>
      <c r="D331" s="523"/>
    </row>
    <row r="332" spans="1:4">
      <c r="A332" s="307">
        <v>2932</v>
      </c>
      <c r="B332" t="s">
        <v>2505</v>
      </c>
      <c r="C332" s="308" t="s">
        <v>3791</v>
      </c>
      <c r="D332" s="523"/>
    </row>
    <row r="333" spans="1:4">
      <c r="A333" s="307">
        <v>2357</v>
      </c>
      <c r="B333" t="s">
        <v>3159</v>
      </c>
      <c r="C333" s="308" t="s">
        <v>1738</v>
      </c>
      <c r="D333" s="523"/>
    </row>
    <row r="334" spans="1:4">
      <c r="A334" s="307">
        <v>3529</v>
      </c>
      <c r="B334" t="s">
        <v>4339</v>
      </c>
      <c r="C334" s="308" t="s">
        <v>2314</v>
      </c>
      <c r="D334" s="523"/>
    </row>
    <row r="335" spans="1:4">
      <c r="A335" s="307">
        <v>3415</v>
      </c>
      <c r="B335" t="s">
        <v>816</v>
      </c>
      <c r="C335" s="308" t="s">
        <v>2322</v>
      </c>
      <c r="D335" s="523"/>
    </row>
    <row r="336" spans="1:4">
      <c r="A336" s="307">
        <v>13477</v>
      </c>
      <c r="B336" t="s">
        <v>503</v>
      </c>
      <c r="C336" s="308"/>
      <c r="D336" s="523"/>
    </row>
    <row r="337" spans="1:4">
      <c r="A337" s="307">
        <v>2114</v>
      </c>
      <c r="B337" t="s">
        <v>4166</v>
      </c>
      <c r="C337" s="308" t="s">
        <v>1738</v>
      </c>
      <c r="D337" s="523"/>
    </row>
    <row r="338" spans="1:4">
      <c r="A338" s="307">
        <v>2880</v>
      </c>
      <c r="B338" t="s">
        <v>2246</v>
      </c>
      <c r="C338" s="308"/>
      <c r="D338" s="523"/>
    </row>
    <row r="339" spans="1:4">
      <c r="A339" s="307">
        <v>3250</v>
      </c>
      <c r="B339" t="s">
        <v>617</v>
      </c>
      <c r="C339" s="308" t="s">
        <v>1738</v>
      </c>
      <c r="D339" s="523"/>
    </row>
    <row r="340" spans="1:4">
      <c r="A340" s="307">
        <v>16448</v>
      </c>
      <c r="B340" t="s">
        <v>4220</v>
      </c>
      <c r="C340" s="308" t="s">
        <v>2322</v>
      </c>
      <c r="D340" s="523"/>
    </row>
    <row r="341" spans="1:4">
      <c r="A341" s="307">
        <v>3433</v>
      </c>
      <c r="B341" t="s">
        <v>4221</v>
      </c>
      <c r="C341" s="308" t="s">
        <v>2322</v>
      </c>
      <c r="D341" s="523"/>
    </row>
    <row r="342" spans="1:4">
      <c r="A342" s="307">
        <v>2408</v>
      </c>
      <c r="B342" t="s">
        <v>3473</v>
      </c>
      <c r="C342" s="308" t="s">
        <v>1738</v>
      </c>
      <c r="D342" s="523"/>
    </row>
    <row r="343" spans="1:4">
      <c r="A343" s="307">
        <v>20261</v>
      </c>
      <c r="B343" t="s">
        <v>6770</v>
      </c>
      <c r="C343" s="308"/>
      <c r="D343" s="523"/>
    </row>
    <row r="344" spans="1:4">
      <c r="A344" s="307">
        <v>2163</v>
      </c>
      <c r="B344" t="s">
        <v>4222</v>
      </c>
      <c r="C344" s="308" t="s">
        <v>5194</v>
      </c>
      <c r="D344" s="523"/>
    </row>
    <row r="345" spans="1:4">
      <c r="A345" s="307">
        <v>2162</v>
      </c>
      <c r="B345" t="s">
        <v>1471</v>
      </c>
      <c r="C345" s="308" t="s">
        <v>5194</v>
      </c>
      <c r="D345" s="523"/>
    </row>
    <row r="346" spans="1:4">
      <c r="A346" s="307">
        <v>3444</v>
      </c>
      <c r="B346" t="s">
        <v>4223</v>
      </c>
      <c r="C346" s="308" t="s">
        <v>3790</v>
      </c>
      <c r="D346" s="523"/>
    </row>
    <row r="347" spans="1:4">
      <c r="A347" s="307">
        <v>2197</v>
      </c>
      <c r="B347" t="s">
        <v>1046</v>
      </c>
      <c r="C347" s="308" t="s">
        <v>1738</v>
      </c>
      <c r="D347" s="523"/>
    </row>
    <row r="348" spans="1:4">
      <c r="A348" s="307">
        <v>2256</v>
      </c>
      <c r="B348" t="s">
        <v>1870</v>
      </c>
      <c r="C348" s="308" t="s">
        <v>1738</v>
      </c>
      <c r="D348" s="523"/>
    </row>
    <row r="349" spans="1:4">
      <c r="A349" s="307">
        <v>2292</v>
      </c>
      <c r="B349" t="s">
        <v>4224</v>
      </c>
      <c r="C349" s="308" t="s">
        <v>5195</v>
      </c>
      <c r="D349" s="523"/>
    </row>
    <row r="350" spans="1:4">
      <c r="A350" s="307">
        <v>2975</v>
      </c>
      <c r="B350" t="s">
        <v>910</v>
      </c>
      <c r="C350" s="308" t="s">
        <v>1738</v>
      </c>
      <c r="D350" s="523"/>
    </row>
    <row r="351" spans="1:4">
      <c r="A351" s="307">
        <v>3397</v>
      </c>
      <c r="B351" t="s">
        <v>3666</v>
      </c>
      <c r="C351" s="308" t="s">
        <v>2310</v>
      </c>
      <c r="D351" s="523"/>
    </row>
    <row r="352" spans="1:4">
      <c r="A352" s="307">
        <v>2952</v>
      </c>
      <c r="B352" t="s">
        <v>5430</v>
      </c>
      <c r="C352" s="308" t="s">
        <v>1738</v>
      </c>
      <c r="D352" s="523"/>
    </row>
    <row r="353" spans="1:4">
      <c r="A353" s="307">
        <v>3532</v>
      </c>
      <c r="B353" t="s">
        <v>4225</v>
      </c>
      <c r="C353" s="308" t="s">
        <v>2314</v>
      </c>
      <c r="D353" s="523"/>
    </row>
    <row r="354" spans="1:4">
      <c r="A354" s="307">
        <v>2275</v>
      </c>
      <c r="B354" t="s">
        <v>911</v>
      </c>
      <c r="C354" s="308" t="s">
        <v>1738</v>
      </c>
      <c r="D354" s="523"/>
    </row>
    <row r="355" spans="1:4">
      <c r="A355" s="307">
        <v>3217</v>
      </c>
      <c r="B355" t="s">
        <v>1717</v>
      </c>
      <c r="C355" s="308" t="s">
        <v>1738</v>
      </c>
      <c r="D355" s="523"/>
    </row>
    <row r="356" spans="1:4">
      <c r="A356" s="307">
        <v>2167</v>
      </c>
      <c r="B356" t="s">
        <v>4352</v>
      </c>
      <c r="C356" s="308" t="s">
        <v>5194</v>
      </c>
      <c r="D356" s="523"/>
    </row>
    <row r="357" spans="1:4">
      <c r="A357" s="307">
        <v>12991</v>
      </c>
      <c r="B357" t="s">
        <v>4226</v>
      </c>
      <c r="C357" s="308" t="s">
        <v>1738</v>
      </c>
      <c r="D357" s="523"/>
    </row>
    <row r="358" spans="1:4">
      <c r="A358" s="307">
        <v>2621</v>
      </c>
      <c r="B358" t="s">
        <v>1044</v>
      </c>
      <c r="C358" s="308" t="s">
        <v>1737</v>
      </c>
      <c r="D358" s="523"/>
    </row>
    <row r="359" spans="1:4">
      <c r="A359" s="307">
        <v>3638</v>
      </c>
      <c r="B359" t="s">
        <v>1386</v>
      </c>
      <c r="C359" s="308" t="s">
        <v>1738</v>
      </c>
      <c r="D359" s="523"/>
    </row>
    <row r="360" spans="1:4">
      <c r="A360" s="307">
        <v>2982</v>
      </c>
      <c r="B360" t="s">
        <v>1715</v>
      </c>
      <c r="C360" s="308" t="s">
        <v>1738</v>
      </c>
      <c r="D360" s="523"/>
    </row>
    <row r="361" spans="1:4">
      <c r="A361" s="307">
        <v>2942</v>
      </c>
      <c r="B361" t="s">
        <v>5237</v>
      </c>
      <c r="C361" s="308" t="s">
        <v>1738</v>
      </c>
      <c r="D361" s="523"/>
    </row>
    <row r="362" spans="1:4">
      <c r="A362" s="307">
        <v>3547</v>
      </c>
      <c r="B362" t="s">
        <v>3160</v>
      </c>
      <c r="C362" s="308" t="s">
        <v>1736</v>
      </c>
      <c r="D362" s="523"/>
    </row>
    <row r="363" spans="1:4">
      <c r="A363" s="307">
        <v>3409</v>
      </c>
      <c r="B363" t="s">
        <v>4495</v>
      </c>
      <c r="C363" s="308" t="s">
        <v>2322</v>
      </c>
      <c r="D363" s="523"/>
    </row>
    <row r="364" spans="1:4">
      <c r="A364" s="307">
        <v>6821</v>
      </c>
      <c r="B364" t="s">
        <v>6771</v>
      </c>
      <c r="C364" s="308"/>
      <c r="D364" s="523"/>
    </row>
    <row r="365" spans="1:4">
      <c r="A365" s="307">
        <v>3570</v>
      </c>
      <c r="B365" t="s">
        <v>4227</v>
      </c>
      <c r="C365" s="308" t="s">
        <v>2315</v>
      </c>
      <c r="D365" s="523"/>
    </row>
    <row r="366" spans="1:4">
      <c r="A366" s="307">
        <v>3569</v>
      </c>
      <c r="B366" t="s">
        <v>1052</v>
      </c>
      <c r="C366" s="308" t="s">
        <v>2315</v>
      </c>
      <c r="D366" s="523"/>
    </row>
    <row r="367" spans="1:4">
      <c r="A367" s="307">
        <v>2534</v>
      </c>
      <c r="B367" t="s">
        <v>2919</v>
      </c>
      <c r="C367" s="308" t="s">
        <v>2313</v>
      </c>
      <c r="D367" s="523"/>
    </row>
    <row r="368" spans="1:4">
      <c r="A368" s="403">
        <v>17155</v>
      </c>
      <c r="B368" s="403" t="s">
        <v>9169</v>
      </c>
      <c r="C368" s="308" t="s">
        <v>1736</v>
      </c>
      <c r="D368" s="523"/>
    </row>
    <row r="369" spans="1:4">
      <c r="A369" s="307">
        <v>2668</v>
      </c>
      <c r="B369" t="s">
        <v>6538</v>
      </c>
      <c r="C369" s="308"/>
      <c r="D369" s="523"/>
    </row>
    <row r="370" spans="1:4">
      <c r="A370" s="307">
        <v>16110</v>
      </c>
      <c r="B370" t="s">
        <v>6772</v>
      </c>
      <c r="C370" s="308"/>
      <c r="D370" s="523"/>
    </row>
    <row r="371" spans="1:4">
      <c r="A371" s="307">
        <v>2161</v>
      </c>
      <c r="B371" t="s">
        <v>6773</v>
      </c>
      <c r="C371" s="308"/>
      <c r="D371" s="523"/>
    </row>
    <row r="372" spans="1:4">
      <c r="A372" s="307">
        <v>12061</v>
      </c>
      <c r="B372" t="s">
        <v>1577</v>
      </c>
      <c r="C372" s="308" t="s">
        <v>1738</v>
      </c>
      <c r="D372" s="523"/>
    </row>
    <row r="373" spans="1:4">
      <c r="A373" s="307">
        <v>14398</v>
      </c>
      <c r="B373" t="s">
        <v>6774</v>
      </c>
      <c r="C373" s="308"/>
      <c r="D373" s="523"/>
    </row>
    <row r="374" spans="1:4">
      <c r="A374" s="307">
        <v>2160</v>
      </c>
      <c r="B374" t="s">
        <v>1157</v>
      </c>
      <c r="C374" s="308" t="s">
        <v>1738</v>
      </c>
      <c r="D374" s="523"/>
    </row>
    <row r="375" spans="1:4">
      <c r="A375" s="307">
        <v>17633</v>
      </c>
      <c r="B375" t="s">
        <v>4228</v>
      </c>
      <c r="C375" s="308" t="s">
        <v>1738</v>
      </c>
      <c r="D375" s="523"/>
    </row>
    <row r="376" spans="1:4">
      <c r="A376" s="307">
        <v>16456</v>
      </c>
      <c r="B376" t="s">
        <v>3706</v>
      </c>
      <c r="C376" s="308" t="s">
        <v>2322</v>
      </c>
      <c r="D376" s="523"/>
    </row>
    <row r="377" spans="1:4">
      <c r="A377" s="307">
        <v>18734</v>
      </c>
      <c r="B377" t="s">
        <v>4607</v>
      </c>
      <c r="C377" s="308" t="s">
        <v>2843</v>
      </c>
      <c r="D377" s="523"/>
    </row>
    <row r="378" spans="1:4">
      <c r="A378" s="307">
        <v>2683</v>
      </c>
      <c r="B378" t="s">
        <v>4608</v>
      </c>
      <c r="C378" s="308" t="s">
        <v>2318</v>
      </c>
      <c r="D378" s="523"/>
    </row>
    <row r="379" spans="1:4">
      <c r="A379" s="403">
        <v>3277</v>
      </c>
      <c r="B379" s="403" t="s">
        <v>8764</v>
      </c>
      <c r="C379" s="308" t="s">
        <v>2313</v>
      </c>
      <c r="D379" s="523"/>
    </row>
    <row r="380" spans="1:4">
      <c r="A380" s="307">
        <v>3514</v>
      </c>
      <c r="B380" t="s">
        <v>2006</v>
      </c>
      <c r="C380" s="308" t="s">
        <v>2316</v>
      </c>
      <c r="D380" s="523">
        <v>7178</v>
      </c>
    </row>
    <row r="381" spans="1:4">
      <c r="A381" s="307">
        <v>3323</v>
      </c>
      <c r="B381" t="s">
        <v>4230</v>
      </c>
      <c r="C381" s="308" t="s">
        <v>1738</v>
      </c>
      <c r="D381" s="523"/>
    </row>
    <row r="382" spans="1:4">
      <c r="A382" s="307">
        <v>3554</v>
      </c>
      <c r="B382" t="s">
        <v>2690</v>
      </c>
      <c r="C382" s="308" t="s">
        <v>1738</v>
      </c>
      <c r="D382" s="523"/>
    </row>
    <row r="383" spans="1:4">
      <c r="A383" s="307">
        <v>17372</v>
      </c>
      <c r="B383" t="s">
        <v>4231</v>
      </c>
      <c r="C383" s="308" t="s">
        <v>1736</v>
      </c>
      <c r="D383" s="523"/>
    </row>
    <row r="384" spans="1:4">
      <c r="A384" s="307">
        <v>17518</v>
      </c>
      <c r="B384" t="s">
        <v>6776</v>
      </c>
      <c r="C384" s="308"/>
      <c r="D384" s="523"/>
    </row>
    <row r="385" spans="1:4">
      <c r="A385" s="307">
        <v>3546</v>
      </c>
      <c r="B385" t="s">
        <v>2691</v>
      </c>
      <c r="C385" s="308" t="s">
        <v>1736</v>
      </c>
      <c r="D385" s="523"/>
    </row>
    <row r="386" spans="1:4">
      <c r="A386" s="307">
        <v>2930</v>
      </c>
      <c r="B386" t="s">
        <v>3314</v>
      </c>
      <c r="C386" s="308" t="s">
        <v>3791</v>
      </c>
      <c r="D386" s="523"/>
    </row>
    <row r="387" spans="1:4">
      <c r="A387" s="307">
        <v>2151</v>
      </c>
      <c r="B387" t="s">
        <v>4232</v>
      </c>
      <c r="C387" s="308" t="s">
        <v>1738</v>
      </c>
      <c r="D387" s="523"/>
    </row>
    <row r="388" spans="1:4">
      <c r="A388" s="307">
        <v>3430</v>
      </c>
      <c r="B388" t="s">
        <v>5503</v>
      </c>
      <c r="C388" s="308" t="s">
        <v>2322</v>
      </c>
      <c r="D388" s="523"/>
    </row>
    <row r="389" spans="1:4">
      <c r="A389" s="307">
        <v>3451</v>
      </c>
      <c r="B389" t="s">
        <v>2204</v>
      </c>
      <c r="C389" s="308" t="s">
        <v>2312</v>
      </c>
      <c r="D389" s="523"/>
    </row>
    <row r="390" spans="1:4">
      <c r="A390" s="307">
        <v>2979</v>
      </c>
      <c r="B390" t="s">
        <v>4233</v>
      </c>
      <c r="C390" s="308" t="s">
        <v>1738</v>
      </c>
      <c r="D390" s="523"/>
    </row>
    <row r="391" spans="1:4">
      <c r="A391" s="307">
        <v>2192</v>
      </c>
      <c r="B391" t="s">
        <v>3168</v>
      </c>
      <c r="C391" s="308" t="s">
        <v>1738</v>
      </c>
      <c r="D391" s="523"/>
    </row>
    <row r="392" spans="1:4">
      <c r="A392" s="307">
        <v>19044</v>
      </c>
      <c r="B392" t="s">
        <v>4234</v>
      </c>
      <c r="C392" s="308" t="s">
        <v>1738</v>
      </c>
      <c r="D392" s="523"/>
    </row>
    <row r="393" spans="1:4">
      <c r="A393" s="307">
        <v>2380</v>
      </c>
      <c r="B393" t="s">
        <v>74</v>
      </c>
      <c r="C393" s="308"/>
      <c r="D393" s="523"/>
    </row>
    <row r="394" spans="1:4">
      <c r="A394" s="307">
        <v>6801</v>
      </c>
      <c r="B394" t="s">
        <v>8873</v>
      </c>
      <c r="C394" s="308" t="s">
        <v>4282</v>
      </c>
      <c r="D394" s="523"/>
    </row>
    <row r="395" spans="1:4">
      <c r="A395" s="403">
        <v>3220</v>
      </c>
      <c r="B395" s="403" t="s">
        <v>3045</v>
      </c>
      <c r="C395" s="308" t="s">
        <v>1738</v>
      </c>
      <c r="D395" s="523"/>
    </row>
    <row r="396" spans="1:4">
      <c r="A396" s="307">
        <v>3505</v>
      </c>
      <c r="B396" t="s">
        <v>4070</v>
      </c>
      <c r="C396" s="308" t="s">
        <v>1738</v>
      </c>
      <c r="D396" s="523"/>
    </row>
    <row r="397" spans="1:4">
      <c r="A397" s="307">
        <v>11545</v>
      </c>
      <c r="B397" t="s">
        <v>4235</v>
      </c>
      <c r="C397" s="308" t="s">
        <v>434</v>
      </c>
      <c r="D397" s="523"/>
    </row>
    <row r="398" spans="1:4">
      <c r="A398" s="307">
        <v>18995</v>
      </c>
      <c r="B398" t="s">
        <v>4236</v>
      </c>
      <c r="C398" s="308" t="s">
        <v>1738</v>
      </c>
      <c r="D398" s="523"/>
    </row>
    <row r="399" spans="1:4">
      <c r="A399" s="307">
        <v>3399</v>
      </c>
      <c r="B399" t="s">
        <v>3939</v>
      </c>
      <c r="C399" s="308" t="s">
        <v>2322</v>
      </c>
      <c r="D399" s="523"/>
    </row>
    <row r="400" spans="1:4">
      <c r="A400" s="307">
        <v>3507</v>
      </c>
      <c r="B400" t="s">
        <v>4237</v>
      </c>
      <c r="C400" s="308" t="s">
        <v>2316</v>
      </c>
      <c r="D400" s="523"/>
    </row>
    <row r="401" spans="1:4">
      <c r="A401" s="307">
        <v>17310</v>
      </c>
      <c r="B401" t="s">
        <v>6777</v>
      </c>
      <c r="C401" s="308"/>
      <c r="D401" s="523"/>
    </row>
    <row r="402" spans="1:4">
      <c r="A402" s="307">
        <v>2273</v>
      </c>
      <c r="B402" t="s">
        <v>3179</v>
      </c>
      <c r="C402" s="308" t="s">
        <v>1738</v>
      </c>
      <c r="D402" s="523"/>
    </row>
    <row r="403" spans="1:4">
      <c r="A403" s="307">
        <v>2660</v>
      </c>
      <c r="B403" t="s">
        <v>3161</v>
      </c>
      <c r="C403" s="308" t="s">
        <v>1736</v>
      </c>
      <c r="D403" s="523"/>
    </row>
    <row r="404" spans="1:4">
      <c r="A404" s="307">
        <v>2653</v>
      </c>
      <c r="B404" t="s">
        <v>5302</v>
      </c>
      <c r="C404" s="308" t="s">
        <v>1736</v>
      </c>
      <c r="D404" s="523"/>
    </row>
    <row r="405" spans="1:4">
      <c r="A405" s="307">
        <v>3521</v>
      </c>
      <c r="B405" t="s">
        <v>332</v>
      </c>
      <c r="C405" s="308" t="s">
        <v>2318</v>
      </c>
      <c r="D405" s="523"/>
    </row>
    <row r="406" spans="1:4">
      <c r="A406" s="307">
        <v>2194</v>
      </c>
      <c r="B406" t="s">
        <v>3474</v>
      </c>
      <c r="C406" s="308" t="s">
        <v>1738</v>
      </c>
      <c r="D406" s="523"/>
    </row>
    <row r="407" spans="1:4">
      <c r="A407" s="307">
        <v>3098</v>
      </c>
      <c r="B407" t="s">
        <v>2553</v>
      </c>
      <c r="C407" s="308" t="s">
        <v>1738</v>
      </c>
      <c r="D407" s="523"/>
    </row>
    <row r="408" spans="1:4">
      <c r="A408" s="403">
        <v>2116</v>
      </c>
      <c r="B408" t="s">
        <v>6539</v>
      </c>
      <c r="C408" s="308" t="s">
        <v>3791</v>
      </c>
      <c r="D408" s="523"/>
    </row>
    <row r="409" spans="1:4">
      <c r="A409" s="307">
        <v>2150</v>
      </c>
      <c r="B409" t="s">
        <v>2263</v>
      </c>
      <c r="C409" s="308" t="s">
        <v>1738</v>
      </c>
      <c r="D409" s="523"/>
    </row>
    <row r="410" spans="1:4">
      <c r="A410" s="307">
        <v>17530</v>
      </c>
      <c r="B410" t="s">
        <v>3851</v>
      </c>
      <c r="C410" s="308"/>
      <c r="D410" s="523"/>
    </row>
    <row r="411" spans="1:4">
      <c r="A411" s="307">
        <v>2232</v>
      </c>
      <c r="B411" t="s">
        <v>196</v>
      </c>
      <c r="C411" s="308" t="s">
        <v>1738</v>
      </c>
      <c r="D411" s="523"/>
    </row>
    <row r="412" spans="1:4">
      <c r="A412" s="813">
        <v>3117</v>
      </c>
      <c r="B412" s="813" t="s">
        <v>2119</v>
      </c>
      <c r="C412" s="308" t="s">
        <v>1738</v>
      </c>
      <c r="D412" s="523"/>
    </row>
    <row r="413" spans="1:4">
      <c r="A413" s="307">
        <v>3115</v>
      </c>
      <c r="B413" t="s">
        <v>5186</v>
      </c>
      <c r="C413" s="308"/>
      <c r="D413" s="523"/>
    </row>
    <row r="414" spans="1:4">
      <c r="A414" s="307">
        <v>2179</v>
      </c>
      <c r="B414" t="s">
        <v>4238</v>
      </c>
      <c r="C414" s="308" t="s">
        <v>1738</v>
      </c>
      <c r="D414" s="523"/>
    </row>
    <row r="415" spans="1:4">
      <c r="A415" s="307">
        <v>2129</v>
      </c>
      <c r="B415" t="s">
        <v>3707</v>
      </c>
      <c r="C415" s="308" t="s">
        <v>1738</v>
      </c>
      <c r="D415" s="523"/>
    </row>
    <row r="416" spans="1:4">
      <c r="A416" s="307">
        <v>2367</v>
      </c>
      <c r="B416" t="s">
        <v>2932</v>
      </c>
      <c r="C416" s="308" t="s">
        <v>1738</v>
      </c>
      <c r="D416" s="523"/>
    </row>
    <row r="417" spans="1:4">
      <c r="A417" s="307">
        <v>12623</v>
      </c>
      <c r="B417" t="s">
        <v>6580</v>
      </c>
      <c r="C417" s="308"/>
      <c r="D417" s="523"/>
    </row>
    <row r="418" spans="1:4">
      <c r="A418" s="307">
        <v>3465</v>
      </c>
      <c r="B418" t="s">
        <v>2929</v>
      </c>
      <c r="C418" s="308" t="s">
        <v>2311</v>
      </c>
      <c r="D418" s="523"/>
    </row>
    <row r="419" spans="1:4">
      <c r="A419" s="403">
        <v>18926</v>
      </c>
      <c r="B419" s="403" t="s">
        <v>9168</v>
      </c>
      <c r="C419" s="308" t="s">
        <v>2319</v>
      </c>
      <c r="D419" s="523"/>
    </row>
    <row r="420" spans="1:4">
      <c r="A420" s="307">
        <v>2146</v>
      </c>
      <c r="B420" t="s">
        <v>3167</v>
      </c>
      <c r="C420" s="308" t="s">
        <v>1738</v>
      </c>
      <c r="D420" s="523"/>
    </row>
    <row r="421" spans="1:4">
      <c r="A421" s="307">
        <v>3544</v>
      </c>
      <c r="B421" t="s">
        <v>733</v>
      </c>
      <c r="C421" s="308" t="s">
        <v>1738</v>
      </c>
      <c r="D421" s="523"/>
    </row>
    <row r="422" spans="1:4">
      <c r="A422" s="307">
        <v>2661</v>
      </c>
      <c r="B422" t="s">
        <v>6782</v>
      </c>
      <c r="C422" s="308"/>
      <c r="D422" s="523"/>
    </row>
    <row r="423" spans="1:4">
      <c r="A423" s="307">
        <v>3523</v>
      </c>
      <c r="B423" t="s">
        <v>4770</v>
      </c>
      <c r="C423" s="308" t="s">
        <v>2318</v>
      </c>
      <c r="D423" s="523"/>
    </row>
    <row r="424" spans="1:4">
      <c r="A424" s="307">
        <v>2934</v>
      </c>
      <c r="B424" t="s">
        <v>1871</v>
      </c>
      <c r="C424" s="308" t="s">
        <v>2323</v>
      </c>
      <c r="D424" s="523">
        <v>9388</v>
      </c>
    </row>
    <row r="425" spans="1:4">
      <c r="A425" s="307">
        <v>2652</v>
      </c>
      <c r="B425" t="s">
        <v>4239</v>
      </c>
      <c r="C425" s="308" t="s">
        <v>1736</v>
      </c>
      <c r="D425" s="523"/>
    </row>
    <row r="426" spans="1:4">
      <c r="A426" s="307">
        <v>2771</v>
      </c>
      <c r="B426" t="s">
        <v>2043</v>
      </c>
      <c r="C426" s="308" t="s">
        <v>1738</v>
      </c>
      <c r="D426" s="523"/>
    </row>
    <row r="427" spans="1:4">
      <c r="A427" s="307">
        <v>2625</v>
      </c>
      <c r="B427" t="s">
        <v>4240</v>
      </c>
      <c r="C427" s="308" t="s">
        <v>1737</v>
      </c>
      <c r="D427" s="523"/>
    </row>
    <row r="428" spans="1:4">
      <c r="A428" s="307">
        <v>3165</v>
      </c>
      <c r="B428" t="s">
        <v>2931</v>
      </c>
      <c r="C428" s="308" t="s">
        <v>1738</v>
      </c>
      <c r="D428" s="523"/>
    </row>
    <row r="429" spans="1:4">
      <c r="A429" s="307">
        <v>18841</v>
      </c>
      <c r="B429" t="s">
        <v>8871</v>
      </c>
      <c r="C429" s="308" t="s">
        <v>4282</v>
      </c>
      <c r="D429" s="523"/>
    </row>
    <row r="430" spans="1:4">
      <c r="A430" s="813">
        <v>18277</v>
      </c>
      <c r="B430" s="813" t="s">
        <v>9172</v>
      </c>
      <c r="C430" s="308" t="s">
        <v>2310</v>
      </c>
      <c r="D430" s="523"/>
    </row>
    <row r="431" spans="1:4">
      <c r="A431" s="307">
        <v>2381</v>
      </c>
      <c r="B431" t="s">
        <v>3152</v>
      </c>
      <c r="C431" s="308" t="s">
        <v>1738</v>
      </c>
      <c r="D431" s="523"/>
    </row>
    <row r="432" spans="1:4">
      <c r="A432" s="307">
        <v>3634</v>
      </c>
      <c r="B432" t="s">
        <v>1451</v>
      </c>
      <c r="C432" s="308" t="s">
        <v>1738</v>
      </c>
      <c r="D432" s="523"/>
    </row>
    <row r="433" spans="1:4">
      <c r="A433" s="307">
        <v>3454</v>
      </c>
      <c r="B433" t="s">
        <v>3709</v>
      </c>
      <c r="C433" s="308" t="s">
        <v>2322</v>
      </c>
      <c r="D433" s="523"/>
    </row>
    <row r="434" spans="1:4">
      <c r="A434" s="403">
        <v>3190</v>
      </c>
      <c r="B434" s="403" t="s">
        <v>9170</v>
      </c>
      <c r="C434" s="308" t="s">
        <v>1738</v>
      </c>
      <c r="D434" s="523"/>
    </row>
    <row r="435" spans="1:4">
      <c r="A435" s="307">
        <v>2418</v>
      </c>
      <c r="B435" t="s">
        <v>4241</v>
      </c>
      <c r="C435" s="308" t="s">
        <v>1738</v>
      </c>
      <c r="D435" s="523"/>
    </row>
    <row r="436" spans="1:4">
      <c r="A436" s="307">
        <v>2419</v>
      </c>
      <c r="B436" t="s">
        <v>4242</v>
      </c>
      <c r="C436" s="308" t="s">
        <v>1738</v>
      </c>
      <c r="D436" s="523"/>
    </row>
    <row r="437" spans="1:4">
      <c r="A437" s="307">
        <v>14333</v>
      </c>
      <c r="B437" t="s">
        <v>6598</v>
      </c>
      <c r="C437" s="308"/>
      <c r="D437" s="523"/>
    </row>
    <row r="438" spans="1:4">
      <c r="A438" s="307">
        <v>2590</v>
      </c>
      <c r="B438" t="s">
        <v>3520</v>
      </c>
      <c r="C438" s="308" t="s">
        <v>2322</v>
      </c>
      <c r="D438" s="523"/>
    </row>
    <row r="439" spans="1:4">
      <c r="A439" s="307">
        <v>14054</v>
      </c>
      <c r="B439" t="s">
        <v>4243</v>
      </c>
      <c r="C439" s="308" t="s">
        <v>1738</v>
      </c>
      <c r="D439" s="523"/>
    </row>
    <row r="440" spans="1:4">
      <c r="A440" s="307">
        <v>20038</v>
      </c>
      <c r="B440" t="s">
        <v>8911</v>
      </c>
      <c r="C440" s="308" t="s">
        <v>4282</v>
      </c>
      <c r="D440" s="523"/>
    </row>
    <row r="441" spans="1:4">
      <c r="A441" s="307">
        <v>2963</v>
      </c>
      <c r="B441" t="s">
        <v>3313</v>
      </c>
      <c r="C441" s="308" t="s">
        <v>1738</v>
      </c>
      <c r="D441" s="523"/>
    </row>
    <row r="442" spans="1:4">
      <c r="A442" s="307">
        <v>14384</v>
      </c>
      <c r="B442" t="s">
        <v>4244</v>
      </c>
      <c r="C442" s="308" t="s">
        <v>3786</v>
      </c>
      <c r="D442" s="523"/>
    </row>
    <row r="443" spans="1:4">
      <c r="A443" s="307">
        <v>3352</v>
      </c>
      <c r="B443" t="s">
        <v>3863</v>
      </c>
      <c r="C443" s="308" t="s">
        <v>2317</v>
      </c>
      <c r="D443" s="523"/>
    </row>
    <row r="444" spans="1:4">
      <c r="A444" s="307">
        <v>10724</v>
      </c>
      <c r="B444" t="s">
        <v>4245</v>
      </c>
      <c r="C444" s="308" t="s">
        <v>1738</v>
      </c>
      <c r="D444" s="523"/>
    </row>
    <row r="445" spans="1:4">
      <c r="A445" s="307">
        <v>3604</v>
      </c>
      <c r="B445" t="s">
        <v>5511</v>
      </c>
      <c r="C445" s="308" t="s">
        <v>2310</v>
      </c>
      <c r="D445" s="523"/>
    </row>
    <row r="446" spans="1:4">
      <c r="A446" s="307">
        <v>2987</v>
      </c>
      <c r="B446" t="s">
        <v>4159</v>
      </c>
      <c r="C446" s="308" t="s">
        <v>3786</v>
      </c>
      <c r="D446" s="523"/>
    </row>
    <row r="447" spans="1:4">
      <c r="A447" s="307">
        <v>3528</v>
      </c>
      <c r="B447" t="s">
        <v>3406</v>
      </c>
      <c r="C447" s="308" t="s">
        <v>2314</v>
      </c>
      <c r="D447" s="523"/>
    </row>
    <row r="448" spans="1:4">
      <c r="A448" s="307">
        <v>3431</v>
      </c>
      <c r="B448" t="s">
        <v>2603</v>
      </c>
      <c r="C448" s="308" t="s">
        <v>2322</v>
      </c>
      <c r="D448" s="523"/>
    </row>
    <row r="449" spans="1:4">
      <c r="A449" s="307">
        <v>2157</v>
      </c>
      <c r="B449" t="s">
        <v>4163</v>
      </c>
      <c r="C449" s="308" t="s">
        <v>1738</v>
      </c>
      <c r="D449" s="523"/>
    </row>
    <row r="450" spans="1:4">
      <c r="A450" s="307">
        <v>2960</v>
      </c>
      <c r="B450" t="s">
        <v>3745</v>
      </c>
      <c r="C450" s="308" t="s">
        <v>1738</v>
      </c>
      <c r="D450" s="523"/>
    </row>
    <row r="451" spans="1:4">
      <c r="A451" s="307">
        <v>2964</v>
      </c>
      <c r="B451" t="s">
        <v>4246</v>
      </c>
      <c r="C451" s="308" t="s">
        <v>1738</v>
      </c>
      <c r="D451" s="523"/>
    </row>
    <row r="452" spans="1:4">
      <c r="A452" s="307">
        <v>17253</v>
      </c>
      <c r="B452" t="s">
        <v>4247</v>
      </c>
      <c r="C452" s="308" t="s">
        <v>1738</v>
      </c>
      <c r="D452" s="523"/>
    </row>
    <row r="453" spans="1:4">
      <c r="A453" s="307">
        <v>2159</v>
      </c>
      <c r="B453" t="s">
        <v>4164</v>
      </c>
      <c r="C453" s="308" t="s">
        <v>1738</v>
      </c>
      <c r="D453" s="523"/>
    </row>
    <row r="454" spans="1:4">
      <c r="A454" s="307">
        <v>3137</v>
      </c>
      <c r="B454" t="s">
        <v>4248</v>
      </c>
      <c r="C454" s="308" t="s">
        <v>1738</v>
      </c>
      <c r="D454" s="523"/>
    </row>
    <row r="455" spans="1:4">
      <c r="A455" s="307">
        <v>2410</v>
      </c>
      <c r="B455" t="s">
        <v>4249</v>
      </c>
      <c r="C455" s="308" t="s">
        <v>1738</v>
      </c>
      <c r="D455" s="523"/>
    </row>
    <row r="456" spans="1:4">
      <c r="A456" s="307">
        <v>16077</v>
      </c>
      <c r="B456" t="s">
        <v>6784</v>
      </c>
      <c r="C456" s="308"/>
      <c r="D456" s="523">
        <v>14000</v>
      </c>
    </row>
    <row r="457" spans="1:4">
      <c r="A457" s="307">
        <v>2927</v>
      </c>
      <c r="B457" t="s">
        <v>5238</v>
      </c>
      <c r="C457" s="308" t="s">
        <v>3791</v>
      </c>
      <c r="D457" s="523"/>
    </row>
    <row r="458" spans="1:4">
      <c r="A458" s="307">
        <v>2983</v>
      </c>
      <c r="B458" t="s">
        <v>4250</v>
      </c>
      <c r="C458" s="308" t="s">
        <v>1738</v>
      </c>
      <c r="D458" s="523"/>
    </row>
    <row r="459" spans="1:4">
      <c r="A459" s="307">
        <v>18366</v>
      </c>
      <c r="B459" t="s">
        <v>3869</v>
      </c>
      <c r="C459" s="308"/>
      <c r="D459" s="523"/>
    </row>
    <row r="460" spans="1:4">
      <c r="A460" s="307">
        <v>3553</v>
      </c>
      <c r="B460" t="s">
        <v>2692</v>
      </c>
      <c r="C460" s="308" t="s">
        <v>1738</v>
      </c>
      <c r="D460" s="523"/>
    </row>
    <row r="461" spans="1:4">
      <c r="A461" s="307">
        <v>3175</v>
      </c>
      <c r="B461" t="s">
        <v>735</v>
      </c>
      <c r="C461" s="308" t="s">
        <v>1738</v>
      </c>
      <c r="D461" s="523"/>
    </row>
    <row r="462" spans="1:4">
      <c r="A462" s="307">
        <v>2606</v>
      </c>
      <c r="B462" t="s">
        <v>4251</v>
      </c>
      <c r="C462" s="308" t="s">
        <v>1738</v>
      </c>
      <c r="D462" s="523"/>
    </row>
    <row r="463" spans="1:4">
      <c r="A463" s="307">
        <v>2678</v>
      </c>
      <c r="B463" t="s">
        <v>1574</v>
      </c>
      <c r="C463" s="308" t="s">
        <v>2318</v>
      </c>
      <c r="D463" s="523">
        <v>94</v>
      </c>
    </row>
    <row r="464" spans="1:4">
      <c r="A464" s="307">
        <v>3213</v>
      </c>
      <c r="B464" t="s">
        <v>5074</v>
      </c>
      <c r="C464" s="308" t="s">
        <v>1738</v>
      </c>
      <c r="D464" s="523"/>
    </row>
    <row r="465" spans="1:4">
      <c r="A465" s="307">
        <v>2343</v>
      </c>
      <c r="B465" t="s">
        <v>6785</v>
      </c>
      <c r="C465" s="308"/>
      <c r="D465" s="523"/>
    </row>
    <row r="466" spans="1:4">
      <c r="A466" s="307">
        <v>2521</v>
      </c>
      <c r="B466" t="s">
        <v>2920</v>
      </c>
      <c r="C466" s="308" t="s">
        <v>1738</v>
      </c>
      <c r="D466" s="523"/>
    </row>
    <row r="467" spans="1:4">
      <c r="A467" s="307">
        <v>18540</v>
      </c>
      <c r="B467" t="s">
        <v>4252</v>
      </c>
      <c r="C467" s="308" t="s">
        <v>1738</v>
      </c>
      <c r="D467" s="523"/>
    </row>
    <row r="468" spans="1:4">
      <c r="A468" s="307">
        <v>2770</v>
      </c>
      <c r="B468" t="s">
        <v>713</v>
      </c>
      <c r="C468" s="308" t="s">
        <v>1736</v>
      </c>
      <c r="D468" s="523"/>
    </row>
    <row r="469" spans="1:4">
      <c r="A469" s="813">
        <v>20407</v>
      </c>
      <c r="B469" s="813" t="s">
        <v>8376</v>
      </c>
      <c r="C469" s="308" t="s">
        <v>1740</v>
      </c>
      <c r="D469" s="523"/>
    </row>
    <row r="470" spans="1:4">
      <c r="A470" s="307">
        <v>2686</v>
      </c>
      <c r="B470" t="s">
        <v>4071</v>
      </c>
      <c r="C470" s="308" t="s">
        <v>2314</v>
      </c>
      <c r="D470" s="523"/>
    </row>
    <row r="471" spans="1:4">
      <c r="A471" s="307">
        <v>2658</v>
      </c>
      <c r="B471" t="s">
        <v>4072</v>
      </c>
      <c r="C471" s="308" t="s">
        <v>1736</v>
      </c>
      <c r="D471" s="523"/>
    </row>
    <row r="472" spans="1:4">
      <c r="A472" s="307">
        <v>3623</v>
      </c>
      <c r="B472" t="s">
        <v>1053</v>
      </c>
      <c r="C472" s="308" t="s">
        <v>1738</v>
      </c>
      <c r="D472" s="523"/>
    </row>
    <row r="473" spans="1:4">
      <c r="A473" s="307">
        <v>2115</v>
      </c>
      <c r="B473" t="s">
        <v>1243</v>
      </c>
      <c r="C473" s="308" t="s">
        <v>2323</v>
      </c>
      <c r="D473" s="523"/>
    </row>
    <row r="474" spans="1:4">
      <c r="A474" s="307">
        <v>3619</v>
      </c>
      <c r="B474" t="s">
        <v>4073</v>
      </c>
      <c r="C474" s="308" t="s">
        <v>1736</v>
      </c>
      <c r="D474" s="523"/>
    </row>
    <row r="475" spans="1:4">
      <c r="A475" s="307">
        <v>2290</v>
      </c>
      <c r="B475" t="s">
        <v>4023</v>
      </c>
      <c r="C475" s="308" t="s">
        <v>2319</v>
      </c>
      <c r="D475" s="523"/>
    </row>
    <row r="476" spans="1:4">
      <c r="A476" s="307">
        <v>3643</v>
      </c>
      <c r="B476" t="s">
        <v>3873</v>
      </c>
      <c r="C476" s="308"/>
      <c r="D476" s="523"/>
    </row>
    <row r="477" spans="1:4">
      <c r="A477" s="307">
        <v>15344</v>
      </c>
      <c r="B477" t="s">
        <v>4253</v>
      </c>
      <c r="C477" s="308" t="s">
        <v>1741</v>
      </c>
      <c r="D477" s="523"/>
    </row>
    <row r="478" spans="1:4">
      <c r="A478" s="307">
        <v>15059</v>
      </c>
      <c r="B478" t="s">
        <v>6786</v>
      </c>
      <c r="C478" s="308"/>
      <c r="D478" s="523"/>
    </row>
    <row r="479" spans="1:4">
      <c r="A479" s="307">
        <v>3178</v>
      </c>
      <c r="B479" t="s">
        <v>4254</v>
      </c>
      <c r="C479" s="308" t="s">
        <v>1738</v>
      </c>
      <c r="D479" s="523"/>
    </row>
    <row r="480" spans="1:4">
      <c r="A480" s="307">
        <v>3154</v>
      </c>
      <c r="B480" t="s">
        <v>3153</v>
      </c>
      <c r="C480" s="308" t="s">
        <v>1738</v>
      </c>
      <c r="D480" s="523"/>
    </row>
    <row r="481" spans="1:4">
      <c r="A481" s="307">
        <v>2204</v>
      </c>
      <c r="B481" t="s">
        <v>712</v>
      </c>
      <c r="C481" s="308" t="s">
        <v>3786</v>
      </c>
      <c r="D481" s="523"/>
    </row>
    <row r="482" spans="1:4">
      <c r="A482" s="307">
        <v>2879</v>
      </c>
      <c r="B482" t="s">
        <v>4255</v>
      </c>
      <c r="C482" s="308" t="s">
        <v>1738</v>
      </c>
      <c r="D482" s="523"/>
    </row>
    <row r="483" spans="1:4">
      <c r="A483" s="307">
        <v>2170</v>
      </c>
      <c r="B483" t="s">
        <v>930</v>
      </c>
      <c r="C483" s="308" t="s">
        <v>1738</v>
      </c>
      <c r="D483" s="523"/>
    </row>
    <row r="484" spans="1:4">
      <c r="A484" s="307">
        <v>2622</v>
      </c>
      <c r="B484" t="s">
        <v>4165</v>
      </c>
      <c r="C484" s="308" t="s">
        <v>1737</v>
      </c>
      <c r="D484" s="523"/>
    </row>
    <row r="485" spans="1:4">
      <c r="A485" s="307">
        <v>2175</v>
      </c>
      <c r="B485" t="s">
        <v>3475</v>
      </c>
      <c r="C485" s="308" t="s">
        <v>1738</v>
      </c>
      <c r="D485" s="523"/>
    </row>
    <row r="486" spans="1:4">
      <c r="A486" s="307">
        <v>2967</v>
      </c>
      <c r="B486" t="s">
        <v>2549</v>
      </c>
      <c r="C486" s="308" t="s">
        <v>5194</v>
      </c>
      <c r="D486" s="523"/>
    </row>
    <row r="487" spans="1:4">
      <c r="A487" s="307">
        <v>13604</v>
      </c>
      <c r="B487" t="s">
        <v>8879</v>
      </c>
      <c r="C487" s="308" t="s">
        <v>4282</v>
      </c>
      <c r="D487" s="523"/>
    </row>
    <row r="488" spans="1:4">
      <c r="A488" s="307">
        <v>3084</v>
      </c>
      <c r="B488" t="s">
        <v>4256</v>
      </c>
      <c r="C488" s="308" t="s">
        <v>1738</v>
      </c>
      <c r="D488" s="523"/>
    </row>
    <row r="489" spans="1:4">
      <c r="A489" s="307">
        <v>2382</v>
      </c>
      <c r="B489" t="s">
        <v>1127</v>
      </c>
      <c r="C489" s="308" t="s">
        <v>1738</v>
      </c>
      <c r="D489" s="523"/>
    </row>
    <row r="490" spans="1:4">
      <c r="A490" s="813">
        <v>2165</v>
      </c>
      <c r="B490" s="813" t="s">
        <v>6787</v>
      </c>
      <c r="C490" s="308" t="s">
        <v>5194</v>
      </c>
      <c r="D490" s="523"/>
    </row>
    <row r="491" spans="1:4">
      <c r="A491" s="307">
        <v>2165</v>
      </c>
      <c r="B491" t="s">
        <v>6787</v>
      </c>
      <c r="C491" s="308"/>
      <c r="D491" s="523"/>
    </row>
    <row r="492" spans="1:4">
      <c r="A492" s="307">
        <v>3058</v>
      </c>
      <c r="B492" t="s">
        <v>1401</v>
      </c>
      <c r="C492" s="308" t="s">
        <v>1738</v>
      </c>
      <c r="D492" s="523"/>
    </row>
    <row r="493" spans="1:4">
      <c r="A493" s="307">
        <v>14485</v>
      </c>
      <c r="B493" t="s">
        <v>4257</v>
      </c>
      <c r="C493" s="308" t="s">
        <v>1738</v>
      </c>
      <c r="D493" s="523"/>
    </row>
    <row r="494" spans="1:4">
      <c r="A494" s="307">
        <v>19316</v>
      </c>
      <c r="B494" t="s">
        <v>8903</v>
      </c>
      <c r="C494" s="308" t="s">
        <v>4282</v>
      </c>
      <c r="D494" s="523"/>
    </row>
    <row r="495" spans="1:4">
      <c r="A495" s="403">
        <v>20548</v>
      </c>
      <c r="B495" s="403" t="s">
        <v>9167</v>
      </c>
      <c r="C495" s="308" t="s">
        <v>1740</v>
      </c>
      <c r="D495" s="523"/>
    </row>
    <row r="496" spans="1:4">
      <c r="A496" s="307">
        <v>2673</v>
      </c>
      <c r="B496" t="s">
        <v>730</v>
      </c>
      <c r="C496" s="308" t="s">
        <v>2316</v>
      </c>
      <c r="D496" s="523"/>
    </row>
    <row r="497" spans="1:4">
      <c r="A497" s="307">
        <v>15171</v>
      </c>
      <c r="B497" t="s">
        <v>8905</v>
      </c>
      <c r="C497" s="308" t="s">
        <v>4282</v>
      </c>
      <c r="D497" s="523"/>
    </row>
    <row r="498" spans="1:4">
      <c r="A498" s="307">
        <v>11426</v>
      </c>
      <c r="B498" t="s">
        <v>4258</v>
      </c>
      <c r="C498" s="308" t="s">
        <v>5194</v>
      </c>
      <c r="D498" s="523"/>
    </row>
    <row r="499" spans="1:4">
      <c r="A499" s="307">
        <v>12490</v>
      </c>
      <c r="B499" t="s">
        <v>8865</v>
      </c>
      <c r="C499" s="308" t="s">
        <v>4282</v>
      </c>
      <c r="D499" s="523"/>
    </row>
    <row r="500" spans="1:4">
      <c r="A500" s="307">
        <v>3558</v>
      </c>
      <c r="B500" t="s">
        <v>4259</v>
      </c>
      <c r="C500" s="308" t="s">
        <v>1736</v>
      </c>
      <c r="D500" s="523"/>
    </row>
    <row r="501" spans="1:4">
      <c r="A501" s="307">
        <v>2695</v>
      </c>
      <c r="B501" t="s">
        <v>4260</v>
      </c>
      <c r="C501" s="308" t="s">
        <v>1738</v>
      </c>
      <c r="D501" s="523"/>
    </row>
    <row r="502" spans="1:4">
      <c r="A502" s="813">
        <v>20606</v>
      </c>
      <c r="B502" s="813" t="s">
        <v>9177</v>
      </c>
      <c r="C502" s="308" t="s">
        <v>2322</v>
      </c>
      <c r="D502" s="523"/>
    </row>
    <row r="503" spans="1:4">
      <c r="A503" s="307">
        <v>2270</v>
      </c>
      <c r="B503" t="s">
        <v>3710</v>
      </c>
      <c r="C503" s="308" t="s">
        <v>1738</v>
      </c>
      <c r="D503" s="523"/>
    </row>
    <row r="504" spans="1:4">
      <c r="A504" s="307">
        <v>3060</v>
      </c>
      <c r="B504" t="s">
        <v>5429</v>
      </c>
      <c r="C504" s="308" t="s">
        <v>1738</v>
      </c>
      <c r="D504" s="523"/>
    </row>
    <row r="505" spans="1:4">
      <c r="A505" s="307">
        <v>3321</v>
      </c>
      <c r="B505" t="s">
        <v>2930</v>
      </c>
      <c r="C505" s="308" t="s">
        <v>1738</v>
      </c>
      <c r="D505" s="523"/>
    </row>
    <row r="506" spans="1:4">
      <c r="A506" s="307">
        <v>2332</v>
      </c>
      <c r="B506" t="s">
        <v>3705</v>
      </c>
      <c r="C506" s="308" t="s">
        <v>1738</v>
      </c>
      <c r="D506" s="523"/>
    </row>
    <row r="507" spans="1:4">
      <c r="A507" s="307">
        <v>3133</v>
      </c>
      <c r="B507" t="s">
        <v>3521</v>
      </c>
      <c r="C507" s="308" t="s">
        <v>1738</v>
      </c>
      <c r="D507" s="523"/>
    </row>
    <row r="508" spans="1:4">
      <c r="A508" s="307">
        <v>3066</v>
      </c>
      <c r="B508" t="s">
        <v>1575</v>
      </c>
      <c r="C508" s="308" t="s">
        <v>1738</v>
      </c>
      <c r="D508" s="523"/>
    </row>
    <row r="509" spans="1:4">
      <c r="A509" s="307">
        <v>3116</v>
      </c>
      <c r="B509" t="s">
        <v>2055</v>
      </c>
      <c r="C509" s="308" t="s">
        <v>1738</v>
      </c>
      <c r="D509" s="523"/>
    </row>
    <row r="510" spans="1:4">
      <c r="A510" s="307">
        <v>18581</v>
      </c>
      <c r="B510" t="s">
        <v>528</v>
      </c>
      <c r="C510" s="308" t="s">
        <v>1738</v>
      </c>
      <c r="D510" s="523"/>
    </row>
    <row r="511" spans="1:4">
      <c r="A511" s="307">
        <v>2117</v>
      </c>
      <c r="B511" t="s">
        <v>6542</v>
      </c>
      <c r="C511" s="308"/>
      <c r="D511" s="523"/>
    </row>
    <row r="512" spans="1:4">
      <c r="A512" s="307">
        <v>2258</v>
      </c>
      <c r="B512" t="s">
        <v>3846</v>
      </c>
      <c r="C512" s="308" t="s">
        <v>1738</v>
      </c>
      <c r="D512" s="523"/>
    </row>
    <row r="513" spans="1:4">
      <c r="A513" s="307">
        <v>2705</v>
      </c>
      <c r="B513" t="s">
        <v>6653</v>
      </c>
      <c r="C513" s="308"/>
      <c r="D513" s="523"/>
    </row>
    <row r="514" spans="1:4">
      <c r="A514" s="307">
        <v>2552</v>
      </c>
      <c r="B514" t="s">
        <v>3315</v>
      </c>
      <c r="C514" s="308" t="s">
        <v>1741</v>
      </c>
      <c r="D514" s="523"/>
    </row>
    <row r="515" spans="1:4">
      <c r="A515" s="307">
        <v>6614</v>
      </c>
      <c r="B515" t="s">
        <v>6655</v>
      </c>
      <c r="C515" s="308"/>
      <c r="D515" s="523"/>
    </row>
    <row r="516" spans="1:4">
      <c r="A516" s="307">
        <v>14918</v>
      </c>
      <c r="B516" t="s">
        <v>4261</v>
      </c>
      <c r="C516" s="308" t="s">
        <v>1738</v>
      </c>
      <c r="D516" s="523"/>
    </row>
    <row r="517" spans="1:4">
      <c r="A517" s="307">
        <v>3531</v>
      </c>
      <c r="B517" t="s">
        <v>5026</v>
      </c>
      <c r="C517" s="308" t="s">
        <v>2314</v>
      </c>
      <c r="D517" s="523"/>
    </row>
    <row r="518" spans="1:4">
      <c r="A518" s="307">
        <v>3518</v>
      </c>
      <c r="B518" t="s">
        <v>4262</v>
      </c>
      <c r="C518" s="308" t="s">
        <v>2318</v>
      </c>
      <c r="D518" s="523"/>
    </row>
    <row r="519" spans="1:4">
      <c r="A519" s="307">
        <v>3298</v>
      </c>
      <c r="B519" t="s">
        <v>2861</v>
      </c>
      <c r="C519" s="308" t="s">
        <v>2843</v>
      </c>
      <c r="D519" s="523"/>
    </row>
    <row r="520" spans="1:4">
      <c r="A520" s="307">
        <v>3403</v>
      </c>
      <c r="B520" t="s">
        <v>4263</v>
      </c>
      <c r="C520" s="308" t="s">
        <v>2322</v>
      </c>
      <c r="D520" s="523"/>
    </row>
    <row r="521" spans="1:4">
      <c r="A521" s="307">
        <v>10411</v>
      </c>
      <c r="B521" t="s">
        <v>8842</v>
      </c>
      <c r="C521" s="308" t="s">
        <v>3786</v>
      </c>
      <c r="D521" s="523"/>
    </row>
    <row r="522" spans="1:4">
      <c r="A522" s="307">
        <v>3416</v>
      </c>
      <c r="B522" t="s">
        <v>3063</v>
      </c>
      <c r="C522" s="308"/>
      <c r="D522" s="523"/>
    </row>
    <row r="523" spans="1:4">
      <c r="A523" s="307">
        <v>3262</v>
      </c>
      <c r="B523" t="s">
        <v>3180</v>
      </c>
      <c r="C523" s="308" t="s">
        <v>1738</v>
      </c>
      <c r="D523" s="523"/>
    </row>
    <row r="524" spans="1:4">
      <c r="A524" s="307">
        <v>3476</v>
      </c>
      <c r="B524" t="s">
        <v>3365</v>
      </c>
      <c r="C524" s="308" t="s">
        <v>2311</v>
      </c>
      <c r="D524" s="523"/>
    </row>
    <row r="525" spans="1:4">
      <c r="A525" s="307">
        <v>3635</v>
      </c>
      <c r="B525" t="s">
        <v>4264</v>
      </c>
      <c r="C525" s="308" t="s">
        <v>1738</v>
      </c>
      <c r="D525" s="523"/>
    </row>
    <row r="526" spans="1:4">
      <c r="A526" s="307">
        <v>3442</v>
      </c>
      <c r="B526" t="s">
        <v>1054</v>
      </c>
      <c r="C526" s="308" t="s">
        <v>2312</v>
      </c>
      <c r="D526" s="523"/>
    </row>
    <row r="527" spans="1:4">
      <c r="A527" s="307">
        <v>2773</v>
      </c>
      <c r="B527" t="s">
        <v>2684</v>
      </c>
      <c r="C527" s="308"/>
      <c r="D527" s="523"/>
    </row>
    <row r="528" spans="1:4">
      <c r="A528" s="307">
        <v>2285</v>
      </c>
      <c r="B528" t="s">
        <v>4265</v>
      </c>
      <c r="C528" s="308" t="s">
        <v>1738</v>
      </c>
      <c r="D528" s="523"/>
    </row>
    <row r="529" spans="1:4">
      <c r="A529" s="307">
        <v>10215</v>
      </c>
      <c r="B529" t="s">
        <v>8838</v>
      </c>
      <c r="C529" s="308" t="s">
        <v>4282</v>
      </c>
      <c r="D529" s="523"/>
    </row>
    <row r="530" spans="1:4">
      <c r="A530" s="307">
        <v>13290</v>
      </c>
      <c r="B530" t="s">
        <v>4739</v>
      </c>
      <c r="C530" s="308" t="s">
        <v>1738</v>
      </c>
      <c r="D530" s="523"/>
    </row>
    <row r="531" spans="1:4">
      <c r="A531" s="307">
        <v>3087</v>
      </c>
      <c r="B531" t="s">
        <v>5172</v>
      </c>
      <c r="C531" s="308"/>
      <c r="D531" s="523"/>
    </row>
    <row r="532" spans="1:4">
      <c r="A532" s="307">
        <v>3061</v>
      </c>
      <c r="B532" t="s">
        <v>6791</v>
      </c>
      <c r="C532" s="308"/>
      <c r="D532" s="523"/>
    </row>
    <row r="533" spans="1:4">
      <c r="A533" s="307">
        <v>14682</v>
      </c>
      <c r="B533" t="s">
        <v>6682</v>
      </c>
      <c r="C533" s="308"/>
      <c r="D533" s="523"/>
    </row>
    <row r="534" spans="1:4">
      <c r="A534" s="307">
        <v>2457</v>
      </c>
      <c r="B534" t="s">
        <v>1487</v>
      </c>
      <c r="C534" s="308" t="s">
        <v>1738</v>
      </c>
      <c r="D534" s="523"/>
    </row>
    <row r="535" spans="1:4">
      <c r="A535" s="307">
        <v>18731</v>
      </c>
      <c r="B535" t="s">
        <v>4266</v>
      </c>
      <c r="C535" s="308" t="s">
        <v>1738</v>
      </c>
      <c r="D535" s="523"/>
    </row>
    <row r="536" spans="1:4">
      <c r="A536" s="307">
        <v>2071</v>
      </c>
      <c r="B536" t="s">
        <v>1045</v>
      </c>
      <c r="C536" s="308" t="s">
        <v>1738</v>
      </c>
      <c r="D536" s="523"/>
    </row>
    <row r="537" spans="1:4">
      <c r="A537" s="307">
        <v>2070</v>
      </c>
      <c r="B537" t="s">
        <v>3312</v>
      </c>
      <c r="C537" s="308" t="s">
        <v>1738</v>
      </c>
      <c r="D537" s="523"/>
    </row>
    <row r="538" spans="1:4">
      <c r="A538" s="307">
        <v>12670</v>
      </c>
      <c r="B538" t="s">
        <v>6792</v>
      </c>
      <c r="C538" s="308"/>
      <c r="D538" s="523"/>
    </row>
    <row r="539" spans="1:4">
      <c r="A539" s="307">
        <v>2768</v>
      </c>
      <c r="B539" t="s">
        <v>714</v>
      </c>
      <c r="C539" s="308" t="s">
        <v>1736</v>
      </c>
      <c r="D539" s="523"/>
    </row>
    <row r="540" spans="1:4">
      <c r="A540" s="307">
        <v>2951</v>
      </c>
      <c r="B540" t="s">
        <v>6687</v>
      </c>
      <c r="C540" s="308"/>
      <c r="D540" s="523"/>
    </row>
    <row r="541" spans="1:4">
      <c r="A541" s="307">
        <v>15287</v>
      </c>
      <c r="B541" t="s">
        <v>4267</v>
      </c>
      <c r="C541" s="308" t="s">
        <v>434</v>
      </c>
      <c r="D541" s="523"/>
    </row>
    <row r="542" spans="1:4">
      <c r="A542" s="307">
        <v>2289</v>
      </c>
      <c r="B542" t="s">
        <v>2247</v>
      </c>
      <c r="C542" s="308" t="s">
        <v>1738</v>
      </c>
      <c r="D542" s="523"/>
    </row>
    <row r="543" spans="1:4">
      <c r="A543" s="307">
        <v>3085</v>
      </c>
      <c r="B543" t="s">
        <v>4268</v>
      </c>
      <c r="C543" s="308" t="s">
        <v>2319</v>
      </c>
      <c r="D543" s="523"/>
    </row>
    <row r="544" spans="1:4">
      <c r="A544" s="307">
        <v>2193</v>
      </c>
      <c r="B544" t="s">
        <v>4269</v>
      </c>
      <c r="C544" s="308" t="s">
        <v>1738</v>
      </c>
      <c r="D544" s="523"/>
    </row>
    <row r="545" spans="1:4">
      <c r="A545" s="307">
        <v>3062</v>
      </c>
      <c r="B545" t="s">
        <v>3181</v>
      </c>
      <c r="C545" s="308" t="s">
        <v>1738</v>
      </c>
      <c r="D545" s="523"/>
    </row>
    <row r="546" spans="1:4">
      <c r="A546" s="307">
        <v>2697</v>
      </c>
      <c r="B546" t="s">
        <v>3366</v>
      </c>
      <c r="C546" s="308" t="s">
        <v>1738</v>
      </c>
      <c r="D546" s="523"/>
    </row>
    <row r="547" spans="1:4">
      <c r="A547" s="307">
        <v>3500</v>
      </c>
      <c r="B547" t="s">
        <v>5069</v>
      </c>
      <c r="C547" s="308" t="s">
        <v>1736</v>
      </c>
      <c r="D547" s="523"/>
    </row>
    <row r="548" spans="1:4">
      <c r="A548" s="307">
        <v>2069</v>
      </c>
      <c r="B548" t="s">
        <v>3223</v>
      </c>
      <c r="C548" s="308" t="s">
        <v>1738</v>
      </c>
      <c r="D548" s="523"/>
    </row>
    <row r="549" spans="1:4">
      <c r="A549" s="307">
        <v>12812</v>
      </c>
      <c r="B549" t="s">
        <v>6793</v>
      </c>
      <c r="C549" s="308"/>
      <c r="D549" s="523"/>
    </row>
    <row r="550" spans="1:4">
      <c r="A550" s="307">
        <v>18994</v>
      </c>
      <c r="B550" t="s">
        <v>4271</v>
      </c>
      <c r="C550" s="308" t="s">
        <v>2314</v>
      </c>
      <c r="D550" s="523"/>
    </row>
    <row r="551" spans="1:4">
      <c r="A551" s="307">
        <v>3464</v>
      </c>
      <c r="B551" t="s">
        <v>4273</v>
      </c>
      <c r="C551" s="308" t="s">
        <v>2311</v>
      </c>
      <c r="D551" s="523"/>
    </row>
    <row r="552" spans="1:4">
      <c r="A552" s="307">
        <v>11186</v>
      </c>
      <c r="B552" t="s">
        <v>8856</v>
      </c>
      <c r="C552" s="308" t="s">
        <v>4282</v>
      </c>
      <c r="D552" s="523"/>
    </row>
    <row r="553" spans="1:4">
      <c r="A553" s="307">
        <v>2672</v>
      </c>
      <c r="B553" t="s">
        <v>4274</v>
      </c>
      <c r="C553" s="308" t="s">
        <v>2316</v>
      </c>
      <c r="D553" s="523"/>
    </row>
    <row r="554" spans="1:4">
      <c r="A554" s="307">
        <v>19261</v>
      </c>
      <c r="B554" t="s">
        <v>6794</v>
      </c>
      <c r="C554" s="308"/>
      <c r="D554" s="523"/>
    </row>
    <row r="555" spans="1:4">
      <c r="A555" s="307">
        <v>6823</v>
      </c>
      <c r="B555" t="s">
        <v>6795</v>
      </c>
      <c r="C555" s="308"/>
      <c r="D555" s="523"/>
    </row>
    <row r="556" spans="1:4">
      <c r="A556" s="307">
        <v>18539</v>
      </c>
      <c r="B556" t="s">
        <v>1163</v>
      </c>
      <c r="C556" s="308"/>
      <c r="D556" s="523"/>
    </row>
    <row r="557" spans="1:4">
      <c r="A557" s="307">
        <v>2075</v>
      </c>
      <c r="B557" t="s">
        <v>2467</v>
      </c>
      <c r="C557" s="308"/>
      <c r="D557" s="523"/>
    </row>
    <row r="558" spans="1:4">
      <c r="A558" s="307">
        <v>2154</v>
      </c>
      <c r="B558" t="s">
        <v>3224</v>
      </c>
      <c r="C558" s="308" t="s">
        <v>1738</v>
      </c>
      <c r="D558" s="523"/>
    </row>
    <row r="559" spans="1:4">
      <c r="A559" s="307">
        <v>3054</v>
      </c>
      <c r="B559" t="s">
        <v>4275</v>
      </c>
      <c r="C559" s="308" t="s">
        <v>1738</v>
      </c>
      <c r="D559" s="523"/>
    </row>
    <row r="560" spans="1:4">
      <c r="A560" s="307">
        <v>3218</v>
      </c>
      <c r="B560" t="s">
        <v>4276</v>
      </c>
      <c r="C560" s="308" t="s">
        <v>1738</v>
      </c>
      <c r="D560" s="523"/>
    </row>
    <row r="561" spans="1:4">
      <c r="A561" s="307">
        <v>12291</v>
      </c>
      <c r="B561" t="s">
        <v>1156</v>
      </c>
      <c r="C561" s="308" t="s">
        <v>1738</v>
      </c>
      <c r="D561" s="523"/>
    </row>
    <row r="562" spans="1:4">
      <c r="A562" s="307">
        <v>13123</v>
      </c>
      <c r="B562" t="s">
        <v>6796</v>
      </c>
      <c r="C562" s="308"/>
      <c r="D562" s="523"/>
    </row>
    <row r="563" spans="1:4">
      <c r="A563" s="307">
        <v>6822</v>
      </c>
      <c r="B563" t="s">
        <v>6797</v>
      </c>
      <c r="C563" s="308"/>
      <c r="D563" s="523"/>
    </row>
    <row r="564" spans="1:4">
      <c r="A564" s="307">
        <v>14683</v>
      </c>
      <c r="B564" t="s">
        <v>8893</v>
      </c>
      <c r="C564" s="308" t="s">
        <v>4282</v>
      </c>
      <c r="D564" s="523"/>
    </row>
    <row r="565" spans="1:4">
      <c r="A565" s="813">
        <v>20630</v>
      </c>
      <c r="B565" s="813" t="s">
        <v>9179</v>
      </c>
      <c r="C565" s="308" t="s">
        <v>1738</v>
      </c>
      <c r="D565" s="523"/>
    </row>
    <row r="566" spans="1:4">
      <c r="A566" s="307">
        <v>3216</v>
      </c>
      <c r="B566" t="s">
        <v>5456</v>
      </c>
      <c r="C566" s="308" t="s">
        <v>1738</v>
      </c>
      <c r="D566" s="523"/>
    </row>
    <row r="567" spans="1:4">
      <c r="A567" s="307">
        <v>12500</v>
      </c>
      <c r="B567" t="s">
        <v>8867</v>
      </c>
      <c r="C567" s="308" t="s">
        <v>4282</v>
      </c>
      <c r="D567" s="523"/>
    </row>
    <row r="568" spans="1:4">
      <c r="A568" s="307">
        <v>2980</v>
      </c>
      <c r="B568" t="s">
        <v>4427</v>
      </c>
      <c r="C568" s="308" t="s">
        <v>1738</v>
      </c>
      <c r="D568" s="523"/>
    </row>
    <row r="569" spans="1:4">
      <c r="A569" s="307">
        <v>6820</v>
      </c>
      <c r="B569" t="s">
        <v>6704</v>
      </c>
      <c r="C569" s="308"/>
      <c r="D569" s="523"/>
    </row>
    <row r="570" spans="1:4">
      <c r="A570" s="307">
        <v>3443</v>
      </c>
      <c r="B570" t="s">
        <v>3150</v>
      </c>
      <c r="C570" s="308" t="s">
        <v>2312</v>
      </c>
      <c r="D570" s="523"/>
    </row>
    <row r="571" spans="1:4">
      <c r="A571" s="307">
        <v>2928</v>
      </c>
      <c r="B571" t="s">
        <v>5457</v>
      </c>
      <c r="C571" s="308" t="s">
        <v>2323</v>
      </c>
      <c r="D571" s="523"/>
    </row>
    <row r="572" spans="1:4">
      <c r="A572" s="307">
        <v>13169</v>
      </c>
      <c r="B572" t="s">
        <v>4277</v>
      </c>
      <c r="C572" s="308" t="s">
        <v>1738</v>
      </c>
      <c r="D572" s="523"/>
    </row>
    <row r="573" spans="1:4">
      <c r="A573" s="307">
        <v>3493</v>
      </c>
      <c r="B573" t="s">
        <v>1276</v>
      </c>
      <c r="C573" s="308" t="s">
        <v>1738</v>
      </c>
      <c r="D573" s="523"/>
    </row>
    <row r="574" spans="1:4">
      <c r="A574" s="307">
        <v>2563</v>
      </c>
      <c r="B574" t="s">
        <v>3155</v>
      </c>
      <c r="C574" s="308" t="s">
        <v>1738</v>
      </c>
      <c r="D574" s="523"/>
    </row>
    <row r="575" spans="1:4">
      <c r="A575" s="813">
        <v>18786</v>
      </c>
      <c r="B575" s="813" t="s">
        <v>4620</v>
      </c>
      <c r="C575" s="308" t="s">
        <v>1738</v>
      </c>
      <c r="D575" s="523"/>
    </row>
    <row r="576" spans="1:4">
      <c r="A576" s="307">
        <v>13278</v>
      </c>
      <c r="B576" t="s">
        <v>3522</v>
      </c>
      <c r="C576" s="308" t="s">
        <v>1738</v>
      </c>
      <c r="D576" s="523"/>
    </row>
    <row r="577" spans="1:4">
      <c r="A577" s="307">
        <v>18520</v>
      </c>
      <c r="B577" t="s">
        <v>5992</v>
      </c>
      <c r="C577" s="308"/>
      <c r="D577" s="523"/>
    </row>
    <row r="578" spans="1:4">
      <c r="A578" s="307">
        <v>2946</v>
      </c>
      <c r="B578" t="s">
        <v>912</v>
      </c>
      <c r="C578" s="308" t="s">
        <v>1738</v>
      </c>
      <c r="D578" s="523"/>
    </row>
    <row r="579" spans="1:4">
      <c r="A579" s="307">
        <v>3522</v>
      </c>
      <c r="B579" t="s">
        <v>6798</v>
      </c>
      <c r="C579" s="308" t="s">
        <v>2318</v>
      </c>
      <c r="D579" s="523"/>
    </row>
    <row r="580" spans="1:4">
      <c r="A580" s="307">
        <v>3522</v>
      </c>
      <c r="B580" t="s">
        <v>6798</v>
      </c>
      <c r="C580" s="308"/>
      <c r="D580" s="523"/>
    </row>
    <row r="581" spans="1:4">
      <c r="A581" s="307">
        <v>17807</v>
      </c>
      <c r="B581" t="s">
        <v>8897</v>
      </c>
      <c r="C581" s="308" t="s">
        <v>1736</v>
      </c>
      <c r="D581" s="523"/>
    </row>
    <row r="582" spans="1:4">
      <c r="A582" s="307">
        <v>2421</v>
      </c>
      <c r="B582" t="s">
        <v>490</v>
      </c>
      <c r="C582" s="308" t="s">
        <v>1738</v>
      </c>
      <c r="D582" s="523"/>
    </row>
    <row r="583" spans="1:4">
      <c r="A583" s="307">
        <v>3540</v>
      </c>
      <c r="B583" t="s">
        <v>1482</v>
      </c>
      <c r="C583" s="308" t="s">
        <v>1736</v>
      </c>
      <c r="D583" s="523"/>
    </row>
    <row r="584" spans="1:4">
      <c r="A584" s="307">
        <v>15973</v>
      </c>
      <c r="B584" t="s">
        <v>3323</v>
      </c>
      <c r="C584" s="308"/>
      <c r="D584" s="523"/>
    </row>
    <row r="585" spans="1:4">
      <c r="A585" s="307">
        <v>14618</v>
      </c>
      <c r="B585" t="s">
        <v>4278</v>
      </c>
      <c r="C585" s="308" t="s">
        <v>1736</v>
      </c>
      <c r="D585" s="523"/>
    </row>
    <row r="586" spans="1:4">
      <c r="A586" s="307">
        <v>2777</v>
      </c>
      <c r="B586" t="s">
        <v>4074</v>
      </c>
      <c r="C586" s="308"/>
      <c r="D586" s="523"/>
    </row>
    <row r="587" spans="1:4">
      <c r="A587" s="307">
        <v>3630</v>
      </c>
      <c r="B587" t="s">
        <v>5993</v>
      </c>
      <c r="C587" s="308"/>
      <c r="D587" s="523"/>
    </row>
    <row r="588" spans="1:4">
      <c r="A588" s="307">
        <v>15981</v>
      </c>
      <c r="B588" t="s">
        <v>6799</v>
      </c>
      <c r="C588" s="308"/>
      <c r="D588" s="523"/>
    </row>
    <row r="589" spans="1:4">
      <c r="A589" s="307">
        <v>18535</v>
      </c>
      <c r="B589" t="s">
        <v>4279</v>
      </c>
      <c r="C589" s="308" t="s">
        <v>1738</v>
      </c>
      <c r="D589" s="523"/>
    </row>
    <row r="590" spans="1:4">
      <c r="A590" s="307">
        <v>17580</v>
      </c>
      <c r="B590" t="s">
        <v>4280</v>
      </c>
      <c r="C590" s="308" t="s">
        <v>1738</v>
      </c>
      <c r="D590" s="523"/>
    </row>
    <row r="591" spans="1:4">
      <c r="A591" s="307">
        <v>16672</v>
      </c>
      <c r="B591" t="s">
        <v>4281</v>
      </c>
      <c r="C591" s="308" t="s">
        <v>4282</v>
      </c>
      <c r="D591" s="523"/>
    </row>
    <row r="592" spans="1:4">
      <c r="A592" s="307">
        <v>2973</v>
      </c>
      <c r="B592" t="s">
        <v>6632</v>
      </c>
      <c r="C592" s="308"/>
      <c r="D592" s="523"/>
    </row>
    <row r="593" spans="1:4">
      <c r="A593" s="307">
        <v>10120</v>
      </c>
      <c r="B593" t="s">
        <v>931</v>
      </c>
      <c r="C593" s="308" t="s">
        <v>1738</v>
      </c>
      <c r="D593" s="523"/>
    </row>
    <row r="594" spans="1:4">
      <c r="A594" s="307">
        <v>14516</v>
      </c>
      <c r="B594" t="s">
        <v>4283</v>
      </c>
      <c r="C594" s="308" t="s">
        <v>1738</v>
      </c>
      <c r="D594" s="523"/>
    </row>
    <row r="595" spans="1:4">
      <c r="A595" s="307">
        <v>2370</v>
      </c>
      <c r="B595" t="s">
        <v>1082</v>
      </c>
      <c r="C595" s="308" t="s">
        <v>1738</v>
      </c>
      <c r="D595" s="523"/>
    </row>
    <row r="596" spans="1:4">
      <c r="A596" s="307">
        <v>2878</v>
      </c>
      <c r="B596" t="s">
        <v>2633</v>
      </c>
      <c r="C596" s="308"/>
      <c r="D596" s="523"/>
    </row>
    <row r="597" spans="1:4">
      <c r="A597" s="307">
        <v>2316</v>
      </c>
      <c r="B597" t="s">
        <v>4721</v>
      </c>
      <c r="C597" s="308" t="s">
        <v>1738</v>
      </c>
      <c r="D597" s="523"/>
    </row>
    <row r="598" spans="1:4">
      <c r="A598" s="307">
        <v>2132</v>
      </c>
      <c r="B598" t="s">
        <v>3226</v>
      </c>
      <c r="C598" s="308" t="s">
        <v>1738</v>
      </c>
      <c r="D598" s="523"/>
    </row>
    <row r="599" spans="1:4">
      <c r="A599" s="307">
        <v>3404</v>
      </c>
      <c r="B599" t="s">
        <v>2543</v>
      </c>
      <c r="C599" s="308" t="s">
        <v>2322</v>
      </c>
      <c r="D599" s="523"/>
    </row>
    <row r="600" spans="1:4">
      <c r="A600" s="307">
        <v>2351</v>
      </c>
      <c r="B600" t="s">
        <v>2955</v>
      </c>
      <c r="C600" s="308"/>
      <c r="D600" s="523"/>
    </row>
    <row r="601" spans="1:4">
      <c r="A601" s="307">
        <v>3263</v>
      </c>
      <c r="B601" t="s">
        <v>4284</v>
      </c>
      <c r="C601" s="308" t="s">
        <v>1738</v>
      </c>
      <c r="D601" s="523"/>
    </row>
    <row r="602" spans="1:4">
      <c r="A602" s="307">
        <v>2173</v>
      </c>
      <c r="B602" t="s">
        <v>2550</v>
      </c>
      <c r="C602" s="308" t="s">
        <v>1738</v>
      </c>
      <c r="D602" s="523"/>
    </row>
    <row r="603" spans="1:4">
      <c r="A603" s="307">
        <v>2624</v>
      </c>
      <c r="B603" t="s">
        <v>4285</v>
      </c>
      <c r="C603" s="308" t="s">
        <v>1737</v>
      </c>
      <c r="D603" s="523"/>
    </row>
    <row r="604" spans="1:4">
      <c r="A604" s="307">
        <v>14241</v>
      </c>
      <c r="B604" t="s">
        <v>4286</v>
      </c>
      <c r="C604" s="308" t="s">
        <v>1738</v>
      </c>
      <c r="D604" s="523"/>
    </row>
    <row r="605" spans="1:4">
      <c r="A605" s="307">
        <v>18712</v>
      </c>
      <c r="B605" t="s">
        <v>4288</v>
      </c>
      <c r="C605" s="308" t="s">
        <v>1738</v>
      </c>
      <c r="D605" s="523"/>
    </row>
    <row r="606" spans="1:4">
      <c r="A606" s="307">
        <v>2423</v>
      </c>
      <c r="B606" t="s">
        <v>4287</v>
      </c>
      <c r="C606" s="308" t="s">
        <v>1738</v>
      </c>
      <c r="D606" s="523"/>
    </row>
    <row r="607" spans="1:4">
      <c r="A607" s="307">
        <v>3203</v>
      </c>
      <c r="B607" t="s">
        <v>5071</v>
      </c>
      <c r="C607" s="308" t="s">
        <v>1738</v>
      </c>
      <c r="D607" s="523"/>
    </row>
    <row r="608" spans="1:4">
      <c r="A608" s="307">
        <v>2497</v>
      </c>
      <c r="B608" t="s">
        <v>4609</v>
      </c>
      <c r="C608" s="308" t="s">
        <v>2843</v>
      </c>
      <c r="D608" s="523"/>
    </row>
    <row r="609" spans="1:4">
      <c r="A609" s="307">
        <v>2679</v>
      </c>
      <c r="B609" t="s">
        <v>2644</v>
      </c>
      <c r="C609" s="308" t="s">
        <v>2318</v>
      </c>
      <c r="D609" s="523"/>
    </row>
    <row r="610" spans="1:4">
      <c r="A610" s="860">
        <v>11065</v>
      </c>
      <c r="B610" s="861" t="s">
        <v>8848</v>
      </c>
      <c r="C610" s="862" t="s">
        <v>4282</v>
      </c>
      <c r="D610" s="523"/>
    </row>
    <row r="611" spans="1:4">
      <c r="A611" s="307">
        <v>10428</v>
      </c>
      <c r="B611" t="s">
        <v>6740</v>
      </c>
      <c r="C611" s="308"/>
      <c r="D611" s="523"/>
    </row>
    <row r="612" spans="1:4">
      <c r="A612" s="307">
        <v>6819</v>
      </c>
      <c r="B612" t="s">
        <v>6749</v>
      </c>
      <c r="C612" s="308"/>
      <c r="D612" s="523"/>
    </row>
    <row r="613" spans="1:4">
      <c r="A613" s="307">
        <v>10970</v>
      </c>
      <c r="B613" t="s">
        <v>6750</v>
      </c>
      <c r="C613" s="308"/>
      <c r="D613" s="523"/>
    </row>
    <row r="614" spans="1:4">
      <c r="A614" s="307">
        <v>6818</v>
      </c>
      <c r="B614" t="s">
        <v>6751</v>
      </c>
      <c r="C614" s="308"/>
      <c r="D614" s="523"/>
    </row>
    <row r="615" spans="1:4">
      <c r="A615" s="307">
        <v>10977</v>
      </c>
      <c r="B615" t="s">
        <v>6292</v>
      </c>
      <c r="C615" s="308"/>
      <c r="D615" s="523"/>
    </row>
    <row r="616" spans="1:4">
      <c r="A616" s="307">
        <v>6810</v>
      </c>
      <c r="B616" t="s">
        <v>6752</v>
      </c>
      <c r="C616" s="308"/>
      <c r="D616" s="523"/>
    </row>
    <row r="617" spans="1:4">
      <c r="A617" s="307">
        <v>20575</v>
      </c>
      <c r="B617" t="s">
        <v>8854</v>
      </c>
      <c r="C617" s="308" t="s">
        <v>4282</v>
      </c>
      <c r="D617" s="523"/>
    </row>
    <row r="618" spans="1:4">
      <c r="A618" s="403">
        <v>20446</v>
      </c>
      <c r="B618" s="403" t="s">
        <v>9166</v>
      </c>
      <c r="C618" s="308" t="s">
        <v>1740</v>
      </c>
      <c r="D618" s="856"/>
    </row>
    <row r="619" spans="1:4">
      <c r="A619" s="307">
        <v>11275</v>
      </c>
      <c r="B619" t="s">
        <v>6754</v>
      </c>
      <c r="C619" s="308"/>
      <c r="D619" s="523"/>
    </row>
    <row r="620" spans="1:4">
      <c r="A620" s="307">
        <v>18446</v>
      </c>
      <c r="B620" t="s">
        <v>6326</v>
      </c>
      <c r="C620" s="308"/>
      <c r="D620" s="523"/>
    </row>
    <row r="621" spans="1:4">
      <c r="A621" s="307">
        <v>20574</v>
      </c>
      <c r="B621" t="s">
        <v>8859</v>
      </c>
      <c r="C621" s="308" t="s">
        <v>4282</v>
      </c>
      <c r="D621" s="523"/>
    </row>
    <row r="622" spans="1:4">
      <c r="A622" s="307">
        <v>6809</v>
      </c>
      <c r="B622" t="s">
        <v>6755</v>
      </c>
      <c r="C622" s="308"/>
      <c r="D622" s="523"/>
    </row>
    <row r="623" spans="1:4">
      <c r="A623" s="307">
        <v>11932</v>
      </c>
      <c r="B623" t="s">
        <v>8863</v>
      </c>
      <c r="C623" s="308" t="s">
        <v>4282</v>
      </c>
      <c r="D623" s="523"/>
    </row>
    <row r="624" spans="1:4">
      <c r="A624" s="307">
        <v>18522</v>
      </c>
      <c r="B624" t="s">
        <v>6364</v>
      </c>
      <c r="C624" s="308" t="s">
        <v>1740</v>
      </c>
      <c r="D624" s="523"/>
    </row>
    <row r="625" spans="1:4">
      <c r="A625" s="307">
        <v>19262</v>
      </c>
      <c r="B625" t="s">
        <v>6763</v>
      </c>
      <c r="C625" s="308"/>
      <c r="D625" s="523">
        <v>200</v>
      </c>
    </row>
    <row r="626" spans="1:4">
      <c r="A626" s="307">
        <v>12571</v>
      </c>
      <c r="B626" t="s">
        <v>8869</v>
      </c>
      <c r="C626" s="308" t="s">
        <v>4282</v>
      </c>
      <c r="D626" s="523"/>
    </row>
    <row r="627" spans="1:4">
      <c r="A627" s="307">
        <v>6803</v>
      </c>
      <c r="B627" t="s">
        <v>6764</v>
      </c>
      <c r="C627" s="308"/>
      <c r="D627" s="523"/>
    </row>
    <row r="628" spans="1:4">
      <c r="A628" s="307">
        <v>2147</v>
      </c>
      <c r="B628" t="s">
        <v>6765</v>
      </c>
      <c r="C628" s="308"/>
      <c r="D628" s="523"/>
    </row>
    <row r="629" spans="1:4">
      <c r="A629" s="307">
        <v>12975</v>
      </c>
      <c r="B629" t="s">
        <v>6768</v>
      </c>
      <c r="C629" s="308"/>
      <c r="D629" s="523"/>
    </row>
    <row r="630" spans="1:4">
      <c r="A630" s="307">
        <v>13125</v>
      </c>
      <c r="B630" t="s">
        <v>6458</v>
      </c>
      <c r="C630" s="308"/>
      <c r="D630" s="523"/>
    </row>
    <row r="631" spans="1:4">
      <c r="A631" s="307">
        <v>6799</v>
      </c>
      <c r="B631" t="s">
        <v>6769</v>
      </c>
      <c r="C631" s="308"/>
      <c r="D631" s="523"/>
    </row>
    <row r="632" spans="1:4">
      <c r="A632" s="813">
        <v>20325</v>
      </c>
      <c r="B632" s="813" t="s">
        <v>9175</v>
      </c>
      <c r="C632" s="308" t="s">
        <v>1740</v>
      </c>
      <c r="D632" s="856"/>
    </row>
    <row r="633" spans="1:4">
      <c r="A633" s="813">
        <v>18624</v>
      </c>
      <c r="B633" s="813" t="s">
        <v>9174</v>
      </c>
      <c r="C633" s="308" t="s">
        <v>1738</v>
      </c>
      <c r="D633" s="856"/>
    </row>
    <row r="634" spans="1:4">
      <c r="A634" s="403">
        <v>13931</v>
      </c>
      <c r="B634" s="771" t="s">
        <v>9165</v>
      </c>
      <c r="C634" s="308" t="s">
        <v>1738</v>
      </c>
      <c r="D634" s="856"/>
    </row>
    <row r="635" spans="1:4">
      <c r="A635" s="307">
        <v>13969</v>
      </c>
      <c r="B635" t="s">
        <v>6545</v>
      </c>
      <c r="C635" s="308"/>
      <c r="D635" s="523"/>
    </row>
    <row r="636" spans="1:4">
      <c r="A636" s="307">
        <v>13988</v>
      </c>
      <c r="B636" t="s">
        <v>6775</v>
      </c>
      <c r="C636" s="308"/>
      <c r="D636" s="523"/>
    </row>
    <row r="637" spans="1:4">
      <c r="A637" s="307">
        <v>6792</v>
      </c>
      <c r="B637" t="s">
        <v>6778</v>
      </c>
      <c r="C637" s="308"/>
      <c r="D637" s="523"/>
    </row>
    <row r="638" spans="1:4">
      <c r="A638" s="307">
        <v>18390</v>
      </c>
      <c r="B638" t="s">
        <v>6779</v>
      </c>
      <c r="C638" s="308"/>
      <c r="D638" s="523"/>
    </row>
    <row r="639" spans="1:4">
      <c r="A639" s="307">
        <v>14534</v>
      </c>
      <c r="B639" t="s">
        <v>8889</v>
      </c>
      <c r="C639" s="308" t="s">
        <v>4282</v>
      </c>
      <c r="D639" s="523"/>
    </row>
    <row r="640" spans="1:4">
      <c r="A640" s="307">
        <v>19887</v>
      </c>
      <c r="B640" t="s">
        <v>6780</v>
      </c>
      <c r="C640" s="308" t="s">
        <v>4282</v>
      </c>
      <c r="D640" s="523"/>
    </row>
    <row r="641" spans="1:4">
      <c r="A641" s="307">
        <v>19887</v>
      </c>
      <c r="B641" t="s">
        <v>6780</v>
      </c>
      <c r="C641" s="308"/>
      <c r="D641" s="523"/>
    </row>
    <row r="642" spans="1:4">
      <c r="A642" s="307">
        <v>14768</v>
      </c>
      <c r="B642" t="s">
        <v>6781</v>
      </c>
      <c r="C642" s="308"/>
      <c r="D642" s="523"/>
    </row>
    <row r="643" spans="1:4">
      <c r="A643" s="307">
        <v>15026</v>
      </c>
      <c r="B643" t="s">
        <v>6783</v>
      </c>
      <c r="C643" s="308"/>
      <c r="D643" s="523"/>
    </row>
    <row r="644" spans="1:4">
      <c r="A644" s="307">
        <v>18628</v>
      </c>
      <c r="B644" t="s">
        <v>6788</v>
      </c>
      <c r="C644" s="308"/>
      <c r="D644" s="523"/>
    </row>
    <row r="645" spans="1:4">
      <c r="A645" s="860">
        <v>18519</v>
      </c>
      <c r="B645" s="861" t="s">
        <v>6789</v>
      </c>
      <c r="C645" s="862"/>
      <c r="D645" s="523"/>
    </row>
    <row r="646" spans="1:4">
      <c r="A646" s="860">
        <v>18518</v>
      </c>
      <c r="B646" s="861" t="s">
        <v>6790</v>
      </c>
      <c r="C646" s="862"/>
      <c r="D646" s="523"/>
    </row>
    <row r="647" spans="1:4">
      <c r="A647" s="863">
        <v>6456</v>
      </c>
      <c r="B647" s="20" t="s">
        <v>8917</v>
      </c>
      <c r="C647" s="864" t="s">
        <v>1736</v>
      </c>
      <c r="D647" s="865"/>
    </row>
    <row r="648" spans="1:4">
      <c r="A648" s="253"/>
      <c r="B648" s="253"/>
      <c r="C648" s="253"/>
      <c r="D648" s="253"/>
    </row>
  </sheetData>
  <sortState xmlns:xlrd2="http://schemas.microsoft.com/office/spreadsheetml/2017/richdata2" ref="A7:D610">
    <sortCondition ref="B7:B610"/>
  </sortState>
  <phoneticPr fontId="0" type="noConversion"/>
  <hyperlinks>
    <hyperlink ref="D3" location="fish_group_yield_n!A1" display="fish_group_yield_n" xr:uid="{00000000-0004-0000-3000-000000000000}"/>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92">
    <tabColor theme="4"/>
  </sheetPr>
  <dimension ref="A1:D648"/>
  <sheetViews>
    <sheetView zoomScaleNormal="100" workbookViewId="0">
      <selection activeCell="A65536" sqref="A65536"/>
    </sheetView>
  </sheetViews>
  <sheetFormatPr defaultColWidth="9.1796875" defaultRowHeight="12.5"/>
  <cols>
    <col min="1" max="1" width="15" style="36" customWidth="1"/>
    <col min="2" max="2" width="27.81640625" style="36" customWidth="1"/>
    <col min="3" max="3" width="24" style="36" customWidth="1"/>
    <col min="4" max="4" width="16.7265625" style="36" customWidth="1"/>
    <col min="5" max="16384" width="9.1796875" style="36"/>
  </cols>
  <sheetData>
    <row r="1" spans="1:4" ht="12.75" customHeight="1">
      <c r="B1" s="75"/>
      <c r="C1" s="75"/>
      <c r="D1" s="75"/>
    </row>
    <row r="2" spans="1:4" ht="12.75" customHeight="1">
      <c r="C2" s="37" t="s">
        <v>985</v>
      </c>
      <c r="D2" s="96" t="s">
        <v>1745</v>
      </c>
    </row>
    <row r="3" spans="1:4" ht="12.75" customHeight="1">
      <c r="C3" s="37" t="s">
        <v>986</v>
      </c>
      <c r="D3" s="466" t="s">
        <v>5245</v>
      </c>
    </row>
    <row r="4" spans="1:4" ht="12.75" customHeight="1"/>
    <row r="5" spans="1:4" ht="13">
      <c r="A5" s="1017" t="s">
        <v>6736</v>
      </c>
      <c r="B5" s="1017" t="s">
        <v>6193</v>
      </c>
      <c r="C5" s="1017" t="s">
        <v>102</v>
      </c>
      <c r="D5" s="1019" t="s">
        <v>1925</v>
      </c>
    </row>
    <row r="6" spans="1:4">
      <c r="A6" s="1021" t="s">
        <v>542</v>
      </c>
      <c r="B6" s="1021" t="s">
        <v>542</v>
      </c>
      <c r="C6" s="1021" t="s">
        <v>542</v>
      </c>
      <c r="D6" s="1033"/>
    </row>
    <row r="7" spans="1:4">
      <c r="A7" s="307">
        <v>12441</v>
      </c>
      <c r="B7" t="s">
        <v>2817</v>
      </c>
      <c r="C7" s="308" t="s">
        <v>1738</v>
      </c>
      <c r="D7" s="856">
        <v>6984</v>
      </c>
    </row>
    <row r="8" spans="1:4">
      <c r="A8" s="307">
        <v>2651</v>
      </c>
      <c r="B8" t="s">
        <v>2893</v>
      </c>
      <c r="C8" s="308" t="s">
        <v>1736</v>
      </c>
      <c r="D8" s="856">
        <v>184660.58</v>
      </c>
    </row>
    <row r="9" spans="1:4">
      <c r="A9" s="307">
        <v>10183</v>
      </c>
      <c r="B9" t="s">
        <v>3998</v>
      </c>
      <c r="C9" s="308" t="s">
        <v>1738</v>
      </c>
      <c r="D9" s="856"/>
    </row>
    <row r="10" spans="1:4">
      <c r="A10" s="307">
        <v>2981</v>
      </c>
      <c r="B10" t="s">
        <v>6738</v>
      </c>
      <c r="C10" s="308"/>
      <c r="D10" s="856">
        <v>106201</v>
      </c>
    </row>
    <row r="11" spans="1:4">
      <c r="A11" s="307">
        <v>2141</v>
      </c>
      <c r="B11" t="s">
        <v>3999</v>
      </c>
      <c r="C11" s="308" t="s">
        <v>1738</v>
      </c>
      <c r="D11" s="856">
        <v>5973.5</v>
      </c>
    </row>
    <row r="12" spans="1:4">
      <c r="A12" s="307">
        <v>2198</v>
      </c>
      <c r="B12" t="s">
        <v>4000</v>
      </c>
      <c r="C12" s="308" t="s">
        <v>1738</v>
      </c>
      <c r="D12" s="856"/>
    </row>
    <row r="13" spans="1:4">
      <c r="A13" s="307">
        <v>3428</v>
      </c>
      <c r="B13" t="s">
        <v>1489</v>
      </c>
      <c r="C13" s="308" t="s">
        <v>2322</v>
      </c>
      <c r="D13" s="856"/>
    </row>
    <row r="14" spans="1:4">
      <c r="A14" s="307">
        <v>10727</v>
      </c>
      <c r="B14" t="s">
        <v>4001</v>
      </c>
      <c r="C14" s="308" t="s">
        <v>1738</v>
      </c>
      <c r="D14" s="856">
        <v>78</v>
      </c>
    </row>
    <row r="15" spans="1:4">
      <c r="A15" s="307">
        <v>19882</v>
      </c>
      <c r="B15" t="s">
        <v>6739</v>
      </c>
      <c r="C15" s="308"/>
      <c r="D15" s="856">
        <v>6.15</v>
      </c>
    </row>
    <row r="16" spans="1:4">
      <c r="A16" s="307">
        <v>2320</v>
      </c>
      <c r="B16" t="s">
        <v>4850</v>
      </c>
      <c r="C16" s="308" t="s">
        <v>1738</v>
      </c>
      <c r="D16" s="856">
        <v>27208.93</v>
      </c>
    </row>
    <row r="17" spans="1:4">
      <c r="A17" s="307">
        <v>10048</v>
      </c>
      <c r="B17" t="s">
        <v>4002</v>
      </c>
      <c r="C17" s="308" t="s">
        <v>2310</v>
      </c>
      <c r="D17" s="856">
        <v>3226.29</v>
      </c>
    </row>
    <row r="18" spans="1:4">
      <c r="A18" s="307">
        <v>2669</v>
      </c>
      <c r="B18" t="s">
        <v>1326</v>
      </c>
      <c r="C18" s="308" t="s">
        <v>2316</v>
      </c>
      <c r="D18" s="856">
        <v>134939</v>
      </c>
    </row>
    <row r="19" spans="1:4">
      <c r="A19" s="307">
        <v>2989</v>
      </c>
      <c r="B19" t="s">
        <v>3699</v>
      </c>
      <c r="C19" s="308" t="s">
        <v>3786</v>
      </c>
      <c r="D19" s="856">
        <v>0</v>
      </c>
    </row>
    <row r="20" spans="1:4">
      <c r="A20" s="307">
        <v>3096</v>
      </c>
      <c r="B20" t="s">
        <v>4642</v>
      </c>
      <c r="C20" s="308" t="s">
        <v>1738</v>
      </c>
      <c r="D20" s="856">
        <v>24</v>
      </c>
    </row>
    <row r="21" spans="1:4">
      <c r="A21" s="307">
        <v>15319</v>
      </c>
      <c r="B21" t="s">
        <v>4958</v>
      </c>
      <c r="C21" s="308" t="s">
        <v>4959</v>
      </c>
      <c r="D21" s="856">
        <v>370859.48</v>
      </c>
    </row>
    <row r="22" spans="1:4">
      <c r="A22" s="307">
        <v>2663</v>
      </c>
      <c r="B22" t="s">
        <v>3157</v>
      </c>
      <c r="C22" s="308" t="s">
        <v>1736</v>
      </c>
      <c r="D22" s="856"/>
    </row>
    <row r="23" spans="1:4">
      <c r="A23" s="307">
        <v>3625</v>
      </c>
      <c r="B23" t="s">
        <v>2933</v>
      </c>
      <c r="C23" s="308" t="s">
        <v>1738</v>
      </c>
      <c r="D23" s="856">
        <v>120887.79</v>
      </c>
    </row>
    <row r="24" spans="1:4">
      <c r="A24" s="307">
        <v>3642</v>
      </c>
      <c r="B24" t="s">
        <v>3293</v>
      </c>
      <c r="C24" s="308"/>
      <c r="D24" s="856"/>
    </row>
    <row r="25" spans="1:4">
      <c r="A25" s="307">
        <v>2945</v>
      </c>
      <c r="B25" t="s">
        <v>489</v>
      </c>
      <c r="C25" s="308" t="s">
        <v>1738</v>
      </c>
      <c r="D25" s="856">
        <v>2062.5</v>
      </c>
    </row>
    <row r="26" spans="1:4">
      <c r="A26" s="307">
        <v>2120</v>
      </c>
      <c r="B26" t="s">
        <v>1244</v>
      </c>
      <c r="C26" s="308" t="s">
        <v>1738</v>
      </c>
      <c r="D26" s="856">
        <v>7061.72</v>
      </c>
    </row>
    <row r="27" spans="1:4">
      <c r="A27" s="307">
        <v>3076</v>
      </c>
      <c r="B27" t="s">
        <v>2645</v>
      </c>
      <c r="C27" s="308" t="s">
        <v>1738</v>
      </c>
      <c r="D27" s="856">
        <v>0</v>
      </c>
    </row>
    <row r="28" spans="1:4">
      <c r="A28" s="307">
        <v>3059</v>
      </c>
      <c r="B28" t="s">
        <v>4960</v>
      </c>
      <c r="C28" s="308" t="s">
        <v>1738</v>
      </c>
      <c r="D28" s="856">
        <v>0</v>
      </c>
    </row>
    <row r="29" spans="1:4">
      <c r="A29" s="307">
        <v>2174</v>
      </c>
      <c r="B29" t="s">
        <v>6741</v>
      </c>
      <c r="C29" s="308"/>
      <c r="D29" s="856">
        <v>6119</v>
      </c>
    </row>
    <row r="30" spans="1:4">
      <c r="A30" s="307">
        <v>2708</v>
      </c>
      <c r="B30" t="s">
        <v>4961</v>
      </c>
      <c r="C30" s="308" t="s">
        <v>1736</v>
      </c>
      <c r="D30" s="523">
        <v>22635.54</v>
      </c>
    </row>
    <row r="31" spans="1:4">
      <c r="A31" s="307">
        <v>2974</v>
      </c>
      <c r="B31" t="s">
        <v>3767</v>
      </c>
      <c r="C31" s="308" t="s">
        <v>1738</v>
      </c>
      <c r="D31" s="523">
        <v>6337.8</v>
      </c>
    </row>
    <row r="32" spans="1:4">
      <c r="A32" s="307">
        <v>2272</v>
      </c>
      <c r="B32" t="s">
        <v>4962</v>
      </c>
      <c r="C32" s="308" t="s">
        <v>3786</v>
      </c>
      <c r="D32" s="523">
        <v>319051.49</v>
      </c>
    </row>
    <row r="33" spans="1:4">
      <c r="A33" s="307">
        <v>2171</v>
      </c>
      <c r="B33" t="s">
        <v>2935</v>
      </c>
      <c r="C33" s="308" t="s">
        <v>1738</v>
      </c>
      <c r="D33" s="523">
        <v>0</v>
      </c>
    </row>
    <row r="34" spans="1:4">
      <c r="A34" s="307">
        <v>2986</v>
      </c>
      <c r="B34" t="s">
        <v>4963</v>
      </c>
      <c r="C34" s="308" t="s">
        <v>1738</v>
      </c>
      <c r="D34" s="523">
        <v>21.92</v>
      </c>
    </row>
    <row r="35" spans="1:4">
      <c r="A35" s="307">
        <v>14546</v>
      </c>
      <c r="B35" t="s">
        <v>8891</v>
      </c>
      <c r="C35" s="308" t="s">
        <v>4282</v>
      </c>
      <c r="D35" s="523"/>
    </row>
    <row r="36" spans="1:4">
      <c r="A36" s="307">
        <v>3296</v>
      </c>
      <c r="B36" t="s">
        <v>1327</v>
      </c>
      <c r="C36" s="308" t="s">
        <v>2843</v>
      </c>
      <c r="D36" s="523">
        <v>11896</v>
      </c>
    </row>
    <row r="37" spans="1:4">
      <c r="A37" s="307">
        <v>2218</v>
      </c>
      <c r="B37" t="s">
        <v>1328</v>
      </c>
      <c r="C37" s="308" t="s">
        <v>5195</v>
      </c>
      <c r="D37" s="523">
        <v>524.23</v>
      </c>
    </row>
    <row r="38" spans="1:4">
      <c r="A38" s="307">
        <v>16496</v>
      </c>
      <c r="B38" t="s">
        <v>4964</v>
      </c>
      <c r="C38" s="308" t="s">
        <v>2322</v>
      </c>
      <c r="D38" s="523">
        <v>259.27</v>
      </c>
    </row>
    <row r="39" spans="1:4">
      <c r="A39" s="307">
        <v>14748</v>
      </c>
      <c r="B39" t="s">
        <v>8895</v>
      </c>
      <c r="C39" s="308" t="s">
        <v>4282</v>
      </c>
      <c r="D39" s="523"/>
    </row>
    <row r="40" spans="1:4">
      <c r="A40" s="307">
        <v>3353</v>
      </c>
      <c r="B40" t="s">
        <v>1484</v>
      </c>
      <c r="C40" s="308" t="s">
        <v>3787</v>
      </c>
      <c r="D40" s="523">
        <v>1842.71</v>
      </c>
    </row>
    <row r="41" spans="1:4">
      <c r="A41" s="307">
        <v>2929</v>
      </c>
      <c r="B41" t="s">
        <v>5458</v>
      </c>
      <c r="C41" s="308" t="s">
        <v>3791</v>
      </c>
      <c r="D41" s="523">
        <v>2425772.59</v>
      </c>
    </row>
    <row r="42" spans="1:4">
      <c r="A42" s="307">
        <v>11251</v>
      </c>
      <c r="B42" t="s">
        <v>6742</v>
      </c>
      <c r="C42" s="308"/>
      <c r="D42" s="523"/>
    </row>
    <row r="43" spans="1:4">
      <c r="A43" s="307">
        <v>2456</v>
      </c>
      <c r="B43" t="s">
        <v>1485</v>
      </c>
      <c r="C43" s="308" t="s">
        <v>1738</v>
      </c>
      <c r="D43" s="523"/>
    </row>
    <row r="44" spans="1:4">
      <c r="A44" s="307">
        <v>2689</v>
      </c>
      <c r="B44" t="s">
        <v>2223</v>
      </c>
      <c r="C44" s="308" t="s">
        <v>2314</v>
      </c>
      <c r="D44" s="523">
        <v>3781</v>
      </c>
    </row>
    <row r="45" spans="1:4">
      <c r="A45" s="307">
        <v>2124</v>
      </c>
      <c r="B45" t="s">
        <v>2934</v>
      </c>
      <c r="C45" s="308" t="s">
        <v>1738</v>
      </c>
      <c r="D45" s="523">
        <v>5830</v>
      </c>
    </row>
    <row r="46" spans="1:4">
      <c r="A46" s="307">
        <v>18543</v>
      </c>
      <c r="B46" t="s">
        <v>6743</v>
      </c>
      <c r="C46" s="308"/>
      <c r="D46" s="523">
        <v>57.76</v>
      </c>
    </row>
    <row r="47" spans="1:4">
      <c r="A47" s="307">
        <v>2187</v>
      </c>
      <c r="B47" t="s">
        <v>2520</v>
      </c>
      <c r="C47" s="308" t="s">
        <v>1738</v>
      </c>
      <c r="D47" s="523">
        <v>50</v>
      </c>
    </row>
    <row r="48" spans="1:4">
      <c r="A48" s="307">
        <v>13004</v>
      </c>
      <c r="B48" t="s">
        <v>2628</v>
      </c>
      <c r="C48" s="308"/>
      <c r="D48" s="523"/>
    </row>
    <row r="49" spans="1:4">
      <c r="A49" s="307">
        <v>16484</v>
      </c>
      <c r="B49" t="s">
        <v>4965</v>
      </c>
      <c r="C49" s="308" t="s">
        <v>2322</v>
      </c>
      <c r="D49" s="523"/>
    </row>
    <row r="50" spans="1:4">
      <c r="A50" s="307">
        <v>2583</v>
      </c>
      <c r="B50" t="s">
        <v>1483</v>
      </c>
      <c r="C50" s="308" t="s">
        <v>2322</v>
      </c>
      <c r="D50" s="523">
        <v>16670.900000000001</v>
      </c>
    </row>
    <row r="51" spans="1:4">
      <c r="A51" s="307">
        <v>10625</v>
      </c>
      <c r="B51" t="s">
        <v>6233</v>
      </c>
      <c r="C51" s="308"/>
      <c r="D51" s="523">
        <v>595.91</v>
      </c>
    </row>
    <row r="52" spans="1:4">
      <c r="A52" s="307">
        <v>17577</v>
      </c>
      <c r="B52" t="s">
        <v>340</v>
      </c>
      <c r="C52" s="308" t="s">
        <v>1736</v>
      </c>
      <c r="D52" s="523"/>
    </row>
    <row r="53" spans="1:4">
      <c r="A53" s="307">
        <v>12591</v>
      </c>
      <c r="B53" t="s">
        <v>6235</v>
      </c>
      <c r="C53" s="308"/>
      <c r="D53" s="523">
        <v>0.3</v>
      </c>
    </row>
    <row r="54" spans="1:4">
      <c r="A54" s="307">
        <v>2958</v>
      </c>
      <c r="B54" t="s">
        <v>2607</v>
      </c>
      <c r="C54" s="308" t="s">
        <v>1738</v>
      </c>
      <c r="D54" s="523">
        <v>78.569999999999993</v>
      </c>
    </row>
    <row r="55" spans="1:4">
      <c r="A55" s="307">
        <v>3068</v>
      </c>
      <c r="B55" t="s">
        <v>5459</v>
      </c>
      <c r="C55" s="308" t="s">
        <v>1738</v>
      </c>
      <c r="D55" s="523">
        <v>103982.16</v>
      </c>
    </row>
    <row r="56" spans="1:4">
      <c r="A56" s="307">
        <v>2202</v>
      </c>
      <c r="B56" t="s">
        <v>4966</v>
      </c>
      <c r="C56" s="308" t="s">
        <v>1738</v>
      </c>
      <c r="D56" s="523"/>
    </row>
    <row r="57" spans="1:4">
      <c r="A57" s="307">
        <v>3350</v>
      </c>
      <c r="B57" t="s">
        <v>2743</v>
      </c>
      <c r="C57" s="308" t="s">
        <v>1738</v>
      </c>
      <c r="D57" s="523">
        <v>39436</v>
      </c>
    </row>
    <row r="58" spans="1:4">
      <c r="A58" s="307">
        <v>2540</v>
      </c>
      <c r="B58" t="s">
        <v>1835</v>
      </c>
      <c r="C58" s="308"/>
      <c r="D58" s="523">
        <v>0</v>
      </c>
    </row>
    <row r="59" spans="1:4">
      <c r="A59" s="307">
        <v>10693</v>
      </c>
      <c r="B59" t="s">
        <v>4967</v>
      </c>
      <c r="C59" s="308" t="s">
        <v>1738</v>
      </c>
      <c r="D59" s="523">
        <v>2</v>
      </c>
    </row>
    <row r="60" spans="1:4">
      <c r="A60" s="307">
        <v>3559</v>
      </c>
      <c r="B60" t="s">
        <v>4968</v>
      </c>
      <c r="C60" s="308" t="s">
        <v>1736</v>
      </c>
      <c r="D60" s="523">
        <v>4.4000000000000004</v>
      </c>
    </row>
    <row r="61" spans="1:4">
      <c r="A61" s="307">
        <v>2072</v>
      </c>
      <c r="B61" t="s">
        <v>4428</v>
      </c>
      <c r="C61" s="308" t="s">
        <v>1738</v>
      </c>
      <c r="D61" s="523">
        <v>41.32</v>
      </c>
    </row>
    <row r="62" spans="1:4">
      <c r="A62" s="307">
        <v>2965</v>
      </c>
      <c r="B62" t="s">
        <v>1245</v>
      </c>
      <c r="C62" s="308" t="s">
        <v>5194</v>
      </c>
      <c r="D62" s="523">
        <v>3143388.67</v>
      </c>
    </row>
    <row r="63" spans="1:4">
      <c r="A63" s="307">
        <v>2263</v>
      </c>
      <c r="B63" t="s">
        <v>875</v>
      </c>
      <c r="C63" s="308"/>
      <c r="D63" s="523"/>
    </row>
    <row r="64" spans="1:4">
      <c r="A64" s="307">
        <v>17120</v>
      </c>
      <c r="B64" t="s">
        <v>6744</v>
      </c>
      <c r="C64" s="308"/>
      <c r="D64" s="523">
        <v>7</v>
      </c>
    </row>
    <row r="65" spans="1:4">
      <c r="A65" s="307">
        <v>2190</v>
      </c>
      <c r="B65" t="s">
        <v>4969</v>
      </c>
      <c r="C65" s="308" t="s">
        <v>4282</v>
      </c>
      <c r="D65" s="523">
        <v>86.62</v>
      </c>
    </row>
    <row r="66" spans="1:4">
      <c r="A66" s="307">
        <v>2970</v>
      </c>
      <c r="B66" t="s">
        <v>3294</v>
      </c>
      <c r="C66" s="308" t="s">
        <v>5194</v>
      </c>
      <c r="D66" s="523">
        <v>691535.70000000007</v>
      </c>
    </row>
    <row r="67" spans="1:4">
      <c r="A67" s="307">
        <v>2186</v>
      </c>
      <c r="B67" t="s">
        <v>1716</v>
      </c>
      <c r="C67" s="308" t="s">
        <v>1738</v>
      </c>
      <c r="D67" s="523">
        <v>0</v>
      </c>
    </row>
    <row r="68" spans="1:4">
      <c r="A68" s="307">
        <v>6816</v>
      </c>
      <c r="B68" t="s">
        <v>6745</v>
      </c>
      <c r="C68" s="308"/>
      <c r="D68" s="523"/>
    </row>
    <row r="69" spans="1:4">
      <c r="A69" s="307">
        <v>3079</v>
      </c>
      <c r="B69" t="s">
        <v>4771</v>
      </c>
      <c r="C69" s="308" t="s">
        <v>2319</v>
      </c>
      <c r="D69" s="523"/>
    </row>
    <row r="70" spans="1:4">
      <c r="A70" s="307">
        <v>2416</v>
      </c>
      <c r="B70" t="s">
        <v>4970</v>
      </c>
      <c r="C70" s="308" t="s">
        <v>1738</v>
      </c>
      <c r="D70" s="523"/>
    </row>
    <row r="71" spans="1:4">
      <c r="A71" s="307">
        <v>2414</v>
      </c>
      <c r="B71" t="s">
        <v>4971</v>
      </c>
      <c r="C71" s="308" t="s">
        <v>4972</v>
      </c>
      <c r="D71" s="523">
        <v>56</v>
      </c>
    </row>
    <row r="72" spans="1:4">
      <c r="A72" s="307">
        <v>3202</v>
      </c>
      <c r="B72" t="s">
        <v>4315</v>
      </c>
      <c r="C72" s="308" t="s">
        <v>1738</v>
      </c>
      <c r="D72" s="523">
        <v>1504.03</v>
      </c>
    </row>
    <row r="73" spans="1:4">
      <c r="A73" s="307">
        <v>3492</v>
      </c>
      <c r="B73" t="s">
        <v>4887</v>
      </c>
      <c r="C73" s="308" t="s">
        <v>1738</v>
      </c>
      <c r="D73" s="523"/>
    </row>
    <row r="74" spans="1:4">
      <c r="A74" s="307">
        <v>2664</v>
      </c>
      <c r="B74" t="s">
        <v>6746</v>
      </c>
      <c r="C74" s="308"/>
      <c r="D74" s="523">
        <v>1200</v>
      </c>
    </row>
    <row r="75" spans="1:4">
      <c r="A75" s="307">
        <v>3173</v>
      </c>
      <c r="B75" t="s">
        <v>1272</v>
      </c>
      <c r="C75" s="308" t="s">
        <v>1738</v>
      </c>
      <c r="D75" s="523">
        <v>108.08</v>
      </c>
    </row>
    <row r="76" spans="1:4">
      <c r="A76" s="307">
        <v>2155</v>
      </c>
      <c r="B76" t="s">
        <v>4161</v>
      </c>
      <c r="C76" s="308" t="s">
        <v>1738</v>
      </c>
      <c r="D76" s="523">
        <v>2.79</v>
      </c>
    </row>
    <row r="77" spans="1:4">
      <c r="A77" s="307">
        <v>3503</v>
      </c>
      <c r="B77" t="s">
        <v>4851</v>
      </c>
      <c r="C77" s="308" t="s">
        <v>1736</v>
      </c>
      <c r="D77" s="523">
        <v>436804.73</v>
      </c>
    </row>
    <row r="78" spans="1:4">
      <c r="A78" s="307">
        <v>2632</v>
      </c>
      <c r="B78" t="s">
        <v>4643</v>
      </c>
      <c r="C78" s="308" t="s">
        <v>2311</v>
      </c>
      <c r="D78" s="523"/>
    </row>
    <row r="79" spans="1:4">
      <c r="A79" s="307">
        <v>2688</v>
      </c>
      <c r="B79" t="s">
        <v>3405</v>
      </c>
      <c r="C79" s="308" t="s">
        <v>2314</v>
      </c>
      <c r="D79" s="523">
        <v>156800.77000000002</v>
      </c>
    </row>
    <row r="80" spans="1:4">
      <c r="A80" s="307">
        <v>2585</v>
      </c>
      <c r="B80" t="s">
        <v>1576</v>
      </c>
      <c r="C80" s="308" t="s">
        <v>2322</v>
      </c>
      <c r="D80" s="523">
        <v>2349.3200000000002</v>
      </c>
    </row>
    <row r="81" spans="1:4">
      <c r="A81" s="307">
        <v>2629</v>
      </c>
      <c r="B81" t="s">
        <v>23</v>
      </c>
      <c r="C81" s="308" t="s">
        <v>2311</v>
      </c>
      <c r="D81" s="523">
        <v>23.62</v>
      </c>
    </row>
    <row r="82" spans="1:4">
      <c r="A82" s="307">
        <v>2409</v>
      </c>
      <c r="B82" t="s">
        <v>670</v>
      </c>
      <c r="C82" s="308" t="s">
        <v>1738</v>
      </c>
      <c r="D82" s="523">
        <v>3087</v>
      </c>
    </row>
    <row r="83" spans="1:4">
      <c r="A83" s="307">
        <v>3102</v>
      </c>
      <c r="B83" t="s">
        <v>3845</v>
      </c>
      <c r="C83" s="308" t="s">
        <v>1738</v>
      </c>
      <c r="D83" s="523"/>
    </row>
    <row r="84" spans="1:4">
      <c r="A84" s="307">
        <v>13119</v>
      </c>
      <c r="B84" t="s">
        <v>4973</v>
      </c>
      <c r="C84" s="308" t="s">
        <v>1738</v>
      </c>
      <c r="D84" s="523">
        <v>0</v>
      </c>
    </row>
    <row r="85" spans="1:4">
      <c r="A85" s="307">
        <v>6824</v>
      </c>
      <c r="B85" t="s">
        <v>6747</v>
      </c>
      <c r="C85" s="308"/>
      <c r="D85" s="523">
        <v>406048</v>
      </c>
    </row>
    <row r="86" spans="1:4">
      <c r="A86" s="307">
        <v>15945</v>
      </c>
      <c r="B86" t="s">
        <v>3469</v>
      </c>
      <c r="C86" s="308" t="s">
        <v>1738</v>
      </c>
      <c r="D86" s="523"/>
    </row>
    <row r="87" spans="1:4">
      <c r="A87" s="403">
        <v>3189</v>
      </c>
      <c r="B87" s="403" t="s">
        <v>5437</v>
      </c>
      <c r="C87" s="308" t="s">
        <v>1738</v>
      </c>
      <c r="D87" s="523">
        <v>74</v>
      </c>
    </row>
    <row r="88" spans="1:4">
      <c r="A88" s="307">
        <v>14985</v>
      </c>
      <c r="B88" t="s">
        <v>8899</v>
      </c>
      <c r="C88" s="308" t="s">
        <v>3785</v>
      </c>
      <c r="D88" s="523"/>
    </row>
    <row r="89" spans="1:4">
      <c r="A89" s="307">
        <v>18538</v>
      </c>
      <c r="B89" t="s">
        <v>4974</v>
      </c>
      <c r="C89" s="308" t="s">
        <v>1740</v>
      </c>
      <c r="D89" s="523"/>
    </row>
    <row r="90" spans="1:4">
      <c r="A90" s="307">
        <v>2562</v>
      </c>
      <c r="B90" t="s">
        <v>731</v>
      </c>
      <c r="C90" s="308" t="s">
        <v>1738</v>
      </c>
      <c r="D90" s="523"/>
    </row>
    <row r="91" spans="1:4">
      <c r="A91" s="307">
        <v>2576</v>
      </c>
      <c r="B91" t="s">
        <v>4888</v>
      </c>
      <c r="C91" s="308" t="s">
        <v>2322</v>
      </c>
      <c r="D91" s="523"/>
    </row>
    <row r="92" spans="1:4">
      <c r="A92" s="307">
        <v>13817</v>
      </c>
      <c r="B92" t="s">
        <v>6748</v>
      </c>
      <c r="C92" s="308"/>
      <c r="D92" s="523">
        <v>856</v>
      </c>
    </row>
    <row r="93" spans="1:4">
      <c r="A93" s="307">
        <v>2935</v>
      </c>
      <c r="B93" t="s">
        <v>4015</v>
      </c>
      <c r="C93" s="308" t="s">
        <v>2323</v>
      </c>
      <c r="D93" s="523">
        <v>1537.5800000000002</v>
      </c>
    </row>
    <row r="94" spans="1:4">
      <c r="A94" s="307">
        <v>3149</v>
      </c>
      <c r="B94" t="s">
        <v>4130</v>
      </c>
      <c r="C94" s="308"/>
      <c r="D94" s="523"/>
    </row>
    <row r="95" spans="1:4">
      <c r="A95" s="307">
        <v>3628</v>
      </c>
      <c r="B95" t="s">
        <v>1450</v>
      </c>
      <c r="C95" s="308"/>
      <c r="D95" s="523">
        <v>891031.16</v>
      </c>
    </row>
    <row r="96" spans="1:4">
      <c r="A96" s="307">
        <v>2588</v>
      </c>
      <c r="B96" t="s">
        <v>4976</v>
      </c>
      <c r="C96" s="308" t="s">
        <v>2322</v>
      </c>
      <c r="D96" s="523"/>
    </row>
    <row r="97" spans="1:4">
      <c r="A97" s="307">
        <v>18918</v>
      </c>
      <c r="B97" t="s">
        <v>737</v>
      </c>
      <c r="C97" s="308" t="s">
        <v>1738</v>
      </c>
      <c r="D97" s="523">
        <v>15.52</v>
      </c>
    </row>
    <row r="98" spans="1:4">
      <c r="A98" s="307">
        <v>2954</v>
      </c>
      <c r="B98" t="s">
        <v>2517</v>
      </c>
      <c r="C98" s="308" t="s">
        <v>1738</v>
      </c>
      <c r="D98" s="523">
        <v>0</v>
      </c>
    </row>
    <row r="99" spans="1:4">
      <c r="A99" s="307">
        <v>3012</v>
      </c>
      <c r="B99" t="s">
        <v>2546</v>
      </c>
      <c r="C99" s="308"/>
      <c r="D99" s="523">
        <v>3</v>
      </c>
    </row>
    <row r="100" spans="1:4">
      <c r="A100" s="307">
        <v>2701</v>
      </c>
      <c r="B100" t="s">
        <v>1597</v>
      </c>
      <c r="C100" s="308" t="s">
        <v>1736</v>
      </c>
      <c r="D100" s="523">
        <v>538</v>
      </c>
    </row>
    <row r="101" spans="1:4">
      <c r="A101" s="307">
        <v>2149</v>
      </c>
      <c r="B101" t="s">
        <v>2262</v>
      </c>
      <c r="C101" s="308" t="s">
        <v>1738</v>
      </c>
      <c r="D101" s="523">
        <v>105331.31999999999</v>
      </c>
    </row>
    <row r="102" spans="1:4">
      <c r="A102" s="307">
        <v>2631</v>
      </c>
      <c r="B102" t="s">
        <v>6753</v>
      </c>
      <c r="C102" s="308"/>
      <c r="D102" s="523"/>
    </row>
    <row r="103" spans="1:4">
      <c r="A103" s="307">
        <v>16059</v>
      </c>
      <c r="B103" t="s">
        <v>8919</v>
      </c>
      <c r="C103" s="308" t="s">
        <v>4282</v>
      </c>
      <c r="D103" s="523"/>
    </row>
    <row r="104" spans="1:4">
      <c r="A104" s="307">
        <v>3328</v>
      </c>
      <c r="B104" t="s">
        <v>8909</v>
      </c>
      <c r="C104" s="308" t="s">
        <v>4282</v>
      </c>
      <c r="D104" s="523"/>
    </row>
    <row r="105" spans="1:4">
      <c r="A105" s="307">
        <v>2587</v>
      </c>
      <c r="B105" t="s">
        <v>4340</v>
      </c>
      <c r="C105" s="308" t="s">
        <v>2322</v>
      </c>
      <c r="D105" s="523">
        <v>0.34</v>
      </c>
    </row>
    <row r="106" spans="1:4">
      <c r="A106" s="307">
        <v>14988</v>
      </c>
      <c r="B106" t="s">
        <v>8901</v>
      </c>
      <c r="C106" s="308" t="s">
        <v>3785</v>
      </c>
      <c r="D106" s="523"/>
    </row>
    <row r="107" spans="1:4">
      <c r="A107" s="307">
        <v>2700</v>
      </c>
      <c r="B107" t="s">
        <v>4026</v>
      </c>
      <c r="C107" s="308" t="s">
        <v>1738</v>
      </c>
      <c r="D107" s="523"/>
    </row>
    <row r="108" spans="1:4">
      <c r="A108" s="307">
        <v>10294</v>
      </c>
      <c r="B108" t="s">
        <v>8840</v>
      </c>
      <c r="C108" s="308" t="s">
        <v>4282</v>
      </c>
      <c r="D108" s="523"/>
    </row>
    <row r="109" spans="1:4">
      <c r="A109" s="307">
        <v>2976</v>
      </c>
      <c r="B109" t="s">
        <v>1246</v>
      </c>
      <c r="C109" s="308" t="s">
        <v>4959</v>
      </c>
      <c r="D109" s="523">
        <v>1213.4000000000001</v>
      </c>
    </row>
    <row r="110" spans="1:4">
      <c r="A110" s="307">
        <v>2164</v>
      </c>
      <c r="B110" t="s">
        <v>4028</v>
      </c>
      <c r="C110" s="308" t="s">
        <v>1738</v>
      </c>
      <c r="D110" s="523">
        <v>3121288.81</v>
      </c>
    </row>
    <row r="111" spans="1:4">
      <c r="A111" s="307">
        <v>2774</v>
      </c>
      <c r="B111" t="s">
        <v>5985</v>
      </c>
      <c r="C111" s="308"/>
      <c r="D111" s="523">
        <v>1218.1400000000001</v>
      </c>
    </row>
    <row r="112" spans="1:4">
      <c r="A112" s="307">
        <v>17811</v>
      </c>
      <c r="B112" t="s">
        <v>8881</v>
      </c>
      <c r="C112" s="308" t="s">
        <v>1736</v>
      </c>
      <c r="D112" s="523"/>
    </row>
    <row r="113" spans="1:4">
      <c r="A113" s="307">
        <v>2188</v>
      </c>
      <c r="B113" t="s">
        <v>2264</v>
      </c>
      <c r="C113" s="308" t="s">
        <v>1738</v>
      </c>
      <c r="D113" s="523">
        <v>387191.79000000004</v>
      </c>
    </row>
    <row r="114" spans="1:4">
      <c r="A114" s="307">
        <v>2950</v>
      </c>
      <c r="B114" t="s">
        <v>1742</v>
      </c>
      <c r="C114" s="308" t="s">
        <v>1738</v>
      </c>
      <c r="D114" s="523">
        <v>4824</v>
      </c>
    </row>
    <row r="115" spans="1:4">
      <c r="A115" s="307">
        <v>2119</v>
      </c>
      <c r="B115" t="s">
        <v>3288</v>
      </c>
      <c r="C115" s="308" t="s">
        <v>1738</v>
      </c>
      <c r="D115" s="523">
        <v>1977.2</v>
      </c>
    </row>
    <row r="116" spans="1:4">
      <c r="A116" s="307">
        <v>3509</v>
      </c>
      <c r="B116" t="s">
        <v>2894</v>
      </c>
      <c r="C116" s="308" t="s">
        <v>2316</v>
      </c>
      <c r="D116" s="523">
        <v>371.97</v>
      </c>
    </row>
    <row r="117" spans="1:4">
      <c r="A117" s="307">
        <v>3527</v>
      </c>
      <c r="B117" t="s">
        <v>2895</v>
      </c>
      <c r="C117" s="308" t="s">
        <v>2314</v>
      </c>
      <c r="D117" s="523">
        <v>365595.16</v>
      </c>
    </row>
    <row r="118" spans="1:4">
      <c r="A118" s="307">
        <v>18993</v>
      </c>
      <c r="B118" t="s">
        <v>427</v>
      </c>
      <c r="C118" s="308" t="s">
        <v>4959</v>
      </c>
      <c r="D118" s="523">
        <v>21610</v>
      </c>
    </row>
    <row r="119" spans="1:4">
      <c r="A119" s="307">
        <v>3466</v>
      </c>
      <c r="B119" t="s">
        <v>1184</v>
      </c>
      <c r="C119" s="308" t="s">
        <v>2311</v>
      </c>
      <c r="D119" s="523">
        <v>756949.57</v>
      </c>
    </row>
    <row r="120" spans="1:4">
      <c r="A120" s="307">
        <v>18997</v>
      </c>
      <c r="B120" t="s">
        <v>428</v>
      </c>
      <c r="C120" s="308" t="s">
        <v>1738</v>
      </c>
      <c r="D120" s="523">
        <v>95691</v>
      </c>
    </row>
    <row r="121" spans="1:4">
      <c r="A121" s="307">
        <v>2749</v>
      </c>
      <c r="B121" t="s">
        <v>6707</v>
      </c>
      <c r="C121" s="308"/>
      <c r="D121" s="523">
        <v>320724.42</v>
      </c>
    </row>
    <row r="122" spans="1:4">
      <c r="A122" s="307">
        <v>2933</v>
      </c>
      <c r="B122" t="s">
        <v>6543</v>
      </c>
      <c r="C122" s="308"/>
      <c r="D122" s="523">
        <v>16291</v>
      </c>
    </row>
    <row r="123" spans="1:4">
      <c r="A123" s="307">
        <v>3533</v>
      </c>
      <c r="B123" t="s">
        <v>4615</v>
      </c>
      <c r="C123" s="308" t="s">
        <v>2314</v>
      </c>
      <c r="D123" s="523">
        <v>2295.75</v>
      </c>
    </row>
    <row r="124" spans="1:4">
      <c r="A124" s="307">
        <v>2690</v>
      </c>
      <c r="B124" t="s">
        <v>4616</v>
      </c>
      <c r="C124" s="308" t="s">
        <v>2314</v>
      </c>
      <c r="D124" s="523">
        <v>1025.3900000000001</v>
      </c>
    </row>
    <row r="125" spans="1:4">
      <c r="A125" s="307">
        <v>13179</v>
      </c>
      <c r="B125" t="s">
        <v>3471</v>
      </c>
      <c r="C125" s="308" t="s">
        <v>1738</v>
      </c>
      <c r="D125" s="523">
        <v>0.56000000000000005</v>
      </c>
    </row>
    <row r="126" spans="1:4">
      <c r="A126" s="307">
        <v>2961</v>
      </c>
      <c r="B126" t="s">
        <v>932</v>
      </c>
      <c r="C126" s="308" t="s">
        <v>1738</v>
      </c>
      <c r="D126" s="523"/>
    </row>
    <row r="127" spans="1:4">
      <c r="A127" s="307">
        <v>2931</v>
      </c>
      <c r="B127" t="s">
        <v>6540</v>
      </c>
      <c r="C127" s="308"/>
      <c r="D127" s="523">
        <v>0</v>
      </c>
    </row>
    <row r="128" spans="1:4">
      <c r="A128" s="307">
        <v>2415</v>
      </c>
      <c r="B128" t="s">
        <v>429</v>
      </c>
      <c r="C128" s="308" t="s">
        <v>1738</v>
      </c>
      <c r="D128" s="523"/>
    </row>
    <row r="129" spans="1:4">
      <c r="A129" s="307">
        <v>18710</v>
      </c>
      <c r="B129" t="s">
        <v>2818</v>
      </c>
      <c r="C129" s="308" t="s">
        <v>1738</v>
      </c>
      <c r="D129" s="523">
        <v>3905</v>
      </c>
    </row>
    <row r="130" spans="1:4">
      <c r="A130" s="307">
        <v>2725</v>
      </c>
      <c r="B130" t="s">
        <v>3698</v>
      </c>
      <c r="C130" s="308" t="s">
        <v>1736</v>
      </c>
      <c r="D130" s="523">
        <v>64254.490000000005</v>
      </c>
    </row>
    <row r="131" spans="1:4">
      <c r="A131" s="307">
        <v>14613</v>
      </c>
      <c r="B131" t="s">
        <v>430</v>
      </c>
      <c r="C131" s="308" t="s">
        <v>1738</v>
      </c>
      <c r="D131" s="523">
        <v>16249</v>
      </c>
    </row>
    <row r="132" spans="1:4">
      <c r="A132" s="307">
        <v>3315</v>
      </c>
      <c r="B132" t="s">
        <v>3764</v>
      </c>
      <c r="C132" s="308" t="s">
        <v>1738</v>
      </c>
      <c r="D132" s="523">
        <v>55124.23</v>
      </c>
    </row>
    <row r="133" spans="1:4">
      <c r="A133" s="307">
        <v>11364</v>
      </c>
      <c r="B133" t="s">
        <v>6756</v>
      </c>
      <c r="C133" s="308"/>
      <c r="D133" s="523">
        <v>214</v>
      </c>
    </row>
    <row r="134" spans="1:4">
      <c r="A134" s="307">
        <v>2304</v>
      </c>
      <c r="B134" t="s">
        <v>4852</v>
      </c>
      <c r="C134" s="308" t="s">
        <v>1738</v>
      </c>
      <c r="D134" s="523">
        <v>43355.61</v>
      </c>
    </row>
    <row r="135" spans="1:4">
      <c r="A135" s="307">
        <v>2693</v>
      </c>
      <c r="B135" t="s">
        <v>4772</v>
      </c>
      <c r="C135" s="308" t="s">
        <v>1736</v>
      </c>
      <c r="D135" s="523"/>
    </row>
    <row r="136" spans="1:4">
      <c r="A136" s="307">
        <v>2118</v>
      </c>
      <c r="B136" t="s">
        <v>6541</v>
      </c>
      <c r="C136" s="308"/>
      <c r="D136" s="523">
        <v>166573.76999999999</v>
      </c>
    </row>
    <row r="137" spans="1:4">
      <c r="A137" s="307">
        <v>2957</v>
      </c>
      <c r="B137" t="s">
        <v>2768</v>
      </c>
      <c r="C137" s="308" t="s">
        <v>5194</v>
      </c>
      <c r="D137" s="523">
        <v>4222838.580000001</v>
      </c>
    </row>
    <row r="138" spans="1:4">
      <c r="A138" s="307">
        <v>2711</v>
      </c>
      <c r="B138" t="s">
        <v>732</v>
      </c>
      <c r="C138" s="308" t="s">
        <v>5197</v>
      </c>
      <c r="D138" s="523"/>
    </row>
    <row r="139" spans="1:4">
      <c r="A139" s="307">
        <v>3182</v>
      </c>
      <c r="B139" t="s">
        <v>2699</v>
      </c>
      <c r="C139" s="308" t="s">
        <v>1738</v>
      </c>
      <c r="D139" s="523">
        <v>24</v>
      </c>
    </row>
    <row r="140" spans="1:4">
      <c r="A140" s="307">
        <v>3535</v>
      </c>
      <c r="B140" t="s">
        <v>3158</v>
      </c>
      <c r="C140" s="308" t="s">
        <v>1736</v>
      </c>
      <c r="D140" s="523">
        <v>2077.37</v>
      </c>
    </row>
    <row r="141" spans="1:4">
      <c r="A141" s="307">
        <v>11379</v>
      </c>
      <c r="B141" t="s">
        <v>3319</v>
      </c>
      <c r="C141" s="308"/>
      <c r="D141" s="523">
        <v>0.12</v>
      </c>
    </row>
    <row r="142" spans="1:4">
      <c r="A142" s="307">
        <v>2368</v>
      </c>
      <c r="B142" t="s">
        <v>1481</v>
      </c>
      <c r="C142" s="308" t="s">
        <v>1738</v>
      </c>
      <c r="D142" s="523"/>
    </row>
    <row r="143" spans="1:4">
      <c r="A143" s="307">
        <v>2607</v>
      </c>
      <c r="B143" t="s">
        <v>1273</v>
      </c>
      <c r="C143" s="308" t="s">
        <v>2322</v>
      </c>
      <c r="D143" s="523"/>
    </row>
    <row r="144" spans="1:4">
      <c r="A144" s="307">
        <v>2274</v>
      </c>
      <c r="B144" t="s">
        <v>3156</v>
      </c>
      <c r="C144" s="308" t="s">
        <v>1738</v>
      </c>
      <c r="D144" s="523"/>
    </row>
    <row r="145" spans="1:4">
      <c r="A145" s="307">
        <v>3367</v>
      </c>
      <c r="B145" t="s">
        <v>4341</v>
      </c>
      <c r="C145" s="308" t="s">
        <v>1741</v>
      </c>
      <c r="D145" s="523">
        <v>154.06</v>
      </c>
    </row>
    <row r="146" spans="1:4">
      <c r="A146" s="307">
        <v>3177</v>
      </c>
      <c r="B146" t="s">
        <v>385</v>
      </c>
      <c r="C146" s="308" t="s">
        <v>1738</v>
      </c>
      <c r="D146" s="523"/>
    </row>
    <row r="147" spans="1:4">
      <c r="A147" s="307">
        <v>17223</v>
      </c>
      <c r="B147" t="s">
        <v>431</v>
      </c>
      <c r="C147" s="308" t="s">
        <v>1738</v>
      </c>
      <c r="D147" s="523">
        <v>852925</v>
      </c>
    </row>
    <row r="148" spans="1:4">
      <c r="A148" s="403">
        <v>12090</v>
      </c>
      <c r="B148" s="403" t="s">
        <v>9164</v>
      </c>
      <c r="C148" s="308" t="s">
        <v>1738</v>
      </c>
      <c r="D148" s="523">
        <v>300</v>
      </c>
    </row>
    <row r="149" spans="1:4">
      <c r="A149" s="307">
        <v>13982</v>
      </c>
      <c r="B149" t="s">
        <v>8885</v>
      </c>
      <c r="C149" s="308" t="s">
        <v>4282</v>
      </c>
      <c r="D149" s="523"/>
    </row>
    <row r="150" spans="1:4">
      <c r="A150" s="307">
        <v>2675</v>
      </c>
      <c r="B150" t="s">
        <v>432</v>
      </c>
      <c r="C150" s="308" t="s">
        <v>2316</v>
      </c>
      <c r="D150" s="523">
        <v>3360.65</v>
      </c>
    </row>
    <row r="151" spans="1:4">
      <c r="A151" s="307">
        <v>3112</v>
      </c>
      <c r="B151" t="s">
        <v>616</v>
      </c>
      <c r="C151" s="308" t="s">
        <v>1738</v>
      </c>
      <c r="D151" s="523">
        <v>0</v>
      </c>
    </row>
    <row r="152" spans="1:4">
      <c r="A152" s="307">
        <v>3201</v>
      </c>
      <c r="B152" t="s">
        <v>433</v>
      </c>
      <c r="C152" s="308" t="s">
        <v>434</v>
      </c>
      <c r="D152" s="523"/>
    </row>
    <row r="153" spans="1:4">
      <c r="A153" s="307">
        <v>13284</v>
      </c>
      <c r="B153" t="s">
        <v>8875</v>
      </c>
      <c r="C153" s="308" t="s">
        <v>4282</v>
      </c>
      <c r="D153" s="523">
        <v>82.19</v>
      </c>
    </row>
    <row r="154" spans="1:4">
      <c r="A154" s="307">
        <v>3148</v>
      </c>
      <c r="B154" t="s">
        <v>24</v>
      </c>
      <c r="C154" s="308" t="s">
        <v>1738</v>
      </c>
      <c r="D154" s="523"/>
    </row>
    <row r="155" spans="1:4">
      <c r="A155" s="307">
        <v>17470</v>
      </c>
      <c r="B155" t="s">
        <v>435</v>
      </c>
      <c r="C155" s="308" t="s">
        <v>1736</v>
      </c>
      <c r="D155" s="523">
        <v>1.5</v>
      </c>
    </row>
    <row r="156" spans="1:4">
      <c r="A156" s="307">
        <v>2156</v>
      </c>
      <c r="B156" t="s">
        <v>2769</v>
      </c>
      <c r="C156" s="308" t="s">
        <v>5194</v>
      </c>
      <c r="D156" s="523">
        <v>2846.47</v>
      </c>
    </row>
    <row r="157" spans="1:4">
      <c r="A157" s="307">
        <v>19010</v>
      </c>
      <c r="B157" t="s">
        <v>8844</v>
      </c>
      <c r="C157" s="308" t="s">
        <v>4282</v>
      </c>
      <c r="D157" s="523"/>
    </row>
    <row r="158" spans="1:4">
      <c r="A158" s="307">
        <v>3513</v>
      </c>
      <c r="B158" t="s">
        <v>711</v>
      </c>
      <c r="C158" s="308" t="s">
        <v>2316</v>
      </c>
      <c r="D158" s="523">
        <v>5165968.5</v>
      </c>
    </row>
    <row r="159" spans="1:4">
      <c r="A159" s="307">
        <v>2955</v>
      </c>
      <c r="B159" t="s">
        <v>2551</v>
      </c>
      <c r="C159" s="308" t="s">
        <v>1738</v>
      </c>
      <c r="D159" s="523">
        <v>653695.15</v>
      </c>
    </row>
    <row r="160" spans="1:4">
      <c r="A160" s="307">
        <v>2205</v>
      </c>
      <c r="B160" t="s">
        <v>25</v>
      </c>
      <c r="C160" s="308" t="s">
        <v>3786</v>
      </c>
      <c r="D160" s="523"/>
    </row>
    <row r="161" spans="1:4">
      <c r="A161" s="307">
        <v>11264</v>
      </c>
      <c r="B161" t="s">
        <v>3320</v>
      </c>
      <c r="C161" s="308"/>
      <c r="D161" s="523"/>
    </row>
    <row r="162" spans="1:4">
      <c r="A162" s="307">
        <v>3455</v>
      </c>
      <c r="B162" t="s">
        <v>436</v>
      </c>
      <c r="C162" s="308" t="s">
        <v>1737</v>
      </c>
      <c r="D162" s="523">
        <v>30.25</v>
      </c>
    </row>
    <row r="163" spans="1:4">
      <c r="A163" s="307">
        <v>2877</v>
      </c>
      <c r="B163" t="s">
        <v>4429</v>
      </c>
      <c r="C163" s="308" t="s">
        <v>1738</v>
      </c>
      <c r="D163" s="523">
        <v>321.94000000000005</v>
      </c>
    </row>
    <row r="164" spans="1:4">
      <c r="A164" s="813">
        <v>18498</v>
      </c>
      <c r="B164" s="813" t="s">
        <v>9173</v>
      </c>
      <c r="C164" s="308" t="s">
        <v>1740</v>
      </c>
      <c r="D164" s="523"/>
    </row>
    <row r="165" spans="1:4">
      <c r="A165" s="307">
        <v>10096</v>
      </c>
      <c r="B165" t="s">
        <v>8877</v>
      </c>
      <c r="C165" s="308" t="s">
        <v>2310</v>
      </c>
      <c r="D165" s="523"/>
    </row>
    <row r="166" spans="1:4">
      <c r="A166" s="307">
        <v>17293</v>
      </c>
      <c r="B166" t="s">
        <v>6757</v>
      </c>
      <c r="C166" s="308"/>
      <c r="D166" s="523">
        <v>52.88</v>
      </c>
    </row>
    <row r="167" spans="1:4">
      <c r="A167" s="307">
        <v>3548</v>
      </c>
      <c r="B167" t="s">
        <v>3477</v>
      </c>
      <c r="C167" s="308" t="s">
        <v>1736</v>
      </c>
      <c r="D167" s="523"/>
    </row>
    <row r="168" spans="1:4">
      <c r="A168" s="307">
        <v>2148</v>
      </c>
      <c r="B168" t="s">
        <v>437</v>
      </c>
      <c r="C168" s="308" t="s">
        <v>1738</v>
      </c>
      <c r="D168" s="523"/>
    </row>
    <row r="169" spans="1:4">
      <c r="A169" s="307">
        <v>15055</v>
      </c>
      <c r="B169" t="s">
        <v>6358</v>
      </c>
      <c r="C169" s="308"/>
      <c r="D169" s="523">
        <v>77.59</v>
      </c>
    </row>
    <row r="170" spans="1:4">
      <c r="A170" s="307">
        <v>2908</v>
      </c>
      <c r="B170" t="s">
        <v>1056</v>
      </c>
      <c r="C170" s="308" t="s">
        <v>1738</v>
      </c>
      <c r="D170" s="523">
        <v>440</v>
      </c>
    </row>
    <row r="171" spans="1:4">
      <c r="A171" s="307">
        <v>2355</v>
      </c>
      <c r="B171" t="s">
        <v>438</v>
      </c>
      <c r="C171" s="308" t="s">
        <v>1738</v>
      </c>
      <c r="D171" s="523"/>
    </row>
    <row r="172" spans="1:4">
      <c r="A172" s="307">
        <v>2201</v>
      </c>
      <c r="B172" t="s">
        <v>439</v>
      </c>
      <c r="C172" s="308" t="s">
        <v>1738</v>
      </c>
      <c r="D172" s="523"/>
    </row>
    <row r="173" spans="1:4">
      <c r="A173" s="307">
        <v>2787</v>
      </c>
      <c r="B173" t="s">
        <v>6758</v>
      </c>
      <c r="C173" s="308"/>
      <c r="D173" s="523"/>
    </row>
    <row r="174" spans="1:4">
      <c r="A174" s="307">
        <v>3406</v>
      </c>
      <c r="B174" t="s">
        <v>440</v>
      </c>
      <c r="C174" s="308" t="s">
        <v>2322</v>
      </c>
      <c r="D174" s="523"/>
    </row>
    <row r="175" spans="1:4">
      <c r="A175" s="307">
        <v>19045</v>
      </c>
      <c r="B175" t="s">
        <v>441</v>
      </c>
      <c r="C175" s="308" t="s">
        <v>1738</v>
      </c>
      <c r="D175" s="523"/>
    </row>
    <row r="176" spans="1:4">
      <c r="A176" s="307">
        <v>2593</v>
      </c>
      <c r="B176" t="s">
        <v>442</v>
      </c>
      <c r="C176" s="308" t="s">
        <v>2322</v>
      </c>
      <c r="D176" s="523"/>
    </row>
    <row r="177" spans="1:4">
      <c r="A177" s="307">
        <v>2783</v>
      </c>
      <c r="B177" t="s">
        <v>443</v>
      </c>
      <c r="C177" s="308" t="s">
        <v>1740</v>
      </c>
      <c r="D177" s="523">
        <v>1598404.82</v>
      </c>
    </row>
    <row r="178" spans="1:4">
      <c r="A178" s="307">
        <v>17471</v>
      </c>
      <c r="B178" t="s">
        <v>444</v>
      </c>
      <c r="C178" s="308" t="s">
        <v>1736</v>
      </c>
      <c r="D178" s="523">
        <v>0.2</v>
      </c>
    </row>
    <row r="179" spans="1:4">
      <c r="A179" s="307">
        <v>15526</v>
      </c>
      <c r="B179" t="s">
        <v>8913</v>
      </c>
      <c r="C179" s="308" t="s">
        <v>4282</v>
      </c>
      <c r="D179" s="523"/>
    </row>
    <row r="180" spans="1:4">
      <c r="A180" s="307">
        <v>2784</v>
      </c>
      <c r="B180" t="s">
        <v>5987</v>
      </c>
      <c r="C180" s="308"/>
      <c r="D180" s="523">
        <v>10224755.5</v>
      </c>
    </row>
    <row r="181" spans="1:4">
      <c r="A181" s="307">
        <v>3441</v>
      </c>
      <c r="B181" t="s">
        <v>5235</v>
      </c>
      <c r="C181" s="308" t="s">
        <v>1737</v>
      </c>
      <c r="D181" s="523">
        <v>1.34</v>
      </c>
    </row>
    <row r="182" spans="1:4">
      <c r="A182" s="307">
        <v>2203</v>
      </c>
      <c r="B182" t="s">
        <v>2552</v>
      </c>
      <c r="C182" s="308" t="s">
        <v>3786</v>
      </c>
      <c r="D182" s="523">
        <v>5509.86</v>
      </c>
    </row>
    <row r="183" spans="1:4">
      <c r="A183" s="307">
        <v>3510</v>
      </c>
      <c r="B183" t="s">
        <v>2700</v>
      </c>
      <c r="C183" s="308" t="s">
        <v>2316</v>
      </c>
      <c r="D183" s="523">
        <v>1677.43</v>
      </c>
    </row>
    <row r="184" spans="1:4">
      <c r="A184" s="307">
        <v>2550</v>
      </c>
      <c r="B184" t="s">
        <v>3154</v>
      </c>
      <c r="C184" s="308" t="s">
        <v>1739</v>
      </c>
      <c r="D184" s="523">
        <v>0</v>
      </c>
    </row>
    <row r="185" spans="1:4">
      <c r="A185" s="307">
        <v>10093</v>
      </c>
      <c r="B185" t="s">
        <v>6759</v>
      </c>
      <c r="C185" s="308"/>
      <c r="D185" s="523">
        <v>5</v>
      </c>
    </row>
    <row r="186" spans="1:4">
      <c r="A186" s="307">
        <v>2298</v>
      </c>
      <c r="B186" t="s">
        <v>4016</v>
      </c>
      <c r="C186" s="308" t="s">
        <v>1738</v>
      </c>
      <c r="D186" s="523">
        <v>734.34</v>
      </c>
    </row>
    <row r="187" spans="1:4">
      <c r="A187" s="307">
        <v>2291</v>
      </c>
      <c r="B187" t="s">
        <v>3701</v>
      </c>
      <c r="C187" s="308" t="s">
        <v>2319</v>
      </c>
      <c r="D187" s="523">
        <v>235742.37</v>
      </c>
    </row>
    <row r="188" spans="1:4">
      <c r="A188" s="307">
        <v>2940</v>
      </c>
      <c r="B188" t="s">
        <v>2519</v>
      </c>
      <c r="C188" s="308" t="s">
        <v>1738</v>
      </c>
      <c r="D188" s="523">
        <v>844.7</v>
      </c>
    </row>
    <row r="189" spans="1:4">
      <c r="A189" s="307">
        <v>3497</v>
      </c>
      <c r="B189" t="s">
        <v>5072</v>
      </c>
      <c r="C189" s="308" t="s">
        <v>1736</v>
      </c>
      <c r="D189" s="523"/>
    </row>
    <row r="190" spans="1:4">
      <c r="A190" s="307">
        <v>2566</v>
      </c>
      <c r="B190" t="s">
        <v>1048</v>
      </c>
      <c r="C190" s="308" t="s">
        <v>1738</v>
      </c>
      <c r="D190" s="523"/>
    </row>
    <row r="191" spans="1:4">
      <c r="A191" s="307">
        <v>18785</v>
      </c>
      <c r="B191" t="s">
        <v>2484</v>
      </c>
      <c r="C191" s="308" t="s">
        <v>1738</v>
      </c>
      <c r="D191" s="523">
        <v>400</v>
      </c>
    </row>
    <row r="192" spans="1:4">
      <c r="A192" s="307">
        <v>3384</v>
      </c>
      <c r="B192" t="s">
        <v>5070</v>
      </c>
      <c r="C192" s="308" t="s">
        <v>1738</v>
      </c>
      <c r="D192" s="523">
        <v>246.19</v>
      </c>
    </row>
    <row r="193" spans="1:4">
      <c r="A193" s="307">
        <v>3508</v>
      </c>
      <c r="B193" t="s">
        <v>445</v>
      </c>
      <c r="C193" s="308" t="s">
        <v>2316</v>
      </c>
      <c r="D193" s="523">
        <v>5847.52</v>
      </c>
    </row>
    <row r="194" spans="1:4">
      <c r="A194" s="307">
        <v>2666</v>
      </c>
      <c r="B194" t="s">
        <v>446</v>
      </c>
      <c r="C194" s="308" t="s">
        <v>2316</v>
      </c>
      <c r="D194" s="523"/>
    </row>
    <row r="195" spans="1:4">
      <c r="A195" s="307">
        <v>3345</v>
      </c>
      <c r="B195" t="s">
        <v>4725</v>
      </c>
      <c r="C195" s="308" t="s">
        <v>1738</v>
      </c>
      <c r="D195" s="523">
        <v>5</v>
      </c>
    </row>
    <row r="196" spans="1:4">
      <c r="A196" s="307">
        <v>3050</v>
      </c>
      <c r="B196" t="s">
        <v>2544</v>
      </c>
      <c r="C196" s="308" t="s">
        <v>1738</v>
      </c>
      <c r="D196" s="523">
        <v>6416.9</v>
      </c>
    </row>
    <row r="197" spans="1:4">
      <c r="A197" s="307">
        <v>16342</v>
      </c>
      <c r="B197" t="s">
        <v>5073</v>
      </c>
      <c r="C197" s="308" t="s">
        <v>3790</v>
      </c>
      <c r="D197" s="523"/>
    </row>
    <row r="198" spans="1:4">
      <c r="A198" s="307">
        <v>14380</v>
      </c>
      <c r="B198" t="s">
        <v>8887</v>
      </c>
      <c r="C198" s="308" t="s">
        <v>4282</v>
      </c>
      <c r="D198" s="523"/>
    </row>
    <row r="199" spans="1:4">
      <c r="A199" s="307">
        <v>2586</v>
      </c>
      <c r="B199" t="s">
        <v>3602</v>
      </c>
      <c r="C199" s="308" t="s">
        <v>2322</v>
      </c>
      <c r="D199" s="523">
        <v>55776</v>
      </c>
    </row>
    <row r="200" spans="1:4">
      <c r="A200" s="307">
        <v>2319</v>
      </c>
      <c r="B200" t="s">
        <v>526</v>
      </c>
      <c r="C200" s="308" t="s">
        <v>1738</v>
      </c>
      <c r="D200" s="523">
        <v>322</v>
      </c>
    </row>
    <row r="201" spans="1:4">
      <c r="A201" s="307">
        <v>2710</v>
      </c>
      <c r="B201" t="s">
        <v>447</v>
      </c>
      <c r="C201" s="308" t="s">
        <v>1736</v>
      </c>
      <c r="D201" s="523">
        <v>0</v>
      </c>
    </row>
    <row r="202" spans="1:4">
      <c r="A202" s="307">
        <v>2267</v>
      </c>
      <c r="B202" t="s">
        <v>4922</v>
      </c>
      <c r="C202" s="308" t="s">
        <v>1738</v>
      </c>
      <c r="D202" s="523">
        <v>11867.48</v>
      </c>
    </row>
    <row r="203" spans="1:4">
      <c r="A203" s="307">
        <v>18489</v>
      </c>
      <c r="B203" t="s">
        <v>448</v>
      </c>
      <c r="C203" s="308" t="s">
        <v>1738</v>
      </c>
      <c r="D203" s="523">
        <v>3400</v>
      </c>
    </row>
    <row r="204" spans="1:4">
      <c r="A204" s="307">
        <v>2153</v>
      </c>
      <c r="B204" t="s">
        <v>2936</v>
      </c>
      <c r="C204" s="308" t="s">
        <v>1738</v>
      </c>
      <c r="D204" s="523">
        <v>702.08</v>
      </c>
    </row>
    <row r="205" spans="1:4">
      <c r="A205" s="307">
        <v>2956</v>
      </c>
      <c r="B205" t="s">
        <v>4800</v>
      </c>
      <c r="C205" s="308" t="s">
        <v>1738</v>
      </c>
      <c r="D205" s="523"/>
    </row>
    <row r="206" spans="1:4">
      <c r="A206" s="307">
        <v>3486</v>
      </c>
      <c r="B206" t="s">
        <v>5481</v>
      </c>
      <c r="C206" s="308" t="s">
        <v>1737</v>
      </c>
      <c r="D206" s="523">
        <v>23</v>
      </c>
    </row>
    <row r="207" spans="1:4">
      <c r="A207" s="307">
        <v>2344</v>
      </c>
      <c r="B207" t="s">
        <v>2385</v>
      </c>
      <c r="C207" s="308" t="s">
        <v>1738</v>
      </c>
      <c r="D207" s="523">
        <v>0</v>
      </c>
    </row>
    <row r="208" spans="1:4">
      <c r="A208" s="307">
        <v>3382</v>
      </c>
      <c r="B208" t="s">
        <v>5482</v>
      </c>
      <c r="C208" s="308" t="s">
        <v>1738</v>
      </c>
      <c r="D208" s="523">
        <v>2572847.6999999997</v>
      </c>
    </row>
    <row r="209" spans="1:4">
      <c r="A209" s="307">
        <v>2516</v>
      </c>
      <c r="B209" t="s">
        <v>5483</v>
      </c>
      <c r="C209" s="308" t="s">
        <v>1738</v>
      </c>
      <c r="D209" s="523"/>
    </row>
    <row r="210" spans="1:4">
      <c r="A210" s="307">
        <v>3573</v>
      </c>
      <c r="B210" t="s">
        <v>5484</v>
      </c>
      <c r="C210" s="308" t="s">
        <v>1736</v>
      </c>
      <c r="D210" s="523">
        <v>29734</v>
      </c>
    </row>
    <row r="211" spans="1:4">
      <c r="A211" s="307">
        <v>3504</v>
      </c>
      <c r="B211" t="s">
        <v>2244</v>
      </c>
      <c r="C211" s="308"/>
      <c r="D211" s="523">
        <v>702.61999999999989</v>
      </c>
    </row>
    <row r="212" spans="1:4">
      <c r="A212" s="307">
        <v>3429</v>
      </c>
      <c r="B212" t="s">
        <v>5485</v>
      </c>
      <c r="C212" s="308" t="s">
        <v>2322</v>
      </c>
      <c r="D212" s="523">
        <v>40543</v>
      </c>
    </row>
    <row r="213" spans="1:4">
      <c r="A213" s="307">
        <v>2180</v>
      </c>
      <c r="B213" t="s">
        <v>3165</v>
      </c>
      <c r="C213" s="308" t="s">
        <v>1738</v>
      </c>
      <c r="D213" s="523"/>
    </row>
    <row r="214" spans="1:4">
      <c r="A214" s="307">
        <v>2746</v>
      </c>
      <c r="B214" t="s">
        <v>3166</v>
      </c>
      <c r="C214" s="308" t="s">
        <v>2310</v>
      </c>
      <c r="D214" s="523">
        <v>107317.57</v>
      </c>
    </row>
    <row r="215" spans="1:4">
      <c r="A215" s="307">
        <v>18996</v>
      </c>
      <c r="B215" t="s">
        <v>5988</v>
      </c>
      <c r="C215" s="308"/>
      <c r="D215" s="523">
        <v>268660</v>
      </c>
    </row>
    <row r="216" spans="1:4">
      <c r="A216" s="307">
        <v>10686</v>
      </c>
      <c r="B216" t="s">
        <v>8846</v>
      </c>
      <c r="C216" s="308" t="s">
        <v>4282</v>
      </c>
      <c r="D216" s="523"/>
    </row>
    <row r="217" spans="1:4">
      <c r="A217" s="307">
        <v>18782</v>
      </c>
      <c r="B217" t="s">
        <v>449</v>
      </c>
      <c r="C217" s="308" t="s">
        <v>2316</v>
      </c>
      <c r="D217" s="523">
        <v>415</v>
      </c>
    </row>
    <row r="218" spans="1:4">
      <c r="A218" s="307">
        <v>3488</v>
      </c>
      <c r="B218" t="s">
        <v>2285</v>
      </c>
      <c r="C218" s="308"/>
      <c r="D218" s="523">
        <v>4</v>
      </c>
    </row>
    <row r="219" spans="1:4">
      <c r="A219" s="307">
        <v>2630</v>
      </c>
      <c r="B219" t="s">
        <v>1049</v>
      </c>
      <c r="C219" s="308" t="s">
        <v>2311</v>
      </c>
      <c r="D219" s="523"/>
    </row>
    <row r="220" spans="1:4">
      <c r="A220" s="307">
        <v>2792</v>
      </c>
      <c r="B220" t="s">
        <v>1055</v>
      </c>
      <c r="C220" s="308"/>
      <c r="D220" s="523"/>
    </row>
    <row r="221" spans="1:4">
      <c r="A221" s="307">
        <v>2709</v>
      </c>
      <c r="B221" t="s">
        <v>450</v>
      </c>
      <c r="C221" s="308" t="s">
        <v>1736</v>
      </c>
      <c r="D221" s="523"/>
    </row>
    <row r="222" spans="1:4">
      <c r="A222" s="307">
        <v>2512</v>
      </c>
      <c r="B222" t="s">
        <v>94</v>
      </c>
      <c r="C222" s="308" t="s">
        <v>1738</v>
      </c>
      <c r="D222" s="523">
        <v>174805.8</v>
      </c>
    </row>
    <row r="223" spans="1:4">
      <c r="A223" s="307">
        <v>18545</v>
      </c>
      <c r="B223" t="s">
        <v>6760</v>
      </c>
      <c r="C223" s="308"/>
      <c r="D223" s="523">
        <v>1.51</v>
      </c>
    </row>
    <row r="224" spans="1:4">
      <c r="A224" s="307">
        <v>2608</v>
      </c>
      <c r="B224" t="s">
        <v>2609</v>
      </c>
      <c r="C224" s="308" t="s">
        <v>2322</v>
      </c>
      <c r="D224" s="523">
        <v>257924.5</v>
      </c>
    </row>
    <row r="225" spans="1:4">
      <c r="A225" s="307">
        <v>3405</v>
      </c>
      <c r="B225" t="s">
        <v>3765</v>
      </c>
      <c r="C225" s="308" t="s">
        <v>2322</v>
      </c>
      <c r="D225" s="523">
        <v>751493.56</v>
      </c>
    </row>
    <row r="226" spans="1:4">
      <c r="A226" s="307">
        <v>2384</v>
      </c>
      <c r="B226" t="s">
        <v>3702</v>
      </c>
      <c r="C226" s="308" t="s">
        <v>1738</v>
      </c>
      <c r="D226" s="523">
        <v>228608.12000000002</v>
      </c>
    </row>
    <row r="227" spans="1:4">
      <c r="A227" s="307">
        <v>3537</v>
      </c>
      <c r="B227" t="s">
        <v>451</v>
      </c>
      <c r="C227" s="308" t="s">
        <v>1736</v>
      </c>
      <c r="D227" s="523">
        <v>40</v>
      </c>
    </row>
    <row r="228" spans="1:4">
      <c r="A228" s="307">
        <v>2517</v>
      </c>
      <c r="B228" t="s">
        <v>3664</v>
      </c>
      <c r="C228" s="308" t="s">
        <v>1738</v>
      </c>
      <c r="D228" s="523"/>
    </row>
    <row r="229" spans="1:4">
      <c r="A229" s="307">
        <v>17576</v>
      </c>
      <c r="B229" t="s">
        <v>4193</v>
      </c>
      <c r="C229" s="308" t="s">
        <v>1738</v>
      </c>
      <c r="D229" s="523">
        <v>3.87</v>
      </c>
    </row>
    <row r="230" spans="1:4">
      <c r="A230" s="307">
        <v>2294</v>
      </c>
      <c r="B230" t="s">
        <v>4194</v>
      </c>
      <c r="C230" s="308" t="s">
        <v>1738</v>
      </c>
      <c r="D230" s="523">
        <v>3.25</v>
      </c>
    </row>
    <row r="231" spans="1:4">
      <c r="A231" s="307">
        <v>2323</v>
      </c>
      <c r="B231" t="s">
        <v>3957</v>
      </c>
      <c r="C231" s="308" t="s">
        <v>1738</v>
      </c>
      <c r="D231" s="523">
        <v>1.25</v>
      </c>
    </row>
    <row r="232" spans="1:4">
      <c r="A232" s="307">
        <v>16074</v>
      </c>
      <c r="B232" t="s">
        <v>4195</v>
      </c>
      <c r="C232" s="308" t="s">
        <v>2323</v>
      </c>
      <c r="D232" s="523"/>
    </row>
    <row r="233" spans="1:4">
      <c r="A233" s="307">
        <v>2959</v>
      </c>
      <c r="B233" t="s">
        <v>1043</v>
      </c>
      <c r="C233" s="308" t="s">
        <v>1738</v>
      </c>
      <c r="D233" s="523">
        <v>396.34000000000003</v>
      </c>
    </row>
    <row r="234" spans="1:4">
      <c r="A234" s="307">
        <v>3193</v>
      </c>
      <c r="B234" t="s">
        <v>4196</v>
      </c>
      <c r="C234" s="308" t="s">
        <v>1738</v>
      </c>
      <c r="D234" s="523">
        <v>17</v>
      </c>
    </row>
    <row r="235" spans="1:4">
      <c r="A235" s="307">
        <v>2398</v>
      </c>
      <c r="B235" t="s">
        <v>5257</v>
      </c>
      <c r="C235" s="308" t="s">
        <v>1738</v>
      </c>
      <c r="D235" s="523"/>
    </row>
    <row r="236" spans="1:4">
      <c r="A236" s="307">
        <v>2513</v>
      </c>
      <c r="B236" t="s">
        <v>4197</v>
      </c>
      <c r="C236" s="308" t="s">
        <v>1738</v>
      </c>
      <c r="D236" s="523">
        <v>10</v>
      </c>
    </row>
    <row r="237" spans="1:4">
      <c r="A237" s="307">
        <v>3636</v>
      </c>
      <c r="B237" t="s">
        <v>4726</v>
      </c>
      <c r="C237" s="308"/>
      <c r="D237" s="523">
        <v>3467074.3</v>
      </c>
    </row>
    <row r="238" spans="1:4">
      <c r="A238" s="307">
        <v>17115</v>
      </c>
      <c r="B238" t="s">
        <v>6761</v>
      </c>
      <c r="C238" s="308"/>
      <c r="D238" s="523">
        <v>3</v>
      </c>
    </row>
    <row r="239" spans="1:4">
      <c r="A239" s="307">
        <v>2966</v>
      </c>
      <c r="B239" t="s">
        <v>1869</v>
      </c>
      <c r="C239" s="308" t="s">
        <v>5194</v>
      </c>
      <c r="D239" s="523">
        <v>5706381.4699999997</v>
      </c>
    </row>
    <row r="240" spans="1:4">
      <c r="A240" s="307">
        <v>18709</v>
      </c>
      <c r="B240" t="s">
        <v>908</v>
      </c>
      <c r="C240" s="308" t="s">
        <v>1738</v>
      </c>
      <c r="D240" s="523">
        <v>4418</v>
      </c>
    </row>
    <row r="241" spans="1:4">
      <c r="A241" s="307">
        <v>2122</v>
      </c>
      <c r="B241" t="s">
        <v>4162</v>
      </c>
      <c r="C241" s="308" t="s">
        <v>1738</v>
      </c>
      <c r="D241" s="523">
        <v>2</v>
      </c>
    </row>
    <row r="242" spans="1:4">
      <c r="A242" s="307">
        <v>3073</v>
      </c>
      <c r="B242" t="s">
        <v>2646</v>
      </c>
      <c r="C242" s="308" t="s">
        <v>1738</v>
      </c>
      <c r="D242" s="523"/>
    </row>
    <row r="243" spans="1:4">
      <c r="A243" s="307">
        <v>2597</v>
      </c>
      <c r="B243" t="s">
        <v>4198</v>
      </c>
      <c r="C243" s="308" t="s">
        <v>2322</v>
      </c>
      <c r="D243" s="523">
        <v>306.14999999999998</v>
      </c>
    </row>
    <row r="244" spans="1:4">
      <c r="A244" s="307">
        <v>3516</v>
      </c>
      <c r="B244" t="s">
        <v>1275</v>
      </c>
      <c r="C244" s="308" t="s">
        <v>2318</v>
      </c>
      <c r="D244" s="523">
        <v>35.1</v>
      </c>
    </row>
    <row r="245" spans="1:4">
      <c r="A245" s="307">
        <v>6817</v>
      </c>
      <c r="B245" t="s">
        <v>6762</v>
      </c>
      <c r="C245" s="308"/>
      <c r="D245" s="523"/>
    </row>
    <row r="246" spans="1:4">
      <c r="A246" s="307">
        <v>3119</v>
      </c>
      <c r="B246" t="s">
        <v>3478</v>
      </c>
      <c r="C246" s="308" t="s">
        <v>1738</v>
      </c>
      <c r="D246" s="523">
        <v>117.59</v>
      </c>
    </row>
    <row r="247" spans="1:4">
      <c r="A247" s="307">
        <v>3627</v>
      </c>
      <c r="B247" t="s">
        <v>4199</v>
      </c>
      <c r="C247" s="308" t="s">
        <v>1738</v>
      </c>
      <c r="D247" s="523">
        <v>6800</v>
      </c>
    </row>
    <row r="248" spans="1:4">
      <c r="A248" s="307">
        <v>16111</v>
      </c>
      <c r="B248" t="s">
        <v>8907</v>
      </c>
      <c r="C248" s="308" t="s">
        <v>2311</v>
      </c>
      <c r="D248" s="523">
        <v>157712</v>
      </c>
    </row>
    <row r="249" spans="1:4">
      <c r="A249" s="307">
        <v>2691</v>
      </c>
      <c r="B249" t="s">
        <v>1488</v>
      </c>
      <c r="C249" s="308" t="s">
        <v>2314</v>
      </c>
      <c r="D249" s="523">
        <v>112855.84</v>
      </c>
    </row>
    <row r="250" spans="1:4">
      <c r="A250" s="307">
        <v>3626</v>
      </c>
      <c r="B250" t="s">
        <v>1452</v>
      </c>
      <c r="C250" s="308"/>
      <c r="D250" s="523">
        <v>33.29</v>
      </c>
    </row>
    <row r="251" spans="1:4">
      <c r="A251" s="307">
        <v>2422</v>
      </c>
      <c r="B251" t="s">
        <v>4200</v>
      </c>
      <c r="C251" s="308" t="s">
        <v>1738</v>
      </c>
      <c r="D251" s="523"/>
    </row>
    <row r="252" spans="1:4">
      <c r="A252" s="307">
        <v>3408</v>
      </c>
      <c r="B252" t="s">
        <v>715</v>
      </c>
      <c r="C252" s="308" t="s">
        <v>2322</v>
      </c>
      <c r="D252" s="523"/>
    </row>
    <row r="253" spans="1:4">
      <c r="A253" s="307">
        <v>3605</v>
      </c>
      <c r="B253" t="s">
        <v>736</v>
      </c>
      <c r="C253" s="308" t="s">
        <v>2310</v>
      </c>
      <c r="D253" s="523">
        <v>0</v>
      </c>
    </row>
    <row r="254" spans="1:4">
      <c r="A254" s="307">
        <v>3542</v>
      </c>
      <c r="B254" t="s">
        <v>3470</v>
      </c>
      <c r="C254" s="308" t="s">
        <v>1738</v>
      </c>
      <c r="D254" s="523">
        <v>4135.7699999999995</v>
      </c>
    </row>
    <row r="255" spans="1:4">
      <c r="A255" s="307">
        <v>3383</v>
      </c>
      <c r="B255" t="s">
        <v>5488</v>
      </c>
      <c r="C255" s="308" t="s">
        <v>1738</v>
      </c>
      <c r="D255" s="523"/>
    </row>
    <row r="256" spans="1:4">
      <c r="A256" s="307">
        <v>2278</v>
      </c>
      <c r="B256" t="s">
        <v>3656</v>
      </c>
      <c r="C256" s="308" t="s">
        <v>1738</v>
      </c>
      <c r="D256" s="523">
        <v>203418.22999999998</v>
      </c>
    </row>
    <row r="257" spans="1:4">
      <c r="A257" s="307">
        <v>3069</v>
      </c>
      <c r="B257" t="s">
        <v>2981</v>
      </c>
      <c r="C257" s="308" t="s">
        <v>2319</v>
      </c>
      <c r="D257" s="523">
        <v>477.1</v>
      </c>
    </row>
    <row r="258" spans="1:4">
      <c r="A258" s="307">
        <v>2514</v>
      </c>
      <c r="B258" t="s">
        <v>3700</v>
      </c>
      <c r="C258" s="308" t="s">
        <v>1738</v>
      </c>
      <c r="D258" s="523"/>
    </row>
    <row r="259" spans="1:4">
      <c r="A259" s="813">
        <v>13209</v>
      </c>
      <c r="B259" s="813" t="s">
        <v>9171</v>
      </c>
      <c r="C259" s="308" t="s">
        <v>1738</v>
      </c>
      <c r="D259" s="523"/>
    </row>
    <row r="260" spans="1:4">
      <c r="A260" s="307">
        <v>2228</v>
      </c>
      <c r="B260" t="s">
        <v>1486</v>
      </c>
      <c r="C260" s="308" t="s">
        <v>600</v>
      </c>
      <c r="D260" s="523"/>
    </row>
    <row r="261" spans="1:4">
      <c r="A261" s="813">
        <v>3502</v>
      </c>
      <c r="B261" s="813" t="s">
        <v>4443</v>
      </c>
      <c r="C261" s="308" t="s">
        <v>1736</v>
      </c>
      <c r="D261" s="523">
        <v>4450</v>
      </c>
    </row>
    <row r="262" spans="1:4">
      <c r="A262" s="307">
        <v>3640</v>
      </c>
      <c r="B262" t="s">
        <v>5989</v>
      </c>
      <c r="C262" s="308"/>
      <c r="D262" s="523"/>
    </row>
    <row r="263" spans="1:4">
      <c r="A263" s="307">
        <v>2885</v>
      </c>
      <c r="B263" t="s">
        <v>8861</v>
      </c>
      <c r="C263" s="308" t="s">
        <v>3789</v>
      </c>
      <c r="D263" s="523"/>
    </row>
    <row r="264" spans="1:4">
      <c r="A264" s="813">
        <v>20629</v>
      </c>
      <c r="B264" s="813" t="s">
        <v>9178</v>
      </c>
      <c r="C264" s="308" t="s">
        <v>1738</v>
      </c>
      <c r="D264" s="523">
        <v>3333.3</v>
      </c>
    </row>
    <row r="265" spans="1:4">
      <c r="A265" s="307">
        <v>2195</v>
      </c>
      <c r="B265" t="s">
        <v>4201</v>
      </c>
      <c r="C265" s="308" t="s">
        <v>1738</v>
      </c>
      <c r="D265" s="523">
        <v>0</v>
      </c>
    </row>
    <row r="266" spans="1:4">
      <c r="A266" s="307">
        <v>2279</v>
      </c>
      <c r="B266" t="s">
        <v>4202</v>
      </c>
      <c r="C266" s="308" t="s">
        <v>1738</v>
      </c>
      <c r="D266" s="523"/>
    </row>
    <row r="267" spans="1:4">
      <c r="A267" s="307">
        <v>2670</v>
      </c>
      <c r="B267" t="s">
        <v>4203</v>
      </c>
      <c r="C267" s="308" t="s">
        <v>2316</v>
      </c>
      <c r="D267" s="523">
        <v>17.5</v>
      </c>
    </row>
    <row r="268" spans="1:4">
      <c r="A268" s="307">
        <v>2656</v>
      </c>
      <c r="B268" t="s">
        <v>1089</v>
      </c>
      <c r="C268" s="308" t="s">
        <v>2316</v>
      </c>
      <c r="D268" s="523">
        <v>0</v>
      </c>
    </row>
    <row r="269" spans="1:4">
      <c r="A269" s="307">
        <v>3530</v>
      </c>
      <c r="B269" t="s">
        <v>3844</v>
      </c>
      <c r="C269" s="308" t="s">
        <v>2314</v>
      </c>
      <c r="D269" s="523"/>
    </row>
    <row r="270" spans="1:4">
      <c r="A270" s="307">
        <v>2969</v>
      </c>
      <c r="B270" t="s">
        <v>1047</v>
      </c>
      <c r="C270" s="308" t="s">
        <v>5194</v>
      </c>
      <c r="D270" s="523">
        <v>11641.75</v>
      </c>
    </row>
    <row r="271" spans="1:4">
      <c r="A271" s="307">
        <v>12757</v>
      </c>
      <c r="B271" t="s">
        <v>5236</v>
      </c>
      <c r="C271" s="308" t="s">
        <v>3791</v>
      </c>
      <c r="D271" s="523">
        <v>9.8000000000000007</v>
      </c>
    </row>
    <row r="272" spans="1:4">
      <c r="A272" s="307">
        <v>11617</v>
      </c>
      <c r="B272" t="s">
        <v>846</v>
      </c>
      <c r="C272" s="308" t="s">
        <v>1738</v>
      </c>
      <c r="D272" s="523">
        <v>0.03</v>
      </c>
    </row>
    <row r="273" spans="1:4">
      <c r="A273" s="307">
        <v>2671</v>
      </c>
      <c r="B273" t="s">
        <v>4205</v>
      </c>
      <c r="C273" s="308" t="s">
        <v>2316</v>
      </c>
      <c r="D273" s="523">
        <v>4027</v>
      </c>
    </row>
    <row r="274" spans="1:4">
      <c r="A274" s="307">
        <v>2589</v>
      </c>
      <c r="B274" t="s">
        <v>3151</v>
      </c>
      <c r="C274" s="308" t="s">
        <v>2322</v>
      </c>
      <c r="D274" s="523">
        <v>3582.1</v>
      </c>
    </row>
    <row r="275" spans="1:4">
      <c r="A275" s="307">
        <v>2271</v>
      </c>
      <c r="B275" t="s">
        <v>3658</v>
      </c>
      <c r="C275" s="308" t="s">
        <v>1738</v>
      </c>
      <c r="D275" s="523">
        <v>25258.76</v>
      </c>
    </row>
    <row r="276" spans="1:4">
      <c r="A276" s="307">
        <v>2637</v>
      </c>
      <c r="B276" t="s">
        <v>3657</v>
      </c>
      <c r="C276" s="308" t="s">
        <v>2311</v>
      </c>
      <c r="D276" s="523">
        <v>90902.71</v>
      </c>
    </row>
    <row r="277" spans="1:4">
      <c r="A277" s="307">
        <v>2662</v>
      </c>
      <c r="B277" t="s">
        <v>4206</v>
      </c>
      <c r="C277" s="308" t="s">
        <v>1738</v>
      </c>
      <c r="D277" s="523">
        <v>8500</v>
      </c>
    </row>
    <row r="278" spans="1:4">
      <c r="A278" s="307">
        <v>2168</v>
      </c>
      <c r="B278" t="s">
        <v>4207</v>
      </c>
      <c r="C278" s="308" t="s">
        <v>1738</v>
      </c>
      <c r="D278" s="523">
        <v>4800</v>
      </c>
    </row>
    <row r="279" spans="1:4">
      <c r="A279" s="403">
        <v>2305</v>
      </c>
      <c r="B279" s="403" t="s">
        <v>1050</v>
      </c>
      <c r="C279" s="308" t="s">
        <v>2313</v>
      </c>
      <c r="D279" s="523">
        <v>80</v>
      </c>
    </row>
    <row r="280" spans="1:4">
      <c r="A280" s="307">
        <v>3110</v>
      </c>
      <c r="B280" t="s">
        <v>3703</v>
      </c>
      <c r="C280" s="308" t="s">
        <v>1738</v>
      </c>
      <c r="D280" s="523">
        <v>263.70999999999998</v>
      </c>
    </row>
    <row r="281" spans="1:4">
      <c r="A281" s="307">
        <v>3219</v>
      </c>
      <c r="B281" t="s">
        <v>4160</v>
      </c>
      <c r="C281" s="308" t="s">
        <v>1738</v>
      </c>
      <c r="D281" s="523">
        <v>2.4</v>
      </c>
    </row>
    <row r="282" spans="1:4">
      <c r="A282" s="307">
        <v>3490</v>
      </c>
      <c r="B282" t="s">
        <v>4208</v>
      </c>
      <c r="C282" s="308" t="s">
        <v>1736</v>
      </c>
      <c r="D282" s="523">
        <v>19.690000000000001</v>
      </c>
    </row>
    <row r="283" spans="1:4">
      <c r="A283" s="307">
        <v>2321</v>
      </c>
      <c r="B283" t="s">
        <v>4209</v>
      </c>
      <c r="C283" s="308" t="s">
        <v>2320</v>
      </c>
      <c r="D283" s="523">
        <v>138229</v>
      </c>
    </row>
    <row r="284" spans="1:4">
      <c r="A284" s="307">
        <v>3543</v>
      </c>
      <c r="B284" t="s">
        <v>5153</v>
      </c>
      <c r="C284" s="308" t="s">
        <v>1736</v>
      </c>
      <c r="D284" s="523">
        <v>4139371.8600000003</v>
      </c>
    </row>
    <row r="285" spans="1:4">
      <c r="A285" s="307">
        <v>2988</v>
      </c>
      <c r="B285" t="s">
        <v>899</v>
      </c>
      <c r="C285" s="308" t="s">
        <v>3786</v>
      </c>
      <c r="D285" s="523">
        <v>263086.58</v>
      </c>
    </row>
    <row r="286" spans="1:4">
      <c r="A286" s="307">
        <v>3541</v>
      </c>
      <c r="B286" t="s">
        <v>5405</v>
      </c>
      <c r="C286" s="308" t="s">
        <v>1736</v>
      </c>
      <c r="D286" s="523">
        <v>49100.15</v>
      </c>
    </row>
    <row r="287" spans="1:4">
      <c r="A287" s="307">
        <v>18469</v>
      </c>
      <c r="B287" t="s">
        <v>4210</v>
      </c>
      <c r="C287" s="308" t="s">
        <v>1738</v>
      </c>
      <c r="D287" s="523"/>
    </row>
    <row r="288" spans="1:4">
      <c r="A288" s="307">
        <v>2308</v>
      </c>
      <c r="B288" t="s">
        <v>1051</v>
      </c>
      <c r="C288" s="308" t="s">
        <v>2313</v>
      </c>
      <c r="D288" s="523">
        <v>848</v>
      </c>
    </row>
    <row r="289" spans="1:4">
      <c r="A289" s="307">
        <v>2776</v>
      </c>
      <c r="B289" t="s">
        <v>5154</v>
      </c>
      <c r="C289" s="308"/>
      <c r="D289" s="523">
        <v>11498482</v>
      </c>
    </row>
    <row r="290" spans="1:4">
      <c r="A290" s="307">
        <v>10543</v>
      </c>
      <c r="B290" t="s">
        <v>6766</v>
      </c>
      <c r="C290" s="308"/>
      <c r="D290" s="523">
        <v>63</v>
      </c>
    </row>
    <row r="291" spans="1:4">
      <c r="A291" s="307">
        <v>3622</v>
      </c>
      <c r="B291" t="s">
        <v>5155</v>
      </c>
      <c r="C291" s="308" t="s">
        <v>1738</v>
      </c>
      <c r="D291" s="523">
        <v>176762</v>
      </c>
    </row>
    <row r="292" spans="1:4">
      <c r="A292" s="307">
        <v>2286</v>
      </c>
      <c r="B292" t="s">
        <v>4436</v>
      </c>
      <c r="C292" s="308" t="s">
        <v>2319</v>
      </c>
      <c r="D292" s="523">
        <v>173540.77</v>
      </c>
    </row>
    <row r="293" spans="1:4">
      <c r="A293" s="307">
        <v>6350</v>
      </c>
      <c r="B293" t="s">
        <v>6767</v>
      </c>
      <c r="C293" s="308"/>
      <c r="D293" s="523">
        <v>5100</v>
      </c>
    </row>
    <row r="294" spans="1:4">
      <c r="A294" s="307">
        <v>16237</v>
      </c>
      <c r="B294" t="s">
        <v>4211</v>
      </c>
      <c r="C294" s="308" t="s">
        <v>3790</v>
      </c>
      <c r="D294" s="523"/>
    </row>
    <row r="295" spans="1:4">
      <c r="A295" s="307">
        <v>2758</v>
      </c>
      <c r="B295" t="s">
        <v>6601</v>
      </c>
      <c r="C295" s="308"/>
      <c r="D295" s="523"/>
    </row>
    <row r="296" spans="1:4">
      <c r="A296" s="307">
        <v>13292</v>
      </c>
      <c r="B296" t="s">
        <v>4923</v>
      </c>
      <c r="C296" s="308" t="s">
        <v>1738</v>
      </c>
      <c r="D296" s="523">
        <v>6636.72</v>
      </c>
    </row>
    <row r="297" spans="1:4">
      <c r="A297" s="307">
        <v>12635</v>
      </c>
      <c r="B297" t="s">
        <v>909</v>
      </c>
      <c r="C297" s="308" t="s">
        <v>1738</v>
      </c>
      <c r="D297" s="523">
        <v>3446</v>
      </c>
    </row>
    <row r="298" spans="1:4">
      <c r="A298" s="307">
        <v>2097</v>
      </c>
      <c r="B298" t="s">
        <v>3766</v>
      </c>
      <c r="C298" s="308" t="s">
        <v>1738</v>
      </c>
      <c r="D298" s="523">
        <v>200</v>
      </c>
    </row>
    <row r="299" spans="1:4">
      <c r="A299" s="307">
        <v>3631</v>
      </c>
      <c r="B299" t="s">
        <v>3414</v>
      </c>
      <c r="C299" s="308"/>
      <c r="D299" s="523"/>
    </row>
    <row r="300" spans="1:4">
      <c r="A300" s="307">
        <v>3322</v>
      </c>
      <c r="B300" t="s">
        <v>3659</v>
      </c>
      <c r="C300" s="308" t="s">
        <v>1738</v>
      </c>
      <c r="D300" s="523">
        <v>6085</v>
      </c>
    </row>
    <row r="301" spans="1:4">
      <c r="A301" s="307">
        <v>2139</v>
      </c>
      <c r="B301" t="s">
        <v>2040</v>
      </c>
      <c r="C301" s="308" t="s">
        <v>1738</v>
      </c>
      <c r="D301" s="523">
        <v>45</v>
      </c>
    </row>
    <row r="302" spans="1:4">
      <c r="A302" s="307">
        <v>2687</v>
      </c>
      <c r="B302" t="s">
        <v>2917</v>
      </c>
      <c r="C302" s="308" t="s">
        <v>2314</v>
      </c>
      <c r="D302" s="523">
        <v>49500</v>
      </c>
    </row>
    <row r="303" spans="1:4">
      <c r="A303" s="307">
        <v>15217</v>
      </c>
      <c r="B303" t="s">
        <v>4212</v>
      </c>
      <c r="C303" s="308" t="s">
        <v>1738</v>
      </c>
      <c r="D303" s="523">
        <v>22700</v>
      </c>
    </row>
    <row r="304" spans="1:4">
      <c r="A304" s="307">
        <v>2584</v>
      </c>
      <c r="B304" t="s">
        <v>5027</v>
      </c>
      <c r="C304" s="308" t="s">
        <v>2322</v>
      </c>
      <c r="D304" s="523">
        <v>56791.49</v>
      </c>
    </row>
    <row r="305" spans="1:4">
      <c r="A305" s="307">
        <v>2158</v>
      </c>
      <c r="B305" t="s">
        <v>222</v>
      </c>
      <c r="C305" s="308"/>
      <c r="D305" s="523"/>
    </row>
    <row r="306" spans="1:4">
      <c r="A306" s="307">
        <v>3163</v>
      </c>
      <c r="B306" t="s">
        <v>5157</v>
      </c>
      <c r="C306" s="308" t="s">
        <v>1738</v>
      </c>
      <c r="D306" s="523">
        <v>197980</v>
      </c>
    </row>
    <row r="307" spans="1:4">
      <c r="A307" s="307">
        <v>3089</v>
      </c>
      <c r="B307" t="s">
        <v>2518</v>
      </c>
      <c r="C307" s="308" t="s">
        <v>2319</v>
      </c>
      <c r="D307" s="523">
        <v>434193.4499999999</v>
      </c>
    </row>
    <row r="308" spans="1:4">
      <c r="A308" s="307">
        <v>11075</v>
      </c>
      <c r="B308" t="s">
        <v>8850</v>
      </c>
      <c r="C308" s="308" t="s">
        <v>4282</v>
      </c>
      <c r="D308" s="523"/>
    </row>
    <row r="309" spans="1:4">
      <c r="A309" s="307">
        <v>2790</v>
      </c>
      <c r="B309" t="s">
        <v>5158</v>
      </c>
      <c r="C309" s="308" t="s">
        <v>1738</v>
      </c>
      <c r="D309" s="523">
        <v>854491</v>
      </c>
    </row>
    <row r="310" spans="1:4">
      <c r="A310" s="307">
        <v>2257</v>
      </c>
      <c r="B310" t="s">
        <v>2655</v>
      </c>
      <c r="C310" s="308"/>
      <c r="D310" s="523"/>
    </row>
    <row r="311" spans="1:4">
      <c r="A311" s="307">
        <v>3348</v>
      </c>
      <c r="B311" t="s">
        <v>5159</v>
      </c>
      <c r="C311" s="308" t="s">
        <v>1739</v>
      </c>
      <c r="D311" s="523">
        <v>47967</v>
      </c>
    </row>
    <row r="312" spans="1:4">
      <c r="A312" s="307">
        <v>15763</v>
      </c>
      <c r="B312" t="s">
        <v>8915</v>
      </c>
      <c r="C312" s="308" t="s">
        <v>4282</v>
      </c>
      <c r="D312" s="523"/>
    </row>
    <row r="313" spans="1:4">
      <c r="A313" s="307">
        <v>2411</v>
      </c>
      <c r="B313" t="s">
        <v>4213</v>
      </c>
      <c r="C313" s="308" t="s">
        <v>1738</v>
      </c>
      <c r="D313" s="523">
        <v>1800</v>
      </c>
    </row>
    <row r="314" spans="1:4">
      <c r="A314" s="307">
        <v>15250</v>
      </c>
      <c r="B314" t="s">
        <v>6473</v>
      </c>
      <c r="C314" s="308"/>
      <c r="D314" s="523">
        <v>400</v>
      </c>
    </row>
    <row r="315" spans="1:4">
      <c r="A315" s="307">
        <v>3273</v>
      </c>
      <c r="B315" t="s">
        <v>2918</v>
      </c>
      <c r="C315" s="308" t="s">
        <v>2313</v>
      </c>
      <c r="D315" s="523"/>
    </row>
    <row r="316" spans="1:4">
      <c r="A316" s="307">
        <v>19011</v>
      </c>
      <c r="B316" t="s">
        <v>8852</v>
      </c>
      <c r="C316" s="308" t="s">
        <v>4282</v>
      </c>
      <c r="D316" s="523"/>
    </row>
    <row r="317" spans="1:4">
      <c r="A317" s="813">
        <v>20552</v>
      </c>
      <c r="B317" s="813" t="s">
        <v>9176</v>
      </c>
      <c r="C317" s="308" t="s">
        <v>1738</v>
      </c>
      <c r="D317" s="523">
        <v>2451</v>
      </c>
    </row>
    <row r="318" spans="1:4">
      <c r="A318" s="307">
        <v>13295</v>
      </c>
      <c r="B318" t="s">
        <v>4573</v>
      </c>
      <c r="C318" s="308" t="s">
        <v>4282</v>
      </c>
      <c r="D318" s="523"/>
    </row>
    <row r="319" spans="1:4">
      <c r="A319" s="307">
        <v>2282</v>
      </c>
      <c r="B319" t="s">
        <v>4214</v>
      </c>
      <c r="C319" s="308" t="s">
        <v>1738</v>
      </c>
      <c r="D319" s="523">
        <v>142.63999999999999</v>
      </c>
    </row>
    <row r="320" spans="1:4">
      <c r="A320" s="307">
        <v>3082</v>
      </c>
      <c r="B320" t="s">
        <v>4215</v>
      </c>
      <c r="C320" s="308" t="s">
        <v>1738</v>
      </c>
      <c r="D320" s="523">
        <v>315906</v>
      </c>
    </row>
    <row r="321" spans="1:4">
      <c r="A321" s="307">
        <v>2413</v>
      </c>
      <c r="B321" t="s">
        <v>4556</v>
      </c>
      <c r="C321" s="308" t="s">
        <v>1738</v>
      </c>
      <c r="D321" s="523">
        <v>18</v>
      </c>
    </row>
    <row r="322" spans="1:4">
      <c r="A322" s="307">
        <v>3515</v>
      </c>
      <c r="B322" t="s">
        <v>2056</v>
      </c>
      <c r="C322" s="308" t="s">
        <v>2316</v>
      </c>
      <c r="D322" s="523">
        <v>1186</v>
      </c>
    </row>
    <row r="323" spans="1:4">
      <c r="A323" s="307">
        <v>3134</v>
      </c>
      <c r="B323" t="s">
        <v>527</v>
      </c>
      <c r="C323" s="308" t="s">
        <v>1738</v>
      </c>
      <c r="D323" s="523">
        <v>8823.4599999999991</v>
      </c>
    </row>
    <row r="324" spans="1:4">
      <c r="A324" s="307">
        <v>13884</v>
      </c>
      <c r="B324" t="s">
        <v>8883</v>
      </c>
      <c r="C324" s="308" t="s">
        <v>4282</v>
      </c>
      <c r="D324" s="523"/>
    </row>
    <row r="325" spans="1:4">
      <c r="A325" s="307">
        <v>2515</v>
      </c>
      <c r="B325" t="s">
        <v>4216</v>
      </c>
      <c r="C325" s="308" t="s">
        <v>1738</v>
      </c>
      <c r="D325" s="523">
        <v>342.93</v>
      </c>
    </row>
    <row r="326" spans="1:4">
      <c r="A326" s="307">
        <v>2463</v>
      </c>
      <c r="B326" t="s">
        <v>4217</v>
      </c>
      <c r="C326" s="308" t="s">
        <v>1738</v>
      </c>
      <c r="D326" s="523"/>
    </row>
    <row r="327" spans="1:4">
      <c r="A327" s="307">
        <v>2650</v>
      </c>
      <c r="B327" t="s">
        <v>3665</v>
      </c>
      <c r="C327" s="308" t="s">
        <v>2311</v>
      </c>
      <c r="D327" s="523">
        <v>19961.599999999999</v>
      </c>
    </row>
    <row r="328" spans="1:4">
      <c r="A328" s="307">
        <v>3487</v>
      </c>
      <c r="B328" t="s">
        <v>5493</v>
      </c>
      <c r="C328" s="308" t="s">
        <v>1737</v>
      </c>
      <c r="D328" s="523">
        <v>26.77</v>
      </c>
    </row>
    <row r="329" spans="1:4">
      <c r="A329" s="307">
        <v>3385</v>
      </c>
      <c r="B329" t="s">
        <v>5494</v>
      </c>
      <c r="C329" s="308" t="s">
        <v>1738</v>
      </c>
      <c r="D329" s="523">
        <v>729756.4</v>
      </c>
    </row>
    <row r="330" spans="1:4">
      <c r="A330" s="307">
        <v>3574</v>
      </c>
      <c r="B330" t="s">
        <v>5495</v>
      </c>
      <c r="C330" s="308" t="s">
        <v>1736</v>
      </c>
      <c r="D330" s="523">
        <v>1056424.1400000001</v>
      </c>
    </row>
    <row r="331" spans="1:4">
      <c r="A331" s="307">
        <v>2623</v>
      </c>
      <c r="B331" t="s">
        <v>4218</v>
      </c>
      <c r="C331" s="308" t="s">
        <v>1737</v>
      </c>
      <c r="D331" s="523"/>
    </row>
    <row r="332" spans="1:4">
      <c r="A332" s="307">
        <v>2932</v>
      </c>
      <c r="B332" t="s">
        <v>2505</v>
      </c>
      <c r="C332" s="308" t="s">
        <v>3791</v>
      </c>
      <c r="D332" s="523">
        <v>150</v>
      </c>
    </row>
    <row r="333" spans="1:4">
      <c r="A333" s="307">
        <v>2357</v>
      </c>
      <c r="B333" t="s">
        <v>3159</v>
      </c>
      <c r="C333" s="308" t="s">
        <v>1738</v>
      </c>
      <c r="D333" s="523">
        <v>33492.400000000001</v>
      </c>
    </row>
    <row r="334" spans="1:4">
      <c r="A334" s="307">
        <v>3529</v>
      </c>
      <c r="B334" t="s">
        <v>4339</v>
      </c>
      <c r="C334" s="308" t="s">
        <v>2314</v>
      </c>
      <c r="D334" s="523">
        <v>97345.77</v>
      </c>
    </row>
    <row r="335" spans="1:4">
      <c r="A335" s="307">
        <v>3415</v>
      </c>
      <c r="B335" t="s">
        <v>816</v>
      </c>
      <c r="C335" s="308" t="s">
        <v>2322</v>
      </c>
      <c r="D335" s="523">
        <v>33266.6</v>
      </c>
    </row>
    <row r="336" spans="1:4">
      <c r="A336" s="307">
        <v>13477</v>
      </c>
      <c r="B336" t="s">
        <v>503</v>
      </c>
      <c r="C336" s="308"/>
      <c r="D336" s="523">
        <v>70</v>
      </c>
    </row>
    <row r="337" spans="1:4">
      <c r="A337" s="307">
        <v>2114</v>
      </c>
      <c r="B337" t="s">
        <v>4166</v>
      </c>
      <c r="C337" s="308" t="s">
        <v>1738</v>
      </c>
      <c r="D337" s="523">
        <v>1327153.0399999998</v>
      </c>
    </row>
    <row r="338" spans="1:4">
      <c r="A338" s="307">
        <v>2880</v>
      </c>
      <c r="B338" t="s">
        <v>2246</v>
      </c>
      <c r="C338" s="308"/>
      <c r="D338" s="523">
        <v>67.88</v>
      </c>
    </row>
    <row r="339" spans="1:4">
      <c r="A339" s="307">
        <v>3250</v>
      </c>
      <c r="B339" t="s">
        <v>617</v>
      </c>
      <c r="C339" s="308" t="s">
        <v>1738</v>
      </c>
      <c r="D339" s="523"/>
    </row>
    <row r="340" spans="1:4">
      <c r="A340" s="307">
        <v>16448</v>
      </c>
      <c r="B340" t="s">
        <v>4220</v>
      </c>
      <c r="C340" s="308" t="s">
        <v>2322</v>
      </c>
      <c r="D340" s="523">
        <v>0.06</v>
      </c>
    </row>
    <row r="341" spans="1:4">
      <c r="A341" s="307">
        <v>3433</v>
      </c>
      <c r="B341" t="s">
        <v>4221</v>
      </c>
      <c r="C341" s="308" t="s">
        <v>2322</v>
      </c>
      <c r="D341" s="523">
        <v>164</v>
      </c>
    </row>
    <row r="342" spans="1:4">
      <c r="A342" s="307">
        <v>2408</v>
      </c>
      <c r="B342" t="s">
        <v>3473</v>
      </c>
      <c r="C342" s="308" t="s">
        <v>1738</v>
      </c>
      <c r="D342" s="523">
        <v>53775.360000000001</v>
      </c>
    </row>
    <row r="343" spans="1:4">
      <c r="A343" s="307">
        <v>20261</v>
      </c>
      <c r="B343" t="s">
        <v>6770</v>
      </c>
      <c r="C343" s="308"/>
      <c r="D343" s="523"/>
    </row>
    <row r="344" spans="1:4">
      <c r="A344" s="307">
        <v>2163</v>
      </c>
      <c r="B344" t="s">
        <v>4222</v>
      </c>
      <c r="C344" s="308" t="s">
        <v>5194</v>
      </c>
      <c r="D344" s="523">
        <v>501525.57</v>
      </c>
    </row>
    <row r="345" spans="1:4">
      <c r="A345" s="307">
        <v>2162</v>
      </c>
      <c r="B345" t="s">
        <v>1471</v>
      </c>
      <c r="C345" s="308" t="s">
        <v>5194</v>
      </c>
      <c r="D345" s="523">
        <v>4020</v>
      </c>
    </row>
    <row r="346" spans="1:4">
      <c r="A346" s="307">
        <v>3444</v>
      </c>
      <c r="B346" t="s">
        <v>4223</v>
      </c>
      <c r="C346" s="308" t="s">
        <v>3790</v>
      </c>
      <c r="D346" s="523">
        <v>57.76</v>
      </c>
    </row>
    <row r="347" spans="1:4">
      <c r="A347" s="307">
        <v>2197</v>
      </c>
      <c r="B347" t="s">
        <v>1046</v>
      </c>
      <c r="C347" s="308" t="s">
        <v>1738</v>
      </c>
      <c r="D347" s="523">
        <v>0</v>
      </c>
    </row>
    <row r="348" spans="1:4">
      <c r="A348" s="307">
        <v>2256</v>
      </c>
      <c r="B348" t="s">
        <v>1870</v>
      </c>
      <c r="C348" s="308" t="s">
        <v>1738</v>
      </c>
      <c r="D348" s="523">
        <v>255865.51</v>
      </c>
    </row>
    <row r="349" spans="1:4">
      <c r="A349" s="307">
        <v>2292</v>
      </c>
      <c r="B349" t="s">
        <v>4224</v>
      </c>
      <c r="C349" s="308" t="s">
        <v>5195</v>
      </c>
      <c r="D349" s="523">
        <v>265.89999999999998</v>
      </c>
    </row>
    <row r="350" spans="1:4">
      <c r="A350" s="307">
        <v>2975</v>
      </c>
      <c r="B350" t="s">
        <v>910</v>
      </c>
      <c r="C350" s="308" t="s">
        <v>1738</v>
      </c>
      <c r="D350" s="523"/>
    </row>
    <row r="351" spans="1:4">
      <c r="A351" s="307">
        <v>3397</v>
      </c>
      <c r="B351" t="s">
        <v>3666</v>
      </c>
      <c r="C351" s="308" t="s">
        <v>2310</v>
      </c>
      <c r="D351" s="523">
        <v>1.08</v>
      </c>
    </row>
    <row r="352" spans="1:4">
      <c r="A352" s="307">
        <v>2952</v>
      </c>
      <c r="B352" t="s">
        <v>5430</v>
      </c>
      <c r="C352" s="308" t="s">
        <v>1738</v>
      </c>
      <c r="D352" s="523"/>
    </row>
    <row r="353" spans="1:4">
      <c r="A353" s="307">
        <v>3532</v>
      </c>
      <c r="B353" t="s">
        <v>4225</v>
      </c>
      <c r="C353" s="308" t="s">
        <v>2314</v>
      </c>
      <c r="D353" s="523">
        <v>86176</v>
      </c>
    </row>
    <row r="354" spans="1:4">
      <c r="A354" s="307">
        <v>2275</v>
      </c>
      <c r="B354" t="s">
        <v>911</v>
      </c>
      <c r="C354" s="308" t="s">
        <v>1738</v>
      </c>
      <c r="D354" s="523">
        <v>15417</v>
      </c>
    </row>
    <row r="355" spans="1:4">
      <c r="A355" s="307">
        <v>3217</v>
      </c>
      <c r="B355" t="s">
        <v>1717</v>
      </c>
      <c r="C355" s="308" t="s">
        <v>1738</v>
      </c>
      <c r="D355" s="523">
        <v>4526496.25</v>
      </c>
    </row>
    <row r="356" spans="1:4">
      <c r="A356" s="307">
        <v>2167</v>
      </c>
      <c r="B356" t="s">
        <v>4352</v>
      </c>
      <c r="C356" s="308" t="s">
        <v>5194</v>
      </c>
      <c r="D356" s="523">
        <v>37076</v>
      </c>
    </row>
    <row r="357" spans="1:4">
      <c r="A357" s="307">
        <v>12991</v>
      </c>
      <c r="B357" t="s">
        <v>4226</v>
      </c>
      <c r="C357" s="308" t="s">
        <v>1738</v>
      </c>
      <c r="D357" s="523"/>
    </row>
    <row r="358" spans="1:4">
      <c r="A358" s="307">
        <v>2621</v>
      </c>
      <c r="B358" t="s">
        <v>1044</v>
      </c>
      <c r="C358" s="308" t="s">
        <v>1737</v>
      </c>
      <c r="D358" s="523">
        <v>0.57999999999999996</v>
      </c>
    </row>
    <row r="359" spans="1:4">
      <c r="A359" s="307">
        <v>3638</v>
      </c>
      <c r="B359" t="s">
        <v>1386</v>
      </c>
      <c r="C359" s="308" t="s">
        <v>1738</v>
      </c>
      <c r="D359" s="523">
        <v>2017790</v>
      </c>
    </row>
    <row r="360" spans="1:4">
      <c r="A360" s="307">
        <v>2982</v>
      </c>
      <c r="B360" t="s">
        <v>1715</v>
      </c>
      <c r="C360" s="308" t="s">
        <v>1738</v>
      </c>
      <c r="D360" s="523">
        <v>240064.25</v>
      </c>
    </row>
    <row r="361" spans="1:4">
      <c r="A361" s="307">
        <v>2942</v>
      </c>
      <c r="B361" t="s">
        <v>5237</v>
      </c>
      <c r="C361" s="308" t="s">
        <v>1738</v>
      </c>
      <c r="D361" s="523">
        <v>1546.66</v>
      </c>
    </row>
    <row r="362" spans="1:4">
      <c r="A362" s="307">
        <v>3547</v>
      </c>
      <c r="B362" t="s">
        <v>3160</v>
      </c>
      <c r="C362" s="308" t="s">
        <v>1736</v>
      </c>
      <c r="D362" s="523">
        <v>18775</v>
      </c>
    </row>
    <row r="363" spans="1:4">
      <c r="A363" s="307">
        <v>3409</v>
      </c>
      <c r="B363" t="s">
        <v>4495</v>
      </c>
      <c r="C363" s="308" t="s">
        <v>2322</v>
      </c>
      <c r="D363" s="523"/>
    </row>
    <row r="364" spans="1:4">
      <c r="A364" s="307">
        <v>6821</v>
      </c>
      <c r="B364" t="s">
        <v>6771</v>
      </c>
      <c r="C364" s="308"/>
      <c r="D364" s="523">
        <v>12710</v>
      </c>
    </row>
    <row r="365" spans="1:4">
      <c r="A365" s="307">
        <v>3570</v>
      </c>
      <c r="B365" t="s">
        <v>4227</v>
      </c>
      <c r="C365" s="308" t="s">
        <v>2315</v>
      </c>
      <c r="D365" s="523">
        <v>0.84</v>
      </c>
    </row>
    <row r="366" spans="1:4">
      <c r="A366" s="307">
        <v>3569</v>
      </c>
      <c r="B366" t="s">
        <v>1052</v>
      </c>
      <c r="C366" s="308" t="s">
        <v>2315</v>
      </c>
      <c r="D366" s="523"/>
    </row>
    <row r="367" spans="1:4">
      <c r="A367" s="307">
        <v>2534</v>
      </c>
      <c r="B367" t="s">
        <v>2919</v>
      </c>
      <c r="C367" s="308" t="s">
        <v>2313</v>
      </c>
      <c r="D367" s="523">
        <v>0</v>
      </c>
    </row>
    <row r="368" spans="1:4">
      <c r="A368" s="403">
        <v>17155</v>
      </c>
      <c r="B368" s="403" t="s">
        <v>9169</v>
      </c>
      <c r="C368" s="308" t="s">
        <v>1736</v>
      </c>
      <c r="D368" s="523"/>
    </row>
    <row r="369" spans="1:4">
      <c r="A369" s="307">
        <v>2668</v>
      </c>
      <c r="B369" t="s">
        <v>6538</v>
      </c>
      <c r="C369" s="308"/>
      <c r="D369" s="523"/>
    </row>
    <row r="370" spans="1:4">
      <c r="A370" s="307">
        <v>16110</v>
      </c>
      <c r="B370" t="s">
        <v>6772</v>
      </c>
      <c r="C370" s="308"/>
      <c r="D370" s="523">
        <v>22169.989999999998</v>
      </c>
    </row>
    <row r="371" spans="1:4">
      <c r="A371" s="307">
        <v>2161</v>
      </c>
      <c r="B371" t="s">
        <v>6773</v>
      </c>
      <c r="C371" s="308"/>
      <c r="D371" s="523">
        <v>43596</v>
      </c>
    </row>
    <row r="372" spans="1:4">
      <c r="A372" s="307">
        <v>12061</v>
      </c>
      <c r="B372" t="s">
        <v>1577</v>
      </c>
      <c r="C372" s="308" t="s">
        <v>1738</v>
      </c>
      <c r="D372" s="523">
        <v>554.53</v>
      </c>
    </row>
    <row r="373" spans="1:4">
      <c r="A373" s="307">
        <v>14398</v>
      </c>
      <c r="B373" t="s">
        <v>6774</v>
      </c>
      <c r="C373" s="308"/>
      <c r="D373" s="523">
        <v>25</v>
      </c>
    </row>
    <row r="374" spans="1:4">
      <c r="A374" s="307">
        <v>2160</v>
      </c>
      <c r="B374" t="s">
        <v>1157</v>
      </c>
      <c r="C374" s="308" t="s">
        <v>1738</v>
      </c>
      <c r="D374" s="523"/>
    </row>
    <row r="375" spans="1:4">
      <c r="A375" s="307">
        <v>17633</v>
      </c>
      <c r="B375" t="s">
        <v>4228</v>
      </c>
      <c r="C375" s="308" t="s">
        <v>1738</v>
      </c>
      <c r="D375" s="523">
        <v>1</v>
      </c>
    </row>
    <row r="376" spans="1:4">
      <c r="A376" s="307">
        <v>16456</v>
      </c>
      <c r="B376" t="s">
        <v>3706</v>
      </c>
      <c r="C376" s="308" t="s">
        <v>2322</v>
      </c>
      <c r="D376" s="523">
        <v>234358</v>
      </c>
    </row>
    <row r="377" spans="1:4">
      <c r="A377" s="307">
        <v>18734</v>
      </c>
      <c r="B377" t="s">
        <v>4607</v>
      </c>
      <c r="C377" s="308" t="s">
        <v>2843</v>
      </c>
      <c r="D377" s="523">
        <v>26793.03</v>
      </c>
    </row>
    <row r="378" spans="1:4">
      <c r="A378" s="307">
        <v>2683</v>
      </c>
      <c r="B378" t="s">
        <v>4608</v>
      </c>
      <c r="C378" s="308" t="s">
        <v>2318</v>
      </c>
      <c r="D378" s="523"/>
    </row>
    <row r="379" spans="1:4">
      <c r="A379" s="403">
        <v>3277</v>
      </c>
      <c r="B379" s="403" t="s">
        <v>8764</v>
      </c>
      <c r="C379" s="308" t="s">
        <v>2313</v>
      </c>
      <c r="D379" s="523">
        <v>250</v>
      </c>
    </row>
    <row r="380" spans="1:4">
      <c r="A380" s="307">
        <v>3514</v>
      </c>
      <c r="B380" t="s">
        <v>2006</v>
      </c>
      <c r="C380" s="308" t="s">
        <v>2316</v>
      </c>
      <c r="D380" s="523">
        <v>651462.69000000006</v>
      </c>
    </row>
    <row r="381" spans="1:4">
      <c r="A381" s="307">
        <v>3323</v>
      </c>
      <c r="B381" t="s">
        <v>4230</v>
      </c>
      <c r="C381" s="308" t="s">
        <v>1738</v>
      </c>
      <c r="D381" s="523">
        <v>150</v>
      </c>
    </row>
    <row r="382" spans="1:4">
      <c r="A382" s="307">
        <v>3554</v>
      </c>
      <c r="B382" t="s">
        <v>2690</v>
      </c>
      <c r="C382" s="308" t="s">
        <v>1738</v>
      </c>
      <c r="D382" s="523">
        <v>1452</v>
      </c>
    </row>
    <row r="383" spans="1:4">
      <c r="A383" s="307">
        <v>17372</v>
      </c>
      <c r="B383" t="s">
        <v>4231</v>
      </c>
      <c r="C383" s="308" t="s">
        <v>1736</v>
      </c>
      <c r="D383" s="523"/>
    </row>
    <row r="384" spans="1:4">
      <c r="A384" s="307">
        <v>17518</v>
      </c>
      <c r="B384" t="s">
        <v>6776</v>
      </c>
      <c r="C384" s="308"/>
      <c r="D384" s="523">
        <v>30</v>
      </c>
    </row>
    <row r="385" spans="1:4">
      <c r="A385" s="307">
        <v>3546</v>
      </c>
      <c r="B385" t="s">
        <v>2691</v>
      </c>
      <c r="C385" s="308" t="s">
        <v>1736</v>
      </c>
      <c r="D385" s="523">
        <v>10</v>
      </c>
    </row>
    <row r="386" spans="1:4">
      <c r="A386" s="307">
        <v>2930</v>
      </c>
      <c r="B386" t="s">
        <v>3314</v>
      </c>
      <c r="C386" s="308" t="s">
        <v>3791</v>
      </c>
      <c r="D386" s="523"/>
    </row>
    <row r="387" spans="1:4">
      <c r="A387" s="307">
        <v>2151</v>
      </c>
      <c r="B387" t="s">
        <v>4232</v>
      </c>
      <c r="C387" s="308" t="s">
        <v>1738</v>
      </c>
      <c r="D387" s="523">
        <v>15825.07</v>
      </c>
    </row>
    <row r="388" spans="1:4">
      <c r="A388" s="307">
        <v>3430</v>
      </c>
      <c r="B388" t="s">
        <v>5503</v>
      </c>
      <c r="C388" s="308" t="s">
        <v>2322</v>
      </c>
      <c r="D388" s="523"/>
    </row>
    <row r="389" spans="1:4">
      <c r="A389" s="307">
        <v>3451</v>
      </c>
      <c r="B389" t="s">
        <v>2204</v>
      </c>
      <c r="C389" s="308" t="s">
        <v>2312</v>
      </c>
      <c r="D389" s="523"/>
    </row>
    <row r="390" spans="1:4">
      <c r="A390" s="307">
        <v>2979</v>
      </c>
      <c r="B390" t="s">
        <v>4233</v>
      </c>
      <c r="C390" s="308" t="s">
        <v>1738</v>
      </c>
      <c r="D390" s="523">
        <v>18454</v>
      </c>
    </row>
    <row r="391" spans="1:4">
      <c r="A391" s="307">
        <v>2192</v>
      </c>
      <c r="B391" t="s">
        <v>3168</v>
      </c>
      <c r="C391" s="308" t="s">
        <v>1738</v>
      </c>
      <c r="D391" s="523">
        <v>449113</v>
      </c>
    </row>
    <row r="392" spans="1:4">
      <c r="A392" s="307">
        <v>19044</v>
      </c>
      <c r="B392" t="s">
        <v>4234</v>
      </c>
      <c r="C392" s="308" t="s">
        <v>1738</v>
      </c>
      <c r="D392" s="523"/>
    </row>
    <row r="393" spans="1:4">
      <c r="A393" s="307">
        <v>2380</v>
      </c>
      <c r="B393" t="s">
        <v>74</v>
      </c>
      <c r="C393" s="308"/>
      <c r="D393" s="523"/>
    </row>
    <row r="394" spans="1:4">
      <c r="A394" s="307">
        <v>6801</v>
      </c>
      <c r="B394" t="s">
        <v>8873</v>
      </c>
      <c r="C394" s="308" t="s">
        <v>4282</v>
      </c>
      <c r="D394" s="523"/>
    </row>
    <row r="395" spans="1:4">
      <c r="A395" s="403">
        <v>3220</v>
      </c>
      <c r="B395" s="403" t="s">
        <v>3045</v>
      </c>
      <c r="C395" s="308" t="s">
        <v>1738</v>
      </c>
      <c r="D395" s="523"/>
    </row>
    <row r="396" spans="1:4">
      <c r="A396" s="307">
        <v>3505</v>
      </c>
      <c r="B396" t="s">
        <v>4070</v>
      </c>
      <c r="C396" s="308" t="s">
        <v>1738</v>
      </c>
      <c r="D396" s="523">
        <v>33.380000000000003</v>
      </c>
    </row>
    <row r="397" spans="1:4">
      <c r="A397" s="307">
        <v>11545</v>
      </c>
      <c r="B397" t="s">
        <v>4235</v>
      </c>
      <c r="C397" s="308" t="s">
        <v>434</v>
      </c>
      <c r="D397" s="523">
        <v>254.22</v>
      </c>
    </row>
    <row r="398" spans="1:4">
      <c r="A398" s="307">
        <v>18995</v>
      </c>
      <c r="B398" t="s">
        <v>4236</v>
      </c>
      <c r="C398" s="308" t="s">
        <v>1738</v>
      </c>
      <c r="D398" s="523">
        <v>14465</v>
      </c>
    </row>
    <row r="399" spans="1:4">
      <c r="A399" s="307">
        <v>3399</v>
      </c>
      <c r="B399" t="s">
        <v>3939</v>
      </c>
      <c r="C399" s="308" t="s">
        <v>2322</v>
      </c>
      <c r="D399" s="523">
        <v>114484.67999999998</v>
      </c>
    </row>
    <row r="400" spans="1:4">
      <c r="A400" s="307">
        <v>3507</v>
      </c>
      <c r="B400" t="s">
        <v>4237</v>
      </c>
      <c r="C400" s="308" t="s">
        <v>2316</v>
      </c>
      <c r="D400" s="523">
        <v>24863</v>
      </c>
    </row>
    <row r="401" spans="1:4">
      <c r="A401" s="307">
        <v>17310</v>
      </c>
      <c r="B401" t="s">
        <v>6777</v>
      </c>
      <c r="C401" s="308"/>
      <c r="D401" s="523"/>
    </row>
    <row r="402" spans="1:4">
      <c r="A402" s="307">
        <v>2273</v>
      </c>
      <c r="B402" t="s">
        <v>3179</v>
      </c>
      <c r="C402" s="308" t="s">
        <v>1738</v>
      </c>
      <c r="D402" s="523"/>
    </row>
    <row r="403" spans="1:4">
      <c r="A403" s="307">
        <v>2660</v>
      </c>
      <c r="B403" t="s">
        <v>3161</v>
      </c>
      <c r="C403" s="308" t="s">
        <v>1736</v>
      </c>
      <c r="D403" s="523"/>
    </row>
    <row r="404" spans="1:4">
      <c r="A404" s="307">
        <v>2653</v>
      </c>
      <c r="B404" t="s">
        <v>5302</v>
      </c>
      <c r="C404" s="308" t="s">
        <v>1736</v>
      </c>
      <c r="D404" s="523">
        <v>1527.22</v>
      </c>
    </row>
    <row r="405" spans="1:4">
      <c r="A405" s="307">
        <v>3521</v>
      </c>
      <c r="B405" t="s">
        <v>332</v>
      </c>
      <c r="C405" s="308" t="s">
        <v>2318</v>
      </c>
      <c r="D405" s="523">
        <v>19995.48</v>
      </c>
    </row>
    <row r="406" spans="1:4">
      <c r="A406" s="307">
        <v>2194</v>
      </c>
      <c r="B406" t="s">
        <v>3474</v>
      </c>
      <c r="C406" s="308" t="s">
        <v>1738</v>
      </c>
      <c r="D406" s="523">
        <v>13972.25</v>
      </c>
    </row>
    <row r="407" spans="1:4">
      <c r="A407" s="307">
        <v>3098</v>
      </c>
      <c r="B407" t="s">
        <v>2553</v>
      </c>
      <c r="C407" s="308" t="s">
        <v>1738</v>
      </c>
      <c r="D407" s="523">
        <v>1667.7800000000002</v>
      </c>
    </row>
    <row r="408" spans="1:4">
      <c r="A408" s="403">
        <v>2116</v>
      </c>
      <c r="B408" t="s">
        <v>6539</v>
      </c>
      <c r="C408" s="308" t="s">
        <v>3791</v>
      </c>
      <c r="D408" s="523">
        <v>66</v>
      </c>
    </row>
    <row r="409" spans="1:4">
      <c r="A409" s="307">
        <v>2150</v>
      </c>
      <c r="B409" t="s">
        <v>2263</v>
      </c>
      <c r="C409" s="308" t="s">
        <v>1738</v>
      </c>
      <c r="D409" s="523">
        <v>205031.09</v>
      </c>
    </row>
    <row r="410" spans="1:4">
      <c r="A410" s="307">
        <v>17530</v>
      </c>
      <c r="B410" t="s">
        <v>3851</v>
      </c>
      <c r="C410" s="308"/>
      <c r="D410" s="523">
        <v>7.8</v>
      </c>
    </row>
    <row r="411" spans="1:4">
      <c r="A411" s="307">
        <v>2232</v>
      </c>
      <c r="B411" t="s">
        <v>196</v>
      </c>
      <c r="C411" s="308" t="s">
        <v>1738</v>
      </c>
      <c r="D411" s="523"/>
    </row>
    <row r="412" spans="1:4">
      <c r="A412" s="813">
        <v>3117</v>
      </c>
      <c r="B412" s="813" t="s">
        <v>2119</v>
      </c>
      <c r="C412" s="308" t="s">
        <v>1738</v>
      </c>
      <c r="D412" s="523">
        <v>150000</v>
      </c>
    </row>
    <row r="413" spans="1:4">
      <c r="A413" s="307">
        <v>3115</v>
      </c>
      <c r="B413" t="s">
        <v>5186</v>
      </c>
      <c r="C413" s="308"/>
      <c r="D413" s="523"/>
    </row>
    <row r="414" spans="1:4">
      <c r="A414" s="307">
        <v>2179</v>
      </c>
      <c r="B414" t="s">
        <v>4238</v>
      </c>
      <c r="C414" s="308" t="s">
        <v>1738</v>
      </c>
      <c r="D414" s="523">
        <v>359384.25</v>
      </c>
    </row>
    <row r="415" spans="1:4">
      <c r="A415" s="307">
        <v>2129</v>
      </c>
      <c r="B415" t="s">
        <v>3707</v>
      </c>
      <c r="C415" s="308" t="s">
        <v>1738</v>
      </c>
      <c r="D415" s="523">
        <v>14249</v>
      </c>
    </row>
    <row r="416" spans="1:4">
      <c r="A416" s="307">
        <v>2367</v>
      </c>
      <c r="B416" t="s">
        <v>2932</v>
      </c>
      <c r="C416" s="308" t="s">
        <v>1738</v>
      </c>
      <c r="D416" s="523">
        <v>89329.42</v>
      </c>
    </row>
    <row r="417" spans="1:4">
      <c r="A417" s="307">
        <v>12623</v>
      </c>
      <c r="B417" t="s">
        <v>6580</v>
      </c>
      <c r="C417" s="308"/>
      <c r="D417" s="523"/>
    </row>
    <row r="418" spans="1:4">
      <c r="A418" s="307">
        <v>3465</v>
      </c>
      <c r="B418" t="s">
        <v>2929</v>
      </c>
      <c r="C418" s="308" t="s">
        <v>2311</v>
      </c>
      <c r="D418" s="523">
        <v>116251</v>
      </c>
    </row>
    <row r="419" spans="1:4">
      <c r="A419" s="403">
        <v>18926</v>
      </c>
      <c r="B419" s="403" t="s">
        <v>9168</v>
      </c>
      <c r="C419" s="308" t="s">
        <v>2319</v>
      </c>
      <c r="D419" s="523">
        <v>0.8</v>
      </c>
    </row>
    <row r="420" spans="1:4">
      <c r="A420" s="307">
        <v>2146</v>
      </c>
      <c r="B420" t="s">
        <v>3167</v>
      </c>
      <c r="C420" s="308" t="s">
        <v>1738</v>
      </c>
      <c r="D420" s="523">
        <v>114.08</v>
      </c>
    </row>
    <row r="421" spans="1:4">
      <c r="A421" s="307">
        <v>3544</v>
      </c>
      <c r="B421" t="s">
        <v>733</v>
      </c>
      <c r="C421" s="308" t="s">
        <v>1738</v>
      </c>
      <c r="D421" s="523"/>
    </row>
    <row r="422" spans="1:4">
      <c r="A422" s="307">
        <v>2661</v>
      </c>
      <c r="B422" t="s">
        <v>6782</v>
      </c>
      <c r="C422" s="308"/>
      <c r="D422" s="523">
        <v>0.5</v>
      </c>
    </row>
    <row r="423" spans="1:4">
      <c r="A423" s="307">
        <v>3523</v>
      </c>
      <c r="B423" t="s">
        <v>4770</v>
      </c>
      <c r="C423" s="308" t="s">
        <v>2318</v>
      </c>
      <c r="D423" s="523">
        <v>2.1399999999999997</v>
      </c>
    </row>
    <row r="424" spans="1:4">
      <c r="A424" s="307">
        <v>2934</v>
      </c>
      <c r="B424" t="s">
        <v>1871</v>
      </c>
      <c r="C424" s="308" t="s">
        <v>2323</v>
      </c>
      <c r="D424" s="523">
        <v>853200.90000000026</v>
      </c>
    </row>
    <row r="425" spans="1:4">
      <c r="A425" s="307">
        <v>2652</v>
      </c>
      <c r="B425" t="s">
        <v>4239</v>
      </c>
      <c r="C425" s="308" t="s">
        <v>1736</v>
      </c>
      <c r="D425" s="523">
        <v>1057.68</v>
      </c>
    </row>
    <row r="426" spans="1:4">
      <c r="A426" s="307">
        <v>2771</v>
      </c>
      <c r="B426" t="s">
        <v>2043</v>
      </c>
      <c r="C426" s="308" t="s">
        <v>1738</v>
      </c>
      <c r="D426" s="523"/>
    </row>
    <row r="427" spans="1:4">
      <c r="A427" s="307">
        <v>2625</v>
      </c>
      <c r="B427" t="s">
        <v>4240</v>
      </c>
      <c r="C427" s="308" t="s">
        <v>1737</v>
      </c>
      <c r="D427" s="523">
        <v>131.80000000000001</v>
      </c>
    </row>
    <row r="428" spans="1:4">
      <c r="A428" s="307">
        <v>3165</v>
      </c>
      <c r="B428" t="s">
        <v>2931</v>
      </c>
      <c r="C428" s="308" t="s">
        <v>1738</v>
      </c>
      <c r="D428" s="523">
        <v>73676.84</v>
      </c>
    </row>
    <row r="429" spans="1:4">
      <c r="A429" s="307">
        <v>18841</v>
      </c>
      <c r="B429" t="s">
        <v>8871</v>
      </c>
      <c r="C429" s="308" t="s">
        <v>4282</v>
      </c>
      <c r="D429" s="523"/>
    </row>
    <row r="430" spans="1:4">
      <c r="A430" s="813">
        <v>18277</v>
      </c>
      <c r="B430" s="813" t="s">
        <v>9172</v>
      </c>
      <c r="C430" s="308" t="s">
        <v>2310</v>
      </c>
      <c r="D430" s="523">
        <v>11962</v>
      </c>
    </row>
    <row r="431" spans="1:4">
      <c r="A431" s="307">
        <v>2381</v>
      </c>
      <c r="B431" t="s">
        <v>3152</v>
      </c>
      <c r="C431" s="308" t="s">
        <v>1738</v>
      </c>
      <c r="D431" s="523">
        <v>2204.02</v>
      </c>
    </row>
    <row r="432" spans="1:4">
      <c r="A432" s="307">
        <v>3634</v>
      </c>
      <c r="B432" t="s">
        <v>1451</v>
      </c>
      <c r="C432" s="308" t="s">
        <v>1738</v>
      </c>
      <c r="D432" s="523">
        <v>5303.27</v>
      </c>
    </row>
    <row r="433" spans="1:4">
      <c r="A433" s="307">
        <v>3454</v>
      </c>
      <c r="B433" t="s">
        <v>3709</v>
      </c>
      <c r="C433" s="308" t="s">
        <v>2322</v>
      </c>
      <c r="D433" s="523">
        <v>1711344</v>
      </c>
    </row>
    <row r="434" spans="1:4">
      <c r="A434" s="403">
        <v>3190</v>
      </c>
      <c r="B434" s="403" t="s">
        <v>9170</v>
      </c>
      <c r="C434" s="308" t="s">
        <v>1738</v>
      </c>
      <c r="D434" s="523">
        <v>1</v>
      </c>
    </row>
    <row r="435" spans="1:4">
      <c r="A435" s="307">
        <v>2418</v>
      </c>
      <c r="B435" t="s">
        <v>4241</v>
      </c>
      <c r="C435" s="308" t="s">
        <v>1738</v>
      </c>
      <c r="D435" s="523">
        <v>6</v>
      </c>
    </row>
    <row r="436" spans="1:4">
      <c r="A436" s="307">
        <v>2419</v>
      </c>
      <c r="B436" t="s">
        <v>4242</v>
      </c>
      <c r="C436" s="308" t="s">
        <v>1738</v>
      </c>
      <c r="D436" s="523">
        <v>1908.6799999999998</v>
      </c>
    </row>
    <row r="437" spans="1:4">
      <c r="A437" s="307">
        <v>14333</v>
      </c>
      <c r="B437" t="s">
        <v>6598</v>
      </c>
      <c r="C437" s="308"/>
      <c r="D437" s="523"/>
    </row>
    <row r="438" spans="1:4">
      <c r="A438" s="307">
        <v>2590</v>
      </c>
      <c r="B438" t="s">
        <v>3520</v>
      </c>
      <c r="C438" s="308" t="s">
        <v>2322</v>
      </c>
      <c r="D438" s="523"/>
    </row>
    <row r="439" spans="1:4">
      <c r="A439" s="307">
        <v>14054</v>
      </c>
      <c r="B439" t="s">
        <v>4243</v>
      </c>
      <c r="C439" s="308" t="s">
        <v>1738</v>
      </c>
      <c r="D439" s="523">
        <v>6102</v>
      </c>
    </row>
    <row r="440" spans="1:4">
      <c r="A440" s="307">
        <v>20038</v>
      </c>
      <c r="B440" t="s">
        <v>8911</v>
      </c>
      <c r="C440" s="308" t="s">
        <v>4282</v>
      </c>
      <c r="D440" s="523"/>
    </row>
    <row r="441" spans="1:4">
      <c r="A441" s="307">
        <v>2963</v>
      </c>
      <c r="B441" t="s">
        <v>3313</v>
      </c>
      <c r="C441" s="308" t="s">
        <v>1738</v>
      </c>
      <c r="D441" s="523"/>
    </row>
    <row r="442" spans="1:4">
      <c r="A442" s="307">
        <v>14384</v>
      </c>
      <c r="B442" t="s">
        <v>4244</v>
      </c>
      <c r="C442" s="308" t="s">
        <v>3786</v>
      </c>
      <c r="D442" s="523"/>
    </row>
    <row r="443" spans="1:4">
      <c r="A443" s="307">
        <v>3352</v>
      </c>
      <c r="B443" t="s">
        <v>3863</v>
      </c>
      <c r="C443" s="308" t="s">
        <v>2317</v>
      </c>
      <c r="D443" s="523">
        <v>17315</v>
      </c>
    </row>
    <row r="444" spans="1:4">
      <c r="A444" s="307">
        <v>10724</v>
      </c>
      <c r="B444" t="s">
        <v>4245</v>
      </c>
      <c r="C444" s="308" t="s">
        <v>1738</v>
      </c>
      <c r="D444" s="523"/>
    </row>
    <row r="445" spans="1:4">
      <c r="A445" s="307">
        <v>3604</v>
      </c>
      <c r="B445" t="s">
        <v>5511</v>
      </c>
      <c r="C445" s="308" t="s">
        <v>2310</v>
      </c>
      <c r="D445" s="523">
        <v>49181</v>
      </c>
    </row>
    <row r="446" spans="1:4">
      <c r="A446" s="307">
        <v>2987</v>
      </c>
      <c r="B446" t="s">
        <v>4159</v>
      </c>
      <c r="C446" s="308" t="s">
        <v>3786</v>
      </c>
      <c r="D446" s="523">
        <v>348.62</v>
      </c>
    </row>
    <row r="447" spans="1:4">
      <c r="A447" s="307">
        <v>3528</v>
      </c>
      <c r="B447" t="s">
        <v>3406</v>
      </c>
      <c r="C447" s="308" t="s">
        <v>2314</v>
      </c>
      <c r="D447" s="523"/>
    </row>
    <row r="448" spans="1:4">
      <c r="A448" s="307">
        <v>3431</v>
      </c>
      <c r="B448" t="s">
        <v>2603</v>
      </c>
      <c r="C448" s="308" t="s">
        <v>2322</v>
      </c>
      <c r="D448" s="523">
        <v>1.86</v>
      </c>
    </row>
    <row r="449" spans="1:4">
      <c r="A449" s="307">
        <v>2157</v>
      </c>
      <c r="B449" t="s">
        <v>4163</v>
      </c>
      <c r="C449" s="308" t="s">
        <v>1738</v>
      </c>
      <c r="D449" s="523">
        <v>90.43</v>
      </c>
    </row>
    <row r="450" spans="1:4">
      <c r="A450" s="307">
        <v>2960</v>
      </c>
      <c r="B450" t="s">
        <v>3745</v>
      </c>
      <c r="C450" s="308" t="s">
        <v>1738</v>
      </c>
      <c r="D450" s="523">
        <v>1315.8</v>
      </c>
    </row>
    <row r="451" spans="1:4">
      <c r="A451" s="307">
        <v>2964</v>
      </c>
      <c r="B451" t="s">
        <v>4246</v>
      </c>
      <c r="C451" s="308" t="s">
        <v>1738</v>
      </c>
      <c r="D451" s="523">
        <v>2027094.0999999999</v>
      </c>
    </row>
    <row r="452" spans="1:4">
      <c r="A452" s="307">
        <v>17253</v>
      </c>
      <c r="B452" t="s">
        <v>4247</v>
      </c>
      <c r="C452" s="308" t="s">
        <v>1738</v>
      </c>
      <c r="D452" s="523"/>
    </row>
    <row r="453" spans="1:4">
      <c r="A453" s="307">
        <v>2159</v>
      </c>
      <c r="B453" t="s">
        <v>4164</v>
      </c>
      <c r="C453" s="308" t="s">
        <v>1738</v>
      </c>
      <c r="D453" s="523">
        <v>14.25</v>
      </c>
    </row>
    <row r="454" spans="1:4">
      <c r="A454" s="307">
        <v>3137</v>
      </c>
      <c r="B454" t="s">
        <v>4248</v>
      </c>
      <c r="C454" s="308" t="s">
        <v>1738</v>
      </c>
      <c r="D454" s="523">
        <v>0</v>
      </c>
    </row>
    <row r="455" spans="1:4">
      <c r="A455" s="307">
        <v>2410</v>
      </c>
      <c r="B455" t="s">
        <v>4249</v>
      </c>
      <c r="C455" s="308" t="s">
        <v>1738</v>
      </c>
      <c r="D455" s="523">
        <v>280</v>
      </c>
    </row>
    <row r="456" spans="1:4">
      <c r="A456" s="307">
        <v>16077</v>
      </c>
      <c r="B456" t="s">
        <v>6784</v>
      </c>
      <c r="C456" s="308"/>
      <c r="D456" s="523">
        <v>14017.97</v>
      </c>
    </row>
    <row r="457" spans="1:4">
      <c r="A457" s="307">
        <v>2927</v>
      </c>
      <c r="B457" t="s">
        <v>5238</v>
      </c>
      <c r="C457" s="308" t="s">
        <v>3791</v>
      </c>
      <c r="D457" s="523">
        <v>4082.7</v>
      </c>
    </row>
    <row r="458" spans="1:4">
      <c r="A458" s="307">
        <v>2983</v>
      </c>
      <c r="B458" t="s">
        <v>4250</v>
      </c>
      <c r="C458" s="308" t="s">
        <v>1738</v>
      </c>
      <c r="D458" s="523">
        <v>8</v>
      </c>
    </row>
    <row r="459" spans="1:4">
      <c r="A459" s="307">
        <v>18366</v>
      </c>
      <c r="B459" t="s">
        <v>3869</v>
      </c>
      <c r="C459" s="308"/>
      <c r="D459" s="523">
        <v>489.42999999999995</v>
      </c>
    </row>
    <row r="460" spans="1:4">
      <c r="A460" s="307">
        <v>3553</v>
      </c>
      <c r="B460" t="s">
        <v>2692</v>
      </c>
      <c r="C460" s="308" t="s">
        <v>1738</v>
      </c>
      <c r="D460" s="523">
        <v>545</v>
      </c>
    </row>
    <row r="461" spans="1:4">
      <c r="A461" s="307">
        <v>3175</v>
      </c>
      <c r="B461" t="s">
        <v>735</v>
      </c>
      <c r="C461" s="308" t="s">
        <v>1738</v>
      </c>
      <c r="D461" s="523"/>
    </row>
    <row r="462" spans="1:4">
      <c r="A462" s="307">
        <v>2606</v>
      </c>
      <c r="B462" t="s">
        <v>4251</v>
      </c>
      <c r="C462" s="308" t="s">
        <v>1738</v>
      </c>
      <c r="D462" s="523">
        <v>15</v>
      </c>
    </row>
    <row r="463" spans="1:4">
      <c r="A463" s="307">
        <v>2678</v>
      </c>
      <c r="B463" t="s">
        <v>1574</v>
      </c>
      <c r="C463" s="308" t="s">
        <v>2318</v>
      </c>
      <c r="D463" s="523">
        <v>1917993</v>
      </c>
    </row>
    <row r="464" spans="1:4">
      <c r="A464" s="307">
        <v>3213</v>
      </c>
      <c r="B464" t="s">
        <v>5074</v>
      </c>
      <c r="C464" s="308" t="s">
        <v>1738</v>
      </c>
      <c r="D464" s="523"/>
    </row>
    <row r="465" spans="1:4">
      <c r="A465" s="307">
        <v>2343</v>
      </c>
      <c r="B465" t="s">
        <v>6785</v>
      </c>
      <c r="C465" s="308"/>
      <c r="D465" s="523"/>
    </row>
    <row r="466" spans="1:4">
      <c r="A466" s="307">
        <v>2521</v>
      </c>
      <c r="B466" t="s">
        <v>2920</v>
      </c>
      <c r="C466" s="308" t="s">
        <v>1738</v>
      </c>
      <c r="D466" s="523">
        <v>200</v>
      </c>
    </row>
    <row r="467" spans="1:4">
      <c r="A467" s="307">
        <v>18540</v>
      </c>
      <c r="B467" t="s">
        <v>4252</v>
      </c>
      <c r="C467" s="308" t="s">
        <v>1738</v>
      </c>
      <c r="D467" s="523">
        <v>354.43999999999994</v>
      </c>
    </row>
    <row r="468" spans="1:4">
      <c r="A468" s="307">
        <v>2770</v>
      </c>
      <c r="B468" t="s">
        <v>713</v>
      </c>
      <c r="C468" s="308" t="s">
        <v>1736</v>
      </c>
      <c r="D468" s="523">
        <v>395</v>
      </c>
    </row>
    <row r="469" spans="1:4">
      <c r="A469" s="813">
        <v>20407</v>
      </c>
      <c r="B469" s="813" t="s">
        <v>8376</v>
      </c>
      <c r="C469" s="308" t="s">
        <v>1740</v>
      </c>
      <c r="D469" s="523">
        <v>1687.07</v>
      </c>
    </row>
    <row r="470" spans="1:4">
      <c r="A470" s="307">
        <v>2686</v>
      </c>
      <c r="B470" t="s">
        <v>4071</v>
      </c>
      <c r="C470" s="308" t="s">
        <v>2314</v>
      </c>
      <c r="D470" s="523">
        <v>1204545.44</v>
      </c>
    </row>
    <row r="471" spans="1:4">
      <c r="A471" s="307">
        <v>2658</v>
      </c>
      <c r="B471" t="s">
        <v>4072</v>
      </c>
      <c r="C471" s="308" t="s">
        <v>1736</v>
      </c>
      <c r="D471" s="523">
        <v>239024</v>
      </c>
    </row>
    <row r="472" spans="1:4">
      <c r="A472" s="307">
        <v>3623</v>
      </c>
      <c r="B472" t="s">
        <v>1053</v>
      </c>
      <c r="C472" s="308" t="s">
        <v>1738</v>
      </c>
      <c r="D472" s="523">
        <v>43150</v>
      </c>
    </row>
    <row r="473" spans="1:4">
      <c r="A473" s="307">
        <v>2115</v>
      </c>
      <c r="B473" t="s">
        <v>1243</v>
      </c>
      <c r="C473" s="308" t="s">
        <v>2323</v>
      </c>
      <c r="D473" s="523">
        <v>3537.0200000000004</v>
      </c>
    </row>
    <row r="474" spans="1:4">
      <c r="A474" s="307">
        <v>3619</v>
      </c>
      <c r="B474" t="s">
        <v>4073</v>
      </c>
      <c r="C474" s="308" t="s">
        <v>1736</v>
      </c>
      <c r="D474" s="523">
        <v>8995</v>
      </c>
    </row>
    <row r="475" spans="1:4">
      <c r="A475" s="307">
        <v>2290</v>
      </c>
      <c r="B475" t="s">
        <v>4023</v>
      </c>
      <c r="C475" s="308" t="s">
        <v>2319</v>
      </c>
      <c r="D475" s="523"/>
    </row>
    <row r="476" spans="1:4">
      <c r="A476" s="307">
        <v>3643</v>
      </c>
      <c r="B476" t="s">
        <v>3873</v>
      </c>
      <c r="C476" s="308"/>
      <c r="D476" s="523">
        <v>22670.71</v>
      </c>
    </row>
    <row r="477" spans="1:4">
      <c r="A477" s="307">
        <v>15344</v>
      </c>
      <c r="B477" t="s">
        <v>4253</v>
      </c>
      <c r="C477" s="308" t="s">
        <v>1741</v>
      </c>
      <c r="D477" s="523">
        <v>1284.3</v>
      </c>
    </row>
    <row r="478" spans="1:4">
      <c r="A478" s="307">
        <v>15059</v>
      </c>
      <c r="B478" t="s">
        <v>6786</v>
      </c>
      <c r="C478" s="308"/>
      <c r="D478" s="523"/>
    </row>
    <row r="479" spans="1:4">
      <c r="A479" s="307">
        <v>3178</v>
      </c>
      <c r="B479" t="s">
        <v>4254</v>
      </c>
      <c r="C479" s="308" t="s">
        <v>1738</v>
      </c>
      <c r="D479" s="523">
        <v>54</v>
      </c>
    </row>
    <row r="480" spans="1:4">
      <c r="A480" s="307">
        <v>3154</v>
      </c>
      <c r="B480" t="s">
        <v>3153</v>
      </c>
      <c r="C480" s="308" t="s">
        <v>1738</v>
      </c>
      <c r="D480" s="523">
        <v>144.9</v>
      </c>
    </row>
    <row r="481" spans="1:4">
      <c r="A481" s="307">
        <v>2204</v>
      </c>
      <c r="B481" t="s">
        <v>712</v>
      </c>
      <c r="C481" s="308" t="s">
        <v>3786</v>
      </c>
      <c r="D481" s="523"/>
    </row>
    <row r="482" spans="1:4">
      <c r="A482" s="307">
        <v>2879</v>
      </c>
      <c r="B482" t="s">
        <v>4255</v>
      </c>
      <c r="C482" s="308" t="s">
        <v>1738</v>
      </c>
      <c r="D482" s="523">
        <v>487.83</v>
      </c>
    </row>
    <row r="483" spans="1:4">
      <c r="A483" s="307">
        <v>2170</v>
      </c>
      <c r="B483" t="s">
        <v>930</v>
      </c>
      <c r="C483" s="308" t="s">
        <v>1738</v>
      </c>
      <c r="D483" s="523"/>
    </row>
    <row r="484" spans="1:4">
      <c r="A484" s="307">
        <v>2622</v>
      </c>
      <c r="B484" t="s">
        <v>4165</v>
      </c>
      <c r="C484" s="308" t="s">
        <v>1737</v>
      </c>
      <c r="D484" s="523"/>
    </row>
    <row r="485" spans="1:4">
      <c r="A485" s="307">
        <v>2175</v>
      </c>
      <c r="B485" t="s">
        <v>3475</v>
      </c>
      <c r="C485" s="308" t="s">
        <v>1738</v>
      </c>
      <c r="D485" s="523">
        <v>377226.42000000004</v>
      </c>
    </row>
    <row r="486" spans="1:4">
      <c r="A486" s="307">
        <v>2967</v>
      </c>
      <c r="B486" t="s">
        <v>2549</v>
      </c>
      <c r="C486" s="308" t="s">
        <v>5194</v>
      </c>
      <c r="D486" s="523">
        <v>4790828.51</v>
      </c>
    </row>
    <row r="487" spans="1:4">
      <c r="A487" s="307">
        <v>13604</v>
      </c>
      <c r="B487" t="s">
        <v>8879</v>
      </c>
      <c r="C487" s="308" t="s">
        <v>4282</v>
      </c>
      <c r="D487" s="523"/>
    </row>
    <row r="488" spans="1:4">
      <c r="A488" s="307">
        <v>3084</v>
      </c>
      <c r="B488" t="s">
        <v>4256</v>
      </c>
      <c r="C488" s="308" t="s">
        <v>1738</v>
      </c>
      <c r="D488" s="523">
        <v>365.18</v>
      </c>
    </row>
    <row r="489" spans="1:4">
      <c r="A489" s="307">
        <v>2382</v>
      </c>
      <c r="B489" t="s">
        <v>1127</v>
      </c>
      <c r="C489" s="308" t="s">
        <v>1738</v>
      </c>
      <c r="D489" s="523">
        <v>60736</v>
      </c>
    </row>
    <row r="490" spans="1:4">
      <c r="A490" s="813">
        <v>2165</v>
      </c>
      <c r="B490" s="813" t="s">
        <v>6787</v>
      </c>
      <c r="C490" s="308" t="s">
        <v>5194</v>
      </c>
      <c r="D490" s="523">
        <v>68602.399999999994</v>
      </c>
    </row>
    <row r="491" spans="1:4">
      <c r="A491" s="307">
        <v>2165</v>
      </c>
      <c r="B491" t="s">
        <v>6787</v>
      </c>
      <c r="C491" s="308"/>
      <c r="D491" s="523">
        <v>68602.399999999994</v>
      </c>
    </row>
    <row r="492" spans="1:4">
      <c r="A492" s="307">
        <v>3058</v>
      </c>
      <c r="B492" t="s">
        <v>1401</v>
      </c>
      <c r="C492" s="308" t="s">
        <v>1738</v>
      </c>
      <c r="D492" s="523"/>
    </row>
    <row r="493" spans="1:4">
      <c r="A493" s="307">
        <v>14485</v>
      </c>
      <c r="B493" t="s">
        <v>4257</v>
      </c>
      <c r="C493" s="308" t="s">
        <v>1738</v>
      </c>
      <c r="D493" s="523">
        <v>2.27</v>
      </c>
    </row>
    <row r="494" spans="1:4">
      <c r="A494" s="307">
        <v>19316</v>
      </c>
      <c r="B494" t="s">
        <v>8903</v>
      </c>
      <c r="C494" s="308" t="s">
        <v>4282</v>
      </c>
      <c r="D494" s="523"/>
    </row>
    <row r="495" spans="1:4">
      <c r="A495" s="403">
        <v>20548</v>
      </c>
      <c r="B495" s="403" t="s">
        <v>9167</v>
      </c>
      <c r="C495" s="308" t="s">
        <v>1740</v>
      </c>
      <c r="D495" s="523">
        <v>130</v>
      </c>
    </row>
    <row r="496" spans="1:4">
      <c r="A496" s="307">
        <v>2673</v>
      </c>
      <c r="B496" t="s">
        <v>730</v>
      </c>
      <c r="C496" s="308" t="s">
        <v>2316</v>
      </c>
      <c r="D496" s="523">
        <v>28708.2</v>
      </c>
    </row>
    <row r="497" spans="1:4">
      <c r="A497" s="307">
        <v>15171</v>
      </c>
      <c r="B497" t="s">
        <v>8905</v>
      </c>
      <c r="C497" s="308" t="s">
        <v>4282</v>
      </c>
      <c r="D497" s="523"/>
    </row>
    <row r="498" spans="1:4">
      <c r="A498" s="307">
        <v>11426</v>
      </c>
      <c r="B498" t="s">
        <v>4258</v>
      </c>
      <c r="C498" s="308" t="s">
        <v>5194</v>
      </c>
      <c r="D498" s="523">
        <v>6000</v>
      </c>
    </row>
    <row r="499" spans="1:4">
      <c r="A499" s="307">
        <v>12490</v>
      </c>
      <c r="B499" t="s">
        <v>8865</v>
      </c>
      <c r="C499" s="308" t="s">
        <v>4282</v>
      </c>
      <c r="D499" s="523"/>
    </row>
    <row r="500" spans="1:4">
      <c r="A500" s="307">
        <v>3558</v>
      </c>
      <c r="B500" t="s">
        <v>4259</v>
      </c>
      <c r="C500" s="308" t="s">
        <v>1736</v>
      </c>
      <c r="D500" s="523">
        <v>0.2</v>
      </c>
    </row>
    <row r="501" spans="1:4">
      <c r="A501" s="307">
        <v>2695</v>
      </c>
      <c r="B501" t="s">
        <v>4260</v>
      </c>
      <c r="C501" s="308" t="s">
        <v>1738</v>
      </c>
      <c r="D501" s="523"/>
    </row>
    <row r="502" spans="1:4">
      <c r="A502" s="813">
        <v>20606</v>
      </c>
      <c r="B502" s="813" t="s">
        <v>9177</v>
      </c>
      <c r="C502" s="308" t="s">
        <v>2322</v>
      </c>
      <c r="D502" s="523">
        <v>69.790000000000006</v>
      </c>
    </row>
    <row r="503" spans="1:4">
      <c r="A503" s="307">
        <v>2270</v>
      </c>
      <c r="B503" t="s">
        <v>3710</v>
      </c>
      <c r="C503" s="308" t="s">
        <v>1738</v>
      </c>
      <c r="D503" s="523">
        <v>459537</v>
      </c>
    </row>
    <row r="504" spans="1:4">
      <c r="A504" s="307">
        <v>3060</v>
      </c>
      <c r="B504" t="s">
        <v>5429</v>
      </c>
      <c r="C504" s="308" t="s">
        <v>1738</v>
      </c>
      <c r="D504" s="523">
        <v>8568</v>
      </c>
    </row>
    <row r="505" spans="1:4">
      <c r="A505" s="307">
        <v>3321</v>
      </c>
      <c r="B505" t="s">
        <v>2930</v>
      </c>
      <c r="C505" s="308" t="s">
        <v>1738</v>
      </c>
      <c r="D505" s="523">
        <v>26642.22</v>
      </c>
    </row>
    <row r="506" spans="1:4">
      <c r="A506" s="307">
        <v>2332</v>
      </c>
      <c r="B506" t="s">
        <v>3705</v>
      </c>
      <c r="C506" s="308" t="s">
        <v>1738</v>
      </c>
      <c r="D506" s="523">
        <v>559.45000000000005</v>
      </c>
    </row>
    <row r="507" spans="1:4">
      <c r="A507" s="307">
        <v>3133</v>
      </c>
      <c r="B507" t="s">
        <v>3521</v>
      </c>
      <c r="C507" s="308" t="s">
        <v>1738</v>
      </c>
      <c r="D507" s="523">
        <v>166.58</v>
      </c>
    </row>
    <row r="508" spans="1:4">
      <c r="A508" s="307">
        <v>3066</v>
      </c>
      <c r="B508" t="s">
        <v>1575</v>
      </c>
      <c r="C508" s="308" t="s">
        <v>1738</v>
      </c>
      <c r="D508" s="523"/>
    </row>
    <row r="509" spans="1:4">
      <c r="A509" s="307">
        <v>3116</v>
      </c>
      <c r="B509" t="s">
        <v>2055</v>
      </c>
      <c r="C509" s="308" t="s">
        <v>1738</v>
      </c>
      <c r="D509" s="523">
        <v>2480.17</v>
      </c>
    </row>
    <row r="510" spans="1:4">
      <c r="A510" s="307">
        <v>18581</v>
      </c>
      <c r="B510" t="s">
        <v>528</v>
      </c>
      <c r="C510" s="308" t="s">
        <v>1738</v>
      </c>
      <c r="D510" s="523">
        <v>11.15</v>
      </c>
    </row>
    <row r="511" spans="1:4">
      <c r="A511" s="307">
        <v>2117</v>
      </c>
      <c r="B511" t="s">
        <v>6542</v>
      </c>
      <c r="C511" s="308"/>
      <c r="D511" s="523"/>
    </row>
    <row r="512" spans="1:4">
      <c r="A512" s="307">
        <v>2258</v>
      </c>
      <c r="B512" t="s">
        <v>3846</v>
      </c>
      <c r="C512" s="308" t="s">
        <v>1738</v>
      </c>
      <c r="D512" s="523"/>
    </row>
    <row r="513" spans="1:4">
      <c r="A513" s="307">
        <v>2705</v>
      </c>
      <c r="B513" t="s">
        <v>6653</v>
      </c>
      <c r="C513" s="308"/>
      <c r="D513" s="523">
        <v>11.63</v>
      </c>
    </row>
    <row r="514" spans="1:4">
      <c r="A514" s="307">
        <v>2552</v>
      </c>
      <c r="B514" t="s">
        <v>3315</v>
      </c>
      <c r="C514" s="308" t="s">
        <v>1741</v>
      </c>
      <c r="D514" s="523">
        <v>20</v>
      </c>
    </row>
    <row r="515" spans="1:4">
      <c r="A515" s="307">
        <v>6614</v>
      </c>
      <c r="B515" t="s">
        <v>6655</v>
      </c>
      <c r="C515" s="308"/>
      <c r="D515" s="523">
        <v>11584.3</v>
      </c>
    </row>
    <row r="516" spans="1:4">
      <c r="A516" s="307">
        <v>14918</v>
      </c>
      <c r="B516" t="s">
        <v>4261</v>
      </c>
      <c r="C516" s="308" t="s">
        <v>1738</v>
      </c>
      <c r="D516" s="523">
        <v>6</v>
      </c>
    </row>
    <row r="517" spans="1:4">
      <c r="A517" s="307">
        <v>3531</v>
      </c>
      <c r="B517" t="s">
        <v>5026</v>
      </c>
      <c r="C517" s="308" t="s">
        <v>2314</v>
      </c>
      <c r="D517" s="523">
        <v>12477.34</v>
      </c>
    </row>
    <row r="518" spans="1:4">
      <c r="A518" s="307">
        <v>3518</v>
      </c>
      <c r="B518" t="s">
        <v>4262</v>
      </c>
      <c r="C518" s="308" t="s">
        <v>2318</v>
      </c>
      <c r="D518" s="523"/>
    </row>
    <row r="519" spans="1:4">
      <c r="A519" s="307">
        <v>3298</v>
      </c>
      <c r="B519" t="s">
        <v>2861</v>
      </c>
      <c r="C519" s="308" t="s">
        <v>2843</v>
      </c>
      <c r="D519" s="523">
        <v>8000</v>
      </c>
    </row>
    <row r="520" spans="1:4">
      <c r="A520" s="307">
        <v>3403</v>
      </c>
      <c r="B520" t="s">
        <v>4263</v>
      </c>
      <c r="C520" s="308" t="s">
        <v>2322</v>
      </c>
      <c r="D520" s="523">
        <v>0</v>
      </c>
    </row>
    <row r="521" spans="1:4">
      <c r="A521" s="307">
        <v>10411</v>
      </c>
      <c r="B521" t="s">
        <v>8842</v>
      </c>
      <c r="C521" s="308" t="s">
        <v>3786</v>
      </c>
      <c r="D521" s="523">
        <v>14</v>
      </c>
    </row>
    <row r="522" spans="1:4">
      <c r="A522" s="307">
        <v>3416</v>
      </c>
      <c r="B522" t="s">
        <v>3063</v>
      </c>
      <c r="C522" s="308"/>
      <c r="D522" s="523">
        <v>3882</v>
      </c>
    </row>
    <row r="523" spans="1:4">
      <c r="A523" s="307">
        <v>3262</v>
      </c>
      <c r="B523" t="s">
        <v>3180</v>
      </c>
      <c r="C523" s="308" t="s">
        <v>1738</v>
      </c>
      <c r="D523" s="523">
        <v>345.09999999999997</v>
      </c>
    </row>
    <row r="524" spans="1:4">
      <c r="A524" s="307">
        <v>3476</v>
      </c>
      <c r="B524" t="s">
        <v>3365</v>
      </c>
      <c r="C524" s="308" t="s">
        <v>2311</v>
      </c>
      <c r="D524" s="523"/>
    </row>
    <row r="525" spans="1:4">
      <c r="A525" s="307">
        <v>3635</v>
      </c>
      <c r="B525" t="s">
        <v>4264</v>
      </c>
      <c r="C525" s="308" t="s">
        <v>1738</v>
      </c>
      <c r="D525" s="523">
        <v>174931.69</v>
      </c>
    </row>
    <row r="526" spans="1:4">
      <c r="A526" s="307">
        <v>3442</v>
      </c>
      <c r="B526" t="s">
        <v>1054</v>
      </c>
      <c r="C526" s="308" t="s">
        <v>2312</v>
      </c>
      <c r="D526" s="523"/>
    </row>
    <row r="527" spans="1:4">
      <c r="A527" s="307">
        <v>2773</v>
      </c>
      <c r="B527" t="s">
        <v>2684</v>
      </c>
      <c r="C527" s="308"/>
      <c r="D527" s="523">
        <v>69915.449999999983</v>
      </c>
    </row>
    <row r="528" spans="1:4">
      <c r="A528" s="307">
        <v>2285</v>
      </c>
      <c r="B528" t="s">
        <v>4265</v>
      </c>
      <c r="C528" s="308" t="s">
        <v>1738</v>
      </c>
      <c r="D528" s="523">
        <v>32.57</v>
      </c>
    </row>
    <row r="529" spans="1:4">
      <c r="A529" s="307">
        <v>10215</v>
      </c>
      <c r="B529" t="s">
        <v>8838</v>
      </c>
      <c r="C529" s="308" t="s">
        <v>4282</v>
      </c>
      <c r="D529" s="523"/>
    </row>
    <row r="530" spans="1:4">
      <c r="A530" s="307">
        <v>13290</v>
      </c>
      <c r="B530" t="s">
        <v>4739</v>
      </c>
      <c r="C530" s="308" t="s">
        <v>1738</v>
      </c>
      <c r="D530" s="523">
        <v>600</v>
      </c>
    </row>
    <row r="531" spans="1:4">
      <c r="A531" s="307">
        <v>3087</v>
      </c>
      <c r="B531" t="s">
        <v>5172</v>
      </c>
      <c r="C531" s="308"/>
      <c r="D531" s="523">
        <v>0.14000000000000001</v>
      </c>
    </row>
    <row r="532" spans="1:4">
      <c r="A532" s="307">
        <v>3061</v>
      </c>
      <c r="B532" t="s">
        <v>6791</v>
      </c>
      <c r="C532" s="308"/>
      <c r="D532" s="523">
        <v>853</v>
      </c>
    </row>
    <row r="533" spans="1:4">
      <c r="A533" s="307">
        <v>14682</v>
      </c>
      <c r="B533" t="s">
        <v>6682</v>
      </c>
      <c r="C533" s="308"/>
      <c r="D533" s="523">
        <v>580</v>
      </c>
    </row>
    <row r="534" spans="1:4">
      <c r="A534" s="307">
        <v>2457</v>
      </c>
      <c r="B534" t="s">
        <v>1487</v>
      </c>
      <c r="C534" s="308" t="s">
        <v>1738</v>
      </c>
      <c r="D534" s="523"/>
    </row>
    <row r="535" spans="1:4">
      <c r="A535" s="307">
        <v>18731</v>
      </c>
      <c r="B535" t="s">
        <v>4266</v>
      </c>
      <c r="C535" s="308" t="s">
        <v>1738</v>
      </c>
      <c r="D535" s="523"/>
    </row>
    <row r="536" spans="1:4">
      <c r="A536" s="307">
        <v>2071</v>
      </c>
      <c r="B536" t="s">
        <v>1045</v>
      </c>
      <c r="C536" s="308" t="s">
        <v>1738</v>
      </c>
      <c r="D536" s="523">
        <v>2.37</v>
      </c>
    </row>
    <row r="537" spans="1:4">
      <c r="A537" s="307">
        <v>2070</v>
      </c>
      <c r="B537" t="s">
        <v>3312</v>
      </c>
      <c r="C537" s="308" t="s">
        <v>1738</v>
      </c>
      <c r="D537" s="523">
        <v>76.430000000000007</v>
      </c>
    </row>
    <row r="538" spans="1:4">
      <c r="A538" s="307">
        <v>12670</v>
      </c>
      <c r="B538" t="s">
        <v>6792</v>
      </c>
      <c r="C538" s="308"/>
      <c r="D538" s="523">
        <v>13793.76</v>
      </c>
    </row>
    <row r="539" spans="1:4">
      <c r="A539" s="307">
        <v>2768</v>
      </c>
      <c r="B539" t="s">
        <v>714</v>
      </c>
      <c r="C539" s="308" t="s">
        <v>1736</v>
      </c>
      <c r="D539" s="523"/>
    </row>
    <row r="540" spans="1:4">
      <c r="A540" s="307">
        <v>2951</v>
      </c>
      <c r="B540" t="s">
        <v>6687</v>
      </c>
      <c r="C540" s="308"/>
      <c r="D540" s="523">
        <v>3479.59</v>
      </c>
    </row>
    <row r="541" spans="1:4">
      <c r="A541" s="307">
        <v>15287</v>
      </c>
      <c r="B541" t="s">
        <v>4267</v>
      </c>
      <c r="C541" s="308" t="s">
        <v>434</v>
      </c>
      <c r="D541" s="523"/>
    </row>
    <row r="542" spans="1:4">
      <c r="A542" s="307">
        <v>2289</v>
      </c>
      <c r="B542" t="s">
        <v>2247</v>
      </c>
      <c r="C542" s="308" t="s">
        <v>1738</v>
      </c>
      <c r="D542" s="523">
        <v>202</v>
      </c>
    </row>
    <row r="543" spans="1:4">
      <c r="A543" s="307">
        <v>3085</v>
      </c>
      <c r="B543" t="s">
        <v>4268</v>
      </c>
      <c r="C543" s="308" t="s">
        <v>2319</v>
      </c>
      <c r="D543" s="523">
        <v>4817.0200000000004</v>
      </c>
    </row>
    <row r="544" spans="1:4">
      <c r="A544" s="307">
        <v>2193</v>
      </c>
      <c r="B544" t="s">
        <v>4269</v>
      </c>
      <c r="C544" s="308" t="s">
        <v>1738</v>
      </c>
      <c r="D544" s="523">
        <v>2360639.4699999997</v>
      </c>
    </row>
    <row r="545" spans="1:4">
      <c r="A545" s="307">
        <v>3062</v>
      </c>
      <c r="B545" t="s">
        <v>3181</v>
      </c>
      <c r="C545" s="308" t="s">
        <v>1738</v>
      </c>
      <c r="D545" s="523">
        <v>56765.2</v>
      </c>
    </row>
    <row r="546" spans="1:4">
      <c r="A546" s="307">
        <v>2697</v>
      </c>
      <c r="B546" t="s">
        <v>3366</v>
      </c>
      <c r="C546" s="308" t="s">
        <v>1738</v>
      </c>
      <c r="D546" s="523"/>
    </row>
    <row r="547" spans="1:4">
      <c r="A547" s="307">
        <v>3500</v>
      </c>
      <c r="B547" t="s">
        <v>5069</v>
      </c>
      <c r="C547" s="308" t="s">
        <v>1736</v>
      </c>
      <c r="D547" s="523"/>
    </row>
    <row r="548" spans="1:4">
      <c r="A548" s="307">
        <v>2069</v>
      </c>
      <c r="B548" t="s">
        <v>3223</v>
      </c>
      <c r="C548" s="308" t="s">
        <v>1738</v>
      </c>
      <c r="D548" s="523">
        <v>113954.95</v>
      </c>
    </row>
    <row r="549" spans="1:4">
      <c r="A549" s="307">
        <v>12812</v>
      </c>
      <c r="B549" t="s">
        <v>6793</v>
      </c>
      <c r="C549" s="308"/>
      <c r="D549" s="523"/>
    </row>
    <row r="550" spans="1:4">
      <c r="A550" s="307">
        <v>18994</v>
      </c>
      <c r="B550" t="s">
        <v>4271</v>
      </c>
      <c r="C550" s="308" t="s">
        <v>2314</v>
      </c>
      <c r="D550" s="523"/>
    </row>
    <row r="551" spans="1:4">
      <c r="A551" s="307">
        <v>3464</v>
      </c>
      <c r="B551" t="s">
        <v>4273</v>
      </c>
      <c r="C551" s="308" t="s">
        <v>2311</v>
      </c>
      <c r="D551" s="523"/>
    </row>
    <row r="552" spans="1:4">
      <c r="A552" s="307">
        <v>11186</v>
      </c>
      <c r="B552" t="s">
        <v>8856</v>
      </c>
      <c r="C552" s="308" t="s">
        <v>4282</v>
      </c>
      <c r="D552" s="523"/>
    </row>
    <row r="553" spans="1:4">
      <c r="A553" s="307">
        <v>2672</v>
      </c>
      <c r="B553" t="s">
        <v>4274</v>
      </c>
      <c r="C553" s="308" t="s">
        <v>2316</v>
      </c>
      <c r="D553" s="523"/>
    </row>
    <row r="554" spans="1:4">
      <c r="A554" s="307">
        <v>19261</v>
      </c>
      <c r="B554" t="s">
        <v>6794</v>
      </c>
      <c r="C554" s="308"/>
      <c r="D554" s="523">
        <v>32758.99</v>
      </c>
    </row>
    <row r="555" spans="1:4">
      <c r="A555" s="307">
        <v>6823</v>
      </c>
      <c r="B555" t="s">
        <v>6795</v>
      </c>
      <c r="C555" s="308"/>
      <c r="D555" s="523">
        <v>11837.02</v>
      </c>
    </row>
    <row r="556" spans="1:4">
      <c r="A556" s="307">
        <v>18539</v>
      </c>
      <c r="B556" t="s">
        <v>1163</v>
      </c>
      <c r="C556" s="308"/>
      <c r="D556" s="523"/>
    </row>
    <row r="557" spans="1:4">
      <c r="A557" s="307">
        <v>2075</v>
      </c>
      <c r="B557" t="s">
        <v>2467</v>
      </c>
      <c r="C557" s="308"/>
      <c r="D557" s="523"/>
    </row>
    <row r="558" spans="1:4">
      <c r="A558" s="307">
        <v>2154</v>
      </c>
      <c r="B558" t="s">
        <v>3224</v>
      </c>
      <c r="C558" s="308" t="s">
        <v>1738</v>
      </c>
      <c r="D558" s="523">
        <v>778.48</v>
      </c>
    </row>
    <row r="559" spans="1:4">
      <c r="A559" s="307">
        <v>3054</v>
      </c>
      <c r="B559" t="s">
        <v>4275</v>
      </c>
      <c r="C559" s="308" t="s">
        <v>1738</v>
      </c>
      <c r="D559" s="523"/>
    </row>
    <row r="560" spans="1:4">
      <c r="A560" s="307">
        <v>3218</v>
      </c>
      <c r="B560" t="s">
        <v>4276</v>
      </c>
      <c r="C560" s="308" t="s">
        <v>1738</v>
      </c>
      <c r="D560" s="523">
        <v>2156.61</v>
      </c>
    </row>
    <row r="561" spans="1:4">
      <c r="A561" s="307">
        <v>12291</v>
      </c>
      <c r="B561" t="s">
        <v>1156</v>
      </c>
      <c r="C561" s="308" t="s">
        <v>1738</v>
      </c>
      <c r="D561" s="523">
        <v>0</v>
      </c>
    </row>
    <row r="562" spans="1:4">
      <c r="A562" s="307">
        <v>13123</v>
      </c>
      <c r="B562" t="s">
        <v>6796</v>
      </c>
      <c r="C562" s="308"/>
      <c r="D562" s="523"/>
    </row>
    <row r="563" spans="1:4">
      <c r="A563" s="307">
        <v>6822</v>
      </c>
      <c r="B563" t="s">
        <v>6797</v>
      </c>
      <c r="C563" s="308"/>
      <c r="D563" s="523">
        <v>27235</v>
      </c>
    </row>
    <row r="564" spans="1:4">
      <c r="A564" s="307">
        <v>14683</v>
      </c>
      <c r="B564" t="s">
        <v>8893</v>
      </c>
      <c r="C564" s="308" t="s">
        <v>4282</v>
      </c>
      <c r="D564" s="523"/>
    </row>
    <row r="565" spans="1:4">
      <c r="A565" s="813">
        <v>20630</v>
      </c>
      <c r="B565" s="813" t="s">
        <v>9179</v>
      </c>
      <c r="C565" s="308" t="s">
        <v>1738</v>
      </c>
      <c r="D565" s="523">
        <v>4401.29</v>
      </c>
    </row>
    <row r="566" spans="1:4">
      <c r="A566" s="307">
        <v>3216</v>
      </c>
      <c r="B566" t="s">
        <v>5456</v>
      </c>
      <c r="C566" s="308" t="s">
        <v>1738</v>
      </c>
      <c r="D566" s="523">
        <v>1033432.2199999999</v>
      </c>
    </row>
    <row r="567" spans="1:4">
      <c r="A567" s="307">
        <v>12500</v>
      </c>
      <c r="B567" t="s">
        <v>8867</v>
      </c>
      <c r="C567" s="308" t="s">
        <v>4282</v>
      </c>
      <c r="D567" s="523"/>
    </row>
    <row r="568" spans="1:4">
      <c r="A568" s="307">
        <v>2980</v>
      </c>
      <c r="B568" t="s">
        <v>4427</v>
      </c>
      <c r="C568" s="308" t="s">
        <v>1738</v>
      </c>
      <c r="D568" s="523">
        <v>1245253.8</v>
      </c>
    </row>
    <row r="569" spans="1:4">
      <c r="A569" s="307">
        <v>6820</v>
      </c>
      <c r="B569" t="s">
        <v>6704</v>
      </c>
      <c r="C569" s="308"/>
      <c r="D569" s="523">
        <v>675.77</v>
      </c>
    </row>
    <row r="570" spans="1:4">
      <c r="A570" s="307">
        <v>3443</v>
      </c>
      <c r="B570" t="s">
        <v>3150</v>
      </c>
      <c r="C570" s="308" t="s">
        <v>2312</v>
      </c>
      <c r="D570" s="523">
        <v>1694.26</v>
      </c>
    </row>
    <row r="571" spans="1:4">
      <c r="A571" s="307">
        <v>2928</v>
      </c>
      <c r="B571" t="s">
        <v>5457</v>
      </c>
      <c r="C571" s="308" t="s">
        <v>2323</v>
      </c>
      <c r="D571" s="523">
        <v>17176.43</v>
      </c>
    </row>
    <row r="572" spans="1:4">
      <c r="A572" s="307">
        <v>13169</v>
      </c>
      <c r="B572" t="s">
        <v>4277</v>
      </c>
      <c r="C572" s="308" t="s">
        <v>1738</v>
      </c>
      <c r="D572" s="523"/>
    </row>
    <row r="573" spans="1:4">
      <c r="A573" s="307">
        <v>3493</v>
      </c>
      <c r="B573" t="s">
        <v>1276</v>
      </c>
      <c r="C573" s="308" t="s">
        <v>1738</v>
      </c>
      <c r="D573" s="523">
        <v>7</v>
      </c>
    </row>
    <row r="574" spans="1:4">
      <c r="A574" s="307">
        <v>2563</v>
      </c>
      <c r="B574" t="s">
        <v>3155</v>
      </c>
      <c r="C574" s="308" t="s">
        <v>1738</v>
      </c>
      <c r="D574" s="523">
        <v>70680.31</v>
      </c>
    </row>
    <row r="575" spans="1:4">
      <c r="A575" s="813">
        <v>18786</v>
      </c>
      <c r="B575" s="813" t="s">
        <v>4620</v>
      </c>
      <c r="C575" s="308" t="s">
        <v>1738</v>
      </c>
      <c r="D575" s="523">
        <v>3100</v>
      </c>
    </row>
    <row r="576" spans="1:4">
      <c r="A576" s="307">
        <v>13278</v>
      </c>
      <c r="B576" t="s">
        <v>3522</v>
      </c>
      <c r="C576" s="308" t="s">
        <v>1738</v>
      </c>
      <c r="D576" s="523"/>
    </row>
    <row r="577" spans="1:4">
      <c r="A577" s="307">
        <v>18520</v>
      </c>
      <c r="B577" t="s">
        <v>5992</v>
      </c>
      <c r="C577" s="308"/>
      <c r="D577" s="523">
        <v>1.42</v>
      </c>
    </row>
    <row r="578" spans="1:4">
      <c r="A578" s="307">
        <v>2946</v>
      </c>
      <c r="B578" t="s">
        <v>912</v>
      </c>
      <c r="C578" s="308" t="s">
        <v>1738</v>
      </c>
      <c r="D578" s="523">
        <v>4510</v>
      </c>
    </row>
    <row r="579" spans="1:4">
      <c r="A579" s="307">
        <v>3522</v>
      </c>
      <c r="B579" t="s">
        <v>6798</v>
      </c>
      <c r="C579" s="308" t="s">
        <v>2318</v>
      </c>
      <c r="D579" s="523"/>
    </row>
    <row r="580" spans="1:4">
      <c r="A580" s="307">
        <v>3522</v>
      </c>
      <c r="B580" t="s">
        <v>6798</v>
      </c>
      <c r="C580" s="308"/>
      <c r="D580" s="523"/>
    </row>
    <row r="581" spans="1:4">
      <c r="A581" s="307">
        <v>17807</v>
      </c>
      <c r="B581" t="s">
        <v>8897</v>
      </c>
      <c r="C581" s="308" t="s">
        <v>1736</v>
      </c>
      <c r="D581" s="523"/>
    </row>
    <row r="582" spans="1:4">
      <c r="A582" s="307">
        <v>2421</v>
      </c>
      <c r="B582" t="s">
        <v>490</v>
      </c>
      <c r="C582" s="308" t="s">
        <v>1738</v>
      </c>
      <c r="D582" s="523"/>
    </row>
    <row r="583" spans="1:4">
      <c r="A583" s="307">
        <v>3540</v>
      </c>
      <c r="B583" t="s">
        <v>1482</v>
      </c>
      <c r="C583" s="308" t="s">
        <v>1736</v>
      </c>
      <c r="D583" s="523"/>
    </row>
    <row r="584" spans="1:4">
      <c r="A584" s="307">
        <v>15973</v>
      </c>
      <c r="B584" t="s">
        <v>3323</v>
      </c>
      <c r="C584" s="308"/>
      <c r="D584" s="523"/>
    </row>
    <row r="585" spans="1:4">
      <c r="A585" s="307">
        <v>14618</v>
      </c>
      <c r="B585" t="s">
        <v>4278</v>
      </c>
      <c r="C585" s="308" t="s">
        <v>1736</v>
      </c>
      <c r="D585" s="523"/>
    </row>
    <row r="586" spans="1:4">
      <c r="A586" s="307">
        <v>2777</v>
      </c>
      <c r="B586" t="s">
        <v>4074</v>
      </c>
      <c r="C586" s="308"/>
      <c r="D586" s="523">
        <v>2321405</v>
      </c>
    </row>
    <row r="587" spans="1:4">
      <c r="A587" s="307">
        <v>3630</v>
      </c>
      <c r="B587" t="s">
        <v>5993</v>
      </c>
      <c r="C587" s="308"/>
      <c r="D587" s="523">
        <v>67.8</v>
      </c>
    </row>
    <row r="588" spans="1:4">
      <c r="A588" s="307">
        <v>15981</v>
      </c>
      <c r="B588" t="s">
        <v>6799</v>
      </c>
      <c r="C588" s="308"/>
      <c r="D588" s="523">
        <v>1022</v>
      </c>
    </row>
    <row r="589" spans="1:4">
      <c r="A589" s="307">
        <v>18535</v>
      </c>
      <c r="B589" t="s">
        <v>4279</v>
      </c>
      <c r="C589" s="308" t="s">
        <v>1738</v>
      </c>
      <c r="D589" s="523">
        <v>686.93</v>
      </c>
    </row>
    <row r="590" spans="1:4">
      <c r="A590" s="307">
        <v>17580</v>
      </c>
      <c r="B590" t="s">
        <v>4280</v>
      </c>
      <c r="C590" s="308" t="s">
        <v>1738</v>
      </c>
      <c r="D590" s="523">
        <v>0.17</v>
      </c>
    </row>
    <row r="591" spans="1:4">
      <c r="A591" s="307">
        <v>16672</v>
      </c>
      <c r="B591" t="s">
        <v>4281</v>
      </c>
      <c r="C591" s="308" t="s">
        <v>4282</v>
      </c>
      <c r="D591" s="523"/>
    </row>
    <row r="592" spans="1:4">
      <c r="A592" s="307">
        <v>2973</v>
      </c>
      <c r="B592" t="s">
        <v>6632</v>
      </c>
      <c r="C592" s="308"/>
      <c r="D592" s="523">
        <v>1825.6800000000003</v>
      </c>
    </row>
    <row r="593" spans="1:4">
      <c r="A593" s="307">
        <v>10120</v>
      </c>
      <c r="B593" t="s">
        <v>931</v>
      </c>
      <c r="C593" s="308" t="s">
        <v>1738</v>
      </c>
      <c r="D593" s="523"/>
    </row>
    <row r="594" spans="1:4">
      <c r="A594" s="307">
        <v>14516</v>
      </c>
      <c r="B594" t="s">
        <v>4283</v>
      </c>
      <c r="C594" s="308" t="s">
        <v>1738</v>
      </c>
      <c r="D594" s="523">
        <v>0</v>
      </c>
    </row>
    <row r="595" spans="1:4">
      <c r="A595" s="307">
        <v>2370</v>
      </c>
      <c r="B595" t="s">
        <v>1082</v>
      </c>
      <c r="C595" s="308" t="s">
        <v>1738</v>
      </c>
      <c r="D595" s="523">
        <v>5.78</v>
      </c>
    </row>
    <row r="596" spans="1:4">
      <c r="A596" s="307">
        <v>2878</v>
      </c>
      <c r="B596" t="s">
        <v>2633</v>
      </c>
      <c r="C596" s="308"/>
      <c r="D596" s="523"/>
    </row>
    <row r="597" spans="1:4">
      <c r="A597" s="307">
        <v>2316</v>
      </c>
      <c r="B597" t="s">
        <v>4721</v>
      </c>
      <c r="C597" s="308" t="s">
        <v>1738</v>
      </c>
      <c r="D597" s="523">
        <v>4763</v>
      </c>
    </row>
    <row r="598" spans="1:4">
      <c r="A598" s="307">
        <v>2132</v>
      </c>
      <c r="B598" t="s">
        <v>3226</v>
      </c>
      <c r="C598" s="308" t="s">
        <v>1738</v>
      </c>
      <c r="D598" s="523">
        <v>3568</v>
      </c>
    </row>
    <row r="599" spans="1:4">
      <c r="A599" s="307">
        <v>3404</v>
      </c>
      <c r="B599" t="s">
        <v>2543</v>
      </c>
      <c r="C599" s="308" t="s">
        <v>2322</v>
      </c>
      <c r="D599" s="523">
        <v>1466559</v>
      </c>
    </row>
    <row r="600" spans="1:4">
      <c r="A600" s="307">
        <v>2351</v>
      </c>
      <c r="B600" t="s">
        <v>2955</v>
      </c>
      <c r="C600" s="308"/>
      <c r="D600" s="523"/>
    </row>
    <row r="601" spans="1:4">
      <c r="A601" s="307">
        <v>3263</v>
      </c>
      <c r="B601" t="s">
        <v>4284</v>
      </c>
      <c r="C601" s="308" t="s">
        <v>1738</v>
      </c>
      <c r="D601" s="523"/>
    </row>
    <row r="602" spans="1:4">
      <c r="A602" s="307">
        <v>2173</v>
      </c>
      <c r="B602" t="s">
        <v>2550</v>
      </c>
      <c r="C602" s="308" t="s">
        <v>1738</v>
      </c>
      <c r="D602" s="523">
        <v>705821</v>
      </c>
    </row>
    <row r="603" spans="1:4">
      <c r="A603" s="307">
        <v>2624</v>
      </c>
      <c r="B603" t="s">
        <v>4285</v>
      </c>
      <c r="C603" s="308" t="s">
        <v>1737</v>
      </c>
      <c r="D603" s="523"/>
    </row>
    <row r="604" spans="1:4">
      <c r="A604" s="307">
        <v>14241</v>
      </c>
      <c r="B604" t="s">
        <v>4286</v>
      </c>
      <c r="C604" s="308" t="s">
        <v>1738</v>
      </c>
      <c r="D604" s="523">
        <v>256650</v>
      </c>
    </row>
    <row r="605" spans="1:4">
      <c r="A605" s="307">
        <v>18712</v>
      </c>
      <c r="B605" t="s">
        <v>4288</v>
      </c>
      <c r="C605" s="308" t="s">
        <v>1738</v>
      </c>
      <c r="D605" s="523">
        <v>0</v>
      </c>
    </row>
    <row r="606" spans="1:4">
      <c r="A606" s="307">
        <v>2423</v>
      </c>
      <c r="B606" t="s">
        <v>4287</v>
      </c>
      <c r="C606" s="308" t="s">
        <v>1738</v>
      </c>
      <c r="D606" s="523"/>
    </row>
    <row r="607" spans="1:4">
      <c r="A607" s="307">
        <v>3203</v>
      </c>
      <c r="B607" t="s">
        <v>5071</v>
      </c>
      <c r="C607" s="308" t="s">
        <v>1738</v>
      </c>
      <c r="D607" s="523"/>
    </row>
    <row r="608" spans="1:4">
      <c r="A608" s="307">
        <v>2497</v>
      </c>
      <c r="B608" t="s">
        <v>4609</v>
      </c>
      <c r="C608" s="308" t="s">
        <v>2843</v>
      </c>
      <c r="D608" s="523"/>
    </row>
    <row r="609" spans="1:4">
      <c r="A609" s="307">
        <v>2679</v>
      </c>
      <c r="B609" t="s">
        <v>2644</v>
      </c>
      <c r="C609" s="308" t="s">
        <v>2318</v>
      </c>
      <c r="D609" s="523"/>
    </row>
    <row r="610" spans="1:4">
      <c r="A610" s="860">
        <v>11065</v>
      </c>
      <c r="B610" s="861" t="s">
        <v>8848</v>
      </c>
      <c r="C610" s="862" t="s">
        <v>4282</v>
      </c>
      <c r="D610" s="523"/>
    </row>
    <row r="611" spans="1:4">
      <c r="A611" s="307">
        <v>10428</v>
      </c>
      <c r="B611" t="s">
        <v>6740</v>
      </c>
      <c r="C611" s="308"/>
      <c r="D611" s="523"/>
    </row>
    <row r="612" spans="1:4">
      <c r="A612" s="307">
        <v>6819</v>
      </c>
      <c r="B612" t="s">
        <v>6749</v>
      </c>
      <c r="C612" s="308"/>
      <c r="D612" s="523"/>
    </row>
    <row r="613" spans="1:4">
      <c r="A613" s="307">
        <v>10970</v>
      </c>
      <c r="B613" t="s">
        <v>6750</v>
      </c>
      <c r="C613" s="308"/>
      <c r="D613" s="523"/>
    </row>
    <row r="614" spans="1:4">
      <c r="A614" s="307">
        <v>6818</v>
      </c>
      <c r="B614" t="s">
        <v>6751</v>
      </c>
      <c r="C614" s="308"/>
      <c r="D614" s="523"/>
    </row>
    <row r="615" spans="1:4">
      <c r="A615" s="307">
        <v>10977</v>
      </c>
      <c r="B615" t="s">
        <v>6292</v>
      </c>
      <c r="C615" s="308"/>
      <c r="D615" s="523"/>
    </row>
    <row r="616" spans="1:4">
      <c r="A616" s="307">
        <v>6810</v>
      </c>
      <c r="B616" t="s">
        <v>6752</v>
      </c>
      <c r="C616" s="308"/>
      <c r="D616" s="523"/>
    </row>
    <row r="617" spans="1:4">
      <c r="A617" s="403">
        <v>20446</v>
      </c>
      <c r="B617" s="403" t="s">
        <v>9166</v>
      </c>
      <c r="C617" s="308" t="s">
        <v>1740</v>
      </c>
      <c r="D617" s="856"/>
    </row>
    <row r="618" spans="1:4">
      <c r="A618" s="307">
        <v>20575</v>
      </c>
      <c r="B618" t="s">
        <v>8854</v>
      </c>
      <c r="C618" s="308" t="s">
        <v>4282</v>
      </c>
      <c r="D618" s="523"/>
    </row>
    <row r="619" spans="1:4">
      <c r="A619" s="307">
        <v>11275</v>
      </c>
      <c r="B619" t="s">
        <v>6754</v>
      </c>
      <c r="C619" s="308"/>
      <c r="D619" s="523"/>
    </row>
    <row r="620" spans="1:4">
      <c r="A620" s="307">
        <v>18446</v>
      </c>
      <c r="B620" t="s">
        <v>6326</v>
      </c>
      <c r="C620" s="308"/>
      <c r="D620" s="523"/>
    </row>
    <row r="621" spans="1:4">
      <c r="A621" s="307">
        <v>20574</v>
      </c>
      <c r="B621" t="s">
        <v>8859</v>
      </c>
      <c r="C621" s="308" t="s">
        <v>4282</v>
      </c>
      <c r="D621" s="523"/>
    </row>
    <row r="622" spans="1:4">
      <c r="A622" s="307">
        <v>6809</v>
      </c>
      <c r="B622" t="s">
        <v>6755</v>
      </c>
      <c r="C622" s="308"/>
      <c r="D622" s="523"/>
    </row>
    <row r="623" spans="1:4">
      <c r="A623" s="307">
        <v>11932</v>
      </c>
      <c r="B623" t="s">
        <v>8863</v>
      </c>
      <c r="C623" s="308" t="s">
        <v>4282</v>
      </c>
      <c r="D623" s="523"/>
    </row>
    <row r="624" spans="1:4">
      <c r="A624" s="307">
        <v>18522</v>
      </c>
      <c r="B624" t="s">
        <v>6364</v>
      </c>
      <c r="C624" s="308" t="s">
        <v>1740</v>
      </c>
      <c r="D624" s="523"/>
    </row>
    <row r="625" spans="1:4">
      <c r="A625" s="307">
        <v>19262</v>
      </c>
      <c r="B625" t="s">
        <v>6763</v>
      </c>
      <c r="C625" s="308"/>
      <c r="D625" s="523">
        <v>200</v>
      </c>
    </row>
    <row r="626" spans="1:4">
      <c r="A626" s="307">
        <v>12571</v>
      </c>
      <c r="B626" t="s">
        <v>8869</v>
      </c>
      <c r="C626" s="308" t="s">
        <v>4282</v>
      </c>
      <c r="D626" s="523"/>
    </row>
    <row r="627" spans="1:4">
      <c r="A627" s="307">
        <v>6803</v>
      </c>
      <c r="B627" t="s">
        <v>6764</v>
      </c>
      <c r="C627" s="308"/>
      <c r="D627" s="523"/>
    </row>
    <row r="628" spans="1:4">
      <c r="A628" s="307">
        <v>2147</v>
      </c>
      <c r="B628" t="s">
        <v>6765</v>
      </c>
      <c r="C628" s="308"/>
      <c r="D628" s="523"/>
    </row>
    <row r="629" spans="1:4">
      <c r="A629" s="813">
        <v>20325</v>
      </c>
      <c r="B629" s="813" t="s">
        <v>9175</v>
      </c>
      <c r="C629" s="308" t="s">
        <v>1740</v>
      </c>
      <c r="D629" s="856"/>
    </row>
    <row r="630" spans="1:4">
      <c r="A630" s="813">
        <v>18624</v>
      </c>
      <c r="B630" s="813" t="s">
        <v>9174</v>
      </c>
      <c r="C630" s="308" t="s">
        <v>1738</v>
      </c>
      <c r="D630" s="856"/>
    </row>
    <row r="631" spans="1:4">
      <c r="A631" s="307">
        <v>12975</v>
      </c>
      <c r="B631" t="s">
        <v>6768</v>
      </c>
      <c r="C631" s="308"/>
      <c r="D631" s="523"/>
    </row>
    <row r="632" spans="1:4">
      <c r="A632" s="307">
        <v>13125</v>
      </c>
      <c r="B632" t="s">
        <v>6458</v>
      </c>
      <c r="C632" s="308"/>
      <c r="D632" s="523"/>
    </row>
    <row r="633" spans="1:4">
      <c r="A633" s="307">
        <v>6799</v>
      </c>
      <c r="B633" t="s">
        <v>6769</v>
      </c>
      <c r="C633" s="308"/>
      <c r="D633" s="523"/>
    </row>
    <row r="634" spans="1:4">
      <c r="A634" s="403">
        <v>13931</v>
      </c>
      <c r="B634" s="771" t="s">
        <v>9165</v>
      </c>
      <c r="C634" s="308" t="s">
        <v>1738</v>
      </c>
      <c r="D634" s="856"/>
    </row>
    <row r="635" spans="1:4">
      <c r="A635" s="307">
        <v>13969</v>
      </c>
      <c r="B635" t="s">
        <v>6545</v>
      </c>
      <c r="C635" s="308"/>
      <c r="D635" s="523"/>
    </row>
    <row r="636" spans="1:4">
      <c r="A636" s="307">
        <v>13988</v>
      </c>
      <c r="B636" t="s">
        <v>6775</v>
      </c>
      <c r="C636" s="308"/>
      <c r="D636" s="523"/>
    </row>
    <row r="637" spans="1:4">
      <c r="A637" s="307">
        <v>6792</v>
      </c>
      <c r="B637" t="s">
        <v>6778</v>
      </c>
      <c r="C637" s="308"/>
      <c r="D637" s="523"/>
    </row>
    <row r="638" spans="1:4">
      <c r="A638" s="307">
        <v>18390</v>
      </c>
      <c r="B638" t="s">
        <v>6779</v>
      </c>
      <c r="C638" s="308"/>
      <c r="D638" s="523"/>
    </row>
    <row r="639" spans="1:4">
      <c r="A639" s="307">
        <v>14534</v>
      </c>
      <c r="B639" t="s">
        <v>8889</v>
      </c>
      <c r="C639" s="308" t="s">
        <v>4282</v>
      </c>
      <c r="D639" s="523"/>
    </row>
    <row r="640" spans="1:4">
      <c r="A640" s="307">
        <v>19887</v>
      </c>
      <c r="B640" t="s">
        <v>6780</v>
      </c>
      <c r="C640" s="308" t="s">
        <v>4282</v>
      </c>
      <c r="D640" s="523"/>
    </row>
    <row r="641" spans="1:4">
      <c r="A641" s="307">
        <v>19887</v>
      </c>
      <c r="B641" t="s">
        <v>6780</v>
      </c>
      <c r="C641" s="308"/>
      <c r="D641" s="523"/>
    </row>
    <row r="642" spans="1:4">
      <c r="A642" s="307">
        <v>14768</v>
      </c>
      <c r="B642" t="s">
        <v>6781</v>
      </c>
      <c r="C642" s="308"/>
      <c r="D642" s="523"/>
    </row>
    <row r="643" spans="1:4">
      <c r="A643" s="307">
        <v>15026</v>
      </c>
      <c r="B643" t="s">
        <v>6783</v>
      </c>
      <c r="C643" s="308"/>
      <c r="D643" s="523"/>
    </row>
    <row r="644" spans="1:4">
      <c r="A644" s="307">
        <v>18628</v>
      </c>
      <c r="B644" t="s">
        <v>6788</v>
      </c>
      <c r="C644" s="308"/>
      <c r="D644" s="523"/>
    </row>
    <row r="645" spans="1:4">
      <c r="A645" s="307">
        <v>18519</v>
      </c>
      <c r="B645" t="s">
        <v>6789</v>
      </c>
      <c r="C645" s="308"/>
      <c r="D645" s="523"/>
    </row>
    <row r="646" spans="1:4">
      <c r="A646" s="307">
        <v>18518</v>
      </c>
      <c r="B646" t="s">
        <v>6790</v>
      </c>
      <c r="C646" s="308"/>
      <c r="D646" s="523"/>
    </row>
    <row r="647" spans="1:4">
      <c r="A647" s="863">
        <v>6456</v>
      </c>
      <c r="B647" s="20" t="s">
        <v>8917</v>
      </c>
      <c r="C647" s="864" t="s">
        <v>1736</v>
      </c>
      <c r="D647" s="865"/>
    </row>
    <row r="648" spans="1:4">
      <c r="A648" s="253"/>
      <c r="B648" s="253"/>
      <c r="C648" s="253"/>
      <c r="D648" s="253"/>
    </row>
  </sheetData>
  <sortState xmlns:xlrd2="http://schemas.microsoft.com/office/spreadsheetml/2017/richdata2" ref="A6:D610">
    <sortCondition ref="B6:B610"/>
  </sortState>
  <phoneticPr fontId="0" type="noConversion"/>
  <hyperlinks>
    <hyperlink ref="D3" location="fish_group_yield_w!A1" display="fish_group_yield_w" xr:uid="{00000000-0004-0000-3100-000000000000}"/>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theme="4"/>
    <pageSetUpPr autoPageBreaks="0"/>
  </sheetPr>
  <dimension ref="A1:H8"/>
  <sheetViews>
    <sheetView zoomScaleNormal="100" workbookViewId="0">
      <selection activeCell="A65536" sqref="A65536"/>
    </sheetView>
  </sheetViews>
  <sheetFormatPr defaultColWidth="9.1796875" defaultRowHeight="12.75" customHeight="1"/>
  <cols>
    <col min="1" max="1" width="50.7265625" style="36" customWidth="1"/>
    <col min="2" max="2" width="21.7265625" style="36" customWidth="1"/>
    <col min="3" max="3" width="16" style="36" customWidth="1"/>
    <col min="4" max="8" width="21.7265625" style="36" customWidth="1"/>
    <col min="9" max="16384" width="9.1796875" style="36"/>
  </cols>
  <sheetData>
    <row r="1" spans="1:8" ht="12.75" customHeight="1">
      <c r="B1" s="97"/>
      <c r="C1" s="97"/>
      <c r="D1" s="97"/>
      <c r="E1" s="97"/>
      <c r="F1" s="97"/>
      <c r="G1" s="97"/>
      <c r="H1" s="97"/>
    </row>
    <row r="2" spans="1:8" ht="12.75" customHeight="1">
      <c r="B2" s="37" t="s">
        <v>985</v>
      </c>
      <c r="C2" s="96" t="s">
        <v>1745</v>
      </c>
      <c r="D2" s="97"/>
      <c r="E2" s="97"/>
      <c r="F2" s="97"/>
    </row>
    <row r="3" spans="1:8" ht="12.75" customHeight="1">
      <c r="B3" s="37" t="s">
        <v>986</v>
      </c>
      <c r="C3" s="466" t="s">
        <v>1761</v>
      </c>
      <c r="D3" s="466" t="s">
        <v>5250</v>
      </c>
      <c r="E3" s="466" t="s">
        <v>5091</v>
      </c>
      <c r="F3" s="466" t="s">
        <v>5249</v>
      </c>
      <c r="G3" s="466" t="s">
        <v>5245</v>
      </c>
    </row>
    <row r="4" spans="1:8" ht="12.75" customHeight="1">
      <c r="H4" s="74"/>
    </row>
    <row r="5" spans="1:8" ht="13">
      <c r="A5" s="1057" t="s">
        <v>1923</v>
      </c>
      <c r="B5" s="1058" t="s">
        <v>2532</v>
      </c>
      <c r="C5" s="1019" t="s">
        <v>2533</v>
      </c>
    </row>
    <row r="6" spans="1:8" ht="14.5">
      <c r="A6" s="17" t="s">
        <v>1453</v>
      </c>
      <c r="B6" s="131" t="s">
        <v>3233</v>
      </c>
      <c r="C6" s="587">
        <v>4.25</v>
      </c>
    </row>
    <row r="7" spans="1:8" ht="12.5">
      <c r="A7" s="14" t="s">
        <v>1686</v>
      </c>
      <c r="B7" s="132" t="s">
        <v>542</v>
      </c>
      <c r="C7" s="588">
        <f>(0.07+0.26)/0.26</f>
        <v>1.2692307692307692</v>
      </c>
    </row>
    <row r="8" spans="1:8" ht="12.5">
      <c r="A8" s="19" t="s">
        <v>1687</v>
      </c>
      <c r="B8" s="133" t="s">
        <v>542</v>
      </c>
      <c r="C8" s="589">
        <v>0.1</v>
      </c>
    </row>
  </sheetData>
  <phoneticPr fontId="5" type="noConversion"/>
  <hyperlinks>
    <hyperlink ref="C3" location="fish_group_yield_n!A1" tooltip="Go to fish_group_yield_n" display="fish_group_yield_n" xr:uid="{00000000-0004-0000-3200-000000000000}"/>
    <hyperlink ref="D3" location="fishmeal_fishes!A1" display="fishmeal_fishes" xr:uid="{00000000-0004-0000-3200-000001000000}"/>
    <hyperlink ref="E3" location="fish_feed_group_yield_n!A1" display="fish_feed_group_yield_n" xr:uid="{00000000-0004-0000-3200-000002000000}"/>
    <hyperlink ref="F3" location="fish_feed_group_yield_w!A1" display="fish_feed_group_yield_w" xr:uid="{00000000-0004-0000-3200-000003000000}"/>
    <hyperlink ref="G3" location="fish_group_yield_w!A1" display="fish_group_yield_w" xr:uid="{00000000-0004-0000-3200-000004000000}"/>
  </hyperlinks>
  <pageMargins left="0.75" right="0.75" top="1" bottom="1" header="0.5" footer="0.5"/>
  <pageSetup orientation="portrait" r:id="rId1"/>
  <headerFooter alignWithMargins="0"/>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3">
    <tabColor theme="4"/>
  </sheetPr>
  <dimension ref="A1:F489"/>
  <sheetViews>
    <sheetView zoomScaleNormal="100" workbookViewId="0">
      <selection activeCell="A65536" sqref="A65536"/>
    </sheetView>
  </sheetViews>
  <sheetFormatPr defaultColWidth="9.1796875" defaultRowHeight="12.5"/>
  <cols>
    <col min="1" max="1" width="48.26953125" style="253" customWidth="1"/>
    <col min="2" max="2" width="21.54296875" style="253" customWidth="1"/>
    <col min="3" max="3" width="24.7265625" style="253" customWidth="1"/>
    <col min="4" max="4" width="18.1796875" style="253" customWidth="1"/>
    <col min="5" max="5" width="16.1796875" style="253" customWidth="1"/>
    <col min="6" max="6" width="24.54296875" style="253" customWidth="1"/>
    <col min="7" max="16384" width="9.1796875" style="253"/>
  </cols>
  <sheetData>
    <row r="1" spans="1:6" ht="12.75" customHeight="1">
      <c r="A1" s="36"/>
      <c r="B1" s="97"/>
      <c r="C1" s="97"/>
      <c r="D1" s="97"/>
      <c r="E1" s="97"/>
      <c r="F1" s="97"/>
    </row>
    <row r="2" spans="1:6" ht="12.75" customHeight="1">
      <c r="A2" s="36"/>
      <c r="B2" s="37" t="s">
        <v>985</v>
      </c>
      <c r="C2" s="96" t="s">
        <v>1745</v>
      </c>
      <c r="D2" s="97"/>
      <c r="E2" s="97"/>
      <c r="F2" s="97"/>
    </row>
    <row r="3" spans="1:6" ht="12.75" customHeight="1">
      <c r="A3" s="36"/>
      <c r="B3" s="37" t="s">
        <v>986</v>
      </c>
      <c r="C3" s="466" t="s">
        <v>5247</v>
      </c>
      <c r="D3" s="97"/>
      <c r="E3" s="97"/>
      <c r="F3" s="97"/>
    </row>
    <row r="4" spans="1:6" ht="12.75" customHeight="1">
      <c r="A4" s="36"/>
      <c r="B4" s="36"/>
      <c r="C4" s="36"/>
      <c r="D4" s="36"/>
      <c r="E4" s="36"/>
      <c r="F4" s="36"/>
    </row>
    <row r="5" spans="1:6" ht="13">
      <c r="A5" s="1016" t="s">
        <v>3997</v>
      </c>
      <c r="B5" s="1017" t="s">
        <v>5979</v>
      </c>
      <c r="C5" s="1017" t="s">
        <v>102</v>
      </c>
      <c r="D5" s="1017" t="s">
        <v>5980</v>
      </c>
      <c r="E5" s="1017" t="s">
        <v>5981</v>
      </c>
      <c r="F5" s="1019" t="s">
        <v>5982</v>
      </c>
    </row>
    <row r="6" spans="1:6">
      <c r="A6" s="1046"/>
      <c r="B6" s="1034"/>
      <c r="C6" s="1059"/>
      <c r="D6" s="1059"/>
      <c r="E6" s="1034"/>
      <c r="F6" s="1060"/>
    </row>
    <row r="7" spans="1:6">
      <c r="A7" s="18" t="s">
        <v>2817</v>
      </c>
      <c r="B7" s="18" t="s">
        <v>2310</v>
      </c>
      <c r="C7" s="18" t="s">
        <v>1738</v>
      </c>
      <c r="D7" s="689">
        <v>0.23903099999999999</v>
      </c>
      <c r="E7" s="689">
        <v>6.0399499999999995E-2</v>
      </c>
      <c r="F7" s="690">
        <v>0.90596949999999998</v>
      </c>
    </row>
    <row r="8" spans="1:6">
      <c r="A8" t="s">
        <v>2893</v>
      </c>
      <c r="B8" t="s">
        <v>2310</v>
      </c>
      <c r="C8" t="s">
        <v>1736</v>
      </c>
      <c r="D8" s="691">
        <v>0.23903099999999999</v>
      </c>
      <c r="E8" s="691">
        <v>6.0399499999999995E-2</v>
      </c>
      <c r="F8" s="692">
        <v>0.90596949999999998</v>
      </c>
    </row>
    <row r="9" spans="1:6">
      <c r="A9" t="s">
        <v>3998</v>
      </c>
      <c r="B9" t="s">
        <v>2310</v>
      </c>
      <c r="C9" t="s">
        <v>1738</v>
      </c>
      <c r="D9" s="691">
        <v>0.23903099999999999</v>
      </c>
      <c r="E9" s="691">
        <v>6.0399499999999995E-2</v>
      </c>
      <c r="F9" s="692">
        <v>0.90596949999999998</v>
      </c>
    </row>
    <row r="10" spans="1:6">
      <c r="A10" t="s">
        <v>3999</v>
      </c>
      <c r="B10" t="s">
        <v>2310</v>
      </c>
      <c r="C10" t="s">
        <v>1738</v>
      </c>
      <c r="D10" s="691">
        <v>0.23903099999999999</v>
      </c>
      <c r="E10" s="691">
        <v>6.0399499999999995E-2</v>
      </c>
      <c r="F10" s="692">
        <v>0.90596949999999998</v>
      </c>
    </row>
    <row r="11" spans="1:6">
      <c r="A11" t="s">
        <v>4000</v>
      </c>
      <c r="B11" t="s">
        <v>4959</v>
      </c>
      <c r="C11" t="s">
        <v>1738</v>
      </c>
      <c r="D11" s="691">
        <v>8.6399999999999991E-2</v>
      </c>
      <c r="E11" s="691">
        <v>1.8360000000000001E-2</v>
      </c>
      <c r="F11" s="692">
        <v>0.97524</v>
      </c>
    </row>
    <row r="12" spans="1:6">
      <c r="A12" t="s">
        <v>1489</v>
      </c>
      <c r="B12" t="s">
        <v>5983</v>
      </c>
      <c r="C12" t="s">
        <v>2322</v>
      </c>
      <c r="D12" s="691">
        <v>0.28458</v>
      </c>
      <c r="E12" s="691">
        <v>3.1620000000000002E-2</v>
      </c>
      <c r="F12" s="692">
        <v>1.2648000000000001</v>
      </c>
    </row>
    <row r="13" spans="1:6">
      <c r="A13" t="s">
        <v>4001</v>
      </c>
      <c r="B13" t="s">
        <v>2310</v>
      </c>
      <c r="C13" t="s">
        <v>1738</v>
      </c>
      <c r="D13" s="691">
        <v>0.23903099999999999</v>
      </c>
      <c r="E13" s="691">
        <v>6.0399499999999995E-2</v>
      </c>
      <c r="F13" s="692">
        <v>0.90596949999999998</v>
      </c>
    </row>
    <row r="14" spans="1:6">
      <c r="A14" t="s">
        <v>4850</v>
      </c>
      <c r="B14" t="s">
        <v>2310</v>
      </c>
      <c r="C14" t="s">
        <v>1738</v>
      </c>
      <c r="D14" s="691">
        <v>0.23903099999999999</v>
      </c>
      <c r="E14" s="691">
        <v>6.0399499999999995E-2</v>
      </c>
      <c r="F14" s="692">
        <v>0.90596949999999998</v>
      </c>
    </row>
    <row r="15" spans="1:6">
      <c r="A15" t="s">
        <v>4002</v>
      </c>
      <c r="B15" t="s">
        <v>2310</v>
      </c>
      <c r="C15" t="s">
        <v>2310</v>
      </c>
      <c r="D15" s="691">
        <v>0.23903099999999999</v>
      </c>
      <c r="E15" s="691">
        <v>6.0399499999999995E-2</v>
      </c>
      <c r="F15" s="692">
        <v>0.90596949999999998</v>
      </c>
    </row>
    <row r="16" spans="1:6">
      <c r="A16" t="s">
        <v>1326</v>
      </c>
      <c r="B16" t="s">
        <v>2310</v>
      </c>
      <c r="C16" t="s">
        <v>2316</v>
      </c>
      <c r="D16" s="691">
        <v>0.23903099999999999</v>
      </c>
      <c r="E16" s="691">
        <v>6.0399499999999995E-2</v>
      </c>
      <c r="F16" s="692">
        <v>0.90596949999999998</v>
      </c>
    </row>
    <row r="17" spans="1:6">
      <c r="A17" t="s">
        <v>3699</v>
      </c>
      <c r="B17" t="s">
        <v>5984</v>
      </c>
      <c r="C17" t="s">
        <v>3786</v>
      </c>
      <c r="D17" s="691">
        <v>0.71249999999999991</v>
      </c>
      <c r="E17" s="691">
        <v>7.1250000000000008E-2</v>
      </c>
      <c r="F17" s="692">
        <v>0.64124999999999988</v>
      </c>
    </row>
    <row r="18" spans="1:6">
      <c r="A18" t="s">
        <v>4642</v>
      </c>
      <c r="B18" t="s">
        <v>2310</v>
      </c>
      <c r="C18" t="s">
        <v>1738</v>
      </c>
      <c r="D18" s="691">
        <v>0.23903099999999999</v>
      </c>
      <c r="E18" s="691">
        <v>6.0399499999999995E-2</v>
      </c>
      <c r="F18" s="692">
        <v>0.90596949999999998</v>
      </c>
    </row>
    <row r="19" spans="1:6">
      <c r="A19" t="s">
        <v>4958</v>
      </c>
      <c r="B19" t="s">
        <v>4959</v>
      </c>
      <c r="C19" t="s">
        <v>4959</v>
      </c>
      <c r="D19" s="691">
        <v>8.6399999999999991E-2</v>
      </c>
      <c r="E19" s="691">
        <v>1.8360000000000001E-2</v>
      </c>
      <c r="F19" s="692">
        <v>0.97524</v>
      </c>
    </row>
    <row r="20" spans="1:6">
      <c r="A20" t="s">
        <v>3157</v>
      </c>
      <c r="B20" t="s">
        <v>2310</v>
      </c>
      <c r="C20" t="s">
        <v>1736</v>
      </c>
      <c r="D20" s="691">
        <v>0.23903099999999999</v>
      </c>
      <c r="E20" s="691">
        <v>6.0399499999999995E-2</v>
      </c>
      <c r="F20" s="692">
        <v>0.90596949999999998</v>
      </c>
    </row>
    <row r="21" spans="1:6">
      <c r="A21" t="s">
        <v>2933</v>
      </c>
      <c r="B21" t="s">
        <v>2310</v>
      </c>
      <c r="C21" t="s">
        <v>1738</v>
      </c>
      <c r="D21" s="691">
        <v>0.23903099999999999</v>
      </c>
      <c r="E21" s="691">
        <v>6.0399499999999995E-2</v>
      </c>
      <c r="F21" s="692">
        <v>0.90596949999999998</v>
      </c>
    </row>
    <row r="22" spans="1:6">
      <c r="A22" t="s">
        <v>3293</v>
      </c>
      <c r="B22" t="s">
        <v>2310</v>
      </c>
      <c r="C22" t="s">
        <v>1738</v>
      </c>
      <c r="D22" s="691">
        <v>0.23903099999999999</v>
      </c>
      <c r="E22" s="691">
        <v>6.0399499999999995E-2</v>
      </c>
      <c r="F22" s="692">
        <v>0.90596949999999998</v>
      </c>
    </row>
    <row r="23" spans="1:6">
      <c r="A23" t="s">
        <v>489</v>
      </c>
      <c r="B23" t="s">
        <v>2310</v>
      </c>
      <c r="C23" t="s">
        <v>1738</v>
      </c>
      <c r="D23" s="691">
        <v>0.23903099999999999</v>
      </c>
      <c r="E23" s="691">
        <v>6.0399499999999995E-2</v>
      </c>
      <c r="F23" s="692">
        <v>0.90596949999999998</v>
      </c>
    </row>
    <row r="24" spans="1:6">
      <c r="A24" t="s">
        <v>1244</v>
      </c>
      <c r="B24" t="s">
        <v>2310</v>
      </c>
      <c r="C24" t="s">
        <v>1738</v>
      </c>
      <c r="D24" s="691">
        <v>0.23903099999999999</v>
      </c>
      <c r="E24" s="691">
        <v>6.0399499999999995E-2</v>
      </c>
      <c r="F24" s="692">
        <v>0.90596949999999998</v>
      </c>
    </row>
    <row r="25" spans="1:6">
      <c r="A25" t="s">
        <v>2645</v>
      </c>
      <c r="B25" t="s">
        <v>2310</v>
      </c>
      <c r="C25" t="s">
        <v>1738</v>
      </c>
      <c r="D25" s="691">
        <v>0.23903099999999999</v>
      </c>
      <c r="E25" s="691">
        <v>6.0399499999999995E-2</v>
      </c>
      <c r="F25" s="692">
        <v>0.90596949999999998</v>
      </c>
    </row>
    <row r="26" spans="1:6">
      <c r="A26" t="s">
        <v>4960</v>
      </c>
      <c r="B26" t="s">
        <v>2310</v>
      </c>
      <c r="C26" t="s">
        <v>1738</v>
      </c>
      <c r="D26" s="691">
        <v>0.23903099999999999</v>
      </c>
      <c r="E26" s="691">
        <v>6.0399499999999995E-2</v>
      </c>
      <c r="F26" s="692">
        <v>0.90596949999999998</v>
      </c>
    </row>
    <row r="27" spans="1:6">
      <c r="A27" t="s">
        <v>4961</v>
      </c>
      <c r="B27" t="s">
        <v>2310</v>
      </c>
      <c r="C27" t="s">
        <v>1736</v>
      </c>
      <c r="D27" s="691">
        <v>0.23903099999999999</v>
      </c>
      <c r="E27" s="691">
        <v>6.0399499999999995E-2</v>
      </c>
      <c r="F27" s="692">
        <v>0.90596949999999998</v>
      </c>
    </row>
    <row r="28" spans="1:6">
      <c r="A28" t="s">
        <v>3767</v>
      </c>
      <c r="B28" t="s">
        <v>2310</v>
      </c>
      <c r="C28" t="s">
        <v>1738</v>
      </c>
      <c r="D28" s="691">
        <v>0.23903099999999999</v>
      </c>
      <c r="E28" s="691">
        <v>6.0399499999999995E-2</v>
      </c>
      <c r="F28" s="692">
        <v>0.90596949999999998</v>
      </c>
    </row>
    <row r="29" spans="1:6">
      <c r="A29" t="s">
        <v>4962</v>
      </c>
      <c r="B29" t="s">
        <v>5984</v>
      </c>
      <c r="C29" t="s">
        <v>3786</v>
      </c>
      <c r="D29" s="691">
        <v>0.71249999999999991</v>
      </c>
      <c r="E29" s="691">
        <v>7.1250000000000008E-2</v>
      </c>
      <c r="F29" s="692">
        <v>0.64124999999999988</v>
      </c>
    </row>
    <row r="30" spans="1:6">
      <c r="A30" t="s">
        <v>2935</v>
      </c>
      <c r="B30" t="s">
        <v>2310</v>
      </c>
      <c r="C30" t="s">
        <v>1738</v>
      </c>
      <c r="D30" s="691">
        <v>0.23903099999999999</v>
      </c>
      <c r="E30" s="691">
        <v>6.0399499999999995E-2</v>
      </c>
      <c r="F30" s="692">
        <v>0.90596949999999998</v>
      </c>
    </row>
    <row r="31" spans="1:6">
      <c r="A31" t="s">
        <v>4963</v>
      </c>
      <c r="B31" t="s">
        <v>2310</v>
      </c>
      <c r="C31" t="s">
        <v>1738</v>
      </c>
      <c r="D31" s="691">
        <v>0.23903099999999999</v>
      </c>
      <c r="E31" s="691">
        <v>6.0399499999999995E-2</v>
      </c>
      <c r="F31" s="692">
        <v>0.90596949999999998</v>
      </c>
    </row>
    <row r="32" spans="1:6">
      <c r="A32" t="s">
        <v>1327</v>
      </c>
      <c r="B32" t="s">
        <v>2310</v>
      </c>
      <c r="C32" t="s">
        <v>2843</v>
      </c>
      <c r="D32" s="691">
        <v>0.23903099999999999</v>
      </c>
      <c r="E32" s="691">
        <v>6.0399499999999995E-2</v>
      </c>
      <c r="F32" s="692">
        <v>0.90596949999999998</v>
      </c>
    </row>
    <row r="33" spans="1:6">
      <c r="A33" t="s">
        <v>1328</v>
      </c>
      <c r="B33" t="s">
        <v>2310</v>
      </c>
      <c r="C33" t="s">
        <v>5195</v>
      </c>
      <c r="D33" s="691">
        <v>0.23903099999999999</v>
      </c>
      <c r="E33" s="691">
        <v>6.0399499999999995E-2</v>
      </c>
      <c r="F33" s="692">
        <v>0.90596949999999998</v>
      </c>
    </row>
    <row r="34" spans="1:6">
      <c r="A34" t="s">
        <v>4964</v>
      </c>
      <c r="B34" t="s">
        <v>5983</v>
      </c>
      <c r="C34" t="s">
        <v>2322</v>
      </c>
      <c r="D34" s="691">
        <v>0.28458</v>
      </c>
      <c r="E34" s="691">
        <v>3.1620000000000002E-2</v>
      </c>
      <c r="F34" s="692">
        <v>1.2648000000000001</v>
      </c>
    </row>
    <row r="35" spans="1:6">
      <c r="A35" t="s">
        <v>1484</v>
      </c>
      <c r="B35" t="s">
        <v>2310</v>
      </c>
      <c r="C35" t="s">
        <v>3787</v>
      </c>
      <c r="D35" s="691">
        <v>0.23903099999999999</v>
      </c>
      <c r="E35" s="691">
        <v>6.0399499999999995E-2</v>
      </c>
      <c r="F35" s="692">
        <v>0.90596949999999998</v>
      </c>
    </row>
    <row r="36" spans="1:6">
      <c r="A36" t="s">
        <v>5458</v>
      </c>
      <c r="B36" t="s">
        <v>3791</v>
      </c>
      <c r="C36" t="s">
        <v>3791</v>
      </c>
      <c r="D36" s="691">
        <v>0.312</v>
      </c>
      <c r="E36" s="691">
        <v>0.23399999999999999</v>
      </c>
      <c r="F36" s="692">
        <v>0.75400000000000011</v>
      </c>
    </row>
    <row r="37" spans="1:6">
      <c r="A37" t="s">
        <v>1485</v>
      </c>
      <c r="B37" t="s">
        <v>2310</v>
      </c>
      <c r="C37" t="s">
        <v>1738</v>
      </c>
      <c r="D37" s="691">
        <v>0.23903099999999999</v>
      </c>
      <c r="E37" s="691">
        <v>6.0399499999999995E-2</v>
      </c>
      <c r="F37" s="692">
        <v>0.90596949999999998</v>
      </c>
    </row>
    <row r="38" spans="1:6">
      <c r="A38" t="s">
        <v>2223</v>
      </c>
      <c r="B38" t="s">
        <v>2310</v>
      </c>
      <c r="C38" t="s">
        <v>2314</v>
      </c>
      <c r="D38" s="691">
        <v>0.23903099999999999</v>
      </c>
      <c r="E38" s="691">
        <v>6.0399499999999995E-2</v>
      </c>
      <c r="F38" s="692">
        <v>0.90596949999999998</v>
      </c>
    </row>
    <row r="39" spans="1:6">
      <c r="A39" t="s">
        <v>2934</v>
      </c>
      <c r="B39" t="s">
        <v>2310</v>
      </c>
      <c r="C39" t="s">
        <v>1738</v>
      </c>
      <c r="D39" s="691">
        <v>0.23903099999999999</v>
      </c>
      <c r="E39" s="691">
        <v>6.0399499999999995E-2</v>
      </c>
      <c r="F39" s="692">
        <v>0.90596949999999998</v>
      </c>
    </row>
    <row r="40" spans="1:6">
      <c r="A40" t="s">
        <v>2520</v>
      </c>
      <c r="B40" t="s">
        <v>4959</v>
      </c>
      <c r="C40" t="s">
        <v>1738</v>
      </c>
      <c r="D40" s="691">
        <v>8.6399999999999991E-2</v>
      </c>
      <c r="E40" s="691">
        <v>1.8360000000000001E-2</v>
      </c>
      <c r="F40" s="692">
        <v>0.97524</v>
      </c>
    </row>
    <row r="41" spans="1:6">
      <c r="A41" t="s">
        <v>4965</v>
      </c>
      <c r="B41" t="s">
        <v>5983</v>
      </c>
      <c r="C41" t="s">
        <v>2322</v>
      </c>
      <c r="D41" s="691">
        <v>0.28458</v>
      </c>
      <c r="E41" s="691">
        <v>3.1620000000000002E-2</v>
      </c>
      <c r="F41" s="692">
        <v>1.2648000000000001</v>
      </c>
    </row>
    <row r="42" spans="1:6">
      <c r="A42" t="s">
        <v>1483</v>
      </c>
      <c r="B42" t="s">
        <v>5983</v>
      </c>
      <c r="C42" t="s">
        <v>2322</v>
      </c>
      <c r="D42" s="691">
        <v>0.28458</v>
      </c>
      <c r="E42" s="691">
        <v>3.1620000000000002E-2</v>
      </c>
      <c r="F42" s="692">
        <v>1.2648000000000001</v>
      </c>
    </row>
    <row r="43" spans="1:6">
      <c r="A43" t="s">
        <v>340</v>
      </c>
      <c r="B43" t="s">
        <v>2310</v>
      </c>
      <c r="C43" t="s">
        <v>1736</v>
      </c>
      <c r="D43" s="691">
        <v>0.23903099999999999</v>
      </c>
      <c r="E43" s="691">
        <v>6.0399499999999995E-2</v>
      </c>
      <c r="F43" s="692">
        <v>0.90596949999999998</v>
      </c>
    </row>
    <row r="44" spans="1:6">
      <c r="A44" t="s">
        <v>2607</v>
      </c>
      <c r="B44" t="s">
        <v>2310</v>
      </c>
      <c r="C44" t="s">
        <v>1738</v>
      </c>
      <c r="D44" s="691">
        <v>0.23903099999999999</v>
      </c>
      <c r="E44" s="691">
        <v>6.0399499999999995E-2</v>
      </c>
      <c r="F44" s="692">
        <v>0.90596949999999998</v>
      </c>
    </row>
    <row r="45" spans="1:6">
      <c r="A45" t="s">
        <v>5459</v>
      </c>
      <c r="B45" t="s">
        <v>2310</v>
      </c>
      <c r="C45" t="s">
        <v>1738</v>
      </c>
      <c r="D45" s="691">
        <v>0.23903099999999999</v>
      </c>
      <c r="E45" s="691">
        <v>6.0399499999999995E-2</v>
      </c>
      <c r="F45" s="692">
        <v>0.90596949999999998</v>
      </c>
    </row>
    <row r="46" spans="1:6">
      <c r="A46" t="s">
        <v>4966</v>
      </c>
      <c r="B46" t="s">
        <v>2310</v>
      </c>
      <c r="C46" t="s">
        <v>1738</v>
      </c>
      <c r="D46" s="691">
        <v>0.23903099999999999</v>
      </c>
      <c r="E46" s="691">
        <v>6.0399499999999995E-2</v>
      </c>
      <c r="F46" s="692">
        <v>0.90596949999999998</v>
      </c>
    </row>
    <row r="47" spans="1:6">
      <c r="A47" t="s">
        <v>2743</v>
      </c>
      <c r="B47" t="s">
        <v>2310</v>
      </c>
      <c r="C47" t="s">
        <v>1738</v>
      </c>
      <c r="D47" s="691">
        <v>0.23903099999999999</v>
      </c>
      <c r="E47" s="691">
        <v>6.0399499999999995E-2</v>
      </c>
      <c r="F47" s="692">
        <v>0.90596949999999998</v>
      </c>
    </row>
    <row r="48" spans="1:6">
      <c r="A48" t="s">
        <v>4967</v>
      </c>
      <c r="B48" t="s">
        <v>2310</v>
      </c>
      <c r="C48" t="s">
        <v>1738</v>
      </c>
      <c r="D48" s="691">
        <v>0.23903099999999999</v>
      </c>
      <c r="E48" s="691">
        <v>6.0399499999999995E-2</v>
      </c>
      <c r="F48" s="692">
        <v>0.90596949999999998</v>
      </c>
    </row>
    <row r="49" spans="1:6">
      <c r="A49" t="s">
        <v>4968</v>
      </c>
      <c r="B49" t="s">
        <v>2310</v>
      </c>
      <c r="C49" t="s">
        <v>1736</v>
      </c>
      <c r="D49" s="691">
        <v>0.23903099999999999</v>
      </c>
      <c r="E49" s="691">
        <v>6.0399499999999995E-2</v>
      </c>
      <c r="F49" s="692">
        <v>0.90596949999999998</v>
      </c>
    </row>
    <row r="50" spans="1:6">
      <c r="A50" t="s">
        <v>4428</v>
      </c>
      <c r="B50" t="s">
        <v>2310</v>
      </c>
      <c r="C50" t="s">
        <v>1738</v>
      </c>
      <c r="D50" s="691">
        <v>0.23903099999999999</v>
      </c>
      <c r="E50" s="691">
        <v>6.0399499999999995E-2</v>
      </c>
      <c r="F50" s="692">
        <v>0.90596949999999998</v>
      </c>
    </row>
    <row r="51" spans="1:6">
      <c r="A51" t="s">
        <v>1245</v>
      </c>
      <c r="B51" t="s">
        <v>5194</v>
      </c>
      <c r="C51" t="s">
        <v>5194</v>
      </c>
      <c r="D51" s="691">
        <v>3.9949999999999999E-2</v>
      </c>
      <c r="E51" s="691">
        <v>0</v>
      </c>
      <c r="F51" s="692">
        <v>0.75905</v>
      </c>
    </row>
    <row r="52" spans="1:6">
      <c r="A52" t="s">
        <v>4969</v>
      </c>
      <c r="B52" t="s">
        <v>2310</v>
      </c>
      <c r="C52" t="s">
        <v>1738</v>
      </c>
      <c r="D52" s="691">
        <v>0.23903099999999999</v>
      </c>
      <c r="E52" s="691">
        <v>6.0399499999999995E-2</v>
      </c>
      <c r="F52" s="692">
        <v>0.90596949999999998</v>
      </c>
    </row>
    <row r="53" spans="1:6">
      <c r="A53" t="s">
        <v>3294</v>
      </c>
      <c r="B53" t="s">
        <v>5194</v>
      </c>
      <c r="C53" t="s">
        <v>5194</v>
      </c>
      <c r="D53" s="691">
        <v>3.9949999999999999E-2</v>
      </c>
      <c r="E53" s="691">
        <v>0</v>
      </c>
      <c r="F53" s="692">
        <v>0.75905</v>
      </c>
    </row>
    <row r="54" spans="1:6">
      <c r="A54" t="s">
        <v>1716</v>
      </c>
      <c r="B54" t="s">
        <v>4959</v>
      </c>
      <c r="C54" t="s">
        <v>1738</v>
      </c>
      <c r="D54" s="691">
        <v>8.6399999999999991E-2</v>
      </c>
      <c r="E54" s="691">
        <v>1.8360000000000001E-2</v>
      </c>
      <c r="F54" s="692">
        <v>0.97524</v>
      </c>
    </row>
    <row r="55" spans="1:6">
      <c r="A55" t="s">
        <v>4771</v>
      </c>
      <c r="B55" t="s">
        <v>2310</v>
      </c>
      <c r="C55" t="s">
        <v>2319</v>
      </c>
      <c r="D55" s="691">
        <v>0.23903099999999999</v>
      </c>
      <c r="E55" s="691">
        <v>6.0399499999999995E-2</v>
      </c>
      <c r="F55" s="692">
        <v>0.90596949999999998</v>
      </c>
    </row>
    <row r="56" spans="1:6">
      <c r="A56" t="s">
        <v>4970</v>
      </c>
      <c r="B56" t="s">
        <v>2310</v>
      </c>
      <c r="C56" t="s">
        <v>1738</v>
      </c>
      <c r="D56" s="691">
        <v>0.23903099999999999</v>
      </c>
      <c r="E56" s="691">
        <v>6.0399499999999995E-2</v>
      </c>
      <c r="F56" s="692">
        <v>0.90596949999999998</v>
      </c>
    </row>
    <row r="57" spans="1:6">
      <c r="A57" t="s">
        <v>4971</v>
      </c>
      <c r="B57" t="s">
        <v>4972</v>
      </c>
      <c r="C57" t="s">
        <v>4972</v>
      </c>
      <c r="D57" s="691">
        <v>6.9699999999999998E-2</v>
      </c>
      <c r="E57" s="691">
        <v>0</v>
      </c>
      <c r="F57" s="692">
        <v>1.3242999999999998</v>
      </c>
    </row>
    <row r="58" spans="1:6">
      <c r="A58" t="s">
        <v>4315</v>
      </c>
      <c r="B58" t="s">
        <v>2310</v>
      </c>
      <c r="C58" t="s">
        <v>1738</v>
      </c>
      <c r="D58" s="691">
        <v>0.23903099999999999</v>
      </c>
      <c r="E58" s="691">
        <v>6.0399499999999995E-2</v>
      </c>
      <c r="F58" s="692">
        <v>0.90596949999999998</v>
      </c>
    </row>
    <row r="59" spans="1:6">
      <c r="A59" t="s">
        <v>4887</v>
      </c>
      <c r="B59" t="s">
        <v>2310</v>
      </c>
      <c r="C59" t="s">
        <v>1738</v>
      </c>
      <c r="D59" s="691">
        <v>0.23903099999999999</v>
      </c>
      <c r="E59" s="691">
        <v>6.0399499999999995E-2</v>
      </c>
      <c r="F59" s="692">
        <v>0.90596949999999998</v>
      </c>
    </row>
    <row r="60" spans="1:6">
      <c r="A60" t="s">
        <v>1272</v>
      </c>
      <c r="B60" t="s">
        <v>2310</v>
      </c>
      <c r="C60" t="s">
        <v>1738</v>
      </c>
      <c r="D60" s="691">
        <v>0.23903099999999999</v>
      </c>
      <c r="E60" s="691">
        <v>6.0399499999999995E-2</v>
      </c>
      <c r="F60" s="692">
        <v>0.90596949999999998</v>
      </c>
    </row>
    <row r="61" spans="1:6">
      <c r="A61" t="s">
        <v>4161</v>
      </c>
      <c r="B61" t="s">
        <v>2310</v>
      </c>
      <c r="C61" t="s">
        <v>1738</v>
      </c>
      <c r="D61" s="691">
        <v>0.23903099999999999</v>
      </c>
      <c r="E61" s="691">
        <v>6.0399499999999995E-2</v>
      </c>
      <c r="F61" s="692">
        <v>0.90596949999999998</v>
      </c>
    </row>
    <row r="62" spans="1:6">
      <c r="A62" t="s">
        <v>4851</v>
      </c>
      <c r="B62" t="s">
        <v>2310</v>
      </c>
      <c r="C62" t="s">
        <v>1736</v>
      </c>
      <c r="D62" s="691">
        <v>0.23903099999999999</v>
      </c>
      <c r="E62" s="691">
        <v>6.0399499999999995E-2</v>
      </c>
      <c r="F62" s="692">
        <v>0.90596949999999998</v>
      </c>
    </row>
    <row r="63" spans="1:6">
      <c r="A63" t="s">
        <v>4643</v>
      </c>
      <c r="B63" t="s">
        <v>2310</v>
      </c>
      <c r="C63" t="s">
        <v>2311</v>
      </c>
      <c r="D63" s="691">
        <v>0.23903099999999999</v>
      </c>
      <c r="E63" s="691">
        <v>6.0399499999999995E-2</v>
      </c>
      <c r="F63" s="692">
        <v>0.90596949999999998</v>
      </c>
    </row>
    <row r="64" spans="1:6">
      <c r="A64" t="s">
        <v>3405</v>
      </c>
      <c r="B64" t="s">
        <v>2310</v>
      </c>
      <c r="C64" t="s">
        <v>2314</v>
      </c>
      <c r="D64" s="691">
        <v>0.23903099999999999</v>
      </c>
      <c r="E64" s="691">
        <v>6.0399499999999995E-2</v>
      </c>
      <c r="F64" s="692">
        <v>0.90596949999999998</v>
      </c>
    </row>
    <row r="65" spans="1:6">
      <c r="A65" t="s">
        <v>1576</v>
      </c>
      <c r="B65" t="s">
        <v>5983</v>
      </c>
      <c r="C65" t="s">
        <v>2322</v>
      </c>
      <c r="D65" s="691">
        <v>0.28458</v>
      </c>
      <c r="E65" s="691">
        <v>3.1620000000000002E-2</v>
      </c>
      <c r="F65" s="692">
        <v>1.2648000000000001</v>
      </c>
    </row>
    <row r="66" spans="1:6">
      <c r="A66" t="s">
        <v>23</v>
      </c>
      <c r="B66" t="s">
        <v>2310</v>
      </c>
      <c r="C66" t="s">
        <v>2311</v>
      </c>
      <c r="D66" s="691">
        <v>0.23903099999999999</v>
      </c>
      <c r="E66" s="691">
        <v>6.0399499999999995E-2</v>
      </c>
      <c r="F66" s="692">
        <v>0.90596949999999998</v>
      </c>
    </row>
    <row r="67" spans="1:6">
      <c r="A67" t="s">
        <v>670</v>
      </c>
      <c r="B67" t="s">
        <v>4972</v>
      </c>
      <c r="C67" t="s">
        <v>1738</v>
      </c>
      <c r="D67" s="691">
        <v>6.9699999999999998E-2</v>
      </c>
      <c r="E67" s="691">
        <v>0</v>
      </c>
      <c r="F67" s="692">
        <v>1.3242999999999998</v>
      </c>
    </row>
    <row r="68" spans="1:6">
      <c r="A68" t="s">
        <v>3845</v>
      </c>
      <c r="B68" t="s">
        <v>2310</v>
      </c>
      <c r="C68" t="s">
        <v>1738</v>
      </c>
      <c r="D68" s="691">
        <v>0.23903099999999999</v>
      </c>
      <c r="E68" s="691">
        <v>6.0399499999999995E-2</v>
      </c>
      <c r="F68" s="692">
        <v>0.90596949999999998</v>
      </c>
    </row>
    <row r="69" spans="1:6">
      <c r="A69" t="s">
        <v>4973</v>
      </c>
      <c r="B69" t="s">
        <v>2310</v>
      </c>
      <c r="C69" t="s">
        <v>1738</v>
      </c>
      <c r="D69" s="691">
        <v>0.23903099999999999</v>
      </c>
      <c r="E69" s="691">
        <v>6.0399499999999995E-2</v>
      </c>
      <c r="F69" s="692">
        <v>0.90596949999999998</v>
      </c>
    </row>
    <row r="70" spans="1:6">
      <c r="A70" t="s">
        <v>3469</v>
      </c>
      <c r="B70" t="s">
        <v>2310</v>
      </c>
      <c r="C70" t="s">
        <v>1738</v>
      </c>
      <c r="D70" s="691">
        <v>0.23903099999999999</v>
      </c>
      <c r="E70" s="691">
        <v>6.0399499999999995E-2</v>
      </c>
      <c r="F70" s="692">
        <v>0.90596949999999998</v>
      </c>
    </row>
    <row r="71" spans="1:6">
      <c r="A71" t="s">
        <v>2555</v>
      </c>
      <c r="B71" t="s">
        <v>2310</v>
      </c>
      <c r="C71" t="s">
        <v>1738</v>
      </c>
      <c r="D71" s="691">
        <v>0.23903099999999999</v>
      </c>
      <c r="E71" s="691">
        <v>6.0399499999999995E-2</v>
      </c>
      <c r="F71" s="692">
        <v>0.90596949999999998</v>
      </c>
    </row>
    <row r="72" spans="1:6">
      <c r="A72" t="s">
        <v>4974</v>
      </c>
      <c r="B72" t="s">
        <v>2310</v>
      </c>
      <c r="C72" t="s">
        <v>1740</v>
      </c>
      <c r="D72" s="691">
        <v>0.23903099999999999</v>
      </c>
      <c r="E72" s="691">
        <v>6.0399499999999995E-2</v>
      </c>
      <c r="F72" s="692">
        <v>0.90596949999999998</v>
      </c>
    </row>
    <row r="73" spans="1:6">
      <c r="A73" t="s">
        <v>731</v>
      </c>
      <c r="B73" t="s">
        <v>2310</v>
      </c>
      <c r="C73" t="s">
        <v>1738</v>
      </c>
      <c r="D73" s="691">
        <v>0.23903099999999999</v>
      </c>
      <c r="E73" s="691">
        <v>6.0399499999999995E-2</v>
      </c>
      <c r="F73" s="692">
        <v>0.90596949999999998</v>
      </c>
    </row>
    <row r="74" spans="1:6">
      <c r="A74" t="s">
        <v>4888</v>
      </c>
      <c r="B74" t="s">
        <v>5983</v>
      </c>
      <c r="C74" t="s">
        <v>2322</v>
      </c>
      <c r="D74" s="691">
        <v>0.28458</v>
      </c>
      <c r="E74" s="691">
        <v>3.1620000000000002E-2</v>
      </c>
      <c r="F74" s="692">
        <v>1.2648000000000001</v>
      </c>
    </row>
    <row r="75" spans="1:6">
      <c r="A75" t="s">
        <v>4975</v>
      </c>
      <c r="B75" t="s">
        <v>5983</v>
      </c>
      <c r="C75" t="s">
        <v>2322</v>
      </c>
      <c r="D75" s="691">
        <v>0.28458</v>
      </c>
      <c r="E75" s="691">
        <v>3.1620000000000002E-2</v>
      </c>
      <c r="F75" s="692">
        <v>1.2648000000000001</v>
      </c>
    </row>
    <row r="76" spans="1:6">
      <c r="A76" t="s">
        <v>4015</v>
      </c>
      <c r="B76" t="s">
        <v>2323</v>
      </c>
      <c r="C76" t="s">
        <v>2323</v>
      </c>
      <c r="D76" s="691">
        <v>0.312</v>
      </c>
      <c r="E76" s="691">
        <v>0.13</v>
      </c>
      <c r="F76" s="692">
        <v>0.8580000000000001</v>
      </c>
    </row>
    <row r="77" spans="1:6">
      <c r="A77" t="s">
        <v>1450</v>
      </c>
      <c r="B77" t="s">
        <v>2310</v>
      </c>
      <c r="C77" t="s">
        <v>1738</v>
      </c>
      <c r="D77" s="691">
        <v>0.23903099999999999</v>
      </c>
      <c r="E77" s="691">
        <v>6.0399499999999995E-2</v>
      </c>
      <c r="F77" s="692">
        <v>0.90596949999999998</v>
      </c>
    </row>
    <row r="78" spans="1:6">
      <c r="A78" t="s">
        <v>4976</v>
      </c>
      <c r="B78" t="s">
        <v>5983</v>
      </c>
      <c r="C78" t="s">
        <v>2322</v>
      </c>
      <c r="D78" s="691">
        <v>0.28458</v>
      </c>
      <c r="E78" s="691">
        <v>3.1620000000000002E-2</v>
      </c>
      <c r="F78" s="692">
        <v>1.2648000000000001</v>
      </c>
    </row>
    <row r="79" spans="1:6">
      <c r="A79" t="s">
        <v>737</v>
      </c>
      <c r="B79" t="s">
        <v>2310</v>
      </c>
      <c r="C79" t="s">
        <v>1738</v>
      </c>
      <c r="D79" s="691">
        <v>0.23903099999999999</v>
      </c>
      <c r="E79" s="691">
        <v>6.0399499999999995E-2</v>
      </c>
      <c r="F79" s="692">
        <v>0.90596949999999998</v>
      </c>
    </row>
    <row r="80" spans="1:6">
      <c r="A80" t="s">
        <v>4977</v>
      </c>
      <c r="B80" t="s">
        <v>2310</v>
      </c>
      <c r="C80" t="s">
        <v>1738</v>
      </c>
      <c r="D80" s="691">
        <v>0.23903099999999999</v>
      </c>
      <c r="E80" s="691">
        <v>6.0399499999999995E-2</v>
      </c>
      <c r="F80" s="692">
        <v>0.90596949999999998</v>
      </c>
    </row>
    <row r="81" spans="1:6">
      <c r="A81" t="s">
        <v>2517</v>
      </c>
      <c r="B81" t="s">
        <v>2310</v>
      </c>
      <c r="C81" t="s">
        <v>1738</v>
      </c>
      <c r="D81" s="691">
        <v>0.23903099999999999</v>
      </c>
      <c r="E81" s="691">
        <v>6.0399499999999995E-2</v>
      </c>
      <c r="F81" s="692">
        <v>0.90596949999999998</v>
      </c>
    </row>
    <row r="82" spans="1:6">
      <c r="A82" t="s">
        <v>1597</v>
      </c>
      <c r="B82" t="s">
        <v>2310</v>
      </c>
      <c r="C82" t="s">
        <v>1736</v>
      </c>
      <c r="D82" s="691">
        <v>0.23903099999999999</v>
      </c>
      <c r="E82" s="691">
        <v>6.0399499999999995E-2</v>
      </c>
      <c r="F82" s="692">
        <v>0.90596949999999998</v>
      </c>
    </row>
    <row r="83" spans="1:6">
      <c r="A83" t="s">
        <v>2262</v>
      </c>
      <c r="B83" t="s">
        <v>2310</v>
      </c>
      <c r="C83" t="s">
        <v>1738</v>
      </c>
      <c r="D83" s="691">
        <v>0.23903099999999999</v>
      </c>
      <c r="E83" s="691">
        <v>6.0399499999999995E-2</v>
      </c>
      <c r="F83" s="692">
        <v>0.90596949999999998</v>
      </c>
    </row>
    <row r="84" spans="1:6">
      <c r="A84" t="s">
        <v>4340</v>
      </c>
      <c r="B84" t="s">
        <v>5983</v>
      </c>
      <c r="C84" t="s">
        <v>2322</v>
      </c>
      <c r="D84" s="691">
        <v>0.28458</v>
      </c>
      <c r="E84" s="691">
        <v>3.1620000000000002E-2</v>
      </c>
      <c r="F84" s="692">
        <v>1.2648000000000001</v>
      </c>
    </row>
    <row r="85" spans="1:6">
      <c r="A85" t="s">
        <v>4026</v>
      </c>
      <c r="B85" t="s">
        <v>2310</v>
      </c>
      <c r="C85" t="s">
        <v>1738</v>
      </c>
      <c r="D85" s="691">
        <v>0.23903099999999999</v>
      </c>
      <c r="E85" s="691">
        <v>6.0399499999999995E-2</v>
      </c>
      <c r="F85" s="692">
        <v>0.90596949999999998</v>
      </c>
    </row>
    <row r="86" spans="1:6">
      <c r="A86" t="s">
        <v>4027</v>
      </c>
      <c r="B86" t="s">
        <v>4959</v>
      </c>
      <c r="C86" t="s">
        <v>1738</v>
      </c>
      <c r="D86" s="691">
        <v>8.6399999999999991E-2</v>
      </c>
      <c r="E86" s="691">
        <v>1.8360000000000001E-2</v>
      </c>
      <c r="F86" s="692">
        <v>0.97524</v>
      </c>
    </row>
    <row r="87" spans="1:6">
      <c r="A87" t="s">
        <v>1246</v>
      </c>
      <c r="B87" t="s">
        <v>4959</v>
      </c>
      <c r="C87" t="s">
        <v>4959</v>
      </c>
      <c r="D87" s="691">
        <v>8.6399999999999991E-2</v>
      </c>
      <c r="E87" s="691">
        <v>1.8360000000000001E-2</v>
      </c>
      <c r="F87" s="692">
        <v>0.97524</v>
      </c>
    </row>
    <row r="88" spans="1:6">
      <c r="A88" t="s">
        <v>4028</v>
      </c>
      <c r="B88" t="s">
        <v>2310</v>
      </c>
      <c r="C88" t="s">
        <v>1738</v>
      </c>
      <c r="D88" s="691">
        <v>0.23903099999999999</v>
      </c>
      <c r="E88" s="691">
        <v>6.0399499999999995E-2</v>
      </c>
      <c r="F88" s="692">
        <v>0.90596949999999998</v>
      </c>
    </row>
    <row r="89" spans="1:6">
      <c r="A89" t="s">
        <v>5985</v>
      </c>
      <c r="B89" t="s">
        <v>2310</v>
      </c>
      <c r="C89" t="s">
        <v>1740</v>
      </c>
      <c r="D89" s="691">
        <v>0.23903099999999999</v>
      </c>
      <c r="E89" s="691">
        <v>6.0399499999999995E-2</v>
      </c>
      <c r="F89" s="692">
        <v>0.90596949999999998</v>
      </c>
    </row>
    <row r="90" spans="1:6">
      <c r="A90" t="s">
        <v>2264</v>
      </c>
      <c r="B90" t="s">
        <v>4959</v>
      </c>
      <c r="C90" t="s">
        <v>1738</v>
      </c>
      <c r="D90" s="691">
        <v>8.6399999999999991E-2</v>
      </c>
      <c r="E90" s="691">
        <v>1.8360000000000001E-2</v>
      </c>
      <c r="F90" s="692">
        <v>0.97524</v>
      </c>
    </row>
    <row r="91" spans="1:6">
      <c r="A91" t="s">
        <v>1742</v>
      </c>
      <c r="B91" t="s">
        <v>2310</v>
      </c>
      <c r="C91" t="s">
        <v>1738</v>
      </c>
      <c r="D91" s="691">
        <v>0.23903099999999999</v>
      </c>
      <c r="E91" s="691">
        <v>6.0399499999999995E-2</v>
      </c>
      <c r="F91" s="692">
        <v>0.90596949999999998</v>
      </c>
    </row>
    <row r="92" spans="1:6">
      <c r="A92" t="s">
        <v>3288</v>
      </c>
      <c r="B92" t="s">
        <v>2310</v>
      </c>
      <c r="C92" t="s">
        <v>1738</v>
      </c>
      <c r="D92" s="691">
        <v>0.23903099999999999</v>
      </c>
      <c r="E92" s="691">
        <v>6.0399499999999995E-2</v>
      </c>
      <c r="F92" s="692">
        <v>0.90596949999999998</v>
      </c>
    </row>
    <row r="93" spans="1:6">
      <c r="A93" t="s">
        <v>2894</v>
      </c>
      <c r="B93" t="s">
        <v>2310</v>
      </c>
      <c r="C93" t="s">
        <v>2316</v>
      </c>
      <c r="D93" s="691">
        <v>0.23903099999999999</v>
      </c>
      <c r="E93" s="691">
        <v>6.0399499999999995E-2</v>
      </c>
      <c r="F93" s="692">
        <v>0.90596949999999998</v>
      </c>
    </row>
    <row r="94" spans="1:6">
      <c r="A94" t="s">
        <v>2895</v>
      </c>
      <c r="B94" t="s">
        <v>2310</v>
      </c>
      <c r="C94" t="s">
        <v>2314</v>
      </c>
      <c r="D94" s="691">
        <v>0.23903099999999999</v>
      </c>
      <c r="E94" s="691">
        <v>6.0399499999999995E-2</v>
      </c>
      <c r="F94" s="692">
        <v>0.90596949999999998</v>
      </c>
    </row>
    <row r="95" spans="1:6">
      <c r="A95" t="s">
        <v>427</v>
      </c>
      <c r="B95" t="s">
        <v>4959</v>
      </c>
      <c r="C95" t="s">
        <v>4959</v>
      </c>
      <c r="D95" s="691">
        <v>8.6399999999999991E-2</v>
      </c>
      <c r="E95" s="691">
        <v>1.8360000000000001E-2</v>
      </c>
      <c r="F95" s="692">
        <v>0.97524</v>
      </c>
    </row>
    <row r="96" spans="1:6">
      <c r="A96" t="s">
        <v>1184</v>
      </c>
      <c r="B96" t="s">
        <v>5986</v>
      </c>
      <c r="C96" t="s">
        <v>2311</v>
      </c>
      <c r="D96" s="691">
        <v>0.13818</v>
      </c>
      <c r="E96" s="691">
        <v>1.4804999999999999E-2</v>
      </c>
      <c r="F96" s="692">
        <v>0.83401499999999995</v>
      </c>
    </row>
    <row r="97" spans="1:6">
      <c r="A97" t="s">
        <v>428</v>
      </c>
      <c r="B97" t="s">
        <v>2310</v>
      </c>
      <c r="C97" t="s">
        <v>1738</v>
      </c>
      <c r="D97" s="691">
        <v>0.23903099999999999</v>
      </c>
      <c r="E97" s="691">
        <v>6.0399499999999995E-2</v>
      </c>
      <c r="F97" s="692">
        <v>0.90596949999999998</v>
      </c>
    </row>
    <row r="98" spans="1:6">
      <c r="A98" t="s">
        <v>1402</v>
      </c>
      <c r="B98" t="s">
        <v>3791</v>
      </c>
      <c r="C98" t="s">
        <v>3791</v>
      </c>
      <c r="D98" s="691">
        <v>0.312</v>
      </c>
      <c r="E98" s="691">
        <v>0.23399999999999999</v>
      </c>
      <c r="F98" s="692">
        <v>0.75400000000000011</v>
      </c>
    </row>
    <row r="99" spans="1:6">
      <c r="A99" t="s">
        <v>4615</v>
      </c>
      <c r="B99" t="s">
        <v>2310</v>
      </c>
      <c r="C99" t="s">
        <v>2314</v>
      </c>
      <c r="D99" s="691">
        <v>0.23903099999999999</v>
      </c>
      <c r="E99" s="691">
        <v>6.0399499999999995E-2</v>
      </c>
      <c r="F99" s="692">
        <v>0.90596949999999998</v>
      </c>
    </row>
    <row r="100" spans="1:6">
      <c r="A100" t="s">
        <v>4616</v>
      </c>
      <c r="B100" t="s">
        <v>2310</v>
      </c>
      <c r="C100" t="s">
        <v>2314</v>
      </c>
      <c r="D100" s="691">
        <v>0.23903099999999999</v>
      </c>
      <c r="E100" s="691">
        <v>6.0399499999999995E-2</v>
      </c>
      <c r="F100" s="692">
        <v>0.90596949999999998</v>
      </c>
    </row>
    <row r="101" spans="1:6">
      <c r="A101" t="s">
        <v>3471</v>
      </c>
      <c r="B101" t="s">
        <v>2310</v>
      </c>
      <c r="C101" t="s">
        <v>1738</v>
      </c>
      <c r="D101" s="691">
        <v>0.23903099999999999</v>
      </c>
      <c r="E101" s="691">
        <v>6.0399499999999995E-2</v>
      </c>
      <c r="F101" s="692">
        <v>0.90596949999999998</v>
      </c>
    </row>
    <row r="102" spans="1:6">
      <c r="A102" t="s">
        <v>932</v>
      </c>
      <c r="B102" t="s">
        <v>2310</v>
      </c>
      <c r="C102" t="s">
        <v>1738</v>
      </c>
      <c r="D102" s="691">
        <v>0.23903099999999999</v>
      </c>
      <c r="E102" s="691">
        <v>6.0399499999999995E-2</v>
      </c>
      <c r="F102" s="692">
        <v>0.90596949999999998</v>
      </c>
    </row>
    <row r="103" spans="1:6">
      <c r="A103" t="s">
        <v>3472</v>
      </c>
      <c r="B103" t="s">
        <v>2310</v>
      </c>
      <c r="C103" t="s">
        <v>3791</v>
      </c>
      <c r="D103" s="691">
        <v>0.23903099999999999</v>
      </c>
      <c r="E103" s="691">
        <v>6.0399499999999995E-2</v>
      </c>
      <c r="F103" s="692">
        <v>0.90596949999999998</v>
      </c>
    </row>
    <row r="104" spans="1:6">
      <c r="A104" t="s">
        <v>429</v>
      </c>
      <c r="B104" t="s">
        <v>2310</v>
      </c>
      <c r="C104" t="s">
        <v>1738</v>
      </c>
      <c r="D104" s="691">
        <v>0.23903099999999999</v>
      </c>
      <c r="E104" s="691">
        <v>6.0399499999999995E-2</v>
      </c>
      <c r="F104" s="692">
        <v>0.90596949999999998</v>
      </c>
    </row>
    <row r="105" spans="1:6">
      <c r="A105" t="s">
        <v>2818</v>
      </c>
      <c r="B105" t="s">
        <v>2310</v>
      </c>
      <c r="C105" t="s">
        <v>1738</v>
      </c>
      <c r="D105" s="691">
        <v>0.23903099999999999</v>
      </c>
      <c r="E105" s="691">
        <v>6.0399499999999995E-2</v>
      </c>
      <c r="F105" s="692">
        <v>0.90596949999999998</v>
      </c>
    </row>
    <row r="106" spans="1:6">
      <c r="A106" t="s">
        <v>3698</v>
      </c>
      <c r="B106" t="s">
        <v>2310</v>
      </c>
      <c r="C106" t="s">
        <v>1736</v>
      </c>
      <c r="D106" s="691">
        <v>0.23903099999999999</v>
      </c>
      <c r="E106" s="691">
        <v>6.0399499999999995E-2</v>
      </c>
      <c r="F106" s="692">
        <v>0.90596949999999998</v>
      </c>
    </row>
    <row r="107" spans="1:6">
      <c r="A107" t="s">
        <v>430</v>
      </c>
      <c r="B107" t="s">
        <v>2310</v>
      </c>
      <c r="C107" t="s">
        <v>1738</v>
      </c>
      <c r="D107" s="691">
        <v>0.23903099999999999</v>
      </c>
      <c r="E107" s="691">
        <v>6.0399499999999995E-2</v>
      </c>
      <c r="F107" s="692">
        <v>0.90596949999999998</v>
      </c>
    </row>
    <row r="108" spans="1:6">
      <c r="A108" t="s">
        <v>3764</v>
      </c>
      <c r="B108" t="s">
        <v>2310</v>
      </c>
      <c r="C108" t="s">
        <v>1738</v>
      </c>
      <c r="D108" s="691">
        <v>0.23903099999999999</v>
      </c>
      <c r="E108" s="691">
        <v>6.0399499999999995E-2</v>
      </c>
      <c r="F108" s="692">
        <v>0.90596949999999998</v>
      </c>
    </row>
    <row r="109" spans="1:6">
      <c r="A109" t="s">
        <v>4852</v>
      </c>
      <c r="B109" t="s">
        <v>2310</v>
      </c>
      <c r="C109" t="s">
        <v>1738</v>
      </c>
      <c r="D109" s="691">
        <v>0.23903099999999999</v>
      </c>
      <c r="E109" s="691">
        <v>6.0399499999999995E-2</v>
      </c>
      <c r="F109" s="692">
        <v>0.90596949999999998</v>
      </c>
    </row>
    <row r="110" spans="1:6">
      <c r="A110" t="s">
        <v>4772</v>
      </c>
      <c r="B110" t="s">
        <v>2310</v>
      </c>
      <c r="C110" t="s">
        <v>1736</v>
      </c>
      <c r="D110" s="691">
        <v>0.23903099999999999</v>
      </c>
      <c r="E110" s="691">
        <v>6.0399499999999995E-2</v>
      </c>
      <c r="F110" s="692">
        <v>0.90596949999999998</v>
      </c>
    </row>
    <row r="111" spans="1:6">
      <c r="A111" t="s">
        <v>1060</v>
      </c>
      <c r="B111" t="s">
        <v>3791</v>
      </c>
      <c r="C111" t="s">
        <v>3791</v>
      </c>
      <c r="D111" s="691">
        <v>0.312</v>
      </c>
      <c r="E111" s="691">
        <v>0.23399999999999999</v>
      </c>
      <c r="F111" s="692">
        <v>0.75400000000000011</v>
      </c>
    </row>
    <row r="112" spans="1:6">
      <c r="A112" t="s">
        <v>2768</v>
      </c>
      <c r="B112" t="s">
        <v>5194</v>
      </c>
      <c r="C112" t="s">
        <v>5194</v>
      </c>
      <c r="D112" s="691">
        <v>3.9949999999999999E-2</v>
      </c>
      <c r="E112" s="691">
        <v>0</v>
      </c>
      <c r="F112" s="692">
        <v>0.75905</v>
      </c>
    </row>
    <row r="113" spans="1:6">
      <c r="A113" t="s">
        <v>732</v>
      </c>
      <c r="B113" t="s">
        <v>2310</v>
      </c>
      <c r="C113" t="s">
        <v>5197</v>
      </c>
      <c r="D113" s="691">
        <v>0.23903099999999999</v>
      </c>
      <c r="E113" s="691">
        <v>6.0399499999999995E-2</v>
      </c>
      <c r="F113" s="692">
        <v>0.90596949999999998</v>
      </c>
    </row>
    <row r="114" spans="1:6">
      <c r="A114" t="s">
        <v>2699</v>
      </c>
      <c r="B114" t="s">
        <v>2310</v>
      </c>
      <c r="C114" t="s">
        <v>1738</v>
      </c>
      <c r="D114" s="691">
        <v>0.23903099999999999</v>
      </c>
      <c r="E114" s="691">
        <v>6.0399499999999995E-2</v>
      </c>
      <c r="F114" s="692">
        <v>0.90596949999999998</v>
      </c>
    </row>
    <row r="115" spans="1:6">
      <c r="A115" t="s">
        <v>3158</v>
      </c>
      <c r="B115" t="s">
        <v>2310</v>
      </c>
      <c r="C115" t="s">
        <v>1736</v>
      </c>
      <c r="D115" s="691">
        <v>0.23903099999999999</v>
      </c>
      <c r="E115" s="691">
        <v>6.0399499999999995E-2</v>
      </c>
      <c r="F115" s="692">
        <v>0.90596949999999998</v>
      </c>
    </row>
    <row r="116" spans="1:6">
      <c r="A116" t="s">
        <v>1481</v>
      </c>
      <c r="B116" t="s">
        <v>2310</v>
      </c>
      <c r="C116" t="s">
        <v>1738</v>
      </c>
      <c r="D116" s="691">
        <v>0.23903099999999999</v>
      </c>
      <c r="E116" s="691">
        <v>6.0399499999999995E-2</v>
      </c>
      <c r="F116" s="692">
        <v>0.90596949999999998</v>
      </c>
    </row>
    <row r="117" spans="1:6">
      <c r="A117" t="s">
        <v>1273</v>
      </c>
      <c r="B117" t="s">
        <v>5983</v>
      </c>
      <c r="C117" t="s">
        <v>2322</v>
      </c>
      <c r="D117" s="691">
        <v>0.28458</v>
      </c>
      <c r="E117" s="691">
        <v>3.1620000000000002E-2</v>
      </c>
      <c r="F117" s="692">
        <v>1.2648000000000001</v>
      </c>
    </row>
    <row r="118" spans="1:6">
      <c r="A118" t="s">
        <v>3156</v>
      </c>
      <c r="B118" t="s">
        <v>2310</v>
      </c>
      <c r="C118" t="s">
        <v>1738</v>
      </c>
      <c r="D118" s="691">
        <v>0.23903099999999999</v>
      </c>
      <c r="E118" s="691">
        <v>6.0399499999999995E-2</v>
      </c>
      <c r="F118" s="692">
        <v>0.90596949999999998</v>
      </c>
    </row>
    <row r="119" spans="1:6">
      <c r="A119" t="s">
        <v>4341</v>
      </c>
      <c r="B119" t="s">
        <v>2310</v>
      </c>
      <c r="C119" t="s">
        <v>1741</v>
      </c>
      <c r="D119" s="691">
        <v>0.23903099999999999</v>
      </c>
      <c r="E119" s="691">
        <v>6.0399499999999995E-2</v>
      </c>
      <c r="F119" s="692">
        <v>0.90596949999999998</v>
      </c>
    </row>
    <row r="120" spans="1:6">
      <c r="A120" t="s">
        <v>385</v>
      </c>
      <c r="B120" t="s">
        <v>2310</v>
      </c>
      <c r="C120" t="s">
        <v>1738</v>
      </c>
      <c r="D120" s="691">
        <v>0.23903099999999999</v>
      </c>
      <c r="E120" s="691">
        <v>6.0399499999999995E-2</v>
      </c>
      <c r="F120" s="692">
        <v>0.90596949999999998</v>
      </c>
    </row>
    <row r="121" spans="1:6">
      <c r="A121" t="s">
        <v>431</v>
      </c>
      <c r="B121" t="s">
        <v>2310</v>
      </c>
      <c r="C121" t="s">
        <v>1738</v>
      </c>
      <c r="D121" s="691">
        <v>0.23903099999999999</v>
      </c>
      <c r="E121" s="691">
        <v>6.0399499999999995E-2</v>
      </c>
      <c r="F121" s="692">
        <v>0.90596949999999998</v>
      </c>
    </row>
    <row r="122" spans="1:6">
      <c r="A122" t="s">
        <v>432</v>
      </c>
      <c r="B122" t="s">
        <v>2310</v>
      </c>
      <c r="C122" t="s">
        <v>2316</v>
      </c>
      <c r="D122" s="691">
        <v>0.23903099999999999</v>
      </c>
      <c r="E122" s="691">
        <v>6.0399499999999995E-2</v>
      </c>
      <c r="F122" s="692">
        <v>0.90596949999999998</v>
      </c>
    </row>
    <row r="123" spans="1:6">
      <c r="A123" t="s">
        <v>616</v>
      </c>
      <c r="B123" t="s">
        <v>2310</v>
      </c>
      <c r="C123" t="s">
        <v>1738</v>
      </c>
      <c r="D123" s="691">
        <v>0.23903099999999999</v>
      </c>
      <c r="E123" s="691">
        <v>6.0399499999999995E-2</v>
      </c>
      <c r="F123" s="692">
        <v>0.90596949999999998</v>
      </c>
    </row>
    <row r="124" spans="1:6">
      <c r="A124" t="s">
        <v>433</v>
      </c>
      <c r="B124" t="s">
        <v>2310</v>
      </c>
      <c r="C124" t="s">
        <v>434</v>
      </c>
      <c r="D124" s="691">
        <v>0.23903099999999999</v>
      </c>
      <c r="E124" s="691">
        <v>6.0399499999999995E-2</v>
      </c>
      <c r="F124" s="692">
        <v>0.90596949999999998</v>
      </c>
    </row>
    <row r="125" spans="1:6">
      <c r="A125" t="s">
        <v>24</v>
      </c>
      <c r="B125" t="s">
        <v>2310</v>
      </c>
      <c r="C125" t="s">
        <v>1738</v>
      </c>
      <c r="D125" s="691">
        <v>0.23903099999999999</v>
      </c>
      <c r="E125" s="691">
        <v>6.0399499999999995E-2</v>
      </c>
      <c r="F125" s="692">
        <v>0.90596949999999998</v>
      </c>
    </row>
    <row r="126" spans="1:6">
      <c r="A126" t="s">
        <v>435</v>
      </c>
      <c r="B126" t="s">
        <v>2310</v>
      </c>
      <c r="C126" t="s">
        <v>1736</v>
      </c>
      <c r="D126" s="691">
        <v>0.23903099999999999</v>
      </c>
      <c r="E126" s="691">
        <v>6.0399499999999995E-2</v>
      </c>
      <c r="F126" s="692">
        <v>0.90596949999999998</v>
      </c>
    </row>
    <row r="127" spans="1:6">
      <c r="A127" t="s">
        <v>2769</v>
      </c>
      <c r="B127" t="s">
        <v>5194</v>
      </c>
      <c r="C127" t="s">
        <v>5194</v>
      </c>
      <c r="D127" s="691">
        <v>3.9949999999999999E-2</v>
      </c>
      <c r="E127" s="691">
        <v>0</v>
      </c>
      <c r="F127" s="692">
        <v>0.75905</v>
      </c>
    </row>
    <row r="128" spans="1:6">
      <c r="A128" t="s">
        <v>711</v>
      </c>
      <c r="B128" t="s">
        <v>2310</v>
      </c>
      <c r="C128" t="s">
        <v>2316</v>
      </c>
      <c r="D128" s="691">
        <v>0.23903099999999999</v>
      </c>
      <c r="E128" s="691">
        <v>6.0399499999999995E-2</v>
      </c>
      <c r="F128" s="692">
        <v>0.90596949999999998</v>
      </c>
    </row>
    <row r="129" spans="1:6">
      <c r="A129" t="s">
        <v>2551</v>
      </c>
      <c r="B129" t="s">
        <v>2310</v>
      </c>
      <c r="C129" t="s">
        <v>1738</v>
      </c>
      <c r="D129" s="691">
        <v>0.23903099999999999</v>
      </c>
      <c r="E129" s="691">
        <v>6.0399499999999995E-2</v>
      </c>
      <c r="F129" s="692">
        <v>0.90596949999999998</v>
      </c>
    </row>
    <row r="130" spans="1:6">
      <c r="A130" t="s">
        <v>25</v>
      </c>
      <c r="B130" t="s">
        <v>2310</v>
      </c>
      <c r="C130" t="s">
        <v>3786</v>
      </c>
      <c r="D130" s="691">
        <v>0.23903099999999999</v>
      </c>
      <c r="E130" s="691">
        <v>6.0399499999999995E-2</v>
      </c>
      <c r="F130" s="692">
        <v>0.90596949999999998</v>
      </c>
    </row>
    <row r="131" spans="1:6">
      <c r="A131" t="s">
        <v>436</v>
      </c>
      <c r="B131" t="s">
        <v>5986</v>
      </c>
      <c r="C131" t="s">
        <v>1737</v>
      </c>
      <c r="D131" s="691">
        <v>0.13818</v>
      </c>
      <c r="E131" s="691">
        <v>1.4804999999999999E-2</v>
      </c>
      <c r="F131" s="692">
        <v>0.83401499999999995</v>
      </c>
    </row>
    <row r="132" spans="1:6">
      <c r="A132" t="s">
        <v>4429</v>
      </c>
      <c r="B132" t="s">
        <v>2310</v>
      </c>
      <c r="C132" t="s">
        <v>1738</v>
      </c>
      <c r="D132" s="691">
        <v>0.23903099999999999</v>
      </c>
      <c r="E132" s="691">
        <v>6.0399499999999995E-2</v>
      </c>
      <c r="F132" s="692">
        <v>0.90596949999999998</v>
      </c>
    </row>
    <row r="133" spans="1:6">
      <c r="A133" t="s">
        <v>3477</v>
      </c>
      <c r="B133" t="s">
        <v>2310</v>
      </c>
      <c r="C133" t="s">
        <v>1736</v>
      </c>
      <c r="D133" s="691">
        <v>0.23903099999999999</v>
      </c>
      <c r="E133" s="691">
        <v>6.0399499999999995E-2</v>
      </c>
      <c r="F133" s="692">
        <v>0.90596949999999998</v>
      </c>
    </row>
    <row r="134" spans="1:6">
      <c r="A134" t="s">
        <v>437</v>
      </c>
      <c r="B134" t="s">
        <v>2310</v>
      </c>
      <c r="C134" t="s">
        <v>1738</v>
      </c>
      <c r="D134" s="691">
        <v>0.23903099999999999</v>
      </c>
      <c r="E134" s="691">
        <v>6.0399499999999995E-2</v>
      </c>
      <c r="F134" s="692">
        <v>0.90596949999999998</v>
      </c>
    </row>
    <row r="135" spans="1:6">
      <c r="A135" t="s">
        <v>1056</v>
      </c>
      <c r="B135" t="s">
        <v>2310</v>
      </c>
      <c r="C135" t="s">
        <v>1738</v>
      </c>
      <c r="D135" s="691">
        <v>0.23903099999999999</v>
      </c>
      <c r="E135" s="691">
        <v>6.0399499999999995E-2</v>
      </c>
      <c r="F135" s="692">
        <v>0.90596949999999998</v>
      </c>
    </row>
    <row r="136" spans="1:6">
      <c r="A136" t="s">
        <v>438</v>
      </c>
      <c r="B136" t="s">
        <v>2310</v>
      </c>
      <c r="C136" t="s">
        <v>1738</v>
      </c>
      <c r="D136" s="691">
        <v>0.23903099999999999</v>
      </c>
      <c r="E136" s="691">
        <v>6.0399499999999995E-2</v>
      </c>
      <c r="F136" s="692">
        <v>0.90596949999999998</v>
      </c>
    </row>
    <row r="137" spans="1:6">
      <c r="A137" t="s">
        <v>439</v>
      </c>
      <c r="B137" t="s">
        <v>3791</v>
      </c>
      <c r="C137" t="s">
        <v>1738</v>
      </c>
      <c r="D137" s="691">
        <v>0.312</v>
      </c>
      <c r="E137" s="691">
        <v>0.23399999999999999</v>
      </c>
      <c r="F137" s="692">
        <v>0.75400000000000011</v>
      </c>
    </row>
    <row r="138" spans="1:6">
      <c r="A138" t="s">
        <v>440</v>
      </c>
      <c r="B138" t="s">
        <v>5983</v>
      </c>
      <c r="C138" t="s">
        <v>2322</v>
      </c>
      <c r="D138" s="691">
        <v>0.28458</v>
      </c>
      <c r="E138" s="691">
        <v>3.1620000000000002E-2</v>
      </c>
      <c r="F138" s="692">
        <v>1.2648000000000001</v>
      </c>
    </row>
    <row r="139" spans="1:6">
      <c r="A139" t="s">
        <v>441</v>
      </c>
      <c r="B139" t="s">
        <v>2310</v>
      </c>
      <c r="C139" t="s">
        <v>1738</v>
      </c>
      <c r="D139" s="691">
        <v>0.23903099999999999</v>
      </c>
      <c r="E139" s="691">
        <v>6.0399499999999995E-2</v>
      </c>
      <c r="F139" s="692">
        <v>0.90596949999999998</v>
      </c>
    </row>
    <row r="140" spans="1:6">
      <c r="A140" t="s">
        <v>442</v>
      </c>
      <c r="B140" t="s">
        <v>5983</v>
      </c>
      <c r="C140" t="s">
        <v>2322</v>
      </c>
      <c r="D140" s="691">
        <v>0.28458</v>
      </c>
      <c r="E140" s="691">
        <v>3.1620000000000002E-2</v>
      </c>
      <c r="F140" s="692">
        <v>1.2648000000000001</v>
      </c>
    </row>
    <row r="141" spans="1:6">
      <c r="A141" t="s">
        <v>443</v>
      </c>
      <c r="B141" t="s">
        <v>2310</v>
      </c>
      <c r="C141" t="s">
        <v>1740</v>
      </c>
      <c r="D141" s="691">
        <v>0.23903099999999999</v>
      </c>
      <c r="E141" s="691">
        <v>6.0399499999999995E-2</v>
      </c>
      <c r="F141" s="692">
        <v>0.90596949999999998</v>
      </c>
    </row>
    <row r="142" spans="1:6">
      <c r="A142" t="s">
        <v>444</v>
      </c>
      <c r="B142" t="s">
        <v>2310</v>
      </c>
      <c r="C142" t="s">
        <v>1736</v>
      </c>
      <c r="D142" s="691">
        <v>0.23903099999999999</v>
      </c>
      <c r="E142" s="691">
        <v>6.0399499999999995E-2</v>
      </c>
      <c r="F142" s="692">
        <v>0.90596949999999998</v>
      </c>
    </row>
    <row r="143" spans="1:6">
      <c r="A143" t="s">
        <v>5987</v>
      </c>
      <c r="B143" t="s">
        <v>2310</v>
      </c>
      <c r="C143" t="s">
        <v>1740</v>
      </c>
      <c r="D143" s="691">
        <v>0.23903099999999999</v>
      </c>
      <c r="E143" s="691">
        <v>6.0399499999999995E-2</v>
      </c>
      <c r="F143" s="692">
        <v>0.90596949999999998</v>
      </c>
    </row>
    <row r="144" spans="1:6">
      <c r="A144" t="s">
        <v>5235</v>
      </c>
      <c r="B144" t="s">
        <v>5986</v>
      </c>
      <c r="C144" t="s">
        <v>1737</v>
      </c>
      <c r="D144" s="691">
        <v>0.13818</v>
      </c>
      <c r="E144" s="691">
        <v>1.4804999999999999E-2</v>
      </c>
      <c r="F144" s="692">
        <v>0.83401499999999995</v>
      </c>
    </row>
    <row r="145" spans="1:6">
      <c r="A145" t="s">
        <v>2552</v>
      </c>
      <c r="B145" t="s">
        <v>5984</v>
      </c>
      <c r="C145" t="s">
        <v>3786</v>
      </c>
      <c r="D145" s="691">
        <v>0.71249999999999991</v>
      </c>
      <c r="E145" s="691">
        <v>7.1250000000000008E-2</v>
      </c>
      <c r="F145" s="692">
        <v>0.64124999999999988</v>
      </c>
    </row>
    <row r="146" spans="1:6">
      <c r="A146" t="s">
        <v>2700</v>
      </c>
      <c r="B146" t="s">
        <v>2310</v>
      </c>
      <c r="C146" t="s">
        <v>2316</v>
      </c>
      <c r="D146" s="691">
        <v>0.23903099999999999</v>
      </c>
      <c r="E146" s="691">
        <v>6.0399499999999995E-2</v>
      </c>
      <c r="F146" s="692">
        <v>0.90596949999999998</v>
      </c>
    </row>
    <row r="147" spans="1:6">
      <c r="A147" t="s">
        <v>3154</v>
      </c>
      <c r="B147" t="s">
        <v>2310</v>
      </c>
      <c r="C147" t="s">
        <v>1739</v>
      </c>
      <c r="D147" s="691">
        <v>0.23903099999999999</v>
      </c>
      <c r="E147" s="691">
        <v>6.0399499999999995E-2</v>
      </c>
      <c r="F147" s="692">
        <v>0.90596949999999998</v>
      </c>
    </row>
    <row r="148" spans="1:6">
      <c r="A148" t="s">
        <v>4016</v>
      </c>
      <c r="B148" t="s">
        <v>2310</v>
      </c>
      <c r="C148" t="s">
        <v>1738</v>
      </c>
      <c r="D148" s="691">
        <v>0.23903099999999999</v>
      </c>
      <c r="E148" s="691">
        <v>6.0399499999999995E-2</v>
      </c>
      <c r="F148" s="692">
        <v>0.90596949999999998</v>
      </c>
    </row>
    <row r="149" spans="1:6">
      <c r="A149" t="s">
        <v>3701</v>
      </c>
      <c r="B149" t="s">
        <v>2310</v>
      </c>
      <c r="C149" t="s">
        <v>2319</v>
      </c>
      <c r="D149" s="691">
        <v>0.23903099999999999</v>
      </c>
      <c r="E149" s="691">
        <v>6.0399499999999995E-2</v>
      </c>
      <c r="F149" s="692">
        <v>0.90596949999999998</v>
      </c>
    </row>
    <row r="150" spans="1:6">
      <c r="A150" t="s">
        <v>2519</v>
      </c>
      <c r="B150" t="s">
        <v>2310</v>
      </c>
      <c r="C150" t="s">
        <v>1738</v>
      </c>
      <c r="D150" s="691">
        <v>0.23903099999999999</v>
      </c>
      <c r="E150" s="691">
        <v>6.0399499999999995E-2</v>
      </c>
      <c r="F150" s="692">
        <v>0.90596949999999998</v>
      </c>
    </row>
    <row r="151" spans="1:6">
      <c r="A151" t="s">
        <v>5072</v>
      </c>
      <c r="B151" t="s">
        <v>2310</v>
      </c>
      <c r="C151" t="s">
        <v>1736</v>
      </c>
      <c r="D151" s="691">
        <v>0.23903099999999999</v>
      </c>
      <c r="E151" s="691">
        <v>6.0399499999999995E-2</v>
      </c>
      <c r="F151" s="692">
        <v>0.90596949999999998</v>
      </c>
    </row>
    <row r="152" spans="1:6">
      <c r="A152" t="s">
        <v>1048</v>
      </c>
      <c r="B152" t="s">
        <v>2310</v>
      </c>
      <c r="C152" t="s">
        <v>1738</v>
      </c>
      <c r="D152" s="691">
        <v>0.23903099999999999</v>
      </c>
      <c r="E152" s="691">
        <v>6.0399499999999995E-2</v>
      </c>
      <c r="F152" s="692">
        <v>0.90596949999999998</v>
      </c>
    </row>
    <row r="153" spans="1:6">
      <c r="A153" t="s">
        <v>2484</v>
      </c>
      <c r="B153" t="s">
        <v>2310</v>
      </c>
      <c r="C153" t="s">
        <v>1738</v>
      </c>
      <c r="D153" s="691">
        <v>0.23903099999999999</v>
      </c>
      <c r="E153" s="691">
        <v>6.0399499999999995E-2</v>
      </c>
      <c r="F153" s="692">
        <v>0.90596949999999998</v>
      </c>
    </row>
    <row r="154" spans="1:6">
      <c r="A154" t="s">
        <v>5070</v>
      </c>
      <c r="B154" t="s">
        <v>2310</v>
      </c>
      <c r="C154" t="s">
        <v>1738</v>
      </c>
      <c r="D154" s="691">
        <v>0.23903099999999999</v>
      </c>
      <c r="E154" s="691">
        <v>6.0399499999999995E-2</v>
      </c>
      <c r="F154" s="692">
        <v>0.90596949999999998</v>
      </c>
    </row>
    <row r="155" spans="1:6">
      <c r="A155" t="s">
        <v>445</v>
      </c>
      <c r="B155" t="s">
        <v>2310</v>
      </c>
      <c r="C155" t="s">
        <v>2316</v>
      </c>
      <c r="D155" s="691">
        <v>0.23903099999999999</v>
      </c>
      <c r="E155" s="691">
        <v>6.0399499999999995E-2</v>
      </c>
      <c r="F155" s="692">
        <v>0.90596949999999998</v>
      </c>
    </row>
    <row r="156" spans="1:6">
      <c r="A156" t="s">
        <v>446</v>
      </c>
      <c r="B156" t="s">
        <v>2310</v>
      </c>
      <c r="C156" t="s">
        <v>2316</v>
      </c>
      <c r="D156" s="691">
        <v>0.23903099999999999</v>
      </c>
      <c r="E156" s="691">
        <v>6.0399499999999995E-2</v>
      </c>
      <c r="F156" s="692">
        <v>0.90596949999999998</v>
      </c>
    </row>
    <row r="157" spans="1:6">
      <c r="A157" t="s">
        <v>4725</v>
      </c>
      <c r="B157" t="s">
        <v>2310</v>
      </c>
      <c r="C157" t="s">
        <v>1738</v>
      </c>
      <c r="D157" s="691">
        <v>0.23903099999999999</v>
      </c>
      <c r="E157" s="691">
        <v>6.0399499999999995E-2</v>
      </c>
      <c r="F157" s="692">
        <v>0.90596949999999998</v>
      </c>
    </row>
    <row r="158" spans="1:6">
      <c r="A158" t="s">
        <v>2544</v>
      </c>
      <c r="B158" t="s">
        <v>2310</v>
      </c>
      <c r="C158" t="s">
        <v>1738</v>
      </c>
      <c r="D158" s="691">
        <v>0.23903099999999999</v>
      </c>
      <c r="E158" s="691">
        <v>6.0399499999999995E-2</v>
      </c>
      <c r="F158" s="692">
        <v>0.90596949999999998</v>
      </c>
    </row>
    <row r="159" spans="1:6">
      <c r="A159" t="s">
        <v>5073</v>
      </c>
      <c r="B159" t="s">
        <v>2310</v>
      </c>
      <c r="C159" t="s">
        <v>3790</v>
      </c>
      <c r="D159" s="691">
        <v>0.23903099999999999</v>
      </c>
      <c r="E159" s="691">
        <v>6.0399499999999995E-2</v>
      </c>
      <c r="F159" s="692">
        <v>0.90596949999999998</v>
      </c>
    </row>
    <row r="160" spans="1:6">
      <c r="A160" t="s">
        <v>3602</v>
      </c>
      <c r="B160" t="s">
        <v>5983</v>
      </c>
      <c r="C160" t="s">
        <v>2322</v>
      </c>
      <c r="D160" s="691">
        <v>0.28458</v>
      </c>
      <c r="E160" s="691">
        <v>3.1620000000000002E-2</v>
      </c>
      <c r="F160" s="692">
        <v>1.2648000000000001</v>
      </c>
    </row>
    <row r="161" spans="1:6">
      <c r="A161" t="s">
        <v>526</v>
      </c>
      <c r="B161" t="s">
        <v>2310</v>
      </c>
      <c r="C161" t="s">
        <v>1738</v>
      </c>
      <c r="D161" s="691">
        <v>0.23903099999999999</v>
      </c>
      <c r="E161" s="691">
        <v>6.0399499999999995E-2</v>
      </c>
      <c r="F161" s="692">
        <v>0.90596949999999998</v>
      </c>
    </row>
    <row r="162" spans="1:6">
      <c r="A162" t="s">
        <v>447</v>
      </c>
      <c r="B162" t="s">
        <v>2310</v>
      </c>
      <c r="C162" t="s">
        <v>1736</v>
      </c>
      <c r="D162" s="691">
        <v>0.23903099999999999</v>
      </c>
      <c r="E162" s="691">
        <v>6.0399499999999995E-2</v>
      </c>
      <c r="F162" s="692">
        <v>0.90596949999999998</v>
      </c>
    </row>
    <row r="163" spans="1:6">
      <c r="A163" t="s">
        <v>4922</v>
      </c>
      <c r="B163" t="s">
        <v>2310</v>
      </c>
      <c r="C163" t="s">
        <v>1738</v>
      </c>
      <c r="D163" s="691">
        <v>0.23903099999999999</v>
      </c>
      <c r="E163" s="691">
        <v>6.0399499999999995E-2</v>
      </c>
      <c r="F163" s="692">
        <v>0.90596949999999998</v>
      </c>
    </row>
    <row r="164" spans="1:6">
      <c r="A164" t="s">
        <v>448</v>
      </c>
      <c r="B164" t="s">
        <v>2310</v>
      </c>
      <c r="C164" t="s">
        <v>1738</v>
      </c>
      <c r="D164" s="691">
        <v>0.23903099999999999</v>
      </c>
      <c r="E164" s="691">
        <v>6.0399499999999995E-2</v>
      </c>
      <c r="F164" s="692">
        <v>0.90596949999999998</v>
      </c>
    </row>
    <row r="165" spans="1:6">
      <c r="A165" t="s">
        <v>2936</v>
      </c>
      <c r="B165" t="s">
        <v>2310</v>
      </c>
      <c r="C165" t="s">
        <v>1738</v>
      </c>
      <c r="D165" s="691">
        <v>0.23903099999999999</v>
      </c>
      <c r="E165" s="691">
        <v>6.0399499999999995E-2</v>
      </c>
      <c r="F165" s="692">
        <v>0.90596949999999998</v>
      </c>
    </row>
    <row r="166" spans="1:6">
      <c r="A166" t="s">
        <v>4800</v>
      </c>
      <c r="B166" t="s">
        <v>2310</v>
      </c>
      <c r="C166" t="s">
        <v>1738</v>
      </c>
      <c r="D166" s="691">
        <v>0.23903099999999999</v>
      </c>
      <c r="E166" s="691">
        <v>6.0399499999999995E-2</v>
      </c>
      <c r="F166" s="692">
        <v>0.90596949999999998</v>
      </c>
    </row>
    <row r="167" spans="1:6">
      <c r="A167" t="s">
        <v>5481</v>
      </c>
      <c r="B167" t="s">
        <v>5986</v>
      </c>
      <c r="C167" t="s">
        <v>1737</v>
      </c>
      <c r="D167" s="691">
        <v>0.13818</v>
      </c>
      <c r="E167" s="691">
        <v>1.4804999999999999E-2</v>
      </c>
      <c r="F167" s="692">
        <v>0.83401499999999995</v>
      </c>
    </row>
    <row r="168" spans="1:6">
      <c r="A168" t="s">
        <v>2385</v>
      </c>
      <c r="B168" t="s">
        <v>2310</v>
      </c>
      <c r="C168" t="s">
        <v>1738</v>
      </c>
      <c r="D168" s="691">
        <v>0.23903099999999999</v>
      </c>
      <c r="E168" s="691">
        <v>6.0399499999999995E-2</v>
      </c>
      <c r="F168" s="692">
        <v>0.90596949999999998</v>
      </c>
    </row>
    <row r="169" spans="1:6">
      <c r="A169" t="s">
        <v>5482</v>
      </c>
      <c r="B169" t="s">
        <v>2310</v>
      </c>
      <c r="C169" t="s">
        <v>1738</v>
      </c>
      <c r="D169" s="691">
        <v>0.23903099999999999</v>
      </c>
      <c r="E169" s="691">
        <v>6.0399499999999995E-2</v>
      </c>
      <c r="F169" s="692">
        <v>0.90596949999999998</v>
      </c>
    </row>
    <row r="170" spans="1:6">
      <c r="A170" t="s">
        <v>5483</v>
      </c>
      <c r="B170" t="s">
        <v>2310</v>
      </c>
      <c r="C170" t="s">
        <v>1738</v>
      </c>
      <c r="D170" s="691">
        <v>0.23903099999999999</v>
      </c>
      <c r="E170" s="691">
        <v>6.0399499999999995E-2</v>
      </c>
      <c r="F170" s="692">
        <v>0.90596949999999998</v>
      </c>
    </row>
    <row r="171" spans="1:6">
      <c r="A171" t="s">
        <v>5484</v>
      </c>
      <c r="B171" t="s">
        <v>2310</v>
      </c>
      <c r="C171" t="s">
        <v>1736</v>
      </c>
      <c r="D171" s="691">
        <v>0.23903099999999999</v>
      </c>
      <c r="E171" s="691">
        <v>6.0399499999999995E-2</v>
      </c>
      <c r="F171" s="692">
        <v>0.90596949999999998</v>
      </c>
    </row>
    <row r="172" spans="1:6">
      <c r="A172" t="s">
        <v>5485</v>
      </c>
      <c r="B172" t="s">
        <v>5983</v>
      </c>
      <c r="C172" t="s">
        <v>2322</v>
      </c>
      <c r="D172" s="691">
        <v>0.28458</v>
      </c>
      <c r="E172" s="691">
        <v>3.1620000000000002E-2</v>
      </c>
      <c r="F172" s="692">
        <v>1.2648000000000001</v>
      </c>
    </row>
    <row r="173" spans="1:6">
      <c r="A173" t="s">
        <v>3165</v>
      </c>
      <c r="B173" t="s">
        <v>2310</v>
      </c>
      <c r="C173" t="s">
        <v>1738</v>
      </c>
      <c r="D173" s="691">
        <v>0.23903099999999999</v>
      </c>
      <c r="E173" s="691">
        <v>6.0399499999999995E-2</v>
      </c>
      <c r="F173" s="692">
        <v>0.90596949999999998</v>
      </c>
    </row>
    <row r="174" spans="1:6">
      <c r="A174" t="s">
        <v>3166</v>
      </c>
      <c r="B174" t="s">
        <v>2310</v>
      </c>
      <c r="C174" t="s">
        <v>2310</v>
      </c>
      <c r="D174" s="691">
        <v>0.23903099999999999</v>
      </c>
      <c r="E174" s="691">
        <v>6.0399499999999995E-2</v>
      </c>
      <c r="F174" s="692">
        <v>0.90596949999999998</v>
      </c>
    </row>
    <row r="175" spans="1:6">
      <c r="A175" t="s">
        <v>5988</v>
      </c>
      <c r="B175" t="s">
        <v>2310</v>
      </c>
      <c r="C175" t="s">
        <v>1738</v>
      </c>
      <c r="D175" s="691">
        <v>0.23903099999999999</v>
      </c>
      <c r="E175" s="691">
        <v>6.0399499999999995E-2</v>
      </c>
      <c r="F175" s="692">
        <v>0.90596949999999998</v>
      </c>
    </row>
    <row r="176" spans="1:6">
      <c r="A176" t="s">
        <v>449</v>
      </c>
      <c r="B176" t="s">
        <v>2310</v>
      </c>
      <c r="C176" t="s">
        <v>2316</v>
      </c>
      <c r="D176" s="691">
        <v>0.23903099999999999</v>
      </c>
      <c r="E176" s="691">
        <v>6.0399499999999995E-2</v>
      </c>
      <c r="F176" s="692">
        <v>0.90596949999999998</v>
      </c>
    </row>
    <row r="177" spans="1:6">
      <c r="A177" t="s">
        <v>1049</v>
      </c>
      <c r="B177" t="s">
        <v>2310</v>
      </c>
      <c r="C177" t="s">
        <v>2311</v>
      </c>
      <c r="D177" s="691">
        <v>0.23903099999999999</v>
      </c>
      <c r="E177" s="691">
        <v>6.0399499999999995E-2</v>
      </c>
      <c r="F177" s="692">
        <v>0.90596949999999998</v>
      </c>
    </row>
    <row r="178" spans="1:6">
      <c r="A178" t="s">
        <v>1055</v>
      </c>
      <c r="B178" t="s">
        <v>2310</v>
      </c>
      <c r="C178" t="s">
        <v>1738</v>
      </c>
      <c r="D178" s="691">
        <v>0.23903099999999999</v>
      </c>
      <c r="E178" s="691">
        <v>6.0399499999999995E-2</v>
      </c>
      <c r="F178" s="692">
        <v>0.90596949999999998</v>
      </c>
    </row>
    <row r="179" spans="1:6">
      <c r="A179" t="s">
        <v>450</v>
      </c>
      <c r="B179" t="s">
        <v>2310</v>
      </c>
      <c r="C179" t="s">
        <v>1736</v>
      </c>
      <c r="D179" s="691">
        <v>0.23903099999999999</v>
      </c>
      <c r="E179" s="691">
        <v>6.0399499999999995E-2</v>
      </c>
      <c r="F179" s="692">
        <v>0.90596949999999998</v>
      </c>
    </row>
    <row r="180" spans="1:6">
      <c r="A180" t="s">
        <v>94</v>
      </c>
      <c r="B180" t="s">
        <v>2310</v>
      </c>
      <c r="C180" t="s">
        <v>1738</v>
      </c>
      <c r="D180" s="691">
        <v>0.23903099999999999</v>
      </c>
      <c r="E180" s="691">
        <v>6.0399499999999995E-2</v>
      </c>
      <c r="F180" s="692">
        <v>0.90596949999999998</v>
      </c>
    </row>
    <row r="181" spans="1:6">
      <c r="A181" t="s">
        <v>2609</v>
      </c>
      <c r="B181" t="s">
        <v>5983</v>
      </c>
      <c r="C181" t="s">
        <v>2322</v>
      </c>
      <c r="D181" s="691">
        <v>0.28458</v>
      </c>
      <c r="E181" s="691">
        <v>3.1620000000000002E-2</v>
      </c>
      <c r="F181" s="692">
        <v>1.2648000000000001</v>
      </c>
    </row>
    <row r="182" spans="1:6">
      <c r="A182" t="s">
        <v>3765</v>
      </c>
      <c r="B182" t="s">
        <v>5983</v>
      </c>
      <c r="C182" t="s">
        <v>2322</v>
      </c>
      <c r="D182" s="691">
        <v>0.28458</v>
      </c>
      <c r="E182" s="691">
        <v>3.1620000000000002E-2</v>
      </c>
      <c r="F182" s="692">
        <v>1.2648000000000001</v>
      </c>
    </row>
    <row r="183" spans="1:6">
      <c r="A183" t="s">
        <v>3702</v>
      </c>
      <c r="B183" t="s">
        <v>2310</v>
      </c>
      <c r="C183" t="s">
        <v>1738</v>
      </c>
      <c r="D183" s="691">
        <v>0.23903099999999999</v>
      </c>
      <c r="E183" s="691">
        <v>6.0399499999999995E-2</v>
      </c>
      <c r="F183" s="692">
        <v>0.90596949999999998</v>
      </c>
    </row>
    <row r="184" spans="1:6">
      <c r="A184" t="s">
        <v>451</v>
      </c>
      <c r="B184" t="s">
        <v>2310</v>
      </c>
      <c r="C184" t="s">
        <v>1736</v>
      </c>
      <c r="D184" s="691">
        <v>0.23903099999999999</v>
      </c>
      <c r="E184" s="691">
        <v>6.0399499999999995E-2</v>
      </c>
      <c r="F184" s="692">
        <v>0.90596949999999998</v>
      </c>
    </row>
    <row r="185" spans="1:6">
      <c r="A185" t="s">
        <v>3664</v>
      </c>
      <c r="B185" t="s">
        <v>2310</v>
      </c>
      <c r="C185" t="s">
        <v>1738</v>
      </c>
      <c r="D185" s="691">
        <v>0.23903099999999999</v>
      </c>
      <c r="E185" s="691">
        <v>6.0399499999999995E-2</v>
      </c>
      <c r="F185" s="692">
        <v>0.90596949999999998</v>
      </c>
    </row>
    <row r="186" spans="1:6">
      <c r="A186" t="s">
        <v>4193</v>
      </c>
      <c r="B186" t="s">
        <v>2310</v>
      </c>
      <c r="C186" t="s">
        <v>1738</v>
      </c>
      <c r="D186" s="691">
        <v>0.23903099999999999</v>
      </c>
      <c r="E186" s="691">
        <v>6.0399499999999995E-2</v>
      </c>
      <c r="F186" s="692">
        <v>0.90596949999999998</v>
      </c>
    </row>
    <row r="187" spans="1:6">
      <c r="A187" t="s">
        <v>4194</v>
      </c>
      <c r="B187" t="s">
        <v>2310</v>
      </c>
      <c r="C187" t="s">
        <v>1738</v>
      </c>
      <c r="D187" s="691">
        <v>0.23903099999999999</v>
      </c>
      <c r="E187" s="691">
        <v>6.0399499999999995E-2</v>
      </c>
      <c r="F187" s="692">
        <v>0.90596949999999998</v>
      </c>
    </row>
    <row r="188" spans="1:6">
      <c r="A188" t="s">
        <v>3957</v>
      </c>
      <c r="B188" t="s">
        <v>2310</v>
      </c>
      <c r="C188" t="s">
        <v>1738</v>
      </c>
      <c r="D188" s="691">
        <v>0.23903099999999999</v>
      </c>
      <c r="E188" s="691">
        <v>6.0399499999999995E-2</v>
      </c>
      <c r="F188" s="692">
        <v>0.90596949999999998</v>
      </c>
    </row>
    <row r="189" spans="1:6">
      <c r="A189" t="s">
        <v>4195</v>
      </c>
      <c r="B189" t="s">
        <v>2323</v>
      </c>
      <c r="C189" t="s">
        <v>2323</v>
      </c>
      <c r="D189" s="691">
        <v>0.312</v>
      </c>
      <c r="E189" s="691">
        <v>0.13</v>
      </c>
      <c r="F189" s="692">
        <v>0.8580000000000001</v>
      </c>
    </row>
    <row r="190" spans="1:6">
      <c r="A190" t="s">
        <v>1043</v>
      </c>
      <c r="B190" t="s">
        <v>2310</v>
      </c>
      <c r="C190" t="s">
        <v>1738</v>
      </c>
      <c r="D190" s="691">
        <v>0.23903099999999999</v>
      </c>
      <c r="E190" s="691">
        <v>6.0399499999999995E-2</v>
      </c>
      <c r="F190" s="692">
        <v>0.90596949999999998</v>
      </c>
    </row>
    <row r="191" spans="1:6">
      <c r="A191" t="s">
        <v>4196</v>
      </c>
      <c r="B191" t="s">
        <v>2310</v>
      </c>
      <c r="C191" t="s">
        <v>1738</v>
      </c>
      <c r="D191" s="691">
        <v>0.23903099999999999</v>
      </c>
      <c r="E191" s="691">
        <v>6.0399499999999995E-2</v>
      </c>
      <c r="F191" s="692">
        <v>0.90596949999999998</v>
      </c>
    </row>
    <row r="192" spans="1:6">
      <c r="A192" t="s">
        <v>5257</v>
      </c>
      <c r="B192" t="s">
        <v>2310</v>
      </c>
      <c r="C192" t="s">
        <v>1738</v>
      </c>
      <c r="D192" s="691">
        <v>0.23903099999999999</v>
      </c>
      <c r="E192" s="691">
        <v>6.0399499999999995E-2</v>
      </c>
      <c r="F192" s="692">
        <v>0.90596949999999998</v>
      </c>
    </row>
    <row r="193" spans="1:6">
      <c r="A193" t="s">
        <v>4197</v>
      </c>
      <c r="B193" t="s">
        <v>2310</v>
      </c>
      <c r="C193" t="s">
        <v>1738</v>
      </c>
      <c r="D193" s="691">
        <v>0.23903099999999999</v>
      </c>
      <c r="E193" s="691">
        <v>6.0399499999999995E-2</v>
      </c>
      <c r="F193" s="692">
        <v>0.90596949999999998</v>
      </c>
    </row>
    <row r="194" spans="1:6">
      <c r="A194" t="s">
        <v>4726</v>
      </c>
      <c r="B194" t="s">
        <v>2310</v>
      </c>
      <c r="C194" t="s">
        <v>1740</v>
      </c>
      <c r="D194" s="691">
        <v>0.23903099999999999</v>
      </c>
      <c r="E194" s="691">
        <v>6.0399499999999995E-2</v>
      </c>
      <c r="F194" s="692">
        <v>0.90596949999999998</v>
      </c>
    </row>
    <row r="195" spans="1:6">
      <c r="A195" t="s">
        <v>1869</v>
      </c>
      <c r="B195" t="s">
        <v>2310</v>
      </c>
      <c r="C195" t="s">
        <v>5194</v>
      </c>
      <c r="D195" s="691">
        <v>0.23903099999999999</v>
      </c>
      <c r="E195" s="691">
        <v>6.0399499999999995E-2</v>
      </c>
      <c r="F195" s="692">
        <v>0.90596949999999998</v>
      </c>
    </row>
    <row r="196" spans="1:6">
      <c r="A196" t="s">
        <v>908</v>
      </c>
      <c r="B196" t="s">
        <v>2310</v>
      </c>
      <c r="C196" t="s">
        <v>1738</v>
      </c>
      <c r="D196" s="691">
        <v>0.23903099999999999</v>
      </c>
      <c r="E196" s="691">
        <v>6.0399499999999995E-2</v>
      </c>
      <c r="F196" s="692">
        <v>0.90596949999999998</v>
      </c>
    </row>
    <row r="197" spans="1:6">
      <c r="A197" t="s">
        <v>4162</v>
      </c>
      <c r="B197" t="s">
        <v>2310</v>
      </c>
      <c r="C197" t="s">
        <v>1738</v>
      </c>
      <c r="D197" s="691">
        <v>0.23903099999999999</v>
      </c>
      <c r="E197" s="691">
        <v>6.0399499999999995E-2</v>
      </c>
      <c r="F197" s="692">
        <v>0.90596949999999998</v>
      </c>
    </row>
    <row r="198" spans="1:6">
      <c r="A198" t="s">
        <v>2646</v>
      </c>
      <c r="B198" t="s">
        <v>2310</v>
      </c>
      <c r="C198" t="s">
        <v>1738</v>
      </c>
      <c r="D198" s="691">
        <v>0.23903099999999999</v>
      </c>
      <c r="E198" s="691">
        <v>6.0399499999999995E-2</v>
      </c>
      <c r="F198" s="692">
        <v>0.90596949999999998</v>
      </c>
    </row>
    <row r="199" spans="1:6">
      <c r="A199" t="s">
        <v>4198</v>
      </c>
      <c r="B199" t="s">
        <v>5983</v>
      </c>
      <c r="C199" t="s">
        <v>2322</v>
      </c>
      <c r="D199" s="691">
        <v>0.28458</v>
      </c>
      <c r="E199" s="691">
        <v>3.1620000000000002E-2</v>
      </c>
      <c r="F199" s="692">
        <v>1.2648000000000001</v>
      </c>
    </row>
    <row r="200" spans="1:6">
      <c r="A200" t="s">
        <v>1275</v>
      </c>
      <c r="B200" t="s">
        <v>2310</v>
      </c>
      <c r="C200" t="s">
        <v>2318</v>
      </c>
      <c r="D200" s="691">
        <v>0.23903099999999999</v>
      </c>
      <c r="E200" s="691">
        <v>6.0399499999999995E-2</v>
      </c>
      <c r="F200" s="692">
        <v>0.90596949999999998</v>
      </c>
    </row>
    <row r="201" spans="1:6">
      <c r="A201" t="s">
        <v>3478</v>
      </c>
      <c r="B201" t="s">
        <v>2310</v>
      </c>
      <c r="C201" t="s">
        <v>1738</v>
      </c>
      <c r="D201" s="691">
        <v>0.23903099999999999</v>
      </c>
      <c r="E201" s="691">
        <v>6.0399499999999995E-2</v>
      </c>
      <c r="F201" s="692">
        <v>0.90596949999999998</v>
      </c>
    </row>
    <row r="202" spans="1:6">
      <c r="A202" t="s">
        <v>4199</v>
      </c>
      <c r="B202" t="s">
        <v>2310</v>
      </c>
      <c r="C202" t="s">
        <v>1738</v>
      </c>
      <c r="D202" s="691">
        <v>0.23903099999999999</v>
      </c>
      <c r="E202" s="691">
        <v>6.0399499999999995E-2</v>
      </c>
      <c r="F202" s="692">
        <v>0.90596949999999998</v>
      </c>
    </row>
    <row r="203" spans="1:6">
      <c r="A203" t="s">
        <v>1488</v>
      </c>
      <c r="B203" t="s">
        <v>2310</v>
      </c>
      <c r="C203" t="s">
        <v>2314</v>
      </c>
      <c r="D203" s="691">
        <v>0.23903099999999999</v>
      </c>
      <c r="E203" s="691">
        <v>6.0399499999999995E-2</v>
      </c>
      <c r="F203" s="692">
        <v>0.90596949999999998</v>
      </c>
    </row>
    <row r="204" spans="1:6">
      <c r="A204" t="s">
        <v>1452</v>
      </c>
      <c r="B204" t="s">
        <v>2310</v>
      </c>
      <c r="C204" t="s">
        <v>1740</v>
      </c>
      <c r="D204" s="691">
        <v>0.23903099999999999</v>
      </c>
      <c r="E204" s="691">
        <v>6.0399499999999995E-2</v>
      </c>
      <c r="F204" s="692">
        <v>0.90596949999999998</v>
      </c>
    </row>
    <row r="205" spans="1:6">
      <c r="A205" t="s">
        <v>4200</v>
      </c>
      <c r="B205" t="s">
        <v>2310</v>
      </c>
      <c r="C205" t="s">
        <v>1738</v>
      </c>
      <c r="D205" s="691">
        <v>0.23903099999999999</v>
      </c>
      <c r="E205" s="691">
        <v>6.0399499999999995E-2</v>
      </c>
      <c r="F205" s="692">
        <v>0.90596949999999998</v>
      </c>
    </row>
    <row r="206" spans="1:6">
      <c r="A206" t="s">
        <v>715</v>
      </c>
      <c r="B206" t="s">
        <v>5983</v>
      </c>
      <c r="C206" t="s">
        <v>2322</v>
      </c>
      <c r="D206" s="691">
        <v>0.28458</v>
      </c>
      <c r="E206" s="691">
        <v>3.1620000000000002E-2</v>
      </c>
      <c r="F206" s="692">
        <v>1.2648000000000001</v>
      </c>
    </row>
    <row r="207" spans="1:6">
      <c r="A207" t="s">
        <v>736</v>
      </c>
      <c r="B207" t="s">
        <v>2310</v>
      </c>
      <c r="C207" t="s">
        <v>2310</v>
      </c>
      <c r="D207" s="691">
        <v>0.23903099999999999</v>
      </c>
      <c r="E207" s="691">
        <v>6.0399499999999995E-2</v>
      </c>
      <c r="F207" s="692">
        <v>0.90596949999999998</v>
      </c>
    </row>
    <row r="208" spans="1:6">
      <c r="A208" t="s">
        <v>3470</v>
      </c>
      <c r="B208" t="s">
        <v>2310</v>
      </c>
      <c r="C208" t="s">
        <v>1738</v>
      </c>
      <c r="D208" s="691">
        <v>0.23903099999999999</v>
      </c>
      <c r="E208" s="691">
        <v>6.0399499999999995E-2</v>
      </c>
      <c r="F208" s="692">
        <v>0.90596949999999998</v>
      </c>
    </row>
    <row r="209" spans="1:6">
      <c r="A209" t="s">
        <v>5488</v>
      </c>
      <c r="B209" t="s">
        <v>2310</v>
      </c>
      <c r="C209" t="s">
        <v>1738</v>
      </c>
      <c r="D209" s="691">
        <v>0.23903099999999999</v>
      </c>
      <c r="E209" s="691">
        <v>6.0399499999999995E-2</v>
      </c>
      <c r="F209" s="692">
        <v>0.90596949999999998</v>
      </c>
    </row>
    <row r="210" spans="1:6">
      <c r="A210" t="s">
        <v>3656</v>
      </c>
      <c r="B210" t="s">
        <v>2310</v>
      </c>
      <c r="C210" t="s">
        <v>1738</v>
      </c>
      <c r="D210" s="691">
        <v>0.23903099999999999</v>
      </c>
      <c r="E210" s="691">
        <v>6.0399499999999995E-2</v>
      </c>
      <c r="F210" s="692">
        <v>0.90596949999999998</v>
      </c>
    </row>
    <row r="211" spans="1:6">
      <c r="A211" t="s">
        <v>2981</v>
      </c>
      <c r="B211" t="s">
        <v>2310</v>
      </c>
      <c r="C211" t="s">
        <v>2319</v>
      </c>
      <c r="D211" s="691">
        <v>0.23903099999999999</v>
      </c>
      <c r="E211" s="691">
        <v>6.0399499999999995E-2</v>
      </c>
      <c r="F211" s="692">
        <v>0.90596949999999998</v>
      </c>
    </row>
    <row r="212" spans="1:6">
      <c r="A212" t="s">
        <v>3700</v>
      </c>
      <c r="B212" t="s">
        <v>2310</v>
      </c>
      <c r="C212" t="s">
        <v>1738</v>
      </c>
      <c r="D212" s="691">
        <v>0.23903099999999999</v>
      </c>
      <c r="E212" s="691">
        <v>6.0399499999999995E-2</v>
      </c>
      <c r="F212" s="692">
        <v>0.90596949999999998</v>
      </c>
    </row>
    <row r="213" spans="1:6">
      <c r="A213" t="s">
        <v>1486</v>
      </c>
      <c r="B213" t="s">
        <v>2310</v>
      </c>
      <c r="C213" t="s">
        <v>600</v>
      </c>
      <c r="D213" s="691">
        <v>0.23903099999999999</v>
      </c>
      <c r="E213" s="691">
        <v>6.0399499999999995E-2</v>
      </c>
      <c r="F213" s="692">
        <v>0.90596949999999998</v>
      </c>
    </row>
    <row r="214" spans="1:6">
      <c r="A214" t="s">
        <v>5989</v>
      </c>
      <c r="B214" t="s">
        <v>2310</v>
      </c>
      <c r="C214" t="s">
        <v>1740</v>
      </c>
      <c r="D214" s="691">
        <v>0.23903099999999999</v>
      </c>
      <c r="E214" s="691">
        <v>6.0399499999999995E-2</v>
      </c>
      <c r="F214" s="692">
        <v>0.90596949999999998</v>
      </c>
    </row>
    <row r="215" spans="1:6">
      <c r="A215" t="s">
        <v>4201</v>
      </c>
      <c r="B215" t="s">
        <v>4959</v>
      </c>
      <c r="C215" t="s">
        <v>1738</v>
      </c>
      <c r="D215" s="691">
        <v>8.6399999999999991E-2</v>
      </c>
      <c r="E215" s="691">
        <v>1.8360000000000001E-2</v>
      </c>
      <c r="F215" s="692">
        <v>0.97524</v>
      </c>
    </row>
    <row r="216" spans="1:6">
      <c r="A216" t="s">
        <v>4202</v>
      </c>
      <c r="B216" t="s">
        <v>2310</v>
      </c>
      <c r="C216" t="s">
        <v>1738</v>
      </c>
      <c r="D216" s="691">
        <v>0.23903099999999999</v>
      </c>
      <c r="E216" s="691">
        <v>6.0399499999999995E-2</v>
      </c>
      <c r="F216" s="692">
        <v>0.90596949999999998</v>
      </c>
    </row>
    <row r="217" spans="1:6">
      <c r="A217" t="s">
        <v>4203</v>
      </c>
      <c r="B217" t="s">
        <v>2310</v>
      </c>
      <c r="C217" t="s">
        <v>2316</v>
      </c>
      <c r="D217" s="691">
        <v>0.23903099999999999</v>
      </c>
      <c r="E217" s="691">
        <v>6.0399499999999995E-2</v>
      </c>
      <c r="F217" s="692">
        <v>0.90596949999999998</v>
      </c>
    </row>
    <row r="218" spans="1:6">
      <c r="A218" t="s">
        <v>1089</v>
      </c>
      <c r="B218" t="s">
        <v>2310</v>
      </c>
      <c r="C218" t="s">
        <v>2316</v>
      </c>
      <c r="D218" s="691">
        <v>0.23903099999999999</v>
      </c>
      <c r="E218" s="691">
        <v>6.0399499999999995E-2</v>
      </c>
      <c r="F218" s="692">
        <v>0.90596949999999998</v>
      </c>
    </row>
    <row r="219" spans="1:6">
      <c r="A219" t="s">
        <v>3844</v>
      </c>
      <c r="B219" t="s">
        <v>2310</v>
      </c>
      <c r="C219" t="s">
        <v>2314</v>
      </c>
      <c r="D219" s="691">
        <v>0.23903099999999999</v>
      </c>
      <c r="E219" s="691">
        <v>6.0399499999999995E-2</v>
      </c>
      <c r="F219" s="692">
        <v>0.90596949999999998</v>
      </c>
    </row>
    <row r="220" spans="1:6">
      <c r="A220" t="s">
        <v>1047</v>
      </c>
      <c r="B220" t="s">
        <v>5194</v>
      </c>
      <c r="C220" t="s">
        <v>5194</v>
      </c>
      <c r="D220" s="691">
        <v>3.9949999999999999E-2</v>
      </c>
      <c r="E220" s="691">
        <v>0</v>
      </c>
      <c r="F220" s="692">
        <v>0.75905</v>
      </c>
    </row>
    <row r="221" spans="1:6">
      <c r="A221" t="s">
        <v>5236</v>
      </c>
      <c r="B221" t="s">
        <v>2310</v>
      </c>
      <c r="C221" t="s">
        <v>3791</v>
      </c>
      <c r="D221" s="691">
        <v>0.23903099999999999</v>
      </c>
      <c r="E221" s="691">
        <v>6.0399499999999995E-2</v>
      </c>
      <c r="F221" s="692">
        <v>0.90596949999999998</v>
      </c>
    </row>
    <row r="222" spans="1:6">
      <c r="A222" t="s">
        <v>846</v>
      </c>
      <c r="B222" t="s">
        <v>2310</v>
      </c>
      <c r="C222" t="s">
        <v>1738</v>
      </c>
      <c r="D222" s="691">
        <v>0.23903099999999999</v>
      </c>
      <c r="E222" s="691">
        <v>6.0399499999999995E-2</v>
      </c>
      <c r="F222" s="692">
        <v>0.90596949999999998</v>
      </c>
    </row>
    <row r="223" spans="1:6">
      <c r="A223" t="s">
        <v>4204</v>
      </c>
      <c r="B223" t="s">
        <v>2310</v>
      </c>
      <c r="C223" t="s">
        <v>1738</v>
      </c>
      <c r="D223" s="691">
        <v>0.23903099999999999</v>
      </c>
      <c r="E223" s="691">
        <v>6.0399499999999995E-2</v>
      </c>
      <c r="F223" s="692">
        <v>0.90596949999999998</v>
      </c>
    </row>
    <row r="224" spans="1:6">
      <c r="A224" t="s">
        <v>4205</v>
      </c>
      <c r="B224" t="s">
        <v>2310</v>
      </c>
      <c r="C224" t="s">
        <v>2316</v>
      </c>
      <c r="D224" s="691">
        <v>0.23903099999999999</v>
      </c>
      <c r="E224" s="691">
        <v>6.0399499999999995E-2</v>
      </c>
      <c r="F224" s="692">
        <v>0.90596949999999998</v>
      </c>
    </row>
    <row r="225" spans="1:6">
      <c r="A225" t="s">
        <v>3151</v>
      </c>
      <c r="B225" t="s">
        <v>5983</v>
      </c>
      <c r="C225" t="s">
        <v>2322</v>
      </c>
      <c r="D225" s="691">
        <v>0.28458</v>
      </c>
      <c r="E225" s="691">
        <v>3.1620000000000002E-2</v>
      </c>
      <c r="F225" s="692">
        <v>1.2648000000000001</v>
      </c>
    </row>
    <row r="226" spans="1:6">
      <c r="A226" t="s">
        <v>3657</v>
      </c>
      <c r="B226" t="s">
        <v>2310</v>
      </c>
      <c r="C226" t="s">
        <v>2311</v>
      </c>
      <c r="D226" s="691">
        <v>0.23903099999999999</v>
      </c>
      <c r="E226" s="691">
        <v>6.0399499999999995E-2</v>
      </c>
      <c r="F226" s="692">
        <v>0.90596949999999998</v>
      </c>
    </row>
    <row r="227" spans="1:6">
      <c r="A227" t="s">
        <v>3658</v>
      </c>
      <c r="B227" t="s">
        <v>2310</v>
      </c>
      <c r="C227" t="s">
        <v>1738</v>
      </c>
      <c r="D227" s="691">
        <v>0.23903099999999999</v>
      </c>
      <c r="E227" s="691">
        <v>6.0399499999999995E-2</v>
      </c>
      <c r="F227" s="692">
        <v>0.90596949999999998</v>
      </c>
    </row>
    <row r="228" spans="1:6">
      <c r="A228" t="s">
        <v>4206</v>
      </c>
      <c r="B228" t="s">
        <v>2310</v>
      </c>
      <c r="C228" t="s">
        <v>1738</v>
      </c>
      <c r="D228" s="691">
        <v>0.23903099999999999</v>
      </c>
      <c r="E228" s="691">
        <v>6.0399499999999995E-2</v>
      </c>
      <c r="F228" s="692">
        <v>0.90596949999999998</v>
      </c>
    </row>
    <row r="229" spans="1:6">
      <c r="A229" t="s">
        <v>4207</v>
      </c>
      <c r="B229" t="s">
        <v>2310</v>
      </c>
      <c r="C229" t="s">
        <v>1738</v>
      </c>
      <c r="D229" s="691">
        <v>0.23903099999999999</v>
      </c>
      <c r="E229" s="691">
        <v>6.0399499999999995E-2</v>
      </c>
      <c r="F229" s="692">
        <v>0.90596949999999998</v>
      </c>
    </row>
    <row r="230" spans="1:6">
      <c r="A230" t="s">
        <v>3703</v>
      </c>
      <c r="B230" t="s">
        <v>2310</v>
      </c>
      <c r="C230" t="s">
        <v>1738</v>
      </c>
      <c r="D230" s="691">
        <v>0.23903099999999999</v>
      </c>
      <c r="E230" s="691">
        <v>6.0399499999999995E-2</v>
      </c>
      <c r="F230" s="692">
        <v>0.90596949999999998</v>
      </c>
    </row>
    <row r="231" spans="1:6">
      <c r="A231" t="s">
        <v>4160</v>
      </c>
      <c r="B231" t="s">
        <v>2310</v>
      </c>
      <c r="C231" t="s">
        <v>1738</v>
      </c>
      <c r="D231" s="691">
        <v>0.23903099999999999</v>
      </c>
      <c r="E231" s="691">
        <v>6.0399499999999995E-2</v>
      </c>
      <c r="F231" s="692">
        <v>0.90596949999999998</v>
      </c>
    </row>
    <row r="232" spans="1:6">
      <c r="A232" t="s">
        <v>4208</v>
      </c>
      <c r="B232" t="s">
        <v>2310</v>
      </c>
      <c r="C232" t="s">
        <v>1736</v>
      </c>
      <c r="D232" s="691">
        <v>0.23903099999999999</v>
      </c>
      <c r="E232" s="691">
        <v>6.0399499999999995E-2</v>
      </c>
      <c r="F232" s="692">
        <v>0.90596949999999998</v>
      </c>
    </row>
    <row r="233" spans="1:6">
      <c r="A233" t="s">
        <v>4209</v>
      </c>
      <c r="B233" t="s">
        <v>2310</v>
      </c>
      <c r="C233" t="s">
        <v>2320</v>
      </c>
      <c r="D233" s="691">
        <v>0.23903099999999999</v>
      </c>
      <c r="E233" s="691">
        <v>6.0399499999999995E-2</v>
      </c>
      <c r="F233" s="692">
        <v>0.90596949999999998</v>
      </c>
    </row>
    <row r="234" spans="1:6">
      <c r="A234" t="s">
        <v>5153</v>
      </c>
      <c r="B234" t="s">
        <v>2310</v>
      </c>
      <c r="C234" t="s">
        <v>1736</v>
      </c>
      <c r="D234" s="691">
        <v>0.23903099999999999</v>
      </c>
      <c r="E234" s="691">
        <v>6.0399499999999995E-2</v>
      </c>
      <c r="F234" s="692">
        <v>0.90596949999999998</v>
      </c>
    </row>
    <row r="235" spans="1:6">
      <c r="A235" t="s">
        <v>899</v>
      </c>
      <c r="B235" t="s">
        <v>5984</v>
      </c>
      <c r="C235" t="s">
        <v>3786</v>
      </c>
      <c r="D235" s="691">
        <v>0.71249999999999991</v>
      </c>
      <c r="E235" s="691">
        <v>7.1250000000000008E-2</v>
      </c>
      <c r="F235" s="692">
        <v>0.64124999999999988</v>
      </c>
    </row>
    <row r="236" spans="1:6">
      <c r="A236" t="s">
        <v>5405</v>
      </c>
      <c r="B236" t="s">
        <v>2310</v>
      </c>
      <c r="C236" t="s">
        <v>1736</v>
      </c>
      <c r="D236" s="691">
        <v>0.23903099999999999</v>
      </c>
      <c r="E236" s="691">
        <v>6.0399499999999995E-2</v>
      </c>
      <c r="F236" s="692">
        <v>0.90596949999999998</v>
      </c>
    </row>
    <row r="237" spans="1:6">
      <c r="A237" t="s">
        <v>4210</v>
      </c>
      <c r="B237" t="s">
        <v>2310</v>
      </c>
      <c r="C237" t="s">
        <v>1738</v>
      </c>
      <c r="D237" s="691">
        <v>0.23903099999999999</v>
      </c>
      <c r="E237" s="691">
        <v>6.0399499999999995E-2</v>
      </c>
      <c r="F237" s="692">
        <v>0.90596949999999998</v>
      </c>
    </row>
    <row r="238" spans="1:6">
      <c r="A238" t="s">
        <v>1051</v>
      </c>
      <c r="B238" t="s">
        <v>2310</v>
      </c>
      <c r="C238" t="s">
        <v>2313</v>
      </c>
      <c r="D238" s="691">
        <v>0.23903099999999999</v>
      </c>
      <c r="E238" s="691">
        <v>6.0399499999999995E-2</v>
      </c>
      <c r="F238" s="692">
        <v>0.90596949999999998</v>
      </c>
    </row>
    <row r="239" spans="1:6">
      <c r="A239" t="s">
        <v>5154</v>
      </c>
      <c r="B239" t="s">
        <v>2310</v>
      </c>
      <c r="C239" t="s">
        <v>1740</v>
      </c>
      <c r="D239" s="691">
        <v>0.23903099999999999</v>
      </c>
      <c r="E239" s="691">
        <v>6.0399499999999995E-2</v>
      </c>
      <c r="F239" s="692">
        <v>0.90596949999999998</v>
      </c>
    </row>
    <row r="240" spans="1:6">
      <c r="A240" t="s">
        <v>5155</v>
      </c>
      <c r="B240" t="s">
        <v>2310</v>
      </c>
      <c r="C240" t="s">
        <v>1738</v>
      </c>
      <c r="D240" s="691">
        <v>0.23903099999999999</v>
      </c>
      <c r="E240" s="691">
        <v>6.0399499999999995E-2</v>
      </c>
      <c r="F240" s="692">
        <v>0.90596949999999998</v>
      </c>
    </row>
    <row r="241" spans="1:6">
      <c r="A241" t="s">
        <v>4436</v>
      </c>
      <c r="B241" t="s">
        <v>2310</v>
      </c>
      <c r="C241" t="s">
        <v>2319</v>
      </c>
      <c r="D241" s="691">
        <v>0.23903099999999999</v>
      </c>
      <c r="E241" s="691">
        <v>6.0399499999999995E-2</v>
      </c>
      <c r="F241" s="692">
        <v>0.90596949999999998</v>
      </c>
    </row>
    <row r="242" spans="1:6">
      <c r="A242" t="s">
        <v>4211</v>
      </c>
      <c r="B242" t="s">
        <v>2310</v>
      </c>
      <c r="C242" t="s">
        <v>3790</v>
      </c>
      <c r="D242" s="691">
        <v>0.23903099999999999</v>
      </c>
      <c r="E242" s="691">
        <v>6.0399499999999995E-2</v>
      </c>
      <c r="F242" s="692">
        <v>0.90596949999999998</v>
      </c>
    </row>
    <row r="243" spans="1:6">
      <c r="A243" t="s">
        <v>5156</v>
      </c>
      <c r="B243" t="s">
        <v>2310</v>
      </c>
      <c r="C243" t="s">
        <v>1738</v>
      </c>
      <c r="D243" s="691">
        <v>0.23903099999999999</v>
      </c>
      <c r="E243" s="691">
        <v>6.0399499999999995E-2</v>
      </c>
      <c r="F243" s="692">
        <v>0.90596949999999998</v>
      </c>
    </row>
    <row r="244" spans="1:6">
      <c r="A244" t="s">
        <v>4923</v>
      </c>
      <c r="B244" t="s">
        <v>2310</v>
      </c>
      <c r="C244" t="s">
        <v>1738</v>
      </c>
      <c r="D244" s="691">
        <v>0.23903099999999999</v>
      </c>
      <c r="E244" s="691">
        <v>6.0399499999999995E-2</v>
      </c>
      <c r="F244" s="692">
        <v>0.90596949999999998</v>
      </c>
    </row>
    <row r="245" spans="1:6">
      <c r="A245" t="s">
        <v>909</v>
      </c>
      <c r="B245" t="s">
        <v>2310</v>
      </c>
      <c r="C245" t="s">
        <v>1738</v>
      </c>
      <c r="D245" s="691">
        <v>0.23903099999999999</v>
      </c>
      <c r="E245" s="691">
        <v>6.0399499999999995E-2</v>
      </c>
      <c r="F245" s="692">
        <v>0.90596949999999998</v>
      </c>
    </row>
    <row r="246" spans="1:6">
      <c r="A246" t="s">
        <v>3766</v>
      </c>
      <c r="B246" t="s">
        <v>2310</v>
      </c>
      <c r="C246" t="s">
        <v>1738</v>
      </c>
      <c r="D246" s="691">
        <v>0.23903099999999999</v>
      </c>
      <c r="E246" s="691">
        <v>6.0399499999999995E-2</v>
      </c>
      <c r="F246" s="692">
        <v>0.90596949999999998</v>
      </c>
    </row>
    <row r="247" spans="1:6">
      <c r="A247" t="s">
        <v>3659</v>
      </c>
      <c r="B247" t="s">
        <v>2310</v>
      </c>
      <c r="C247" t="s">
        <v>1738</v>
      </c>
      <c r="D247" s="691">
        <v>0.23903099999999999</v>
      </c>
      <c r="E247" s="691">
        <v>6.0399499999999995E-2</v>
      </c>
      <c r="F247" s="692">
        <v>0.90596949999999998</v>
      </c>
    </row>
    <row r="248" spans="1:6">
      <c r="A248" t="s">
        <v>2040</v>
      </c>
      <c r="B248" t="s">
        <v>2310</v>
      </c>
      <c r="C248" t="s">
        <v>1738</v>
      </c>
      <c r="D248" s="691">
        <v>0.23903099999999999</v>
      </c>
      <c r="E248" s="691">
        <v>6.0399499999999995E-2</v>
      </c>
      <c r="F248" s="692">
        <v>0.90596949999999998</v>
      </c>
    </row>
    <row r="249" spans="1:6">
      <c r="A249" t="s">
        <v>2917</v>
      </c>
      <c r="B249" t="s">
        <v>2310</v>
      </c>
      <c r="C249" t="s">
        <v>2314</v>
      </c>
      <c r="D249" s="691">
        <v>0.23903099999999999</v>
      </c>
      <c r="E249" s="691">
        <v>6.0399499999999995E-2</v>
      </c>
      <c r="F249" s="692">
        <v>0.90596949999999998</v>
      </c>
    </row>
    <row r="250" spans="1:6">
      <c r="A250" t="s">
        <v>4212</v>
      </c>
      <c r="B250" t="s">
        <v>2310</v>
      </c>
      <c r="C250" t="s">
        <v>1738</v>
      </c>
      <c r="D250" s="691">
        <v>0.23903099999999999</v>
      </c>
      <c r="E250" s="691">
        <v>6.0399499999999995E-2</v>
      </c>
      <c r="F250" s="692">
        <v>0.90596949999999998</v>
      </c>
    </row>
    <row r="251" spans="1:6">
      <c r="A251" t="s">
        <v>5027</v>
      </c>
      <c r="B251" t="s">
        <v>5983</v>
      </c>
      <c r="C251" t="s">
        <v>2322</v>
      </c>
      <c r="D251" s="691">
        <v>0.28458</v>
      </c>
      <c r="E251" s="691">
        <v>3.1620000000000002E-2</v>
      </c>
      <c r="F251" s="692">
        <v>1.2648000000000001</v>
      </c>
    </row>
    <row r="252" spans="1:6">
      <c r="A252" t="s">
        <v>5157</v>
      </c>
      <c r="B252" t="s">
        <v>2310</v>
      </c>
      <c r="C252" t="s">
        <v>1738</v>
      </c>
      <c r="D252" s="691">
        <v>0.23903099999999999</v>
      </c>
      <c r="E252" s="691">
        <v>6.0399499999999995E-2</v>
      </c>
      <c r="F252" s="692">
        <v>0.90596949999999998</v>
      </c>
    </row>
    <row r="253" spans="1:6">
      <c r="A253" t="s">
        <v>2518</v>
      </c>
      <c r="B253" t="s">
        <v>2310</v>
      </c>
      <c r="C253" t="s">
        <v>2319</v>
      </c>
      <c r="D253" s="691">
        <v>0.23903099999999999</v>
      </c>
      <c r="E253" s="691">
        <v>6.0399499999999995E-2</v>
      </c>
      <c r="F253" s="692">
        <v>0.90596949999999998</v>
      </c>
    </row>
    <row r="254" spans="1:6">
      <c r="A254" t="s">
        <v>5158</v>
      </c>
      <c r="B254" t="s">
        <v>2310</v>
      </c>
      <c r="C254" t="s">
        <v>1738</v>
      </c>
      <c r="D254" s="691">
        <v>0.23903099999999999</v>
      </c>
      <c r="E254" s="691">
        <v>6.0399499999999995E-2</v>
      </c>
      <c r="F254" s="692">
        <v>0.90596949999999998</v>
      </c>
    </row>
    <row r="255" spans="1:6">
      <c r="A255" t="s">
        <v>5159</v>
      </c>
      <c r="B255" t="s">
        <v>2310</v>
      </c>
      <c r="C255" t="s">
        <v>1739</v>
      </c>
      <c r="D255" s="691">
        <v>0.23903099999999999</v>
      </c>
      <c r="E255" s="691">
        <v>6.0399499999999995E-2</v>
      </c>
      <c r="F255" s="692">
        <v>0.90596949999999998</v>
      </c>
    </row>
    <row r="256" spans="1:6">
      <c r="A256" t="s">
        <v>4213</v>
      </c>
      <c r="B256" t="s">
        <v>4972</v>
      </c>
      <c r="C256" t="s">
        <v>1738</v>
      </c>
      <c r="D256" s="691">
        <v>6.9699999999999998E-2</v>
      </c>
      <c r="E256" s="691">
        <v>0</v>
      </c>
      <c r="F256" s="692">
        <v>1.3242999999999998</v>
      </c>
    </row>
    <row r="257" spans="1:6">
      <c r="A257" t="s">
        <v>2918</v>
      </c>
      <c r="B257" t="s">
        <v>2310</v>
      </c>
      <c r="C257" t="s">
        <v>2313</v>
      </c>
      <c r="D257" s="691">
        <v>0.23903099999999999</v>
      </c>
      <c r="E257" s="691">
        <v>6.0399499999999995E-2</v>
      </c>
      <c r="F257" s="692">
        <v>0.90596949999999998</v>
      </c>
    </row>
    <row r="258" spans="1:6">
      <c r="A258" t="s">
        <v>4214</v>
      </c>
      <c r="B258" t="s">
        <v>2310</v>
      </c>
      <c r="C258" t="s">
        <v>1738</v>
      </c>
      <c r="D258" s="691">
        <v>0.23903099999999999</v>
      </c>
      <c r="E258" s="691">
        <v>6.0399499999999995E-2</v>
      </c>
      <c r="F258" s="692">
        <v>0.90596949999999998</v>
      </c>
    </row>
    <row r="259" spans="1:6">
      <c r="A259" t="s">
        <v>4215</v>
      </c>
      <c r="B259" t="s">
        <v>2310</v>
      </c>
      <c r="C259" t="s">
        <v>1738</v>
      </c>
      <c r="D259" s="691">
        <v>0.23903099999999999</v>
      </c>
      <c r="E259" s="691">
        <v>6.0399499999999995E-2</v>
      </c>
      <c r="F259" s="692">
        <v>0.90596949999999998</v>
      </c>
    </row>
    <row r="260" spans="1:6">
      <c r="A260" t="s">
        <v>4556</v>
      </c>
      <c r="B260" t="s">
        <v>4972</v>
      </c>
      <c r="C260" t="s">
        <v>1738</v>
      </c>
      <c r="D260" s="691">
        <v>6.9699999999999998E-2</v>
      </c>
      <c r="E260" s="691">
        <v>0</v>
      </c>
      <c r="F260" s="692">
        <v>1.3242999999999998</v>
      </c>
    </row>
    <row r="261" spans="1:6">
      <c r="A261" t="s">
        <v>2056</v>
      </c>
      <c r="B261" t="s">
        <v>2310</v>
      </c>
      <c r="C261" t="s">
        <v>2316</v>
      </c>
      <c r="D261" s="691">
        <v>0.23903099999999999</v>
      </c>
      <c r="E261" s="691">
        <v>6.0399499999999995E-2</v>
      </c>
      <c r="F261" s="692">
        <v>0.90596949999999998</v>
      </c>
    </row>
    <row r="262" spans="1:6">
      <c r="A262" t="s">
        <v>527</v>
      </c>
      <c r="B262" t="s">
        <v>2310</v>
      </c>
      <c r="C262" t="s">
        <v>1738</v>
      </c>
      <c r="D262" s="691">
        <v>0.23903099999999999</v>
      </c>
      <c r="E262" s="691">
        <v>6.0399499999999995E-2</v>
      </c>
      <c r="F262" s="692">
        <v>0.90596949999999998</v>
      </c>
    </row>
    <row r="263" spans="1:6">
      <c r="A263" t="s">
        <v>4216</v>
      </c>
      <c r="B263" t="s">
        <v>2310</v>
      </c>
      <c r="C263" t="s">
        <v>1738</v>
      </c>
      <c r="D263" s="691">
        <v>0.23903099999999999</v>
      </c>
      <c r="E263" s="691">
        <v>6.0399499999999995E-2</v>
      </c>
      <c r="F263" s="692">
        <v>0.90596949999999998</v>
      </c>
    </row>
    <row r="264" spans="1:6">
      <c r="A264" t="s">
        <v>4217</v>
      </c>
      <c r="B264" t="s">
        <v>2310</v>
      </c>
      <c r="C264" t="s">
        <v>1738</v>
      </c>
      <c r="D264" s="691">
        <v>0.23903099999999999</v>
      </c>
      <c r="E264" s="691">
        <v>6.0399499999999995E-2</v>
      </c>
      <c r="F264" s="692">
        <v>0.90596949999999998</v>
      </c>
    </row>
    <row r="265" spans="1:6">
      <c r="A265" t="s">
        <v>3665</v>
      </c>
      <c r="B265" t="s">
        <v>2310</v>
      </c>
      <c r="C265" t="s">
        <v>2311</v>
      </c>
      <c r="D265" s="691">
        <v>0.23903099999999999</v>
      </c>
      <c r="E265" s="691">
        <v>6.0399499999999995E-2</v>
      </c>
      <c r="F265" s="692">
        <v>0.90596949999999998</v>
      </c>
    </row>
    <row r="266" spans="1:6">
      <c r="A266" t="s">
        <v>5493</v>
      </c>
      <c r="B266" t="s">
        <v>2310</v>
      </c>
      <c r="C266" t="s">
        <v>1737</v>
      </c>
      <c r="D266" s="691">
        <v>0.23903099999999999</v>
      </c>
      <c r="E266" s="691">
        <v>6.0399499999999995E-2</v>
      </c>
      <c r="F266" s="692">
        <v>0.90596949999999998</v>
      </c>
    </row>
    <row r="267" spans="1:6">
      <c r="A267" t="s">
        <v>5494</v>
      </c>
      <c r="B267" t="s">
        <v>2310</v>
      </c>
      <c r="C267" t="s">
        <v>1738</v>
      </c>
      <c r="D267" s="691">
        <v>0.23903099999999999</v>
      </c>
      <c r="E267" s="691">
        <v>6.0399499999999995E-2</v>
      </c>
      <c r="F267" s="692">
        <v>0.90596949999999998</v>
      </c>
    </row>
    <row r="268" spans="1:6">
      <c r="A268" t="s">
        <v>5495</v>
      </c>
      <c r="B268" t="s">
        <v>2310</v>
      </c>
      <c r="C268" t="s">
        <v>1736</v>
      </c>
      <c r="D268" s="691">
        <v>0.23903099999999999</v>
      </c>
      <c r="E268" s="691">
        <v>6.0399499999999995E-2</v>
      </c>
      <c r="F268" s="692">
        <v>0.90596949999999998</v>
      </c>
    </row>
    <row r="269" spans="1:6">
      <c r="A269" t="s">
        <v>1083</v>
      </c>
      <c r="B269" t="s">
        <v>2310</v>
      </c>
      <c r="C269" t="s">
        <v>1738</v>
      </c>
      <c r="D269" s="691">
        <v>0.23903099999999999</v>
      </c>
      <c r="E269" s="691">
        <v>6.0399499999999995E-2</v>
      </c>
      <c r="F269" s="692">
        <v>0.90596949999999998</v>
      </c>
    </row>
    <row r="270" spans="1:6">
      <c r="A270" t="s">
        <v>4218</v>
      </c>
      <c r="B270" t="s">
        <v>5986</v>
      </c>
      <c r="C270" t="s">
        <v>1737</v>
      </c>
      <c r="D270" s="691">
        <v>0.13818</v>
      </c>
      <c r="E270" s="691">
        <v>1.4804999999999999E-2</v>
      </c>
      <c r="F270" s="692">
        <v>0.83401499999999995</v>
      </c>
    </row>
    <row r="271" spans="1:6">
      <c r="A271" t="s">
        <v>2505</v>
      </c>
      <c r="B271" t="s">
        <v>3791</v>
      </c>
      <c r="C271" t="s">
        <v>3791</v>
      </c>
      <c r="D271" s="691">
        <v>0.312</v>
      </c>
      <c r="E271" s="691">
        <v>0.23399999999999999</v>
      </c>
      <c r="F271" s="692">
        <v>0.75400000000000011</v>
      </c>
    </row>
    <row r="272" spans="1:6">
      <c r="A272" t="s">
        <v>3159</v>
      </c>
      <c r="B272" t="s">
        <v>2310</v>
      </c>
      <c r="C272" t="s">
        <v>1738</v>
      </c>
      <c r="D272" s="691">
        <v>0.23903099999999999</v>
      </c>
      <c r="E272" s="691">
        <v>6.0399499999999995E-2</v>
      </c>
      <c r="F272" s="692">
        <v>0.90596949999999998</v>
      </c>
    </row>
    <row r="273" spans="1:6">
      <c r="A273" t="s">
        <v>4219</v>
      </c>
      <c r="B273" t="s">
        <v>2310</v>
      </c>
      <c r="C273" t="s">
        <v>1738</v>
      </c>
      <c r="D273" s="691">
        <v>0.23903099999999999</v>
      </c>
      <c r="E273" s="691">
        <v>6.0399499999999995E-2</v>
      </c>
      <c r="F273" s="692">
        <v>0.90596949999999998</v>
      </c>
    </row>
    <row r="274" spans="1:6">
      <c r="A274" t="s">
        <v>4339</v>
      </c>
      <c r="B274" t="s">
        <v>2310</v>
      </c>
      <c r="C274" t="s">
        <v>2314</v>
      </c>
      <c r="D274" s="691">
        <v>0.23903099999999999</v>
      </c>
      <c r="E274" s="691">
        <v>6.0399499999999995E-2</v>
      </c>
      <c r="F274" s="692">
        <v>0.90596949999999998</v>
      </c>
    </row>
    <row r="275" spans="1:6">
      <c r="A275" t="s">
        <v>816</v>
      </c>
      <c r="B275" t="s">
        <v>5983</v>
      </c>
      <c r="C275" t="s">
        <v>2322</v>
      </c>
      <c r="D275" s="691">
        <v>0.28458</v>
      </c>
      <c r="E275" s="691">
        <v>3.1620000000000002E-2</v>
      </c>
      <c r="F275" s="692">
        <v>1.2648000000000001</v>
      </c>
    </row>
    <row r="276" spans="1:6">
      <c r="A276" t="s">
        <v>4166</v>
      </c>
      <c r="B276" t="s">
        <v>4166</v>
      </c>
      <c r="C276" t="s">
        <v>1738</v>
      </c>
      <c r="D276" s="691">
        <v>2.4599999999999997E-2</v>
      </c>
      <c r="E276" s="691">
        <v>8.199999999999999E-3</v>
      </c>
      <c r="F276" s="692">
        <v>0.7871999999999999</v>
      </c>
    </row>
    <row r="277" spans="1:6">
      <c r="A277" t="s">
        <v>617</v>
      </c>
      <c r="B277" t="s">
        <v>2310</v>
      </c>
      <c r="C277" t="s">
        <v>1738</v>
      </c>
      <c r="D277" s="691">
        <v>0.23903099999999999</v>
      </c>
      <c r="E277" s="691">
        <v>6.0399499999999995E-2</v>
      </c>
      <c r="F277" s="692">
        <v>0.90596949999999998</v>
      </c>
    </row>
    <row r="278" spans="1:6">
      <c r="A278" t="s">
        <v>4220</v>
      </c>
      <c r="B278" t="s">
        <v>5983</v>
      </c>
      <c r="C278" t="s">
        <v>2322</v>
      </c>
      <c r="D278" s="691">
        <v>0.28458</v>
      </c>
      <c r="E278" s="691">
        <v>3.1620000000000002E-2</v>
      </c>
      <c r="F278" s="692">
        <v>1.2648000000000001</v>
      </c>
    </row>
    <row r="279" spans="1:6">
      <c r="A279" t="s">
        <v>4221</v>
      </c>
      <c r="B279" t="s">
        <v>5983</v>
      </c>
      <c r="C279" t="s">
        <v>2322</v>
      </c>
      <c r="D279" s="691">
        <v>0.28458</v>
      </c>
      <c r="E279" s="691">
        <v>3.1620000000000002E-2</v>
      </c>
      <c r="F279" s="692">
        <v>1.2648000000000001</v>
      </c>
    </row>
    <row r="280" spans="1:6">
      <c r="A280" t="s">
        <v>3473</v>
      </c>
      <c r="B280" t="s">
        <v>4972</v>
      </c>
      <c r="C280" t="s">
        <v>1738</v>
      </c>
      <c r="D280" s="691">
        <v>6.9699999999999998E-2</v>
      </c>
      <c r="E280" s="691">
        <v>0</v>
      </c>
      <c r="F280" s="692">
        <v>1.3242999999999998</v>
      </c>
    </row>
    <row r="281" spans="1:6">
      <c r="A281" t="s">
        <v>4222</v>
      </c>
      <c r="B281" t="s">
        <v>5194</v>
      </c>
      <c r="C281" t="s">
        <v>5194</v>
      </c>
      <c r="D281" s="691">
        <v>3.9949999999999999E-2</v>
      </c>
      <c r="E281" s="691">
        <v>0</v>
      </c>
      <c r="F281" s="692">
        <v>0.75905</v>
      </c>
    </row>
    <row r="282" spans="1:6">
      <c r="A282" t="s">
        <v>1471</v>
      </c>
      <c r="B282" t="s">
        <v>5194</v>
      </c>
      <c r="C282" t="s">
        <v>5194</v>
      </c>
      <c r="D282" s="691">
        <v>3.9949999999999999E-2</v>
      </c>
      <c r="E282" s="691">
        <v>0</v>
      </c>
      <c r="F282" s="692">
        <v>0.75905</v>
      </c>
    </row>
    <row r="283" spans="1:6">
      <c r="A283" t="s">
        <v>4223</v>
      </c>
      <c r="B283" t="s">
        <v>2310</v>
      </c>
      <c r="C283" t="s">
        <v>3790</v>
      </c>
      <c r="D283" s="691">
        <v>0.23903099999999999</v>
      </c>
      <c r="E283" s="691">
        <v>6.0399499999999995E-2</v>
      </c>
      <c r="F283" s="692">
        <v>0.90596949999999998</v>
      </c>
    </row>
    <row r="284" spans="1:6">
      <c r="A284" t="s">
        <v>1046</v>
      </c>
      <c r="B284" t="s">
        <v>2310</v>
      </c>
      <c r="C284" t="s">
        <v>1738</v>
      </c>
      <c r="D284" s="691">
        <v>0.23903099999999999</v>
      </c>
      <c r="E284" s="691">
        <v>6.0399499999999995E-2</v>
      </c>
      <c r="F284" s="692">
        <v>0.90596949999999998</v>
      </c>
    </row>
    <row r="285" spans="1:6">
      <c r="A285" t="s">
        <v>1870</v>
      </c>
      <c r="B285" t="s">
        <v>2310</v>
      </c>
      <c r="C285" t="s">
        <v>1738</v>
      </c>
      <c r="D285" s="691">
        <v>0.23903099999999999</v>
      </c>
      <c r="E285" s="691">
        <v>6.0399499999999995E-2</v>
      </c>
      <c r="F285" s="692">
        <v>0.90596949999999998</v>
      </c>
    </row>
    <row r="286" spans="1:6">
      <c r="A286" t="s">
        <v>4224</v>
      </c>
      <c r="B286" t="s">
        <v>2310</v>
      </c>
      <c r="C286" t="s">
        <v>5195</v>
      </c>
      <c r="D286" s="691">
        <v>0.23903099999999999</v>
      </c>
      <c r="E286" s="691">
        <v>6.0399499999999995E-2</v>
      </c>
      <c r="F286" s="692">
        <v>0.90596949999999998</v>
      </c>
    </row>
    <row r="287" spans="1:6">
      <c r="A287" t="s">
        <v>910</v>
      </c>
      <c r="B287" t="s">
        <v>4959</v>
      </c>
      <c r="C287" t="s">
        <v>1738</v>
      </c>
      <c r="D287" s="691">
        <v>8.6399999999999991E-2</v>
      </c>
      <c r="E287" s="691">
        <v>1.8360000000000001E-2</v>
      </c>
      <c r="F287" s="692">
        <v>0.97524</v>
      </c>
    </row>
    <row r="288" spans="1:6">
      <c r="A288" t="s">
        <v>3666</v>
      </c>
      <c r="B288" t="s">
        <v>2310</v>
      </c>
      <c r="C288" t="s">
        <v>2310</v>
      </c>
      <c r="D288" s="691">
        <v>0.23903099999999999</v>
      </c>
      <c r="E288" s="691">
        <v>6.0399499999999995E-2</v>
      </c>
      <c r="F288" s="692">
        <v>0.90596949999999998</v>
      </c>
    </row>
    <row r="289" spans="1:6">
      <c r="A289" t="s">
        <v>5430</v>
      </c>
      <c r="B289" t="s">
        <v>2310</v>
      </c>
      <c r="C289" t="s">
        <v>1738</v>
      </c>
      <c r="D289" s="691">
        <v>0.23903099999999999</v>
      </c>
      <c r="E289" s="691">
        <v>6.0399499999999995E-2</v>
      </c>
      <c r="F289" s="692">
        <v>0.90596949999999998</v>
      </c>
    </row>
    <row r="290" spans="1:6">
      <c r="A290" t="s">
        <v>4225</v>
      </c>
      <c r="B290" t="s">
        <v>2310</v>
      </c>
      <c r="C290" t="s">
        <v>2314</v>
      </c>
      <c r="D290" s="691">
        <v>0.23903099999999999</v>
      </c>
      <c r="E290" s="691">
        <v>6.0399499999999995E-2</v>
      </c>
      <c r="F290" s="692">
        <v>0.90596949999999998</v>
      </c>
    </row>
    <row r="291" spans="1:6">
      <c r="A291" t="s">
        <v>911</v>
      </c>
      <c r="B291" t="s">
        <v>2310</v>
      </c>
      <c r="C291" t="s">
        <v>1738</v>
      </c>
      <c r="D291" s="691">
        <v>0.23903099999999999</v>
      </c>
      <c r="E291" s="691">
        <v>6.0399499999999995E-2</v>
      </c>
      <c r="F291" s="692">
        <v>0.90596949999999998</v>
      </c>
    </row>
    <row r="292" spans="1:6">
      <c r="A292" t="s">
        <v>1717</v>
      </c>
      <c r="B292" t="s">
        <v>4972</v>
      </c>
      <c r="C292" t="s">
        <v>1738</v>
      </c>
      <c r="D292" s="691">
        <v>6.9699999999999998E-2</v>
      </c>
      <c r="E292" s="691">
        <v>0</v>
      </c>
      <c r="F292" s="692">
        <v>1.3242999999999998</v>
      </c>
    </row>
    <row r="293" spans="1:6">
      <c r="A293" t="s">
        <v>4352</v>
      </c>
      <c r="B293" t="s">
        <v>5194</v>
      </c>
      <c r="C293" t="s">
        <v>5194</v>
      </c>
      <c r="D293" s="691">
        <v>3.9949999999999999E-2</v>
      </c>
      <c r="E293" s="691">
        <v>0</v>
      </c>
      <c r="F293" s="692">
        <v>0.75905</v>
      </c>
    </row>
    <row r="294" spans="1:6">
      <c r="A294" t="s">
        <v>4226</v>
      </c>
      <c r="B294" t="s">
        <v>2310</v>
      </c>
      <c r="C294" t="s">
        <v>1738</v>
      </c>
      <c r="D294" s="691">
        <v>0.23903099999999999</v>
      </c>
      <c r="E294" s="691">
        <v>6.0399499999999995E-2</v>
      </c>
      <c r="F294" s="692">
        <v>0.90596949999999998</v>
      </c>
    </row>
    <row r="295" spans="1:6">
      <c r="A295" t="s">
        <v>1044</v>
      </c>
      <c r="B295" t="s">
        <v>5986</v>
      </c>
      <c r="C295" t="s">
        <v>1737</v>
      </c>
      <c r="D295" s="691">
        <v>0.13818</v>
      </c>
      <c r="E295" s="691">
        <v>1.4804999999999999E-2</v>
      </c>
      <c r="F295" s="692">
        <v>0.83401499999999995</v>
      </c>
    </row>
    <row r="296" spans="1:6">
      <c r="A296" t="s">
        <v>1386</v>
      </c>
      <c r="B296" t="s">
        <v>2310</v>
      </c>
      <c r="C296" t="s">
        <v>1738</v>
      </c>
      <c r="D296" s="691">
        <v>0.23903099999999999</v>
      </c>
      <c r="E296" s="691">
        <v>6.0399499999999995E-2</v>
      </c>
      <c r="F296" s="692">
        <v>0.90596949999999998</v>
      </c>
    </row>
    <row r="297" spans="1:6">
      <c r="A297" t="s">
        <v>1715</v>
      </c>
      <c r="B297" t="s">
        <v>4959</v>
      </c>
      <c r="C297" t="s">
        <v>1738</v>
      </c>
      <c r="D297" s="691">
        <v>8.6399999999999991E-2</v>
      </c>
      <c r="E297" s="691">
        <v>1.8360000000000001E-2</v>
      </c>
      <c r="F297" s="692">
        <v>0.97524</v>
      </c>
    </row>
    <row r="298" spans="1:6">
      <c r="A298" t="s">
        <v>5237</v>
      </c>
      <c r="B298" t="s">
        <v>2310</v>
      </c>
      <c r="C298" t="s">
        <v>1738</v>
      </c>
      <c r="D298" s="691">
        <v>0.23903099999999999</v>
      </c>
      <c r="E298" s="691">
        <v>6.0399499999999995E-2</v>
      </c>
      <c r="F298" s="692">
        <v>0.90596949999999998</v>
      </c>
    </row>
    <row r="299" spans="1:6">
      <c r="A299" t="s">
        <v>3160</v>
      </c>
      <c r="B299" t="s">
        <v>2310</v>
      </c>
      <c r="C299" t="s">
        <v>1736</v>
      </c>
      <c r="D299" s="691">
        <v>0.23903099999999999</v>
      </c>
      <c r="E299" s="691">
        <v>6.0399499999999995E-2</v>
      </c>
      <c r="F299" s="692">
        <v>0.90596949999999998</v>
      </c>
    </row>
    <row r="300" spans="1:6">
      <c r="A300" t="s">
        <v>4495</v>
      </c>
      <c r="B300" t="s">
        <v>5983</v>
      </c>
      <c r="C300" t="s">
        <v>2322</v>
      </c>
      <c r="D300" s="691">
        <v>0.28458</v>
      </c>
      <c r="E300" s="691">
        <v>3.1620000000000002E-2</v>
      </c>
      <c r="F300" s="692">
        <v>1.2648000000000001</v>
      </c>
    </row>
    <row r="301" spans="1:6">
      <c r="A301" t="s">
        <v>4227</v>
      </c>
      <c r="B301" t="s">
        <v>2310</v>
      </c>
      <c r="C301" t="s">
        <v>2315</v>
      </c>
      <c r="D301" s="691">
        <v>0.23903099999999999</v>
      </c>
      <c r="E301" s="691">
        <v>6.0399499999999995E-2</v>
      </c>
      <c r="F301" s="692">
        <v>0.90596949999999998</v>
      </c>
    </row>
    <row r="302" spans="1:6">
      <c r="A302" t="s">
        <v>1052</v>
      </c>
      <c r="B302" t="s">
        <v>2310</v>
      </c>
      <c r="C302" t="s">
        <v>2315</v>
      </c>
      <c r="D302" s="691">
        <v>0.23903099999999999</v>
      </c>
      <c r="E302" s="691">
        <v>6.0399499999999995E-2</v>
      </c>
      <c r="F302" s="692">
        <v>0.90596949999999998</v>
      </c>
    </row>
    <row r="303" spans="1:6">
      <c r="A303" t="s">
        <v>2919</v>
      </c>
      <c r="B303" t="s">
        <v>2310</v>
      </c>
      <c r="C303" t="s">
        <v>2313</v>
      </c>
      <c r="D303" s="691">
        <v>0.23903099999999999</v>
      </c>
      <c r="E303" s="691">
        <v>6.0399499999999995E-2</v>
      </c>
      <c r="F303" s="692">
        <v>0.90596949999999998</v>
      </c>
    </row>
    <row r="304" spans="1:6">
      <c r="A304" t="s">
        <v>4496</v>
      </c>
      <c r="B304" t="s">
        <v>2310</v>
      </c>
      <c r="C304" t="s">
        <v>2316</v>
      </c>
      <c r="D304" s="691">
        <v>0.23903099999999999</v>
      </c>
      <c r="E304" s="691">
        <v>6.0399499999999995E-2</v>
      </c>
      <c r="F304" s="692">
        <v>0.90596949999999998</v>
      </c>
    </row>
    <row r="305" spans="1:6">
      <c r="A305" t="s">
        <v>1577</v>
      </c>
      <c r="B305" t="s">
        <v>2310</v>
      </c>
      <c r="C305" t="s">
        <v>1738</v>
      </c>
      <c r="D305" s="691">
        <v>0.23903099999999999</v>
      </c>
      <c r="E305" s="691">
        <v>6.0399499999999995E-2</v>
      </c>
      <c r="F305" s="692">
        <v>0.90596949999999998</v>
      </c>
    </row>
    <row r="306" spans="1:6">
      <c r="A306" t="s">
        <v>1157</v>
      </c>
      <c r="B306" t="s">
        <v>2310</v>
      </c>
      <c r="C306" t="s">
        <v>1738</v>
      </c>
      <c r="D306" s="691">
        <v>0.23903099999999999</v>
      </c>
      <c r="E306" s="691">
        <v>6.0399499999999995E-2</v>
      </c>
      <c r="F306" s="692">
        <v>0.90596949999999998</v>
      </c>
    </row>
    <row r="307" spans="1:6">
      <c r="A307" t="s">
        <v>4228</v>
      </c>
      <c r="B307" t="s">
        <v>2310</v>
      </c>
      <c r="C307" t="s">
        <v>1738</v>
      </c>
      <c r="D307" s="691">
        <v>0.23903099999999999</v>
      </c>
      <c r="E307" s="691">
        <v>6.0399499999999995E-2</v>
      </c>
      <c r="F307" s="692">
        <v>0.90596949999999998</v>
      </c>
    </row>
    <row r="308" spans="1:6">
      <c r="A308" t="s">
        <v>3706</v>
      </c>
      <c r="B308" t="s">
        <v>5983</v>
      </c>
      <c r="C308" t="s">
        <v>2322</v>
      </c>
      <c r="D308" s="691">
        <v>0.28458</v>
      </c>
      <c r="E308" s="691">
        <v>3.1620000000000002E-2</v>
      </c>
      <c r="F308" s="692">
        <v>1.2648000000000001</v>
      </c>
    </row>
    <row r="309" spans="1:6">
      <c r="A309" t="s">
        <v>4229</v>
      </c>
      <c r="B309" t="s">
        <v>2310</v>
      </c>
      <c r="C309" t="s">
        <v>1738</v>
      </c>
      <c r="D309" s="691">
        <v>0.23903099999999999</v>
      </c>
      <c r="E309" s="691">
        <v>6.0399499999999995E-2</v>
      </c>
      <c r="F309" s="692">
        <v>0.90596949999999998</v>
      </c>
    </row>
    <row r="310" spans="1:6">
      <c r="A310" t="s">
        <v>4607</v>
      </c>
      <c r="B310" t="s">
        <v>2310</v>
      </c>
      <c r="C310" t="s">
        <v>2843</v>
      </c>
      <c r="D310" s="691">
        <v>0.23903099999999999</v>
      </c>
      <c r="E310" s="691">
        <v>6.0399499999999995E-2</v>
      </c>
      <c r="F310" s="692">
        <v>0.90596949999999998</v>
      </c>
    </row>
    <row r="311" spans="1:6">
      <c r="A311" t="s">
        <v>4608</v>
      </c>
      <c r="B311" t="s">
        <v>2310</v>
      </c>
      <c r="C311" t="s">
        <v>2318</v>
      </c>
      <c r="D311" s="691">
        <v>0.23903099999999999</v>
      </c>
      <c r="E311" s="691">
        <v>6.0399499999999995E-2</v>
      </c>
      <c r="F311" s="692">
        <v>0.90596949999999998</v>
      </c>
    </row>
    <row r="312" spans="1:6">
      <c r="A312" t="s">
        <v>2006</v>
      </c>
      <c r="B312" t="s">
        <v>2310</v>
      </c>
      <c r="C312" t="s">
        <v>2316</v>
      </c>
      <c r="D312" s="691">
        <v>0.23903099999999999</v>
      </c>
      <c r="E312" s="691">
        <v>6.0399499999999995E-2</v>
      </c>
      <c r="F312" s="692">
        <v>0.90596949999999998</v>
      </c>
    </row>
    <row r="313" spans="1:6">
      <c r="A313" t="s">
        <v>4230</v>
      </c>
      <c r="B313" t="s">
        <v>2310</v>
      </c>
      <c r="C313" t="s">
        <v>1738</v>
      </c>
      <c r="D313" s="691">
        <v>0.23903099999999999</v>
      </c>
      <c r="E313" s="691">
        <v>6.0399499999999995E-2</v>
      </c>
      <c r="F313" s="692">
        <v>0.90596949999999998</v>
      </c>
    </row>
    <row r="314" spans="1:6">
      <c r="A314" t="s">
        <v>2690</v>
      </c>
      <c r="B314" t="s">
        <v>2310</v>
      </c>
      <c r="C314" t="s">
        <v>1738</v>
      </c>
      <c r="D314" s="691">
        <v>0.23903099999999999</v>
      </c>
      <c r="E314" s="691">
        <v>6.0399499999999995E-2</v>
      </c>
      <c r="F314" s="692">
        <v>0.90596949999999998</v>
      </c>
    </row>
    <row r="315" spans="1:6">
      <c r="A315" t="s">
        <v>4231</v>
      </c>
      <c r="B315" t="s">
        <v>2310</v>
      </c>
      <c r="C315" t="s">
        <v>1736</v>
      </c>
      <c r="D315" s="691">
        <v>0.23903099999999999</v>
      </c>
      <c r="E315" s="691">
        <v>6.0399499999999995E-2</v>
      </c>
      <c r="F315" s="692">
        <v>0.90596949999999998</v>
      </c>
    </row>
    <row r="316" spans="1:6">
      <c r="A316" t="s">
        <v>2691</v>
      </c>
      <c r="B316" t="s">
        <v>2310</v>
      </c>
      <c r="C316" t="s">
        <v>1736</v>
      </c>
      <c r="D316" s="691">
        <v>0.23903099999999999</v>
      </c>
      <c r="E316" s="691">
        <v>6.0399499999999995E-2</v>
      </c>
      <c r="F316" s="692">
        <v>0.90596949999999998</v>
      </c>
    </row>
    <row r="317" spans="1:6">
      <c r="A317" t="s">
        <v>3314</v>
      </c>
      <c r="B317" t="s">
        <v>3791</v>
      </c>
      <c r="C317" t="s">
        <v>3791</v>
      </c>
      <c r="D317" s="691">
        <v>0.312</v>
      </c>
      <c r="E317" s="691">
        <v>0.23399999999999999</v>
      </c>
      <c r="F317" s="692">
        <v>0.75400000000000011</v>
      </c>
    </row>
    <row r="318" spans="1:6">
      <c r="A318" t="s">
        <v>4232</v>
      </c>
      <c r="B318" t="s">
        <v>2310</v>
      </c>
      <c r="C318" t="s">
        <v>1738</v>
      </c>
      <c r="D318" s="691">
        <v>0.23903099999999999</v>
      </c>
      <c r="E318" s="691">
        <v>6.0399499999999995E-2</v>
      </c>
      <c r="F318" s="692">
        <v>0.90596949999999998</v>
      </c>
    </row>
    <row r="319" spans="1:6">
      <c r="A319" t="s">
        <v>5503</v>
      </c>
      <c r="B319" t="s">
        <v>5983</v>
      </c>
      <c r="C319" t="s">
        <v>2322</v>
      </c>
      <c r="D319" s="691">
        <v>0.28458</v>
      </c>
      <c r="E319" s="691">
        <v>3.1620000000000002E-2</v>
      </c>
      <c r="F319" s="692">
        <v>1.2648000000000001</v>
      </c>
    </row>
    <row r="320" spans="1:6">
      <c r="A320" t="s">
        <v>2204</v>
      </c>
      <c r="B320" t="s">
        <v>2310</v>
      </c>
      <c r="C320" t="s">
        <v>2312</v>
      </c>
      <c r="D320" s="691">
        <v>0.23903099999999999</v>
      </c>
      <c r="E320" s="691">
        <v>6.0399499999999995E-2</v>
      </c>
      <c r="F320" s="692">
        <v>0.90596949999999998</v>
      </c>
    </row>
    <row r="321" spans="1:6">
      <c r="A321" t="s">
        <v>4233</v>
      </c>
      <c r="B321" t="s">
        <v>4959</v>
      </c>
      <c r="C321" t="s">
        <v>1738</v>
      </c>
      <c r="D321" s="691">
        <v>8.6399999999999991E-2</v>
      </c>
      <c r="E321" s="691">
        <v>1.8360000000000001E-2</v>
      </c>
      <c r="F321" s="692">
        <v>0.97524</v>
      </c>
    </row>
    <row r="322" spans="1:6">
      <c r="A322" t="s">
        <v>3168</v>
      </c>
      <c r="B322" t="s">
        <v>4959</v>
      </c>
      <c r="C322" t="s">
        <v>1738</v>
      </c>
      <c r="D322" s="691">
        <v>8.6399999999999991E-2</v>
      </c>
      <c r="E322" s="691">
        <v>1.8360000000000001E-2</v>
      </c>
      <c r="F322" s="692">
        <v>0.97524</v>
      </c>
    </row>
    <row r="323" spans="1:6">
      <c r="A323" t="s">
        <v>4234</v>
      </c>
      <c r="B323" t="s">
        <v>2310</v>
      </c>
      <c r="C323" t="s">
        <v>1738</v>
      </c>
      <c r="D323" s="691">
        <v>0.23903099999999999</v>
      </c>
      <c r="E323" s="691">
        <v>6.0399499999999995E-2</v>
      </c>
      <c r="F323" s="692">
        <v>0.90596949999999998</v>
      </c>
    </row>
    <row r="324" spans="1:6">
      <c r="A324" t="s">
        <v>4070</v>
      </c>
      <c r="B324" t="s">
        <v>2310</v>
      </c>
      <c r="C324" t="s">
        <v>1738</v>
      </c>
      <c r="D324" s="691">
        <v>0.23903099999999999</v>
      </c>
      <c r="E324" s="691">
        <v>6.0399499999999995E-2</v>
      </c>
      <c r="F324" s="692">
        <v>0.90596949999999998</v>
      </c>
    </row>
    <row r="325" spans="1:6">
      <c r="A325" t="s">
        <v>4235</v>
      </c>
      <c r="B325" t="s">
        <v>2310</v>
      </c>
      <c r="C325" t="s">
        <v>434</v>
      </c>
      <c r="D325" s="691">
        <v>0.23903099999999999</v>
      </c>
      <c r="E325" s="691">
        <v>6.0399499999999995E-2</v>
      </c>
      <c r="F325" s="692">
        <v>0.90596949999999998</v>
      </c>
    </row>
    <row r="326" spans="1:6">
      <c r="A326" t="s">
        <v>4236</v>
      </c>
      <c r="B326" t="s">
        <v>2310</v>
      </c>
      <c r="C326" t="s">
        <v>1738</v>
      </c>
      <c r="D326" s="691">
        <v>0.23903099999999999</v>
      </c>
      <c r="E326" s="691">
        <v>6.0399499999999995E-2</v>
      </c>
      <c r="F326" s="692">
        <v>0.90596949999999998</v>
      </c>
    </row>
    <row r="327" spans="1:6">
      <c r="A327" t="s">
        <v>3939</v>
      </c>
      <c r="B327" t="s">
        <v>5983</v>
      </c>
      <c r="C327" t="s">
        <v>2322</v>
      </c>
      <c r="D327" s="691">
        <v>0.28458</v>
      </c>
      <c r="E327" s="691">
        <v>3.1620000000000002E-2</v>
      </c>
      <c r="F327" s="692">
        <v>1.2648000000000001</v>
      </c>
    </row>
    <row r="328" spans="1:6">
      <c r="A328" t="s">
        <v>4237</v>
      </c>
      <c r="B328" t="s">
        <v>2310</v>
      </c>
      <c r="C328" t="s">
        <v>2316</v>
      </c>
      <c r="D328" s="691">
        <v>0.23903099999999999</v>
      </c>
      <c r="E328" s="691">
        <v>6.0399499999999995E-2</v>
      </c>
      <c r="F328" s="692">
        <v>0.90596949999999998</v>
      </c>
    </row>
    <row r="329" spans="1:6">
      <c r="A329" t="s">
        <v>3179</v>
      </c>
      <c r="B329" t="s">
        <v>2310</v>
      </c>
      <c r="C329" t="s">
        <v>1738</v>
      </c>
      <c r="D329" s="691">
        <v>0.23903099999999999</v>
      </c>
      <c r="E329" s="691">
        <v>6.0399499999999995E-2</v>
      </c>
      <c r="F329" s="692">
        <v>0.90596949999999998</v>
      </c>
    </row>
    <row r="330" spans="1:6">
      <c r="A330" t="s">
        <v>3161</v>
      </c>
      <c r="B330" t="s">
        <v>2310</v>
      </c>
      <c r="C330" t="s">
        <v>1736</v>
      </c>
      <c r="D330" s="691">
        <v>0.23903099999999999</v>
      </c>
      <c r="E330" s="691">
        <v>6.0399499999999995E-2</v>
      </c>
      <c r="F330" s="692">
        <v>0.90596949999999998</v>
      </c>
    </row>
    <row r="331" spans="1:6">
      <c r="A331" t="s">
        <v>5302</v>
      </c>
      <c r="B331" t="s">
        <v>2310</v>
      </c>
      <c r="C331" t="s">
        <v>1736</v>
      </c>
      <c r="D331" s="691">
        <v>0.23903099999999999</v>
      </c>
      <c r="E331" s="691">
        <v>6.0399499999999995E-2</v>
      </c>
      <c r="F331" s="692">
        <v>0.90596949999999998</v>
      </c>
    </row>
    <row r="332" spans="1:6">
      <c r="A332" t="s">
        <v>332</v>
      </c>
      <c r="B332" t="s">
        <v>2310</v>
      </c>
      <c r="C332" t="s">
        <v>2318</v>
      </c>
      <c r="D332" s="691">
        <v>0.23903099999999999</v>
      </c>
      <c r="E332" s="691">
        <v>6.0399499999999995E-2</v>
      </c>
      <c r="F332" s="692">
        <v>0.90596949999999998</v>
      </c>
    </row>
    <row r="333" spans="1:6">
      <c r="A333" t="s">
        <v>3474</v>
      </c>
      <c r="B333" t="s">
        <v>4959</v>
      </c>
      <c r="C333" t="s">
        <v>1738</v>
      </c>
      <c r="D333" s="691">
        <v>8.6399999999999991E-2</v>
      </c>
      <c r="E333" s="691">
        <v>1.8360000000000001E-2</v>
      </c>
      <c r="F333" s="692">
        <v>0.97524</v>
      </c>
    </row>
    <row r="334" spans="1:6">
      <c r="A334" t="s">
        <v>2553</v>
      </c>
      <c r="B334" t="s">
        <v>2310</v>
      </c>
      <c r="C334" t="s">
        <v>1738</v>
      </c>
      <c r="D334" s="691">
        <v>0.23903099999999999</v>
      </c>
      <c r="E334" s="691">
        <v>6.0399499999999995E-2</v>
      </c>
      <c r="F334" s="692">
        <v>0.90596949999999998</v>
      </c>
    </row>
    <row r="335" spans="1:6">
      <c r="A335" t="s">
        <v>2263</v>
      </c>
      <c r="B335" t="s">
        <v>2310</v>
      </c>
      <c r="C335" t="s">
        <v>1738</v>
      </c>
      <c r="D335" s="691">
        <v>0.23903099999999999</v>
      </c>
      <c r="E335" s="691">
        <v>6.0399499999999995E-2</v>
      </c>
      <c r="F335" s="692">
        <v>0.90596949999999998</v>
      </c>
    </row>
    <row r="336" spans="1:6">
      <c r="A336" t="s">
        <v>196</v>
      </c>
      <c r="B336" t="s">
        <v>2310</v>
      </c>
      <c r="C336" t="s">
        <v>1738</v>
      </c>
      <c r="D336" s="691">
        <v>0.23903099999999999</v>
      </c>
      <c r="E336" s="691">
        <v>6.0399499999999995E-2</v>
      </c>
      <c r="F336" s="692">
        <v>0.90596949999999998</v>
      </c>
    </row>
    <row r="337" spans="1:6">
      <c r="A337" t="s">
        <v>4238</v>
      </c>
      <c r="B337" t="s">
        <v>2310</v>
      </c>
      <c r="C337" t="s">
        <v>1738</v>
      </c>
      <c r="D337" s="691">
        <v>0.23903099999999999</v>
      </c>
      <c r="E337" s="691">
        <v>6.0399499999999995E-2</v>
      </c>
      <c r="F337" s="692">
        <v>0.90596949999999998</v>
      </c>
    </row>
    <row r="338" spans="1:6">
      <c r="A338" t="s">
        <v>3707</v>
      </c>
      <c r="B338" t="s">
        <v>2310</v>
      </c>
      <c r="C338" t="s">
        <v>1738</v>
      </c>
      <c r="D338" s="691">
        <v>0.23903099999999999</v>
      </c>
      <c r="E338" s="691">
        <v>6.0399499999999995E-2</v>
      </c>
      <c r="F338" s="692">
        <v>0.90596949999999998</v>
      </c>
    </row>
    <row r="339" spans="1:6">
      <c r="A339" t="s">
        <v>2932</v>
      </c>
      <c r="B339" t="s">
        <v>2310</v>
      </c>
      <c r="C339" t="s">
        <v>1738</v>
      </c>
      <c r="D339" s="691">
        <v>0.23903099999999999</v>
      </c>
      <c r="E339" s="691">
        <v>6.0399499999999995E-2</v>
      </c>
      <c r="F339" s="692">
        <v>0.90596949999999998</v>
      </c>
    </row>
    <row r="340" spans="1:6">
      <c r="A340" t="s">
        <v>2929</v>
      </c>
      <c r="B340" t="s">
        <v>2310</v>
      </c>
      <c r="C340" t="s">
        <v>2311</v>
      </c>
      <c r="D340" s="691">
        <v>0.23903099999999999</v>
      </c>
      <c r="E340" s="691">
        <v>6.0399499999999995E-2</v>
      </c>
      <c r="F340" s="692">
        <v>0.90596949999999998</v>
      </c>
    </row>
    <row r="341" spans="1:6">
      <c r="A341" t="s">
        <v>3167</v>
      </c>
      <c r="B341" t="s">
        <v>2310</v>
      </c>
      <c r="C341" t="s">
        <v>1738</v>
      </c>
      <c r="D341" s="691">
        <v>0.23903099999999999</v>
      </c>
      <c r="E341" s="691">
        <v>6.0399499999999995E-2</v>
      </c>
      <c r="F341" s="692">
        <v>0.90596949999999998</v>
      </c>
    </row>
    <row r="342" spans="1:6">
      <c r="A342" t="s">
        <v>3708</v>
      </c>
      <c r="B342" t="s">
        <v>2310</v>
      </c>
      <c r="C342" t="s">
        <v>1738</v>
      </c>
      <c r="D342" s="691">
        <v>0.23903099999999999</v>
      </c>
      <c r="E342" s="691">
        <v>6.0399499999999995E-2</v>
      </c>
      <c r="F342" s="692">
        <v>0.90596949999999998</v>
      </c>
    </row>
    <row r="343" spans="1:6">
      <c r="A343" t="s">
        <v>733</v>
      </c>
      <c r="B343" t="s">
        <v>2310</v>
      </c>
      <c r="C343" t="s">
        <v>1738</v>
      </c>
      <c r="D343" s="691">
        <v>0.23903099999999999</v>
      </c>
      <c r="E343" s="691">
        <v>6.0399499999999995E-2</v>
      </c>
      <c r="F343" s="692">
        <v>0.90596949999999998</v>
      </c>
    </row>
    <row r="344" spans="1:6">
      <c r="A344" t="s">
        <v>4770</v>
      </c>
      <c r="B344" t="s">
        <v>2310</v>
      </c>
      <c r="C344" t="s">
        <v>2318</v>
      </c>
      <c r="D344" s="691">
        <v>0.23903099999999999</v>
      </c>
      <c r="E344" s="691">
        <v>6.0399499999999995E-2</v>
      </c>
      <c r="F344" s="692">
        <v>0.90596949999999998</v>
      </c>
    </row>
    <row r="345" spans="1:6">
      <c r="A345" t="s">
        <v>1871</v>
      </c>
      <c r="B345" t="s">
        <v>2323</v>
      </c>
      <c r="C345" t="s">
        <v>2323</v>
      </c>
      <c r="D345" s="691">
        <v>0.312</v>
      </c>
      <c r="E345" s="691">
        <v>0.13</v>
      </c>
      <c r="F345" s="692">
        <v>0.8580000000000001</v>
      </c>
    </row>
    <row r="346" spans="1:6">
      <c r="A346" t="s">
        <v>734</v>
      </c>
      <c r="B346" t="s">
        <v>2310</v>
      </c>
      <c r="C346" t="s">
        <v>1736</v>
      </c>
      <c r="D346" s="691">
        <v>0.23903099999999999</v>
      </c>
      <c r="E346" s="691">
        <v>6.0399499999999995E-2</v>
      </c>
      <c r="F346" s="692">
        <v>0.90596949999999998</v>
      </c>
    </row>
    <row r="347" spans="1:6">
      <c r="A347" t="s">
        <v>4239</v>
      </c>
      <c r="B347" t="s">
        <v>2310</v>
      </c>
      <c r="C347" t="s">
        <v>1736</v>
      </c>
      <c r="D347" s="691">
        <v>0.23903099999999999</v>
      </c>
      <c r="E347" s="691">
        <v>6.0399499999999995E-2</v>
      </c>
      <c r="F347" s="692">
        <v>0.90596949999999998</v>
      </c>
    </row>
    <row r="348" spans="1:6">
      <c r="A348" t="s">
        <v>2043</v>
      </c>
      <c r="B348" t="s">
        <v>2310</v>
      </c>
      <c r="C348" t="s">
        <v>1738</v>
      </c>
      <c r="D348" s="691">
        <v>0.23903099999999999</v>
      </c>
      <c r="E348" s="691">
        <v>6.0399499999999995E-2</v>
      </c>
      <c r="F348" s="692">
        <v>0.90596949999999998</v>
      </c>
    </row>
    <row r="349" spans="1:6">
      <c r="A349" t="s">
        <v>4240</v>
      </c>
      <c r="B349" t="s">
        <v>5986</v>
      </c>
      <c r="C349" t="s">
        <v>1737</v>
      </c>
      <c r="D349" s="691">
        <v>0.13818</v>
      </c>
      <c r="E349" s="691">
        <v>1.4804999999999999E-2</v>
      </c>
      <c r="F349" s="692">
        <v>0.83401499999999995</v>
      </c>
    </row>
    <row r="350" spans="1:6">
      <c r="A350" t="s">
        <v>2931</v>
      </c>
      <c r="B350" t="s">
        <v>2310</v>
      </c>
      <c r="C350" t="s">
        <v>1738</v>
      </c>
      <c r="D350" s="691">
        <v>0.23903099999999999</v>
      </c>
      <c r="E350" s="691">
        <v>6.0399499999999995E-2</v>
      </c>
      <c r="F350" s="692">
        <v>0.90596949999999998</v>
      </c>
    </row>
    <row r="351" spans="1:6">
      <c r="A351" t="s">
        <v>3152</v>
      </c>
      <c r="B351" t="s">
        <v>2310</v>
      </c>
      <c r="C351" t="s">
        <v>1738</v>
      </c>
      <c r="D351" s="691">
        <v>0.23903099999999999</v>
      </c>
      <c r="E351" s="691">
        <v>6.0399499999999995E-2</v>
      </c>
      <c r="F351" s="692">
        <v>0.90596949999999998</v>
      </c>
    </row>
    <row r="352" spans="1:6">
      <c r="A352" t="s">
        <v>1451</v>
      </c>
      <c r="B352" t="s">
        <v>2310</v>
      </c>
      <c r="C352" t="s">
        <v>1738</v>
      </c>
      <c r="D352" s="691">
        <v>0.23903099999999999</v>
      </c>
      <c r="E352" s="691">
        <v>6.0399499999999995E-2</v>
      </c>
      <c r="F352" s="692">
        <v>0.90596949999999998</v>
      </c>
    </row>
    <row r="353" spans="1:6">
      <c r="A353" t="s">
        <v>3709</v>
      </c>
      <c r="B353" t="s">
        <v>5983</v>
      </c>
      <c r="C353" t="s">
        <v>2322</v>
      </c>
      <c r="D353" s="691">
        <v>0.28458</v>
      </c>
      <c r="E353" s="691">
        <v>3.1620000000000002E-2</v>
      </c>
      <c r="F353" s="692">
        <v>1.2648000000000001</v>
      </c>
    </row>
    <row r="354" spans="1:6">
      <c r="A354" t="s">
        <v>4241</v>
      </c>
      <c r="B354" t="s">
        <v>4972</v>
      </c>
      <c r="C354" t="s">
        <v>1738</v>
      </c>
      <c r="D354" s="691">
        <v>6.9699999999999998E-2</v>
      </c>
      <c r="E354" s="691">
        <v>0</v>
      </c>
      <c r="F354" s="692">
        <v>1.3242999999999998</v>
      </c>
    </row>
    <row r="355" spans="1:6">
      <c r="A355" t="s">
        <v>4242</v>
      </c>
      <c r="B355" t="s">
        <v>4972</v>
      </c>
      <c r="C355" t="s">
        <v>1738</v>
      </c>
      <c r="D355" s="691">
        <v>6.9699999999999998E-2</v>
      </c>
      <c r="E355" s="691">
        <v>0</v>
      </c>
      <c r="F355" s="692">
        <v>1.3242999999999998</v>
      </c>
    </row>
    <row r="356" spans="1:6">
      <c r="A356" t="s">
        <v>3520</v>
      </c>
      <c r="B356" t="s">
        <v>5983</v>
      </c>
      <c r="C356" t="s">
        <v>2322</v>
      </c>
      <c r="D356" s="691">
        <v>0.28458</v>
      </c>
      <c r="E356" s="691">
        <v>3.1620000000000002E-2</v>
      </c>
      <c r="F356" s="692">
        <v>1.2648000000000001</v>
      </c>
    </row>
    <row r="357" spans="1:6">
      <c r="A357" t="s">
        <v>4243</v>
      </c>
      <c r="B357" t="s">
        <v>2310</v>
      </c>
      <c r="C357" t="s">
        <v>1738</v>
      </c>
      <c r="D357" s="691">
        <v>0.23903099999999999</v>
      </c>
      <c r="E357" s="691">
        <v>6.0399499999999995E-2</v>
      </c>
      <c r="F357" s="692">
        <v>0.90596949999999998</v>
      </c>
    </row>
    <row r="358" spans="1:6">
      <c r="A358" t="s">
        <v>3313</v>
      </c>
      <c r="B358" t="s">
        <v>2310</v>
      </c>
      <c r="C358" t="s">
        <v>1738</v>
      </c>
      <c r="D358" s="691">
        <v>0.23903099999999999</v>
      </c>
      <c r="E358" s="691">
        <v>6.0399499999999995E-2</v>
      </c>
      <c r="F358" s="692">
        <v>0.90596949999999998</v>
      </c>
    </row>
    <row r="359" spans="1:6">
      <c r="A359" t="s">
        <v>4244</v>
      </c>
      <c r="B359" t="s">
        <v>5984</v>
      </c>
      <c r="C359" t="s">
        <v>3786</v>
      </c>
      <c r="D359" s="691">
        <v>0.71249999999999991</v>
      </c>
      <c r="E359" s="691">
        <v>7.1250000000000008E-2</v>
      </c>
      <c r="F359" s="692">
        <v>0.64124999999999988</v>
      </c>
    </row>
    <row r="360" spans="1:6">
      <c r="A360" t="s">
        <v>3863</v>
      </c>
      <c r="B360" t="s">
        <v>2310</v>
      </c>
      <c r="C360" t="s">
        <v>2317</v>
      </c>
      <c r="D360" s="691">
        <v>0.23903099999999999</v>
      </c>
      <c r="E360" s="691">
        <v>6.0399499999999995E-2</v>
      </c>
      <c r="F360" s="692">
        <v>0.90596949999999998</v>
      </c>
    </row>
    <row r="361" spans="1:6">
      <c r="A361" t="s">
        <v>4245</v>
      </c>
      <c r="B361" t="s">
        <v>2310</v>
      </c>
      <c r="C361" t="s">
        <v>1738</v>
      </c>
      <c r="D361" s="691">
        <v>0.23903099999999999</v>
      </c>
      <c r="E361" s="691">
        <v>6.0399499999999995E-2</v>
      </c>
      <c r="F361" s="692">
        <v>0.90596949999999998</v>
      </c>
    </row>
    <row r="362" spans="1:6">
      <c r="A362" t="s">
        <v>5511</v>
      </c>
      <c r="B362" t="s">
        <v>2310</v>
      </c>
      <c r="C362" t="s">
        <v>2310</v>
      </c>
      <c r="D362" s="691">
        <v>0.23903099999999999</v>
      </c>
      <c r="E362" s="691">
        <v>6.0399499999999995E-2</v>
      </c>
      <c r="F362" s="692">
        <v>0.90596949999999998</v>
      </c>
    </row>
    <row r="363" spans="1:6">
      <c r="A363" t="s">
        <v>4159</v>
      </c>
      <c r="B363" t="s">
        <v>5984</v>
      </c>
      <c r="C363" t="s">
        <v>3786</v>
      </c>
      <c r="D363" s="691">
        <v>0.71249999999999991</v>
      </c>
      <c r="E363" s="691">
        <v>7.1250000000000008E-2</v>
      </c>
      <c r="F363" s="692">
        <v>0.64124999999999988</v>
      </c>
    </row>
    <row r="364" spans="1:6">
      <c r="A364" t="s">
        <v>3406</v>
      </c>
      <c r="B364" t="s">
        <v>2310</v>
      </c>
      <c r="C364" t="s">
        <v>2314</v>
      </c>
      <c r="D364" s="691">
        <v>0.23903099999999999</v>
      </c>
      <c r="E364" s="691">
        <v>6.0399499999999995E-2</v>
      </c>
      <c r="F364" s="692">
        <v>0.90596949999999998</v>
      </c>
    </row>
    <row r="365" spans="1:6">
      <c r="A365" t="s">
        <v>2603</v>
      </c>
      <c r="B365" t="s">
        <v>5983</v>
      </c>
      <c r="C365" t="s">
        <v>2322</v>
      </c>
      <c r="D365" s="691">
        <v>0.28458</v>
      </c>
      <c r="E365" s="691">
        <v>3.1620000000000002E-2</v>
      </c>
      <c r="F365" s="692">
        <v>1.2648000000000001</v>
      </c>
    </row>
    <row r="366" spans="1:6">
      <c r="A366" t="s">
        <v>4163</v>
      </c>
      <c r="B366" t="s">
        <v>2310</v>
      </c>
      <c r="C366" t="s">
        <v>1738</v>
      </c>
      <c r="D366" s="691">
        <v>0.23903099999999999</v>
      </c>
      <c r="E366" s="691">
        <v>6.0399499999999995E-2</v>
      </c>
      <c r="F366" s="692">
        <v>0.90596949999999998</v>
      </c>
    </row>
    <row r="367" spans="1:6">
      <c r="A367" t="s">
        <v>3745</v>
      </c>
      <c r="B367" t="s">
        <v>2310</v>
      </c>
      <c r="C367" t="s">
        <v>1738</v>
      </c>
      <c r="D367" s="691">
        <v>0.23903099999999999</v>
      </c>
      <c r="E367" s="691">
        <v>6.0399499999999995E-2</v>
      </c>
      <c r="F367" s="692">
        <v>0.90596949999999998</v>
      </c>
    </row>
    <row r="368" spans="1:6">
      <c r="A368" t="s">
        <v>4246</v>
      </c>
      <c r="B368" t="s">
        <v>2310</v>
      </c>
      <c r="C368" t="s">
        <v>1738</v>
      </c>
      <c r="D368" s="691">
        <v>0.23903099999999999</v>
      </c>
      <c r="E368" s="691">
        <v>6.0399499999999995E-2</v>
      </c>
      <c r="F368" s="692">
        <v>0.90596949999999998</v>
      </c>
    </row>
    <row r="369" spans="1:6">
      <c r="A369" t="s">
        <v>4247</v>
      </c>
      <c r="B369" t="s">
        <v>2310</v>
      </c>
      <c r="C369" t="s">
        <v>1738</v>
      </c>
      <c r="D369" s="691">
        <v>0.23903099999999999</v>
      </c>
      <c r="E369" s="691">
        <v>6.0399499999999995E-2</v>
      </c>
      <c r="F369" s="692">
        <v>0.90596949999999998</v>
      </c>
    </row>
    <row r="370" spans="1:6">
      <c r="A370" t="s">
        <v>4164</v>
      </c>
      <c r="B370" t="s">
        <v>2310</v>
      </c>
      <c r="C370" t="s">
        <v>1738</v>
      </c>
      <c r="D370" s="691">
        <v>0.23903099999999999</v>
      </c>
      <c r="E370" s="691">
        <v>6.0399499999999995E-2</v>
      </c>
      <c r="F370" s="692">
        <v>0.90596949999999998</v>
      </c>
    </row>
    <row r="371" spans="1:6">
      <c r="A371" t="s">
        <v>4248</v>
      </c>
      <c r="B371" t="s">
        <v>2310</v>
      </c>
      <c r="C371" t="s">
        <v>1738</v>
      </c>
      <c r="D371" s="691">
        <v>0.23903099999999999</v>
      </c>
      <c r="E371" s="691">
        <v>6.0399499999999995E-2</v>
      </c>
      <c r="F371" s="692">
        <v>0.90596949999999998</v>
      </c>
    </row>
    <row r="372" spans="1:6">
      <c r="A372" t="s">
        <v>4249</v>
      </c>
      <c r="B372" t="s">
        <v>4972</v>
      </c>
      <c r="C372" t="s">
        <v>1738</v>
      </c>
      <c r="D372" s="691">
        <v>6.9699999999999998E-2</v>
      </c>
      <c r="E372" s="691">
        <v>0</v>
      </c>
      <c r="F372" s="692">
        <v>1.3242999999999998</v>
      </c>
    </row>
    <row r="373" spans="1:6">
      <c r="A373" t="s">
        <v>5238</v>
      </c>
      <c r="B373" t="s">
        <v>3791</v>
      </c>
      <c r="C373" t="s">
        <v>3791</v>
      </c>
      <c r="D373" s="691">
        <v>0.312</v>
      </c>
      <c r="E373" s="691">
        <v>0.23399999999999999</v>
      </c>
      <c r="F373" s="692">
        <v>0.75400000000000011</v>
      </c>
    </row>
    <row r="374" spans="1:6">
      <c r="A374" t="s">
        <v>4250</v>
      </c>
      <c r="B374" t="s">
        <v>2310</v>
      </c>
      <c r="C374" t="s">
        <v>1738</v>
      </c>
      <c r="D374" s="691">
        <v>0.23903099999999999</v>
      </c>
      <c r="E374" s="691">
        <v>6.0399499999999995E-2</v>
      </c>
      <c r="F374" s="692">
        <v>0.90596949999999998</v>
      </c>
    </row>
    <row r="375" spans="1:6">
      <c r="A375" t="s">
        <v>2692</v>
      </c>
      <c r="B375" t="s">
        <v>2310</v>
      </c>
      <c r="C375" t="s">
        <v>1738</v>
      </c>
      <c r="D375" s="691">
        <v>0.23903099999999999</v>
      </c>
      <c r="E375" s="691">
        <v>6.0399499999999995E-2</v>
      </c>
      <c r="F375" s="692">
        <v>0.90596949999999998</v>
      </c>
    </row>
    <row r="376" spans="1:6">
      <c r="A376" t="s">
        <v>735</v>
      </c>
      <c r="B376" t="s">
        <v>2310</v>
      </c>
      <c r="C376" t="s">
        <v>1738</v>
      </c>
      <c r="D376" s="691">
        <v>0.23903099999999999</v>
      </c>
      <c r="E376" s="691">
        <v>6.0399499999999995E-2</v>
      </c>
      <c r="F376" s="692">
        <v>0.90596949999999998</v>
      </c>
    </row>
    <row r="377" spans="1:6">
      <c r="A377" t="s">
        <v>4251</v>
      </c>
      <c r="B377" t="s">
        <v>2310</v>
      </c>
      <c r="C377" t="s">
        <v>1738</v>
      </c>
      <c r="D377" s="691">
        <v>0.23903099999999999</v>
      </c>
      <c r="E377" s="691">
        <v>6.0399499999999995E-2</v>
      </c>
      <c r="F377" s="692">
        <v>0.90596949999999998</v>
      </c>
    </row>
    <row r="378" spans="1:6">
      <c r="A378" t="s">
        <v>1574</v>
      </c>
      <c r="B378" t="s">
        <v>2310</v>
      </c>
      <c r="C378" t="s">
        <v>2318</v>
      </c>
      <c r="D378" s="691">
        <v>0.23903099999999999</v>
      </c>
      <c r="E378" s="691">
        <v>6.0399499999999995E-2</v>
      </c>
      <c r="F378" s="692">
        <v>0.90596949999999998</v>
      </c>
    </row>
    <row r="379" spans="1:6">
      <c r="A379" t="s">
        <v>5074</v>
      </c>
      <c r="B379" t="s">
        <v>2310</v>
      </c>
      <c r="C379" t="s">
        <v>1738</v>
      </c>
      <c r="D379" s="691">
        <v>0.23903099999999999</v>
      </c>
      <c r="E379" s="691">
        <v>6.0399499999999995E-2</v>
      </c>
      <c r="F379" s="692">
        <v>0.90596949999999998</v>
      </c>
    </row>
    <row r="380" spans="1:6">
      <c r="A380" t="s">
        <v>2920</v>
      </c>
      <c r="B380" t="s">
        <v>2310</v>
      </c>
      <c r="C380" t="s">
        <v>1738</v>
      </c>
      <c r="D380" s="691">
        <v>0.23903099999999999</v>
      </c>
      <c r="E380" s="691">
        <v>6.0399499999999995E-2</v>
      </c>
      <c r="F380" s="692">
        <v>0.90596949999999998</v>
      </c>
    </row>
    <row r="381" spans="1:6">
      <c r="A381" t="s">
        <v>4252</v>
      </c>
      <c r="B381" t="s">
        <v>2310</v>
      </c>
      <c r="C381" t="s">
        <v>1738</v>
      </c>
      <c r="D381" s="691">
        <v>0.23903099999999999</v>
      </c>
      <c r="E381" s="691">
        <v>6.0399499999999995E-2</v>
      </c>
      <c r="F381" s="692">
        <v>0.90596949999999998</v>
      </c>
    </row>
    <row r="382" spans="1:6">
      <c r="A382" t="s">
        <v>713</v>
      </c>
      <c r="B382" t="s">
        <v>2310</v>
      </c>
      <c r="C382" t="s">
        <v>1736</v>
      </c>
      <c r="D382" s="691">
        <v>0.23903099999999999</v>
      </c>
      <c r="E382" s="691">
        <v>6.0399499999999995E-2</v>
      </c>
      <c r="F382" s="692">
        <v>0.90596949999999998</v>
      </c>
    </row>
    <row r="383" spans="1:6">
      <c r="A383" t="s">
        <v>4071</v>
      </c>
      <c r="B383" t="s">
        <v>2310</v>
      </c>
      <c r="C383" t="s">
        <v>2314</v>
      </c>
      <c r="D383" s="691">
        <v>0.23903099999999999</v>
      </c>
      <c r="E383" s="691">
        <v>6.0399499999999995E-2</v>
      </c>
      <c r="F383" s="692">
        <v>0.90596949999999998</v>
      </c>
    </row>
    <row r="384" spans="1:6">
      <c r="A384" t="s">
        <v>4072</v>
      </c>
      <c r="B384" t="s">
        <v>2310</v>
      </c>
      <c r="C384" t="s">
        <v>1736</v>
      </c>
      <c r="D384" s="691">
        <v>0.23903099999999999</v>
      </c>
      <c r="E384" s="691">
        <v>6.0399499999999995E-2</v>
      </c>
      <c r="F384" s="692">
        <v>0.90596949999999998</v>
      </c>
    </row>
    <row r="385" spans="1:6">
      <c r="A385" t="s">
        <v>1053</v>
      </c>
      <c r="B385" t="s">
        <v>2310</v>
      </c>
      <c r="C385" t="s">
        <v>1738</v>
      </c>
      <c r="D385" s="691">
        <v>0.23903099999999999</v>
      </c>
      <c r="E385" s="691">
        <v>6.0399499999999995E-2</v>
      </c>
      <c r="F385" s="692">
        <v>0.90596949999999998</v>
      </c>
    </row>
    <row r="386" spans="1:6">
      <c r="A386" t="s">
        <v>1243</v>
      </c>
      <c r="B386" t="s">
        <v>2323</v>
      </c>
      <c r="C386" t="s">
        <v>2323</v>
      </c>
      <c r="D386" s="691">
        <v>0.312</v>
      </c>
      <c r="E386" s="691">
        <v>0.13</v>
      </c>
      <c r="F386" s="692">
        <v>0.8580000000000001</v>
      </c>
    </row>
    <row r="387" spans="1:6">
      <c r="A387" t="s">
        <v>4073</v>
      </c>
      <c r="B387" t="s">
        <v>2310</v>
      </c>
      <c r="C387" t="s">
        <v>1736</v>
      </c>
      <c r="D387" s="691">
        <v>0.23903099999999999</v>
      </c>
      <c r="E387" s="691">
        <v>6.0399499999999995E-2</v>
      </c>
      <c r="F387" s="692">
        <v>0.90596949999999998</v>
      </c>
    </row>
    <row r="388" spans="1:6">
      <c r="A388" t="s">
        <v>4023</v>
      </c>
      <c r="B388" t="s">
        <v>2310</v>
      </c>
      <c r="C388" t="s">
        <v>2319</v>
      </c>
      <c r="D388" s="691">
        <v>0.23903099999999999</v>
      </c>
      <c r="E388" s="691">
        <v>6.0399499999999995E-2</v>
      </c>
      <c r="F388" s="692">
        <v>0.90596949999999998</v>
      </c>
    </row>
    <row r="389" spans="1:6">
      <c r="A389" t="s">
        <v>3873</v>
      </c>
      <c r="B389" t="s">
        <v>2310</v>
      </c>
      <c r="C389" t="s">
        <v>1740</v>
      </c>
      <c r="D389" s="691">
        <v>0.23903099999999999</v>
      </c>
      <c r="E389" s="691">
        <v>6.0399499999999995E-2</v>
      </c>
      <c r="F389" s="692">
        <v>0.90596949999999998</v>
      </c>
    </row>
    <row r="390" spans="1:6">
      <c r="A390" t="s">
        <v>4253</v>
      </c>
      <c r="B390" t="s">
        <v>2310</v>
      </c>
      <c r="C390" t="s">
        <v>1741</v>
      </c>
      <c r="D390" s="691">
        <v>0.23903099999999999</v>
      </c>
      <c r="E390" s="691">
        <v>6.0399499999999995E-2</v>
      </c>
      <c r="F390" s="692">
        <v>0.90596949999999998</v>
      </c>
    </row>
    <row r="391" spans="1:6">
      <c r="A391" t="s">
        <v>4254</v>
      </c>
      <c r="B391" t="s">
        <v>2310</v>
      </c>
      <c r="C391" t="s">
        <v>1738</v>
      </c>
      <c r="D391" s="691">
        <v>0.23903099999999999</v>
      </c>
      <c r="E391" s="691">
        <v>6.0399499999999995E-2</v>
      </c>
      <c r="F391" s="692">
        <v>0.90596949999999998</v>
      </c>
    </row>
    <row r="392" spans="1:6">
      <c r="A392" t="s">
        <v>3153</v>
      </c>
      <c r="B392" t="s">
        <v>2310</v>
      </c>
      <c r="C392" t="s">
        <v>1738</v>
      </c>
      <c r="D392" s="691">
        <v>0.23903099999999999</v>
      </c>
      <c r="E392" s="691">
        <v>6.0399499999999995E-2</v>
      </c>
      <c r="F392" s="692">
        <v>0.90596949999999998</v>
      </c>
    </row>
    <row r="393" spans="1:6">
      <c r="A393" t="s">
        <v>712</v>
      </c>
      <c r="B393" t="s">
        <v>5984</v>
      </c>
      <c r="C393" t="s">
        <v>3786</v>
      </c>
      <c r="D393" s="691">
        <v>0.71249999999999991</v>
      </c>
      <c r="E393" s="691">
        <v>7.1250000000000008E-2</v>
      </c>
      <c r="F393" s="692">
        <v>0.64124999999999988</v>
      </c>
    </row>
    <row r="394" spans="1:6">
      <c r="A394" t="s">
        <v>4255</v>
      </c>
      <c r="B394" t="s">
        <v>2310</v>
      </c>
      <c r="C394" t="s">
        <v>1738</v>
      </c>
      <c r="D394" s="691">
        <v>0.23903099999999999</v>
      </c>
      <c r="E394" s="691">
        <v>6.0399499999999995E-2</v>
      </c>
      <c r="F394" s="692">
        <v>0.90596949999999998</v>
      </c>
    </row>
    <row r="395" spans="1:6">
      <c r="A395" t="s">
        <v>930</v>
      </c>
      <c r="B395" t="s">
        <v>2310</v>
      </c>
      <c r="C395" t="s">
        <v>1738</v>
      </c>
      <c r="D395" s="691">
        <v>0.23903099999999999</v>
      </c>
      <c r="E395" s="691">
        <v>6.0399499999999995E-2</v>
      </c>
      <c r="F395" s="692">
        <v>0.90596949999999998</v>
      </c>
    </row>
    <row r="396" spans="1:6">
      <c r="A396" t="s">
        <v>4165</v>
      </c>
      <c r="B396" t="s">
        <v>5986</v>
      </c>
      <c r="C396" t="s">
        <v>1737</v>
      </c>
      <c r="D396" s="691">
        <v>0.13818</v>
      </c>
      <c r="E396" s="691">
        <v>1.4804999999999999E-2</v>
      </c>
      <c r="F396" s="692">
        <v>0.83401499999999995</v>
      </c>
    </row>
    <row r="397" spans="1:6">
      <c r="A397" t="s">
        <v>3475</v>
      </c>
      <c r="B397" t="s">
        <v>2310</v>
      </c>
      <c r="C397" t="s">
        <v>1738</v>
      </c>
      <c r="D397" s="691">
        <v>0.23903099999999999</v>
      </c>
      <c r="E397" s="691">
        <v>6.0399499999999995E-2</v>
      </c>
      <c r="F397" s="692">
        <v>0.90596949999999998</v>
      </c>
    </row>
    <row r="398" spans="1:6">
      <c r="A398" t="s">
        <v>2549</v>
      </c>
      <c r="B398" t="s">
        <v>5194</v>
      </c>
      <c r="C398" t="s">
        <v>5194</v>
      </c>
      <c r="D398" s="691">
        <v>3.9949999999999999E-2</v>
      </c>
      <c r="E398" s="691">
        <v>0</v>
      </c>
      <c r="F398" s="692">
        <v>0.75905</v>
      </c>
    </row>
    <row r="399" spans="1:6">
      <c r="A399" t="s">
        <v>4256</v>
      </c>
      <c r="B399" t="s">
        <v>2310</v>
      </c>
      <c r="C399" t="s">
        <v>1738</v>
      </c>
      <c r="D399" s="691">
        <v>0.23903099999999999</v>
      </c>
      <c r="E399" s="691">
        <v>6.0399499999999995E-2</v>
      </c>
      <c r="F399" s="692">
        <v>0.90596949999999998</v>
      </c>
    </row>
    <row r="400" spans="1:6">
      <c r="A400" t="s">
        <v>1127</v>
      </c>
      <c r="B400" t="s">
        <v>2310</v>
      </c>
      <c r="C400" t="s">
        <v>1738</v>
      </c>
      <c r="D400" s="691">
        <v>0.23903099999999999</v>
      </c>
      <c r="E400" s="691">
        <v>6.0399499999999995E-2</v>
      </c>
      <c r="F400" s="692">
        <v>0.90596949999999998</v>
      </c>
    </row>
    <row r="401" spans="1:6">
      <c r="A401" t="s">
        <v>1401</v>
      </c>
      <c r="B401" t="s">
        <v>2310</v>
      </c>
      <c r="C401" t="s">
        <v>1738</v>
      </c>
      <c r="D401" s="691">
        <v>0.23903099999999999</v>
      </c>
      <c r="E401" s="691">
        <v>6.0399499999999995E-2</v>
      </c>
      <c r="F401" s="692">
        <v>0.90596949999999998</v>
      </c>
    </row>
    <row r="402" spans="1:6">
      <c r="A402" t="s">
        <v>4257</v>
      </c>
      <c r="B402" t="s">
        <v>2310</v>
      </c>
      <c r="C402" t="s">
        <v>1738</v>
      </c>
      <c r="D402" s="691">
        <v>0.23903099999999999</v>
      </c>
      <c r="E402" s="691">
        <v>6.0399499999999995E-2</v>
      </c>
      <c r="F402" s="692">
        <v>0.90596949999999998</v>
      </c>
    </row>
    <row r="403" spans="1:6">
      <c r="A403" t="s">
        <v>730</v>
      </c>
      <c r="B403" t="s">
        <v>2310</v>
      </c>
      <c r="C403" t="s">
        <v>2316</v>
      </c>
      <c r="D403" s="691">
        <v>0.23903099999999999</v>
      </c>
      <c r="E403" s="691">
        <v>6.0399499999999995E-2</v>
      </c>
      <c r="F403" s="692">
        <v>0.90596949999999998</v>
      </c>
    </row>
    <row r="404" spans="1:6">
      <c r="A404" t="s">
        <v>4258</v>
      </c>
      <c r="B404" t="s">
        <v>5194</v>
      </c>
      <c r="C404" t="s">
        <v>5194</v>
      </c>
      <c r="D404" s="691">
        <v>3.9949999999999999E-2</v>
      </c>
      <c r="E404" s="691">
        <v>0</v>
      </c>
      <c r="F404" s="692">
        <v>0.75905</v>
      </c>
    </row>
    <row r="405" spans="1:6">
      <c r="A405" t="s">
        <v>4259</v>
      </c>
      <c r="B405" t="s">
        <v>2310</v>
      </c>
      <c r="C405" t="s">
        <v>1736</v>
      </c>
      <c r="D405" s="691">
        <v>0.23903099999999999</v>
      </c>
      <c r="E405" s="691">
        <v>6.0399499999999995E-2</v>
      </c>
      <c r="F405" s="692">
        <v>0.90596949999999998</v>
      </c>
    </row>
    <row r="406" spans="1:6">
      <c r="A406" t="s">
        <v>4260</v>
      </c>
      <c r="B406" t="s">
        <v>2310</v>
      </c>
      <c r="C406" t="s">
        <v>1738</v>
      </c>
      <c r="D406" s="691">
        <v>0.23903099999999999</v>
      </c>
      <c r="E406" s="691">
        <v>6.0399499999999995E-2</v>
      </c>
      <c r="F406" s="692">
        <v>0.90596949999999998</v>
      </c>
    </row>
    <row r="407" spans="1:6">
      <c r="A407" t="s">
        <v>3710</v>
      </c>
      <c r="B407" t="s">
        <v>2310</v>
      </c>
      <c r="C407" t="s">
        <v>1738</v>
      </c>
      <c r="D407" s="691">
        <v>0.23903099999999999</v>
      </c>
      <c r="E407" s="691">
        <v>6.0399499999999995E-2</v>
      </c>
      <c r="F407" s="692">
        <v>0.90596949999999998</v>
      </c>
    </row>
    <row r="408" spans="1:6">
      <c r="A408" t="s">
        <v>5429</v>
      </c>
      <c r="B408" t="s">
        <v>2310</v>
      </c>
      <c r="C408" t="s">
        <v>1738</v>
      </c>
      <c r="D408" s="691">
        <v>0.23903099999999999</v>
      </c>
      <c r="E408" s="691">
        <v>6.0399499999999995E-2</v>
      </c>
      <c r="F408" s="692">
        <v>0.90596949999999998</v>
      </c>
    </row>
    <row r="409" spans="1:6">
      <c r="A409" t="s">
        <v>2930</v>
      </c>
      <c r="B409" t="s">
        <v>2310</v>
      </c>
      <c r="C409" t="s">
        <v>1738</v>
      </c>
      <c r="D409" s="691">
        <v>0.23903099999999999</v>
      </c>
      <c r="E409" s="691">
        <v>6.0399499999999995E-2</v>
      </c>
      <c r="F409" s="692">
        <v>0.90596949999999998</v>
      </c>
    </row>
    <row r="410" spans="1:6">
      <c r="A410" t="s">
        <v>3705</v>
      </c>
      <c r="B410" t="s">
        <v>2310</v>
      </c>
      <c r="C410" t="s">
        <v>1738</v>
      </c>
      <c r="D410" s="691">
        <v>0.23903099999999999</v>
      </c>
      <c r="E410" s="691">
        <v>6.0399499999999995E-2</v>
      </c>
      <c r="F410" s="692">
        <v>0.90596949999999998</v>
      </c>
    </row>
    <row r="411" spans="1:6">
      <c r="A411" t="s">
        <v>3521</v>
      </c>
      <c r="B411" t="s">
        <v>2310</v>
      </c>
      <c r="C411" t="s">
        <v>1738</v>
      </c>
      <c r="D411" s="691">
        <v>0.23903099999999999</v>
      </c>
      <c r="E411" s="691">
        <v>6.0399499999999995E-2</v>
      </c>
      <c r="F411" s="692">
        <v>0.90596949999999998</v>
      </c>
    </row>
    <row r="412" spans="1:6">
      <c r="A412" t="s">
        <v>1575</v>
      </c>
      <c r="B412" t="s">
        <v>2310</v>
      </c>
      <c r="C412" t="s">
        <v>1738</v>
      </c>
      <c r="D412" s="691">
        <v>0.23903099999999999</v>
      </c>
      <c r="E412" s="691">
        <v>6.0399499999999995E-2</v>
      </c>
      <c r="F412" s="692">
        <v>0.90596949999999998</v>
      </c>
    </row>
    <row r="413" spans="1:6">
      <c r="A413" t="s">
        <v>2055</v>
      </c>
      <c r="B413" t="s">
        <v>2310</v>
      </c>
      <c r="C413" t="s">
        <v>1738</v>
      </c>
      <c r="D413" s="691">
        <v>0.23903099999999999</v>
      </c>
      <c r="E413" s="691">
        <v>6.0399499999999995E-2</v>
      </c>
      <c r="F413" s="692">
        <v>0.90596949999999998</v>
      </c>
    </row>
    <row r="414" spans="1:6">
      <c r="A414" t="s">
        <v>3846</v>
      </c>
      <c r="B414" t="s">
        <v>2310</v>
      </c>
      <c r="C414" t="s">
        <v>1738</v>
      </c>
      <c r="D414" s="691">
        <v>0.23903099999999999</v>
      </c>
      <c r="E414" s="691">
        <v>6.0399499999999995E-2</v>
      </c>
      <c r="F414" s="692">
        <v>0.90596949999999998</v>
      </c>
    </row>
    <row r="415" spans="1:6">
      <c r="A415" t="s">
        <v>528</v>
      </c>
      <c r="B415" t="s">
        <v>2310</v>
      </c>
      <c r="C415" t="s">
        <v>1738</v>
      </c>
      <c r="D415" s="691">
        <v>0.23903099999999999</v>
      </c>
      <c r="E415" s="691">
        <v>6.0399499999999995E-2</v>
      </c>
      <c r="F415" s="692">
        <v>0.90596949999999998</v>
      </c>
    </row>
    <row r="416" spans="1:6">
      <c r="A416" t="s">
        <v>3847</v>
      </c>
      <c r="B416" t="s">
        <v>3791</v>
      </c>
      <c r="C416" t="s">
        <v>3791</v>
      </c>
      <c r="D416" s="691">
        <v>0.312</v>
      </c>
      <c r="E416" s="691">
        <v>0.23399999999999999</v>
      </c>
      <c r="F416" s="692">
        <v>0.75400000000000011</v>
      </c>
    </row>
    <row r="417" spans="1:6">
      <c r="A417" t="s">
        <v>3711</v>
      </c>
      <c r="B417" t="s">
        <v>2310</v>
      </c>
      <c r="C417" t="s">
        <v>2310</v>
      </c>
      <c r="D417" s="691">
        <v>0.23903099999999999</v>
      </c>
      <c r="E417" s="691">
        <v>6.0399499999999995E-2</v>
      </c>
      <c r="F417" s="692">
        <v>0.90596949999999998</v>
      </c>
    </row>
    <row r="418" spans="1:6">
      <c r="A418" t="s">
        <v>3315</v>
      </c>
      <c r="B418" t="s">
        <v>2310</v>
      </c>
      <c r="C418" t="s">
        <v>1741</v>
      </c>
      <c r="D418" s="691">
        <v>0.23903099999999999</v>
      </c>
      <c r="E418" s="691">
        <v>6.0399499999999995E-2</v>
      </c>
      <c r="F418" s="692">
        <v>0.90596949999999998</v>
      </c>
    </row>
    <row r="419" spans="1:6">
      <c r="A419" t="s">
        <v>4261</v>
      </c>
      <c r="B419" t="s">
        <v>4959</v>
      </c>
      <c r="C419" t="s">
        <v>1738</v>
      </c>
      <c r="D419" s="691">
        <v>8.6399999999999991E-2</v>
      </c>
      <c r="E419" s="691">
        <v>1.8360000000000001E-2</v>
      </c>
      <c r="F419" s="692">
        <v>0.97524</v>
      </c>
    </row>
    <row r="420" spans="1:6">
      <c r="A420" t="s">
        <v>5026</v>
      </c>
      <c r="B420" t="s">
        <v>2310</v>
      </c>
      <c r="C420" t="s">
        <v>2314</v>
      </c>
      <c r="D420" s="691">
        <v>0.23903099999999999</v>
      </c>
      <c r="E420" s="691">
        <v>6.0399499999999995E-2</v>
      </c>
      <c r="F420" s="692">
        <v>0.90596949999999998</v>
      </c>
    </row>
    <row r="421" spans="1:6">
      <c r="A421" t="s">
        <v>4262</v>
      </c>
      <c r="B421" t="s">
        <v>2310</v>
      </c>
      <c r="C421" t="s">
        <v>2318</v>
      </c>
      <c r="D421" s="691">
        <v>0.23903099999999999</v>
      </c>
      <c r="E421" s="691">
        <v>6.0399499999999995E-2</v>
      </c>
      <c r="F421" s="692">
        <v>0.90596949999999998</v>
      </c>
    </row>
    <row r="422" spans="1:6">
      <c r="A422" t="s">
        <v>2861</v>
      </c>
      <c r="B422" t="s">
        <v>2310</v>
      </c>
      <c r="C422" t="s">
        <v>2843</v>
      </c>
      <c r="D422" s="691">
        <v>0.23903099999999999</v>
      </c>
      <c r="E422" s="691">
        <v>6.0399499999999995E-2</v>
      </c>
      <c r="F422" s="692">
        <v>0.90596949999999998</v>
      </c>
    </row>
    <row r="423" spans="1:6">
      <c r="A423" t="s">
        <v>4263</v>
      </c>
      <c r="B423" t="s">
        <v>5983</v>
      </c>
      <c r="C423" t="s">
        <v>2322</v>
      </c>
      <c r="D423" s="691">
        <v>0.28458</v>
      </c>
      <c r="E423" s="691">
        <v>3.1620000000000002E-2</v>
      </c>
      <c r="F423" s="692">
        <v>1.2648000000000001</v>
      </c>
    </row>
    <row r="424" spans="1:6">
      <c r="A424" t="s">
        <v>3180</v>
      </c>
      <c r="B424" t="s">
        <v>2310</v>
      </c>
      <c r="C424" t="s">
        <v>1738</v>
      </c>
      <c r="D424" s="691">
        <v>0.23903099999999999</v>
      </c>
      <c r="E424" s="691">
        <v>6.0399499999999995E-2</v>
      </c>
      <c r="F424" s="692">
        <v>0.90596949999999998</v>
      </c>
    </row>
    <row r="425" spans="1:6">
      <c r="A425" t="s">
        <v>3365</v>
      </c>
      <c r="B425" t="s">
        <v>2310</v>
      </c>
      <c r="C425" t="s">
        <v>2311</v>
      </c>
      <c r="D425" s="691">
        <v>0.23903099999999999</v>
      </c>
      <c r="E425" s="691">
        <v>6.0399499999999995E-2</v>
      </c>
      <c r="F425" s="692">
        <v>0.90596949999999998</v>
      </c>
    </row>
    <row r="426" spans="1:6">
      <c r="A426" t="s">
        <v>4264</v>
      </c>
      <c r="B426" t="s">
        <v>2310</v>
      </c>
      <c r="C426" t="s">
        <v>1738</v>
      </c>
      <c r="D426" s="691">
        <v>0.23903099999999999</v>
      </c>
      <c r="E426" s="691">
        <v>6.0399499999999995E-2</v>
      </c>
      <c r="F426" s="692">
        <v>0.90596949999999998</v>
      </c>
    </row>
    <row r="427" spans="1:6">
      <c r="A427" t="s">
        <v>1054</v>
      </c>
      <c r="B427" t="s">
        <v>2310</v>
      </c>
      <c r="C427" t="s">
        <v>2312</v>
      </c>
      <c r="D427" s="691">
        <v>0.23903099999999999</v>
      </c>
      <c r="E427" s="691">
        <v>6.0399499999999995E-2</v>
      </c>
      <c r="F427" s="692">
        <v>0.90596949999999998</v>
      </c>
    </row>
    <row r="428" spans="1:6">
      <c r="A428" t="s">
        <v>5990</v>
      </c>
      <c r="B428" t="s">
        <v>2310</v>
      </c>
      <c r="C428" t="s">
        <v>1738</v>
      </c>
      <c r="D428" s="691">
        <v>0.23903099999999999</v>
      </c>
      <c r="E428" s="691">
        <v>6.0399499999999995E-2</v>
      </c>
      <c r="F428" s="692">
        <v>0.90596949999999998</v>
      </c>
    </row>
    <row r="429" spans="1:6">
      <c r="A429" t="s">
        <v>2684</v>
      </c>
      <c r="B429" t="s">
        <v>2310</v>
      </c>
      <c r="C429" t="s">
        <v>1738</v>
      </c>
      <c r="D429" s="691">
        <v>0.23903099999999999</v>
      </c>
      <c r="E429" s="691">
        <v>6.0399499999999995E-2</v>
      </c>
      <c r="F429" s="692">
        <v>0.90596949999999998</v>
      </c>
    </row>
    <row r="430" spans="1:6">
      <c r="A430" t="s">
        <v>5991</v>
      </c>
      <c r="B430" t="s">
        <v>2310</v>
      </c>
      <c r="C430" t="s">
        <v>1738</v>
      </c>
      <c r="D430" s="691">
        <v>0.23903099999999999</v>
      </c>
      <c r="E430" s="691">
        <v>6.0399499999999995E-2</v>
      </c>
      <c r="F430" s="692">
        <v>0.90596949999999998</v>
      </c>
    </row>
    <row r="431" spans="1:6">
      <c r="A431" t="s">
        <v>4265</v>
      </c>
      <c r="B431" t="s">
        <v>2310</v>
      </c>
      <c r="C431" t="s">
        <v>1738</v>
      </c>
      <c r="D431" s="691">
        <v>0.23903099999999999</v>
      </c>
      <c r="E431" s="691">
        <v>6.0399499999999995E-2</v>
      </c>
      <c r="F431" s="692">
        <v>0.90596949999999998</v>
      </c>
    </row>
    <row r="432" spans="1:6">
      <c r="A432" t="s">
        <v>4739</v>
      </c>
      <c r="B432" t="s">
        <v>2310</v>
      </c>
      <c r="C432" t="s">
        <v>1738</v>
      </c>
      <c r="D432" s="691">
        <v>0.23903099999999999</v>
      </c>
      <c r="E432" s="691">
        <v>6.0399499999999995E-2</v>
      </c>
      <c r="F432" s="692">
        <v>0.90596949999999998</v>
      </c>
    </row>
    <row r="433" spans="1:6">
      <c r="A433" t="s">
        <v>1487</v>
      </c>
      <c r="B433" t="s">
        <v>2310</v>
      </c>
      <c r="C433" t="s">
        <v>1738</v>
      </c>
      <c r="D433" s="691">
        <v>0.23903099999999999</v>
      </c>
      <c r="E433" s="691">
        <v>6.0399499999999995E-2</v>
      </c>
      <c r="F433" s="692">
        <v>0.90596949999999998</v>
      </c>
    </row>
    <row r="434" spans="1:6">
      <c r="A434" t="s">
        <v>4266</v>
      </c>
      <c r="B434" t="s">
        <v>2310</v>
      </c>
      <c r="C434" t="s">
        <v>1738</v>
      </c>
      <c r="D434" s="691">
        <v>0.23903099999999999</v>
      </c>
      <c r="E434" s="691">
        <v>6.0399499999999995E-2</v>
      </c>
      <c r="F434" s="692">
        <v>0.90596949999999998</v>
      </c>
    </row>
    <row r="435" spans="1:6">
      <c r="A435" t="s">
        <v>1045</v>
      </c>
      <c r="B435" t="s">
        <v>2310</v>
      </c>
      <c r="C435" t="s">
        <v>1738</v>
      </c>
      <c r="D435" s="691">
        <v>0.23903099999999999</v>
      </c>
      <c r="E435" s="691">
        <v>6.0399499999999995E-2</v>
      </c>
      <c r="F435" s="692">
        <v>0.90596949999999998</v>
      </c>
    </row>
    <row r="436" spans="1:6">
      <c r="A436" t="s">
        <v>3312</v>
      </c>
      <c r="B436" t="s">
        <v>2310</v>
      </c>
      <c r="C436" t="s">
        <v>1738</v>
      </c>
      <c r="D436" s="691">
        <v>0.23903099999999999</v>
      </c>
      <c r="E436" s="691">
        <v>6.0399499999999995E-2</v>
      </c>
      <c r="F436" s="692">
        <v>0.90596949999999998</v>
      </c>
    </row>
    <row r="437" spans="1:6">
      <c r="A437" t="s">
        <v>714</v>
      </c>
      <c r="B437" t="s">
        <v>2310</v>
      </c>
      <c r="C437" t="s">
        <v>1736</v>
      </c>
      <c r="D437" s="691">
        <v>0.23903099999999999</v>
      </c>
      <c r="E437" s="691">
        <v>6.0399499999999995E-2</v>
      </c>
      <c r="F437" s="692">
        <v>0.90596949999999998</v>
      </c>
    </row>
    <row r="438" spans="1:6">
      <c r="A438" t="s">
        <v>4267</v>
      </c>
      <c r="B438" t="s">
        <v>2310</v>
      </c>
      <c r="C438" t="s">
        <v>434</v>
      </c>
      <c r="D438" s="691">
        <v>0.23903099999999999</v>
      </c>
      <c r="E438" s="691">
        <v>6.0399499999999995E-2</v>
      </c>
      <c r="F438" s="692">
        <v>0.90596949999999998</v>
      </c>
    </row>
    <row r="439" spans="1:6">
      <c r="A439" t="s">
        <v>2247</v>
      </c>
      <c r="B439" t="s">
        <v>2310</v>
      </c>
      <c r="C439" t="s">
        <v>1738</v>
      </c>
      <c r="D439" s="691">
        <v>0.23903099999999999</v>
      </c>
      <c r="E439" s="691">
        <v>6.0399499999999995E-2</v>
      </c>
      <c r="F439" s="692">
        <v>0.90596949999999998</v>
      </c>
    </row>
    <row r="440" spans="1:6">
      <c r="A440" t="s">
        <v>4268</v>
      </c>
      <c r="B440" t="s">
        <v>2310</v>
      </c>
      <c r="C440" t="s">
        <v>2319</v>
      </c>
      <c r="D440" s="691">
        <v>0.23903099999999999</v>
      </c>
      <c r="E440" s="691">
        <v>6.0399499999999995E-2</v>
      </c>
      <c r="F440" s="692">
        <v>0.90596949999999998</v>
      </c>
    </row>
    <row r="441" spans="1:6">
      <c r="A441" t="s">
        <v>4269</v>
      </c>
      <c r="B441" t="s">
        <v>4959</v>
      </c>
      <c r="C441" t="s">
        <v>1738</v>
      </c>
      <c r="D441" s="691">
        <v>8.6399999999999991E-2</v>
      </c>
      <c r="E441" s="691">
        <v>1.8360000000000001E-2</v>
      </c>
      <c r="F441" s="692">
        <v>0.97524</v>
      </c>
    </row>
    <row r="442" spans="1:6">
      <c r="A442" t="s">
        <v>3181</v>
      </c>
      <c r="B442" t="s">
        <v>2310</v>
      </c>
      <c r="C442" t="s">
        <v>1738</v>
      </c>
      <c r="D442" s="691">
        <v>0.23903099999999999</v>
      </c>
      <c r="E442" s="691">
        <v>6.0399499999999995E-2</v>
      </c>
      <c r="F442" s="692">
        <v>0.90596949999999998</v>
      </c>
    </row>
    <row r="443" spans="1:6">
      <c r="A443" t="s">
        <v>3366</v>
      </c>
      <c r="B443" t="s">
        <v>2310</v>
      </c>
      <c r="C443" t="s">
        <v>1738</v>
      </c>
      <c r="D443" s="691">
        <v>0.23903099999999999</v>
      </c>
      <c r="E443" s="691">
        <v>6.0399499999999995E-2</v>
      </c>
      <c r="F443" s="692">
        <v>0.90596949999999998</v>
      </c>
    </row>
    <row r="444" spans="1:6">
      <c r="A444" t="s">
        <v>5069</v>
      </c>
      <c r="B444" t="s">
        <v>2310</v>
      </c>
      <c r="C444" t="s">
        <v>1736</v>
      </c>
      <c r="D444" s="691">
        <v>0.23903099999999999</v>
      </c>
      <c r="E444" s="691">
        <v>6.0399499999999995E-2</v>
      </c>
      <c r="F444" s="692">
        <v>0.90596949999999998</v>
      </c>
    </row>
    <row r="445" spans="1:6">
      <c r="A445" t="s">
        <v>4270</v>
      </c>
      <c r="B445" t="s">
        <v>2310</v>
      </c>
      <c r="C445" t="s">
        <v>434</v>
      </c>
      <c r="D445" s="691">
        <v>0.23903099999999999</v>
      </c>
      <c r="E445" s="691">
        <v>6.0399499999999995E-2</v>
      </c>
      <c r="F445" s="692">
        <v>0.90596949999999998</v>
      </c>
    </row>
    <row r="446" spans="1:6">
      <c r="A446" t="s">
        <v>3223</v>
      </c>
      <c r="B446" t="s">
        <v>2310</v>
      </c>
      <c r="C446" t="s">
        <v>1738</v>
      </c>
      <c r="D446" s="691">
        <v>0.23903099999999999</v>
      </c>
      <c r="E446" s="691">
        <v>6.0399499999999995E-2</v>
      </c>
      <c r="F446" s="692">
        <v>0.90596949999999998</v>
      </c>
    </row>
    <row r="447" spans="1:6">
      <c r="A447" t="s">
        <v>4271</v>
      </c>
      <c r="B447" t="s">
        <v>2310</v>
      </c>
      <c r="C447" t="s">
        <v>2314</v>
      </c>
      <c r="D447" s="691">
        <v>0.23903099999999999</v>
      </c>
      <c r="E447" s="691">
        <v>6.0399499999999995E-2</v>
      </c>
      <c r="F447" s="692">
        <v>0.90596949999999998</v>
      </c>
    </row>
    <row r="448" spans="1:6">
      <c r="A448" t="s">
        <v>4272</v>
      </c>
      <c r="B448" t="s">
        <v>2310</v>
      </c>
      <c r="C448" t="s">
        <v>2311</v>
      </c>
      <c r="D448" s="691">
        <v>0.23903099999999999</v>
      </c>
      <c r="E448" s="691">
        <v>6.0399499999999995E-2</v>
      </c>
      <c r="F448" s="692">
        <v>0.90596949999999998</v>
      </c>
    </row>
    <row r="449" spans="1:6">
      <c r="A449" t="s">
        <v>4273</v>
      </c>
      <c r="B449" t="s">
        <v>5986</v>
      </c>
      <c r="C449" t="s">
        <v>2311</v>
      </c>
      <c r="D449" s="691">
        <v>0.13818</v>
      </c>
      <c r="E449" s="691">
        <v>1.4804999999999999E-2</v>
      </c>
      <c r="F449" s="692">
        <v>0.83401499999999995</v>
      </c>
    </row>
    <row r="450" spans="1:6">
      <c r="A450" t="s">
        <v>4274</v>
      </c>
      <c r="B450" t="s">
        <v>2310</v>
      </c>
      <c r="C450" t="s">
        <v>2316</v>
      </c>
      <c r="D450" s="691">
        <v>0.23903099999999999</v>
      </c>
      <c r="E450" s="691">
        <v>6.0399499999999995E-2</v>
      </c>
      <c r="F450" s="692">
        <v>0.90596949999999998</v>
      </c>
    </row>
    <row r="451" spans="1:6">
      <c r="A451" t="s">
        <v>3224</v>
      </c>
      <c r="B451" t="s">
        <v>2310</v>
      </c>
      <c r="C451" t="s">
        <v>1738</v>
      </c>
      <c r="D451" s="691">
        <v>0.23903099999999999</v>
      </c>
      <c r="E451" s="691">
        <v>6.0399499999999995E-2</v>
      </c>
      <c r="F451" s="692">
        <v>0.90596949999999998</v>
      </c>
    </row>
    <row r="452" spans="1:6">
      <c r="A452" t="s">
        <v>4275</v>
      </c>
      <c r="B452" t="s">
        <v>2310</v>
      </c>
      <c r="C452" t="s">
        <v>1738</v>
      </c>
      <c r="D452" s="691">
        <v>0.23903099999999999</v>
      </c>
      <c r="E452" s="691">
        <v>6.0399499999999995E-2</v>
      </c>
      <c r="F452" s="692">
        <v>0.90596949999999998</v>
      </c>
    </row>
    <row r="453" spans="1:6">
      <c r="A453" t="s">
        <v>4276</v>
      </c>
      <c r="B453" t="s">
        <v>4972</v>
      </c>
      <c r="C453" t="s">
        <v>1738</v>
      </c>
      <c r="D453" s="691">
        <v>6.9699999999999998E-2</v>
      </c>
      <c r="E453" s="691">
        <v>0</v>
      </c>
      <c r="F453" s="692">
        <v>1.3242999999999998</v>
      </c>
    </row>
    <row r="454" spans="1:6">
      <c r="A454" t="s">
        <v>1156</v>
      </c>
      <c r="B454" t="s">
        <v>2310</v>
      </c>
      <c r="C454" t="s">
        <v>1738</v>
      </c>
      <c r="D454" s="691">
        <v>0.23903099999999999</v>
      </c>
      <c r="E454" s="691">
        <v>6.0399499999999995E-2</v>
      </c>
      <c r="F454" s="692">
        <v>0.90596949999999998</v>
      </c>
    </row>
    <row r="455" spans="1:6">
      <c r="A455" t="s">
        <v>5456</v>
      </c>
      <c r="B455" t="s">
        <v>4972</v>
      </c>
      <c r="C455" t="s">
        <v>1738</v>
      </c>
      <c r="D455" s="691">
        <v>6.9699999999999998E-2</v>
      </c>
      <c r="E455" s="691">
        <v>0</v>
      </c>
      <c r="F455" s="692">
        <v>1.3242999999999998</v>
      </c>
    </row>
    <row r="456" spans="1:6">
      <c r="A456" t="s">
        <v>4427</v>
      </c>
      <c r="B456" t="s">
        <v>4959</v>
      </c>
      <c r="C456" t="s">
        <v>1738</v>
      </c>
      <c r="D456" s="691">
        <v>8.6399999999999991E-2</v>
      </c>
      <c r="E456" s="691">
        <v>1.8360000000000001E-2</v>
      </c>
      <c r="F456" s="692">
        <v>0.97524</v>
      </c>
    </row>
    <row r="457" spans="1:6">
      <c r="A457" t="s">
        <v>3150</v>
      </c>
      <c r="B457" t="s">
        <v>2310</v>
      </c>
      <c r="C457" t="s">
        <v>2312</v>
      </c>
      <c r="D457" s="691">
        <v>0.23903099999999999</v>
      </c>
      <c r="E457" s="691">
        <v>6.0399499999999995E-2</v>
      </c>
      <c r="F457" s="692">
        <v>0.90596949999999998</v>
      </c>
    </row>
    <row r="458" spans="1:6">
      <c r="A458" t="s">
        <v>5457</v>
      </c>
      <c r="B458" t="s">
        <v>2323</v>
      </c>
      <c r="C458" t="s">
        <v>2323</v>
      </c>
      <c r="D458" s="691">
        <v>0.312</v>
      </c>
      <c r="E458" s="691">
        <v>0.13</v>
      </c>
      <c r="F458" s="692">
        <v>0.8580000000000001</v>
      </c>
    </row>
    <row r="459" spans="1:6">
      <c r="A459" t="s">
        <v>4277</v>
      </c>
      <c r="B459" t="s">
        <v>2310</v>
      </c>
      <c r="C459" t="s">
        <v>1738</v>
      </c>
      <c r="D459" s="691">
        <v>0.23903099999999999</v>
      </c>
      <c r="E459" s="691">
        <v>6.0399499999999995E-2</v>
      </c>
      <c r="F459" s="692">
        <v>0.90596949999999998</v>
      </c>
    </row>
    <row r="460" spans="1:6">
      <c r="A460" t="s">
        <v>1276</v>
      </c>
      <c r="B460" t="s">
        <v>2310</v>
      </c>
      <c r="C460" t="s">
        <v>1738</v>
      </c>
      <c r="D460" s="691">
        <v>0.23903099999999999</v>
      </c>
      <c r="E460" s="691">
        <v>6.0399499999999995E-2</v>
      </c>
      <c r="F460" s="692">
        <v>0.90596949999999998</v>
      </c>
    </row>
    <row r="461" spans="1:6">
      <c r="A461" t="s">
        <v>3155</v>
      </c>
      <c r="B461" t="s">
        <v>2310</v>
      </c>
      <c r="C461" t="s">
        <v>1738</v>
      </c>
      <c r="D461" s="691">
        <v>0.23903099999999999</v>
      </c>
      <c r="E461" s="691">
        <v>6.0399499999999995E-2</v>
      </c>
      <c r="F461" s="692">
        <v>0.90596949999999998</v>
      </c>
    </row>
    <row r="462" spans="1:6">
      <c r="A462" t="s">
        <v>3522</v>
      </c>
      <c r="B462" t="s">
        <v>2310</v>
      </c>
      <c r="C462" t="s">
        <v>1738</v>
      </c>
      <c r="D462" s="691">
        <v>0.23903099999999999</v>
      </c>
      <c r="E462" s="691">
        <v>6.0399499999999995E-2</v>
      </c>
      <c r="F462" s="692">
        <v>0.90596949999999998</v>
      </c>
    </row>
    <row r="463" spans="1:6">
      <c r="A463" t="s">
        <v>5992</v>
      </c>
      <c r="B463" t="s">
        <v>2310</v>
      </c>
      <c r="C463" t="s">
        <v>1740</v>
      </c>
      <c r="D463" s="691">
        <v>0.23903099999999999</v>
      </c>
      <c r="E463" s="691">
        <v>6.0399499999999995E-2</v>
      </c>
      <c r="F463" s="692">
        <v>0.90596949999999998</v>
      </c>
    </row>
    <row r="464" spans="1:6">
      <c r="A464" t="s">
        <v>912</v>
      </c>
      <c r="B464" t="s">
        <v>4959</v>
      </c>
      <c r="C464" t="s">
        <v>1738</v>
      </c>
      <c r="D464" s="691">
        <v>8.6399999999999991E-2</v>
      </c>
      <c r="E464" s="691">
        <v>1.8360000000000001E-2</v>
      </c>
      <c r="F464" s="692">
        <v>0.97524</v>
      </c>
    </row>
    <row r="465" spans="1:6">
      <c r="A465" t="s">
        <v>490</v>
      </c>
      <c r="B465" t="s">
        <v>2310</v>
      </c>
      <c r="C465" t="s">
        <v>1738</v>
      </c>
      <c r="D465" s="691">
        <v>0.23903099999999999</v>
      </c>
      <c r="E465" s="691">
        <v>6.0399499999999995E-2</v>
      </c>
      <c r="F465" s="692">
        <v>0.90596949999999998</v>
      </c>
    </row>
    <row r="466" spans="1:6">
      <c r="A466" t="s">
        <v>1482</v>
      </c>
      <c r="B466" t="s">
        <v>2310</v>
      </c>
      <c r="C466" t="s">
        <v>1736</v>
      </c>
      <c r="D466" s="691">
        <v>0.23903099999999999</v>
      </c>
      <c r="E466" s="691">
        <v>6.0399499999999995E-2</v>
      </c>
      <c r="F466" s="692">
        <v>0.90596949999999998</v>
      </c>
    </row>
    <row r="467" spans="1:6">
      <c r="A467" t="s">
        <v>4278</v>
      </c>
      <c r="B467" t="s">
        <v>2310</v>
      </c>
      <c r="C467" t="s">
        <v>1736</v>
      </c>
      <c r="D467" s="691">
        <v>0.23903099999999999</v>
      </c>
      <c r="E467" s="691">
        <v>6.0399499999999995E-2</v>
      </c>
      <c r="F467" s="692">
        <v>0.90596949999999998</v>
      </c>
    </row>
    <row r="468" spans="1:6">
      <c r="A468" t="s">
        <v>4074</v>
      </c>
      <c r="B468" t="s">
        <v>2310</v>
      </c>
      <c r="C468" t="s">
        <v>1738</v>
      </c>
      <c r="D468" s="691">
        <v>0.23903099999999999</v>
      </c>
      <c r="E468" s="691">
        <v>6.0399499999999995E-2</v>
      </c>
      <c r="F468" s="692">
        <v>0.90596949999999998</v>
      </c>
    </row>
    <row r="469" spans="1:6">
      <c r="A469" t="s">
        <v>5993</v>
      </c>
      <c r="B469" t="s">
        <v>2310</v>
      </c>
      <c r="C469" t="s">
        <v>1738</v>
      </c>
      <c r="D469" s="691">
        <v>0.23903099999999999</v>
      </c>
      <c r="E469" s="691">
        <v>6.0399499999999995E-2</v>
      </c>
      <c r="F469" s="692">
        <v>0.90596949999999998</v>
      </c>
    </row>
    <row r="470" spans="1:6">
      <c r="A470" t="s">
        <v>4279</v>
      </c>
      <c r="B470" t="s">
        <v>2310</v>
      </c>
      <c r="C470" t="s">
        <v>1738</v>
      </c>
      <c r="D470" s="691">
        <v>0.23903099999999999</v>
      </c>
      <c r="E470" s="691">
        <v>6.0399499999999995E-2</v>
      </c>
      <c r="F470" s="692">
        <v>0.90596949999999998</v>
      </c>
    </row>
    <row r="471" spans="1:6">
      <c r="A471" t="s">
        <v>4280</v>
      </c>
      <c r="B471" t="s">
        <v>2310</v>
      </c>
      <c r="C471" t="s">
        <v>1738</v>
      </c>
      <c r="D471" s="691">
        <v>0.23903099999999999</v>
      </c>
      <c r="E471" s="691">
        <v>6.0399499999999995E-2</v>
      </c>
      <c r="F471" s="692">
        <v>0.90596949999999998</v>
      </c>
    </row>
    <row r="472" spans="1:6">
      <c r="A472" t="s">
        <v>4281</v>
      </c>
      <c r="B472" t="s">
        <v>2310</v>
      </c>
      <c r="C472" t="s">
        <v>4282</v>
      </c>
      <c r="D472" s="691">
        <v>0.23903099999999999</v>
      </c>
      <c r="E472" s="691">
        <v>6.0399499999999995E-2</v>
      </c>
      <c r="F472" s="692">
        <v>0.90596949999999998</v>
      </c>
    </row>
    <row r="473" spans="1:6">
      <c r="A473" t="s">
        <v>3225</v>
      </c>
      <c r="B473" t="s">
        <v>4959</v>
      </c>
      <c r="C473" t="s">
        <v>1738</v>
      </c>
      <c r="D473" s="691">
        <v>8.6399999999999991E-2</v>
      </c>
      <c r="E473" s="691">
        <v>1.8360000000000001E-2</v>
      </c>
      <c r="F473" s="692">
        <v>0.97524</v>
      </c>
    </row>
    <row r="474" spans="1:6">
      <c r="A474" t="s">
        <v>931</v>
      </c>
      <c r="B474" t="s">
        <v>2310</v>
      </c>
      <c r="C474" t="s">
        <v>1738</v>
      </c>
      <c r="D474" s="691">
        <v>0.23903099999999999</v>
      </c>
      <c r="E474" s="691">
        <v>6.0399499999999995E-2</v>
      </c>
      <c r="F474" s="692">
        <v>0.90596949999999998</v>
      </c>
    </row>
    <row r="475" spans="1:6">
      <c r="A475" t="s">
        <v>4283</v>
      </c>
      <c r="B475" t="s">
        <v>2310</v>
      </c>
      <c r="C475" t="s">
        <v>1738</v>
      </c>
      <c r="D475" s="691">
        <v>0.23903099999999999</v>
      </c>
      <c r="E475" s="691">
        <v>6.0399499999999995E-2</v>
      </c>
      <c r="F475" s="692">
        <v>0.90596949999999998</v>
      </c>
    </row>
    <row r="476" spans="1:6">
      <c r="A476" t="s">
        <v>1082</v>
      </c>
      <c r="B476" t="s">
        <v>2310</v>
      </c>
      <c r="C476" t="s">
        <v>1738</v>
      </c>
      <c r="D476" s="691">
        <v>0.23903099999999999</v>
      </c>
      <c r="E476" s="691">
        <v>6.0399499999999995E-2</v>
      </c>
      <c r="F476" s="692">
        <v>0.90596949999999998</v>
      </c>
    </row>
    <row r="477" spans="1:6">
      <c r="A477" t="s">
        <v>4721</v>
      </c>
      <c r="B477" t="s">
        <v>2310</v>
      </c>
      <c r="C477" t="s">
        <v>1738</v>
      </c>
      <c r="D477" s="691">
        <v>0.23903099999999999</v>
      </c>
      <c r="E477" s="691">
        <v>6.0399499999999995E-2</v>
      </c>
      <c r="F477" s="692">
        <v>0.90596949999999998</v>
      </c>
    </row>
    <row r="478" spans="1:6">
      <c r="A478" t="s">
        <v>4284</v>
      </c>
      <c r="B478" t="s">
        <v>2310</v>
      </c>
      <c r="C478" t="s">
        <v>1738</v>
      </c>
      <c r="D478" s="691">
        <v>0.23903099999999999</v>
      </c>
      <c r="E478" s="691">
        <v>6.0399499999999995E-2</v>
      </c>
      <c r="F478" s="692">
        <v>0.90596949999999998</v>
      </c>
    </row>
    <row r="479" spans="1:6">
      <c r="A479" t="s">
        <v>3226</v>
      </c>
      <c r="B479" t="s">
        <v>2310</v>
      </c>
      <c r="C479" t="s">
        <v>1738</v>
      </c>
      <c r="D479" s="691">
        <v>0.23903099999999999</v>
      </c>
      <c r="E479" s="691">
        <v>6.0399499999999995E-2</v>
      </c>
      <c r="F479" s="692">
        <v>0.90596949999999998</v>
      </c>
    </row>
    <row r="480" spans="1:6">
      <c r="A480" t="s">
        <v>2543</v>
      </c>
      <c r="B480" t="s">
        <v>5983</v>
      </c>
      <c r="C480" t="s">
        <v>2322</v>
      </c>
      <c r="D480" s="691">
        <v>0.28458</v>
      </c>
      <c r="E480" s="691">
        <v>3.1620000000000002E-2</v>
      </c>
      <c r="F480" s="692">
        <v>1.2648000000000001</v>
      </c>
    </row>
    <row r="481" spans="1:6">
      <c r="A481" t="s">
        <v>2550</v>
      </c>
      <c r="B481" t="s">
        <v>2310</v>
      </c>
      <c r="C481" t="s">
        <v>1738</v>
      </c>
      <c r="D481" s="691">
        <v>0.23903099999999999</v>
      </c>
      <c r="E481" s="691">
        <v>6.0399499999999995E-2</v>
      </c>
      <c r="F481" s="692">
        <v>0.90596949999999998</v>
      </c>
    </row>
    <row r="482" spans="1:6">
      <c r="A482" t="s">
        <v>4285</v>
      </c>
      <c r="B482" t="s">
        <v>5986</v>
      </c>
      <c r="C482" t="s">
        <v>1737</v>
      </c>
      <c r="D482" s="691">
        <v>0.13818</v>
      </c>
      <c r="E482" s="691">
        <v>1.4804999999999999E-2</v>
      </c>
      <c r="F482" s="692">
        <v>0.83401499999999995</v>
      </c>
    </row>
    <row r="483" spans="1:6">
      <c r="A483" t="s">
        <v>4286</v>
      </c>
      <c r="B483" t="s">
        <v>4959</v>
      </c>
      <c r="C483" t="s">
        <v>1738</v>
      </c>
      <c r="D483" s="691">
        <v>8.6399999999999991E-2</v>
      </c>
      <c r="E483" s="691">
        <v>1.8360000000000001E-2</v>
      </c>
      <c r="F483" s="692">
        <v>0.97524</v>
      </c>
    </row>
    <row r="484" spans="1:6">
      <c r="A484" t="s">
        <v>4287</v>
      </c>
      <c r="B484" t="s">
        <v>2310</v>
      </c>
      <c r="C484" t="s">
        <v>1738</v>
      </c>
      <c r="D484" s="691">
        <v>0.23903099999999999</v>
      </c>
      <c r="E484" s="691">
        <v>6.0399499999999995E-2</v>
      </c>
      <c r="F484" s="692">
        <v>0.90596949999999998</v>
      </c>
    </row>
    <row r="485" spans="1:6">
      <c r="A485" t="s">
        <v>4288</v>
      </c>
      <c r="B485" t="s">
        <v>2310</v>
      </c>
      <c r="C485" t="s">
        <v>1738</v>
      </c>
      <c r="D485" s="691">
        <v>0.23903099999999999</v>
      </c>
      <c r="E485" s="691">
        <v>6.0399499999999995E-2</v>
      </c>
      <c r="F485" s="692">
        <v>0.90596949999999998</v>
      </c>
    </row>
    <row r="486" spans="1:6">
      <c r="A486" t="s">
        <v>5071</v>
      </c>
      <c r="B486" t="s">
        <v>2310</v>
      </c>
      <c r="C486" t="s">
        <v>1738</v>
      </c>
      <c r="D486" s="691">
        <v>0.23903099999999999</v>
      </c>
      <c r="E486" s="691">
        <v>6.0399499999999995E-2</v>
      </c>
      <c r="F486" s="692">
        <v>0.90596949999999998</v>
      </c>
    </row>
    <row r="487" spans="1:6">
      <c r="A487" t="s">
        <v>4609</v>
      </c>
      <c r="B487" t="s">
        <v>2310</v>
      </c>
      <c r="C487" t="s">
        <v>2843</v>
      </c>
      <c r="D487" s="691">
        <v>0.23903099999999999</v>
      </c>
      <c r="E487" s="691">
        <v>6.0399499999999995E-2</v>
      </c>
      <c r="F487" s="692">
        <v>0.90596949999999998</v>
      </c>
    </row>
    <row r="488" spans="1:6">
      <c r="A488" t="s">
        <v>2644</v>
      </c>
      <c r="B488" t="s">
        <v>2310</v>
      </c>
      <c r="C488" t="s">
        <v>2318</v>
      </c>
      <c r="D488" s="691">
        <v>0.23903099999999999</v>
      </c>
      <c r="E488" s="691">
        <v>6.0399499999999995E-2</v>
      </c>
      <c r="F488" s="692">
        <v>0.90596949999999998</v>
      </c>
    </row>
    <row r="489" spans="1:6">
      <c r="A489" s="20" t="s">
        <v>5994</v>
      </c>
      <c r="B489" s="20" t="s">
        <v>2310</v>
      </c>
      <c r="C489" s="20" t="s">
        <v>1740</v>
      </c>
      <c r="D489" s="693">
        <v>0.23903099999999999</v>
      </c>
      <c r="E489" s="693">
        <v>6.0399499999999995E-2</v>
      </c>
      <c r="F489" s="694">
        <v>0.90596949999999998</v>
      </c>
    </row>
  </sheetData>
  <conditionalFormatting sqref="D7:F489">
    <cfRule type="cellIs" dxfId="8" priority="10" stopIfTrue="1" operator="equal">
      <formula>0</formula>
    </cfRule>
  </conditionalFormatting>
  <hyperlinks>
    <hyperlink ref="C3" location="aquaculture_yields!A1" tooltip="Go to fish_commodity_efi" display="aquaculture_yields" xr:uid="{00000000-0004-0000-3300-000000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5">
    <tabColor theme="4"/>
  </sheetPr>
  <dimension ref="A1:M307"/>
  <sheetViews>
    <sheetView zoomScaleNormal="100" workbookViewId="0">
      <selection activeCell="A65536" sqref="A65536"/>
    </sheetView>
  </sheetViews>
  <sheetFormatPr defaultColWidth="9.1796875" defaultRowHeight="12.5"/>
  <cols>
    <col min="1" max="1" width="65.26953125" style="253" customWidth="1"/>
    <col min="2" max="2" width="15.7265625" style="253" customWidth="1"/>
    <col min="3" max="3" width="21.1796875" style="253" customWidth="1"/>
    <col min="4" max="4" width="21.26953125" style="253" customWidth="1"/>
    <col min="5" max="5" width="22" style="253" customWidth="1"/>
    <col min="6" max="6" width="21.7265625" style="253" customWidth="1"/>
    <col min="7" max="7" width="14.81640625" style="253" customWidth="1"/>
    <col min="8" max="8" width="12.7265625" style="253" customWidth="1"/>
    <col min="9" max="16384" width="9.1796875" style="253"/>
  </cols>
  <sheetData>
    <row r="1" spans="1:11">
      <c r="A1" s="36"/>
    </row>
    <row r="2" spans="1:11" ht="13">
      <c r="A2" s="36"/>
      <c r="B2" s="266" t="s">
        <v>985</v>
      </c>
      <c r="C2" s="249"/>
    </row>
    <row r="3" spans="1:11" ht="13">
      <c r="A3" s="36"/>
      <c r="B3" s="266" t="s">
        <v>6154</v>
      </c>
      <c r="C3" s="466" t="s">
        <v>1760</v>
      </c>
      <c r="D3" s="466" t="s">
        <v>5249</v>
      </c>
      <c r="E3" s="466" t="s">
        <v>5091</v>
      </c>
    </row>
    <row r="4" spans="1:11">
      <c r="A4" s="36"/>
      <c r="C4" s="249"/>
    </row>
    <row r="5" spans="1:11" ht="13">
      <c r="A5" s="1016" t="s">
        <v>1381</v>
      </c>
      <c r="B5" s="1017" t="s">
        <v>509</v>
      </c>
      <c r="C5" s="1019" t="s">
        <v>5253</v>
      </c>
    </row>
    <row r="6" spans="1:11">
      <c r="A6" s="17" t="s">
        <v>8494</v>
      </c>
      <c r="B6" s="18">
        <v>307.89</v>
      </c>
      <c r="C6" s="829">
        <v>3.8798214285714288</v>
      </c>
      <c r="F6" s="814"/>
      <c r="G6" s="814"/>
      <c r="I6" s="814"/>
      <c r="J6" s="814"/>
      <c r="K6" s="814"/>
    </row>
    <row r="7" spans="1:11">
      <c r="A7" s="14" t="s">
        <v>9157</v>
      </c>
      <c r="B7">
        <v>307.87</v>
      </c>
      <c r="C7" s="830">
        <v>2.13</v>
      </c>
      <c r="F7" s="814"/>
      <c r="G7" s="814"/>
      <c r="I7" s="814"/>
      <c r="J7" s="814"/>
      <c r="K7" s="814"/>
    </row>
    <row r="8" spans="1:11">
      <c r="A8" t="s">
        <v>9155</v>
      </c>
      <c r="B8">
        <v>307.83</v>
      </c>
      <c r="C8" s="830">
        <v>3.88</v>
      </c>
      <c r="F8" s="814"/>
      <c r="G8" s="814"/>
      <c r="I8" s="814"/>
      <c r="J8" s="814"/>
      <c r="K8" s="814"/>
    </row>
    <row r="9" spans="1:11">
      <c r="A9" s="861" t="s">
        <v>8495</v>
      </c>
      <c r="B9">
        <v>307.81</v>
      </c>
      <c r="C9" s="830">
        <v>5.2275</v>
      </c>
      <c r="F9" s="814"/>
      <c r="G9" s="814"/>
      <c r="I9" s="814"/>
      <c r="J9" s="814"/>
      <c r="K9" s="814"/>
    </row>
    <row r="10" spans="1:11">
      <c r="A10" s="861" t="s">
        <v>8384</v>
      </c>
      <c r="B10">
        <v>1605.57</v>
      </c>
      <c r="C10" s="830">
        <v>2.13</v>
      </c>
      <c r="F10" s="814"/>
      <c r="G10" s="814"/>
      <c r="I10" s="814"/>
      <c r="J10" s="814"/>
      <c r="K10" s="814"/>
    </row>
    <row r="11" spans="1:11">
      <c r="A11" s="861" t="s">
        <v>6027</v>
      </c>
      <c r="B11">
        <v>1302.31</v>
      </c>
      <c r="C11" s="831">
        <v>0</v>
      </c>
      <c r="F11" s="814"/>
      <c r="G11" s="814"/>
      <c r="I11" s="814"/>
      <c r="J11" s="814"/>
      <c r="K11" s="814"/>
    </row>
    <row r="12" spans="1:11">
      <c r="A12" s="861" t="s">
        <v>8396</v>
      </c>
      <c r="B12">
        <v>304.75</v>
      </c>
      <c r="C12" s="831">
        <v>1.9677110566448803</v>
      </c>
      <c r="F12" s="814"/>
      <c r="G12" s="814"/>
      <c r="I12" s="814"/>
      <c r="J12" s="814"/>
      <c r="K12" s="814"/>
    </row>
    <row r="13" spans="1:11">
      <c r="A13" s="861" t="s">
        <v>8386</v>
      </c>
      <c r="B13">
        <v>302.55</v>
      </c>
      <c r="C13" s="831">
        <v>1.17</v>
      </c>
      <c r="F13" s="814"/>
      <c r="G13" s="814"/>
      <c r="I13" s="814"/>
      <c r="J13" s="814"/>
      <c r="K13" s="814"/>
    </row>
    <row r="14" spans="1:11">
      <c r="A14" s="861" t="s">
        <v>8460</v>
      </c>
      <c r="B14">
        <v>303.67</v>
      </c>
      <c r="C14" s="831">
        <v>1.81</v>
      </c>
      <c r="F14" s="814"/>
      <c r="G14" s="814"/>
      <c r="I14" s="814"/>
      <c r="J14" s="814"/>
      <c r="K14" s="814"/>
    </row>
    <row r="15" spans="1:11">
      <c r="A15" s="861" t="s">
        <v>8388</v>
      </c>
      <c r="B15">
        <v>304.94</v>
      </c>
      <c r="C15" s="831">
        <v>3.3039999999999998</v>
      </c>
      <c r="F15" s="814"/>
      <c r="G15" s="814"/>
      <c r="I15" s="814"/>
      <c r="J15" s="814"/>
      <c r="K15" s="814"/>
    </row>
    <row r="16" spans="1:11">
      <c r="A16" s="861" t="s">
        <v>6028</v>
      </c>
      <c r="B16">
        <v>302.31</v>
      </c>
      <c r="C16" s="831">
        <v>1.145</v>
      </c>
      <c r="F16" s="814"/>
      <c r="G16" s="814"/>
      <c r="I16" s="814"/>
      <c r="J16" s="814"/>
      <c r="K16" s="814"/>
    </row>
    <row r="17" spans="1:11">
      <c r="A17" s="861" t="s">
        <v>6029</v>
      </c>
      <c r="B17">
        <v>303.41000000000003</v>
      </c>
      <c r="C17" s="831">
        <v>1.25</v>
      </c>
      <c r="F17" s="814"/>
      <c r="G17" s="814"/>
      <c r="I17" s="814"/>
      <c r="J17" s="814"/>
      <c r="K17" s="814"/>
    </row>
    <row r="18" spans="1:11">
      <c r="A18" s="861" t="s">
        <v>8389</v>
      </c>
      <c r="B18">
        <v>302.42</v>
      </c>
      <c r="C18" s="831">
        <v>1.4131136363636361</v>
      </c>
      <c r="F18" s="814"/>
      <c r="G18" s="814"/>
      <c r="I18" s="814"/>
      <c r="J18" s="814"/>
      <c r="K18" s="814"/>
    </row>
    <row r="19" spans="1:11">
      <c r="A19" t="s">
        <v>9124</v>
      </c>
      <c r="B19">
        <v>303.58999999999997</v>
      </c>
      <c r="C19" s="830">
        <v>3.75</v>
      </c>
      <c r="F19" s="814"/>
      <c r="G19" s="814"/>
      <c r="I19" s="814"/>
      <c r="J19" s="814"/>
      <c r="K19" s="814"/>
    </row>
    <row r="20" spans="1:11">
      <c r="A20" s="861" t="s">
        <v>6030</v>
      </c>
      <c r="B20">
        <v>1604.16</v>
      </c>
      <c r="C20" s="831">
        <v>2.2999999999999998</v>
      </c>
      <c r="F20" s="814"/>
      <c r="G20" s="814"/>
      <c r="I20" s="814"/>
      <c r="J20" s="814"/>
      <c r="K20" s="814"/>
    </row>
    <row r="21" spans="1:11">
      <c r="A21" s="861" t="s">
        <v>877</v>
      </c>
      <c r="B21">
        <v>305.63</v>
      </c>
      <c r="C21" s="831">
        <v>1.84</v>
      </c>
      <c r="F21" s="814"/>
      <c r="G21" s="814"/>
      <c r="I21" s="814"/>
      <c r="J21" s="814"/>
      <c r="K21" s="814"/>
    </row>
    <row r="22" spans="1:11">
      <c r="A22" s="861" t="s">
        <v>8390</v>
      </c>
      <c r="B22">
        <v>302.14</v>
      </c>
      <c r="C22" s="831">
        <v>1.4516447368421053</v>
      </c>
      <c r="F22" s="814"/>
      <c r="G22" s="814"/>
      <c r="I22" s="814"/>
      <c r="J22" s="814"/>
      <c r="K22" s="814"/>
    </row>
    <row r="23" spans="1:11">
      <c r="A23" s="861" t="s">
        <v>6031</v>
      </c>
      <c r="B23">
        <v>303.22000000000003</v>
      </c>
      <c r="C23" s="831">
        <v>1.4391666666666667</v>
      </c>
      <c r="F23" s="814"/>
      <c r="G23" s="814"/>
      <c r="I23" s="814"/>
      <c r="J23" s="814"/>
      <c r="K23" s="814"/>
    </row>
    <row r="24" spans="1:11">
      <c r="A24" s="861" t="s">
        <v>3688</v>
      </c>
      <c r="B24">
        <v>302.33999999999997</v>
      </c>
      <c r="C24" s="831">
        <v>1.1839999999999999</v>
      </c>
      <c r="F24" s="814"/>
      <c r="G24" s="814"/>
      <c r="I24" s="814"/>
      <c r="J24" s="814"/>
      <c r="K24" s="814"/>
    </row>
    <row r="25" spans="1:11">
      <c r="A25" s="861" t="s">
        <v>6032</v>
      </c>
      <c r="B25">
        <v>303.44</v>
      </c>
      <c r="C25" s="831">
        <v>1.2330000000000001</v>
      </c>
      <c r="F25" s="814"/>
      <c r="G25" s="814"/>
      <c r="I25" s="814"/>
      <c r="J25" s="814"/>
      <c r="K25" s="814"/>
    </row>
    <row r="26" spans="1:11">
      <c r="A26" s="861" t="s">
        <v>8391</v>
      </c>
      <c r="B26">
        <v>302.56</v>
      </c>
      <c r="C26" s="831">
        <v>1</v>
      </c>
      <c r="F26" s="814"/>
      <c r="G26" s="814"/>
      <c r="I26" s="814"/>
      <c r="J26" s="814"/>
      <c r="K26" s="814"/>
    </row>
    <row r="27" spans="1:11">
      <c r="A27" s="861" t="s">
        <v>8392</v>
      </c>
      <c r="B27">
        <v>303.68</v>
      </c>
      <c r="C27" s="831">
        <v>1</v>
      </c>
      <c r="F27" s="814"/>
      <c r="G27" s="814"/>
      <c r="I27" s="814"/>
      <c r="J27" s="814"/>
      <c r="K27" s="814"/>
    </row>
    <row r="28" spans="1:11">
      <c r="A28" s="861" t="s">
        <v>6033</v>
      </c>
      <c r="B28">
        <v>302.35000000000002</v>
      </c>
      <c r="C28" s="831">
        <v>1.9845833333333331</v>
      </c>
      <c r="F28" s="814"/>
      <c r="G28" s="814"/>
      <c r="I28" s="814"/>
      <c r="J28" s="814"/>
      <c r="K28" s="814"/>
    </row>
    <row r="29" spans="1:11">
      <c r="A29" s="861" t="s">
        <v>6034</v>
      </c>
      <c r="B29">
        <v>303.45</v>
      </c>
      <c r="C29" s="831">
        <v>1.82</v>
      </c>
      <c r="F29" s="814"/>
      <c r="G29" s="814"/>
      <c r="I29" s="814"/>
      <c r="J29" s="814"/>
      <c r="K29" s="814"/>
    </row>
    <row r="30" spans="1:11">
      <c r="A30" s="861" t="s">
        <v>6035</v>
      </c>
      <c r="B30">
        <v>301.94</v>
      </c>
      <c r="C30" s="831">
        <v>1</v>
      </c>
      <c r="F30" s="814"/>
      <c r="G30" s="814"/>
      <c r="I30" s="814"/>
      <c r="J30" s="814"/>
      <c r="K30" s="814"/>
    </row>
    <row r="31" spans="1:11">
      <c r="A31" s="861" t="s">
        <v>8393</v>
      </c>
      <c r="B31">
        <v>302.73</v>
      </c>
      <c r="C31" s="831">
        <v>1.4516447368421053</v>
      </c>
      <c r="F31" s="814"/>
      <c r="G31" s="814"/>
      <c r="I31" s="814"/>
      <c r="J31" s="814"/>
      <c r="K31" s="814"/>
    </row>
    <row r="32" spans="1:11">
      <c r="A32" s="861" t="s">
        <v>8394</v>
      </c>
      <c r="B32">
        <v>303.25</v>
      </c>
      <c r="C32" s="831">
        <v>1.5774431913116123</v>
      </c>
      <c r="F32" s="814"/>
      <c r="G32" s="814"/>
      <c r="I32" s="814"/>
      <c r="J32" s="814"/>
      <c r="K32" s="814"/>
    </row>
    <row r="33" spans="1:11">
      <c r="A33" s="861" t="s">
        <v>6036</v>
      </c>
      <c r="B33">
        <v>301.93</v>
      </c>
      <c r="C33" s="831">
        <v>1</v>
      </c>
      <c r="F33" s="814"/>
      <c r="G33" s="814"/>
      <c r="I33" s="814"/>
      <c r="J33" s="814"/>
      <c r="K33" s="814"/>
    </row>
    <row r="34" spans="1:11">
      <c r="A34" s="861" t="s">
        <v>8382</v>
      </c>
      <c r="B34">
        <v>304.39</v>
      </c>
      <c r="C34" s="831">
        <v>1.9677110566448803</v>
      </c>
      <c r="F34" s="814"/>
      <c r="G34" s="814"/>
      <c r="I34" s="814"/>
      <c r="J34" s="814"/>
      <c r="K34" s="814"/>
    </row>
    <row r="35" spans="1:11">
      <c r="A35" s="861" t="s">
        <v>8397</v>
      </c>
      <c r="B35">
        <v>304.69</v>
      </c>
      <c r="C35" s="831">
        <v>1.9677110566448803</v>
      </c>
      <c r="F35" s="814"/>
      <c r="G35" s="814"/>
      <c r="I35" s="814"/>
      <c r="J35" s="814"/>
      <c r="K35" s="814"/>
    </row>
    <row r="36" spans="1:11">
      <c r="A36" s="861" t="s">
        <v>8406</v>
      </c>
      <c r="B36">
        <v>302.72000000000003</v>
      </c>
      <c r="C36" s="831">
        <v>1.9677110566448803</v>
      </c>
      <c r="F36" s="814"/>
      <c r="G36" s="814"/>
      <c r="I36" s="814"/>
      <c r="J36" s="814"/>
      <c r="K36" s="814"/>
    </row>
    <row r="37" spans="1:11">
      <c r="A37" s="861" t="s">
        <v>8385</v>
      </c>
      <c r="B37">
        <v>304.32</v>
      </c>
      <c r="C37" s="831">
        <v>1.9677110566448803</v>
      </c>
      <c r="F37" s="814"/>
      <c r="G37" s="814"/>
      <c r="I37" s="814"/>
      <c r="J37" s="814"/>
      <c r="K37" s="814"/>
    </row>
    <row r="38" spans="1:11">
      <c r="A38" s="861" t="s">
        <v>8398</v>
      </c>
      <c r="B38">
        <v>304.62</v>
      </c>
      <c r="C38" s="831">
        <v>1.9677110566448803</v>
      </c>
      <c r="F38" s="814"/>
      <c r="G38" s="814"/>
      <c r="I38" s="814"/>
      <c r="J38" s="814"/>
      <c r="K38" s="814"/>
    </row>
    <row r="39" spans="1:11">
      <c r="A39" s="861" t="s">
        <v>8461</v>
      </c>
      <c r="B39">
        <v>303.24</v>
      </c>
      <c r="C39" s="831">
        <v>1.81</v>
      </c>
      <c r="F39" s="814"/>
      <c r="G39" s="814"/>
      <c r="I39" s="814"/>
      <c r="J39" s="814"/>
      <c r="K39" s="814"/>
    </row>
    <row r="40" spans="1:11">
      <c r="A40" s="861" t="s">
        <v>8402</v>
      </c>
      <c r="B40">
        <v>1604.31</v>
      </c>
      <c r="C40" s="831">
        <v>1.528304331630481</v>
      </c>
      <c r="F40" s="814"/>
      <c r="G40" s="814"/>
      <c r="I40" s="814"/>
      <c r="J40" s="814"/>
      <c r="K40" s="814"/>
    </row>
    <row r="41" spans="1:11">
      <c r="A41" s="861" t="s">
        <v>4902</v>
      </c>
      <c r="B41">
        <v>1604.3</v>
      </c>
      <c r="C41" s="831">
        <v>1.528304331630481</v>
      </c>
      <c r="F41" s="814"/>
      <c r="G41" s="814"/>
      <c r="I41" s="814"/>
      <c r="J41" s="814"/>
      <c r="K41" s="814"/>
    </row>
    <row r="42" spans="1:11">
      <c r="A42" s="861" t="s">
        <v>8403</v>
      </c>
      <c r="B42">
        <v>1604.32</v>
      </c>
      <c r="C42" s="831">
        <v>1.528304331630481</v>
      </c>
      <c r="F42" s="814"/>
      <c r="G42" s="814"/>
      <c r="I42" s="814"/>
      <c r="J42" s="814"/>
      <c r="K42" s="814"/>
    </row>
    <row r="43" spans="1:11">
      <c r="A43" s="861" t="s">
        <v>8409</v>
      </c>
      <c r="B43">
        <v>307.79000000000002</v>
      </c>
      <c r="C43" s="831">
        <v>3.8798214285714288</v>
      </c>
      <c r="F43" s="814"/>
      <c r="G43" s="814"/>
      <c r="I43" s="814"/>
      <c r="J43" s="814"/>
      <c r="K43" s="814"/>
    </row>
    <row r="44" spans="1:11">
      <c r="A44" s="861" t="s">
        <v>8410</v>
      </c>
      <c r="B44">
        <v>307.70999999999998</v>
      </c>
      <c r="C44" s="831">
        <v>5.2275</v>
      </c>
      <c r="F44" s="814"/>
      <c r="G44" s="814"/>
      <c r="I44" s="814"/>
      <c r="J44" s="814"/>
      <c r="K44" s="814"/>
    </row>
    <row r="45" spans="1:11">
      <c r="A45" s="861" t="s">
        <v>8477</v>
      </c>
      <c r="B45">
        <v>1605.56</v>
      </c>
      <c r="C45" s="831">
        <v>3.1970000000000001</v>
      </c>
      <c r="F45" s="814"/>
      <c r="G45" s="814"/>
      <c r="I45" s="814"/>
      <c r="J45" s="814"/>
      <c r="K45" s="814"/>
    </row>
    <row r="46" spans="1:11">
      <c r="A46" t="s">
        <v>9153</v>
      </c>
      <c r="B46">
        <v>307.72000000000003</v>
      </c>
      <c r="C46" s="830">
        <v>1</v>
      </c>
      <c r="F46" s="814"/>
      <c r="G46" s="814"/>
      <c r="I46" s="814"/>
      <c r="J46" s="814"/>
      <c r="K46" s="814"/>
    </row>
    <row r="47" spans="1:11">
      <c r="A47" s="861" t="s">
        <v>6037</v>
      </c>
      <c r="B47">
        <v>302.63</v>
      </c>
      <c r="C47" s="831">
        <v>1.5771395348837212</v>
      </c>
      <c r="F47" s="814"/>
      <c r="G47" s="814"/>
      <c r="I47" s="814"/>
      <c r="J47" s="814"/>
      <c r="K47" s="814"/>
    </row>
    <row r="48" spans="1:11">
      <c r="A48" s="861" t="s">
        <v>6038</v>
      </c>
      <c r="B48">
        <v>303.73</v>
      </c>
      <c r="C48" s="831">
        <v>1.7304545454545457</v>
      </c>
      <c r="F48" s="814"/>
      <c r="G48" s="814"/>
      <c r="I48" s="814"/>
      <c r="J48" s="814"/>
      <c r="K48" s="814"/>
    </row>
    <row r="49" spans="1:13">
      <c r="A49" s="861" t="s">
        <v>8407</v>
      </c>
      <c r="B49">
        <v>304.73</v>
      </c>
      <c r="C49" s="831">
        <v>1.7304545454545457</v>
      </c>
      <c r="F49" s="814"/>
      <c r="G49" s="814"/>
      <c r="I49" s="814"/>
      <c r="J49" s="814"/>
      <c r="K49" s="814"/>
    </row>
    <row r="50" spans="1:13">
      <c r="A50" s="861" t="s">
        <v>8408</v>
      </c>
      <c r="B50">
        <v>302.52999999999997</v>
      </c>
      <c r="C50" s="831">
        <v>1.5771395348837212</v>
      </c>
      <c r="F50" s="814"/>
      <c r="G50" s="814"/>
      <c r="I50" s="814"/>
      <c r="J50" s="814"/>
      <c r="K50" s="814"/>
    </row>
    <row r="51" spans="1:13">
      <c r="A51" s="861" t="s">
        <v>8418</v>
      </c>
      <c r="B51">
        <v>302.45999999999998</v>
      </c>
      <c r="C51" s="831">
        <v>1.55</v>
      </c>
      <c r="F51" s="814"/>
      <c r="G51" s="814"/>
      <c r="I51" s="814"/>
      <c r="J51" s="814"/>
      <c r="K51" s="814"/>
    </row>
    <row r="52" spans="1:13">
      <c r="A52" s="14" t="s">
        <v>8462</v>
      </c>
      <c r="B52">
        <v>303.56</v>
      </c>
      <c r="C52" s="831">
        <v>1.81</v>
      </c>
      <c r="F52" s="814"/>
      <c r="G52" s="814"/>
      <c r="I52" s="814"/>
      <c r="J52" s="814"/>
      <c r="K52" s="814"/>
      <c r="L52" s="815"/>
      <c r="M52" s="815"/>
    </row>
    <row r="53" spans="1:13">
      <c r="A53" s="14" t="s">
        <v>8411</v>
      </c>
      <c r="B53">
        <v>302.51</v>
      </c>
      <c r="C53" s="831">
        <v>1.6686153846153844</v>
      </c>
      <c r="F53" s="814"/>
      <c r="G53" s="814"/>
      <c r="I53" s="814"/>
      <c r="J53" s="814"/>
      <c r="K53" s="814"/>
    </row>
    <row r="54" spans="1:13">
      <c r="A54" s="14" t="s">
        <v>6039</v>
      </c>
      <c r="B54">
        <v>305.51</v>
      </c>
      <c r="C54" s="831">
        <v>3.8421428571428571</v>
      </c>
      <c r="F54" s="814"/>
      <c r="G54" s="814"/>
      <c r="I54" s="814"/>
      <c r="J54" s="814"/>
      <c r="K54" s="814"/>
    </row>
    <row r="55" spans="1:13">
      <c r="A55" s="14" t="s">
        <v>6040</v>
      </c>
      <c r="B55">
        <v>302.5</v>
      </c>
      <c r="C55" s="831">
        <v>1.6686153846153844</v>
      </c>
      <c r="F55" s="814"/>
      <c r="G55" s="814"/>
      <c r="I55" s="814"/>
      <c r="J55" s="814"/>
      <c r="K55" s="814"/>
    </row>
    <row r="56" spans="1:13">
      <c r="A56" s="14" t="s">
        <v>6041</v>
      </c>
      <c r="B56">
        <v>303.52</v>
      </c>
      <c r="C56" s="831">
        <v>2.1850000000000001</v>
      </c>
      <c r="F56" s="814"/>
      <c r="G56" s="814"/>
      <c r="I56" s="814"/>
      <c r="J56" s="814"/>
      <c r="K56" s="814"/>
    </row>
    <row r="57" spans="1:13">
      <c r="A57" s="14" t="s">
        <v>6042</v>
      </c>
      <c r="B57">
        <v>305.62</v>
      </c>
      <c r="C57" s="831">
        <v>3.8421428571428571</v>
      </c>
      <c r="F57" s="814"/>
      <c r="G57" s="814"/>
      <c r="I57" s="814"/>
      <c r="J57" s="814"/>
      <c r="K57" s="814"/>
    </row>
    <row r="58" spans="1:13">
      <c r="A58" s="14" t="s">
        <v>8412</v>
      </c>
      <c r="B58">
        <v>304.70999999999998</v>
      </c>
      <c r="C58" s="831">
        <v>1.7304545454545457</v>
      </c>
      <c r="F58" s="814"/>
      <c r="G58" s="814"/>
      <c r="I58" s="814"/>
      <c r="J58" s="814"/>
      <c r="K58" s="814"/>
    </row>
    <row r="59" spans="1:13">
      <c r="A59" s="14" t="s">
        <v>9142</v>
      </c>
      <c r="B59">
        <v>306.35000000000002</v>
      </c>
      <c r="C59" s="830">
        <v>1.8</v>
      </c>
      <c r="F59" s="814"/>
      <c r="G59" s="814"/>
      <c r="I59" s="814"/>
      <c r="J59" s="814"/>
      <c r="K59" s="814"/>
    </row>
    <row r="60" spans="1:13">
      <c r="A60" s="14" t="s">
        <v>8413</v>
      </c>
      <c r="B60">
        <v>306.16000000000003</v>
      </c>
      <c r="C60" s="831">
        <v>1.7983939393939394</v>
      </c>
      <c r="F60" s="814"/>
      <c r="G60" s="814"/>
      <c r="I60" s="814"/>
      <c r="J60" s="814"/>
      <c r="K60" s="814"/>
    </row>
    <row r="61" spans="1:13">
      <c r="A61" s="14" t="s">
        <v>8414</v>
      </c>
      <c r="B61">
        <v>306.26</v>
      </c>
      <c r="C61" s="831">
        <v>1.7983939393939394</v>
      </c>
      <c r="F61" s="814"/>
      <c r="G61" s="814"/>
      <c r="I61" s="814"/>
      <c r="J61" s="814"/>
      <c r="K61" s="814"/>
    </row>
    <row r="62" spans="1:13">
      <c r="A62" s="14" t="s">
        <v>6043</v>
      </c>
      <c r="B62">
        <v>508</v>
      </c>
      <c r="C62" s="831">
        <v>1</v>
      </c>
      <c r="F62" s="814"/>
      <c r="G62" s="814"/>
      <c r="I62" s="814"/>
      <c r="J62" s="814"/>
      <c r="K62" s="814"/>
    </row>
    <row r="63" spans="1:13">
      <c r="A63" s="14" t="s">
        <v>6044</v>
      </c>
      <c r="B63">
        <v>1605.1</v>
      </c>
      <c r="C63" s="831">
        <v>2.5656521739130436</v>
      </c>
      <c r="F63" s="814"/>
      <c r="G63" s="814"/>
      <c r="I63" s="814"/>
      <c r="J63" s="814"/>
      <c r="K63" s="814"/>
    </row>
    <row r="64" spans="1:13">
      <c r="A64" s="14" t="s">
        <v>9144</v>
      </c>
      <c r="B64">
        <v>306.93</v>
      </c>
      <c r="C64" s="830">
        <v>2.57</v>
      </c>
      <c r="F64" s="814"/>
      <c r="G64" s="814"/>
      <c r="I64" s="814"/>
      <c r="J64" s="814"/>
      <c r="K64" s="814"/>
    </row>
    <row r="65" spans="1:13">
      <c r="A65" s="14" t="s">
        <v>9140</v>
      </c>
      <c r="B65">
        <v>306.33</v>
      </c>
      <c r="C65" s="830">
        <v>1</v>
      </c>
      <c r="F65" s="814"/>
      <c r="G65" s="814"/>
      <c r="I65" s="814"/>
      <c r="J65" s="814"/>
      <c r="K65" s="814"/>
    </row>
    <row r="66" spans="1:13">
      <c r="A66" s="14" t="s">
        <v>6045</v>
      </c>
      <c r="B66">
        <v>306.14</v>
      </c>
      <c r="C66" s="831">
        <v>2.5187499999999998</v>
      </c>
      <c r="F66" s="814"/>
      <c r="G66" s="814"/>
      <c r="I66" s="814"/>
      <c r="J66" s="814"/>
      <c r="K66" s="814"/>
    </row>
    <row r="67" spans="1:13">
      <c r="A67" s="14" t="s">
        <v>6046</v>
      </c>
      <c r="B67">
        <v>306.24</v>
      </c>
      <c r="C67" s="831">
        <v>2.5656521739130436</v>
      </c>
      <c r="F67" s="814"/>
      <c r="G67" s="814"/>
      <c r="I67" s="814"/>
      <c r="J67" s="814"/>
      <c r="K67" s="814"/>
    </row>
    <row r="68" spans="1:13">
      <c r="A68" s="14" t="s">
        <v>9147</v>
      </c>
      <c r="B68">
        <v>306.99</v>
      </c>
      <c r="C68" s="830">
        <v>2.2000000000000002</v>
      </c>
      <c r="F68" s="814"/>
      <c r="G68" s="814"/>
      <c r="I68" s="814"/>
      <c r="J68" s="814"/>
      <c r="K68" s="814"/>
    </row>
    <row r="69" spans="1:13">
      <c r="A69" s="14" t="s">
        <v>8415</v>
      </c>
      <c r="B69">
        <v>1605.54</v>
      </c>
      <c r="C69" s="831">
        <v>1.3509545454545455</v>
      </c>
      <c r="F69" s="814"/>
      <c r="G69" s="814"/>
      <c r="I69" s="814"/>
      <c r="J69" s="814"/>
      <c r="K69" s="814"/>
    </row>
    <row r="70" spans="1:13">
      <c r="A70" s="14" t="s">
        <v>9151</v>
      </c>
      <c r="B70">
        <v>307.43</v>
      </c>
      <c r="C70" s="830">
        <v>1.35</v>
      </c>
      <c r="F70" s="814"/>
      <c r="G70" s="814"/>
      <c r="I70" s="814"/>
      <c r="J70" s="814"/>
      <c r="K70" s="814"/>
    </row>
    <row r="71" spans="1:13">
      <c r="A71" s="14" t="s">
        <v>6047</v>
      </c>
      <c r="B71">
        <v>307.42</v>
      </c>
      <c r="C71" s="830">
        <v>1.98</v>
      </c>
      <c r="F71" s="814"/>
      <c r="G71" s="814"/>
      <c r="I71" s="814"/>
      <c r="J71" s="814"/>
      <c r="K71" s="814"/>
      <c r="L71" s="816"/>
      <c r="M71" s="816"/>
    </row>
    <row r="72" spans="1:13">
      <c r="A72" s="14" t="s">
        <v>6047</v>
      </c>
      <c r="B72">
        <v>307.41000000000003</v>
      </c>
      <c r="C72" s="831">
        <v>1.9824390243902437</v>
      </c>
      <c r="F72" s="814"/>
      <c r="G72" s="814"/>
      <c r="I72" s="814"/>
      <c r="J72" s="814"/>
      <c r="K72" s="814"/>
    </row>
    <row r="73" spans="1:13">
      <c r="A73" s="14" t="s">
        <v>6048</v>
      </c>
      <c r="B73">
        <v>307.49</v>
      </c>
      <c r="C73" s="831">
        <v>1.3509545454545455</v>
      </c>
      <c r="F73" s="814"/>
      <c r="G73" s="814"/>
      <c r="I73" s="814"/>
      <c r="J73" s="814"/>
      <c r="K73" s="814"/>
    </row>
    <row r="74" spans="1:13">
      <c r="A74" s="14" t="s">
        <v>9128</v>
      </c>
      <c r="B74">
        <v>304.47000000000003</v>
      </c>
      <c r="C74" s="830">
        <v>1.42</v>
      </c>
      <c r="F74" s="814"/>
      <c r="G74" s="814"/>
      <c r="I74" s="814"/>
      <c r="J74" s="814"/>
      <c r="K74" s="814"/>
    </row>
    <row r="75" spans="1:13">
      <c r="A75" s="14" t="s">
        <v>9133</v>
      </c>
      <c r="B75">
        <v>304.95999999999998</v>
      </c>
      <c r="C75" s="830">
        <v>1.62</v>
      </c>
      <c r="F75" s="814"/>
      <c r="G75" s="814"/>
      <c r="I75" s="814"/>
      <c r="J75" s="814"/>
      <c r="K75" s="814"/>
    </row>
    <row r="76" spans="1:13">
      <c r="A76" s="14" t="s">
        <v>9130</v>
      </c>
      <c r="B76">
        <v>304.56</v>
      </c>
      <c r="C76" s="830">
        <v>1.42</v>
      </c>
      <c r="F76" s="814"/>
      <c r="G76" s="814"/>
      <c r="I76" s="814"/>
      <c r="J76" s="814"/>
      <c r="K76" s="814"/>
    </row>
    <row r="77" spans="1:13">
      <c r="A77" s="14" t="s">
        <v>8416</v>
      </c>
      <c r="B77">
        <v>302.81</v>
      </c>
      <c r="C77" s="831">
        <v>1.4199367088607597</v>
      </c>
      <c r="F77" s="814"/>
      <c r="G77" s="814"/>
      <c r="I77" s="814"/>
      <c r="J77" s="814"/>
      <c r="K77" s="814"/>
    </row>
    <row r="78" spans="1:13">
      <c r="A78" s="14" t="s">
        <v>6049</v>
      </c>
      <c r="B78">
        <v>302.64999999999998</v>
      </c>
      <c r="C78" s="831">
        <v>1.4199367088607597</v>
      </c>
      <c r="F78" s="814"/>
      <c r="G78" s="814"/>
      <c r="I78" s="814"/>
      <c r="J78" s="814"/>
      <c r="K78" s="814"/>
    </row>
    <row r="79" spans="1:13">
      <c r="A79" s="14" t="s">
        <v>6050</v>
      </c>
      <c r="B79">
        <v>303.75</v>
      </c>
      <c r="C79" s="831">
        <v>1.6214864864864857</v>
      </c>
      <c r="F79" s="814"/>
      <c r="G79" s="814"/>
      <c r="I79" s="814"/>
      <c r="J79" s="814"/>
      <c r="K79" s="814"/>
      <c r="L79" s="817"/>
      <c r="M79" s="817"/>
    </row>
    <row r="80" spans="1:13">
      <c r="A80" s="14" t="s">
        <v>9132</v>
      </c>
      <c r="B80">
        <v>304.88</v>
      </c>
      <c r="C80" s="830">
        <v>1.62</v>
      </c>
      <c r="F80" s="814"/>
      <c r="G80" s="814"/>
      <c r="I80" s="814"/>
      <c r="J80" s="814"/>
      <c r="K80" s="814"/>
      <c r="L80" s="817"/>
      <c r="M80" s="817"/>
    </row>
    <row r="81" spans="1:13">
      <c r="A81" s="14" t="s">
        <v>9136</v>
      </c>
      <c r="B81">
        <v>305.52999999999997</v>
      </c>
      <c r="C81" s="830">
        <v>2.2999999999999998</v>
      </c>
      <c r="F81" s="814"/>
      <c r="G81" s="814"/>
      <c r="I81" s="814"/>
      <c r="J81" s="814"/>
      <c r="K81" s="814"/>
    </row>
    <row r="82" spans="1:13">
      <c r="A82" s="14" t="s">
        <v>9137</v>
      </c>
      <c r="B82">
        <v>305.54000000000002</v>
      </c>
      <c r="C82" s="830">
        <v>3.41</v>
      </c>
      <c r="F82" s="814"/>
      <c r="G82" s="814"/>
      <c r="I82" s="814"/>
      <c r="J82" s="814"/>
      <c r="K82" s="814"/>
    </row>
    <row r="83" spans="1:13">
      <c r="A83" s="14" t="s">
        <v>9135</v>
      </c>
      <c r="B83">
        <v>305.52</v>
      </c>
      <c r="C83" s="830">
        <v>3.41</v>
      </c>
      <c r="F83" s="814"/>
      <c r="G83" s="814"/>
      <c r="I83" s="814"/>
      <c r="J83" s="814"/>
      <c r="K83" s="814"/>
    </row>
    <row r="84" spans="1:13">
      <c r="A84" s="14" t="s">
        <v>8417</v>
      </c>
      <c r="B84">
        <v>302.74</v>
      </c>
      <c r="C84" s="831">
        <v>1.2160526315789475</v>
      </c>
      <c r="F84" s="814"/>
      <c r="G84" s="814"/>
      <c r="I84" s="814"/>
      <c r="J84" s="814"/>
      <c r="K84" s="814"/>
    </row>
    <row r="85" spans="1:13">
      <c r="A85" s="14" t="s">
        <v>6051</v>
      </c>
      <c r="B85">
        <v>302.66000000000003</v>
      </c>
      <c r="C85" s="831">
        <v>1.2160526315789475</v>
      </c>
      <c r="F85" s="814"/>
      <c r="G85" s="814"/>
      <c r="I85" s="814"/>
      <c r="J85" s="814"/>
      <c r="K85" s="814"/>
    </row>
    <row r="86" spans="1:13">
      <c r="A86" s="14" t="s">
        <v>6052</v>
      </c>
      <c r="B86">
        <v>303.76</v>
      </c>
      <c r="C86" s="831">
        <v>1.2160526315789475</v>
      </c>
      <c r="F86" s="814"/>
      <c r="G86" s="814"/>
      <c r="I86" s="814"/>
      <c r="J86" s="814"/>
      <c r="K86" s="814"/>
    </row>
    <row r="87" spans="1:13">
      <c r="A87" s="14" t="s">
        <v>6053</v>
      </c>
      <c r="B87">
        <v>301.92</v>
      </c>
      <c r="C87" s="831">
        <v>1.2160526315789475</v>
      </c>
      <c r="F87" s="814"/>
      <c r="G87" s="814"/>
      <c r="I87" s="814"/>
      <c r="J87" s="814"/>
      <c r="K87" s="814"/>
    </row>
    <row r="88" spans="1:13">
      <c r="A88" s="14" t="s">
        <v>8478</v>
      </c>
      <c r="B88">
        <v>1604.17</v>
      </c>
      <c r="C88" s="831">
        <v>1.5363912835249043</v>
      </c>
      <c r="F88" s="814"/>
      <c r="G88" s="814"/>
      <c r="I88" s="814"/>
      <c r="J88" s="814"/>
      <c r="K88" s="814"/>
    </row>
    <row r="89" spans="1:13">
      <c r="A89" s="14" t="s">
        <v>8419</v>
      </c>
      <c r="B89">
        <v>303.26</v>
      </c>
      <c r="C89" s="831">
        <v>1.2160526315789475</v>
      </c>
      <c r="F89" s="814"/>
      <c r="G89" s="814"/>
      <c r="I89" s="814"/>
      <c r="J89" s="814"/>
      <c r="K89" s="814"/>
    </row>
    <row r="90" spans="1:13">
      <c r="A90" s="14" t="s">
        <v>6054</v>
      </c>
      <c r="B90">
        <v>305.3</v>
      </c>
      <c r="C90" s="831">
        <v>4</v>
      </c>
      <c r="F90" s="814"/>
      <c r="G90" s="814"/>
      <c r="I90" s="814"/>
      <c r="J90" s="814"/>
      <c r="K90" s="814"/>
      <c r="L90" s="817"/>
      <c r="M90" s="817"/>
    </row>
    <row r="91" spans="1:13">
      <c r="A91" s="14" t="s">
        <v>8420</v>
      </c>
      <c r="B91">
        <v>304.49</v>
      </c>
      <c r="C91" s="831">
        <v>1</v>
      </c>
      <c r="F91" s="814"/>
      <c r="G91" s="814"/>
      <c r="I91" s="814"/>
      <c r="J91" s="814"/>
      <c r="K91" s="814"/>
    </row>
    <row r="92" spans="1:13">
      <c r="A92" s="14" t="s">
        <v>1815</v>
      </c>
      <c r="B92">
        <v>304.29000000000002</v>
      </c>
      <c r="C92" s="831">
        <v>1.5402941176470588</v>
      </c>
      <c r="F92" s="814"/>
      <c r="G92" s="814"/>
      <c r="I92" s="814"/>
      <c r="J92" s="814"/>
      <c r="K92" s="814"/>
    </row>
    <row r="93" spans="1:13">
      <c r="A93" s="14" t="s">
        <v>4837</v>
      </c>
      <c r="B93">
        <v>305.10000000000002</v>
      </c>
      <c r="C93" s="831">
        <v>3.7377777777777781</v>
      </c>
      <c r="F93" s="814"/>
      <c r="G93" s="814"/>
      <c r="I93" s="814"/>
      <c r="J93" s="814"/>
      <c r="K93" s="814"/>
    </row>
    <row r="94" spans="1:13">
      <c r="A94" s="14" t="s">
        <v>8421</v>
      </c>
      <c r="B94">
        <v>305.72000000000003</v>
      </c>
      <c r="C94" s="831">
        <v>4</v>
      </c>
      <c r="F94" s="814"/>
      <c r="G94" s="814"/>
      <c r="I94" s="814"/>
      <c r="J94" s="814"/>
      <c r="K94" s="814"/>
    </row>
    <row r="95" spans="1:13">
      <c r="A95" s="14" t="s">
        <v>9123</v>
      </c>
      <c r="B95">
        <v>302.99</v>
      </c>
      <c r="C95" s="830">
        <v>4</v>
      </c>
      <c r="F95" s="814"/>
      <c r="G95" s="814"/>
      <c r="I95" s="814"/>
      <c r="J95" s="814"/>
      <c r="K95" s="814"/>
    </row>
    <row r="96" spans="1:13">
      <c r="A96" s="14" t="s">
        <v>9127</v>
      </c>
      <c r="B96">
        <v>303.99</v>
      </c>
      <c r="C96" s="830">
        <v>4</v>
      </c>
      <c r="F96" s="814"/>
      <c r="G96" s="814"/>
      <c r="I96" s="814"/>
      <c r="J96" s="814"/>
      <c r="K96" s="814"/>
    </row>
    <row r="97" spans="1:11">
      <c r="A97" s="14" t="s">
        <v>6055</v>
      </c>
      <c r="B97">
        <v>305.2</v>
      </c>
      <c r="C97" s="831">
        <v>4</v>
      </c>
      <c r="F97" s="814"/>
      <c r="G97" s="814"/>
      <c r="I97" s="814"/>
      <c r="J97" s="814"/>
      <c r="K97" s="814"/>
    </row>
    <row r="98" spans="1:11">
      <c r="A98" s="14" t="s">
        <v>6056</v>
      </c>
      <c r="B98">
        <v>303.8</v>
      </c>
      <c r="C98" s="831">
        <v>1.5566666666666671</v>
      </c>
      <c r="F98" s="814"/>
      <c r="G98" s="814"/>
      <c r="I98" s="814"/>
      <c r="J98" s="814"/>
      <c r="K98" s="814"/>
    </row>
    <row r="99" spans="1:11">
      <c r="A99" s="14" t="s">
        <v>6057</v>
      </c>
      <c r="B99">
        <v>1504.2</v>
      </c>
      <c r="C99" s="831">
        <v>3.2258064516129035</v>
      </c>
      <c r="F99" s="814"/>
      <c r="G99" s="814"/>
      <c r="I99" s="814"/>
      <c r="J99" s="814"/>
      <c r="K99" s="814"/>
    </row>
    <row r="100" spans="1:11">
      <c r="A100" s="14" t="s">
        <v>6058</v>
      </c>
      <c r="B100">
        <v>511.91</v>
      </c>
      <c r="C100" s="831">
        <v>0</v>
      </c>
      <c r="F100" s="814"/>
      <c r="G100" s="814"/>
      <c r="I100" s="814"/>
      <c r="J100" s="814"/>
      <c r="K100" s="814"/>
    </row>
    <row r="101" spans="1:11">
      <c r="A101" s="14" t="s">
        <v>6059</v>
      </c>
      <c r="B101">
        <v>1504.1</v>
      </c>
      <c r="C101" s="831">
        <v>3.2258064516129035</v>
      </c>
      <c r="F101" s="814"/>
      <c r="G101" s="814"/>
      <c r="I101" s="814"/>
      <c r="J101" s="814"/>
      <c r="K101" s="814"/>
    </row>
    <row r="102" spans="1:11">
      <c r="A102" s="14" t="s">
        <v>8422</v>
      </c>
      <c r="B102">
        <v>304.43</v>
      </c>
      <c r="C102" s="831">
        <v>1</v>
      </c>
      <c r="F102" s="814"/>
      <c r="G102" s="814"/>
      <c r="I102" s="814"/>
      <c r="J102" s="814"/>
      <c r="K102" s="814"/>
    </row>
    <row r="103" spans="1:11">
      <c r="A103" s="14" t="s">
        <v>8399</v>
      </c>
      <c r="B103">
        <v>304.83</v>
      </c>
      <c r="C103" s="831">
        <v>1.9677110566448803</v>
      </c>
      <c r="F103" s="814"/>
      <c r="G103" s="814"/>
      <c r="I103" s="814"/>
      <c r="J103" s="814"/>
      <c r="K103" s="814"/>
    </row>
    <row r="104" spans="1:11">
      <c r="A104" s="14" t="s">
        <v>6060</v>
      </c>
      <c r="B104">
        <v>304.19</v>
      </c>
      <c r="C104" s="831">
        <v>2</v>
      </c>
      <c r="F104" s="814"/>
      <c r="G104" s="814"/>
      <c r="I104" s="814"/>
      <c r="J104" s="814"/>
      <c r="K104" s="814"/>
    </row>
    <row r="105" spans="1:11">
      <c r="A105" s="14" t="s">
        <v>6061</v>
      </c>
      <c r="B105">
        <v>302.36</v>
      </c>
      <c r="C105" s="831">
        <v>1.9845833333333331</v>
      </c>
      <c r="F105" s="814"/>
      <c r="G105" s="814"/>
      <c r="I105" s="814"/>
      <c r="J105" s="814"/>
      <c r="K105" s="814"/>
    </row>
    <row r="106" spans="1:11">
      <c r="A106" s="14" t="s">
        <v>6062</v>
      </c>
      <c r="B106">
        <v>304.99</v>
      </c>
      <c r="C106" s="831">
        <v>1.5566666666666671</v>
      </c>
      <c r="F106" s="814"/>
      <c r="G106" s="814"/>
      <c r="I106" s="814"/>
      <c r="J106" s="814"/>
      <c r="K106" s="814"/>
    </row>
    <row r="107" spans="1:11">
      <c r="A107" s="14" t="s">
        <v>6063</v>
      </c>
      <c r="B107">
        <v>303.45999999999998</v>
      </c>
      <c r="C107" s="831">
        <v>1.82</v>
      </c>
      <c r="F107" s="814"/>
      <c r="G107" s="814"/>
      <c r="I107" s="814"/>
      <c r="J107" s="814"/>
      <c r="K107" s="814"/>
    </row>
    <row r="108" spans="1:11">
      <c r="A108" s="14" t="s">
        <v>8424</v>
      </c>
      <c r="B108">
        <v>304.79000000000002</v>
      </c>
      <c r="C108" s="831">
        <v>2.2000000000000002</v>
      </c>
      <c r="F108" s="814"/>
      <c r="G108" s="814"/>
      <c r="I108" s="814"/>
      <c r="J108" s="814"/>
      <c r="K108" s="814"/>
    </row>
    <row r="109" spans="1:11">
      <c r="A109" s="14" t="s">
        <v>8425</v>
      </c>
      <c r="B109">
        <v>305.32</v>
      </c>
      <c r="C109" s="831">
        <v>2.2999999999999998</v>
      </c>
      <c r="F109" s="814"/>
      <c r="G109" s="814"/>
      <c r="I109" s="814"/>
      <c r="J109" s="814"/>
      <c r="K109" s="814"/>
    </row>
    <row r="110" spans="1:11">
      <c r="A110" s="14" t="s">
        <v>8426</v>
      </c>
      <c r="B110">
        <v>304.44</v>
      </c>
      <c r="C110" s="831">
        <v>2.2000000000000002</v>
      </c>
      <c r="F110" s="814"/>
      <c r="G110" s="814"/>
      <c r="I110" s="814"/>
      <c r="J110" s="814"/>
      <c r="K110" s="814"/>
    </row>
    <row r="111" spans="1:11">
      <c r="A111" s="14" t="s">
        <v>8427</v>
      </c>
      <c r="B111">
        <v>304.52999999999997</v>
      </c>
      <c r="C111" s="831">
        <v>1</v>
      </c>
      <c r="F111" s="814"/>
      <c r="G111" s="814"/>
      <c r="I111" s="814"/>
      <c r="J111" s="814"/>
      <c r="K111" s="814"/>
    </row>
    <row r="112" spans="1:11">
      <c r="A112" s="14" t="s">
        <v>6064</v>
      </c>
      <c r="B112">
        <v>302.20999999999998</v>
      </c>
      <c r="C112" s="831">
        <v>1.4176190476190478</v>
      </c>
      <c r="F112" s="814"/>
      <c r="G112" s="814"/>
      <c r="I112" s="814"/>
      <c r="J112" s="814"/>
      <c r="K112" s="814"/>
    </row>
    <row r="113" spans="1:13">
      <c r="A113" s="14" t="s">
        <v>6065</v>
      </c>
      <c r="B113">
        <v>303.31</v>
      </c>
      <c r="C113" s="831">
        <v>1.6777500000000001</v>
      </c>
      <c r="F113" s="814"/>
      <c r="G113" s="814"/>
      <c r="I113" s="814"/>
      <c r="J113" s="814"/>
      <c r="K113" s="814"/>
    </row>
    <row r="114" spans="1:13">
      <c r="A114" s="14" t="s">
        <v>8428</v>
      </c>
      <c r="B114">
        <v>304.72000000000003</v>
      </c>
      <c r="C114" s="831">
        <v>1.9204545454545459</v>
      </c>
      <c r="F114" s="814"/>
      <c r="G114" s="814"/>
      <c r="I114" s="814"/>
      <c r="J114" s="814"/>
      <c r="K114" s="814"/>
    </row>
    <row r="115" spans="1:13">
      <c r="A115" s="14" t="s">
        <v>8429</v>
      </c>
      <c r="B115">
        <v>302.52</v>
      </c>
      <c r="C115" s="831">
        <v>1.579780487804878</v>
      </c>
      <c r="F115" s="814"/>
      <c r="G115" s="814"/>
      <c r="I115" s="814"/>
      <c r="J115" s="814"/>
      <c r="K115" s="814"/>
    </row>
    <row r="116" spans="1:13">
      <c r="A116" s="14" t="s">
        <v>8430</v>
      </c>
      <c r="B116">
        <v>303.64</v>
      </c>
      <c r="C116" s="831">
        <v>1.579780487804878</v>
      </c>
      <c r="F116" s="814"/>
      <c r="G116" s="814"/>
      <c r="I116" s="814"/>
      <c r="J116" s="814"/>
      <c r="K116" s="814"/>
    </row>
    <row r="117" spans="1:13">
      <c r="A117" s="14" t="s">
        <v>2177</v>
      </c>
      <c r="B117">
        <v>302.62</v>
      </c>
      <c r="C117" s="831">
        <v>1.579780487804878</v>
      </c>
      <c r="F117" s="814"/>
      <c r="G117" s="814"/>
      <c r="I117" s="814"/>
      <c r="J117" s="814"/>
      <c r="K117" s="814"/>
    </row>
    <row r="118" spans="1:13">
      <c r="A118" s="14" t="s">
        <v>2178</v>
      </c>
      <c r="B118">
        <v>303.72000000000003</v>
      </c>
      <c r="C118" s="831">
        <v>1.9204545454545459</v>
      </c>
      <c r="F118" s="814"/>
      <c r="G118" s="814"/>
      <c r="I118" s="814"/>
      <c r="J118" s="814"/>
      <c r="K118" s="814"/>
    </row>
    <row r="119" spans="1:13">
      <c r="A119" s="14" t="s">
        <v>8400</v>
      </c>
      <c r="B119">
        <v>304.74</v>
      </c>
      <c r="C119" s="831">
        <v>1.9677110566448803</v>
      </c>
      <c r="F119" s="814"/>
      <c r="G119" s="814"/>
      <c r="I119" s="814"/>
      <c r="J119" s="814"/>
      <c r="K119" s="814"/>
    </row>
    <row r="120" spans="1:13">
      <c r="A120" s="14" t="s">
        <v>8423</v>
      </c>
      <c r="B120">
        <v>302.54000000000002</v>
      </c>
      <c r="C120" s="831">
        <v>1.55</v>
      </c>
      <c r="F120" s="814"/>
      <c r="G120" s="814"/>
      <c r="I120" s="814"/>
      <c r="J120" s="814"/>
      <c r="K120" s="814"/>
      <c r="L120" s="817"/>
      <c r="M120" s="817"/>
    </row>
    <row r="121" spans="1:13">
      <c r="A121" s="14" t="s">
        <v>8433</v>
      </c>
      <c r="B121">
        <v>303.66000000000003</v>
      </c>
      <c r="C121" s="831">
        <v>1.55</v>
      </c>
      <c r="F121" s="814"/>
      <c r="G121" s="814"/>
      <c r="I121" s="814"/>
      <c r="J121" s="814"/>
      <c r="K121" s="814"/>
      <c r="L121" s="817"/>
      <c r="M121" s="817"/>
    </row>
    <row r="122" spans="1:13">
      <c r="A122" s="14" t="s">
        <v>6066</v>
      </c>
      <c r="B122">
        <v>303.77999999999997</v>
      </c>
      <c r="C122" s="831">
        <v>1.9389534883720934</v>
      </c>
      <c r="F122" s="814"/>
      <c r="G122" s="814"/>
      <c r="I122" s="814"/>
      <c r="J122" s="814"/>
      <c r="K122" s="814"/>
    </row>
    <row r="123" spans="1:13">
      <c r="A123" s="14" t="s">
        <v>8434</v>
      </c>
      <c r="B123">
        <v>304.86</v>
      </c>
      <c r="C123" s="831">
        <v>1.5566666666666671</v>
      </c>
      <c r="F123" s="814"/>
      <c r="G123" s="814"/>
      <c r="I123" s="814"/>
      <c r="J123" s="814"/>
      <c r="K123" s="814"/>
    </row>
    <row r="124" spans="1:13">
      <c r="A124" s="14" t="s">
        <v>8435</v>
      </c>
      <c r="B124">
        <v>302.41000000000003</v>
      </c>
      <c r="C124" s="831">
        <v>1.3739999999999997</v>
      </c>
      <c r="F124" s="814"/>
      <c r="G124" s="814"/>
      <c r="I124" s="814"/>
      <c r="J124" s="814"/>
      <c r="K124" s="814"/>
    </row>
    <row r="125" spans="1:13">
      <c r="A125" s="14" t="s">
        <v>6067</v>
      </c>
      <c r="B125">
        <v>302.39999999999998</v>
      </c>
      <c r="C125" s="831">
        <v>1.3739999999999997</v>
      </c>
      <c r="F125" s="814"/>
      <c r="G125" s="814"/>
      <c r="I125" s="814"/>
      <c r="J125" s="814"/>
      <c r="K125" s="814"/>
    </row>
    <row r="126" spans="1:13">
      <c r="A126" s="14" t="s">
        <v>6068</v>
      </c>
      <c r="B126">
        <v>303.51</v>
      </c>
      <c r="C126" s="831">
        <v>1.5566666666666671</v>
      </c>
      <c r="F126" s="814"/>
      <c r="G126" s="814"/>
      <c r="I126" s="814"/>
      <c r="J126" s="814"/>
      <c r="K126" s="814"/>
      <c r="L126" s="816"/>
    </row>
    <row r="127" spans="1:13">
      <c r="A127" s="14" t="s">
        <v>6069</v>
      </c>
      <c r="B127">
        <v>305.42</v>
      </c>
      <c r="C127" s="831">
        <v>1.62375</v>
      </c>
      <c r="F127" s="814"/>
      <c r="G127" s="814"/>
      <c r="I127" s="814"/>
      <c r="J127" s="814"/>
      <c r="K127" s="814"/>
      <c r="L127" s="816"/>
    </row>
    <row r="128" spans="1:13">
      <c r="A128" s="14" t="s">
        <v>6070</v>
      </c>
      <c r="B128">
        <v>1604.12</v>
      </c>
      <c r="C128" s="831">
        <v>1.62375</v>
      </c>
      <c r="F128" s="814"/>
      <c r="G128" s="814"/>
      <c r="I128" s="814"/>
      <c r="J128" s="814"/>
      <c r="K128" s="814"/>
    </row>
    <row r="129" spans="1:13">
      <c r="A129" s="14" t="s">
        <v>6071</v>
      </c>
      <c r="B129">
        <v>305.61</v>
      </c>
      <c r="C129" s="831">
        <v>1.62375</v>
      </c>
      <c r="F129" s="814"/>
      <c r="G129" s="814"/>
      <c r="I129" s="814"/>
      <c r="J129" s="814"/>
      <c r="K129" s="814"/>
    </row>
    <row r="130" spans="1:13">
      <c r="A130" s="14" t="s">
        <v>9120</v>
      </c>
      <c r="B130">
        <v>302.49</v>
      </c>
      <c r="C130" s="830">
        <v>3.92</v>
      </c>
      <c r="F130" s="814"/>
      <c r="G130" s="814"/>
      <c r="I130" s="814"/>
      <c r="J130" s="814"/>
      <c r="K130" s="814"/>
    </row>
    <row r="131" spans="1:13">
      <c r="A131" s="14" t="s">
        <v>8436</v>
      </c>
      <c r="B131">
        <v>302.45</v>
      </c>
      <c r="C131" s="831">
        <v>1.0169999999999999</v>
      </c>
      <c r="F131" s="814"/>
      <c r="G131" s="814"/>
      <c r="I131" s="814"/>
      <c r="J131" s="814"/>
      <c r="K131" s="814"/>
    </row>
    <row r="132" spans="1:13">
      <c r="A132" s="14" t="s">
        <v>8467</v>
      </c>
      <c r="B132">
        <v>303.55</v>
      </c>
      <c r="C132" s="831">
        <v>1.81</v>
      </c>
      <c r="F132" s="814"/>
      <c r="G132" s="814"/>
      <c r="I132" s="814"/>
      <c r="J132" s="814"/>
      <c r="K132" s="814"/>
    </row>
    <row r="133" spans="1:13">
      <c r="A133" s="14" t="s">
        <v>8438</v>
      </c>
      <c r="B133">
        <v>308.3</v>
      </c>
      <c r="C133" s="858">
        <v>3.1970000000000001</v>
      </c>
      <c r="F133" s="814"/>
      <c r="G133" s="814"/>
      <c r="I133" s="814"/>
      <c r="J133" s="814"/>
      <c r="K133" s="814"/>
    </row>
    <row r="134" spans="1:13">
      <c r="A134" s="14" t="s">
        <v>8479</v>
      </c>
      <c r="B134">
        <v>1605.63</v>
      </c>
      <c r="C134" s="831">
        <v>3.1970000000000001</v>
      </c>
      <c r="F134" s="814"/>
      <c r="G134" s="814"/>
      <c r="I134" s="814"/>
      <c r="J134" s="814"/>
      <c r="K134" s="814"/>
    </row>
    <row r="135" spans="1:13">
      <c r="A135" s="14" t="s">
        <v>6072</v>
      </c>
      <c r="B135">
        <v>302.7</v>
      </c>
      <c r="C135" s="831">
        <v>1</v>
      </c>
      <c r="F135" s="814"/>
      <c r="G135" s="814"/>
      <c r="I135" s="814"/>
      <c r="J135" s="814"/>
      <c r="K135" s="814"/>
    </row>
    <row r="136" spans="1:13">
      <c r="A136" s="14" t="s">
        <v>9121</v>
      </c>
      <c r="B136">
        <v>302.91000000000003</v>
      </c>
      <c r="C136" s="830">
        <v>1</v>
      </c>
      <c r="F136" s="814"/>
      <c r="G136" s="814"/>
      <c r="I136" s="814"/>
      <c r="J136" s="814"/>
      <c r="K136" s="814"/>
    </row>
    <row r="137" spans="1:13">
      <c r="A137" s="14" t="s">
        <v>9125</v>
      </c>
      <c r="B137">
        <v>303.91000000000003</v>
      </c>
      <c r="C137" s="830">
        <v>1</v>
      </c>
      <c r="F137" s="814"/>
      <c r="G137" s="814"/>
      <c r="I137" s="814"/>
      <c r="J137" s="814"/>
      <c r="K137" s="814"/>
    </row>
    <row r="138" spans="1:13">
      <c r="A138" s="14" t="s">
        <v>6073</v>
      </c>
      <c r="B138">
        <v>1605.3</v>
      </c>
      <c r="C138" s="831">
        <v>2.1536363636363633</v>
      </c>
      <c r="F138" s="814"/>
      <c r="G138" s="814"/>
      <c r="I138" s="814"/>
      <c r="J138" s="814"/>
      <c r="K138" s="814"/>
    </row>
    <row r="139" spans="1:13">
      <c r="A139" s="14" t="s">
        <v>9143</v>
      </c>
      <c r="B139">
        <v>306.92</v>
      </c>
      <c r="C139" s="830">
        <v>2.15</v>
      </c>
      <c r="F139" s="814"/>
      <c r="G139" s="814"/>
      <c r="I139" s="814"/>
      <c r="J139" s="814"/>
      <c r="K139" s="814"/>
      <c r="L139" s="817"/>
      <c r="M139" s="817"/>
    </row>
    <row r="140" spans="1:13">
      <c r="A140" s="14" t="s">
        <v>9139</v>
      </c>
      <c r="B140">
        <v>306.32</v>
      </c>
      <c r="C140" s="830">
        <v>2.15</v>
      </c>
      <c r="F140" s="814"/>
      <c r="G140" s="814"/>
      <c r="I140" s="814"/>
      <c r="J140" s="814"/>
      <c r="K140" s="814"/>
    </row>
    <row r="141" spans="1:13">
      <c r="A141" s="14" t="s">
        <v>6074</v>
      </c>
      <c r="B141">
        <v>306.12</v>
      </c>
      <c r="C141" s="831">
        <v>2.1536363636363633</v>
      </c>
      <c r="F141" s="814"/>
      <c r="G141" s="814"/>
      <c r="I141" s="814"/>
      <c r="J141" s="814"/>
      <c r="K141" s="814"/>
    </row>
    <row r="142" spans="1:13">
      <c r="A142" s="14" t="s">
        <v>6141</v>
      </c>
      <c r="B142">
        <v>306.22000000000003</v>
      </c>
      <c r="C142" s="831">
        <v>2.1536363636363633</v>
      </c>
      <c r="F142" s="814"/>
      <c r="G142" s="814"/>
      <c r="I142" s="814"/>
      <c r="J142" s="814"/>
      <c r="K142" s="814"/>
      <c r="L142" s="816"/>
      <c r="M142" s="816"/>
    </row>
    <row r="143" spans="1:13">
      <c r="A143" s="14" t="s">
        <v>6075</v>
      </c>
      <c r="B143">
        <v>302.64</v>
      </c>
      <c r="C143" s="831">
        <v>1.3425</v>
      </c>
      <c r="F143" s="814"/>
      <c r="G143" s="814"/>
      <c r="I143" s="814"/>
      <c r="J143" s="814"/>
      <c r="K143" s="814"/>
      <c r="L143" s="816"/>
      <c r="M143" s="816"/>
    </row>
    <row r="144" spans="1:13">
      <c r="A144" s="14" t="s">
        <v>6076</v>
      </c>
      <c r="B144">
        <v>303.74</v>
      </c>
      <c r="C144" s="831">
        <v>1.5158620689655171</v>
      </c>
      <c r="F144" s="814"/>
      <c r="G144" s="814"/>
      <c r="I144" s="814"/>
      <c r="J144" s="814"/>
      <c r="K144" s="814"/>
      <c r="L144" s="817"/>
      <c r="M144" s="817"/>
    </row>
    <row r="145" spans="1:13">
      <c r="A145" s="14" t="s">
        <v>8440</v>
      </c>
      <c r="B145">
        <v>302.44</v>
      </c>
      <c r="C145" s="831">
        <v>1.3425</v>
      </c>
      <c r="F145" s="814"/>
      <c r="G145" s="814"/>
      <c r="I145" s="814"/>
      <c r="J145" s="814"/>
      <c r="K145" s="814"/>
    </row>
    <row r="146" spans="1:13">
      <c r="A146" s="14" t="s">
        <v>8441</v>
      </c>
      <c r="B146">
        <v>303.54000000000002</v>
      </c>
      <c r="C146" s="831">
        <v>1.51586206896552</v>
      </c>
      <c r="F146" s="814"/>
      <c r="G146" s="814"/>
      <c r="I146" s="814"/>
      <c r="J146" s="814"/>
      <c r="K146" s="814"/>
    </row>
    <row r="147" spans="1:13">
      <c r="A147" s="14" t="s">
        <v>6077</v>
      </c>
      <c r="B147">
        <v>1604.15</v>
      </c>
      <c r="C147" s="831">
        <v>1.5158620689655171</v>
      </c>
      <c r="F147" s="814"/>
      <c r="G147" s="814"/>
      <c r="I147" s="814"/>
      <c r="J147" s="814"/>
      <c r="K147" s="814"/>
    </row>
    <row r="148" spans="1:13">
      <c r="A148" s="14" t="s">
        <v>6078</v>
      </c>
      <c r="B148">
        <v>2301.1999999999998</v>
      </c>
      <c r="C148" s="831">
        <v>3.7377777777777781</v>
      </c>
      <c r="F148" s="814"/>
      <c r="G148" s="814"/>
      <c r="I148" s="814"/>
      <c r="J148" s="814"/>
      <c r="K148" s="814"/>
    </row>
    <row r="149" spans="1:13">
      <c r="A149" s="14" t="s">
        <v>8469</v>
      </c>
      <c r="B149">
        <v>304.95</v>
      </c>
      <c r="C149" s="831">
        <v>1.81</v>
      </c>
      <c r="F149" s="814"/>
      <c r="G149" s="814"/>
      <c r="I149" s="814"/>
      <c r="J149" s="814"/>
      <c r="K149" s="814"/>
    </row>
    <row r="150" spans="1:13">
      <c r="A150" s="14" t="s">
        <v>8443</v>
      </c>
      <c r="B150">
        <v>304.51</v>
      </c>
      <c r="C150" s="831">
        <v>2.2999999999999998</v>
      </c>
      <c r="F150" s="814"/>
      <c r="G150" s="814"/>
      <c r="I150" s="814"/>
      <c r="J150" s="814"/>
      <c r="K150" s="814"/>
    </row>
    <row r="151" spans="1:13">
      <c r="A151" s="14" t="s">
        <v>6079</v>
      </c>
      <c r="B151">
        <v>1605.9</v>
      </c>
      <c r="C151" s="831">
        <v>2.13</v>
      </c>
      <c r="F151" s="814"/>
      <c r="G151" s="814"/>
      <c r="I151" s="814"/>
      <c r="J151" s="814"/>
      <c r="K151" s="814"/>
    </row>
    <row r="152" spans="1:13">
      <c r="A152" s="14" t="s">
        <v>9150</v>
      </c>
      <c r="B152">
        <v>307.32</v>
      </c>
      <c r="C152" s="830">
        <v>1</v>
      </c>
      <c r="F152" s="814"/>
      <c r="G152" s="814"/>
      <c r="I152" s="814"/>
      <c r="J152" s="814"/>
      <c r="K152" s="814"/>
    </row>
    <row r="153" spans="1:13">
      <c r="A153" s="14" t="s">
        <v>6080</v>
      </c>
      <c r="B153">
        <v>307.31</v>
      </c>
      <c r="C153" s="831">
        <v>9.6199999999999992</v>
      </c>
      <c r="F153" s="814"/>
      <c r="G153" s="814"/>
      <c r="I153" s="814"/>
      <c r="J153" s="814"/>
      <c r="K153" s="814"/>
    </row>
    <row r="154" spans="1:13">
      <c r="A154" s="14" t="s">
        <v>6081</v>
      </c>
      <c r="B154">
        <v>307.39</v>
      </c>
      <c r="C154" s="831">
        <v>3.0892857142857144</v>
      </c>
      <c r="F154" s="814"/>
      <c r="G154" s="814"/>
      <c r="I154" s="814"/>
      <c r="J154" s="814"/>
      <c r="K154" s="814"/>
    </row>
    <row r="155" spans="1:13">
      <c r="A155" s="14" t="s">
        <v>8444</v>
      </c>
      <c r="B155">
        <v>1605.53</v>
      </c>
      <c r="C155" s="831">
        <v>3.0892857142857144</v>
      </c>
      <c r="F155" s="814"/>
      <c r="G155" s="814"/>
      <c r="I155" s="814"/>
      <c r="J155" s="814"/>
      <c r="K155" s="814"/>
      <c r="L155" s="817"/>
      <c r="M155" s="817"/>
    </row>
    <row r="156" spans="1:13">
      <c r="A156" s="14" t="s">
        <v>8431</v>
      </c>
      <c r="B156">
        <v>302.79000000000002</v>
      </c>
      <c r="C156" s="831">
        <v>1.55</v>
      </c>
      <c r="F156" s="814"/>
      <c r="G156" s="814"/>
      <c r="I156" s="814"/>
      <c r="J156" s="814"/>
      <c r="K156" s="814"/>
      <c r="L156" s="816"/>
      <c r="M156" s="816"/>
    </row>
    <row r="157" spans="1:13">
      <c r="A157" s="14" t="s">
        <v>8387</v>
      </c>
      <c r="B157">
        <v>304.33</v>
      </c>
      <c r="C157" s="831">
        <v>1.9677110566448803</v>
      </c>
      <c r="F157" s="814"/>
      <c r="G157" s="814"/>
      <c r="I157" s="814"/>
      <c r="J157" s="814"/>
      <c r="K157" s="814"/>
    </row>
    <row r="158" spans="1:13">
      <c r="A158" s="14" t="s">
        <v>8401</v>
      </c>
      <c r="B158">
        <v>304.63</v>
      </c>
      <c r="C158" s="831">
        <v>1.9677110566448803</v>
      </c>
      <c r="F158" s="814"/>
      <c r="G158" s="814"/>
      <c r="I158" s="814"/>
      <c r="J158" s="814"/>
      <c r="K158" s="814"/>
      <c r="L158" s="816"/>
      <c r="M158" s="816"/>
    </row>
    <row r="159" spans="1:13">
      <c r="A159" s="14" t="s">
        <v>9145</v>
      </c>
      <c r="B159">
        <v>306.94</v>
      </c>
      <c r="C159" s="830">
        <v>2.15</v>
      </c>
      <c r="F159" s="814"/>
      <c r="G159" s="814"/>
      <c r="I159" s="814"/>
      <c r="J159" s="814"/>
      <c r="K159" s="814"/>
      <c r="L159" s="816"/>
      <c r="M159" s="816"/>
    </row>
    <row r="160" spans="1:13">
      <c r="A160" s="14" t="s">
        <v>9141</v>
      </c>
      <c r="B160">
        <v>306.33999999999997</v>
      </c>
      <c r="C160" s="830">
        <v>2.15</v>
      </c>
      <c r="F160" s="814"/>
      <c r="G160" s="814"/>
      <c r="I160" s="814"/>
      <c r="J160" s="814"/>
      <c r="K160" s="814"/>
    </row>
    <row r="161" spans="1:13">
      <c r="A161" s="14" t="s">
        <v>8448</v>
      </c>
      <c r="B161">
        <v>306.14999999999998</v>
      </c>
      <c r="C161" s="831">
        <v>2.1536363636363633</v>
      </c>
      <c r="F161" s="814"/>
      <c r="G161" s="814"/>
      <c r="I161" s="814"/>
      <c r="J161" s="814"/>
      <c r="K161" s="814"/>
      <c r="L161" s="816"/>
      <c r="M161" s="816"/>
    </row>
    <row r="162" spans="1:13">
      <c r="A162" s="14" t="s">
        <v>8449</v>
      </c>
      <c r="B162">
        <v>306.25</v>
      </c>
      <c r="C162" s="831">
        <v>2.1536363636363633</v>
      </c>
      <c r="F162" s="814"/>
      <c r="G162" s="814"/>
      <c r="I162" s="814"/>
      <c r="J162" s="814"/>
      <c r="K162" s="814"/>
      <c r="L162" s="816"/>
      <c r="M162" s="816"/>
    </row>
    <row r="163" spans="1:13">
      <c r="A163" s="14" t="s">
        <v>9152</v>
      </c>
      <c r="B163">
        <v>307.52</v>
      </c>
      <c r="C163" s="830">
        <v>1.42</v>
      </c>
      <c r="F163" s="814"/>
      <c r="G163" s="814"/>
      <c r="I163" s="814"/>
      <c r="J163" s="814"/>
      <c r="K163" s="814"/>
      <c r="L163" s="816"/>
      <c r="M163" s="816"/>
    </row>
    <row r="164" spans="1:13">
      <c r="A164" s="14" t="s">
        <v>1469</v>
      </c>
      <c r="B164">
        <v>307.51</v>
      </c>
      <c r="C164" s="831">
        <v>2.0699999999999998</v>
      </c>
      <c r="F164" s="814"/>
      <c r="G164" s="814"/>
      <c r="I164" s="814"/>
      <c r="J164" s="814"/>
      <c r="K164" s="814"/>
      <c r="L164" s="817"/>
      <c r="M164" s="817"/>
    </row>
    <row r="165" spans="1:13">
      <c r="A165" s="14" t="s">
        <v>1816</v>
      </c>
      <c r="B165">
        <v>307.58999999999997</v>
      </c>
      <c r="C165" s="831">
        <v>1.0475000000000001</v>
      </c>
      <c r="F165" s="814"/>
      <c r="G165" s="814"/>
      <c r="I165" s="814"/>
      <c r="J165" s="814"/>
      <c r="K165" s="814"/>
      <c r="L165" s="816"/>
      <c r="M165" s="816"/>
    </row>
    <row r="166" spans="1:13">
      <c r="A166" s="14" t="s">
        <v>8450</v>
      </c>
      <c r="B166">
        <v>1605.55</v>
      </c>
      <c r="C166" s="831">
        <v>1.0475000000000001</v>
      </c>
      <c r="F166" s="814"/>
      <c r="G166" s="814"/>
      <c r="I166" s="814"/>
      <c r="J166" s="814"/>
      <c r="K166" s="814"/>
    </row>
    <row r="167" spans="1:13">
      <c r="A167" s="14" t="s">
        <v>6083</v>
      </c>
      <c r="B167">
        <v>1504.3</v>
      </c>
      <c r="C167" s="831">
        <v>3.2258064516129035</v>
      </c>
      <c r="F167" s="814"/>
      <c r="G167" s="814"/>
      <c r="I167" s="814"/>
      <c r="J167" s="814"/>
      <c r="K167" s="814"/>
    </row>
    <row r="168" spans="1:13">
      <c r="A168" s="14" t="s">
        <v>6084</v>
      </c>
      <c r="B168">
        <v>301.10000000000002</v>
      </c>
      <c r="C168" s="831">
        <v>1</v>
      </c>
      <c r="F168" s="814"/>
      <c r="G168" s="814"/>
      <c r="I168" s="814"/>
      <c r="J168" s="814"/>
      <c r="K168" s="814"/>
    </row>
    <row r="169" spans="1:13">
      <c r="A169" s="14" t="s">
        <v>8451</v>
      </c>
      <c r="B169">
        <v>301.19</v>
      </c>
      <c r="C169" s="831">
        <v>1</v>
      </c>
      <c r="F169" s="814"/>
      <c r="G169" s="814"/>
      <c r="I169" s="814"/>
      <c r="J169" s="814"/>
      <c r="K169" s="814"/>
    </row>
    <row r="170" spans="1:13">
      <c r="A170" s="14" t="s">
        <v>8452</v>
      </c>
      <c r="B170">
        <v>301.11</v>
      </c>
      <c r="C170" s="831">
        <v>1</v>
      </c>
      <c r="F170" s="814"/>
      <c r="G170" s="814"/>
      <c r="I170" s="814"/>
      <c r="J170" s="814"/>
      <c r="K170" s="814"/>
    </row>
    <row r="171" spans="1:13">
      <c r="A171" s="14" t="s">
        <v>8453</v>
      </c>
      <c r="B171">
        <v>305.79000000000002</v>
      </c>
      <c r="C171" s="831">
        <v>4</v>
      </c>
      <c r="F171" s="814"/>
      <c r="G171" s="814"/>
      <c r="I171" s="814"/>
      <c r="J171" s="814"/>
      <c r="K171" s="814"/>
    </row>
    <row r="172" spans="1:13">
      <c r="A172" s="14" t="s">
        <v>8454</v>
      </c>
      <c r="B172">
        <v>308.89999999999998</v>
      </c>
      <c r="C172" s="831">
        <v>4</v>
      </c>
      <c r="F172" s="814"/>
      <c r="G172" s="814"/>
      <c r="I172" s="814"/>
      <c r="J172" s="814"/>
      <c r="K172" s="814"/>
      <c r="L172" s="817"/>
      <c r="M172" s="817"/>
    </row>
    <row r="173" spans="1:13">
      <c r="A173" s="14" t="s">
        <v>8480</v>
      </c>
      <c r="B173">
        <v>1605.69</v>
      </c>
      <c r="C173" s="831">
        <v>3.1970000000000001</v>
      </c>
      <c r="F173" s="814"/>
      <c r="G173" s="814"/>
      <c r="I173" s="814"/>
      <c r="J173" s="814"/>
      <c r="K173" s="814"/>
      <c r="L173" s="816"/>
      <c r="M173" s="816"/>
    </row>
    <row r="174" spans="1:13">
      <c r="A174" s="14" t="s">
        <v>6085</v>
      </c>
      <c r="B174">
        <v>1605.4</v>
      </c>
      <c r="C174" s="831">
        <v>2.2000000000000002</v>
      </c>
      <c r="F174" s="814"/>
      <c r="G174" s="814"/>
      <c r="I174" s="814"/>
      <c r="J174" s="814"/>
      <c r="K174" s="814"/>
      <c r="L174" s="815"/>
      <c r="M174" s="815"/>
    </row>
    <row r="175" spans="1:13">
      <c r="A175" s="14" t="s">
        <v>6086</v>
      </c>
      <c r="B175">
        <v>306.19</v>
      </c>
      <c r="C175" s="831">
        <v>1</v>
      </c>
      <c r="F175" s="814"/>
      <c r="G175" s="814"/>
      <c r="I175" s="814"/>
      <c r="J175" s="814"/>
      <c r="K175" s="814"/>
      <c r="L175" s="815"/>
      <c r="M175" s="815"/>
    </row>
    <row r="176" spans="1:13">
      <c r="A176" s="14" t="s">
        <v>6087</v>
      </c>
      <c r="B176">
        <v>306.29000000000002</v>
      </c>
      <c r="C176" s="831">
        <v>1</v>
      </c>
      <c r="F176" s="814"/>
      <c r="G176" s="814"/>
      <c r="I176" s="814"/>
      <c r="J176" s="814"/>
      <c r="K176" s="814"/>
    </row>
    <row r="177" spans="1:13">
      <c r="A177" s="14" t="s">
        <v>8456</v>
      </c>
      <c r="B177">
        <v>305.39</v>
      </c>
      <c r="C177" s="831">
        <v>1.9</v>
      </c>
      <c r="F177" s="814"/>
      <c r="G177" s="814"/>
      <c r="I177" s="814"/>
      <c r="J177" s="814"/>
      <c r="K177" s="814"/>
    </row>
    <row r="178" spans="1:13">
      <c r="A178" s="14" t="s">
        <v>8457</v>
      </c>
      <c r="B178">
        <v>304.58999999999997</v>
      </c>
      <c r="C178" s="831">
        <v>2.1</v>
      </c>
      <c r="F178" s="814"/>
      <c r="G178" s="814"/>
      <c r="I178" s="814"/>
      <c r="J178" s="814"/>
      <c r="K178" s="814"/>
    </row>
    <row r="179" spans="1:13">
      <c r="A179" s="14" t="s">
        <v>6088</v>
      </c>
      <c r="B179">
        <v>305.58999999999997</v>
      </c>
      <c r="C179" s="831">
        <v>3.206666666666667</v>
      </c>
      <c r="F179" s="814"/>
      <c r="G179" s="814"/>
      <c r="I179" s="814"/>
      <c r="J179" s="814"/>
      <c r="K179" s="814"/>
    </row>
    <row r="180" spans="1:13">
      <c r="A180" s="14" t="s">
        <v>6089</v>
      </c>
      <c r="B180">
        <v>305.49</v>
      </c>
      <c r="C180" s="831">
        <v>2</v>
      </c>
      <c r="F180" s="814"/>
      <c r="G180" s="814"/>
      <c r="J180" s="814"/>
      <c r="K180" s="814"/>
    </row>
    <row r="181" spans="1:13">
      <c r="A181" s="14" t="s">
        <v>6090</v>
      </c>
      <c r="B181">
        <v>301.99</v>
      </c>
      <c r="C181" s="831">
        <v>1.1114545454545455</v>
      </c>
      <c r="F181" s="814"/>
      <c r="G181" s="814"/>
      <c r="J181" s="814"/>
      <c r="K181" s="814"/>
    </row>
    <row r="182" spans="1:13">
      <c r="A182" s="14" t="s">
        <v>6091</v>
      </c>
      <c r="B182">
        <v>1604.19</v>
      </c>
      <c r="C182" s="831">
        <v>1.5</v>
      </c>
      <c r="F182" s="814"/>
      <c r="G182" s="814"/>
      <c r="J182" s="814"/>
      <c r="K182" s="814"/>
    </row>
    <row r="183" spans="1:13">
      <c r="A183" s="14" t="s">
        <v>6092</v>
      </c>
      <c r="B183">
        <v>305.69</v>
      </c>
      <c r="C183" s="831">
        <v>1</v>
      </c>
      <c r="F183" s="814"/>
      <c r="G183" s="814"/>
      <c r="J183" s="814"/>
      <c r="K183" s="814"/>
    </row>
    <row r="184" spans="1:13">
      <c r="A184" s="14" t="s">
        <v>6093</v>
      </c>
      <c r="B184">
        <v>302.29000000000002</v>
      </c>
      <c r="C184" s="831">
        <v>1.1166666666666667</v>
      </c>
      <c r="F184" s="814"/>
      <c r="G184" s="814"/>
      <c r="J184" s="814"/>
      <c r="K184" s="814"/>
    </row>
    <row r="185" spans="1:13">
      <c r="A185" s="14" t="s">
        <v>6094</v>
      </c>
      <c r="B185">
        <v>303.39</v>
      </c>
      <c r="C185" s="831">
        <v>1.6333333333333335</v>
      </c>
      <c r="F185" s="814"/>
      <c r="G185" s="814"/>
      <c r="J185" s="814"/>
      <c r="K185" s="814"/>
    </row>
    <row r="186" spans="1:13">
      <c r="A186" s="14" t="s">
        <v>6095</v>
      </c>
      <c r="B186">
        <v>302.69</v>
      </c>
      <c r="C186" s="831">
        <v>1.1114545454545455</v>
      </c>
      <c r="F186" s="814"/>
      <c r="G186" s="814"/>
      <c r="J186" s="814"/>
      <c r="K186" s="814"/>
    </row>
    <row r="187" spans="1:13">
      <c r="A187" s="14" t="s">
        <v>6096</v>
      </c>
      <c r="B187">
        <v>303.79000000000002</v>
      </c>
      <c r="C187" s="831">
        <v>1.5402941176470588</v>
      </c>
      <c r="F187" s="814"/>
      <c r="G187" s="814"/>
      <c r="J187" s="814"/>
      <c r="K187" s="814"/>
      <c r="L187" s="816"/>
      <c r="M187" s="816"/>
    </row>
    <row r="188" spans="1:13">
      <c r="A188" s="14" t="s">
        <v>8458</v>
      </c>
      <c r="B188">
        <v>302.89</v>
      </c>
      <c r="C188" s="831">
        <v>1.1114545454545455</v>
      </c>
      <c r="F188" s="814"/>
      <c r="G188" s="814"/>
      <c r="J188" s="814"/>
      <c r="K188" s="814"/>
    </row>
    <row r="189" spans="1:13">
      <c r="A189" s="14" t="s">
        <v>8432</v>
      </c>
      <c r="B189">
        <v>302.58999999999997</v>
      </c>
      <c r="C189" s="831">
        <v>1.55</v>
      </c>
      <c r="F189" s="814"/>
      <c r="G189" s="814"/>
      <c r="J189" s="814"/>
      <c r="K189" s="814"/>
    </row>
    <row r="190" spans="1:13">
      <c r="A190" s="14" t="s">
        <v>8470</v>
      </c>
      <c r="B190">
        <v>303.69</v>
      </c>
      <c r="C190" s="831">
        <v>1.81</v>
      </c>
      <c r="F190" s="814"/>
      <c r="G190" s="814"/>
      <c r="J190" s="814"/>
      <c r="K190" s="814"/>
    </row>
    <row r="191" spans="1:13">
      <c r="A191" s="14" t="s">
        <v>9159</v>
      </c>
      <c r="B191">
        <v>307.92</v>
      </c>
      <c r="C191" s="830">
        <v>3</v>
      </c>
      <c r="F191" s="814"/>
      <c r="G191" s="814"/>
    </row>
    <row r="192" spans="1:13">
      <c r="A192" s="14" t="s">
        <v>6097</v>
      </c>
      <c r="B192">
        <v>307.91000000000003</v>
      </c>
      <c r="C192" s="831">
        <v>3</v>
      </c>
      <c r="F192" s="814"/>
      <c r="G192" s="814"/>
    </row>
    <row r="193" spans="1:7">
      <c r="A193" s="14" t="s">
        <v>6138</v>
      </c>
      <c r="B193">
        <v>307.99</v>
      </c>
      <c r="C193" s="831">
        <v>3</v>
      </c>
      <c r="F193" s="814"/>
      <c r="G193" s="814"/>
    </row>
    <row r="194" spans="1:7">
      <c r="A194" s="14" t="s">
        <v>8481</v>
      </c>
      <c r="B194">
        <v>1605.59</v>
      </c>
      <c r="C194" s="831">
        <v>5.2275</v>
      </c>
      <c r="F194" s="814"/>
      <c r="G194" s="814"/>
    </row>
    <row r="195" spans="1:7">
      <c r="A195" s="14" t="s">
        <v>6098</v>
      </c>
      <c r="B195">
        <v>303.19</v>
      </c>
      <c r="C195" s="831">
        <v>1</v>
      </c>
      <c r="F195" s="814"/>
      <c r="G195" s="814"/>
    </row>
    <row r="196" spans="1:7">
      <c r="A196" s="14" t="s">
        <v>6099</v>
      </c>
      <c r="B196">
        <v>302.19</v>
      </c>
      <c r="C196" s="831">
        <v>1.075</v>
      </c>
      <c r="F196" s="814"/>
      <c r="G196" s="814"/>
    </row>
    <row r="197" spans="1:7">
      <c r="A197" s="14" t="s">
        <v>6100</v>
      </c>
      <c r="B197">
        <v>303.29000000000002</v>
      </c>
      <c r="C197" s="831">
        <v>1.5071428571428573</v>
      </c>
      <c r="F197" s="814"/>
      <c r="G197" s="814"/>
    </row>
    <row r="198" spans="1:7">
      <c r="A198" s="14" t="s">
        <v>8483</v>
      </c>
      <c r="B198">
        <v>1605.29</v>
      </c>
      <c r="C198" s="831">
        <v>3.1970000000000001</v>
      </c>
      <c r="F198" s="814"/>
      <c r="G198" s="814"/>
    </row>
    <row r="199" spans="1:7">
      <c r="A199" s="14" t="s">
        <v>8463</v>
      </c>
      <c r="B199">
        <v>306.17</v>
      </c>
      <c r="C199" s="831">
        <v>1.7983939393939394</v>
      </c>
      <c r="F199" s="814"/>
      <c r="G199" s="814"/>
    </row>
    <row r="200" spans="1:7">
      <c r="A200" s="14" t="s">
        <v>8464</v>
      </c>
      <c r="B200">
        <v>306.27</v>
      </c>
      <c r="C200" s="831">
        <v>1.7983939393939394</v>
      </c>
      <c r="F200" s="814"/>
      <c r="G200" s="814"/>
    </row>
    <row r="201" spans="1:7">
      <c r="A201" s="14" t="s">
        <v>6101</v>
      </c>
      <c r="B201">
        <v>302.39</v>
      </c>
      <c r="C201" s="831">
        <v>1.075</v>
      </c>
      <c r="F201" s="814"/>
      <c r="G201" s="814"/>
    </row>
    <row r="202" spans="1:7">
      <c r="A202" s="14" t="s">
        <v>6102</v>
      </c>
      <c r="B202">
        <v>303.49</v>
      </c>
      <c r="C202" s="831">
        <v>1.5071428571428573</v>
      </c>
      <c r="F202" s="814"/>
      <c r="G202" s="814"/>
    </row>
    <row r="203" spans="1:7">
      <c r="A203" s="14" t="s">
        <v>6082</v>
      </c>
      <c r="B203"/>
      <c r="C203" s="831">
        <v>0</v>
      </c>
      <c r="F203" s="814"/>
      <c r="G203" s="814"/>
    </row>
    <row r="204" spans="1:7">
      <c r="A204" s="14" t="s">
        <v>9148</v>
      </c>
      <c r="B204">
        <v>307.12</v>
      </c>
      <c r="C204" s="830">
        <v>1</v>
      </c>
      <c r="F204" s="814"/>
      <c r="G204" s="814"/>
    </row>
    <row r="205" spans="1:7">
      <c r="A205" s="14" t="s">
        <v>8465</v>
      </c>
      <c r="B205">
        <v>307.11</v>
      </c>
      <c r="C205" s="831">
        <v>3.7138095238095241</v>
      </c>
      <c r="F205" s="814"/>
      <c r="G205" s="814"/>
    </row>
    <row r="206" spans="1:7">
      <c r="A206" s="14" t="s">
        <v>6103</v>
      </c>
      <c r="B206">
        <v>307.10000000000002</v>
      </c>
      <c r="C206" s="831">
        <v>3.7138095238095241</v>
      </c>
      <c r="F206" s="814"/>
      <c r="G206" s="814"/>
    </row>
    <row r="207" spans="1:7">
      <c r="A207" s="14" t="s">
        <v>8466</v>
      </c>
      <c r="B207">
        <v>307.19</v>
      </c>
      <c r="C207" s="831">
        <v>3.1970000000000001</v>
      </c>
      <c r="F207" s="814"/>
      <c r="G207" s="814"/>
    </row>
    <row r="208" spans="1:7">
      <c r="A208" s="14" t="s">
        <v>8487</v>
      </c>
      <c r="B208">
        <v>1605.51</v>
      </c>
      <c r="C208" s="831">
        <v>3.1970000000000001</v>
      </c>
      <c r="F208" s="814"/>
      <c r="G208" s="814"/>
    </row>
    <row r="209" spans="1:7">
      <c r="A209" s="14" t="s">
        <v>8468</v>
      </c>
      <c r="B209">
        <v>302.13</v>
      </c>
      <c r="C209" s="831">
        <v>1.2</v>
      </c>
      <c r="F209" s="814"/>
      <c r="G209" s="814"/>
    </row>
    <row r="210" spans="1:7">
      <c r="A210" s="14" t="s">
        <v>8383</v>
      </c>
      <c r="B210">
        <v>304.41000000000003</v>
      </c>
      <c r="C210" s="831">
        <v>1.9677110566448803</v>
      </c>
      <c r="F210" s="814"/>
      <c r="G210" s="814"/>
    </row>
    <row r="211" spans="1:7">
      <c r="A211" s="14" t="s">
        <v>8404</v>
      </c>
      <c r="B211">
        <v>304.81</v>
      </c>
      <c r="C211" s="831">
        <v>1.9677110566448803</v>
      </c>
      <c r="F211" s="814"/>
      <c r="G211" s="814"/>
    </row>
    <row r="212" spans="1:7">
      <c r="A212" s="14" t="s">
        <v>6104</v>
      </c>
      <c r="B212">
        <v>302.22000000000003</v>
      </c>
      <c r="C212" s="831">
        <v>1.3453571428571429</v>
      </c>
      <c r="F212" s="814"/>
      <c r="G212" s="814"/>
    </row>
    <row r="213" spans="1:7">
      <c r="A213" s="14" t="s">
        <v>6105</v>
      </c>
      <c r="B213">
        <v>303.32</v>
      </c>
      <c r="C213" s="831">
        <v>1.4422222222222223</v>
      </c>
      <c r="F213" s="814"/>
      <c r="G213" s="814"/>
    </row>
    <row r="214" spans="1:7">
      <c r="A214" s="14" t="s">
        <v>1818</v>
      </c>
      <c r="B214">
        <v>2309.9</v>
      </c>
      <c r="C214" s="831">
        <v>3.7377777777777781</v>
      </c>
      <c r="F214" s="814"/>
      <c r="G214" s="814"/>
    </row>
    <row r="215" spans="1:7">
      <c r="A215" s="14" t="s">
        <v>1251</v>
      </c>
      <c r="B215">
        <v>1604.2</v>
      </c>
      <c r="C215" s="831">
        <v>1.5</v>
      </c>
      <c r="F215" s="814"/>
      <c r="G215" s="814"/>
    </row>
    <row r="216" spans="1:7">
      <c r="A216" s="14" t="s">
        <v>6142</v>
      </c>
      <c r="B216"/>
      <c r="C216" s="831">
        <v>0</v>
      </c>
      <c r="F216" s="814"/>
      <c r="G216" s="814"/>
    </row>
    <row r="217" spans="1:7">
      <c r="A217" s="14" t="s">
        <v>9129</v>
      </c>
      <c r="B217">
        <v>304.48</v>
      </c>
      <c r="C217" s="830">
        <v>1.55</v>
      </c>
      <c r="F217" s="814"/>
      <c r="G217" s="814"/>
    </row>
    <row r="218" spans="1:7">
      <c r="A218" s="14" t="s">
        <v>9134</v>
      </c>
      <c r="B218">
        <v>304.97000000000003</v>
      </c>
      <c r="C218" s="830">
        <v>1.81</v>
      </c>
      <c r="F218" s="814"/>
      <c r="G218" s="814"/>
    </row>
    <row r="219" spans="1:7">
      <c r="A219" s="14" t="s">
        <v>9131</v>
      </c>
      <c r="B219">
        <v>304.57</v>
      </c>
      <c r="C219" s="830">
        <v>1.5</v>
      </c>
      <c r="F219" s="814"/>
      <c r="G219" s="814"/>
    </row>
    <row r="220" spans="1:7">
      <c r="A220" s="14" t="s">
        <v>8437</v>
      </c>
      <c r="B220">
        <v>302.82</v>
      </c>
      <c r="C220" s="831">
        <v>1.55</v>
      </c>
      <c r="F220" s="814"/>
      <c r="G220" s="814"/>
    </row>
    <row r="221" spans="1:7">
      <c r="A221" s="14" t="s">
        <v>8471</v>
      </c>
      <c r="B221">
        <v>303.82</v>
      </c>
      <c r="C221" s="831">
        <v>1.81</v>
      </c>
      <c r="F221" s="814"/>
      <c r="G221" s="814"/>
    </row>
    <row r="222" spans="1:7">
      <c r="A222" s="14" t="s">
        <v>9138</v>
      </c>
      <c r="B222">
        <v>306.31</v>
      </c>
      <c r="C222" s="830">
        <v>2.15</v>
      </c>
      <c r="F222" s="814"/>
      <c r="G222" s="814"/>
    </row>
    <row r="223" spans="1:7">
      <c r="A223" s="14" t="s">
        <v>6106</v>
      </c>
      <c r="B223">
        <v>306.11</v>
      </c>
      <c r="C223" s="831">
        <v>2.1536363636363633</v>
      </c>
      <c r="F223" s="814"/>
      <c r="G223" s="814"/>
    </row>
    <row r="224" spans="1:7">
      <c r="A224" s="14" t="s">
        <v>6139</v>
      </c>
      <c r="B224">
        <v>306.20999999999998</v>
      </c>
      <c r="C224" s="831">
        <v>2.1536363636363633</v>
      </c>
      <c r="F224" s="814"/>
      <c r="G224" s="814"/>
    </row>
    <row r="225" spans="1:7">
      <c r="A225" s="14" t="s">
        <v>3932</v>
      </c>
      <c r="B225">
        <v>302.12</v>
      </c>
      <c r="C225" s="831">
        <v>1.7086842105263156</v>
      </c>
      <c r="F225" s="814"/>
      <c r="G225" s="814"/>
    </row>
    <row r="226" spans="1:7">
      <c r="A226" s="14" t="s">
        <v>6107</v>
      </c>
      <c r="B226">
        <v>1604.11</v>
      </c>
      <c r="C226" s="831">
        <v>1.1110344827586207</v>
      </c>
      <c r="F226" s="814"/>
      <c r="G226" s="814"/>
    </row>
    <row r="227" spans="1:7">
      <c r="A227" s="14" t="s">
        <v>8472</v>
      </c>
      <c r="B227">
        <v>304.52</v>
      </c>
      <c r="C227" s="831">
        <v>2.2999999999999998</v>
      </c>
      <c r="F227" s="814"/>
      <c r="G227" s="814"/>
    </row>
    <row r="228" spans="1:7">
      <c r="A228" s="14" t="s">
        <v>6108</v>
      </c>
      <c r="B228">
        <v>305.41000000000003</v>
      </c>
      <c r="C228" s="831">
        <v>2.2322222222222221</v>
      </c>
      <c r="F228" s="814"/>
      <c r="G228" s="814"/>
    </row>
    <row r="229" spans="1:7">
      <c r="A229" s="14" t="s">
        <v>6109</v>
      </c>
      <c r="B229">
        <v>1604.13</v>
      </c>
      <c r="C229" s="831">
        <v>1.5566666666666666</v>
      </c>
      <c r="F229" s="814"/>
      <c r="G229" s="814"/>
    </row>
    <row r="230" spans="1:7">
      <c r="A230" s="14" t="s">
        <v>8473</v>
      </c>
      <c r="B230">
        <v>303.52999999999997</v>
      </c>
      <c r="C230" s="831">
        <v>1.2327272727272727</v>
      </c>
      <c r="F230" s="814"/>
      <c r="G230" s="814"/>
    </row>
    <row r="231" spans="1:7">
      <c r="A231" s="14" t="s">
        <v>282</v>
      </c>
      <c r="B231">
        <v>302.61</v>
      </c>
      <c r="C231" s="831">
        <v>1.1439999999999999</v>
      </c>
      <c r="F231" s="814"/>
      <c r="G231" s="814"/>
    </row>
    <row r="232" spans="1:7">
      <c r="A232" s="14" t="s">
        <v>6110</v>
      </c>
      <c r="B232">
        <v>303.70999999999998</v>
      </c>
      <c r="C232" s="831">
        <v>1.2327272727272727</v>
      </c>
      <c r="F232" s="814"/>
      <c r="G232" s="814"/>
    </row>
    <row r="233" spans="1:7">
      <c r="A233" s="14" t="s">
        <v>6111</v>
      </c>
      <c r="B233">
        <v>2103.9</v>
      </c>
      <c r="C233" s="831">
        <v>3.7377777777777799</v>
      </c>
      <c r="F233" s="814"/>
      <c r="G233" s="814"/>
    </row>
    <row r="234" spans="1:7">
      <c r="A234" s="14" t="s">
        <v>9149</v>
      </c>
      <c r="B234">
        <v>307.22000000000003</v>
      </c>
      <c r="C234" s="830">
        <v>1</v>
      </c>
      <c r="F234" s="814"/>
      <c r="G234" s="814"/>
    </row>
    <row r="235" spans="1:7">
      <c r="A235" s="14" t="s">
        <v>6112</v>
      </c>
      <c r="B235">
        <v>307.20999999999998</v>
      </c>
      <c r="C235" s="831">
        <v>3.0625</v>
      </c>
      <c r="F235" s="814"/>
      <c r="G235" s="814"/>
    </row>
    <row r="236" spans="1:7">
      <c r="A236" s="14" t="s">
        <v>6113</v>
      </c>
      <c r="B236">
        <v>307.29000000000002</v>
      </c>
      <c r="C236" s="831">
        <v>7.3</v>
      </c>
      <c r="F236" s="814"/>
      <c r="G236" s="814"/>
    </row>
    <row r="237" spans="1:7">
      <c r="A237" s="14" t="s">
        <v>8474</v>
      </c>
      <c r="B237">
        <v>1605.52</v>
      </c>
      <c r="C237" s="831">
        <v>7.3</v>
      </c>
      <c r="F237" s="814"/>
      <c r="G237" s="814"/>
    </row>
    <row r="238" spans="1:7">
      <c r="A238" s="14" t="s">
        <v>6114</v>
      </c>
      <c r="B238">
        <v>303.77</v>
      </c>
      <c r="C238" s="831">
        <v>1.61625</v>
      </c>
      <c r="F238" s="814"/>
      <c r="G238" s="814"/>
    </row>
    <row r="239" spans="1:7">
      <c r="A239" s="14" t="s">
        <v>8439</v>
      </c>
      <c r="B239">
        <v>308.19</v>
      </c>
      <c r="C239" s="831">
        <v>1.55</v>
      </c>
      <c r="F239" s="814"/>
      <c r="G239" s="814"/>
    </row>
    <row r="240" spans="1:7">
      <c r="A240" s="14" t="s">
        <v>8442</v>
      </c>
      <c r="B240">
        <v>308.11</v>
      </c>
      <c r="C240" s="831">
        <v>1.55</v>
      </c>
      <c r="F240" s="814"/>
      <c r="G240" s="814"/>
    </row>
    <row r="241" spans="1:7">
      <c r="A241" s="14" t="s">
        <v>8491</v>
      </c>
      <c r="B241">
        <v>1605.61</v>
      </c>
      <c r="C241" s="831">
        <v>3.1970000000000001</v>
      </c>
      <c r="F241" s="814"/>
      <c r="G241" s="814"/>
    </row>
    <row r="242" spans="1:7">
      <c r="A242" s="14" t="s">
        <v>8445</v>
      </c>
      <c r="B242">
        <v>308.29000000000002</v>
      </c>
      <c r="C242" s="831">
        <v>1.55</v>
      </c>
      <c r="F242" s="814"/>
      <c r="G242" s="814"/>
    </row>
    <row r="243" spans="1:7">
      <c r="A243" s="14" t="s">
        <v>8446</v>
      </c>
      <c r="B243">
        <v>308.20999999999998</v>
      </c>
      <c r="C243" s="831">
        <v>1.55</v>
      </c>
      <c r="F243" s="814"/>
      <c r="G243" s="814"/>
    </row>
    <row r="244" spans="1:7">
      <c r="A244" s="14" t="s">
        <v>8492</v>
      </c>
      <c r="B244">
        <v>1605.62</v>
      </c>
      <c r="C244" s="831">
        <v>3.1970000000000001</v>
      </c>
      <c r="F244" s="814"/>
      <c r="G244" s="814"/>
    </row>
    <row r="245" spans="1:7">
      <c r="A245" s="14" t="s">
        <v>8447</v>
      </c>
      <c r="B245">
        <v>302.83999999999997</v>
      </c>
      <c r="C245" s="831">
        <v>1.55</v>
      </c>
      <c r="F245" s="814"/>
      <c r="G245" s="814"/>
    </row>
    <row r="246" spans="1:7">
      <c r="A246" s="14" t="s">
        <v>8482</v>
      </c>
      <c r="B246">
        <v>303.83999999999997</v>
      </c>
      <c r="C246" s="831">
        <v>1.61625</v>
      </c>
      <c r="F246" s="814"/>
      <c r="G246" s="814"/>
    </row>
    <row r="247" spans="1:7">
      <c r="A247" s="14" t="s">
        <v>8455</v>
      </c>
      <c r="B247">
        <v>302.85000000000002</v>
      </c>
      <c r="C247" s="831">
        <v>1.55</v>
      </c>
      <c r="F247" s="814"/>
      <c r="G247" s="814"/>
    </row>
    <row r="248" spans="1:7">
      <c r="A248" s="14" t="s">
        <v>9160</v>
      </c>
      <c r="B248">
        <v>308.12</v>
      </c>
      <c r="C248" s="830">
        <v>1.55</v>
      </c>
      <c r="F248" s="814"/>
      <c r="G248" s="814"/>
    </row>
    <row r="249" spans="1:7">
      <c r="A249" s="14" t="s">
        <v>9161</v>
      </c>
      <c r="B249">
        <v>308.22000000000003</v>
      </c>
      <c r="C249" s="830">
        <v>3</v>
      </c>
      <c r="F249" s="814"/>
      <c r="G249" s="814"/>
    </row>
    <row r="250" spans="1:7">
      <c r="A250" s="14" t="s">
        <v>6115</v>
      </c>
      <c r="B250">
        <v>1212.2</v>
      </c>
      <c r="C250" s="831">
        <v>7.1428571428571432</v>
      </c>
      <c r="F250" s="814"/>
      <c r="G250" s="814"/>
    </row>
    <row r="251" spans="1:7">
      <c r="A251" s="14" t="s">
        <v>8484</v>
      </c>
      <c r="B251">
        <v>1212.21</v>
      </c>
      <c r="C251" s="858">
        <v>7.1428571428571432</v>
      </c>
      <c r="F251" s="814"/>
      <c r="G251" s="814"/>
    </row>
    <row r="252" spans="1:7">
      <c r="A252" s="14" t="s">
        <v>8485</v>
      </c>
      <c r="B252">
        <v>1212.29</v>
      </c>
      <c r="C252" s="858">
        <v>7.1428571428571432</v>
      </c>
      <c r="F252" s="814"/>
      <c r="G252" s="814"/>
    </row>
    <row r="253" spans="1:7">
      <c r="A253" s="14" t="s">
        <v>8486</v>
      </c>
      <c r="B253">
        <v>305.70999999999998</v>
      </c>
      <c r="C253" s="831">
        <v>4</v>
      </c>
      <c r="F253" s="814"/>
      <c r="G253" s="814"/>
    </row>
    <row r="254" spans="1:7">
      <c r="A254" s="14" t="s">
        <v>9122</v>
      </c>
      <c r="B254">
        <v>302.92</v>
      </c>
      <c r="C254" s="830">
        <v>4</v>
      </c>
      <c r="F254" s="814"/>
      <c r="G254" s="814"/>
    </row>
    <row r="255" spans="1:7">
      <c r="A255" s="14" t="s">
        <v>9126</v>
      </c>
      <c r="B255">
        <v>303.92</v>
      </c>
      <c r="C255" s="830">
        <v>4</v>
      </c>
      <c r="F255" s="814"/>
      <c r="G255" s="814"/>
    </row>
    <row r="256" spans="1:7">
      <c r="A256" s="14" t="s">
        <v>9162</v>
      </c>
      <c r="B256">
        <v>1604.18</v>
      </c>
      <c r="C256" s="830">
        <v>4</v>
      </c>
      <c r="F256" s="814"/>
      <c r="G256" s="814"/>
    </row>
    <row r="257" spans="1:7">
      <c r="A257" s="14" t="s">
        <v>9146</v>
      </c>
      <c r="B257">
        <v>306.95</v>
      </c>
      <c r="C257" s="830">
        <v>2.93</v>
      </c>
      <c r="F257" s="814"/>
      <c r="G257" s="814"/>
    </row>
    <row r="258" spans="1:7">
      <c r="A258" s="14" t="s">
        <v>6116</v>
      </c>
      <c r="B258">
        <v>1605.2</v>
      </c>
      <c r="C258" s="831">
        <v>2.9302272727272727</v>
      </c>
      <c r="F258" s="814"/>
      <c r="G258" s="814"/>
    </row>
    <row r="259" spans="1:7">
      <c r="A259" s="14" t="s">
        <v>8493</v>
      </c>
      <c r="B259">
        <v>1605.21</v>
      </c>
      <c r="C259" s="831">
        <v>3.1970000000000001</v>
      </c>
      <c r="F259" s="814"/>
      <c r="G259" s="814"/>
    </row>
    <row r="260" spans="1:7">
      <c r="A260" s="14" t="s">
        <v>6117</v>
      </c>
      <c r="B260">
        <v>306.13</v>
      </c>
      <c r="C260" s="831">
        <v>1.7983939393939394</v>
      </c>
      <c r="F260" s="814"/>
      <c r="G260" s="814"/>
    </row>
    <row r="261" spans="1:7">
      <c r="A261" s="14" t="s">
        <v>6140</v>
      </c>
      <c r="B261">
        <v>306.23</v>
      </c>
      <c r="C261" s="831">
        <v>1.7983939393939394</v>
      </c>
      <c r="F261" s="814"/>
      <c r="G261" s="814"/>
    </row>
    <row r="262" spans="1:7">
      <c r="A262" s="14" t="s">
        <v>6118</v>
      </c>
      <c r="B262">
        <v>302.33</v>
      </c>
      <c r="C262" s="831">
        <v>1.1359999999999999</v>
      </c>
      <c r="F262" s="814"/>
      <c r="G262" s="814"/>
    </row>
    <row r="263" spans="1:7">
      <c r="A263" s="14" t="s">
        <v>6119</v>
      </c>
      <c r="B263">
        <v>303.43</v>
      </c>
      <c r="C263" s="831">
        <v>1.5371428571428574</v>
      </c>
      <c r="F263" s="814"/>
      <c r="G263" s="814"/>
    </row>
    <row r="264" spans="1:7">
      <c r="A264" s="14" t="s">
        <v>6120</v>
      </c>
      <c r="B264">
        <v>303.11</v>
      </c>
      <c r="C264" s="831">
        <v>2.2322222222222221</v>
      </c>
      <c r="F264" s="814"/>
      <c r="G264" s="814"/>
    </row>
    <row r="265" spans="1:7">
      <c r="A265" s="14" t="s">
        <v>6121</v>
      </c>
      <c r="B265">
        <v>302.23</v>
      </c>
      <c r="C265" s="831">
        <v>1.2265384615384614</v>
      </c>
      <c r="F265" s="814"/>
      <c r="G265" s="814"/>
    </row>
    <row r="266" spans="1:7">
      <c r="A266" s="14" t="s">
        <v>6122</v>
      </c>
      <c r="B266">
        <v>303.33</v>
      </c>
      <c r="C266" s="831">
        <v>1.2250000000000001</v>
      </c>
      <c r="F266" s="814"/>
      <c r="G266" s="814"/>
    </row>
    <row r="267" spans="1:7">
      <c r="A267" s="14" t="s">
        <v>6123</v>
      </c>
      <c r="B267">
        <v>301.95</v>
      </c>
      <c r="C267" s="831">
        <v>1.1759999999999999</v>
      </c>
      <c r="F267" s="814"/>
      <c r="G267" s="814"/>
    </row>
    <row r="268" spans="1:7">
      <c r="A268" s="14" t="s">
        <v>9156</v>
      </c>
      <c r="B268">
        <v>307.83999999999997</v>
      </c>
      <c r="C268" s="830">
        <v>1</v>
      </c>
      <c r="F268" s="814"/>
      <c r="G268" s="814"/>
    </row>
    <row r="269" spans="1:7">
      <c r="A269" s="14" t="s">
        <v>9154</v>
      </c>
      <c r="B269">
        <v>307.82</v>
      </c>
      <c r="C269" s="830">
        <v>1</v>
      </c>
      <c r="F269" s="814"/>
      <c r="G269" s="814"/>
    </row>
    <row r="270" spans="1:7">
      <c r="A270" s="14" t="s">
        <v>9158</v>
      </c>
      <c r="B270">
        <v>307.88</v>
      </c>
      <c r="C270" s="830">
        <v>5.6</v>
      </c>
      <c r="F270" s="814"/>
      <c r="G270" s="814"/>
    </row>
    <row r="271" spans="1:7">
      <c r="A271" s="14" t="s">
        <v>6124</v>
      </c>
      <c r="B271">
        <v>304.20999999999998</v>
      </c>
      <c r="C271" s="831">
        <v>2.21</v>
      </c>
      <c r="F271" s="814"/>
      <c r="G271" s="814"/>
    </row>
    <row r="272" spans="1:7">
      <c r="A272" s="14" t="s">
        <v>6125</v>
      </c>
      <c r="B272">
        <v>304.11</v>
      </c>
      <c r="C272" s="831">
        <v>2.21</v>
      </c>
      <c r="F272" s="814"/>
      <c r="G272" s="814"/>
    </row>
    <row r="273" spans="1:7">
      <c r="A273" s="14" t="s">
        <v>6126</v>
      </c>
      <c r="B273">
        <v>304.91000000000003</v>
      </c>
      <c r="C273" s="831">
        <v>1.47</v>
      </c>
      <c r="F273" s="814"/>
      <c r="G273" s="814"/>
    </row>
    <row r="274" spans="1:7">
      <c r="A274" s="14" t="s">
        <v>8488</v>
      </c>
      <c r="B274">
        <v>304.54000000000002</v>
      </c>
      <c r="C274" s="831">
        <v>2.21</v>
      </c>
      <c r="F274" s="814"/>
      <c r="G274" s="814"/>
    </row>
    <row r="275" spans="1:7">
      <c r="A275" s="14" t="s">
        <v>8489</v>
      </c>
      <c r="B275">
        <v>304.45</v>
      </c>
      <c r="C275" s="831">
        <v>2.21</v>
      </c>
      <c r="F275" s="814"/>
      <c r="G275" s="814"/>
    </row>
    <row r="276" spans="1:7">
      <c r="A276" s="14" t="s">
        <v>8490</v>
      </c>
      <c r="B276">
        <v>304.83999999999997</v>
      </c>
      <c r="C276" s="831">
        <v>2.21</v>
      </c>
      <c r="F276" s="814"/>
      <c r="G276" s="814"/>
    </row>
    <row r="277" spans="1:7">
      <c r="A277" s="14" t="s">
        <v>6127</v>
      </c>
      <c r="B277">
        <v>302.67</v>
      </c>
      <c r="C277" s="831">
        <v>1.19</v>
      </c>
      <c r="F277" s="814"/>
      <c r="G277" s="814"/>
    </row>
    <row r="278" spans="1:7">
      <c r="A278" s="14" t="s">
        <v>6128</v>
      </c>
      <c r="B278">
        <v>303.61</v>
      </c>
      <c r="C278" s="831">
        <v>1.4133333333333333</v>
      </c>
    </row>
    <row r="279" spans="1:7">
      <c r="A279" s="14" t="s">
        <v>8395</v>
      </c>
      <c r="B279">
        <v>304.31</v>
      </c>
      <c r="C279" s="831">
        <v>1.9677110566448803</v>
      </c>
    </row>
    <row r="280" spans="1:7">
      <c r="A280" s="14" t="s">
        <v>8405</v>
      </c>
      <c r="B280">
        <v>304.61</v>
      </c>
      <c r="C280" s="831">
        <v>1.9677110566448803</v>
      </c>
    </row>
    <row r="281" spans="1:7">
      <c r="A281" s="14" t="s">
        <v>8459</v>
      </c>
      <c r="B281">
        <v>302.70999999999998</v>
      </c>
      <c r="C281" s="831">
        <v>1.55</v>
      </c>
    </row>
    <row r="282" spans="1:7">
      <c r="A282" s="14" t="s">
        <v>8475</v>
      </c>
      <c r="B282">
        <v>303.23</v>
      </c>
      <c r="C282" s="831">
        <v>1.81</v>
      </c>
    </row>
    <row r="283" spans="1:7">
      <c r="A283" s="14" t="s">
        <v>8476</v>
      </c>
      <c r="B283">
        <v>304.93</v>
      </c>
      <c r="C283" s="831">
        <v>1.81</v>
      </c>
    </row>
    <row r="284" spans="1:7">
      <c r="A284" s="14" t="s">
        <v>8496</v>
      </c>
      <c r="B284">
        <v>305.31</v>
      </c>
      <c r="C284" s="831">
        <v>1.81</v>
      </c>
    </row>
    <row r="285" spans="1:7">
      <c r="A285" s="14" t="s">
        <v>8497</v>
      </c>
      <c r="B285">
        <v>305.44</v>
      </c>
      <c r="C285" s="831">
        <v>1.81</v>
      </c>
    </row>
    <row r="286" spans="1:7">
      <c r="A286" s="14" t="s">
        <v>8498</v>
      </c>
      <c r="B286">
        <v>305.64</v>
      </c>
      <c r="C286" s="831">
        <v>1.81</v>
      </c>
    </row>
    <row r="287" spans="1:7">
      <c r="A287" s="14" t="s">
        <v>6129</v>
      </c>
      <c r="B287">
        <v>304.22000000000003</v>
      </c>
      <c r="C287" s="831">
        <v>2.2000000000000002</v>
      </c>
    </row>
    <row r="288" spans="1:7">
      <c r="A288" s="14" t="s">
        <v>6130</v>
      </c>
      <c r="B288">
        <v>304.12</v>
      </c>
      <c r="C288" s="831">
        <v>2.7</v>
      </c>
    </row>
    <row r="289" spans="1:3">
      <c r="A289" s="14" t="s">
        <v>6131</v>
      </c>
      <c r="B289">
        <v>304.92</v>
      </c>
      <c r="C289" s="831">
        <v>1.6</v>
      </c>
    </row>
    <row r="290" spans="1:3">
      <c r="A290" s="14" t="s">
        <v>8499</v>
      </c>
      <c r="B290">
        <v>302.83</v>
      </c>
      <c r="C290" s="831">
        <v>1.57125</v>
      </c>
    </row>
    <row r="291" spans="1:3">
      <c r="A291" s="14" t="s">
        <v>8500</v>
      </c>
      <c r="B291">
        <v>304.45999999999998</v>
      </c>
      <c r="C291" s="831">
        <v>2.7</v>
      </c>
    </row>
    <row r="292" spans="1:3">
      <c r="A292" s="14" t="s">
        <v>8501</v>
      </c>
      <c r="B292">
        <v>304.85000000000002</v>
      </c>
      <c r="C292" s="831">
        <v>2.2000000000000002</v>
      </c>
    </row>
    <row r="293" spans="1:3">
      <c r="A293" s="14" t="s">
        <v>1819</v>
      </c>
      <c r="B293">
        <v>302.68</v>
      </c>
      <c r="C293" s="831">
        <v>1.2</v>
      </c>
    </row>
    <row r="294" spans="1:3">
      <c r="A294" s="14" t="s">
        <v>1817</v>
      </c>
      <c r="B294">
        <v>303.62</v>
      </c>
      <c r="C294" s="831">
        <v>1.35</v>
      </c>
    </row>
    <row r="295" spans="1:3">
      <c r="A295" s="14" t="s">
        <v>8502</v>
      </c>
      <c r="B295">
        <v>304.55</v>
      </c>
      <c r="C295" s="831">
        <v>2.7</v>
      </c>
    </row>
    <row r="296" spans="1:3">
      <c r="A296" s="14" t="s">
        <v>6132</v>
      </c>
      <c r="B296">
        <v>302.11</v>
      </c>
      <c r="C296" s="831">
        <v>1.57125</v>
      </c>
    </row>
    <row r="297" spans="1:3">
      <c r="A297" s="14" t="s">
        <v>6133</v>
      </c>
      <c r="B297">
        <v>301.91000000000003</v>
      </c>
      <c r="C297" s="831">
        <v>1.57125</v>
      </c>
    </row>
    <row r="298" spans="1:3">
      <c r="A298" s="14" t="s">
        <v>8503</v>
      </c>
      <c r="B298">
        <v>304.42</v>
      </c>
      <c r="C298" s="831">
        <v>1.57125</v>
      </c>
    </row>
    <row r="299" spans="1:3">
      <c r="A299" s="14" t="s">
        <v>8504</v>
      </c>
      <c r="B299">
        <v>304.82</v>
      </c>
      <c r="C299" s="831">
        <v>1.7086842105263156</v>
      </c>
    </row>
    <row r="300" spans="1:3">
      <c r="A300" s="14" t="s">
        <v>6134</v>
      </c>
      <c r="B300">
        <v>303.20999999999998</v>
      </c>
      <c r="C300" s="831">
        <v>1.7086842105263156</v>
      </c>
    </row>
    <row r="301" spans="1:3">
      <c r="A301" s="14" t="s">
        <v>8505</v>
      </c>
      <c r="B301">
        <v>305.43</v>
      </c>
      <c r="C301" s="831">
        <v>1.7086842105263156</v>
      </c>
    </row>
    <row r="302" spans="1:3">
      <c r="A302" s="14" t="s">
        <v>6135</v>
      </c>
      <c r="B302">
        <v>1604.14</v>
      </c>
      <c r="C302" s="831">
        <v>1.1110344827586207</v>
      </c>
    </row>
    <row r="303" spans="1:3">
      <c r="A303" s="14" t="s">
        <v>8506</v>
      </c>
      <c r="B303">
        <v>304.87</v>
      </c>
      <c r="C303" s="831">
        <v>2.0979999999999999</v>
      </c>
    </row>
    <row r="304" spans="1:3">
      <c r="A304" s="14" t="s">
        <v>8507</v>
      </c>
      <c r="B304">
        <v>302.24</v>
      </c>
      <c r="C304" s="831">
        <v>1</v>
      </c>
    </row>
    <row r="305" spans="1:3">
      <c r="A305" s="14" t="s">
        <v>8508</v>
      </c>
      <c r="B305">
        <v>303.33999999999997</v>
      </c>
      <c r="C305" s="831">
        <v>1.1100000000000001</v>
      </c>
    </row>
    <row r="306" spans="1:3">
      <c r="A306" s="14" t="s">
        <v>6136</v>
      </c>
      <c r="B306">
        <v>302.32</v>
      </c>
      <c r="C306" s="831">
        <v>1.9845833333333331</v>
      </c>
    </row>
    <row r="307" spans="1:3">
      <c r="A307" s="19" t="s">
        <v>6137</v>
      </c>
      <c r="B307" s="20">
        <v>303.42</v>
      </c>
      <c r="C307" s="832">
        <v>1.82</v>
      </c>
    </row>
  </sheetData>
  <sortState xmlns:xlrd2="http://schemas.microsoft.com/office/spreadsheetml/2017/richdata2" ref="A6:C307">
    <sortCondition ref="A6:A307"/>
  </sortState>
  <hyperlinks>
    <hyperlink ref="C3" location="fish_commodity_yield_n!A1" display="fish_commodity_yield_n" xr:uid="{00000000-0004-0000-3400-000000000000}"/>
    <hyperlink ref="D3" location="fish_feed_group_yield_w!A1" display="fish_feed_group_yield_w" xr:uid="{00000000-0004-0000-3400-000001000000}"/>
    <hyperlink ref="E3" location="fish_feed_group_yield_n!A1" display="fish_feed_group_yield_n" xr:uid="{00000000-0004-0000-3400-000002000000}"/>
  </hyperlinks>
  <pageMargins left="0.75" right="0.75" top="1" bottom="1" header="0.5" footer="0.5"/>
  <headerFooter alignWithMargins="0"/>
  <drawing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06">
    <tabColor theme="4"/>
  </sheetPr>
  <dimension ref="A1:H2340"/>
  <sheetViews>
    <sheetView zoomScaleNormal="100" workbookViewId="0">
      <pane ySplit="6" topLeftCell="A7" activePane="bottomLeft" state="frozen"/>
      <selection activeCell="B24" sqref="B24"/>
      <selection pane="bottomLeft" activeCell="A65536" sqref="A65536"/>
    </sheetView>
  </sheetViews>
  <sheetFormatPr defaultColWidth="9.1796875" defaultRowHeight="12.5"/>
  <cols>
    <col min="1" max="1" width="30.1796875" style="253" customWidth="1"/>
    <col min="2" max="2" width="31.26953125" style="253" customWidth="1"/>
    <col min="3" max="3" width="21.81640625" style="253" customWidth="1"/>
    <col min="4" max="4" width="16" style="253" customWidth="1"/>
    <col min="5" max="16384" width="9.1796875" style="253"/>
  </cols>
  <sheetData>
    <row r="1" spans="1:8" s="36" customFormat="1" ht="12.75" customHeight="1">
      <c r="B1" s="97"/>
      <c r="C1" s="97"/>
      <c r="D1" s="97"/>
      <c r="E1" s="97"/>
      <c r="F1" s="97"/>
      <c r="G1" s="264"/>
      <c r="H1" s="264"/>
    </row>
    <row r="2" spans="1:8" s="36" customFormat="1" ht="12.75" customHeight="1">
      <c r="C2" s="37" t="s">
        <v>985</v>
      </c>
      <c r="D2" s="96" t="s">
        <v>1745</v>
      </c>
      <c r="E2" s="97"/>
      <c r="F2" s="97"/>
      <c r="G2" s="97"/>
      <c r="H2" s="253"/>
    </row>
    <row r="3" spans="1:8" s="36" customFormat="1" ht="12.75" customHeight="1">
      <c r="C3" s="266" t="s">
        <v>6154</v>
      </c>
      <c r="D3" s="466" t="s">
        <v>8829</v>
      </c>
      <c r="E3" s="466" t="s">
        <v>8832</v>
      </c>
      <c r="F3" s="466"/>
      <c r="G3" s="466"/>
      <c r="H3" s="466"/>
    </row>
    <row r="4" spans="1:8" s="36" customFormat="1" ht="12.75" customHeight="1">
      <c r="G4" s="253"/>
      <c r="H4" s="265"/>
    </row>
    <row r="5" spans="1:8" ht="13">
      <c r="A5" s="1017" t="s">
        <v>6193</v>
      </c>
      <c r="B5" s="1017" t="s">
        <v>5331</v>
      </c>
      <c r="C5" s="1017" t="s">
        <v>6194</v>
      </c>
      <c r="D5" s="1019" t="s">
        <v>2242</v>
      </c>
    </row>
    <row r="6" spans="1:8" ht="13">
      <c r="A6" s="1021" t="s">
        <v>542</v>
      </c>
      <c r="B6" s="1021" t="s">
        <v>542</v>
      </c>
      <c r="C6" s="1021" t="s">
        <v>542</v>
      </c>
      <c r="D6" s="1061" t="s">
        <v>542</v>
      </c>
      <c r="F6" s="267"/>
    </row>
    <row r="7" spans="1:8">
      <c r="A7" t="s">
        <v>5434</v>
      </c>
      <c r="B7" t="s">
        <v>2283</v>
      </c>
      <c r="C7">
        <v>10118</v>
      </c>
      <c r="D7" s="806">
        <v>4.5</v>
      </c>
    </row>
    <row r="8" spans="1:8">
      <c r="A8" t="s">
        <v>2936</v>
      </c>
      <c r="B8" t="s">
        <v>2235</v>
      </c>
      <c r="C8">
        <v>2153</v>
      </c>
      <c r="D8" s="807">
        <v>2.94</v>
      </c>
    </row>
    <row r="9" spans="1:8">
      <c r="A9" s="403" t="s">
        <v>9164</v>
      </c>
      <c r="B9" s="771" t="s">
        <v>9180</v>
      </c>
      <c r="C9" s="403">
        <v>12090</v>
      </c>
      <c r="D9" s="807">
        <v>4</v>
      </c>
    </row>
    <row r="10" spans="1:8">
      <c r="A10" s="771" t="s">
        <v>9165</v>
      </c>
      <c r="B10" s="403" t="s">
        <v>9181</v>
      </c>
      <c r="C10" s="403">
        <v>13931</v>
      </c>
      <c r="D10" s="807">
        <v>3.6</v>
      </c>
    </row>
    <row r="11" spans="1:8">
      <c r="A11" s="403" t="s">
        <v>9166</v>
      </c>
      <c r="B11" s="403" t="s">
        <v>9182</v>
      </c>
      <c r="C11" s="403">
        <v>20446</v>
      </c>
      <c r="D11" s="807">
        <v>1</v>
      </c>
    </row>
    <row r="12" spans="1:8">
      <c r="A12" s="403" t="s">
        <v>9167</v>
      </c>
      <c r="B12" s="403" t="s">
        <v>8619</v>
      </c>
      <c r="C12" s="403">
        <v>20548</v>
      </c>
      <c r="D12" s="807">
        <v>1</v>
      </c>
    </row>
    <row r="13" spans="1:8">
      <c r="A13" s="403" t="s">
        <v>9168</v>
      </c>
      <c r="B13" s="771" t="s">
        <v>9183</v>
      </c>
      <c r="C13" s="403">
        <v>18926</v>
      </c>
      <c r="D13" s="807">
        <v>4.2</v>
      </c>
    </row>
    <row r="14" spans="1:8">
      <c r="A14" s="403" t="s">
        <v>9169</v>
      </c>
      <c r="B14" s="886" t="s">
        <v>9184</v>
      </c>
      <c r="C14" s="403">
        <v>17155</v>
      </c>
      <c r="D14" s="807">
        <v>2.33</v>
      </c>
    </row>
    <row r="15" spans="1:8">
      <c r="A15" s="403" t="s">
        <v>9170</v>
      </c>
      <c r="B15" s="887" t="s">
        <v>9185</v>
      </c>
      <c r="C15" s="403">
        <v>3190</v>
      </c>
      <c r="D15" s="807">
        <v>3.8</v>
      </c>
    </row>
    <row r="16" spans="1:8">
      <c r="A16" s="813" t="s">
        <v>6787</v>
      </c>
      <c r="B16" t="s">
        <v>9186</v>
      </c>
      <c r="C16" s="813">
        <v>2165</v>
      </c>
      <c r="D16" s="807">
        <v>2.4</v>
      </c>
    </row>
    <row r="17" spans="1:4">
      <c r="A17" s="813" t="s">
        <v>9171</v>
      </c>
      <c r="B17" s="771" t="s">
        <v>9187</v>
      </c>
      <c r="C17" s="813">
        <v>13209</v>
      </c>
      <c r="D17" s="807">
        <v>3.4</v>
      </c>
    </row>
    <row r="18" spans="1:4">
      <c r="A18" s="813" t="s">
        <v>9172</v>
      </c>
      <c r="B18" t="s">
        <v>9188</v>
      </c>
      <c r="C18" s="813">
        <v>18277</v>
      </c>
      <c r="D18" s="807">
        <v>1</v>
      </c>
    </row>
    <row r="19" spans="1:4">
      <c r="A19" s="813" t="s">
        <v>9173</v>
      </c>
      <c r="B19" t="s">
        <v>9189</v>
      </c>
      <c r="C19" s="813">
        <v>18498</v>
      </c>
      <c r="D19" s="807">
        <v>1</v>
      </c>
    </row>
    <row r="20" spans="1:4">
      <c r="A20" s="813" t="s">
        <v>9174</v>
      </c>
      <c r="B20" s="813" t="s">
        <v>9190</v>
      </c>
      <c r="C20" s="813">
        <v>18624</v>
      </c>
      <c r="D20" s="807">
        <v>2.17</v>
      </c>
    </row>
    <row r="21" spans="1:4">
      <c r="A21" s="813" t="s">
        <v>9175</v>
      </c>
      <c r="B21" s="813" t="s">
        <v>9191</v>
      </c>
      <c r="C21" s="813">
        <v>20325</v>
      </c>
      <c r="D21" s="807">
        <v>1</v>
      </c>
    </row>
    <row r="22" spans="1:4">
      <c r="A22" s="813" t="s">
        <v>9176</v>
      </c>
      <c r="B22" t="s">
        <v>9192</v>
      </c>
      <c r="C22" s="813">
        <v>20552</v>
      </c>
      <c r="D22" s="807">
        <v>2.1</v>
      </c>
    </row>
    <row r="23" spans="1:4">
      <c r="A23" s="813" t="s">
        <v>9177</v>
      </c>
      <c r="B23" t="s">
        <v>9193</v>
      </c>
      <c r="C23" s="813">
        <v>20606</v>
      </c>
      <c r="D23" s="807">
        <v>2.16</v>
      </c>
    </row>
    <row r="24" spans="1:4">
      <c r="A24" s="813" t="s">
        <v>9178</v>
      </c>
      <c r="B24" t="s">
        <v>9194</v>
      </c>
      <c r="C24" s="813">
        <v>20629</v>
      </c>
      <c r="D24" s="807">
        <v>3.75</v>
      </c>
    </row>
    <row r="25" spans="1:4">
      <c r="A25" s="813" t="s">
        <v>9179</v>
      </c>
      <c r="B25" t="s">
        <v>9195</v>
      </c>
      <c r="C25" s="813">
        <v>20630</v>
      </c>
      <c r="D25" s="807">
        <v>4.3499999999999996</v>
      </c>
    </row>
    <row r="26" spans="1:4">
      <c r="A26" t="s">
        <v>4800</v>
      </c>
      <c r="B26" t="s">
        <v>2236</v>
      </c>
      <c r="C26">
        <v>2956</v>
      </c>
      <c r="D26" s="807">
        <v>2.94</v>
      </c>
    </row>
    <row r="27" spans="1:4">
      <c r="A27" t="s">
        <v>3529</v>
      </c>
      <c r="B27" t="s">
        <v>4184</v>
      </c>
      <c r="C27">
        <v>3081</v>
      </c>
      <c r="D27" s="807">
        <v>4.01</v>
      </c>
    </row>
    <row r="28" spans="1:4">
      <c r="A28" t="s">
        <v>3683</v>
      </c>
      <c r="B28" t="s">
        <v>2237</v>
      </c>
      <c r="C28">
        <v>10125</v>
      </c>
      <c r="D28" s="807">
        <v>3</v>
      </c>
    </row>
    <row r="29" spans="1:4">
      <c r="A29" t="s">
        <v>3784</v>
      </c>
      <c r="B29" t="s">
        <v>4114</v>
      </c>
      <c r="C29">
        <v>3279</v>
      </c>
      <c r="D29" s="807">
        <v>4.4000000000000004</v>
      </c>
    </row>
    <row r="30" spans="1:4">
      <c r="A30" t="s">
        <v>5257</v>
      </c>
      <c r="B30" t="s">
        <v>3619</v>
      </c>
      <c r="C30">
        <v>2398</v>
      </c>
      <c r="D30" s="807">
        <v>3.48</v>
      </c>
    </row>
    <row r="31" spans="1:4">
      <c r="A31" t="s">
        <v>4620</v>
      </c>
      <c r="B31" t="s">
        <v>3439</v>
      </c>
      <c r="C31">
        <v>18786</v>
      </c>
      <c r="D31" s="807">
        <v>3.39</v>
      </c>
    </row>
    <row r="32" spans="1:4">
      <c r="A32" t="s">
        <v>5071</v>
      </c>
      <c r="B32" t="s">
        <v>3440</v>
      </c>
      <c r="C32">
        <v>3203</v>
      </c>
      <c r="D32" s="807">
        <v>3.15</v>
      </c>
    </row>
    <row r="33" spans="1:4">
      <c r="A33" t="s">
        <v>4315</v>
      </c>
      <c r="B33" t="s">
        <v>3441</v>
      </c>
      <c r="C33">
        <v>3202</v>
      </c>
      <c r="D33" s="807">
        <v>3.24</v>
      </c>
    </row>
    <row r="34" spans="1:4">
      <c r="A34" t="s">
        <v>172</v>
      </c>
      <c r="B34" t="s">
        <v>3442</v>
      </c>
      <c r="C34">
        <v>3264</v>
      </c>
      <c r="D34" s="807">
        <v>2.23</v>
      </c>
    </row>
    <row r="35" spans="1:4">
      <c r="A35" t="s">
        <v>694</v>
      </c>
      <c r="B35" t="s">
        <v>3443</v>
      </c>
      <c r="C35">
        <v>18959</v>
      </c>
      <c r="D35" s="807">
        <v>2</v>
      </c>
    </row>
    <row r="36" spans="1:4">
      <c r="A36" t="s">
        <v>550</v>
      </c>
      <c r="B36" t="s">
        <v>551</v>
      </c>
      <c r="C36">
        <v>16643</v>
      </c>
      <c r="D36" s="807">
        <v>3.3182763159269002</v>
      </c>
    </row>
    <row r="37" spans="1:4">
      <c r="A37" t="s">
        <v>1489</v>
      </c>
      <c r="B37" t="s">
        <v>3819</v>
      </c>
      <c r="C37">
        <v>3428</v>
      </c>
      <c r="D37" s="807">
        <v>2.7</v>
      </c>
    </row>
    <row r="38" spans="1:4">
      <c r="A38" t="s">
        <v>4255</v>
      </c>
      <c r="B38" t="s">
        <v>8524</v>
      </c>
      <c r="C38">
        <v>2879</v>
      </c>
      <c r="D38" s="807">
        <v>3.3</v>
      </c>
    </row>
    <row r="39" spans="1:4">
      <c r="A39" t="s">
        <v>4429</v>
      </c>
      <c r="B39" t="s">
        <v>4392</v>
      </c>
      <c r="C39">
        <v>2877</v>
      </c>
      <c r="D39" s="807">
        <v>3.11</v>
      </c>
    </row>
    <row r="40" spans="1:4">
      <c r="A40" t="s">
        <v>1351</v>
      </c>
      <c r="B40" t="s">
        <v>4393</v>
      </c>
      <c r="C40">
        <v>10180</v>
      </c>
      <c r="D40" s="807">
        <v>3.25</v>
      </c>
    </row>
    <row r="41" spans="1:4">
      <c r="A41" t="s">
        <v>3998</v>
      </c>
      <c r="B41" t="s">
        <v>8525</v>
      </c>
      <c r="C41">
        <v>10183</v>
      </c>
      <c r="D41" s="807">
        <v>3.4</v>
      </c>
    </row>
    <row r="42" spans="1:4">
      <c r="A42" t="s">
        <v>1877</v>
      </c>
      <c r="B42" t="s">
        <v>1878</v>
      </c>
      <c r="C42">
        <v>10184</v>
      </c>
      <c r="D42" s="807">
        <v>3.33</v>
      </c>
    </row>
    <row r="43" spans="1:4">
      <c r="A43" t="s">
        <v>3312</v>
      </c>
      <c r="B43" t="s">
        <v>4394</v>
      </c>
      <c r="C43">
        <v>2070</v>
      </c>
      <c r="D43" s="807">
        <v>3.6</v>
      </c>
    </row>
    <row r="44" spans="1:4">
      <c r="A44" t="s">
        <v>1045</v>
      </c>
      <c r="B44" t="s">
        <v>913</v>
      </c>
      <c r="C44">
        <v>2071</v>
      </c>
      <c r="D44" s="807">
        <v>3.1</v>
      </c>
    </row>
    <row r="45" spans="1:4">
      <c r="A45" t="s">
        <v>2633</v>
      </c>
      <c r="B45" t="s">
        <v>1105</v>
      </c>
      <c r="C45">
        <v>2878</v>
      </c>
      <c r="D45" s="807">
        <v>3.22</v>
      </c>
    </row>
    <row r="46" spans="1:4">
      <c r="A46" t="s">
        <v>3223</v>
      </c>
      <c r="B46" t="s">
        <v>1106</v>
      </c>
      <c r="C46">
        <v>2069</v>
      </c>
      <c r="D46" s="807">
        <v>3.41</v>
      </c>
    </row>
    <row r="47" spans="1:4">
      <c r="A47" t="s">
        <v>1699</v>
      </c>
      <c r="B47" t="s">
        <v>3106</v>
      </c>
      <c r="C47">
        <v>18775</v>
      </c>
      <c r="D47" s="807">
        <v>2.299900546274809</v>
      </c>
    </row>
    <row r="48" spans="1:4">
      <c r="A48" t="s">
        <v>4200</v>
      </c>
      <c r="B48" t="s">
        <v>6409</v>
      </c>
      <c r="C48">
        <v>2422</v>
      </c>
      <c r="D48" s="807">
        <v>2</v>
      </c>
    </row>
    <row r="49" spans="1:4">
      <c r="A49" t="s">
        <v>4770</v>
      </c>
      <c r="B49" t="s">
        <v>290</v>
      </c>
      <c r="C49">
        <v>3523</v>
      </c>
      <c r="D49" s="807">
        <v>2.1</v>
      </c>
    </row>
    <row r="50" spans="1:4">
      <c r="A50" t="s">
        <v>2542</v>
      </c>
      <c r="B50" t="s">
        <v>649</v>
      </c>
      <c r="C50">
        <v>10211</v>
      </c>
      <c r="D50" s="807">
        <v>4.2</v>
      </c>
    </row>
    <row r="51" spans="1:4">
      <c r="A51" t="s">
        <v>8838</v>
      </c>
      <c r="B51" t="s">
        <v>8839</v>
      </c>
      <c r="C51">
        <v>10215</v>
      </c>
      <c r="D51" s="807">
        <v>4.2</v>
      </c>
    </row>
    <row r="52" spans="1:4">
      <c r="A52" t="s">
        <v>8242</v>
      </c>
      <c r="B52" t="s">
        <v>8243</v>
      </c>
      <c r="C52">
        <v>6812</v>
      </c>
      <c r="D52" s="807">
        <v>4</v>
      </c>
    </row>
    <row r="53" spans="1:4">
      <c r="A53" t="s">
        <v>870</v>
      </c>
      <c r="B53" t="s">
        <v>650</v>
      </c>
      <c r="C53">
        <v>18787</v>
      </c>
      <c r="D53" s="807">
        <v>3.44</v>
      </c>
    </row>
    <row r="54" spans="1:4">
      <c r="A54" t="s">
        <v>8526</v>
      </c>
      <c r="B54" t="s">
        <v>8527</v>
      </c>
      <c r="C54">
        <v>10244</v>
      </c>
      <c r="D54" s="807">
        <v>3.4</v>
      </c>
    </row>
    <row r="55" spans="1:4">
      <c r="A55" t="s">
        <v>8528</v>
      </c>
      <c r="B55" t="s">
        <v>8529</v>
      </c>
      <c r="C55">
        <v>18543</v>
      </c>
      <c r="D55" s="807">
        <v>1</v>
      </c>
    </row>
    <row r="56" spans="1:4">
      <c r="A56" t="s">
        <v>124</v>
      </c>
      <c r="B56" t="s">
        <v>651</v>
      </c>
      <c r="C56">
        <v>2076</v>
      </c>
      <c r="D56" s="807">
        <v>3.67</v>
      </c>
    </row>
    <row r="57" spans="1:4">
      <c r="A57" t="s">
        <v>4161</v>
      </c>
      <c r="B57" t="s">
        <v>2238</v>
      </c>
      <c r="C57">
        <v>2155</v>
      </c>
      <c r="D57" s="807">
        <v>3.01</v>
      </c>
    </row>
    <row r="58" spans="1:4">
      <c r="A58" t="s">
        <v>2724</v>
      </c>
      <c r="B58" t="s">
        <v>2722</v>
      </c>
      <c r="C58">
        <v>3121</v>
      </c>
      <c r="D58" s="807">
        <v>3.6</v>
      </c>
    </row>
    <row r="59" spans="1:4">
      <c r="A59" t="s">
        <v>8244</v>
      </c>
      <c r="B59" t="s">
        <v>8245</v>
      </c>
      <c r="C59">
        <v>10264</v>
      </c>
      <c r="D59" s="807">
        <v>4</v>
      </c>
    </row>
    <row r="60" spans="1:4">
      <c r="A60" t="s">
        <v>3727</v>
      </c>
      <c r="B60" t="s">
        <v>2723</v>
      </c>
      <c r="C60">
        <v>10268</v>
      </c>
      <c r="D60" s="807">
        <v>3.32</v>
      </c>
    </row>
    <row r="61" spans="1:4">
      <c r="A61" t="s">
        <v>6469</v>
      </c>
      <c r="B61" t="s">
        <v>6468</v>
      </c>
      <c r="C61">
        <v>10272</v>
      </c>
      <c r="D61" s="807">
        <v>4.0999999999999996</v>
      </c>
    </row>
    <row r="62" spans="1:4">
      <c r="A62" t="s">
        <v>3985</v>
      </c>
      <c r="B62" t="s">
        <v>2185</v>
      </c>
      <c r="C62">
        <v>2923</v>
      </c>
      <c r="D62" s="807">
        <v>3.69</v>
      </c>
    </row>
    <row r="63" spans="1:4">
      <c r="A63" t="s">
        <v>5514</v>
      </c>
      <c r="B63" t="s">
        <v>5515</v>
      </c>
      <c r="C63">
        <v>2111</v>
      </c>
      <c r="D63" s="807">
        <v>3.45</v>
      </c>
    </row>
    <row r="64" spans="1:4">
      <c r="A64" t="s">
        <v>6207</v>
      </c>
      <c r="B64" t="s">
        <v>6206</v>
      </c>
      <c r="C64">
        <v>10276</v>
      </c>
      <c r="D64" s="807">
        <v>2</v>
      </c>
    </row>
    <row r="65" spans="1:4">
      <c r="A65" t="s">
        <v>8246</v>
      </c>
      <c r="B65" t="s">
        <v>8247</v>
      </c>
      <c r="C65">
        <v>20410</v>
      </c>
      <c r="D65" s="807">
        <v>2.83</v>
      </c>
    </row>
    <row r="66" spans="1:4">
      <c r="A66" t="s">
        <v>3873</v>
      </c>
      <c r="B66" t="s">
        <v>3874</v>
      </c>
      <c r="C66">
        <v>3643</v>
      </c>
      <c r="D66" s="807">
        <v>1</v>
      </c>
    </row>
    <row r="67" spans="1:4">
      <c r="A67" t="s">
        <v>4835</v>
      </c>
      <c r="B67" t="s">
        <v>2186</v>
      </c>
      <c r="C67">
        <v>2253</v>
      </c>
      <c r="D67" s="807">
        <v>3.38</v>
      </c>
    </row>
    <row r="68" spans="1:4">
      <c r="A68" t="s">
        <v>6721</v>
      </c>
      <c r="B68" t="s">
        <v>6720</v>
      </c>
      <c r="C68">
        <v>2254</v>
      </c>
      <c r="D68" s="807">
        <v>2</v>
      </c>
    </row>
    <row r="69" spans="1:4">
      <c r="A69" t="s">
        <v>8530</v>
      </c>
      <c r="B69" t="s">
        <v>8531</v>
      </c>
      <c r="C69">
        <v>18820</v>
      </c>
      <c r="D69" s="807">
        <v>3.52</v>
      </c>
    </row>
    <row r="70" spans="1:4">
      <c r="A70" t="s">
        <v>3885</v>
      </c>
      <c r="B70" t="s">
        <v>3886</v>
      </c>
      <c r="C70">
        <v>3299</v>
      </c>
      <c r="D70" s="807">
        <v>3.74</v>
      </c>
    </row>
    <row r="71" spans="1:4">
      <c r="A71" t="s">
        <v>1589</v>
      </c>
      <c r="B71" t="s">
        <v>1590</v>
      </c>
      <c r="C71">
        <v>2009</v>
      </c>
      <c r="D71" s="807">
        <v>4.5</v>
      </c>
    </row>
    <row r="72" spans="1:4">
      <c r="A72" t="s">
        <v>968</v>
      </c>
      <c r="B72" t="s">
        <v>4062</v>
      </c>
      <c r="C72">
        <v>2007</v>
      </c>
      <c r="D72" s="807">
        <v>4.5</v>
      </c>
    </row>
    <row r="73" spans="1:4">
      <c r="A73" t="s">
        <v>2574</v>
      </c>
      <c r="B73" t="s">
        <v>4063</v>
      </c>
      <c r="C73">
        <v>2795</v>
      </c>
      <c r="D73" s="807">
        <v>4.5</v>
      </c>
    </row>
    <row r="74" spans="1:4">
      <c r="A74" t="s">
        <v>2945</v>
      </c>
      <c r="B74" t="s">
        <v>4064</v>
      </c>
      <c r="C74">
        <v>2008</v>
      </c>
      <c r="D74" s="807">
        <v>4.5</v>
      </c>
    </row>
    <row r="75" spans="1:4">
      <c r="A75" t="s">
        <v>307</v>
      </c>
      <c r="B75" t="s">
        <v>78</v>
      </c>
      <c r="C75">
        <v>2082</v>
      </c>
      <c r="D75" s="807">
        <v>3.6</v>
      </c>
    </row>
    <row r="76" spans="1:4">
      <c r="A76" t="s">
        <v>2061</v>
      </c>
      <c r="B76" t="s">
        <v>79</v>
      </c>
      <c r="C76">
        <v>2890</v>
      </c>
      <c r="D76" s="807">
        <v>3.62</v>
      </c>
    </row>
    <row r="77" spans="1:4">
      <c r="A77" t="s">
        <v>8840</v>
      </c>
      <c r="B77" t="s">
        <v>8841</v>
      </c>
      <c r="C77">
        <v>10294</v>
      </c>
      <c r="D77" s="807">
        <v>3.5</v>
      </c>
    </row>
    <row r="78" spans="1:4">
      <c r="A78" t="s">
        <v>2947</v>
      </c>
      <c r="B78" t="s">
        <v>80</v>
      </c>
      <c r="C78">
        <v>2080</v>
      </c>
      <c r="D78" s="807">
        <v>3.59</v>
      </c>
    </row>
    <row r="79" spans="1:4">
      <c r="A79" t="s">
        <v>2245</v>
      </c>
      <c r="B79" t="s">
        <v>81</v>
      </c>
      <c r="C79">
        <v>2083</v>
      </c>
      <c r="D79" s="807">
        <v>4.21</v>
      </c>
    </row>
    <row r="80" spans="1:4">
      <c r="A80" t="s">
        <v>3322</v>
      </c>
      <c r="B80" t="s">
        <v>5202</v>
      </c>
      <c r="C80">
        <v>2079</v>
      </c>
      <c r="D80" s="807">
        <v>3.93</v>
      </c>
    </row>
    <row r="81" spans="1:4">
      <c r="A81" t="s">
        <v>4414</v>
      </c>
      <c r="B81" t="s">
        <v>5203</v>
      </c>
      <c r="C81">
        <v>2081</v>
      </c>
      <c r="D81" s="807">
        <v>3.51</v>
      </c>
    </row>
    <row r="82" spans="1:4">
      <c r="A82" t="s">
        <v>4415</v>
      </c>
      <c r="B82" t="s">
        <v>5204</v>
      </c>
      <c r="C82">
        <v>2889</v>
      </c>
      <c r="D82" s="807">
        <v>3.46</v>
      </c>
    </row>
    <row r="83" spans="1:4">
      <c r="A83" t="s">
        <v>3697</v>
      </c>
      <c r="B83" t="s">
        <v>5205</v>
      </c>
      <c r="C83">
        <v>2887</v>
      </c>
      <c r="D83" s="807">
        <v>3.72</v>
      </c>
    </row>
    <row r="84" spans="1:4">
      <c r="A84" t="s">
        <v>1988</v>
      </c>
      <c r="B84" t="s">
        <v>652</v>
      </c>
      <c r="C84">
        <v>18636</v>
      </c>
      <c r="D84" s="807">
        <v>3.55</v>
      </c>
    </row>
    <row r="85" spans="1:4">
      <c r="A85" s="403" t="s">
        <v>8942</v>
      </c>
      <c r="B85" s="403" t="s">
        <v>8943</v>
      </c>
      <c r="C85" s="403">
        <v>10316</v>
      </c>
      <c r="D85" s="807">
        <v>3.4</v>
      </c>
    </row>
    <row r="86" spans="1:4">
      <c r="A86" t="s">
        <v>5225</v>
      </c>
      <c r="B86" t="s">
        <v>844</v>
      </c>
      <c r="C86">
        <v>10324</v>
      </c>
      <c r="D86" s="807">
        <v>3.3</v>
      </c>
    </row>
    <row r="87" spans="1:4">
      <c r="A87" t="s">
        <v>4969</v>
      </c>
      <c r="B87" t="s">
        <v>8532</v>
      </c>
      <c r="C87">
        <v>2190</v>
      </c>
      <c r="D87" s="807">
        <v>3.8</v>
      </c>
    </row>
    <row r="88" spans="1:4">
      <c r="A88" t="s">
        <v>3043</v>
      </c>
      <c r="B88" t="s">
        <v>522</v>
      </c>
      <c r="C88">
        <v>2191</v>
      </c>
      <c r="D88" s="807">
        <v>3.42</v>
      </c>
    </row>
    <row r="89" spans="1:4">
      <c r="A89" t="s">
        <v>6278</v>
      </c>
      <c r="B89" t="s">
        <v>6277</v>
      </c>
      <c r="C89">
        <v>10338</v>
      </c>
      <c r="D89" s="807">
        <v>2</v>
      </c>
    </row>
    <row r="90" spans="1:4">
      <c r="A90" t="s">
        <v>505</v>
      </c>
      <c r="B90" t="s">
        <v>653</v>
      </c>
      <c r="C90">
        <v>3261</v>
      </c>
      <c r="D90" s="807">
        <v>3.1</v>
      </c>
    </row>
    <row r="91" spans="1:4">
      <c r="A91" t="s">
        <v>817</v>
      </c>
      <c r="B91" t="s">
        <v>654</v>
      </c>
      <c r="C91">
        <v>3260</v>
      </c>
      <c r="D91" s="807">
        <v>3.1</v>
      </c>
    </row>
    <row r="92" spans="1:4">
      <c r="A92" t="s">
        <v>8533</v>
      </c>
      <c r="B92" t="s">
        <v>8534</v>
      </c>
      <c r="C92">
        <v>3662</v>
      </c>
      <c r="D92" s="807">
        <v>3.1</v>
      </c>
    </row>
    <row r="93" spans="1:4">
      <c r="A93" t="s">
        <v>6274</v>
      </c>
      <c r="B93" t="s">
        <v>6273</v>
      </c>
      <c r="C93">
        <v>10348</v>
      </c>
      <c r="D93" s="807">
        <v>2</v>
      </c>
    </row>
    <row r="94" spans="1:4">
      <c r="A94" t="s">
        <v>3764</v>
      </c>
      <c r="B94" t="s">
        <v>523</v>
      </c>
      <c r="C94">
        <v>3315</v>
      </c>
      <c r="D94" s="807">
        <v>2.73</v>
      </c>
    </row>
    <row r="95" spans="1:4">
      <c r="A95" t="s">
        <v>4206</v>
      </c>
      <c r="B95" t="s">
        <v>8535</v>
      </c>
      <c r="C95">
        <v>2662</v>
      </c>
      <c r="D95" s="807">
        <v>2.1</v>
      </c>
    </row>
    <row r="96" spans="1:4">
      <c r="A96" t="s">
        <v>6761</v>
      </c>
      <c r="B96" t="s">
        <v>8536</v>
      </c>
      <c r="C96">
        <v>17115</v>
      </c>
      <c r="D96" s="807">
        <v>2.0699999999999998</v>
      </c>
    </row>
    <row r="97" spans="1:4">
      <c r="A97" t="s">
        <v>4851</v>
      </c>
      <c r="B97" t="s">
        <v>2634</v>
      </c>
      <c r="C97">
        <v>3503</v>
      </c>
      <c r="D97" s="807">
        <v>2.1</v>
      </c>
    </row>
    <row r="98" spans="1:4">
      <c r="A98" t="s">
        <v>3525</v>
      </c>
      <c r="B98" t="s">
        <v>2635</v>
      </c>
      <c r="C98">
        <v>18998</v>
      </c>
      <c r="D98" s="807">
        <v>2.0617598316454031</v>
      </c>
    </row>
    <row r="99" spans="1:4">
      <c r="A99" t="s">
        <v>3157</v>
      </c>
      <c r="B99" t="s">
        <v>4541</v>
      </c>
      <c r="C99">
        <v>2663</v>
      </c>
      <c r="D99" s="807">
        <v>2.1</v>
      </c>
    </row>
    <row r="100" spans="1:4">
      <c r="A100" t="s">
        <v>6744</v>
      </c>
      <c r="B100" t="s">
        <v>8537</v>
      </c>
      <c r="C100">
        <v>17120</v>
      </c>
      <c r="D100" s="807">
        <v>2.0499999999999998</v>
      </c>
    </row>
    <row r="101" spans="1:4">
      <c r="A101" t="s">
        <v>1950</v>
      </c>
      <c r="B101" t="s">
        <v>1951</v>
      </c>
      <c r="C101">
        <v>3253</v>
      </c>
      <c r="D101" s="807">
        <v>3.75</v>
      </c>
    </row>
    <row r="102" spans="1:4">
      <c r="A102" t="s">
        <v>1485</v>
      </c>
      <c r="B102" t="s">
        <v>2187</v>
      </c>
      <c r="C102">
        <v>2456</v>
      </c>
      <c r="D102" s="807">
        <v>3.24</v>
      </c>
    </row>
    <row r="103" spans="1:4">
      <c r="A103" t="s">
        <v>1487</v>
      </c>
      <c r="B103" t="s">
        <v>2188</v>
      </c>
      <c r="C103">
        <v>2457</v>
      </c>
      <c r="D103" s="807">
        <v>3.45</v>
      </c>
    </row>
    <row r="104" spans="1:4">
      <c r="A104" t="s">
        <v>2627</v>
      </c>
      <c r="B104" t="s">
        <v>2189</v>
      </c>
      <c r="C104">
        <v>3252</v>
      </c>
      <c r="D104" s="807">
        <v>3.48</v>
      </c>
    </row>
    <row r="105" spans="1:4">
      <c r="A105" t="s">
        <v>5262</v>
      </c>
      <c r="B105" t="s">
        <v>3782</v>
      </c>
      <c r="C105">
        <v>2918</v>
      </c>
      <c r="D105" s="807">
        <v>3.33</v>
      </c>
    </row>
    <row r="106" spans="1:4">
      <c r="A106" t="s">
        <v>6493</v>
      </c>
      <c r="B106" t="s">
        <v>6492</v>
      </c>
      <c r="C106">
        <v>10382</v>
      </c>
      <c r="D106" s="807">
        <v>2</v>
      </c>
    </row>
    <row r="107" spans="1:4">
      <c r="A107" t="s">
        <v>2256</v>
      </c>
      <c r="B107" t="s">
        <v>2257</v>
      </c>
      <c r="C107">
        <v>10383</v>
      </c>
      <c r="D107" s="807">
        <v>3.4</v>
      </c>
    </row>
    <row r="108" spans="1:4">
      <c r="A108" t="s">
        <v>2552</v>
      </c>
      <c r="B108" t="s">
        <v>1109</v>
      </c>
      <c r="C108">
        <v>2203</v>
      </c>
      <c r="D108" s="807">
        <v>3.53</v>
      </c>
    </row>
    <row r="109" spans="1:4">
      <c r="A109" t="s">
        <v>712</v>
      </c>
      <c r="B109" t="s">
        <v>4395</v>
      </c>
      <c r="C109">
        <v>2204</v>
      </c>
      <c r="D109" s="807">
        <v>4.07</v>
      </c>
    </row>
    <row r="110" spans="1:4" ht="14.5" customHeight="1">
      <c r="A110" t="s">
        <v>899</v>
      </c>
      <c r="B110" t="s">
        <v>4396</v>
      </c>
      <c r="C110">
        <v>2988</v>
      </c>
      <c r="D110" s="807">
        <v>3.55</v>
      </c>
    </row>
    <row r="111" spans="1:4">
      <c r="A111" t="s">
        <v>3699</v>
      </c>
      <c r="B111" t="s">
        <v>4397</v>
      </c>
      <c r="C111">
        <v>2989</v>
      </c>
      <c r="D111" s="807">
        <v>3.67</v>
      </c>
    </row>
    <row r="112" spans="1:4">
      <c r="A112" t="s">
        <v>4159</v>
      </c>
      <c r="B112" t="s">
        <v>3824</v>
      </c>
      <c r="C112">
        <v>2987</v>
      </c>
      <c r="D112" s="807">
        <v>3.72</v>
      </c>
    </row>
    <row r="113" spans="1:4">
      <c r="A113" t="s">
        <v>8842</v>
      </c>
      <c r="B113" t="s">
        <v>8843</v>
      </c>
      <c r="C113">
        <v>10411</v>
      </c>
      <c r="D113" s="807">
        <v>3.6</v>
      </c>
    </row>
    <row r="114" spans="1:4">
      <c r="A114" s="771" t="s">
        <v>8929</v>
      </c>
      <c r="B114" s="403" t="s">
        <v>8930</v>
      </c>
      <c r="C114" s="403">
        <v>10417</v>
      </c>
      <c r="D114" s="807">
        <v>3.7</v>
      </c>
    </row>
    <row r="115" spans="1:4">
      <c r="A115" t="s">
        <v>4271</v>
      </c>
      <c r="B115" t="s">
        <v>8538</v>
      </c>
      <c r="C115">
        <v>18994</v>
      </c>
      <c r="D115" s="807">
        <v>2.1</v>
      </c>
    </row>
    <row r="116" spans="1:4">
      <c r="A116" t="s">
        <v>4954</v>
      </c>
      <c r="B116" t="s">
        <v>5206</v>
      </c>
      <c r="C116">
        <v>2897</v>
      </c>
      <c r="D116" s="807">
        <v>2.84</v>
      </c>
    </row>
    <row r="117" spans="1:4">
      <c r="A117" t="s">
        <v>484</v>
      </c>
      <c r="B117" t="s">
        <v>2190</v>
      </c>
      <c r="C117">
        <v>3341</v>
      </c>
      <c r="D117" s="807">
        <v>3.83</v>
      </c>
    </row>
    <row r="118" spans="1:4">
      <c r="A118" t="s">
        <v>6740</v>
      </c>
      <c r="B118" t="s">
        <v>8539</v>
      </c>
      <c r="C118">
        <v>10428</v>
      </c>
      <c r="D118" s="807">
        <v>2.2000000000000002</v>
      </c>
    </row>
    <row r="119" spans="1:4">
      <c r="A119" t="s">
        <v>1838</v>
      </c>
      <c r="B119" t="s">
        <v>4978</v>
      </c>
      <c r="C119">
        <v>2216</v>
      </c>
      <c r="D119" s="807">
        <v>3.58</v>
      </c>
    </row>
    <row r="120" spans="1:4">
      <c r="A120" t="s">
        <v>6258</v>
      </c>
      <c r="B120" t="s">
        <v>6257</v>
      </c>
      <c r="C120">
        <v>18772</v>
      </c>
      <c r="D120" s="807">
        <v>2</v>
      </c>
    </row>
    <row r="121" spans="1:4">
      <c r="A121" t="s">
        <v>3986</v>
      </c>
      <c r="B121" t="s">
        <v>5034</v>
      </c>
      <c r="C121">
        <v>2469</v>
      </c>
      <c r="D121" s="807">
        <v>4.4800000000000004</v>
      </c>
    </row>
    <row r="122" spans="1:4">
      <c r="A122" t="s">
        <v>6431</v>
      </c>
      <c r="B122" t="s">
        <v>6430</v>
      </c>
      <c r="C122">
        <v>10448</v>
      </c>
      <c r="D122" s="807">
        <v>2</v>
      </c>
    </row>
    <row r="123" spans="1:4">
      <c r="A123" t="s">
        <v>3334</v>
      </c>
      <c r="B123" t="s">
        <v>655</v>
      </c>
      <c r="C123">
        <v>10450</v>
      </c>
      <c r="D123" s="807">
        <v>4.1100000000000003</v>
      </c>
    </row>
    <row r="124" spans="1:4">
      <c r="A124" t="s">
        <v>548</v>
      </c>
      <c r="B124" t="s">
        <v>549</v>
      </c>
      <c r="C124">
        <v>10451</v>
      </c>
      <c r="D124" s="807">
        <v>3.1</v>
      </c>
    </row>
    <row r="125" spans="1:4">
      <c r="A125" t="s">
        <v>6211</v>
      </c>
      <c r="B125" t="s">
        <v>6210</v>
      </c>
      <c r="C125">
        <v>19408</v>
      </c>
      <c r="D125" s="807">
        <v>2</v>
      </c>
    </row>
    <row r="126" spans="1:4">
      <c r="A126" t="s">
        <v>2385</v>
      </c>
      <c r="B126" t="s">
        <v>4099</v>
      </c>
      <c r="C126">
        <v>2344</v>
      </c>
      <c r="D126" s="807">
        <v>3.36</v>
      </c>
    </row>
    <row r="127" spans="1:4">
      <c r="A127" t="s">
        <v>438</v>
      </c>
      <c r="B127" t="s">
        <v>4099</v>
      </c>
      <c r="C127">
        <v>2355</v>
      </c>
      <c r="D127" s="807">
        <v>3.4</v>
      </c>
    </row>
    <row r="128" spans="1:4">
      <c r="A128" t="s">
        <v>3013</v>
      </c>
      <c r="B128" t="s">
        <v>656</v>
      </c>
      <c r="C128">
        <v>2296</v>
      </c>
      <c r="D128" s="807">
        <v>3.46</v>
      </c>
    </row>
    <row r="129" spans="1:4">
      <c r="A129" t="s">
        <v>1323</v>
      </c>
      <c r="B129" t="s">
        <v>1324</v>
      </c>
      <c r="C129">
        <v>10484</v>
      </c>
      <c r="D129" s="807">
        <v>3.95</v>
      </c>
    </row>
    <row r="130" spans="1:4">
      <c r="A130" t="s">
        <v>8248</v>
      </c>
      <c r="B130" t="s">
        <v>8249</v>
      </c>
      <c r="C130">
        <v>10515</v>
      </c>
      <c r="D130" s="807">
        <v>4.0999999999999996</v>
      </c>
    </row>
    <row r="131" spans="1:4">
      <c r="A131" t="s">
        <v>2846</v>
      </c>
      <c r="B131" t="s">
        <v>4832</v>
      </c>
      <c r="C131">
        <v>10516</v>
      </c>
      <c r="D131" s="807">
        <v>3.99</v>
      </c>
    </row>
    <row r="132" spans="1:4">
      <c r="A132" t="s">
        <v>489</v>
      </c>
      <c r="B132" t="s">
        <v>4100</v>
      </c>
      <c r="C132">
        <v>2945</v>
      </c>
      <c r="D132" s="807">
        <v>4.5</v>
      </c>
    </row>
    <row r="133" spans="1:4">
      <c r="A133" t="s">
        <v>6528</v>
      </c>
      <c r="B133" t="s">
        <v>6527</v>
      </c>
      <c r="C133">
        <v>17123</v>
      </c>
      <c r="D133" s="807">
        <v>2</v>
      </c>
    </row>
    <row r="134" spans="1:4">
      <c r="A134" t="s">
        <v>474</v>
      </c>
      <c r="B134" t="s">
        <v>4542</v>
      </c>
      <c r="C134">
        <v>3501</v>
      </c>
      <c r="D134" s="807">
        <v>2.1</v>
      </c>
    </row>
    <row r="135" spans="1:4">
      <c r="A135" t="s">
        <v>6712</v>
      </c>
      <c r="B135" t="s">
        <v>6711</v>
      </c>
      <c r="C135">
        <v>17126</v>
      </c>
      <c r="D135" s="807">
        <v>2</v>
      </c>
    </row>
    <row r="136" spans="1:4">
      <c r="A136" t="s">
        <v>1977</v>
      </c>
      <c r="B136" t="s">
        <v>3058</v>
      </c>
      <c r="C136">
        <v>3186</v>
      </c>
      <c r="D136" s="807">
        <v>3.53</v>
      </c>
    </row>
    <row r="137" spans="1:4">
      <c r="A137" t="s">
        <v>1426</v>
      </c>
      <c r="B137" t="s">
        <v>3647</v>
      </c>
      <c r="C137">
        <v>18788</v>
      </c>
      <c r="D137" s="807">
        <v>2.2200000000000002</v>
      </c>
    </row>
    <row r="138" spans="1:4">
      <c r="A138" t="s">
        <v>1618</v>
      </c>
      <c r="B138" t="s">
        <v>4543</v>
      </c>
      <c r="C138">
        <v>3534</v>
      </c>
      <c r="D138" s="807">
        <v>2.1</v>
      </c>
    </row>
    <row r="139" spans="1:4">
      <c r="A139" t="s">
        <v>4447</v>
      </c>
      <c r="B139" t="s">
        <v>2565</v>
      </c>
      <c r="C139">
        <v>3230</v>
      </c>
      <c r="D139" s="807">
        <v>3.51</v>
      </c>
    </row>
    <row r="140" spans="1:4">
      <c r="A140" t="s">
        <v>3897</v>
      </c>
      <c r="B140" t="s">
        <v>415</v>
      </c>
      <c r="C140">
        <v>10536</v>
      </c>
      <c r="D140" s="807">
        <v>3.31</v>
      </c>
    </row>
    <row r="141" spans="1:4">
      <c r="A141" t="s">
        <v>1223</v>
      </c>
      <c r="B141" t="s">
        <v>1224</v>
      </c>
      <c r="C141">
        <v>10537</v>
      </c>
      <c r="D141" s="807">
        <v>3.621</v>
      </c>
    </row>
    <row r="142" spans="1:4">
      <c r="A142" t="s">
        <v>4490</v>
      </c>
      <c r="B142" t="s">
        <v>2566</v>
      </c>
      <c r="C142">
        <v>2131</v>
      </c>
      <c r="D142" s="807">
        <v>3.43</v>
      </c>
    </row>
    <row r="143" spans="1:4">
      <c r="A143" t="s">
        <v>53</v>
      </c>
      <c r="B143" t="s">
        <v>291</v>
      </c>
      <c r="C143">
        <v>2682</v>
      </c>
      <c r="D143" s="807">
        <v>2.1</v>
      </c>
    </row>
    <row r="144" spans="1:4">
      <c r="A144" t="s">
        <v>2398</v>
      </c>
      <c r="B144" t="s">
        <v>292</v>
      </c>
      <c r="C144">
        <v>3520</v>
      </c>
      <c r="D144" s="807">
        <v>2.1</v>
      </c>
    </row>
    <row r="145" spans="1:4">
      <c r="A145" t="s">
        <v>332</v>
      </c>
      <c r="B145" t="s">
        <v>1498</v>
      </c>
      <c r="C145">
        <v>3521</v>
      </c>
      <c r="D145" s="807">
        <v>2.1</v>
      </c>
    </row>
    <row r="146" spans="1:4">
      <c r="A146" t="s">
        <v>4608</v>
      </c>
      <c r="B146" t="s">
        <v>1499</v>
      </c>
      <c r="C146">
        <v>2683</v>
      </c>
      <c r="D146" s="807">
        <v>2.1</v>
      </c>
    </row>
    <row r="147" spans="1:4">
      <c r="A147" t="s">
        <v>5435</v>
      </c>
      <c r="B147" t="s">
        <v>1195</v>
      </c>
      <c r="C147">
        <v>2378</v>
      </c>
      <c r="D147" s="807">
        <v>4.47</v>
      </c>
    </row>
    <row r="148" spans="1:4">
      <c r="A148" t="s">
        <v>2124</v>
      </c>
      <c r="B148" t="s">
        <v>1825</v>
      </c>
      <c r="C148">
        <v>3157</v>
      </c>
      <c r="D148" s="807">
        <v>3.82</v>
      </c>
    </row>
    <row r="149" spans="1:4">
      <c r="A149" t="s">
        <v>6766</v>
      </c>
      <c r="B149" t="s">
        <v>8540</v>
      </c>
      <c r="C149">
        <v>10543</v>
      </c>
      <c r="D149" s="807">
        <v>4.5</v>
      </c>
    </row>
    <row r="150" spans="1:4">
      <c r="A150" t="s">
        <v>3159</v>
      </c>
      <c r="B150" t="s">
        <v>1826</v>
      </c>
      <c r="C150">
        <v>2357</v>
      </c>
      <c r="D150" s="807">
        <v>4.29</v>
      </c>
    </row>
    <row r="151" spans="1:4">
      <c r="A151" t="s">
        <v>1225</v>
      </c>
      <c r="B151" t="s">
        <v>1827</v>
      </c>
      <c r="C151">
        <v>3187</v>
      </c>
      <c r="D151" s="807">
        <v>3.46</v>
      </c>
    </row>
    <row r="152" spans="1:4">
      <c r="A152" t="s">
        <v>3047</v>
      </c>
      <c r="B152" t="s">
        <v>1828</v>
      </c>
      <c r="C152">
        <v>2181</v>
      </c>
      <c r="D152" s="807">
        <v>3.68</v>
      </c>
    </row>
    <row r="153" spans="1:4">
      <c r="A153" t="s">
        <v>3942</v>
      </c>
      <c r="B153" t="s">
        <v>2567</v>
      </c>
      <c r="C153">
        <v>2507</v>
      </c>
      <c r="D153" s="807">
        <v>3.63</v>
      </c>
    </row>
    <row r="154" spans="1:4">
      <c r="A154" t="s">
        <v>212</v>
      </c>
      <c r="B154" t="s">
        <v>213</v>
      </c>
      <c r="C154">
        <v>2602</v>
      </c>
      <c r="D154" s="807">
        <v>3.3182763159269002</v>
      </c>
    </row>
    <row r="155" spans="1:4">
      <c r="A155" t="s">
        <v>1490</v>
      </c>
      <c r="B155" t="s">
        <v>3820</v>
      </c>
      <c r="C155">
        <v>3420</v>
      </c>
      <c r="D155" s="807">
        <v>2.2999999999999998</v>
      </c>
    </row>
    <row r="156" spans="1:4">
      <c r="A156" t="s">
        <v>942</v>
      </c>
      <c r="B156" t="s">
        <v>2586</v>
      </c>
      <c r="C156">
        <v>3422</v>
      </c>
      <c r="D156" s="807">
        <v>2.2999999999999998</v>
      </c>
    </row>
    <row r="157" spans="1:4">
      <c r="A157" t="s">
        <v>6216</v>
      </c>
      <c r="B157" t="s">
        <v>6215</v>
      </c>
      <c r="C157">
        <v>19329</v>
      </c>
      <c r="D157" s="807">
        <v>2</v>
      </c>
    </row>
    <row r="158" spans="1:4">
      <c r="A158" t="s">
        <v>2125</v>
      </c>
      <c r="B158" t="s">
        <v>2767</v>
      </c>
      <c r="C158">
        <v>2603</v>
      </c>
      <c r="D158" s="807">
        <v>2.2999999999999998</v>
      </c>
    </row>
    <row r="159" spans="1:4">
      <c r="A159" t="s">
        <v>8844</v>
      </c>
      <c r="B159" t="s">
        <v>8845</v>
      </c>
      <c r="C159">
        <v>19010</v>
      </c>
      <c r="D159" s="807">
        <v>4.4000000000000004</v>
      </c>
    </row>
    <row r="160" spans="1:4">
      <c r="A160" t="s">
        <v>6218</v>
      </c>
      <c r="B160" t="s">
        <v>6217</v>
      </c>
      <c r="C160">
        <v>19184</v>
      </c>
      <c r="D160" s="807">
        <v>2</v>
      </c>
    </row>
    <row r="161" spans="1:4">
      <c r="A161" t="s">
        <v>3955</v>
      </c>
      <c r="B161" t="s">
        <v>4863</v>
      </c>
      <c r="C161">
        <v>10566</v>
      </c>
      <c r="D161" s="807">
        <v>3.1</v>
      </c>
    </row>
    <row r="162" spans="1:4">
      <c r="A162" t="s">
        <v>8541</v>
      </c>
      <c r="B162" t="s">
        <v>8542</v>
      </c>
      <c r="C162">
        <v>3349</v>
      </c>
      <c r="D162" s="807">
        <v>3.6</v>
      </c>
    </row>
    <row r="163" spans="1:4">
      <c r="A163" t="s">
        <v>1697</v>
      </c>
      <c r="B163" t="s">
        <v>4864</v>
      </c>
      <c r="C163">
        <v>2330</v>
      </c>
      <c r="D163" s="807">
        <v>4.3099999999999996</v>
      </c>
    </row>
    <row r="164" spans="1:4">
      <c r="A164" t="s">
        <v>2959</v>
      </c>
      <c r="B164" t="s">
        <v>4865</v>
      </c>
      <c r="C164">
        <v>3131</v>
      </c>
      <c r="D164" s="807">
        <v>4.07</v>
      </c>
    </row>
    <row r="165" spans="1:4">
      <c r="A165" t="s">
        <v>3531</v>
      </c>
      <c r="B165" t="s">
        <v>5252</v>
      </c>
      <c r="C165">
        <v>2601</v>
      </c>
      <c r="D165" s="807">
        <v>2.7</v>
      </c>
    </row>
    <row r="166" spans="1:4">
      <c r="A166" t="s">
        <v>4888</v>
      </c>
      <c r="B166" t="s">
        <v>2299</v>
      </c>
      <c r="C166">
        <v>2576</v>
      </c>
      <c r="D166" s="807">
        <v>2.6</v>
      </c>
    </row>
    <row r="167" spans="1:4">
      <c r="A167" t="s">
        <v>8543</v>
      </c>
      <c r="B167" t="s">
        <v>8544</v>
      </c>
      <c r="C167">
        <v>17291</v>
      </c>
      <c r="D167" s="807">
        <v>2.1</v>
      </c>
    </row>
    <row r="168" spans="1:4">
      <c r="A168" t="s">
        <v>1053</v>
      </c>
      <c r="B168" t="s">
        <v>5314</v>
      </c>
      <c r="C168">
        <v>3623</v>
      </c>
      <c r="D168" s="807">
        <v>3</v>
      </c>
    </row>
    <row r="169" spans="1:4">
      <c r="A169" t="s">
        <v>1617</v>
      </c>
      <c r="B169" t="s">
        <v>3728</v>
      </c>
      <c r="C169">
        <v>3632</v>
      </c>
      <c r="D169" s="807">
        <v>1</v>
      </c>
    </row>
    <row r="170" spans="1:4">
      <c r="A170" t="s">
        <v>5989</v>
      </c>
      <c r="B170" t="s">
        <v>8545</v>
      </c>
      <c r="C170">
        <v>3640</v>
      </c>
      <c r="D170" s="807">
        <v>1</v>
      </c>
    </row>
    <row r="171" spans="1:4">
      <c r="A171" t="s">
        <v>199</v>
      </c>
      <c r="B171" t="s">
        <v>2568</v>
      </c>
      <c r="C171">
        <v>2533</v>
      </c>
      <c r="D171" s="807">
        <v>3.85</v>
      </c>
    </row>
    <row r="172" spans="1:4">
      <c r="A172" t="s">
        <v>2935</v>
      </c>
      <c r="B172" t="s">
        <v>3629</v>
      </c>
      <c r="C172">
        <v>2171</v>
      </c>
      <c r="D172" s="807">
        <v>4.47</v>
      </c>
    </row>
    <row r="173" spans="1:4">
      <c r="A173" t="s">
        <v>5235</v>
      </c>
      <c r="B173" t="s">
        <v>5288</v>
      </c>
      <c r="C173">
        <v>3441</v>
      </c>
      <c r="D173" s="807">
        <v>2.2000000000000002</v>
      </c>
    </row>
    <row r="174" spans="1:4">
      <c r="A174" t="s">
        <v>1044</v>
      </c>
      <c r="B174" t="s">
        <v>5289</v>
      </c>
      <c r="C174">
        <v>2621</v>
      </c>
      <c r="D174" s="807">
        <v>2.2000000000000002</v>
      </c>
    </row>
    <row r="175" spans="1:4">
      <c r="A175" t="s">
        <v>436</v>
      </c>
      <c r="B175" t="s">
        <v>6354</v>
      </c>
      <c r="C175">
        <v>3455</v>
      </c>
      <c r="D175" s="807">
        <v>2</v>
      </c>
    </row>
    <row r="176" spans="1:4">
      <c r="A176" t="s">
        <v>5540</v>
      </c>
      <c r="B176" t="s">
        <v>5320</v>
      </c>
      <c r="C176">
        <v>3618</v>
      </c>
      <c r="D176" s="807">
        <v>2.2999999999999998</v>
      </c>
    </row>
    <row r="177" spans="1:4">
      <c r="A177" t="s">
        <v>4715</v>
      </c>
      <c r="B177" t="s">
        <v>5321</v>
      </c>
      <c r="C177">
        <v>3617</v>
      </c>
      <c r="D177" s="807">
        <v>2.2999999999999998</v>
      </c>
    </row>
    <row r="178" spans="1:4">
      <c r="A178" t="s">
        <v>6549</v>
      </c>
      <c r="B178" t="s">
        <v>6548</v>
      </c>
      <c r="C178">
        <v>10623</v>
      </c>
      <c r="D178" s="807">
        <v>2.8</v>
      </c>
    </row>
    <row r="179" spans="1:4">
      <c r="A179" t="s">
        <v>490</v>
      </c>
      <c r="B179" t="s">
        <v>50</v>
      </c>
      <c r="C179">
        <v>2421</v>
      </c>
      <c r="D179" s="807">
        <v>2.83</v>
      </c>
    </row>
    <row r="180" spans="1:4">
      <c r="A180" t="s">
        <v>6233</v>
      </c>
      <c r="B180" t="s">
        <v>6232</v>
      </c>
      <c r="C180">
        <v>10625</v>
      </c>
      <c r="D180" s="807">
        <v>2</v>
      </c>
    </row>
    <row r="181" spans="1:4">
      <c r="A181" t="s">
        <v>4450</v>
      </c>
      <c r="B181" t="s">
        <v>1637</v>
      </c>
      <c r="C181">
        <v>3357</v>
      </c>
      <c r="D181" s="807">
        <v>4.45</v>
      </c>
    </row>
    <row r="182" spans="1:4">
      <c r="A182" t="s">
        <v>4491</v>
      </c>
      <c r="B182" t="s">
        <v>1638</v>
      </c>
      <c r="C182">
        <v>3356</v>
      </c>
      <c r="D182" s="807">
        <v>4.26</v>
      </c>
    </row>
    <row r="183" spans="1:4">
      <c r="A183" t="s">
        <v>875</v>
      </c>
      <c r="B183" t="s">
        <v>4986</v>
      </c>
      <c r="C183">
        <v>2263</v>
      </c>
      <c r="D183" s="807">
        <v>2.3199999999999998</v>
      </c>
    </row>
    <row r="184" spans="1:4">
      <c r="A184" t="s">
        <v>6503</v>
      </c>
      <c r="B184" t="s">
        <v>6502</v>
      </c>
      <c r="C184">
        <v>10634</v>
      </c>
      <c r="D184" s="807">
        <v>2</v>
      </c>
    </row>
    <row r="185" spans="1:4">
      <c r="A185" t="s">
        <v>1401</v>
      </c>
      <c r="B185" t="s">
        <v>4987</v>
      </c>
      <c r="C185">
        <v>3058</v>
      </c>
      <c r="D185" s="807">
        <v>3.13</v>
      </c>
    </row>
    <row r="186" spans="1:4">
      <c r="A186" t="s">
        <v>5364</v>
      </c>
      <c r="B186" t="s">
        <v>4866</v>
      </c>
      <c r="C186">
        <v>3158</v>
      </c>
      <c r="D186" s="807">
        <v>3.89</v>
      </c>
    </row>
    <row r="187" spans="1:4">
      <c r="A187" t="s">
        <v>1016</v>
      </c>
      <c r="B187" t="s">
        <v>4867</v>
      </c>
      <c r="C187">
        <v>2358</v>
      </c>
      <c r="D187" s="807">
        <v>3.21</v>
      </c>
    </row>
    <row r="188" spans="1:4">
      <c r="A188" t="s">
        <v>6228</v>
      </c>
      <c r="B188" t="s">
        <v>419</v>
      </c>
      <c r="C188">
        <v>19094</v>
      </c>
      <c r="D188" s="807">
        <v>4.26</v>
      </c>
    </row>
    <row r="189" spans="1:4">
      <c r="A189" t="s">
        <v>3385</v>
      </c>
      <c r="B189" t="s">
        <v>4819</v>
      </c>
      <c r="C189">
        <v>19068</v>
      </c>
      <c r="D189" s="807">
        <v>4.2300000000000004</v>
      </c>
    </row>
    <row r="190" spans="1:4">
      <c r="A190" t="s">
        <v>9076</v>
      </c>
      <c r="B190" t="s">
        <v>9077</v>
      </c>
      <c r="C190">
        <v>17583</v>
      </c>
      <c r="D190" s="807">
        <v>2.1</v>
      </c>
    </row>
    <row r="191" spans="1:4">
      <c r="A191" t="s">
        <v>4236</v>
      </c>
      <c r="B191" t="s">
        <v>8546</v>
      </c>
      <c r="C191">
        <v>18995</v>
      </c>
      <c r="D191" s="807">
        <v>2.1</v>
      </c>
    </row>
    <row r="192" spans="1:4">
      <c r="A192" t="s">
        <v>4368</v>
      </c>
      <c r="B192" t="s">
        <v>4868</v>
      </c>
      <c r="C192">
        <v>3168</v>
      </c>
      <c r="D192" s="807">
        <v>3.64</v>
      </c>
    </row>
    <row r="193" spans="1:4">
      <c r="A193" t="s">
        <v>2819</v>
      </c>
      <c r="B193" t="s">
        <v>5357</v>
      </c>
      <c r="C193">
        <v>10648</v>
      </c>
      <c r="D193" s="807">
        <v>4.45</v>
      </c>
    </row>
    <row r="194" spans="1:4">
      <c r="A194" t="s">
        <v>8998</v>
      </c>
      <c r="B194" t="s">
        <v>8999</v>
      </c>
      <c r="C194">
        <v>10650</v>
      </c>
      <c r="D194" s="807">
        <v>3.7</v>
      </c>
    </row>
    <row r="195" spans="1:4">
      <c r="A195" t="s">
        <v>8250</v>
      </c>
      <c r="B195" t="s">
        <v>8251</v>
      </c>
      <c r="C195">
        <v>10654</v>
      </c>
      <c r="D195" s="807">
        <v>3.1</v>
      </c>
    </row>
    <row r="196" spans="1:4">
      <c r="A196" t="s">
        <v>6294</v>
      </c>
      <c r="B196" t="s">
        <v>6293</v>
      </c>
      <c r="C196">
        <v>10655</v>
      </c>
      <c r="D196" s="807">
        <v>2.9</v>
      </c>
    </row>
    <row r="197" spans="1:4">
      <c r="A197" t="s">
        <v>4615</v>
      </c>
      <c r="B197" t="s">
        <v>851</v>
      </c>
      <c r="C197">
        <v>3533</v>
      </c>
      <c r="D197" s="807">
        <v>2.1</v>
      </c>
    </row>
    <row r="198" spans="1:4">
      <c r="A198" t="s">
        <v>826</v>
      </c>
      <c r="B198" t="s">
        <v>1639</v>
      </c>
      <c r="C198">
        <v>2554</v>
      </c>
      <c r="D198" s="807">
        <v>3.48</v>
      </c>
    </row>
    <row r="199" spans="1:4">
      <c r="A199" t="s">
        <v>330</v>
      </c>
      <c r="B199" t="s">
        <v>1428</v>
      </c>
      <c r="C199">
        <v>2555</v>
      </c>
      <c r="D199" s="807">
        <v>4.03</v>
      </c>
    </row>
    <row r="200" spans="1:4">
      <c r="A200" t="s">
        <v>2216</v>
      </c>
      <c r="B200" t="s">
        <v>1429</v>
      </c>
      <c r="C200">
        <v>3369</v>
      </c>
      <c r="D200" s="807">
        <v>3.76</v>
      </c>
    </row>
    <row r="201" spans="1:4">
      <c r="A201" t="s">
        <v>2287</v>
      </c>
      <c r="B201" t="s">
        <v>6391</v>
      </c>
      <c r="C201">
        <v>18572</v>
      </c>
      <c r="D201" s="807">
        <v>2</v>
      </c>
    </row>
    <row r="202" spans="1:4">
      <c r="A202" t="s">
        <v>263</v>
      </c>
      <c r="B202" t="s">
        <v>5290</v>
      </c>
      <c r="C202">
        <v>3457</v>
      </c>
      <c r="D202" s="807">
        <v>2.2000000000000002</v>
      </c>
    </row>
    <row r="203" spans="1:4">
      <c r="A203" t="s">
        <v>4952</v>
      </c>
      <c r="B203" t="s">
        <v>4953</v>
      </c>
      <c r="C203">
        <v>2492</v>
      </c>
      <c r="D203" s="807">
        <v>4.13</v>
      </c>
    </row>
    <row r="204" spans="1:4">
      <c r="A204" t="s">
        <v>4957</v>
      </c>
      <c r="B204" t="s">
        <v>4115</v>
      </c>
      <c r="C204">
        <v>2491</v>
      </c>
      <c r="D204" s="807">
        <v>4.34</v>
      </c>
    </row>
    <row r="205" spans="1:4">
      <c r="A205" t="s">
        <v>3122</v>
      </c>
      <c r="B205" t="s">
        <v>211</v>
      </c>
      <c r="C205">
        <v>3292</v>
      </c>
      <c r="D205" s="807">
        <v>4.2300000000000004</v>
      </c>
    </row>
    <row r="206" spans="1:4">
      <c r="A206" t="s">
        <v>1660</v>
      </c>
      <c r="B206" t="s">
        <v>4738</v>
      </c>
      <c r="C206">
        <v>19063</v>
      </c>
      <c r="D206" s="807">
        <v>3.3182763159269002</v>
      </c>
    </row>
    <row r="207" spans="1:4">
      <c r="A207" t="s">
        <v>8846</v>
      </c>
      <c r="B207" t="s">
        <v>8847</v>
      </c>
      <c r="C207">
        <v>10686</v>
      </c>
      <c r="D207" s="807">
        <v>3.5</v>
      </c>
    </row>
    <row r="208" spans="1:4">
      <c r="A208" t="s">
        <v>4967</v>
      </c>
      <c r="B208" t="s">
        <v>6248</v>
      </c>
      <c r="C208">
        <v>10693</v>
      </c>
      <c r="D208" s="807">
        <v>4</v>
      </c>
    </row>
    <row r="209" spans="1:4">
      <c r="A209" t="s">
        <v>910</v>
      </c>
      <c r="B209" t="s">
        <v>4101</v>
      </c>
      <c r="C209">
        <v>2975</v>
      </c>
      <c r="D209" s="807">
        <v>4</v>
      </c>
    </row>
    <row r="210" spans="1:4">
      <c r="A210" t="s">
        <v>3280</v>
      </c>
      <c r="B210" t="s">
        <v>4869</v>
      </c>
      <c r="C210">
        <v>3373</v>
      </c>
      <c r="D210" s="807">
        <v>3.55</v>
      </c>
    </row>
    <row r="211" spans="1:4">
      <c r="A211" s="403" t="s">
        <v>8944</v>
      </c>
      <c r="B211" s="403" t="s">
        <v>8945</v>
      </c>
      <c r="C211" s="403">
        <v>10704</v>
      </c>
      <c r="D211" s="807">
        <v>3.8</v>
      </c>
    </row>
    <row r="212" spans="1:4">
      <c r="A212" t="s">
        <v>1854</v>
      </c>
      <c r="B212" t="s">
        <v>4870</v>
      </c>
      <c r="C212">
        <v>2565</v>
      </c>
      <c r="D212" s="807">
        <v>3.27</v>
      </c>
    </row>
    <row r="213" spans="1:4">
      <c r="A213" t="s">
        <v>6240</v>
      </c>
      <c r="B213" t="s">
        <v>39</v>
      </c>
      <c r="C213">
        <v>10715</v>
      </c>
      <c r="D213" s="807">
        <v>2.08</v>
      </c>
    </row>
    <row r="214" spans="1:4">
      <c r="A214" t="s">
        <v>3475</v>
      </c>
      <c r="B214" t="s">
        <v>898</v>
      </c>
      <c r="C214">
        <v>2175</v>
      </c>
      <c r="D214" s="807">
        <v>2.36</v>
      </c>
    </row>
    <row r="215" spans="1:4">
      <c r="A215" t="s">
        <v>747</v>
      </c>
      <c r="B215" t="s">
        <v>748</v>
      </c>
      <c r="C215">
        <v>19019</v>
      </c>
      <c r="D215" s="807">
        <v>2.91</v>
      </c>
    </row>
    <row r="216" spans="1:4">
      <c r="A216" t="s">
        <v>6717</v>
      </c>
      <c r="B216" t="s">
        <v>6716</v>
      </c>
      <c r="C216">
        <v>10719</v>
      </c>
      <c r="D216" s="807">
        <v>3.3</v>
      </c>
    </row>
    <row r="217" spans="1:4">
      <c r="A217" t="s">
        <v>2607</v>
      </c>
      <c r="B217" t="s">
        <v>3630</v>
      </c>
      <c r="C217">
        <v>2958</v>
      </c>
      <c r="D217" s="807">
        <v>3.1</v>
      </c>
    </row>
    <row r="218" spans="1:4">
      <c r="A218" t="s">
        <v>6241</v>
      </c>
      <c r="B218" t="s">
        <v>5075</v>
      </c>
      <c r="C218">
        <v>18822</v>
      </c>
      <c r="D218" s="807">
        <v>2.88</v>
      </c>
    </row>
    <row r="219" spans="1:4">
      <c r="A219" t="s">
        <v>3321</v>
      </c>
      <c r="B219" t="s">
        <v>5113</v>
      </c>
      <c r="C219">
        <v>10740</v>
      </c>
      <c r="D219" s="807">
        <v>2.93</v>
      </c>
    </row>
    <row r="220" spans="1:4">
      <c r="A220" t="s">
        <v>6245</v>
      </c>
      <c r="B220" t="s">
        <v>6244</v>
      </c>
      <c r="C220">
        <v>19680</v>
      </c>
      <c r="D220" s="807">
        <v>4.2</v>
      </c>
    </row>
    <row r="221" spans="1:4">
      <c r="A221" t="s">
        <v>6284</v>
      </c>
      <c r="B221" t="s">
        <v>6283</v>
      </c>
      <c r="C221">
        <v>19253</v>
      </c>
      <c r="D221" s="807">
        <v>2</v>
      </c>
    </row>
    <row r="222" spans="1:4">
      <c r="A222" t="s">
        <v>3410</v>
      </c>
      <c r="B222" t="s">
        <v>2647</v>
      </c>
      <c r="C222">
        <v>2059</v>
      </c>
      <c r="D222" s="807">
        <v>3.92</v>
      </c>
    </row>
    <row r="223" spans="1:4">
      <c r="A223" t="s">
        <v>3125</v>
      </c>
      <c r="B223" t="s">
        <v>4077</v>
      </c>
      <c r="C223">
        <v>10809</v>
      </c>
      <c r="D223" s="807">
        <v>3.96</v>
      </c>
    </row>
    <row r="224" spans="1:4">
      <c r="A224" t="s">
        <v>4582</v>
      </c>
      <c r="B224" t="s">
        <v>2701</v>
      </c>
      <c r="C224">
        <v>2862</v>
      </c>
      <c r="D224" s="807">
        <v>3.96</v>
      </c>
    </row>
    <row r="225" spans="1:4">
      <c r="A225" t="s">
        <v>6563</v>
      </c>
      <c r="B225" t="s">
        <v>6562</v>
      </c>
      <c r="C225">
        <v>19254</v>
      </c>
      <c r="D225" s="807">
        <v>2</v>
      </c>
    </row>
    <row r="226" spans="1:4">
      <c r="A226" t="s">
        <v>5475</v>
      </c>
      <c r="B226" t="s">
        <v>5476</v>
      </c>
      <c r="C226">
        <v>10813</v>
      </c>
      <c r="D226" s="807">
        <v>3.96</v>
      </c>
    </row>
    <row r="227" spans="1:4">
      <c r="A227" t="s">
        <v>3311</v>
      </c>
      <c r="B227" t="s">
        <v>4453</v>
      </c>
      <c r="C227">
        <v>2863</v>
      </c>
      <c r="D227" s="807">
        <v>3.8</v>
      </c>
    </row>
    <row r="228" spans="1:4">
      <c r="A228" s="813" t="s">
        <v>8986</v>
      </c>
      <c r="B228" t="s">
        <v>8987</v>
      </c>
      <c r="C228">
        <v>2060</v>
      </c>
      <c r="D228" s="807">
        <v>4.4000000000000004</v>
      </c>
    </row>
    <row r="229" spans="1:4">
      <c r="A229" t="s">
        <v>3207</v>
      </c>
      <c r="B229" t="s">
        <v>4454</v>
      </c>
      <c r="C229">
        <v>2861</v>
      </c>
      <c r="D229" s="807">
        <v>3.94</v>
      </c>
    </row>
    <row r="230" spans="1:4">
      <c r="A230" t="s">
        <v>8547</v>
      </c>
      <c r="B230" t="s">
        <v>8548</v>
      </c>
      <c r="C230">
        <v>11788</v>
      </c>
      <c r="D230" s="807">
        <v>3.8</v>
      </c>
    </row>
    <row r="231" spans="1:4">
      <c r="A231" t="s">
        <v>5432</v>
      </c>
      <c r="B231" t="s">
        <v>4871</v>
      </c>
      <c r="C231">
        <v>18729</v>
      </c>
      <c r="D231" s="807">
        <v>3.67</v>
      </c>
    </row>
    <row r="232" spans="1:4">
      <c r="A232" t="s">
        <v>3798</v>
      </c>
      <c r="B232" t="s">
        <v>5358</v>
      </c>
      <c r="C232">
        <v>2208</v>
      </c>
      <c r="D232" s="807">
        <v>4.21</v>
      </c>
    </row>
    <row r="233" spans="1:4">
      <c r="A233" t="s">
        <v>3490</v>
      </c>
      <c r="B233" t="s">
        <v>5359</v>
      </c>
      <c r="C233">
        <v>2997</v>
      </c>
      <c r="D233" s="807">
        <v>4.2300000000000004</v>
      </c>
    </row>
    <row r="234" spans="1:4">
      <c r="A234" t="s">
        <v>3804</v>
      </c>
      <c r="B234" t="s">
        <v>2569</v>
      </c>
      <c r="C234">
        <v>18626</v>
      </c>
      <c r="D234" s="807">
        <v>3.98</v>
      </c>
    </row>
    <row r="235" spans="1:4">
      <c r="A235" t="s">
        <v>5081</v>
      </c>
      <c r="B235" t="s">
        <v>248</v>
      </c>
      <c r="C235">
        <v>3656</v>
      </c>
      <c r="D235" s="807">
        <v>3.14</v>
      </c>
    </row>
    <row r="236" spans="1:4">
      <c r="A236" t="s">
        <v>8549</v>
      </c>
      <c r="B236" t="s">
        <v>8550</v>
      </c>
      <c r="C236">
        <v>14805</v>
      </c>
      <c r="D236" s="807">
        <v>3.9</v>
      </c>
    </row>
    <row r="237" spans="1:4">
      <c r="A237" t="s">
        <v>3871</v>
      </c>
      <c r="B237" t="s">
        <v>3872</v>
      </c>
      <c r="C237">
        <v>17001</v>
      </c>
      <c r="D237" s="807">
        <v>4.05</v>
      </c>
    </row>
    <row r="238" spans="1:4">
      <c r="A238" t="s">
        <v>3343</v>
      </c>
      <c r="B238" t="s">
        <v>3344</v>
      </c>
      <c r="C238">
        <v>10871</v>
      </c>
      <c r="D238" s="807">
        <v>4.13</v>
      </c>
    </row>
    <row r="239" spans="1:4">
      <c r="A239" t="s">
        <v>2793</v>
      </c>
      <c r="B239" t="s">
        <v>2794</v>
      </c>
      <c r="C239">
        <v>3040</v>
      </c>
      <c r="D239" s="807">
        <v>4.38</v>
      </c>
    </row>
    <row r="240" spans="1:4">
      <c r="A240" t="s">
        <v>2630</v>
      </c>
      <c r="B240" t="s">
        <v>249</v>
      </c>
      <c r="C240">
        <v>2248</v>
      </c>
      <c r="D240" s="807">
        <v>4.26</v>
      </c>
    </row>
    <row r="241" spans="1:4">
      <c r="A241" t="s">
        <v>4256</v>
      </c>
      <c r="B241" t="s">
        <v>8551</v>
      </c>
      <c r="C241">
        <v>3084</v>
      </c>
      <c r="D241" s="807">
        <v>3</v>
      </c>
    </row>
    <row r="242" spans="1:4">
      <c r="A242" t="s">
        <v>3698</v>
      </c>
      <c r="B242" t="s">
        <v>4544</v>
      </c>
      <c r="C242">
        <v>2725</v>
      </c>
      <c r="D242" s="807">
        <v>2.1</v>
      </c>
    </row>
    <row r="243" spans="1:4">
      <c r="A243" t="s">
        <v>8252</v>
      </c>
      <c r="B243" t="s">
        <v>8253</v>
      </c>
      <c r="C243">
        <v>3251</v>
      </c>
      <c r="D243" s="807">
        <v>2.31</v>
      </c>
    </row>
    <row r="244" spans="1:4">
      <c r="A244" t="s">
        <v>931</v>
      </c>
      <c r="B244" t="s">
        <v>5114</v>
      </c>
      <c r="C244">
        <v>10120</v>
      </c>
      <c r="D244" s="807">
        <v>3.07</v>
      </c>
    </row>
    <row r="245" spans="1:4">
      <c r="A245" t="s">
        <v>3132</v>
      </c>
      <c r="B245" t="s">
        <v>4872</v>
      </c>
      <c r="C245">
        <v>10898</v>
      </c>
      <c r="D245" s="807">
        <v>2.67</v>
      </c>
    </row>
    <row r="246" spans="1:4">
      <c r="A246" t="s">
        <v>6762</v>
      </c>
      <c r="B246" t="s">
        <v>8552</v>
      </c>
      <c r="C246">
        <v>6817</v>
      </c>
      <c r="D246" s="807">
        <v>2</v>
      </c>
    </row>
    <row r="247" spans="1:4">
      <c r="A247" t="s">
        <v>8553</v>
      </c>
      <c r="B247" t="s">
        <v>8554</v>
      </c>
      <c r="C247">
        <v>17735</v>
      </c>
      <c r="D247" s="807">
        <v>2.1</v>
      </c>
    </row>
    <row r="248" spans="1:4">
      <c r="A248" t="s">
        <v>944</v>
      </c>
      <c r="B248" t="s">
        <v>2689</v>
      </c>
      <c r="C248">
        <v>2385</v>
      </c>
      <c r="D248" s="807">
        <v>2.97</v>
      </c>
    </row>
    <row r="249" spans="1:4">
      <c r="A249" t="s">
        <v>4766</v>
      </c>
      <c r="B249" t="s">
        <v>543</v>
      </c>
      <c r="C249">
        <v>2233</v>
      </c>
      <c r="D249" s="807">
        <v>3.101</v>
      </c>
    </row>
    <row r="250" spans="1:4">
      <c r="A250" t="s">
        <v>6652</v>
      </c>
      <c r="B250" t="s">
        <v>6651</v>
      </c>
      <c r="C250">
        <v>10906</v>
      </c>
      <c r="D250" s="807">
        <v>2</v>
      </c>
    </row>
    <row r="251" spans="1:4">
      <c r="A251" t="s">
        <v>5159</v>
      </c>
      <c r="B251" t="s">
        <v>1430</v>
      </c>
      <c r="C251">
        <v>3348</v>
      </c>
      <c r="D251" s="807">
        <v>3.61</v>
      </c>
    </row>
    <row r="252" spans="1:4">
      <c r="A252" t="s">
        <v>3943</v>
      </c>
      <c r="B252" t="s">
        <v>1431</v>
      </c>
      <c r="C252">
        <v>10919</v>
      </c>
      <c r="D252" s="807">
        <v>3.5</v>
      </c>
    </row>
    <row r="253" spans="1:4">
      <c r="A253" t="s">
        <v>6393</v>
      </c>
      <c r="B253" t="s">
        <v>6392</v>
      </c>
      <c r="C253">
        <v>10924</v>
      </c>
      <c r="D253" s="807">
        <v>4.5</v>
      </c>
    </row>
    <row r="254" spans="1:4">
      <c r="A254" t="s">
        <v>5335</v>
      </c>
      <c r="B254" t="s">
        <v>2233</v>
      </c>
      <c r="C254">
        <v>3147</v>
      </c>
      <c r="D254" s="807">
        <v>3.03</v>
      </c>
    </row>
    <row r="255" spans="1:4">
      <c r="A255" t="s">
        <v>8254</v>
      </c>
      <c r="B255" t="s">
        <v>8255</v>
      </c>
      <c r="C255">
        <v>10940</v>
      </c>
      <c r="D255" s="807">
        <v>4.5</v>
      </c>
    </row>
    <row r="256" spans="1:4">
      <c r="A256" t="s">
        <v>1881</v>
      </c>
      <c r="B256" t="s">
        <v>1882</v>
      </c>
      <c r="C256">
        <v>10941</v>
      </c>
      <c r="D256" s="807">
        <v>4.5</v>
      </c>
    </row>
    <row r="257" spans="1:4">
      <c r="A257" t="s">
        <v>1881</v>
      </c>
      <c r="B257" t="s">
        <v>1882</v>
      </c>
      <c r="C257">
        <v>16068</v>
      </c>
      <c r="D257" s="807">
        <v>4.5</v>
      </c>
    </row>
    <row r="258" spans="1:4">
      <c r="A258" t="s">
        <v>8256</v>
      </c>
      <c r="B258" t="s">
        <v>8257</v>
      </c>
      <c r="C258">
        <v>20448</v>
      </c>
      <c r="D258" s="807">
        <v>4.5999999999999996</v>
      </c>
    </row>
    <row r="259" spans="1:4">
      <c r="A259" t="s">
        <v>1884</v>
      </c>
      <c r="B259" t="s">
        <v>1885</v>
      </c>
      <c r="C259">
        <v>10943</v>
      </c>
      <c r="D259" s="807">
        <v>4.5</v>
      </c>
    </row>
    <row r="260" spans="1:4">
      <c r="A260" t="s">
        <v>3665</v>
      </c>
      <c r="B260" t="s">
        <v>5147</v>
      </c>
      <c r="C260">
        <v>2650</v>
      </c>
      <c r="D260" s="807">
        <v>3.98</v>
      </c>
    </row>
    <row r="261" spans="1:4">
      <c r="A261" t="s">
        <v>6662</v>
      </c>
      <c r="B261" t="s">
        <v>6661</v>
      </c>
      <c r="C261">
        <v>16087</v>
      </c>
      <c r="D261" s="807">
        <v>2</v>
      </c>
    </row>
    <row r="262" spans="1:4">
      <c r="A262" t="s">
        <v>5453</v>
      </c>
      <c r="B262" t="s">
        <v>644</v>
      </c>
      <c r="C262">
        <v>3129</v>
      </c>
      <c r="D262" s="807">
        <v>4.08</v>
      </c>
    </row>
    <row r="263" spans="1:4">
      <c r="A263" t="s">
        <v>170</v>
      </c>
      <c r="B263" t="s">
        <v>645</v>
      </c>
      <c r="C263">
        <v>3128</v>
      </c>
      <c r="D263" s="807">
        <v>4.3099999999999996</v>
      </c>
    </row>
    <row r="264" spans="1:4">
      <c r="A264" t="s">
        <v>275</v>
      </c>
      <c r="B264" t="s">
        <v>250</v>
      </c>
      <c r="C264">
        <v>3100</v>
      </c>
      <c r="D264" s="807">
        <v>3.61</v>
      </c>
    </row>
    <row r="265" spans="1:4">
      <c r="A265" t="s">
        <v>4949</v>
      </c>
      <c r="B265" t="s">
        <v>1645</v>
      </c>
      <c r="C265">
        <v>3009</v>
      </c>
      <c r="D265" s="807">
        <v>3.3</v>
      </c>
    </row>
    <row r="266" spans="1:4">
      <c r="A266" t="s">
        <v>5256</v>
      </c>
      <c r="B266" t="s">
        <v>3783</v>
      </c>
      <c r="C266">
        <v>2093</v>
      </c>
      <c r="D266" s="807">
        <v>2.75</v>
      </c>
    </row>
    <row r="267" spans="1:4">
      <c r="A267" t="s">
        <v>920</v>
      </c>
      <c r="B267" t="s">
        <v>1600</v>
      </c>
      <c r="C267">
        <v>2899</v>
      </c>
      <c r="D267" s="807">
        <v>2.19</v>
      </c>
    </row>
    <row r="268" spans="1:4">
      <c r="A268" t="s">
        <v>3913</v>
      </c>
      <c r="B268" t="s">
        <v>1601</v>
      </c>
      <c r="C268">
        <v>2898</v>
      </c>
      <c r="D268" s="807">
        <v>3.4</v>
      </c>
    </row>
    <row r="269" spans="1:4">
      <c r="A269" t="s">
        <v>5452</v>
      </c>
      <c r="B269" t="s">
        <v>1602</v>
      </c>
      <c r="C269">
        <v>2094</v>
      </c>
      <c r="D269" s="807">
        <v>2.25</v>
      </c>
    </row>
    <row r="270" spans="1:4">
      <c r="A270" t="s">
        <v>1086</v>
      </c>
      <c r="B270" t="s">
        <v>1646</v>
      </c>
      <c r="C270">
        <v>2217</v>
      </c>
      <c r="D270" s="807">
        <v>4</v>
      </c>
    </row>
    <row r="271" spans="1:4">
      <c r="A271" t="s">
        <v>185</v>
      </c>
      <c r="B271" t="s">
        <v>251</v>
      </c>
      <c r="C271">
        <v>2461</v>
      </c>
      <c r="D271" s="807">
        <v>3.78</v>
      </c>
    </row>
    <row r="272" spans="1:4">
      <c r="A272" t="s">
        <v>8258</v>
      </c>
      <c r="B272" t="s">
        <v>8259</v>
      </c>
      <c r="C272">
        <v>10966</v>
      </c>
      <c r="D272" s="807">
        <v>3.2</v>
      </c>
    </row>
    <row r="273" spans="1:4">
      <c r="A273" t="s">
        <v>6534</v>
      </c>
      <c r="B273" t="s">
        <v>6533</v>
      </c>
      <c r="C273">
        <v>19842</v>
      </c>
      <c r="D273" s="807">
        <v>2.4</v>
      </c>
    </row>
    <row r="274" spans="1:4">
      <c r="A274" t="s">
        <v>6752</v>
      </c>
      <c r="B274" t="s">
        <v>8555</v>
      </c>
      <c r="C274">
        <v>6810</v>
      </c>
      <c r="D274" s="807">
        <v>2.7</v>
      </c>
    </row>
    <row r="275" spans="1:4">
      <c r="A275" t="s">
        <v>6749</v>
      </c>
      <c r="B275" t="s">
        <v>8556</v>
      </c>
      <c r="C275">
        <v>6819</v>
      </c>
      <c r="D275" s="807">
        <v>3</v>
      </c>
    </row>
    <row r="276" spans="1:4">
      <c r="A276" t="s">
        <v>6750</v>
      </c>
      <c r="B276" t="s">
        <v>4977</v>
      </c>
      <c r="C276">
        <v>10970</v>
      </c>
      <c r="D276" s="807">
        <v>2</v>
      </c>
    </row>
    <row r="277" spans="1:4">
      <c r="A277" t="s">
        <v>6290</v>
      </c>
      <c r="B277" t="s">
        <v>6289</v>
      </c>
      <c r="C277">
        <v>19225</v>
      </c>
      <c r="D277" s="807">
        <v>2</v>
      </c>
    </row>
    <row r="278" spans="1:4">
      <c r="A278" t="s">
        <v>2469</v>
      </c>
      <c r="B278" t="s">
        <v>2470</v>
      </c>
      <c r="C278">
        <v>19056</v>
      </c>
      <c r="D278" s="807">
        <v>2.3199999999999998</v>
      </c>
    </row>
    <row r="279" spans="1:4">
      <c r="A279" t="s">
        <v>6751</v>
      </c>
      <c r="B279" t="s">
        <v>8557</v>
      </c>
      <c r="C279">
        <v>6818</v>
      </c>
      <c r="D279" s="807">
        <v>2</v>
      </c>
    </row>
    <row r="280" spans="1:4">
      <c r="A280" t="s">
        <v>437</v>
      </c>
      <c r="B280" t="s">
        <v>8558</v>
      </c>
      <c r="C280">
        <v>2148</v>
      </c>
      <c r="D280" s="807">
        <v>2.6</v>
      </c>
    </row>
    <row r="281" spans="1:4">
      <c r="A281" t="s">
        <v>6292</v>
      </c>
      <c r="B281" t="s">
        <v>6291</v>
      </c>
      <c r="C281">
        <v>10977</v>
      </c>
      <c r="D281" s="807">
        <v>2</v>
      </c>
    </row>
    <row r="282" spans="1:4">
      <c r="A282" t="s">
        <v>3458</v>
      </c>
      <c r="B282" t="s">
        <v>2988</v>
      </c>
      <c r="C282">
        <v>2659</v>
      </c>
      <c r="D282" s="807">
        <v>2.1</v>
      </c>
    </row>
    <row r="283" spans="1:4">
      <c r="A283" t="s">
        <v>8260</v>
      </c>
      <c r="B283" t="s">
        <v>8261</v>
      </c>
      <c r="C283">
        <v>20387</v>
      </c>
      <c r="D283" s="807">
        <v>2.1</v>
      </c>
    </row>
    <row r="284" spans="1:4">
      <c r="A284" t="s">
        <v>8262</v>
      </c>
      <c r="B284" t="s">
        <v>8263</v>
      </c>
      <c r="C284">
        <v>20389</v>
      </c>
      <c r="D284" s="807">
        <v>2.1</v>
      </c>
    </row>
    <row r="285" spans="1:4">
      <c r="A285" t="s">
        <v>1087</v>
      </c>
      <c r="B285" t="s">
        <v>4332</v>
      </c>
      <c r="C285">
        <v>3498</v>
      </c>
      <c r="D285" s="807">
        <v>2.1</v>
      </c>
    </row>
    <row r="286" spans="1:4">
      <c r="A286" t="s">
        <v>8264</v>
      </c>
      <c r="B286" t="s">
        <v>8265</v>
      </c>
      <c r="C286">
        <v>20390</v>
      </c>
      <c r="D286" s="807">
        <v>2.1</v>
      </c>
    </row>
    <row r="287" spans="1:4">
      <c r="A287" t="s">
        <v>3112</v>
      </c>
      <c r="B287" t="s">
        <v>2234</v>
      </c>
      <c r="C287">
        <v>18982</v>
      </c>
      <c r="D287" s="807">
        <v>3.4</v>
      </c>
    </row>
    <row r="288" spans="1:4">
      <c r="A288" s="403" t="s">
        <v>8946</v>
      </c>
      <c r="B288" s="403" t="s">
        <v>8947</v>
      </c>
      <c r="C288" s="403">
        <v>11048</v>
      </c>
      <c r="D288" s="807">
        <v>3.5</v>
      </c>
    </row>
    <row r="289" spans="1:4">
      <c r="A289" t="s">
        <v>8266</v>
      </c>
      <c r="B289" t="s">
        <v>8267</v>
      </c>
      <c r="C289">
        <v>11049</v>
      </c>
      <c r="D289" s="807">
        <v>3.5</v>
      </c>
    </row>
    <row r="290" spans="1:4">
      <c r="A290" t="s">
        <v>8268</v>
      </c>
      <c r="B290" t="s">
        <v>8269</v>
      </c>
      <c r="C290">
        <v>11050</v>
      </c>
      <c r="D290" s="807">
        <v>3.8</v>
      </c>
    </row>
    <row r="291" spans="1:4">
      <c r="A291" t="s">
        <v>4128</v>
      </c>
      <c r="B291" t="s">
        <v>2301</v>
      </c>
      <c r="C291">
        <v>2372</v>
      </c>
      <c r="D291" s="807">
        <v>3.39</v>
      </c>
    </row>
    <row r="292" spans="1:4">
      <c r="A292" t="s">
        <v>6302</v>
      </c>
      <c r="B292" t="s">
        <v>6301</v>
      </c>
      <c r="C292">
        <v>19841</v>
      </c>
      <c r="D292" s="807">
        <v>2</v>
      </c>
    </row>
    <row r="293" spans="1:4">
      <c r="A293" t="s">
        <v>6305</v>
      </c>
      <c r="B293" t="s">
        <v>177</v>
      </c>
      <c r="C293">
        <v>18576</v>
      </c>
      <c r="D293" s="807">
        <v>2.6</v>
      </c>
    </row>
    <row r="294" spans="1:4">
      <c r="A294" t="s">
        <v>6753</v>
      </c>
      <c r="B294" t="s">
        <v>5148</v>
      </c>
      <c r="C294">
        <v>2631</v>
      </c>
      <c r="D294" s="807">
        <v>2.5</v>
      </c>
    </row>
    <row r="295" spans="1:4">
      <c r="A295" t="s">
        <v>3814</v>
      </c>
      <c r="B295" t="s">
        <v>5148</v>
      </c>
      <c r="C295">
        <v>2633</v>
      </c>
      <c r="D295" s="807">
        <v>2.5</v>
      </c>
    </row>
    <row r="296" spans="1:4">
      <c r="A296" t="s">
        <v>4643</v>
      </c>
      <c r="B296" t="s">
        <v>5149</v>
      </c>
      <c r="C296">
        <v>2632</v>
      </c>
      <c r="D296" s="807">
        <v>4</v>
      </c>
    </row>
    <row r="297" spans="1:4">
      <c r="A297" t="s">
        <v>3889</v>
      </c>
      <c r="B297" t="s">
        <v>3890</v>
      </c>
      <c r="C297">
        <v>17241</v>
      </c>
      <c r="D297" s="807">
        <v>3.3182763159269002</v>
      </c>
    </row>
    <row r="298" spans="1:4">
      <c r="A298" t="s">
        <v>2293</v>
      </c>
      <c r="B298" t="s">
        <v>1913</v>
      </c>
      <c r="C298">
        <v>3641</v>
      </c>
      <c r="D298" s="807">
        <v>1</v>
      </c>
    </row>
    <row r="299" spans="1:4">
      <c r="A299" t="s">
        <v>2284</v>
      </c>
      <c r="B299" t="s">
        <v>950</v>
      </c>
      <c r="C299">
        <v>2873</v>
      </c>
      <c r="D299" s="807">
        <v>3.43</v>
      </c>
    </row>
    <row r="300" spans="1:4">
      <c r="A300" t="s">
        <v>3428</v>
      </c>
      <c r="B300" t="s">
        <v>3429</v>
      </c>
      <c r="C300">
        <v>11063</v>
      </c>
      <c r="D300" s="807">
        <v>3.23</v>
      </c>
    </row>
    <row r="301" spans="1:4">
      <c r="A301" t="s">
        <v>2103</v>
      </c>
      <c r="B301" t="s">
        <v>4760</v>
      </c>
      <c r="C301">
        <v>2874</v>
      </c>
      <c r="D301" s="807">
        <v>3.45</v>
      </c>
    </row>
    <row r="302" spans="1:4">
      <c r="A302" t="s">
        <v>5365</v>
      </c>
      <c r="B302" t="s">
        <v>4761</v>
      </c>
      <c r="C302">
        <v>11064</v>
      </c>
      <c r="D302" s="807">
        <v>3.6</v>
      </c>
    </row>
    <row r="303" spans="1:4">
      <c r="A303" t="s">
        <v>8848</v>
      </c>
      <c r="B303" t="s">
        <v>8849</v>
      </c>
      <c r="C303">
        <v>11065</v>
      </c>
      <c r="D303" s="807">
        <v>3.2</v>
      </c>
    </row>
    <row r="304" spans="1:4">
      <c r="A304" t="s">
        <v>552</v>
      </c>
      <c r="B304" t="s">
        <v>553</v>
      </c>
      <c r="C304">
        <v>2327</v>
      </c>
      <c r="D304" s="807">
        <v>4.5</v>
      </c>
    </row>
    <row r="305" spans="1:4">
      <c r="A305" t="s">
        <v>922</v>
      </c>
      <c r="B305" t="s">
        <v>3815</v>
      </c>
      <c r="C305">
        <v>3462</v>
      </c>
      <c r="D305" s="807">
        <v>2.6</v>
      </c>
    </row>
    <row r="306" spans="1:4">
      <c r="A306" t="s">
        <v>1941</v>
      </c>
      <c r="B306" t="s">
        <v>6306</v>
      </c>
      <c r="C306">
        <v>19120</v>
      </c>
      <c r="D306" s="807">
        <v>3.3182763159269002</v>
      </c>
    </row>
    <row r="307" spans="1:4">
      <c r="A307" t="s">
        <v>4492</v>
      </c>
      <c r="B307" t="s">
        <v>3816</v>
      </c>
      <c r="C307">
        <v>3460</v>
      </c>
      <c r="D307" s="807">
        <v>2.6</v>
      </c>
    </row>
    <row r="308" spans="1:4">
      <c r="A308" t="s">
        <v>3633</v>
      </c>
      <c r="B308" t="s">
        <v>3817</v>
      </c>
      <c r="C308">
        <v>3461</v>
      </c>
      <c r="D308" s="807">
        <v>4</v>
      </c>
    </row>
    <row r="309" spans="1:4">
      <c r="A309" t="s">
        <v>4628</v>
      </c>
      <c r="B309" t="s">
        <v>2159</v>
      </c>
      <c r="C309">
        <v>2627</v>
      </c>
      <c r="D309" s="807">
        <v>2.6</v>
      </c>
    </row>
    <row r="310" spans="1:4">
      <c r="A310" t="s">
        <v>4097</v>
      </c>
      <c r="B310" t="s">
        <v>2326</v>
      </c>
      <c r="C310">
        <v>3463</v>
      </c>
      <c r="D310" s="807">
        <v>3.3</v>
      </c>
    </row>
    <row r="311" spans="1:4">
      <c r="A311" t="s">
        <v>1048</v>
      </c>
      <c r="B311" t="s">
        <v>6309</v>
      </c>
      <c r="C311">
        <v>2566</v>
      </c>
      <c r="D311" s="807">
        <v>2.66</v>
      </c>
    </row>
    <row r="312" spans="1:4">
      <c r="A312" t="s">
        <v>8850</v>
      </c>
      <c r="B312" t="s">
        <v>8851</v>
      </c>
      <c r="C312">
        <v>11075</v>
      </c>
      <c r="D312" s="807">
        <v>3.5</v>
      </c>
    </row>
    <row r="313" spans="1:4">
      <c r="A313" t="s">
        <v>8559</v>
      </c>
      <c r="B313" t="s">
        <v>6312</v>
      </c>
      <c r="C313">
        <v>11078</v>
      </c>
      <c r="D313" s="807">
        <v>2</v>
      </c>
    </row>
    <row r="314" spans="1:4">
      <c r="A314" t="s">
        <v>2482</v>
      </c>
      <c r="B314" t="s">
        <v>2483</v>
      </c>
      <c r="C314">
        <v>11083</v>
      </c>
      <c r="D314" s="807">
        <v>3.92</v>
      </c>
    </row>
    <row r="315" spans="1:4">
      <c r="A315" t="s">
        <v>867</v>
      </c>
      <c r="B315" t="s">
        <v>252</v>
      </c>
      <c r="C315">
        <v>2251</v>
      </c>
      <c r="D315" s="807">
        <v>3.5</v>
      </c>
    </row>
    <row r="316" spans="1:4">
      <c r="A316" t="s">
        <v>4836</v>
      </c>
      <c r="B316" t="s">
        <v>2044</v>
      </c>
      <c r="C316">
        <v>11084</v>
      </c>
      <c r="D316" s="807">
        <v>3.59</v>
      </c>
    </row>
    <row r="317" spans="1:4">
      <c r="A317" t="s">
        <v>3569</v>
      </c>
      <c r="B317" t="s">
        <v>1177</v>
      </c>
      <c r="C317">
        <v>3045</v>
      </c>
      <c r="D317" s="807">
        <v>3.14</v>
      </c>
    </row>
    <row r="318" spans="1:4">
      <c r="A318" t="s">
        <v>8270</v>
      </c>
      <c r="B318" t="s">
        <v>8271</v>
      </c>
      <c r="C318">
        <v>11086</v>
      </c>
      <c r="D318" s="807">
        <v>3.4</v>
      </c>
    </row>
    <row r="319" spans="1:4">
      <c r="A319" t="s">
        <v>3199</v>
      </c>
      <c r="B319" t="s">
        <v>646</v>
      </c>
      <c r="C319">
        <v>3104</v>
      </c>
      <c r="D319" s="807">
        <v>3.9</v>
      </c>
    </row>
    <row r="320" spans="1:4">
      <c r="A320" t="s">
        <v>2538</v>
      </c>
      <c r="B320" t="s">
        <v>647</v>
      </c>
      <c r="C320">
        <v>11091</v>
      </c>
      <c r="D320" s="807">
        <v>4.5</v>
      </c>
    </row>
    <row r="321" spans="1:4">
      <c r="A321" t="s">
        <v>4529</v>
      </c>
      <c r="B321" t="s">
        <v>648</v>
      </c>
      <c r="C321">
        <v>11097</v>
      </c>
      <c r="D321" s="807">
        <v>4.3899999999999997</v>
      </c>
    </row>
    <row r="322" spans="1:4">
      <c r="A322" t="s">
        <v>5436</v>
      </c>
      <c r="B322" t="s">
        <v>856</v>
      </c>
      <c r="C322">
        <v>11101</v>
      </c>
      <c r="D322" s="807">
        <v>4.3600000000000003</v>
      </c>
    </row>
    <row r="323" spans="1:4">
      <c r="A323" t="s">
        <v>8272</v>
      </c>
      <c r="B323" t="s">
        <v>8273</v>
      </c>
      <c r="C323">
        <v>18789</v>
      </c>
      <c r="D323" s="807">
        <v>4.5</v>
      </c>
    </row>
    <row r="324" spans="1:4">
      <c r="A324" t="s">
        <v>8274</v>
      </c>
      <c r="B324" t="s">
        <v>8275</v>
      </c>
      <c r="C324">
        <v>11109</v>
      </c>
      <c r="D324" s="807">
        <v>4.0999999999999996</v>
      </c>
    </row>
    <row r="325" spans="1:4">
      <c r="A325" t="s">
        <v>3809</v>
      </c>
      <c r="B325" t="s">
        <v>857</v>
      </c>
      <c r="C325">
        <v>3111</v>
      </c>
      <c r="D325" s="807">
        <v>4.4000000000000004</v>
      </c>
    </row>
    <row r="326" spans="1:4">
      <c r="A326" t="s">
        <v>616</v>
      </c>
      <c r="B326" t="s">
        <v>858</v>
      </c>
      <c r="C326">
        <v>3112</v>
      </c>
      <c r="D326" s="807">
        <v>3.5</v>
      </c>
    </row>
    <row r="327" spans="1:4">
      <c r="A327" t="s">
        <v>890</v>
      </c>
      <c r="B327" t="s">
        <v>859</v>
      </c>
      <c r="C327">
        <v>11112</v>
      </c>
      <c r="D327" s="807">
        <v>4.22</v>
      </c>
    </row>
    <row r="328" spans="1:4">
      <c r="A328" t="s">
        <v>3758</v>
      </c>
      <c r="B328" t="s">
        <v>860</v>
      </c>
      <c r="C328">
        <v>11115</v>
      </c>
      <c r="D328" s="807">
        <v>4.49</v>
      </c>
    </row>
    <row r="329" spans="1:4">
      <c r="A329" t="s">
        <v>2115</v>
      </c>
      <c r="B329" t="s">
        <v>861</v>
      </c>
      <c r="C329">
        <v>2317</v>
      </c>
      <c r="D329" s="807">
        <v>3.6</v>
      </c>
    </row>
    <row r="330" spans="1:4">
      <c r="A330" t="s">
        <v>1609</v>
      </c>
      <c r="B330" t="s">
        <v>862</v>
      </c>
      <c r="C330">
        <v>3113</v>
      </c>
      <c r="D330" s="807">
        <v>4.3899999999999997</v>
      </c>
    </row>
    <row r="331" spans="1:4">
      <c r="A331" t="s">
        <v>8276</v>
      </c>
      <c r="B331" t="s">
        <v>8277</v>
      </c>
      <c r="C331">
        <v>11117</v>
      </c>
      <c r="D331" s="807">
        <v>3.9</v>
      </c>
    </row>
    <row r="332" spans="1:4">
      <c r="A332" t="s">
        <v>2837</v>
      </c>
      <c r="B332" t="s">
        <v>863</v>
      </c>
      <c r="C332">
        <v>11118</v>
      </c>
      <c r="D332" s="807">
        <v>4.5</v>
      </c>
    </row>
    <row r="333" spans="1:4">
      <c r="A333" t="s">
        <v>3703</v>
      </c>
      <c r="B333" t="s">
        <v>2752</v>
      </c>
      <c r="C333">
        <v>3110</v>
      </c>
      <c r="D333" s="807">
        <v>4.05</v>
      </c>
    </row>
    <row r="334" spans="1:4">
      <c r="A334" t="s">
        <v>1043</v>
      </c>
      <c r="B334" t="s">
        <v>5279</v>
      </c>
      <c r="C334">
        <v>2959</v>
      </c>
      <c r="D334" s="807">
        <v>2</v>
      </c>
    </row>
    <row r="335" spans="1:4">
      <c r="A335" t="s">
        <v>2769</v>
      </c>
      <c r="B335" t="s">
        <v>5280</v>
      </c>
      <c r="C335">
        <v>2156</v>
      </c>
      <c r="D335" s="807">
        <v>3.11</v>
      </c>
    </row>
    <row r="336" spans="1:4">
      <c r="A336" t="s">
        <v>8560</v>
      </c>
      <c r="B336" t="s">
        <v>5280</v>
      </c>
      <c r="C336">
        <v>20385</v>
      </c>
      <c r="D336" s="807">
        <v>3.1</v>
      </c>
    </row>
    <row r="337" spans="1:4">
      <c r="A337" t="s">
        <v>1248</v>
      </c>
      <c r="B337" t="s">
        <v>2309</v>
      </c>
      <c r="C337">
        <v>2806</v>
      </c>
      <c r="D337" s="807">
        <v>4.22</v>
      </c>
    </row>
    <row r="338" spans="1:4">
      <c r="A338" t="s">
        <v>6267</v>
      </c>
      <c r="B338" t="s">
        <v>6266</v>
      </c>
      <c r="C338">
        <v>2809</v>
      </c>
      <c r="D338" s="807">
        <v>4.2</v>
      </c>
    </row>
    <row r="339" spans="1:4">
      <c r="A339" t="s">
        <v>4666</v>
      </c>
      <c r="B339" t="s">
        <v>4787</v>
      </c>
      <c r="C339">
        <v>2022</v>
      </c>
      <c r="D339" s="807">
        <v>4.5</v>
      </c>
    </row>
    <row r="340" spans="1:4">
      <c r="A340" t="s">
        <v>6673</v>
      </c>
      <c r="B340" t="s">
        <v>6672</v>
      </c>
      <c r="C340">
        <v>2023</v>
      </c>
      <c r="D340" s="807">
        <v>4.2</v>
      </c>
    </row>
    <row r="341" spans="1:4">
      <c r="A341" t="s">
        <v>8278</v>
      </c>
      <c r="B341" t="s">
        <v>8279</v>
      </c>
      <c r="C341">
        <v>11128</v>
      </c>
      <c r="D341" s="807">
        <v>3.9</v>
      </c>
    </row>
    <row r="342" spans="1:4">
      <c r="A342" t="s">
        <v>3583</v>
      </c>
      <c r="B342" t="s">
        <v>4788</v>
      </c>
      <c r="C342">
        <v>2021</v>
      </c>
      <c r="D342" s="807">
        <v>4.5</v>
      </c>
    </row>
    <row r="343" spans="1:4">
      <c r="A343" t="s">
        <v>6379</v>
      </c>
      <c r="B343" t="s">
        <v>6378</v>
      </c>
      <c r="C343">
        <v>2816</v>
      </c>
      <c r="D343" s="807">
        <v>4.2</v>
      </c>
    </row>
    <row r="344" spans="1:4">
      <c r="A344" t="s">
        <v>1180</v>
      </c>
      <c r="B344" t="s">
        <v>1181</v>
      </c>
      <c r="C344">
        <v>2812</v>
      </c>
      <c r="D344" s="807">
        <v>4.3099999999999996</v>
      </c>
    </row>
    <row r="345" spans="1:4">
      <c r="A345" t="s">
        <v>4834</v>
      </c>
      <c r="B345" t="s">
        <v>757</v>
      </c>
      <c r="C345">
        <v>2808</v>
      </c>
      <c r="D345" s="807">
        <v>4.24</v>
      </c>
    </row>
    <row r="346" spans="1:4">
      <c r="A346" t="s">
        <v>5185</v>
      </c>
      <c r="B346" t="s">
        <v>758</v>
      </c>
      <c r="C346">
        <v>2810</v>
      </c>
      <c r="D346" s="807">
        <v>4.16</v>
      </c>
    </row>
    <row r="347" spans="1:4">
      <c r="A347" t="s">
        <v>329</v>
      </c>
      <c r="B347" t="s">
        <v>759</v>
      </c>
      <c r="C347">
        <v>2811</v>
      </c>
      <c r="D347" s="807">
        <v>4.49</v>
      </c>
    </row>
    <row r="348" spans="1:4">
      <c r="A348" t="s">
        <v>1191</v>
      </c>
      <c r="B348" t="s">
        <v>760</v>
      </c>
      <c r="C348">
        <v>2807</v>
      </c>
      <c r="D348" s="807">
        <v>4.49</v>
      </c>
    </row>
    <row r="349" spans="1:4">
      <c r="A349" t="s">
        <v>3887</v>
      </c>
      <c r="B349" t="s">
        <v>3888</v>
      </c>
      <c r="C349">
        <v>2020</v>
      </c>
      <c r="D349" s="807">
        <v>4.1399999999999997</v>
      </c>
    </row>
    <row r="350" spans="1:4">
      <c r="A350" t="s">
        <v>8280</v>
      </c>
      <c r="B350" t="s">
        <v>8281</v>
      </c>
      <c r="C350">
        <v>2815</v>
      </c>
      <c r="D350" s="807">
        <v>4.5999999999999996</v>
      </c>
    </row>
    <row r="351" spans="1:4">
      <c r="A351" t="s">
        <v>8561</v>
      </c>
      <c r="B351" t="s">
        <v>724</v>
      </c>
      <c r="C351">
        <v>11134</v>
      </c>
      <c r="D351" s="807">
        <v>4.1500000000000004</v>
      </c>
    </row>
    <row r="352" spans="1:4">
      <c r="A352" t="s">
        <v>1190</v>
      </c>
      <c r="B352" t="s">
        <v>725</v>
      </c>
      <c r="C352">
        <v>2006</v>
      </c>
      <c r="D352" s="807">
        <v>4.5</v>
      </c>
    </row>
    <row r="353" spans="1:4">
      <c r="A353" t="s">
        <v>3807</v>
      </c>
      <c r="B353" t="s">
        <v>726</v>
      </c>
      <c r="C353">
        <v>2799</v>
      </c>
      <c r="D353" s="807">
        <v>4.53</v>
      </c>
    </row>
    <row r="354" spans="1:4">
      <c r="A354" t="s">
        <v>2015</v>
      </c>
      <c r="B354" t="s">
        <v>2327</v>
      </c>
      <c r="C354">
        <v>2636</v>
      </c>
      <c r="D354" s="807">
        <v>3.43</v>
      </c>
    </row>
    <row r="355" spans="1:4">
      <c r="A355" t="s">
        <v>1159</v>
      </c>
      <c r="B355" t="s">
        <v>2328</v>
      </c>
      <c r="C355">
        <v>2635</v>
      </c>
      <c r="D355" s="807">
        <v>3.5</v>
      </c>
    </row>
    <row r="356" spans="1:4">
      <c r="A356" t="s">
        <v>4772</v>
      </c>
      <c r="B356" t="s">
        <v>4545</v>
      </c>
      <c r="C356">
        <v>2693</v>
      </c>
      <c r="D356" s="807">
        <v>2.1</v>
      </c>
    </row>
    <row r="357" spans="1:4">
      <c r="A357" t="s">
        <v>777</v>
      </c>
      <c r="B357" t="s">
        <v>3454</v>
      </c>
      <c r="C357">
        <v>2748</v>
      </c>
      <c r="D357" s="807">
        <v>3.54</v>
      </c>
    </row>
    <row r="358" spans="1:4">
      <c r="A358" t="s">
        <v>4251</v>
      </c>
      <c r="B358" t="s">
        <v>8562</v>
      </c>
      <c r="C358">
        <v>2606</v>
      </c>
      <c r="D358" s="807">
        <v>2.56</v>
      </c>
    </row>
    <row r="359" spans="1:4">
      <c r="A359" t="s">
        <v>6247</v>
      </c>
      <c r="B359" t="s">
        <v>6246</v>
      </c>
      <c r="C359">
        <v>16169</v>
      </c>
      <c r="D359" s="807">
        <v>2</v>
      </c>
    </row>
    <row r="360" spans="1:4">
      <c r="A360" t="s">
        <v>8282</v>
      </c>
      <c r="B360" t="s">
        <v>8283</v>
      </c>
      <c r="C360">
        <v>11148</v>
      </c>
      <c r="D360" s="807">
        <v>2</v>
      </c>
    </row>
    <row r="361" spans="1:4">
      <c r="A361" t="s">
        <v>221</v>
      </c>
      <c r="B361" t="s">
        <v>5207</v>
      </c>
      <c r="C361">
        <v>2896</v>
      </c>
      <c r="D361" s="807">
        <v>3.25</v>
      </c>
    </row>
    <row r="362" spans="1:4">
      <c r="A362" t="s">
        <v>8852</v>
      </c>
      <c r="B362" t="s">
        <v>8853</v>
      </c>
      <c r="C362">
        <v>19011</v>
      </c>
      <c r="D362" s="807">
        <v>3.5</v>
      </c>
    </row>
    <row r="363" spans="1:4">
      <c r="A363" t="s">
        <v>2248</v>
      </c>
      <c r="B363" t="s">
        <v>4820</v>
      </c>
      <c r="C363">
        <v>2953</v>
      </c>
      <c r="D363" s="807">
        <v>2.99</v>
      </c>
    </row>
    <row r="364" spans="1:4">
      <c r="A364" t="s">
        <v>8854</v>
      </c>
      <c r="B364" t="s">
        <v>8855</v>
      </c>
      <c r="C364">
        <v>20575</v>
      </c>
      <c r="D364" s="807">
        <v>2.15</v>
      </c>
    </row>
    <row r="365" spans="1:4">
      <c r="A365" t="s">
        <v>8563</v>
      </c>
      <c r="B365" t="s">
        <v>8564</v>
      </c>
      <c r="C365">
        <v>18480</v>
      </c>
      <c r="D365" s="807">
        <v>1</v>
      </c>
    </row>
    <row r="366" spans="1:4">
      <c r="A366" t="s">
        <v>5985</v>
      </c>
      <c r="B366" t="s">
        <v>8565</v>
      </c>
      <c r="C366">
        <v>2774</v>
      </c>
      <c r="D366" s="807">
        <v>1</v>
      </c>
    </row>
    <row r="367" spans="1:4">
      <c r="A367" t="s">
        <v>9000</v>
      </c>
      <c r="B367" t="s">
        <v>9001</v>
      </c>
      <c r="C367">
        <v>11160</v>
      </c>
      <c r="D367" s="807">
        <v>3.7</v>
      </c>
    </row>
    <row r="368" spans="1:4">
      <c r="A368" t="s">
        <v>1607</v>
      </c>
      <c r="B368" t="s">
        <v>2459</v>
      </c>
      <c r="C368">
        <v>18760</v>
      </c>
      <c r="D368" s="807">
        <v>3.62</v>
      </c>
    </row>
    <row r="369" spans="1:4">
      <c r="A369" t="s">
        <v>2250</v>
      </c>
      <c r="B369" t="s">
        <v>2251</v>
      </c>
      <c r="C369">
        <v>11161</v>
      </c>
      <c r="D369" s="807">
        <v>3.81</v>
      </c>
    </row>
    <row r="370" spans="1:4">
      <c r="A370" t="s">
        <v>2098</v>
      </c>
      <c r="B370" t="s">
        <v>2460</v>
      </c>
      <c r="C370">
        <v>11162</v>
      </c>
      <c r="D370" s="807">
        <v>3.9</v>
      </c>
    </row>
    <row r="371" spans="1:4">
      <c r="A371" t="s">
        <v>8284</v>
      </c>
      <c r="B371" t="s">
        <v>8285</v>
      </c>
      <c r="C371">
        <v>11165</v>
      </c>
      <c r="D371" s="807">
        <v>3.4</v>
      </c>
    </row>
    <row r="372" spans="1:4">
      <c r="A372" t="s">
        <v>1718</v>
      </c>
      <c r="B372" t="s">
        <v>2461</v>
      </c>
      <c r="C372">
        <v>11168</v>
      </c>
      <c r="D372" s="807">
        <v>3.57</v>
      </c>
    </row>
    <row r="373" spans="1:4">
      <c r="A373" t="s">
        <v>3637</v>
      </c>
      <c r="B373" t="s">
        <v>2462</v>
      </c>
      <c r="C373">
        <v>3644</v>
      </c>
      <c r="D373" s="807">
        <v>3.81</v>
      </c>
    </row>
    <row r="374" spans="1:4">
      <c r="A374" t="s">
        <v>6605</v>
      </c>
      <c r="B374" t="s">
        <v>6604</v>
      </c>
      <c r="C374">
        <v>11175</v>
      </c>
      <c r="D374" s="807">
        <v>3.5</v>
      </c>
    </row>
    <row r="375" spans="1:4">
      <c r="A375" t="s">
        <v>483</v>
      </c>
      <c r="B375" t="s">
        <v>2463</v>
      </c>
      <c r="C375">
        <v>3316</v>
      </c>
      <c r="D375" s="807">
        <v>3.72</v>
      </c>
    </row>
    <row r="376" spans="1:4">
      <c r="A376" t="s">
        <v>698</v>
      </c>
      <c r="B376" t="s">
        <v>2464</v>
      </c>
      <c r="C376">
        <v>11176</v>
      </c>
      <c r="D376" s="807">
        <v>3.92</v>
      </c>
    </row>
    <row r="377" spans="1:4">
      <c r="A377" t="s">
        <v>1529</v>
      </c>
      <c r="B377" t="s">
        <v>727</v>
      </c>
      <c r="C377">
        <v>2835</v>
      </c>
      <c r="D377" s="807">
        <v>4.13</v>
      </c>
    </row>
    <row r="378" spans="1:4">
      <c r="A378" t="s">
        <v>3924</v>
      </c>
      <c r="B378" t="s">
        <v>1035</v>
      </c>
      <c r="C378">
        <v>2837</v>
      </c>
      <c r="D378" s="807">
        <v>4.43</v>
      </c>
    </row>
    <row r="379" spans="1:4">
      <c r="A379" t="s">
        <v>3006</v>
      </c>
      <c r="B379" t="s">
        <v>728</v>
      </c>
      <c r="C379">
        <v>2036</v>
      </c>
      <c r="D379" s="807">
        <v>4.22</v>
      </c>
    </row>
    <row r="380" spans="1:4">
      <c r="A380" t="s">
        <v>8856</v>
      </c>
      <c r="B380" t="s">
        <v>8857</v>
      </c>
      <c r="C380">
        <v>11186</v>
      </c>
      <c r="D380" s="807">
        <v>4.2</v>
      </c>
    </row>
    <row r="381" spans="1:4">
      <c r="A381" t="s">
        <v>9002</v>
      </c>
      <c r="B381" t="s">
        <v>9003</v>
      </c>
      <c r="C381">
        <v>11188</v>
      </c>
      <c r="D381" s="807">
        <v>4.2</v>
      </c>
    </row>
    <row r="382" spans="1:4">
      <c r="A382" t="s">
        <v>1575</v>
      </c>
      <c r="B382" t="s">
        <v>2302</v>
      </c>
      <c r="C382">
        <v>3066</v>
      </c>
      <c r="D382" s="807">
        <v>4.07</v>
      </c>
    </row>
    <row r="383" spans="1:4">
      <c r="A383" t="s">
        <v>3156</v>
      </c>
      <c r="B383" t="s">
        <v>2303</v>
      </c>
      <c r="C383">
        <v>2274</v>
      </c>
      <c r="D383" s="807">
        <v>4.41</v>
      </c>
    </row>
    <row r="384" spans="1:4">
      <c r="A384" t="s">
        <v>8286</v>
      </c>
      <c r="B384" t="s">
        <v>8287</v>
      </c>
      <c r="C384">
        <v>20417</v>
      </c>
      <c r="D384" s="807">
        <v>3.8</v>
      </c>
    </row>
    <row r="385" spans="1:4">
      <c r="A385" t="s">
        <v>4771</v>
      </c>
      <c r="B385" t="s">
        <v>2304</v>
      </c>
      <c r="C385">
        <v>3079</v>
      </c>
      <c r="D385" s="807">
        <v>3.98</v>
      </c>
    </row>
    <row r="386" spans="1:4">
      <c r="A386" t="s">
        <v>2063</v>
      </c>
      <c r="B386" t="s">
        <v>704</v>
      </c>
      <c r="C386">
        <v>2045</v>
      </c>
      <c r="D386" s="807">
        <v>3.9</v>
      </c>
    </row>
    <row r="387" spans="1:4">
      <c r="A387" t="s">
        <v>3991</v>
      </c>
      <c r="B387" t="s">
        <v>705</v>
      </c>
      <c r="C387">
        <v>2039</v>
      </c>
      <c r="D387" s="807">
        <v>4.3499999999999996</v>
      </c>
    </row>
    <row r="388" spans="1:4">
      <c r="A388" t="s">
        <v>2849</v>
      </c>
      <c r="B388" t="s">
        <v>706</v>
      </c>
      <c r="C388">
        <v>2040</v>
      </c>
      <c r="D388" s="807">
        <v>4.16</v>
      </c>
    </row>
    <row r="389" spans="1:4">
      <c r="A389" t="s">
        <v>8288</v>
      </c>
      <c r="B389" t="s">
        <v>8289</v>
      </c>
      <c r="C389">
        <v>11200</v>
      </c>
      <c r="D389" s="807">
        <v>4.5</v>
      </c>
    </row>
    <row r="390" spans="1:4">
      <c r="A390" t="s">
        <v>8290</v>
      </c>
      <c r="B390" t="s">
        <v>8291</v>
      </c>
      <c r="C390">
        <v>11201</v>
      </c>
      <c r="D390" s="807">
        <v>4.5</v>
      </c>
    </row>
    <row r="391" spans="1:4">
      <c r="A391" t="s">
        <v>2540</v>
      </c>
      <c r="B391" t="s">
        <v>4881</v>
      </c>
      <c r="C391">
        <v>11204</v>
      </c>
      <c r="D391" s="807">
        <v>4.4800000000000004</v>
      </c>
    </row>
    <row r="392" spans="1:4">
      <c r="A392" t="s">
        <v>4955</v>
      </c>
      <c r="B392" t="s">
        <v>4956</v>
      </c>
      <c r="C392">
        <v>19041</v>
      </c>
      <c r="D392" s="807">
        <v>4.2</v>
      </c>
    </row>
    <row r="393" spans="1:4">
      <c r="A393" s="403" t="s">
        <v>8948</v>
      </c>
      <c r="B393" s="403" t="s">
        <v>8949</v>
      </c>
      <c r="C393" s="403">
        <v>11205</v>
      </c>
      <c r="D393" s="807">
        <v>4.3</v>
      </c>
    </row>
    <row r="394" spans="1:4">
      <c r="A394" t="s">
        <v>5263</v>
      </c>
      <c r="B394" t="s">
        <v>4882</v>
      </c>
      <c r="C394">
        <v>11207</v>
      </c>
      <c r="D394" s="807">
        <v>4.05</v>
      </c>
    </row>
    <row r="395" spans="1:4">
      <c r="A395" t="s">
        <v>2448</v>
      </c>
      <c r="B395" t="s">
        <v>4156</v>
      </c>
      <c r="C395">
        <v>11208</v>
      </c>
      <c r="D395" s="807">
        <v>4.1399999999999997</v>
      </c>
    </row>
    <row r="396" spans="1:4">
      <c r="A396" t="s">
        <v>231</v>
      </c>
      <c r="B396" t="s">
        <v>4157</v>
      </c>
      <c r="C396">
        <v>11210</v>
      </c>
      <c r="D396" s="807">
        <v>4.3600000000000003</v>
      </c>
    </row>
    <row r="397" spans="1:4">
      <c r="A397" t="s">
        <v>3119</v>
      </c>
      <c r="B397" t="s">
        <v>1419</v>
      </c>
      <c r="C397">
        <v>3560</v>
      </c>
      <c r="D397" s="807">
        <v>3.2</v>
      </c>
    </row>
    <row r="398" spans="1:4">
      <c r="A398" t="s">
        <v>6360</v>
      </c>
      <c r="B398" t="s">
        <v>6359</v>
      </c>
      <c r="C398">
        <v>11216</v>
      </c>
      <c r="D398" s="807">
        <v>3.6</v>
      </c>
    </row>
    <row r="399" spans="1:4">
      <c r="A399" t="s">
        <v>2826</v>
      </c>
      <c r="B399" t="s">
        <v>1032</v>
      </c>
      <c r="C399">
        <v>11224</v>
      </c>
      <c r="D399" s="807">
        <v>3.13</v>
      </c>
    </row>
    <row r="400" spans="1:4">
      <c r="A400" t="s">
        <v>3158</v>
      </c>
      <c r="B400" t="s">
        <v>3976</v>
      </c>
      <c r="C400">
        <v>3535</v>
      </c>
      <c r="D400" s="807">
        <v>2.1</v>
      </c>
    </row>
    <row r="401" spans="1:4">
      <c r="A401" t="s">
        <v>4321</v>
      </c>
      <c r="B401" t="s">
        <v>5130</v>
      </c>
      <c r="C401">
        <v>17421</v>
      </c>
      <c r="D401" s="807">
        <v>2.0935528537656198</v>
      </c>
    </row>
    <row r="402" spans="1:4">
      <c r="A402" t="s">
        <v>4559</v>
      </c>
      <c r="B402" t="s">
        <v>1603</v>
      </c>
      <c r="C402">
        <v>2108</v>
      </c>
      <c r="D402" s="807">
        <v>2.11</v>
      </c>
    </row>
    <row r="403" spans="1:4">
      <c r="A403" t="s">
        <v>2068</v>
      </c>
      <c r="B403" t="s">
        <v>1604</v>
      </c>
      <c r="C403">
        <v>2920</v>
      </c>
      <c r="D403" s="807">
        <v>2.4700000000000002</v>
      </c>
    </row>
    <row r="404" spans="1:4">
      <c r="A404" t="s">
        <v>2062</v>
      </c>
      <c r="B404" t="s">
        <v>707</v>
      </c>
      <c r="C404">
        <v>2005</v>
      </c>
      <c r="D404" s="807">
        <v>3.2</v>
      </c>
    </row>
    <row r="405" spans="1:4">
      <c r="A405" t="s">
        <v>205</v>
      </c>
      <c r="B405" t="s">
        <v>206</v>
      </c>
      <c r="C405">
        <v>16221</v>
      </c>
      <c r="D405" s="807">
        <v>3.3182763159269002</v>
      </c>
    </row>
    <row r="406" spans="1:4">
      <c r="A406" t="s">
        <v>6401</v>
      </c>
      <c r="B406" t="s">
        <v>6400</v>
      </c>
      <c r="C406">
        <v>6612</v>
      </c>
      <c r="D406" s="807">
        <v>2</v>
      </c>
    </row>
    <row r="407" spans="1:4">
      <c r="A407" t="s">
        <v>6724</v>
      </c>
      <c r="B407" t="s">
        <v>6723</v>
      </c>
      <c r="C407">
        <v>3485</v>
      </c>
      <c r="D407" s="807">
        <v>2</v>
      </c>
    </row>
    <row r="408" spans="1:4">
      <c r="A408" t="s">
        <v>6665</v>
      </c>
      <c r="B408" t="s">
        <v>6664</v>
      </c>
      <c r="C408">
        <v>19218</v>
      </c>
      <c r="D408" s="807">
        <v>2</v>
      </c>
    </row>
    <row r="409" spans="1:4">
      <c r="A409" t="s">
        <v>5187</v>
      </c>
      <c r="B409" t="s">
        <v>6592</v>
      </c>
      <c r="C409">
        <v>2649</v>
      </c>
      <c r="D409" s="807">
        <v>2</v>
      </c>
    </row>
    <row r="410" spans="1:4">
      <c r="A410" t="s">
        <v>6315</v>
      </c>
      <c r="B410" t="s">
        <v>6314</v>
      </c>
      <c r="C410">
        <v>3484</v>
      </c>
      <c r="D410" s="807">
        <v>2</v>
      </c>
    </row>
    <row r="411" spans="1:4">
      <c r="A411" t="s">
        <v>5455</v>
      </c>
      <c r="B411" t="s">
        <v>3731</v>
      </c>
      <c r="C411">
        <v>3245</v>
      </c>
      <c r="D411" s="807">
        <v>3.47</v>
      </c>
    </row>
    <row r="412" spans="1:4">
      <c r="A412" t="s">
        <v>2927</v>
      </c>
      <c r="B412" t="s">
        <v>3732</v>
      </c>
      <c r="C412">
        <v>2453</v>
      </c>
      <c r="D412" s="807">
        <v>3.32</v>
      </c>
    </row>
    <row r="413" spans="1:4">
      <c r="A413" t="s">
        <v>6742</v>
      </c>
      <c r="B413" t="s">
        <v>8566</v>
      </c>
      <c r="C413">
        <v>11251</v>
      </c>
      <c r="D413" s="807">
        <v>4.5</v>
      </c>
    </row>
    <row r="414" spans="1:4">
      <c r="A414" t="s">
        <v>6551</v>
      </c>
      <c r="B414" t="s">
        <v>6550</v>
      </c>
      <c r="C414">
        <v>11253</v>
      </c>
      <c r="D414" s="807">
        <v>3.7</v>
      </c>
    </row>
    <row r="415" spans="1:4">
      <c r="A415" t="s">
        <v>3320</v>
      </c>
      <c r="B415" t="s">
        <v>4821</v>
      </c>
      <c r="C415">
        <v>11264</v>
      </c>
      <c r="D415" s="807">
        <v>3.37</v>
      </c>
    </row>
    <row r="416" spans="1:4">
      <c r="A416" t="s">
        <v>3383</v>
      </c>
      <c r="B416" t="s">
        <v>3384</v>
      </c>
      <c r="C416">
        <v>19142</v>
      </c>
      <c r="D416" s="807">
        <v>3.01</v>
      </c>
    </row>
    <row r="417" spans="1:4">
      <c r="A417" t="s">
        <v>3366</v>
      </c>
      <c r="B417" t="s">
        <v>4024</v>
      </c>
      <c r="C417">
        <v>2697</v>
      </c>
      <c r="D417" s="807">
        <v>2.1</v>
      </c>
    </row>
    <row r="418" spans="1:4">
      <c r="A418" t="s">
        <v>5173</v>
      </c>
      <c r="B418" t="s">
        <v>3848</v>
      </c>
      <c r="C418">
        <v>11268</v>
      </c>
      <c r="D418" s="807">
        <v>3.94</v>
      </c>
    </row>
    <row r="419" spans="1:4">
      <c r="A419" t="s">
        <v>3418</v>
      </c>
      <c r="B419" t="s">
        <v>1028</v>
      </c>
      <c r="C419">
        <v>2450</v>
      </c>
      <c r="D419" s="807">
        <v>3.23</v>
      </c>
    </row>
    <row r="420" spans="1:4">
      <c r="A420" t="s">
        <v>3710</v>
      </c>
      <c r="B420" t="s">
        <v>1274</v>
      </c>
      <c r="C420">
        <v>2270</v>
      </c>
      <c r="D420" s="807">
        <v>4.2</v>
      </c>
    </row>
    <row r="421" spans="1:4">
      <c r="A421" t="s">
        <v>6754</v>
      </c>
      <c r="B421" t="s">
        <v>8567</v>
      </c>
      <c r="C421">
        <v>11275</v>
      </c>
      <c r="D421" s="807">
        <v>4.5</v>
      </c>
    </row>
    <row r="422" spans="1:4">
      <c r="A422" t="s">
        <v>3658</v>
      </c>
      <c r="B422" t="s">
        <v>2226</v>
      </c>
      <c r="C422">
        <v>2271</v>
      </c>
      <c r="D422" s="807">
        <v>3.85</v>
      </c>
    </row>
    <row r="423" spans="1:4">
      <c r="A423" t="s">
        <v>6791</v>
      </c>
      <c r="B423" t="s">
        <v>8568</v>
      </c>
      <c r="C423">
        <v>3061</v>
      </c>
      <c r="D423" s="807">
        <v>3.8</v>
      </c>
    </row>
    <row r="424" spans="1:4">
      <c r="A424" t="s">
        <v>5429</v>
      </c>
      <c r="B424" t="s">
        <v>2227</v>
      </c>
      <c r="C424">
        <v>3060</v>
      </c>
      <c r="D424" s="807">
        <v>3.97</v>
      </c>
    </row>
    <row r="425" spans="1:4">
      <c r="A425" t="s">
        <v>3181</v>
      </c>
      <c r="B425" t="s">
        <v>609</v>
      </c>
      <c r="C425">
        <v>3062</v>
      </c>
      <c r="D425" s="807">
        <v>3.65</v>
      </c>
    </row>
    <row r="426" spans="1:4">
      <c r="A426" t="s">
        <v>6316</v>
      </c>
      <c r="B426" t="s">
        <v>1029</v>
      </c>
      <c r="C426">
        <v>2449</v>
      </c>
      <c r="D426" s="807">
        <v>3.59</v>
      </c>
    </row>
    <row r="427" spans="1:4">
      <c r="A427" t="s">
        <v>4718</v>
      </c>
      <c r="B427" t="s">
        <v>1030</v>
      </c>
      <c r="C427">
        <v>3248</v>
      </c>
      <c r="D427" s="807">
        <v>3.25</v>
      </c>
    </row>
    <row r="428" spans="1:4">
      <c r="A428" t="s">
        <v>4166</v>
      </c>
      <c r="B428" t="s">
        <v>1508</v>
      </c>
      <c r="C428">
        <v>2114</v>
      </c>
      <c r="D428" s="807">
        <v>2.0299999999999998</v>
      </c>
    </row>
    <row r="429" spans="1:4">
      <c r="A429" t="s">
        <v>1742</v>
      </c>
      <c r="B429" t="s">
        <v>610</v>
      </c>
      <c r="C429">
        <v>2950</v>
      </c>
      <c r="D429" s="807">
        <v>3</v>
      </c>
    </row>
    <row r="430" spans="1:4">
      <c r="A430" t="s">
        <v>1644</v>
      </c>
      <c r="B430" t="s">
        <v>2329</v>
      </c>
      <c r="C430">
        <v>18867</v>
      </c>
      <c r="D430" s="807">
        <v>2.501218236046268</v>
      </c>
    </row>
    <row r="431" spans="1:4">
      <c r="A431" t="s">
        <v>300</v>
      </c>
      <c r="B431" t="s">
        <v>301</v>
      </c>
      <c r="C431">
        <v>18825</v>
      </c>
      <c r="D431" s="807">
        <v>3.99</v>
      </c>
    </row>
    <row r="432" spans="1:4">
      <c r="A432" t="s">
        <v>3408</v>
      </c>
      <c r="B432" t="s">
        <v>1031</v>
      </c>
      <c r="C432">
        <v>3228</v>
      </c>
      <c r="D432" s="807">
        <v>3.18</v>
      </c>
    </row>
    <row r="433" spans="1:4">
      <c r="A433" t="s">
        <v>2735</v>
      </c>
      <c r="B433" t="s">
        <v>3003</v>
      </c>
      <c r="C433">
        <v>2427</v>
      </c>
      <c r="D433" s="807">
        <v>3.33</v>
      </c>
    </row>
    <row r="434" spans="1:4">
      <c r="A434" t="s">
        <v>1249</v>
      </c>
      <c r="B434" t="s">
        <v>1898</v>
      </c>
      <c r="C434">
        <v>2379</v>
      </c>
      <c r="D434" s="807">
        <v>3.54</v>
      </c>
    </row>
    <row r="435" spans="1:4">
      <c r="A435" t="s">
        <v>4515</v>
      </c>
      <c r="B435" t="s">
        <v>3004</v>
      </c>
      <c r="C435">
        <v>3337</v>
      </c>
      <c r="D435" s="807">
        <v>4.21</v>
      </c>
    </row>
    <row r="436" spans="1:4">
      <c r="A436" t="s">
        <v>3211</v>
      </c>
      <c r="B436" t="s">
        <v>241</v>
      </c>
      <c r="C436">
        <v>3336</v>
      </c>
      <c r="D436" s="807">
        <v>3.68</v>
      </c>
    </row>
    <row r="437" spans="1:4">
      <c r="A437" t="s">
        <v>1126</v>
      </c>
      <c r="B437" t="s">
        <v>389</v>
      </c>
      <c r="C437">
        <v>11317</v>
      </c>
      <c r="D437" s="807">
        <v>3.42</v>
      </c>
    </row>
    <row r="438" spans="1:4">
      <c r="A438" t="s">
        <v>3456</v>
      </c>
      <c r="B438" t="s">
        <v>390</v>
      </c>
      <c r="C438">
        <v>2530</v>
      </c>
      <c r="D438" s="807">
        <v>3.65</v>
      </c>
    </row>
    <row r="439" spans="1:4">
      <c r="A439" t="s">
        <v>3025</v>
      </c>
      <c r="B439" t="s">
        <v>1899</v>
      </c>
      <c r="C439">
        <v>2260</v>
      </c>
      <c r="D439" s="807">
        <v>2.5</v>
      </c>
    </row>
    <row r="440" spans="1:4">
      <c r="A440" t="s">
        <v>6699</v>
      </c>
      <c r="B440" t="s">
        <v>6698</v>
      </c>
      <c r="C440">
        <v>11324</v>
      </c>
      <c r="D440" s="807">
        <v>2</v>
      </c>
    </row>
    <row r="441" spans="1:4">
      <c r="A441" t="s">
        <v>736</v>
      </c>
      <c r="B441" t="s">
        <v>3455</v>
      </c>
      <c r="C441">
        <v>3605</v>
      </c>
      <c r="D441" s="807">
        <v>2</v>
      </c>
    </row>
    <row r="442" spans="1:4">
      <c r="A442" t="s">
        <v>4240</v>
      </c>
      <c r="B442" t="s">
        <v>6591</v>
      </c>
      <c r="C442">
        <v>2625</v>
      </c>
      <c r="D442" s="807">
        <v>2</v>
      </c>
    </row>
    <row r="443" spans="1:4">
      <c r="A443" t="s">
        <v>2525</v>
      </c>
      <c r="B443" t="s">
        <v>708</v>
      </c>
      <c r="C443">
        <v>2869</v>
      </c>
      <c r="D443" s="807">
        <v>3.5</v>
      </c>
    </row>
    <row r="444" spans="1:4">
      <c r="A444" t="s">
        <v>6634</v>
      </c>
      <c r="B444" t="s">
        <v>6633</v>
      </c>
      <c r="C444">
        <v>11350</v>
      </c>
      <c r="D444" s="807">
        <v>2</v>
      </c>
    </row>
    <row r="445" spans="1:4">
      <c r="A445" t="s">
        <v>1160</v>
      </c>
      <c r="B445" t="s">
        <v>4506</v>
      </c>
      <c r="C445">
        <v>3389</v>
      </c>
      <c r="D445" s="807">
        <v>3.66</v>
      </c>
    </row>
    <row r="446" spans="1:4">
      <c r="A446" t="s">
        <v>5534</v>
      </c>
      <c r="B446" t="s">
        <v>4539</v>
      </c>
      <c r="C446">
        <v>17545</v>
      </c>
      <c r="D446" s="807">
        <v>2.0617598316454031</v>
      </c>
    </row>
    <row r="447" spans="1:4">
      <c r="A447" t="s">
        <v>9078</v>
      </c>
      <c r="B447" t="s">
        <v>9079</v>
      </c>
      <c r="C447">
        <v>17592</v>
      </c>
      <c r="D447" s="807">
        <v>2.69</v>
      </c>
    </row>
    <row r="448" spans="1:4">
      <c r="A448" t="s">
        <v>6321</v>
      </c>
      <c r="B448" t="s">
        <v>2501</v>
      </c>
      <c r="C448">
        <v>11351</v>
      </c>
      <c r="D448" s="807">
        <v>3.76</v>
      </c>
    </row>
    <row r="449" spans="1:4">
      <c r="A449" t="s">
        <v>6322</v>
      </c>
      <c r="B449" t="s">
        <v>391</v>
      </c>
      <c r="C449">
        <v>2452</v>
      </c>
      <c r="D449" s="807">
        <v>3.73</v>
      </c>
    </row>
    <row r="450" spans="1:4">
      <c r="A450" t="s">
        <v>5497</v>
      </c>
      <c r="B450" t="s">
        <v>5498</v>
      </c>
      <c r="C450">
        <v>3247</v>
      </c>
      <c r="D450" s="807">
        <v>3.85</v>
      </c>
    </row>
    <row r="451" spans="1:4">
      <c r="A451" t="s">
        <v>3777</v>
      </c>
      <c r="B451" t="s">
        <v>392</v>
      </c>
      <c r="C451">
        <v>2451</v>
      </c>
      <c r="D451" s="807">
        <v>3.85</v>
      </c>
    </row>
    <row r="452" spans="1:4">
      <c r="A452" t="s">
        <v>8292</v>
      </c>
      <c r="B452" t="s">
        <v>8293</v>
      </c>
      <c r="C452">
        <v>18728</v>
      </c>
      <c r="D452" s="807">
        <v>2.2999999999999998</v>
      </c>
    </row>
    <row r="453" spans="1:4">
      <c r="A453" t="s">
        <v>6596</v>
      </c>
      <c r="B453" t="s">
        <v>6595</v>
      </c>
      <c r="C453">
        <v>6611</v>
      </c>
      <c r="D453" s="807">
        <v>2</v>
      </c>
    </row>
    <row r="454" spans="1:4">
      <c r="A454" t="s">
        <v>1624</v>
      </c>
      <c r="B454" t="s">
        <v>2330</v>
      </c>
      <c r="C454">
        <v>2644</v>
      </c>
      <c r="D454" s="807">
        <v>2.2000000000000002</v>
      </c>
    </row>
    <row r="455" spans="1:4">
      <c r="A455" t="s">
        <v>162</v>
      </c>
      <c r="B455" t="s">
        <v>2331</v>
      </c>
      <c r="C455">
        <v>3477</v>
      </c>
      <c r="D455" s="807">
        <v>2.2999999999999998</v>
      </c>
    </row>
    <row r="456" spans="1:4">
      <c r="A456" t="s">
        <v>3330</v>
      </c>
      <c r="B456" t="s">
        <v>1605</v>
      </c>
      <c r="C456">
        <v>2113</v>
      </c>
      <c r="D456" s="807">
        <v>4.5</v>
      </c>
    </row>
    <row r="457" spans="1:4">
      <c r="A457" t="s">
        <v>3966</v>
      </c>
      <c r="B457" t="s">
        <v>5009</v>
      </c>
      <c r="C457">
        <v>11354</v>
      </c>
      <c r="D457" s="807">
        <v>4.1920000000000002</v>
      </c>
    </row>
    <row r="458" spans="1:4">
      <c r="A458" t="s">
        <v>4950</v>
      </c>
      <c r="B458" t="s">
        <v>982</v>
      </c>
      <c r="C458">
        <v>2926</v>
      </c>
      <c r="D458" s="807">
        <v>4.3499999999999996</v>
      </c>
    </row>
    <row r="459" spans="1:4">
      <c r="A459" t="s">
        <v>6323</v>
      </c>
      <c r="B459" t="s">
        <v>420</v>
      </c>
      <c r="C459">
        <v>19096</v>
      </c>
      <c r="D459" s="807">
        <v>3.12</v>
      </c>
    </row>
    <row r="460" spans="1:4">
      <c r="A460" t="s">
        <v>6756</v>
      </c>
      <c r="B460" t="s">
        <v>8569</v>
      </c>
      <c r="C460">
        <v>11364</v>
      </c>
      <c r="D460" s="807">
        <v>3.7</v>
      </c>
    </row>
    <row r="461" spans="1:4">
      <c r="A461" t="s">
        <v>4146</v>
      </c>
      <c r="B461" t="s">
        <v>4147</v>
      </c>
      <c r="C461">
        <v>19040</v>
      </c>
      <c r="D461" s="807">
        <v>4.5</v>
      </c>
    </row>
    <row r="462" spans="1:4" ht="12.65" customHeight="1">
      <c r="A462" s="872" t="s">
        <v>9092</v>
      </c>
      <c r="B462" s="872" t="s">
        <v>9093</v>
      </c>
      <c r="C462" s="872">
        <v>19110</v>
      </c>
      <c r="D462" s="807">
        <v>2.2000000000000002</v>
      </c>
    </row>
    <row r="463" spans="1:4">
      <c r="A463" t="s">
        <v>6798</v>
      </c>
      <c r="B463" t="s">
        <v>8570</v>
      </c>
      <c r="C463">
        <v>3522</v>
      </c>
      <c r="D463" s="807">
        <v>2.1</v>
      </c>
    </row>
    <row r="464" spans="1:4">
      <c r="A464" t="s">
        <v>1614</v>
      </c>
      <c r="B464" t="s">
        <v>1500</v>
      </c>
      <c r="C464">
        <v>2684</v>
      </c>
      <c r="D464" s="807">
        <v>2.1</v>
      </c>
    </row>
    <row r="465" spans="1:4">
      <c r="A465" t="s">
        <v>6798</v>
      </c>
      <c r="B465" t="s">
        <v>8858</v>
      </c>
      <c r="C465">
        <v>3522</v>
      </c>
      <c r="D465" s="807">
        <v>2.1</v>
      </c>
    </row>
    <row r="466" spans="1:4">
      <c r="A466" t="s">
        <v>8571</v>
      </c>
      <c r="B466" t="s">
        <v>8572</v>
      </c>
      <c r="C466">
        <v>18520</v>
      </c>
      <c r="D466" s="807">
        <v>1</v>
      </c>
    </row>
    <row r="467" spans="1:4">
      <c r="A467" t="s">
        <v>6324</v>
      </c>
      <c r="B467" t="s">
        <v>5548</v>
      </c>
      <c r="C467">
        <v>2145</v>
      </c>
      <c r="D467" s="807">
        <v>3.89</v>
      </c>
    </row>
    <row r="468" spans="1:4">
      <c r="A468" t="s">
        <v>8573</v>
      </c>
      <c r="B468" t="s">
        <v>8574</v>
      </c>
      <c r="C468">
        <v>19505</v>
      </c>
      <c r="D468" s="807">
        <v>3.7</v>
      </c>
    </row>
    <row r="469" spans="1:4">
      <c r="A469" t="s">
        <v>1452</v>
      </c>
      <c r="B469" t="s">
        <v>1729</v>
      </c>
      <c r="C469">
        <v>3626</v>
      </c>
      <c r="D469" s="807">
        <v>1</v>
      </c>
    </row>
    <row r="470" spans="1:4">
      <c r="A470" t="s">
        <v>3123</v>
      </c>
      <c r="B470" t="s">
        <v>2753</v>
      </c>
      <c r="C470">
        <v>2325</v>
      </c>
      <c r="D470" s="807">
        <v>3.21</v>
      </c>
    </row>
    <row r="471" spans="1:4">
      <c r="A471" t="s">
        <v>1427</v>
      </c>
      <c r="B471" t="s">
        <v>3909</v>
      </c>
      <c r="C471">
        <v>11371</v>
      </c>
      <c r="D471" s="807">
        <v>2.54</v>
      </c>
    </row>
    <row r="472" spans="1:4">
      <c r="A472" t="s">
        <v>6326</v>
      </c>
      <c r="B472" t="s">
        <v>6325</v>
      </c>
      <c r="C472">
        <v>18446</v>
      </c>
      <c r="D472" s="807">
        <v>2</v>
      </c>
    </row>
    <row r="473" spans="1:4">
      <c r="A473" t="s">
        <v>3319</v>
      </c>
      <c r="B473" t="s">
        <v>4822</v>
      </c>
      <c r="C473">
        <v>11379</v>
      </c>
      <c r="D473" s="807">
        <v>2</v>
      </c>
    </row>
    <row r="474" spans="1:4">
      <c r="A474" t="s">
        <v>57</v>
      </c>
      <c r="B474" t="s">
        <v>1914</v>
      </c>
      <c r="C474">
        <v>2788</v>
      </c>
      <c r="D474" s="807">
        <v>1</v>
      </c>
    </row>
    <row r="475" spans="1:4">
      <c r="A475" t="s">
        <v>4616</v>
      </c>
      <c r="B475" t="s">
        <v>852</v>
      </c>
      <c r="C475">
        <v>2690</v>
      </c>
      <c r="D475" s="807">
        <v>2.1</v>
      </c>
    </row>
    <row r="476" spans="1:4">
      <c r="A476" t="s">
        <v>9004</v>
      </c>
      <c r="B476" t="s">
        <v>9005</v>
      </c>
      <c r="C476">
        <v>11393</v>
      </c>
      <c r="D476" s="807">
        <v>3</v>
      </c>
    </row>
    <row r="477" spans="1:4">
      <c r="A477" t="s">
        <v>9006</v>
      </c>
      <c r="B477" t="s">
        <v>9007</v>
      </c>
      <c r="C477">
        <v>11394</v>
      </c>
      <c r="D477" s="807">
        <v>3</v>
      </c>
    </row>
    <row r="478" spans="1:4" ht="12.65" customHeight="1">
      <c r="A478" t="s">
        <v>4142</v>
      </c>
      <c r="B478" t="s">
        <v>4143</v>
      </c>
      <c r="C478">
        <v>19038</v>
      </c>
      <c r="D478" s="807">
        <v>2.85</v>
      </c>
    </row>
    <row r="479" spans="1:4">
      <c r="A479" t="s">
        <v>8859</v>
      </c>
      <c r="B479" t="s">
        <v>8860</v>
      </c>
      <c r="C479">
        <v>20574</v>
      </c>
      <c r="D479" s="807">
        <v>2.15</v>
      </c>
    </row>
    <row r="480" spans="1:4">
      <c r="A480" t="s">
        <v>6443</v>
      </c>
      <c r="B480" t="s">
        <v>6442</v>
      </c>
      <c r="C480">
        <v>11398</v>
      </c>
      <c r="D480" s="807">
        <v>3.9</v>
      </c>
    </row>
    <row r="481" spans="1:4">
      <c r="A481" t="s">
        <v>2520</v>
      </c>
      <c r="B481" t="s">
        <v>2191</v>
      </c>
      <c r="C481">
        <v>2187</v>
      </c>
      <c r="D481" s="807">
        <v>2.58</v>
      </c>
    </row>
    <row r="482" spans="1:4">
      <c r="A482" t="s">
        <v>6328</v>
      </c>
      <c r="B482" t="s">
        <v>6327</v>
      </c>
      <c r="C482">
        <v>19544</v>
      </c>
      <c r="D482" s="807">
        <v>2</v>
      </c>
    </row>
    <row r="483" spans="1:4">
      <c r="A483" t="s">
        <v>6330</v>
      </c>
      <c r="B483" t="s">
        <v>6329</v>
      </c>
      <c r="C483">
        <v>19545</v>
      </c>
      <c r="D483" s="807">
        <v>3.7</v>
      </c>
    </row>
    <row r="484" spans="1:4">
      <c r="A484" t="s">
        <v>1716</v>
      </c>
      <c r="B484" t="s">
        <v>3275</v>
      </c>
      <c r="C484">
        <v>2186</v>
      </c>
      <c r="D484" s="807">
        <v>3.02</v>
      </c>
    </row>
    <row r="485" spans="1:4">
      <c r="A485" t="s">
        <v>6332</v>
      </c>
      <c r="B485" t="s">
        <v>6331</v>
      </c>
      <c r="C485">
        <v>19546</v>
      </c>
      <c r="D485" s="807">
        <v>3.3</v>
      </c>
    </row>
    <row r="486" spans="1:4">
      <c r="A486" t="s">
        <v>328</v>
      </c>
      <c r="B486" t="s">
        <v>1900</v>
      </c>
      <c r="C486">
        <v>3195</v>
      </c>
      <c r="D486" s="807">
        <v>3.61</v>
      </c>
    </row>
    <row r="487" spans="1:4">
      <c r="A487" t="s">
        <v>6755</v>
      </c>
      <c r="B487" t="s">
        <v>8575</v>
      </c>
      <c r="C487">
        <v>6809</v>
      </c>
      <c r="D487" s="807">
        <v>4.3</v>
      </c>
    </row>
    <row r="488" spans="1:4">
      <c r="A488" t="s">
        <v>3045</v>
      </c>
      <c r="B488" t="s">
        <v>3779</v>
      </c>
      <c r="C488">
        <v>3220</v>
      </c>
      <c r="D488" s="807">
        <v>4.5</v>
      </c>
    </row>
    <row r="489" spans="1:4">
      <c r="A489" t="s">
        <v>429</v>
      </c>
      <c r="B489" t="s">
        <v>8576</v>
      </c>
      <c r="C489">
        <v>2415</v>
      </c>
      <c r="D489" s="807">
        <v>3.3</v>
      </c>
    </row>
    <row r="490" spans="1:4">
      <c r="A490" t="s">
        <v>4160</v>
      </c>
      <c r="B490" t="s">
        <v>5190</v>
      </c>
      <c r="C490">
        <v>3219</v>
      </c>
      <c r="D490" s="807">
        <v>3.96</v>
      </c>
    </row>
    <row r="491" spans="1:4">
      <c r="A491" t="s">
        <v>2605</v>
      </c>
      <c r="B491" t="s">
        <v>5191</v>
      </c>
      <c r="C491">
        <v>3215</v>
      </c>
      <c r="D491" s="807">
        <v>2.99</v>
      </c>
    </row>
    <row r="492" spans="1:4">
      <c r="A492" t="s">
        <v>2074</v>
      </c>
      <c r="B492" t="s">
        <v>2450</v>
      </c>
      <c r="C492">
        <v>15139</v>
      </c>
      <c r="D492" s="807">
        <v>3.66</v>
      </c>
    </row>
    <row r="493" spans="1:4">
      <c r="A493" t="s">
        <v>428</v>
      </c>
      <c r="B493" t="s">
        <v>8577</v>
      </c>
      <c r="C493">
        <v>18997</v>
      </c>
      <c r="D493" s="807">
        <v>2.1</v>
      </c>
    </row>
    <row r="494" spans="1:4">
      <c r="A494" t="s">
        <v>4222</v>
      </c>
      <c r="B494" t="s">
        <v>8578</v>
      </c>
      <c r="C494">
        <v>2163</v>
      </c>
      <c r="D494" s="807">
        <v>2.4</v>
      </c>
    </row>
    <row r="495" spans="1:4">
      <c r="A495" t="s">
        <v>4258</v>
      </c>
      <c r="B495" t="s">
        <v>8579</v>
      </c>
      <c r="C495">
        <v>11426</v>
      </c>
      <c r="D495" s="807">
        <v>2.4</v>
      </c>
    </row>
    <row r="496" spans="1:4">
      <c r="A496" t="s">
        <v>1471</v>
      </c>
      <c r="B496" t="s">
        <v>4823</v>
      </c>
      <c r="C496">
        <v>2162</v>
      </c>
      <c r="D496" s="807">
        <v>2</v>
      </c>
    </row>
    <row r="497" spans="1:4">
      <c r="A497" t="s">
        <v>1821</v>
      </c>
      <c r="B497" t="s">
        <v>1432</v>
      </c>
      <c r="C497">
        <v>11442</v>
      </c>
      <c r="D497" s="807">
        <v>3.45</v>
      </c>
    </row>
    <row r="498" spans="1:4">
      <c r="A498" t="s">
        <v>1185</v>
      </c>
      <c r="B498" t="s">
        <v>1186</v>
      </c>
      <c r="C498">
        <v>2564</v>
      </c>
      <c r="D498" s="807">
        <v>3.63</v>
      </c>
    </row>
    <row r="499" spans="1:4">
      <c r="A499" t="s">
        <v>2818</v>
      </c>
      <c r="B499" t="s">
        <v>3276</v>
      </c>
      <c r="C499">
        <v>18710</v>
      </c>
      <c r="D499" s="807">
        <v>2.12</v>
      </c>
    </row>
    <row r="500" spans="1:4">
      <c r="A500" t="s">
        <v>8580</v>
      </c>
      <c r="B500" t="s">
        <v>8581</v>
      </c>
      <c r="C500">
        <v>3371</v>
      </c>
      <c r="D500" s="807">
        <v>4</v>
      </c>
    </row>
    <row r="501" spans="1:4">
      <c r="A501" t="s">
        <v>4281</v>
      </c>
      <c r="B501" t="s">
        <v>8582</v>
      </c>
      <c r="C501">
        <v>16672</v>
      </c>
      <c r="D501" s="807">
        <v>1</v>
      </c>
    </row>
    <row r="502" spans="1:4">
      <c r="A502" t="s">
        <v>6770</v>
      </c>
      <c r="B502" t="s">
        <v>8583</v>
      </c>
      <c r="C502">
        <v>20261</v>
      </c>
      <c r="D502" s="807">
        <v>1</v>
      </c>
    </row>
    <row r="503" spans="1:4">
      <c r="A503" t="s">
        <v>1046</v>
      </c>
      <c r="B503" t="s">
        <v>3277</v>
      </c>
      <c r="C503">
        <v>2197</v>
      </c>
      <c r="D503" s="807">
        <v>3.35</v>
      </c>
    </row>
    <row r="504" spans="1:4">
      <c r="A504" t="s">
        <v>3474</v>
      </c>
      <c r="B504" t="s">
        <v>2656</v>
      </c>
      <c r="C504">
        <v>2194</v>
      </c>
      <c r="D504" s="807">
        <v>3.41</v>
      </c>
    </row>
    <row r="505" spans="1:4">
      <c r="A505" t="s">
        <v>4201</v>
      </c>
      <c r="B505" t="s">
        <v>8584</v>
      </c>
      <c r="C505">
        <v>2195</v>
      </c>
      <c r="D505" s="807">
        <v>3.7</v>
      </c>
    </row>
    <row r="506" spans="1:4">
      <c r="A506" t="s">
        <v>1715</v>
      </c>
      <c r="B506" t="s">
        <v>2657</v>
      </c>
      <c r="C506">
        <v>2982</v>
      </c>
      <c r="D506" s="807">
        <v>3.15</v>
      </c>
    </row>
    <row r="507" spans="1:4">
      <c r="A507" t="s">
        <v>6738</v>
      </c>
      <c r="B507" t="s">
        <v>8585</v>
      </c>
      <c r="C507">
        <v>2981</v>
      </c>
      <c r="D507" s="807">
        <v>3.15</v>
      </c>
    </row>
    <row r="508" spans="1:4">
      <c r="A508" t="s">
        <v>4427</v>
      </c>
      <c r="B508" t="s">
        <v>3084</v>
      </c>
      <c r="C508">
        <v>2980</v>
      </c>
      <c r="D508" s="807">
        <v>3.52</v>
      </c>
    </row>
    <row r="509" spans="1:4">
      <c r="A509" t="s">
        <v>6347</v>
      </c>
      <c r="B509" t="s">
        <v>6346</v>
      </c>
      <c r="C509">
        <v>11464</v>
      </c>
      <c r="D509" s="807">
        <v>3.3</v>
      </c>
    </row>
    <row r="510" spans="1:4">
      <c r="A510" t="s">
        <v>1610</v>
      </c>
      <c r="B510" t="s">
        <v>4540</v>
      </c>
      <c r="C510">
        <v>17157</v>
      </c>
      <c r="D510" s="807">
        <v>2.0617598316454031</v>
      </c>
    </row>
    <row r="511" spans="1:4">
      <c r="A511" t="s">
        <v>2862</v>
      </c>
      <c r="B511" t="s">
        <v>5208</v>
      </c>
      <c r="C511">
        <v>2909</v>
      </c>
      <c r="D511" s="807">
        <v>3.31</v>
      </c>
    </row>
    <row r="512" spans="1:4">
      <c r="A512" t="s">
        <v>4623</v>
      </c>
      <c r="B512" t="s">
        <v>983</v>
      </c>
      <c r="C512">
        <v>2886</v>
      </c>
      <c r="D512" s="807">
        <v>3.23</v>
      </c>
    </row>
    <row r="513" spans="1:4">
      <c r="A513" t="s">
        <v>1621</v>
      </c>
      <c r="B513" t="s">
        <v>984</v>
      </c>
      <c r="C513">
        <v>2078</v>
      </c>
      <c r="D513" s="807">
        <v>3.15</v>
      </c>
    </row>
    <row r="514" spans="1:4">
      <c r="A514" t="s">
        <v>8861</v>
      </c>
      <c r="B514" t="s">
        <v>8862</v>
      </c>
      <c r="C514">
        <v>2885</v>
      </c>
      <c r="D514" s="807">
        <v>3.02</v>
      </c>
    </row>
    <row r="515" spans="1:4">
      <c r="A515" t="s">
        <v>3120</v>
      </c>
      <c r="B515" t="s">
        <v>3130</v>
      </c>
      <c r="C515">
        <v>2073</v>
      </c>
      <c r="D515" s="807">
        <v>3.21</v>
      </c>
    </row>
    <row r="516" spans="1:4">
      <c r="A516" t="s">
        <v>5478</v>
      </c>
      <c r="B516" t="s">
        <v>3130</v>
      </c>
      <c r="C516">
        <v>2881</v>
      </c>
      <c r="D516" s="807">
        <v>3.21</v>
      </c>
    </row>
    <row r="517" spans="1:4">
      <c r="A517" t="s">
        <v>220</v>
      </c>
      <c r="B517" t="s">
        <v>3952</v>
      </c>
      <c r="C517">
        <v>2101</v>
      </c>
      <c r="D517" s="807">
        <v>3</v>
      </c>
    </row>
    <row r="518" spans="1:4">
      <c r="A518" t="s">
        <v>3212</v>
      </c>
      <c r="B518" t="s">
        <v>2028</v>
      </c>
      <c r="C518">
        <v>18863</v>
      </c>
      <c r="D518" s="807">
        <v>2.299900546274809</v>
      </c>
    </row>
    <row r="519" spans="1:4">
      <c r="A519" t="s">
        <v>448</v>
      </c>
      <c r="B519" t="s">
        <v>6388</v>
      </c>
      <c r="C519">
        <v>18489</v>
      </c>
      <c r="D519" s="807">
        <v>2</v>
      </c>
    </row>
    <row r="520" spans="1:4">
      <c r="A520" t="s">
        <v>6318</v>
      </c>
      <c r="B520" t="s">
        <v>6317</v>
      </c>
      <c r="C520">
        <v>11014</v>
      </c>
      <c r="D520" s="807">
        <v>3.4</v>
      </c>
    </row>
    <row r="521" spans="1:4">
      <c r="A521" t="s">
        <v>158</v>
      </c>
      <c r="B521" t="s">
        <v>1464</v>
      </c>
      <c r="C521">
        <v>3001</v>
      </c>
      <c r="D521" s="807">
        <v>3.71</v>
      </c>
    </row>
    <row r="522" spans="1:4">
      <c r="A522" t="s">
        <v>6795</v>
      </c>
      <c r="B522" t="s">
        <v>8586</v>
      </c>
      <c r="C522">
        <v>6823</v>
      </c>
      <c r="D522" s="807">
        <v>2.25</v>
      </c>
    </row>
    <row r="523" spans="1:4">
      <c r="A523" t="s">
        <v>2262</v>
      </c>
      <c r="B523" t="s">
        <v>3085</v>
      </c>
      <c r="C523">
        <v>2149</v>
      </c>
      <c r="D523" s="807">
        <v>2.02</v>
      </c>
    </row>
    <row r="524" spans="1:4">
      <c r="A524" t="s">
        <v>5072</v>
      </c>
      <c r="B524" t="s">
        <v>4333</v>
      </c>
      <c r="C524">
        <v>3497</v>
      </c>
      <c r="D524" s="807">
        <v>2.1</v>
      </c>
    </row>
    <row r="525" spans="1:4">
      <c r="A525" t="s">
        <v>4047</v>
      </c>
      <c r="B525" t="s">
        <v>393</v>
      </c>
      <c r="C525">
        <v>2994</v>
      </c>
      <c r="D525" s="807">
        <v>4.29</v>
      </c>
    </row>
    <row r="526" spans="1:4">
      <c r="A526" t="s">
        <v>5538</v>
      </c>
      <c r="B526" t="s">
        <v>394</v>
      </c>
      <c r="C526">
        <v>2996</v>
      </c>
      <c r="D526" s="807">
        <v>3.98</v>
      </c>
    </row>
    <row r="527" spans="1:4">
      <c r="A527" t="s">
        <v>2480</v>
      </c>
      <c r="B527" t="s">
        <v>395</v>
      </c>
      <c r="C527">
        <v>2207</v>
      </c>
      <c r="D527" s="807">
        <v>4.5</v>
      </c>
    </row>
    <row r="528" spans="1:4">
      <c r="A528" t="s">
        <v>1379</v>
      </c>
      <c r="B528" t="s">
        <v>396</v>
      </c>
      <c r="C528">
        <v>2995</v>
      </c>
      <c r="D528" s="807">
        <v>3.72</v>
      </c>
    </row>
    <row r="529" spans="1:4">
      <c r="A529" t="s">
        <v>2112</v>
      </c>
      <c r="B529" t="s">
        <v>397</v>
      </c>
      <c r="C529">
        <v>2993</v>
      </c>
      <c r="D529" s="807">
        <v>3.85</v>
      </c>
    </row>
    <row r="530" spans="1:4">
      <c r="A530" t="s">
        <v>2573</v>
      </c>
      <c r="B530" t="s">
        <v>2451</v>
      </c>
      <c r="C530">
        <v>2342</v>
      </c>
      <c r="D530" s="807">
        <v>3.51</v>
      </c>
    </row>
    <row r="531" spans="1:4">
      <c r="A531" t="s">
        <v>6448</v>
      </c>
      <c r="B531" t="s">
        <v>6447</v>
      </c>
      <c r="C531">
        <v>20263</v>
      </c>
      <c r="D531" s="807">
        <v>3.4</v>
      </c>
    </row>
    <row r="532" spans="1:4">
      <c r="A532" t="s">
        <v>4242</v>
      </c>
      <c r="B532" t="s">
        <v>8587</v>
      </c>
      <c r="C532">
        <v>2419</v>
      </c>
      <c r="D532" s="807">
        <v>2.2999999999999998</v>
      </c>
    </row>
    <row r="533" spans="1:4">
      <c r="A533" t="s">
        <v>4241</v>
      </c>
      <c r="B533" t="s">
        <v>8588</v>
      </c>
      <c r="C533">
        <v>2418</v>
      </c>
      <c r="D533" s="807">
        <v>2.5</v>
      </c>
    </row>
    <row r="534" spans="1:4">
      <c r="A534" t="s">
        <v>4861</v>
      </c>
      <c r="B534" t="s">
        <v>2029</v>
      </c>
      <c r="C534">
        <v>3612</v>
      </c>
      <c r="D534" s="807">
        <v>2.2999999999999998</v>
      </c>
    </row>
    <row r="535" spans="1:4">
      <c r="A535" t="s">
        <v>2599</v>
      </c>
      <c r="B535" t="s">
        <v>2030</v>
      </c>
      <c r="C535">
        <v>2762</v>
      </c>
      <c r="D535" s="807">
        <v>2.2999999999999998</v>
      </c>
    </row>
    <row r="536" spans="1:4">
      <c r="A536" t="s">
        <v>161</v>
      </c>
      <c r="B536" t="s">
        <v>2031</v>
      </c>
      <c r="C536">
        <v>2763</v>
      </c>
      <c r="D536" s="807">
        <v>2.2999999999999998</v>
      </c>
    </row>
    <row r="537" spans="1:4">
      <c r="A537" t="s">
        <v>3503</v>
      </c>
      <c r="B537" t="s">
        <v>2032</v>
      </c>
      <c r="C537">
        <v>3611</v>
      </c>
      <c r="D537" s="807">
        <v>2.2999999999999998</v>
      </c>
    </row>
    <row r="538" spans="1:4">
      <c r="A538" t="s">
        <v>4367</v>
      </c>
      <c r="B538" t="s">
        <v>5076</v>
      </c>
      <c r="C538">
        <v>3613</v>
      </c>
      <c r="D538" s="807">
        <v>2.2999999999999998</v>
      </c>
    </row>
    <row r="539" spans="1:4">
      <c r="A539" t="s">
        <v>157</v>
      </c>
      <c r="B539" t="s">
        <v>5077</v>
      </c>
      <c r="C539">
        <v>3615</v>
      </c>
      <c r="D539" s="807">
        <v>2.2999999999999998</v>
      </c>
    </row>
    <row r="540" spans="1:4">
      <c r="A540" t="s">
        <v>4961</v>
      </c>
      <c r="B540" t="s">
        <v>8589</v>
      </c>
      <c r="C540">
        <v>2708</v>
      </c>
      <c r="D540" s="807">
        <v>2.1</v>
      </c>
    </row>
    <row r="541" spans="1:4">
      <c r="A541" t="s">
        <v>3684</v>
      </c>
      <c r="B541" t="s">
        <v>2728</v>
      </c>
      <c r="C541">
        <v>3555</v>
      </c>
      <c r="D541" s="807">
        <v>2.2000000000000002</v>
      </c>
    </row>
    <row r="542" spans="1:4">
      <c r="A542" t="s">
        <v>874</v>
      </c>
      <c r="B542" t="s">
        <v>3825</v>
      </c>
      <c r="C542">
        <v>2939</v>
      </c>
      <c r="D542" s="807">
        <v>3.02</v>
      </c>
    </row>
    <row r="543" spans="1:4">
      <c r="A543" t="s">
        <v>1165</v>
      </c>
      <c r="B543" t="s">
        <v>3826</v>
      </c>
      <c r="C543">
        <v>2134</v>
      </c>
      <c r="D543" s="807">
        <v>3.35</v>
      </c>
    </row>
    <row r="544" spans="1:4">
      <c r="A544" t="s">
        <v>6341</v>
      </c>
      <c r="B544" t="s">
        <v>3827</v>
      </c>
      <c r="C544">
        <v>2941</v>
      </c>
      <c r="D544" s="807">
        <v>3.14</v>
      </c>
    </row>
    <row r="545" spans="1:4">
      <c r="A545" t="s">
        <v>2519</v>
      </c>
      <c r="B545" t="s">
        <v>3828</v>
      </c>
      <c r="C545">
        <v>2940</v>
      </c>
      <c r="D545" s="807">
        <v>3.08</v>
      </c>
    </row>
    <row r="546" spans="1:4">
      <c r="A546" t="s">
        <v>868</v>
      </c>
      <c r="B546" t="s">
        <v>3829</v>
      </c>
      <c r="C546">
        <v>2133</v>
      </c>
      <c r="D546" s="807">
        <v>3.25</v>
      </c>
    </row>
    <row r="547" spans="1:4">
      <c r="A547" t="s">
        <v>4235</v>
      </c>
      <c r="B547" t="s">
        <v>8590</v>
      </c>
      <c r="C547">
        <v>11545</v>
      </c>
      <c r="D547" s="807">
        <v>4.0999999999999996</v>
      </c>
    </row>
    <row r="548" spans="1:4">
      <c r="A548" t="s">
        <v>3226</v>
      </c>
      <c r="B548" t="s">
        <v>3830</v>
      </c>
      <c r="C548">
        <v>2132</v>
      </c>
      <c r="D548" s="807">
        <v>3.3</v>
      </c>
    </row>
    <row r="549" spans="1:4">
      <c r="A549" t="s">
        <v>6587</v>
      </c>
      <c r="B549" t="s">
        <v>6586</v>
      </c>
      <c r="C549">
        <v>11558</v>
      </c>
      <c r="D549" s="807">
        <v>2</v>
      </c>
    </row>
    <row r="550" spans="1:4">
      <c r="A550" t="s">
        <v>1352</v>
      </c>
      <c r="B550" t="s">
        <v>1465</v>
      </c>
      <c r="C550">
        <v>3130</v>
      </c>
      <c r="D550" s="807">
        <v>4.37</v>
      </c>
    </row>
    <row r="551" spans="1:4">
      <c r="A551" t="s">
        <v>1625</v>
      </c>
      <c r="B551" t="s">
        <v>1647</v>
      </c>
      <c r="C551">
        <v>3035</v>
      </c>
      <c r="D551" s="807">
        <v>3.54</v>
      </c>
    </row>
    <row r="552" spans="1:4">
      <c r="A552" t="s">
        <v>5486</v>
      </c>
      <c r="B552" t="s">
        <v>5487</v>
      </c>
      <c r="C552">
        <v>18579</v>
      </c>
      <c r="D552" s="807">
        <v>3.8</v>
      </c>
    </row>
    <row r="553" spans="1:4">
      <c r="A553" t="s">
        <v>8591</v>
      </c>
      <c r="B553" t="s">
        <v>8592</v>
      </c>
      <c r="C553">
        <v>11580</v>
      </c>
      <c r="D553" s="807">
        <v>3.5</v>
      </c>
    </row>
    <row r="554" spans="1:4">
      <c r="A554" t="s">
        <v>1193</v>
      </c>
      <c r="B554" t="s">
        <v>2416</v>
      </c>
      <c r="C554">
        <v>18761</v>
      </c>
      <c r="D554" s="807">
        <v>3.39</v>
      </c>
    </row>
    <row r="555" spans="1:4">
      <c r="A555" t="s">
        <v>1182</v>
      </c>
      <c r="B555" t="s">
        <v>1183</v>
      </c>
      <c r="C555">
        <v>19030</v>
      </c>
      <c r="D555" s="807">
        <v>4.26</v>
      </c>
    </row>
    <row r="556" spans="1:4">
      <c r="A556" t="s">
        <v>3121</v>
      </c>
      <c r="B556" t="s">
        <v>764</v>
      </c>
      <c r="C556">
        <v>3435</v>
      </c>
      <c r="D556" s="807">
        <v>3.19</v>
      </c>
    </row>
    <row r="557" spans="1:4">
      <c r="A557" t="s">
        <v>59</v>
      </c>
      <c r="B557" t="s">
        <v>765</v>
      </c>
      <c r="C557">
        <v>2609</v>
      </c>
      <c r="D557" s="807">
        <v>2.2000000000000002</v>
      </c>
    </row>
    <row r="558" spans="1:4">
      <c r="A558" t="s">
        <v>449</v>
      </c>
      <c r="B558" t="s">
        <v>8593</v>
      </c>
      <c r="C558">
        <v>18782</v>
      </c>
      <c r="D558" s="807">
        <v>2.1</v>
      </c>
    </row>
    <row r="559" spans="1:4">
      <c r="A559" t="s">
        <v>4205</v>
      </c>
      <c r="B559" t="s">
        <v>8594</v>
      </c>
      <c r="C559">
        <v>2671</v>
      </c>
      <c r="D559" s="807">
        <v>2.1</v>
      </c>
    </row>
    <row r="560" spans="1:4">
      <c r="A560" t="s">
        <v>432</v>
      </c>
      <c r="B560" t="s">
        <v>8595</v>
      </c>
      <c r="C560">
        <v>2675</v>
      </c>
      <c r="D560" s="807">
        <v>2</v>
      </c>
    </row>
    <row r="561" spans="1:4">
      <c r="A561" t="s">
        <v>4274</v>
      </c>
      <c r="B561" t="s">
        <v>2613</v>
      </c>
      <c r="C561">
        <v>2672</v>
      </c>
      <c r="D561" s="807">
        <v>2.1</v>
      </c>
    </row>
    <row r="562" spans="1:4">
      <c r="A562" t="s">
        <v>2006</v>
      </c>
      <c r="B562" t="s">
        <v>2613</v>
      </c>
      <c r="C562">
        <v>3514</v>
      </c>
      <c r="D562" s="807">
        <v>2.1</v>
      </c>
    </row>
    <row r="563" spans="1:4">
      <c r="A563" t="s">
        <v>730</v>
      </c>
      <c r="B563" t="s">
        <v>2265</v>
      </c>
      <c r="C563">
        <v>2673</v>
      </c>
      <c r="D563" s="807">
        <v>2.1</v>
      </c>
    </row>
    <row r="564" spans="1:4">
      <c r="A564" t="s">
        <v>2056</v>
      </c>
      <c r="B564" t="s">
        <v>2266</v>
      </c>
      <c r="C564">
        <v>3515</v>
      </c>
      <c r="D564" s="807">
        <v>2.1</v>
      </c>
    </row>
    <row r="565" spans="1:4">
      <c r="A565" t="s">
        <v>711</v>
      </c>
      <c r="B565" t="s">
        <v>3082</v>
      </c>
      <c r="C565">
        <v>3513</v>
      </c>
      <c r="D565" s="807">
        <v>2.1</v>
      </c>
    </row>
    <row r="566" spans="1:4">
      <c r="A566" t="s">
        <v>1326</v>
      </c>
      <c r="B566" t="s">
        <v>3204</v>
      </c>
      <c r="C566">
        <v>2669</v>
      </c>
      <c r="D566" s="807">
        <v>2.1</v>
      </c>
    </row>
    <row r="567" spans="1:4">
      <c r="A567" t="s">
        <v>9008</v>
      </c>
      <c r="B567" t="s">
        <v>9009</v>
      </c>
      <c r="C567">
        <v>11601</v>
      </c>
      <c r="D567" s="807">
        <v>4.2</v>
      </c>
    </row>
    <row r="568" spans="1:4">
      <c r="A568" t="s">
        <v>2211</v>
      </c>
      <c r="B568" t="s">
        <v>2417</v>
      </c>
      <c r="C568">
        <v>11609</v>
      </c>
      <c r="D568" s="807">
        <v>2.8</v>
      </c>
    </row>
    <row r="569" spans="1:4">
      <c r="A569" t="s">
        <v>8596</v>
      </c>
      <c r="B569" t="s">
        <v>8597</v>
      </c>
      <c r="C569">
        <v>18163</v>
      </c>
      <c r="D569" s="807">
        <v>2.1</v>
      </c>
    </row>
    <row r="570" spans="1:4">
      <c r="A570" t="s">
        <v>846</v>
      </c>
      <c r="B570" t="s">
        <v>299</v>
      </c>
      <c r="C570">
        <v>11617</v>
      </c>
      <c r="D570" s="807">
        <v>4.5</v>
      </c>
    </row>
    <row r="571" spans="1:4">
      <c r="A571" t="s">
        <v>5481</v>
      </c>
      <c r="B571" t="s">
        <v>5291</v>
      </c>
      <c r="C571">
        <v>3486</v>
      </c>
      <c r="D571" s="807">
        <v>2.2000000000000002</v>
      </c>
    </row>
    <row r="572" spans="1:4">
      <c r="A572" t="s">
        <v>5493</v>
      </c>
      <c r="B572" t="s">
        <v>5291</v>
      </c>
      <c r="C572">
        <v>3487</v>
      </c>
      <c r="D572" s="807">
        <v>2.2000000000000002</v>
      </c>
    </row>
    <row r="573" spans="1:4">
      <c r="A573" t="s">
        <v>9064</v>
      </c>
      <c r="B573" t="s">
        <v>9065</v>
      </c>
      <c r="C573">
        <v>16420</v>
      </c>
      <c r="D573" s="807">
        <v>2.5499999999999998</v>
      </c>
    </row>
    <row r="574" spans="1:4">
      <c r="A574" t="s">
        <v>216</v>
      </c>
      <c r="B574" t="s">
        <v>1320</v>
      </c>
      <c r="C574">
        <v>11647</v>
      </c>
      <c r="D574" s="807">
        <v>3.35</v>
      </c>
    </row>
    <row r="575" spans="1:4">
      <c r="A575" t="s">
        <v>1869</v>
      </c>
      <c r="B575" t="s">
        <v>4824</v>
      </c>
      <c r="C575">
        <v>2966</v>
      </c>
      <c r="D575" s="807">
        <v>2</v>
      </c>
    </row>
    <row r="576" spans="1:4">
      <c r="A576" t="s">
        <v>8294</v>
      </c>
      <c r="B576" t="s">
        <v>8295</v>
      </c>
      <c r="C576">
        <v>11658</v>
      </c>
      <c r="D576" s="807">
        <v>3.6</v>
      </c>
    </row>
    <row r="577" spans="1:4">
      <c r="A577" t="s">
        <v>6311</v>
      </c>
      <c r="B577" t="s">
        <v>6310</v>
      </c>
      <c r="C577">
        <v>11659</v>
      </c>
      <c r="D577" s="807">
        <v>2</v>
      </c>
    </row>
    <row r="578" spans="1:4">
      <c r="A578" s="403" t="s">
        <v>8923</v>
      </c>
      <c r="B578" s="403" t="s">
        <v>8924</v>
      </c>
      <c r="C578" s="403">
        <v>20329</v>
      </c>
      <c r="D578" s="807">
        <v>2.2999999999999998</v>
      </c>
    </row>
    <row r="579" spans="1:4">
      <c r="A579" t="s">
        <v>6351</v>
      </c>
      <c r="B579" t="s">
        <v>6350</v>
      </c>
      <c r="C579">
        <v>11666</v>
      </c>
      <c r="D579" s="807">
        <v>2</v>
      </c>
    </row>
    <row r="580" spans="1:4">
      <c r="A580" t="s">
        <v>4228</v>
      </c>
      <c r="B580" t="s">
        <v>8598</v>
      </c>
      <c r="C580">
        <v>17633</v>
      </c>
      <c r="D580" s="807">
        <v>2.1</v>
      </c>
    </row>
    <row r="581" spans="1:4">
      <c r="A581" t="s">
        <v>424</v>
      </c>
      <c r="B581" t="s">
        <v>425</v>
      </c>
      <c r="C581">
        <v>11672</v>
      </c>
      <c r="D581" s="807">
        <v>2.82</v>
      </c>
    </row>
    <row r="582" spans="1:4">
      <c r="A582" t="s">
        <v>6353</v>
      </c>
      <c r="B582" t="s">
        <v>6352</v>
      </c>
      <c r="C582">
        <v>19166</v>
      </c>
      <c r="D582" s="807">
        <v>3.4</v>
      </c>
    </row>
    <row r="583" spans="1:4">
      <c r="A583" t="s">
        <v>8296</v>
      </c>
      <c r="B583" t="s">
        <v>8297</v>
      </c>
      <c r="C583">
        <v>11676</v>
      </c>
      <c r="D583" s="807">
        <v>3.6</v>
      </c>
    </row>
    <row r="584" spans="1:4">
      <c r="A584" t="s">
        <v>1616</v>
      </c>
      <c r="B584" t="s">
        <v>3016</v>
      </c>
      <c r="C584">
        <v>2537</v>
      </c>
      <c r="D584" s="807">
        <v>3.89</v>
      </c>
    </row>
    <row r="585" spans="1:4">
      <c r="A585" t="s">
        <v>346</v>
      </c>
      <c r="B585" t="s">
        <v>3562</v>
      </c>
      <c r="C585">
        <v>3188</v>
      </c>
      <c r="D585" s="807">
        <v>3.56</v>
      </c>
    </row>
    <row r="586" spans="1:4">
      <c r="A586" t="s">
        <v>6573</v>
      </c>
      <c r="B586" t="s">
        <v>6572</v>
      </c>
      <c r="C586">
        <v>18137</v>
      </c>
      <c r="D586" s="807">
        <v>2</v>
      </c>
    </row>
    <row r="587" spans="1:4">
      <c r="A587" t="s">
        <v>2824</v>
      </c>
      <c r="B587" t="s">
        <v>4334</v>
      </c>
      <c r="C587">
        <v>6115</v>
      </c>
      <c r="D587" s="807">
        <v>1.9785341879407026</v>
      </c>
    </row>
    <row r="588" spans="1:4">
      <c r="A588" t="s">
        <v>2218</v>
      </c>
      <c r="B588" t="s">
        <v>1433</v>
      </c>
      <c r="C588">
        <v>2557</v>
      </c>
      <c r="D588" s="807">
        <v>3.42</v>
      </c>
    </row>
    <row r="589" spans="1:4">
      <c r="A589" t="s">
        <v>717</v>
      </c>
      <c r="B589" t="s">
        <v>718</v>
      </c>
      <c r="C589">
        <v>11712</v>
      </c>
      <c r="D589" s="807">
        <v>3.44</v>
      </c>
    </row>
    <row r="590" spans="1:4">
      <c r="A590" t="s">
        <v>3859</v>
      </c>
      <c r="B590" t="s">
        <v>3860</v>
      </c>
      <c r="C590">
        <v>19057</v>
      </c>
      <c r="D590" s="807">
        <v>4.03</v>
      </c>
    </row>
    <row r="591" spans="1:4">
      <c r="A591" t="s">
        <v>6198</v>
      </c>
      <c r="B591" t="s">
        <v>6197</v>
      </c>
      <c r="C591">
        <v>11715</v>
      </c>
      <c r="D591" s="807">
        <v>3.5</v>
      </c>
    </row>
    <row r="592" spans="1:4">
      <c r="A592" t="s">
        <v>2736</v>
      </c>
      <c r="B592" t="s">
        <v>2418</v>
      </c>
      <c r="C592">
        <v>3151</v>
      </c>
      <c r="D592" s="807">
        <v>4.1500000000000004</v>
      </c>
    </row>
    <row r="593" spans="1:4">
      <c r="A593" t="s">
        <v>6615</v>
      </c>
      <c r="B593" t="s">
        <v>6614</v>
      </c>
      <c r="C593">
        <v>11717</v>
      </c>
      <c r="D593" s="807">
        <v>2</v>
      </c>
    </row>
    <row r="594" spans="1:4">
      <c r="A594" t="s">
        <v>6689</v>
      </c>
      <c r="B594" t="s">
        <v>6688</v>
      </c>
      <c r="C594">
        <v>19288</v>
      </c>
      <c r="D594" s="807">
        <v>2</v>
      </c>
    </row>
    <row r="595" spans="1:4">
      <c r="A595" t="s">
        <v>6435</v>
      </c>
      <c r="B595" t="s">
        <v>6434</v>
      </c>
      <c r="C595">
        <v>11718</v>
      </c>
      <c r="D595" s="807">
        <v>2</v>
      </c>
    </row>
    <row r="596" spans="1:4">
      <c r="A596" t="s">
        <v>6650</v>
      </c>
      <c r="B596" t="s">
        <v>6649</v>
      </c>
      <c r="C596">
        <v>11719</v>
      </c>
      <c r="D596" s="807">
        <v>2</v>
      </c>
    </row>
    <row r="597" spans="1:4">
      <c r="A597" t="s">
        <v>2099</v>
      </c>
      <c r="B597" t="s">
        <v>2419</v>
      </c>
      <c r="C597">
        <v>2346</v>
      </c>
      <c r="D597" s="807">
        <v>3.98</v>
      </c>
    </row>
    <row r="598" spans="1:4">
      <c r="A598" t="s">
        <v>9010</v>
      </c>
      <c r="B598" t="s">
        <v>9011</v>
      </c>
      <c r="C598">
        <v>11724</v>
      </c>
      <c r="D598" s="807">
        <v>3.8</v>
      </c>
    </row>
    <row r="599" spans="1:4">
      <c r="A599" t="s">
        <v>1981</v>
      </c>
      <c r="B599" t="s">
        <v>2420</v>
      </c>
      <c r="C599">
        <v>2347</v>
      </c>
      <c r="D599" s="807">
        <v>3.77</v>
      </c>
    </row>
    <row r="600" spans="1:4">
      <c r="A600" t="s">
        <v>277</v>
      </c>
      <c r="B600" t="s">
        <v>2421</v>
      </c>
      <c r="C600">
        <v>3150</v>
      </c>
      <c r="D600" s="807">
        <v>4.0999999999999996</v>
      </c>
    </row>
    <row r="601" spans="1:4">
      <c r="A601" t="s">
        <v>9012</v>
      </c>
      <c r="B601" t="s">
        <v>9013</v>
      </c>
      <c r="C601">
        <v>11727</v>
      </c>
      <c r="D601" s="807">
        <v>4.0999999999999996</v>
      </c>
    </row>
    <row r="602" spans="1:4">
      <c r="A602" t="s">
        <v>1461</v>
      </c>
      <c r="B602" t="s">
        <v>2422</v>
      </c>
      <c r="C602">
        <v>2349</v>
      </c>
      <c r="D602" s="807">
        <v>3.9</v>
      </c>
    </row>
    <row r="603" spans="1:4">
      <c r="A603" t="s">
        <v>6411</v>
      </c>
      <c r="B603" t="s">
        <v>6410</v>
      </c>
      <c r="C603">
        <v>11728</v>
      </c>
      <c r="D603" s="807">
        <v>2</v>
      </c>
    </row>
    <row r="604" spans="1:4">
      <c r="A604" t="s">
        <v>2551</v>
      </c>
      <c r="B604" t="s">
        <v>4825</v>
      </c>
      <c r="C604">
        <v>2955</v>
      </c>
      <c r="D604" s="807">
        <v>2.81</v>
      </c>
    </row>
    <row r="605" spans="1:4">
      <c r="A605" t="s">
        <v>2768</v>
      </c>
      <c r="B605" t="s">
        <v>4826</v>
      </c>
      <c r="C605">
        <v>2957</v>
      </c>
      <c r="D605" s="807">
        <v>2.96</v>
      </c>
    </row>
    <row r="606" spans="1:4">
      <c r="A606" t="s">
        <v>4446</v>
      </c>
      <c r="B606" t="s">
        <v>1466</v>
      </c>
      <c r="C606">
        <v>3004</v>
      </c>
      <c r="D606" s="807">
        <v>3.4</v>
      </c>
    </row>
    <row r="607" spans="1:4">
      <c r="A607" t="s">
        <v>3695</v>
      </c>
      <c r="B607" t="s">
        <v>3729</v>
      </c>
      <c r="C607">
        <v>3633</v>
      </c>
      <c r="D607" s="807">
        <v>1</v>
      </c>
    </row>
    <row r="608" spans="1:4">
      <c r="A608" t="s">
        <v>1975</v>
      </c>
      <c r="B608" t="s">
        <v>3017</v>
      </c>
      <c r="C608">
        <v>11757</v>
      </c>
      <c r="D608" s="807">
        <v>3.82</v>
      </c>
    </row>
    <row r="609" spans="1:4">
      <c r="A609" t="s">
        <v>3696</v>
      </c>
      <c r="B609" t="s">
        <v>3961</v>
      </c>
      <c r="C609">
        <v>18835</v>
      </c>
      <c r="D609" s="807">
        <v>4.25</v>
      </c>
    </row>
    <row r="610" spans="1:4">
      <c r="A610" t="s">
        <v>1492</v>
      </c>
      <c r="B610" t="s">
        <v>1493</v>
      </c>
      <c r="C610">
        <v>11761</v>
      </c>
      <c r="D610" s="807">
        <v>3.64</v>
      </c>
    </row>
    <row r="611" spans="1:4">
      <c r="A611" t="s">
        <v>2848</v>
      </c>
      <c r="B611" t="s">
        <v>4507</v>
      </c>
      <c r="C611">
        <v>2044</v>
      </c>
      <c r="D611" s="807">
        <v>4.1500000000000004</v>
      </c>
    </row>
    <row r="612" spans="1:4">
      <c r="A612" t="s">
        <v>9116</v>
      </c>
      <c r="B612" t="s">
        <v>9117</v>
      </c>
      <c r="C612">
        <v>20627</v>
      </c>
      <c r="D612" s="807">
        <v>4</v>
      </c>
    </row>
    <row r="613" spans="1:4">
      <c r="A613" t="s">
        <v>4179</v>
      </c>
      <c r="B613" t="s">
        <v>4843</v>
      </c>
      <c r="C613">
        <v>2864</v>
      </c>
      <c r="D613" s="807">
        <v>3.63</v>
      </c>
    </row>
    <row r="614" spans="1:4">
      <c r="A614" t="s">
        <v>165</v>
      </c>
      <c r="B614" t="s">
        <v>4844</v>
      </c>
      <c r="C614">
        <v>2865</v>
      </c>
      <c r="D614" s="807">
        <v>3.84</v>
      </c>
    </row>
    <row r="615" spans="1:4">
      <c r="A615" t="s">
        <v>1656</v>
      </c>
      <c r="B615" t="s">
        <v>1657</v>
      </c>
      <c r="C615">
        <v>11783</v>
      </c>
      <c r="D615" s="807">
        <v>3.51</v>
      </c>
    </row>
    <row r="616" spans="1:4">
      <c r="A616" t="s">
        <v>9014</v>
      </c>
      <c r="B616" t="s">
        <v>9015</v>
      </c>
      <c r="C616">
        <v>11787</v>
      </c>
      <c r="D616" s="807">
        <v>3.8</v>
      </c>
    </row>
    <row r="617" spans="1:4">
      <c r="A617" t="s">
        <v>3922</v>
      </c>
      <c r="B617" t="s">
        <v>3923</v>
      </c>
      <c r="C617">
        <v>11800</v>
      </c>
      <c r="D617" s="807">
        <v>3.5</v>
      </c>
    </row>
    <row r="618" spans="1:4">
      <c r="A618" t="s">
        <v>3693</v>
      </c>
      <c r="B618" t="s">
        <v>4845</v>
      </c>
      <c r="C618">
        <v>11806</v>
      </c>
      <c r="D618" s="807">
        <v>4.05</v>
      </c>
    </row>
    <row r="619" spans="1:4">
      <c r="A619" t="s">
        <v>1125</v>
      </c>
      <c r="B619" t="s">
        <v>4846</v>
      </c>
      <c r="C619">
        <v>2061</v>
      </c>
      <c r="D619" s="807">
        <v>3.61</v>
      </c>
    </row>
    <row r="620" spans="1:4">
      <c r="A620" t="s">
        <v>6567</v>
      </c>
      <c r="B620" t="s">
        <v>6566</v>
      </c>
      <c r="C620">
        <v>2062</v>
      </c>
      <c r="D620" s="807">
        <v>2</v>
      </c>
    </row>
    <row r="621" spans="1:4">
      <c r="A621" t="s">
        <v>3616</v>
      </c>
      <c r="B621" t="s">
        <v>4847</v>
      </c>
      <c r="C621">
        <v>2841</v>
      </c>
      <c r="D621" s="807">
        <v>4.22</v>
      </c>
    </row>
    <row r="622" spans="1:4">
      <c r="A622" t="s">
        <v>6220</v>
      </c>
      <c r="B622" t="s">
        <v>6219</v>
      </c>
      <c r="C622">
        <v>11820</v>
      </c>
      <c r="D622" s="807">
        <v>2</v>
      </c>
    </row>
    <row r="623" spans="1:4">
      <c r="A623" t="s">
        <v>3877</v>
      </c>
      <c r="B623" t="s">
        <v>3878</v>
      </c>
      <c r="C623">
        <v>11823</v>
      </c>
      <c r="D623" s="807">
        <v>3.4</v>
      </c>
    </row>
    <row r="624" spans="1:4">
      <c r="A624" t="s">
        <v>4448</v>
      </c>
      <c r="B624" t="s">
        <v>4030</v>
      </c>
      <c r="C624">
        <v>2314</v>
      </c>
      <c r="D624" s="807">
        <v>3.4</v>
      </c>
    </row>
    <row r="625" spans="1:4">
      <c r="A625" s="403" t="s">
        <v>8934</v>
      </c>
      <c r="B625" s="403" t="s">
        <v>8935</v>
      </c>
      <c r="C625" s="403">
        <v>3108</v>
      </c>
      <c r="D625" s="807">
        <v>4.4000000000000004</v>
      </c>
    </row>
    <row r="626" spans="1:4">
      <c r="A626" t="s">
        <v>5535</v>
      </c>
      <c r="B626" t="s">
        <v>4031</v>
      </c>
      <c r="C626">
        <v>3109</v>
      </c>
      <c r="D626" s="807">
        <v>3.69</v>
      </c>
    </row>
    <row r="627" spans="1:4">
      <c r="A627" t="s">
        <v>3022</v>
      </c>
      <c r="B627" t="s">
        <v>4032</v>
      </c>
      <c r="C627">
        <v>3107</v>
      </c>
      <c r="D627" s="807">
        <v>3.53</v>
      </c>
    </row>
    <row r="628" spans="1:4">
      <c r="A628" t="s">
        <v>8298</v>
      </c>
      <c r="B628" t="s">
        <v>8299</v>
      </c>
      <c r="C628">
        <v>19226</v>
      </c>
      <c r="D628" s="807">
        <v>2</v>
      </c>
    </row>
    <row r="629" spans="1:4">
      <c r="A629" t="s">
        <v>5079</v>
      </c>
      <c r="B629" t="s">
        <v>2423</v>
      </c>
      <c r="C629">
        <v>3183</v>
      </c>
      <c r="D629" s="807">
        <v>3.52</v>
      </c>
    </row>
    <row r="630" spans="1:4">
      <c r="A630" t="s">
        <v>5258</v>
      </c>
      <c r="B630" t="s">
        <v>2424</v>
      </c>
      <c r="C630">
        <v>2375</v>
      </c>
      <c r="D630" s="807">
        <v>3.71</v>
      </c>
    </row>
    <row r="631" spans="1:4">
      <c r="A631" t="s">
        <v>2699</v>
      </c>
      <c r="B631" t="s">
        <v>878</v>
      </c>
      <c r="C631">
        <v>3182</v>
      </c>
      <c r="D631" s="807">
        <v>4.5</v>
      </c>
    </row>
    <row r="632" spans="1:4">
      <c r="A632" t="s">
        <v>8300</v>
      </c>
      <c r="B632" t="s">
        <v>8301</v>
      </c>
      <c r="C632">
        <v>2373</v>
      </c>
      <c r="D632" s="807">
        <v>4.0999999999999996</v>
      </c>
    </row>
    <row r="633" spans="1:4">
      <c r="A633" t="s">
        <v>2117</v>
      </c>
      <c r="B633" t="s">
        <v>2783</v>
      </c>
      <c r="C633">
        <v>3181</v>
      </c>
      <c r="D633" s="807">
        <v>3.43</v>
      </c>
    </row>
    <row r="634" spans="1:4">
      <c r="A634" t="s">
        <v>2114</v>
      </c>
      <c r="B634" t="s">
        <v>2784</v>
      </c>
      <c r="C634">
        <v>3180</v>
      </c>
      <c r="D634" s="807">
        <v>3.82</v>
      </c>
    </row>
    <row r="635" spans="1:4">
      <c r="A635" t="s">
        <v>4288</v>
      </c>
      <c r="B635" t="s">
        <v>8599</v>
      </c>
      <c r="C635">
        <v>18712</v>
      </c>
      <c r="D635" s="807">
        <v>3.8</v>
      </c>
    </row>
    <row r="636" spans="1:4">
      <c r="A636" t="s">
        <v>2539</v>
      </c>
      <c r="B636" t="s">
        <v>2785</v>
      </c>
      <c r="C636">
        <v>11849</v>
      </c>
      <c r="D636" s="807">
        <v>3.46</v>
      </c>
    </row>
    <row r="637" spans="1:4">
      <c r="A637" t="s">
        <v>6433</v>
      </c>
      <c r="B637" t="s">
        <v>6432</v>
      </c>
      <c r="C637">
        <v>11865</v>
      </c>
      <c r="D637" s="807">
        <v>2.4</v>
      </c>
    </row>
    <row r="638" spans="1:4">
      <c r="A638" t="s">
        <v>9110</v>
      </c>
      <c r="B638" t="s">
        <v>9111</v>
      </c>
      <c r="C638">
        <v>20476</v>
      </c>
      <c r="D638" s="807">
        <v>3.7</v>
      </c>
    </row>
    <row r="639" spans="1:4">
      <c r="A639" t="s">
        <v>1719</v>
      </c>
      <c r="B639" t="s">
        <v>3962</v>
      </c>
      <c r="C639">
        <v>11866</v>
      </c>
      <c r="D639" s="807">
        <v>4.24</v>
      </c>
    </row>
    <row r="640" spans="1:4">
      <c r="A640" t="s">
        <v>3701</v>
      </c>
      <c r="B640" t="s">
        <v>1787</v>
      </c>
      <c r="C640">
        <v>2291</v>
      </c>
      <c r="D640" s="807">
        <v>3.79</v>
      </c>
    </row>
    <row r="641" spans="1:4">
      <c r="A641" t="s">
        <v>5172</v>
      </c>
      <c r="B641" t="s">
        <v>1788</v>
      </c>
      <c r="C641">
        <v>3087</v>
      </c>
      <c r="D641" s="807">
        <v>3.94</v>
      </c>
    </row>
    <row r="642" spans="1:4">
      <c r="A642" t="s">
        <v>4023</v>
      </c>
      <c r="B642" t="s">
        <v>1789</v>
      </c>
      <c r="C642">
        <v>2290</v>
      </c>
      <c r="D642" s="807">
        <v>3.86</v>
      </c>
    </row>
    <row r="643" spans="1:4">
      <c r="A643" t="s">
        <v>2948</v>
      </c>
      <c r="B643" t="s">
        <v>1434</v>
      </c>
      <c r="C643">
        <v>3368</v>
      </c>
      <c r="D643" s="807">
        <v>3.32</v>
      </c>
    </row>
    <row r="644" spans="1:4">
      <c r="A644" t="s">
        <v>4562</v>
      </c>
      <c r="B644" t="s">
        <v>1915</v>
      </c>
      <c r="C644">
        <v>3639</v>
      </c>
      <c r="D644" s="807">
        <v>1</v>
      </c>
    </row>
    <row r="645" spans="1:4">
      <c r="A645" t="s">
        <v>6757</v>
      </c>
      <c r="B645" t="s">
        <v>6757</v>
      </c>
      <c r="C645">
        <v>17293</v>
      </c>
      <c r="D645" s="807">
        <v>2.1</v>
      </c>
    </row>
    <row r="646" spans="1:4">
      <c r="A646" t="s">
        <v>9016</v>
      </c>
      <c r="B646" t="s">
        <v>9017</v>
      </c>
      <c r="C646">
        <v>11888</v>
      </c>
      <c r="D646" s="807">
        <v>4</v>
      </c>
    </row>
    <row r="647" spans="1:4">
      <c r="A647" t="s">
        <v>336</v>
      </c>
      <c r="B647" t="s">
        <v>337</v>
      </c>
      <c r="C647">
        <v>3176</v>
      </c>
      <c r="D647" s="807">
        <v>3.4</v>
      </c>
    </row>
    <row r="648" spans="1:4">
      <c r="A648" t="s">
        <v>5353</v>
      </c>
      <c r="B648" t="s">
        <v>1790</v>
      </c>
      <c r="C648">
        <v>11894</v>
      </c>
      <c r="D648" s="807">
        <v>3.13</v>
      </c>
    </row>
    <row r="649" spans="1:4">
      <c r="A649" s="403" t="s">
        <v>8936</v>
      </c>
      <c r="B649" s="403" t="s">
        <v>8937</v>
      </c>
      <c r="C649" s="403">
        <v>3179</v>
      </c>
      <c r="D649" s="807">
        <v>2.2999999999999998</v>
      </c>
    </row>
    <row r="650" spans="1:4">
      <c r="A650" t="s">
        <v>4254</v>
      </c>
      <c r="B650" t="s">
        <v>6625</v>
      </c>
      <c r="C650">
        <v>3178</v>
      </c>
      <c r="D650" s="807">
        <v>2</v>
      </c>
    </row>
    <row r="651" spans="1:4">
      <c r="A651" t="s">
        <v>1082</v>
      </c>
      <c r="B651" t="s">
        <v>3192</v>
      </c>
      <c r="C651">
        <v>2370</v>
      </c>
      <c r="D651" s="807">
        <v>3.04</v>
      </c>
    </row>
    <row r="652" spans="1:4">
      <c r="A652" t="s">
        <v>735</v>
      </c>
      <c r="B652" t="s">
        <v>3193</v>
      </c>
      <c r="C652">
        <v>3175</v>
      </c>
      <c r="D652" s="807">
        <v>3.02</v>
      </c>
    </row>
    <row r="653" spans="1:4">
      <c r="A653" t="s">
        <v>385</v>
      </c>
      <c r="B653" t="s">
        <v>4789</v>
      </c>
      <c r="C653">
        <v>3177</v>
      </c>
      <c r="D653" s="807">
        <v>3.24</v>
      </c>
    </row>
    <row r="654" spans="1:4">
      <c r="A654" t="s">
        <v>6733</v>
      </c>
      <c r="B654" t="s">
        <v>6732</v>
      </c>
      <c r="C654">
        <v>19255</v>
      </c>
      <c r="D654" s="807">
        <v>2</v>
      </c>
    </row>
    <row r="655" spans="1:4">
      <c r="A655" t="s">
        <v>6526</v>
      </c>
      <c r="B655" t="s">
        <v>6525</v>
      </c>
      <c r="C655">
        <v>19222</v>
      </c>
      <c r="D655" s="807">
        <v>2</v>
      </c>
    </row>
    <row r="656" spans="1:4">
      <c r="A656" t="s">
        <v>3426</v>
      </c>
      <c r="B656" t="s">
        <v>3963</v>
      </c>
      <c r="C656">
        <v>2439</v>
      </c>
      <c r="D656" s="807">
        <v>3.96</v>
      </c>
    </row>
    <row r="657" spans="1:4">
      <c r="A657" t="s">
        <v>1376</v>
      </c>
      <c r="B657" t="s">
        <v>3964</v>
      </c>
      <c r="C657">
        <v>2438</v>
      </c>
      <c r="D657" s="807">
        <v>4.45</v>
      </c>
    </row>
    <row r="658" spans="1:4">
      <c r="A658" t="s">
        <v>908</v>
      </c>
      <c r="B658" t="s">
        <v>3086</v>
      </c>
      <c r="C658">
        <v>18709</v>
      </c>
      <c r="D658" s="807">
        <v>2.35</v>
      </c>
    </row>
    <row r="659" spans="1:4">
      <c r="A659" t="s">
        <v>8302</v>
      </c>
      <c r="B659" t="s">
        <v>8303</v>
      </c>
      <c r="C659">
        <v>11925</v>
      </c>
      <c r="D659" s="807">
        <v>3.9</v>
      </c>
    </row>
    <row r="660" spans="1:4">
      <c r="A660" t="s">
        <v>9070</v>
      </c>
      <c r="B660" t="s">
        <v>9071</v>
      </c>
      <c r="C660">
        <v>17320</v>
      </c>
      <c r="D660" s="807">
        <v>2.1</v>
      </c>
    </row>
    <row r="661" spans="1:4">
      <c r="A661" t="s">
        <v>3477</v>
      </c>
      <c r="B661" t="s">
        <v>2108</v>
      </c>
      <c r="C661">
        <v>3548</v>
      </c>
      <c r="D661" s="807">
        <v>2.1</v>
      </c>
    </row>
    <row r="662" spans="1:4">
      <c r="A662" t="s">
        <v>8863</v>
      </c>
      <c r="B662" t="s">
        <v>8864</v>
      </c>
      <c r="C662">
        <v>11932</v>
      </c>
      <c r="D662" s="807">
        <v>3.3</v>
      </c>
    </row>
    <row r="663" spans="1:4">
      <c r="A663" t="s">
        <v>4230</v>
      </c>
      <c r="B663" t="s">
        <v>8600</v>
      </c>
      <c r="C663">
        <v>3323</v>
      </c>
      <c r="D663" s="807">
        <v>2</v>
      </c>
    </row>
    <row r="664" spans="1:4">
      <c r="A664" t="s">
        <v>1875</v>
      </c>
      <c r="B664" t="s">
        <v>1876</v>
      </c>
      <c r="C664">
        <v>11935</v>
      </c>
      <c r="D664" s="807">
        <v>2.4500000000000002</v>
      </c>
    </row>
    <row r="665" spans="1:4">
      <c r="A665" t="s">
        <v>2406</v>
      </c>
      <c r="B665" t="s">
        <v>4928</v>
      </c>
      <c r="C665">
        <v>2092</v>
      </c>
      <c r="D665" s="807">
        <v>2.4</v>
      </c>
    </row>
    <row r="666" spans="1:4">
      <c r="A666" t="s">
        <v>8601</v>
      </c>
      <c r="B666" t="s">
        <v>8602</v>
      </c>
      <c r="C666">
        <v>11936</v>
      </c>
      <c r="D666" s="807">
        <v>2.8</v>
      </c>
    </row>
    <row r="667" spans="1:4">
      <c r="A667" t="s">
        <v>8603</v>
      </c>
      <c r="B667" t="s">
        <v>421</v>
      </c>
      <c r="C667">
        <v>19116</v>
      </c>
      <c r="D667" s="807">
        <v>2.74</v>
      </c>
    </row>
    <row r="668" spans="1:4">
      <c r="A668" t="s">
        <v>2290</v>
      </c>
      <c r="B668" t="s">
        <v>1420</v>
      </c>
      <c r="C668">
        <v>2721</v>
      </c>
      <c r="D668" s="807">
        <v>4.1399999999999997</v>
      </c>
    </row>
    <row r="669" spans="1:4">
      <c r="A669" t="s">
        <v>120</v>
      </c>
      <c r="B669" t="s">
        <v>3194</v>
      </c>
      <c r="C669">
        <v>3212</v>
      </c>
      <c r="D669" s="807">
        <v>3.1</v>
      </c>
    </row>
    <row r="670" spans="1:4">
      <c r="A670" t="s">
        <v>5082</v>
      </c>
      <c r="B670" t="s">
        <v>3195</v>
      </c>
      <c r="C670">
        <v>2405</v>
      </c>
      <c r="D670" s="807">
        <v>3.32</v>
      </c>
    </row>
    <row r="671" spans="1:4">
      <c r="A671" t="s">
        <v>6364</v>
      </c>
      <c r="B671" t="s">
        <v>2503</v>
      </c>
      <c r="C671">
        <v>18522</v>
      </c>
      <c r="D671" s="807">
        <v>1</v>
      </c>
    </row>
    <row r="672" spans="1:4">
      <c r="A672" t="s">
        <v>4322</v>
      </c>
      <c r="B672" t="s">
        <v>6365</v>
      </c>
      <c r="C672">
        <v>2781</v>
      </c>
      <c r="D672" s="807">
        <v>1</v>
      </c>
    </row>
    <row r="673" spans="1:4">
      <c r="A673" t="s">
        <v>5222</v>
      </c>
      <c r="B673" t="s">
        <v>3968</v>
      </c>
      <c r="C673">
        <v>2900</v>
      </c>
      <c r="D673" s="807">
        <v>3.4</v>
      </c>
    </row>
    <row r="674" spans="1:4">
      <c r="A674" t="s">
        <v>5411</v>
      </c>
      <c r="B674" t="s">
        <v>3969</v>
      </c>
      <c r="C674">
        <v>2901</v>
      </c>
      <c r="D674" s="807">
        <v>3.4</v>
      </c>
    </row>
    <row r="675" spans="1:4">
      <c r="A675" t="s">
        <v>8604</v>
      </c>
      <c r="B675" t="s">
        <v>8605</v>
      </c>
      <c r="C675">
        <v>11956</v>
      </c>
      <c r="D675" s="807">
        <v>4.3</v>
      </c>
    </row>
    <row r="676" spans="1:4">
      <c r="A676" t="s">
        <v>583</v>
      </c>
      <c r="B676" t="s">
        <v>4033</v>
      </c>
      <c r="C676">
        <v>16086</v>
      </c>
      <c r="D676" s="807">
        <v>3.26</v>
      </c>
    </row>
    <row r="677" spans="1:4">
      <c r="A677" t="s">
        <v>4618</v>
      </c>
      <c r="B677" t="s">
        <v>4619</v>
      </c>
      <c r="C677">
        <v>11957</v>
      </c>
      <c r="D677" s="807">
        <v>3.36</v>
      </c>
    </row>
    <row r="678" spans="1:4">
      <c r="A678" t="s">
        <v>2949</v>
      </c>
      <c r="B678" t="s">
        <v>5322</v>
      </c>
      <c r="C678">
        <v>2766</v>
      </c>
      <c r="D678" s="807">
        <v>2.2999999999999998</v>
      </c>
    </row>
    <row r="679" spans="1:4">
      <c r="A679" t="s">
        <v>5512</v>
      </c>
      <c r="B679" t="s">
        <v>5513</v>
      </c>
      <c r="C679">
        <v>2767</v>
      </c>
      <c r="D679" s="807">
        <v>2</v>
      </c>
    </row>
    <row r="680" spans="1:4">
      <c r="A680" t="s">
        <v>3348</v>
      </c>
      <c r="B680" t="s">
        <v>4848</v>
      </c>
      <c r="C680">
        <v>2844</v>
      </c>
      <c r="D680" s="807">
        <v>4.38</v>
      </c>
    </row>
    <row r="681" spans="1:4">
      <c r="A681" t="s">
        <v>4136</v>
      </c>
      <c r="B681" t="s">
        <v>3517</v>
      </c>
      <c r="C681">
        <v>3620</v>
      </c>
      <c r="D681" s="807">
        <v>2.2999999999999998</v>
      </c>
    </row>
    <row r="682" spans="1:4">
      <c r="A682" t="s">
        <v>5264</v>
      </c>
      <c r="B682" t="s">
        <v>4034</v>
      </c>
      <c r="C682">
        <v>3122</v>
      </c>
      <c r="D682" s="807">
        <v>3.59</v>
      </c>
    </row>
    <row r="683" spans="1:4">
      <c r="A683" t="s">
        <v>1354</v>
      </c>
      <c r="B683" t="s">
        <v>4849</v>
      </c>
      <c r="C683">
        <v>2575</v>
      </c>
      <c r="D683" s="807">
        <v>3.6</v>
      </c>
    </row>
    <row r="684" spans="1:4">
      <c r="A684" t="s">
        <v>6368</v>
      </c>
      <c r="B684" t="s">
        <v>5549</v>
      </c>
      <c r="C684">
        <v>2948</v>
      </c>
      <c r="D684" s="807">
        <v>3.24</v>
      </c>
    </row>
    <row r="685" spans="1:4">
      <c r="A685" t="s">
        <v>1530</v>
      </c>
      <c r="B685" t="s">
        <v>6369</v>
      </c>
      <c r="C685">
        <v>17054</v>
      </c>
      <c r="D685" s="807">
        <v>3.2</v>
      </c>
    </row>
    <row r="686" spans="1:4">
      <c r="A686" t="s">
        <v>1946</v>
      </c>
      <c r="B686" t="s">
        <v>1947</v>
      </c>
      <c r="C686">
        <v>17055</v>
      </c>
      <c r="D686" s="807">
        <v>3.65</v>
      </c>
    </row>
    <row r="687" spans="1:4">
      <c r="A687" t="s">
        <v>2597</v>
      </c>
      <c r="B687" t="s">
        <v>3692</v>
      </c>
      <c r="C687">
        <v>3572</v>
      </c>
      <c r="D687" s="807">
        <v>3.2</v>
      </c>
    </row>
    <row r="688" spans="1:4">
      <c r="A688" t="s">
        <v>3422</v>
      </c>
      <c r="B688" t="s">
        <v>5115</v>
      </c>
      <c r="C688">
        <v>2436</v>
      </c>
      <c r="D688" s="807">
        <v>3.27</v>
      </c>
    </row>
    <row r="689" spans="1:4">
      <c r="A689" t="s">
        <v>2595</v>
      </c>
      <c r="B689" t="s">
        <v>1648</v>
      </c>
      <c r="C689">
        <v>3014</v>
      </c>
      <c r="D689" s="807">
        <v>4.12</v>
      </c>
    </row>
    <row r="690" spans="1:4">
      <c r="A690" t="s">
        <v>4384</v>
      </c>
      <c r="B690" t="s">
        <v>1649</v>
      </c>
      <c r="C690">
        <v>2229</v>
      </c>
      <c r="D690" s="807">
        <v>4.24</v>
      </c>
    </row>
    <row r="691" spans="1:4">
      <c r="A691" t="s">
        <v>3700</v>
      </c>
      <c r="B691" t="s">
        <v>3087</v>
      </c>
      <c r="C691">
        <v>2514</v>
      </c>
      <c r="D691" s="807">
        <v>3.45</v>
      </c>
    </row>
    <row r="692" spans="1:4">
      <c r="A692" t="s">
        <v>4922</v>
      </c>
      <c r="B692" t="s">
        <v>5116</v>
      </c>
      <c r="C692">
        <v>2267</v>
      </c>
      <c r="D692" s="807">
        <v>4.3499999999999996</v>
      </c>
    </row>
    <row r="693" spans="1:4">
      <c r="A693" t="s">
        <v>4266</v>
      </c>
      <c r="B693" t="s">
        <v>8606</v>
      </c>
      <c r="C693">
        <v>18731</v>
      </c>
      <c r="D693" s="807">
        <v>2.2000000000000002</v>
      </c>
    </row>
    <row r="694" spans="1:4">
      <c r="A694" s="403" t="s">
        <v>8950</v>
      </c>
      <c r="B694" s="403" t="s">
        <v>8951</v>
      </c>
      <c r="C694" s="403">
        <v>12003</v>
      </c>
      <c r="D694" s="807">
        <v>4</v>
      </c>
    </row>
    <row r="695" spans="1:4">
      <c r="A695" t="s">
        <v>132</v>
      </c>
      <c r="B695" t="s">
        <v>5117</v>
      </c>
      <c r="C695">
        <v>12004</v>
      </c>
      <c r="D695" s="807">
        <v>4.24</v>
      </c>
    </row>
    <row r="696" spans="1:4">
      <c r="A696" t="s">
        <v>2457</v>
      </c>
      <c r="B696" t="s">
        <v>5118</v>
      </c>
      <c r="C696">
        <v>2074</v>
      </c>
      <c r="D696" s="807">
        <v>3.95</v>
      </c>
    </row>
    <row r="697" spans="1:4">
      <c r="A697" t="s">
        <v>4854</v>
      </c>
      <c r="B697" t="s">
        <v>3965</v>
      </c>
      <c r="C697">
        <v>3132</v>
      </c>
      <c r="D697" s="807">
        <v>3.45</v>
      </c>
    </row>
    <row r="698" spans="1:4">
      <c r="A698" t="s">
        <v>4664</v>
      </c>
      <c r="B698" t="s">
        <v>4509</v>
      </c>
      <c r="C698">
        <v>2331</v>
      </c>
      <c r="D698" s="807">
        <v>3.61</v>
      </c>
    </row>
    <row r="699" spans="1:4">
      <c r="A699" t="s">
        <v>1991</v>
      </c>
      <c r="B699" t="s">
        <v>1650</v>
      </c>
      <c r="C699">
        <v>12019</v>
      </c>
      <c r="D699" s="807">
        <v>3.53</v>
      </c>
    </row>
    <row r="700" spans="1:4">
      <c r="A700" t="s">
        <v>6296</v>
      </c>
      <c r="B700" t="s">
        <v>6295</v>
      </c>
      <c r="C700">
        <v>12023</v>
      </c>
      <c r="D700" s="807">
        <v>3.3</v>
      </c>
    </row>
    <row r="701" spans="1:4">
      <c r="A701" t="s">
        <v>8607</v>
      </c>
      <c r="B701" t="s">
        <v>6372</v>
      </c>
      <c r="C701">
        <v>12025</v>
      </c>
      <c r="D701" s="807">
        <v>3.1</v>
      </c>
    </row>
    <row r="702" spans="1:4">
      <c r="A702" t="s">
        <v>879</v>
      </c>
      <c r="B702" t="s">
        <v>3970</v>
      </c>
      <c r="C702">
        <v>2105</v>
      </c>
      <c r="D702" s="807">
        <v>3.28</v>
      </c>
    </row>
    <row r="703" spans="1:4">
      <c r="A703" t="s">
        <v>1377</v>
      </c>
      <c r="B703" t="s">
        <v>3971</v>
      </c>
      <c r="C703">
        <v>2916</v>
      </c>
      <c r="D703" s="807">
        <v>2.5099999999999998</v>
      </c>
    </row>
    <row r="704" spans="1:4">
      <c r="A704" t="s">
        <v>1221</v>
      </c>
      <c r="B704" t="s">
        <v>3972</v>
      </c>
      <c r="C704">
        <v>2919</v>
      </c>
      <c r="D704" s="807">
        <v>2.84</v>
      </c>
    </row>
    <row r="705" spans="1:4">
      <c r="A705" t="s">
        <v>4046</v>
      </c>
      <c r="B705" t="s">
        <v>3981</v>
      </c>
      <c r="C705">
        <v>2106</v>
      </c>
      <c r="D705" s="807">
        <v>3.11</v>
      </c>
    </row>
    <row r="706" spans="1:4">
      <c r="A706" t="s">
        <v>417</v>
      </c>
      <c r="B706" t="s">
        <v>3982</v>
      </c>
      <c r="C706">
        <v>2915</v>
      </c>
      <c r="D706" s="807">
        <v>2.56</v>
      </c>
    </row>
    <row r="707" spans="1:4">
      <c r="A707" t="s">
        <v>2095</v>
      </c>
      <c r="B707" t="s">
        <v>3983</v>
      </c>
      <c r="C707">
        <v>2107</v>
      </c>
      <c r="D707" s="807">
        <v>2.96</v>
      </c>
    </row>
    <row r="708" spans="1:4">
      <c r="A708" t="s">
        <v>2631</v>
      </c>
      <c r="B708" t="s">
        <v>3984</v>
      </c>
      <c r="C708">
        <v>2917</v>
      </c>
      <c r="D708" s="807">
        <v>2.7</v>
      </c>
    </row>
    <row r="709" spans="1:4">
      <c r="A709" t="s">
        <v>1662</v>
      </c>
      <c r="B709" t="s">
        <v>1077</v>
      </c>
      <c r="C709">
        <v>3552</v>
      </c>
      <c r="D709" s="807">
        <v>2.1</v>
      </c>
    </row>
    <row r="710" spans="1:4">
      <c r="A710" t="s">
        <v>3851</v>
      </c>
      <c r="B710" t="s">
        <v>3852</v>
      </c>
      <c r="C710">
        <v>17530</v>
      </c>
      <c r="D710" s="807">
        <v>3.3182763159269002</v>
      </c>
    </row>
    <row r="711" spans="1:4">
      <c r="A711" t="s">
        <v>9074</v>
      </c>
      <c r="B711" t="s">
        <v>9075</v>
      </c>
      <c r="C711">
        <v>17531</v>
      </c>
      <c r="D711" s="807">
        <v>2.4700000000000002</v>
      </c>
    </row>
    <row r="712" spans="1:4">
      <c r="A712" t="s">
        <v>6693</v>
      </c>
      <c r="B712" t="s">
        <v>6692</v>
      </c>
      <c r="C712">
        <v>17532</v>
      </c>
      <c r="D712" s="807">
        <v>2</v>
      </c>
    </row>
    <row r="713" spans="1:4">
      <c r="A713" t="s">
        <v>1823</v>
      </c>
      <c r="B713" t="s">
        <v>1435</v>
      </c>
      <c r="C713">
        <v>2546</v>
      </c>
      <c r="D713" s="807">
        <v>4.05</v>
      </c>
    </row>
    <row r="714" spans="1:4">
      <c r="A714" t="s">
        <v>130</v>
      </c>
      <c r="B714" t="s">
        <v>5119</v>
      </c>
      <c r="C714">
        <v>3211</v>
      </c>
      <c r="D714" s="807">
        <v>3.51</v>
      </c>
    </row>
    <row r="715" spans="1:4">
      <c r="A715" t="s">
        <v>2208</v>
      </c>
      <c r="B715" t="s">
        <v>4510</v>
      </c>
      <c r="C715">
        <v>3092</v>
      </c>
      <c r="D715" s="807">
        <v>3.37</v>
      </c>
    </row>
    <row r="716" spans="1:4">
      <c r="A716" t="s">
        <v>3994</v>
      </c>
      <c r="B716" t="s">
        <v>2200</v>
      </c>
      <c r="C716">
        <v>3093</v>
      </c>
      <c r="D716" s="807">
        <v>3.32</v>
      </c>
    </row>
    <row r="717" spans="1:4">
      <c r="A717" t="s">
        <v>6607</v>
      </c>
      <c r="B717" t="s">
        <v>6606</v>
      </c>
      <c r="C717">
        <v>12051</v>
      </c>
      <c r="D717" s="807">
        <v>2</v>
      </c>
    </row>
    <row r="718" spans="1:4">
      <c r="A718" t="s">
        <v>4132</v>
      </c>
      <c r="B718" t="s">
        <v>2489</v>
      </c>
      <c r="C718">
        <v>3072</v>
      </c>
      <c r="D718" s="807">
        <v>4.0199999999999996</v>
      </c>
    </row>
    <row r="719" spans="1:4">
      <c r="A719" t="s">
        <v>4202</v>
      </c>
      <c r="B719" t="s">
        <v>8608</v>
      </c>
      <c r="C719">
        <v>2279</v>
      </c>
      <c r="D719" s="807">
        <v>4</v>
      </c>
    </row>
    <row r="720" spans="1:4">
      <c r="A720" t="s">
        <v>2072</v>
      </c>
      <c r="B720" t="s">
        <v>2490</v>
      </c>
      <c r="C720">
        <v>3074</v>
      </c>
      <c r="D720" s="807">
        <v>3.84</v>
      </c>
    </row>
    <row r="721" spans="1:4">
      <c r="A721" t="s">
        <v>2645</v>
      </c>
      <c r="B721" t="s">
        <v>5447</v>
      </c>
      <c r="C721">
        <v>3076</v>
      </c>
      <c r="D721" s="807">
        <v>3.58</v>
      </c>
    </row>
    <row r="722" spans="1:4">
      <c r="A722" t="s">
        <v>8304</v>
      </c>
      <c r="B722" t="s">
        <v>8305</v>
      </c>
      <c r="C722">
        <v>12056</v>
      </c>
      <c r="D722" s="807">
        <v>3.9</v>
      </c>
    </row>
    <row r="723" spans="1:4">
      <c r="A723" t="s">
        <v>6728</v>
      </c>
      <c r="B723" t="s">
        <v>6727</v>
      </c>
      <c r="C723">
        <v>18917</v>
      </c>
      <c r="D723" s="807">
        <v>2</v>
      </c>
    </row>
    <row r="724" spans="1:4">
      <c r="A724" t="s">
        <v>207</v>
      </c>
      <c r="B724" t="s">
        <v>208</v>
      </c>
      <c r="C724">
        <v>12058</v>
      </c>
      <c r="D724" s="807">
        <v>3.77</v>
      </c>
    </row>
    <row r="725" spans="1:4">
      <c r="A725" t="s">
        <v>3760</v>
      </c>
      <c r="B725" t="s">
        <v>5448</v>
      </c>
      <c r="C725">
        <v>12059</v>
      </c>
      <c r="D725" s="807">
        <v>3.99</v>
      </c>
    </row>
    <row r="726" spans="1:4">
      <c r="A726" t="s">
        <v>1577</v>
      </c>
      <c r="B726" t="s">
        <v>5449</v>
      </c>
      <c r="C726">
        <v>12061</v>
      </c>
      <c r="D726" s="807">
        <v>3.9</v>
      </c>
    </row>
    <row r="727" spans="1:4">
      <c r="A727" t="s">
        <v>6671</v>
      </c>
      <c r="B727" t="s">
        <v>6670</v>
      </c>
      <c r="C727">
        <v>12066</v>
      </c>
      <c r="D727" s="807">
        <v>2</v>
      </c>
    </row>
    <row r="728" spans="1:4">
      <c r="A728" t="s">
        <v>261</v>
      </c>
      <c r="B728" t="s">
        <v>5450</v>
      </c>
      <c r="C728">
        <v>12068</v>
      </c>
      <c r="D728" s="807">
        <v>3.68</v>
      </c>
    </row>
    <row r="729" spans="1:4">
      <c r="A729" t="s">
        <v>1018</v>
      </c>
      <c r="B729" t="s">
        <v>876</v>
      </c>
      <c r="C729">
        <v>12070</v>
      </c>
      <c r="D729" s="807">
        <v>3.82</v>
      </c>
    </row>
    <row r="730" spans="1:4">
      <c r="A730" t="s">
        <v>737</v>
      </c>
      <c r="B730" t="s">
        <v>4508</v>
      </c>
      <c r="C730">
        <v>18918</v>
      </c>
      <c r="D730" s="807">
        <v>4.1399999999999997</v>
      </c>
    </row>
    <row r="731" spans="1:4">
      <c r="A731" t="s">
        <v>2825</v>
      </c>
      <c r="B731" t="s">
        <v>5423</v>
      </c>
      <c r="C731">
        <v>2281</v>
      </c>
      <c r="D731" s="807">
        <v>3.94</v>
      </c>
    </row>
    <row r="732" spans="1:4">
      <c r="A732" t="s">
        <v>5265</v>
      </c>
      <c r="B732" t="s">
        <v>5424</v>
      </c>
      <c r="C732">
        <v>12071</v>
      </c>
      <c r="D732" s="807">
        <v>3.88</v>
      </c>
    </row>
    <row r="733" spans="1:4">
      <c r="A733" t="s">
        <v>8609</v>
      </c>
      <c r="B733" t="s">
        <v>8610</v>
      </c>
      <c r="C733">
        <v>12076</v>
      </c>
      <c r="D733" s="807">
        <v>4</v>
      </c>
    </row>
    <row r="734" spans="1:4">
      <c r="A734" t="s">
        <v>4214</v>
      </c>
      <c r="B734" t="s">
        <v>8611</v>
      </c>
      <c r="C734">
        <v>2282</v>
      </c>
      <c r="D734" s="807">
        <v>4.2</v>
      </c>
    </row>
    <row r="735" spans="1:4">
      <c r="A735" t="s">
        <v>372</v>
      </c>
      <c r="B735" t="s">
        <v>5425</v>
      </c>
      <c r="C735">
        <v>3071</v>
      </c>
      <c r="D735" s="807">
        <v>3.73</v>
      </c>
    </row>
    <row r="736" spans="1:4">
      <c r="A736" t="s">
        <v>3117</v>
      </c>
      <c r="B736" t="s">
        <v>3118</v>
      </c>
      <c r="C736">
        <v>12081</v>
      </c>
      <c r="D736" s="807">
        <v>3.79</v>
      </c>
    </row>
    <row r="737" spans="1:4">
      <c r="A737" t="s">
        <v>1982</v>
      </c>
      <c r="B737" t="s">
        <v>5426</v>
      </c>
      <c r="C737">
        <v>3075</v>
      </c>
      <c r="D737" s="807">
        <v>3.49</v>
      </c>
    </row>
    <row r="738" spans="1:4">
      <c r="A738" t="s">
        <v>228</v>
      </c>
      <c r="B738" t="s">
        <v>5427</v>
      </c>
      <c r="C738">
        <v>12082</v>
      </c>
      <c r="D738" s="807">
        <v>3.97</v>
      </c>
    </row>
    <row r="739" spans="1:4">
      <c r="A739" t="s">
        <v>2446</v>
      </c>
      <c r="B739" t="s">
        <v>1901</v>
      </c>
      <c r="C739">
        <v>18921</v>
      </c>
      <c r="D739" s="807">
        <v>3.86</v>
      </c>
    </row>
    <row r="740" spans="1:4">
      <c r="A740" t="s">
        <v>6518</v>
      </c>
      <c r="B740" t="s">
        <v>6517</v>
      </c>
      <c r="C740">
        <v>12083</v>
      </c>
      <c r="D740" s="807">
        <v>4.5</v>
      </c>
    </row>
    <row r="741" spans="1:4">
      <c r="A741" t="s">
        <v>5221</v>
      </c>
      <c r="B741" t="s">
        <v>1902</v>
      </c>
      <c r="C741">
        <v>12084</v>
      </c>
      <c r="D741" s="807">
        <v>3.97</v>
      </c>
    </row>
    <row r="742" spans="1:4">
      <c r="A742" t="s">
        <v>1978</v>
      </c>
      <c r="B742" t="s">
        <v>4784</v>
      </c>
      <c r="C742">
        <v>12085</v>
      </c>
      <c r="D742" s="807">
        <v>4.04</v>
      </c>
    </row>
    <row r="743" spans="1:4">
      <c r="A743" t="s">
        <v>6648</v>
      </c>
      <c r="B743" t="s">
        <v>6647</v>
      </c>
      <c r="C743">
        <v>18944</v>
      </c>
      <c r="D743" s="807">
        <v>3.8</v>
      </c>
    </row>
    <row r="744" spans="1:4">
      <c r="A744" t="s">
        <v>3761</v>
      </c>
      <c r="B744" t="s">
        <v>1398</v>
      </c>
      <c r="C744">
        <v>12086</v>
      </c>
      <c r="D744" s="807">
        <v>3.94</v>
      </c>
    </row>
    <row r="745" spans="1:4">
      <c r="A745" t="s">
        <v>3656</v>
      </c>
      <c r="B745" t="s">
        <v>1399</v>
      </c>
      <c r="C745">
        <v>2278</v>
      </c>
      <c r="D745" s="807">
        <v>3.9</v>
      </c>
    </row>
    <row r="746" spans="1:4">
      <c r="A746" t="s">
        <v>822</v>
      </c>
      <c r="B746" t="s">
        <v>2426</v>
      </c>
      <c r="C746">
        <v>2280</v>
      </c>
      <c r="D746" s="807">
        <v>4.0599999999999996</v>
      </c>
    </row>
    <row r="747" spans="1:4">
      <c r="A747" t="s">
        <v>2444</v>
      </c>
      <c r="B747" t="s">
        <v>2427</v>
      </c>
      <c r="C747">
        <v>18945</v>
      </c>
      <c r="D747" s="807">
        <v>3.8</v>
      </c>
    </row>
    <row r="748" spans="1:4">
      <c r="A748" t="s">
        <v>2646</v>
      </c>
      <c r="B748" t="s">
        <v>2428</v>
      </c>
      <c r="C748">
        <v>3073</v>
      </c>
      <c r="D748" s="807">
        <v>4.13</v>
      </c>
    </row>
    <row r="749" spans="1:4">
      <c r="A749" t="s">
        <v>6282</v>
      </c>
      <c r="B749" t="s">
        <v>6281</v>
      </c>
      <c r="C749">
        <v>19221</v>
      </c>
      <c r="D749" s="807">
        <v>5</v>
      </c>
    </row>
    <row r="750" spans="1:4">
      <c r="A750" t="s">
        <v>5080</v>
      </c>
      <c r="B750" t="s">
        <v>3704</v>
      </c>
      <c r="C750">
        <v>3606</v>
      </c>
      <c r="D750" s="807">
        <v>3</v>
      </c>
    </row>
    <row r="751" spans="1:4">
      <c r="A751" t="s">
        <v>6638</v>
      </c>
      <c r="B751" t="s">
        <v>6637</v>
      </c>
      <c r="C751">
        <v>12113</v>
      </c>
      <c r="D751" s="807">
        <v>4.5</v>
      </c>
    </row>
    <row r="752" spans="1:4">
      <c r="A752" t="s">
        <v>2591</v>
      </c>
      <c r="B752" t="s">
        <v>2332</v>
      </c>
      <c r="C752">
        <v>18571</v>
      </c>
      <c r="D752" s="807">
        <v>2.5</v>
      </c>
    </row>
    <row r="753" spans="1:4">
      <c r="A753" t="s">
        <v>1184</v>
      </c>
      <c r="B753" t="s">
        <v>5292</v>
      </c>
      <c r="C753">
        <v>3466</v>
      </c>
      <c r="D753" s="807">
        <v>2.6</v>
      </c>
    </row>
    <row r="754" spans="1:4">
      <c r="A754" t="s">
        <v>6594</v>
      </c>
      <c r="B754" t="s">
        <v>6593</v>
      </c>
      <c r="C754">
        <v>16686</v>
      </c>
      <c r="D754" s="807">
        <v>2</v>
      </c>
    </row>
    <row r="755" spans="1:4">
      <c r="A755" t="s">
        <v>8612</v>
      </c>
      <c r="B755" t="s">
        <v>8613</v>
      </c>
      <c r="C755">
        <v>12123</v>
      </c>
      <c r="D755" s="807">
        <v>3.4</v>
      </c>
    </row>
    <row r="756" spans="1:4">
      <c r="A756" t="s">
        <v>5237</v>
      </c>
      <c r="B756" t="s">
        <v>3088</v>
      </c>
      <c r="C756">
        <v>2942</v>
      </c>
      <c r="D756" s="807">
        <v>4.4000000000000004</v>
      </c>
    </row>
    <row r="757" spans="1:4">
      <c r="A757" t="s">
        <v>3855</v>
      </c>
      <c r="B757" t="s">
        <v>3856</v>
      </c>
      <c r="C757">
        <v>12129</v>
      </c>
      <c r="D757" s="807">
        <v>4.18</v>
      </c>
    </row>
    <row r="758" spans="1:4">
      <c r="A758" t="s">
        <v>368</v>
      </c>
      <c r="B758" t="s">
        <v>3980</v>
      </c>
      <c r="C758">
        <v>2095</v>
      </c>
      <c r="D758" s="807">
        <v>2.5</v>
      </c>
    </row>
    <row r="759" spans="1:4">
      <c r="A759" t="s">
        <v>1387</v>
      </c>
      <c r="B759" t="s">
        <v>2745</v>
      </c>
      <c r="C759">
        <v>2103</v>
      </c>
      <c r="D759" s="807">
        <v>2.0699999999999998</v>
      </c>
    </row>
    <row r="760" spans="1:4">
      <c r="A760" t="s">
        <v>6407</v>
      </c>
      <c r="B760" t="s">
        <v>6406</v>
      </c>
      <c r="C760">
        <v>2839</v>
      </c>
      <c r="D760" s="807">
        <v>4.2</v>
      </c>
    </row>
    <row r="761" spans="1:4">
      <c r="A761" t="s">
        <v>4366</v>
      </c>
      <c r="B761" t="s">
        <v>1630</v>
      </c>
      <c r="C761">
        <v>2037</v>
      </c>
      <c r="D761" s="807">
        <v>3.82</v>
      </c>
    </row>
    <row r="762" spans="1:4">
      <c r="A762" t="s">
        <v>3289</v>
      </c>
      <c r="B762" t="s">
        <v>1631</v>
      </c>
      <c r="C762">
        <v>2838</v>
      </c>
      <c r="D762" s="807">
        <v>4.17</v>
      </c>
    </row>
    <row r="763" spans="1:4">
      <c r="A763" t="s">
        <v>2169</v>
      </c>
      <c r="B763" t="s">
        <v>2746</v>
      </c>
      <c r="C763">
        <v>2902</v>
      </c>
      <c r="D763" s="807">
        <v>3.49</v>
      </c>
    </row>
    <row r="764" spans="1:4">
      <c r="A764" t="s">
        <v>4767</v>
      </c>
      <c r="B764" t="s">
        <v>2747</v>
      </c>
      <c r="C764">
        <v>2096</v>
      </c>
      <c r="D764" s="807">
        <v>3.4</v>
      </c>
    </row>
    <row r="765" spans="1:4">
      <c r="A765" t="s">
        <v>219</v>
      </c>
      <c r="B765" t="s">
        <v>5293</v>
      </c>
      <c r="C765">
        <v>3459</v>
      </c>
      <c r="D765" s="807">
        <v>2.2000000000000002</v>
      </c>
    </row>
    <row r="766" spans="1:4">
      <c r="A766" t="s">
        <v>4218</v>
      </c>
      <c r="B766" t="s">
        <v>8614</v>
      </c>
      <c r="C766">
        <v>2623</v>
      </c>
      <c r="D766" s="807">
        <v>2.2000000000000002</v>
      </c>
    </row>
    <row r="767" spans="1:4">
      <c r="A767" t="s">
        <v>4285</v>
      </c>
      <c r="B767" t="s">
        <v>8614</v>
      </c>
      <c r="C767">
        <v>2624</v>
      </c>
      <c r="D767" s="807">
        <v>2.2000000000000002</v>
      </c>
    </row>
    <row r="768" spans="1:4">
      <c r="A768" t="s">
        <v>5987</v>
      </c>
      <c r="B768" t="s">
        <v>8615</v>
      </c>
      <c r="C768">
        <v>2784</v>
      </c>
      <c r="D768" s="807">
        <v>1</v>
      </c>
    </row>
    <row r="769" spans="1:4">
      <c r="A769" t="s">
        <v>4264</v>
      </c>
      <c r="B769" t="s">
        <v>8616</v>
      </c>
      <c r="C769">
        <v>3635</v>
      </c>
      <c r="D769" s="807">
        <v>1</v>
      </c>
    </row>
    <row r="770" spans="1:4">
      <c r="A770" t="s">
        <v>6383</v>
      </c>
      <c r="B770" t="s">
        <v>6382</v>
      </c>
      <c r="C770">
        <v>2455</v>
      </c>
      <c r="D770" s="807">
        <v>2</v>
      </c>
    </row>
    <row r="771" spans="1:4">
      <c r="A771" t="s">
        <v>1858</v>
      </c>
      <c r="B771" t="s">
        <v>1652</v>
      </c>
      <c r="C771">
        <v>3393</v>
      </c>
      <c r="D771" s="807">
        <v>2.2000000000000002</v>
      </c>
    </row>
    <row r="772" spans="1:4">
      <c r="A772" t="s">
        <v>3124</v>
      </c>
      <c r="B772" t="s">
        <v>4116</v>
      </c>
      <c r="C772">
        <v>3294</v>
      </c>
      <c r="D772" s="807">
        <v>4.5</v>
      </c>
    </row>
    <row r="773" spans="1:4">
      <c r="A773" t="s">
        <v>73</v>
      </c>
      <c r="B773" t="s">
        <v>4117</v>
      </c>
      <c r="C773">
        <v>3293</v>
      </c>
      <c r="D773" s="807">
        <v>4.49</v>
      </c>
    </row>
    <row r="774" spans="1:4">
      <c r="A774" t="s">
        <v>3461</v>
      </c>
      <c r="B774" t="s">
        <v>4118</v>
      </c>
      <c r="C774">
        <v>2493</v>
      </c>
      <c r="D774" s="807">
        <v>3.83</v>
      </c>
    </row>
    <row r="775" spans="1:4">
      <c r="A775" t="s">
        <v>4630</v>
      </c>
      <c r="B775" t="s">
        <v>2201</v>
      </c>
      <c r="C775">
        <v>2532</v>
      </c>
      <c r="D775" s="807">
        <v>3.57</v>
      </c>
    </row>
    <row r="776" spans="1:4">
      <c r="A776" t="s">
        <v>1083</v>
      </c>
      <c r="B776" t="s">
        <v>5199</v>
      </c>
      <c r="C776">
        <v>2726</v>
      </c>
      <c r="D776" s="807">
        <v>2.1</v>
      </c>
    </row>
    <row r="777" spans="1:4">
      <c r="A777" t="s">
        <v>4070</v>
      </c>
      <c r="B777" t="s">
        <v>5200</v>
      </c>
      <c r="C777">
        <v>3505</v>
      </c>
      <c r="D777" s="807">
        <v>2.1</v>
      </c>
    </row>
    <row r="778" spans="1:4">
      <c r="A778" t="s">
        <v>6375</v>
      </c>
      <c r="B778" t="s">
        <v>3103</v>
      </c>
      <c r="C778">
        <v>2655</v>
      </c>
      <c r="D778" s="807">
        <v>2.1</v>
      </c>
    </row>
    <row r="779" spans="1:4">
      <c r="A779" t="s">
        <v>2090</v>
      </c>
      <c r="B779" t="s">
        <v>3104</v>
      </c>
      <c r="C779">
        <v>3494</v>
      </c>
      <c r="D779" s="807">
        <v>2.1</v>
      </c>
    </row>
    <row r="780" spans="1:4">
      <c r="A780" t="s">
        <v>2244</v>
      </c>
      <c r="B780" t="s">
        <v>3105</v>
      </c>
      <c r="C780">
        <v>3504</v>
      </c>
      <c r="D780" s="807">
        <v>2.1</v>
      </c>
    </row>
    <row r="781" spans="1:4">
      <c r="A781" t="s">
        <v>4622</v>
      </c>
      <c r="B781" t="s">
        <v>4035</v>
      </c>
      <c r="C781">
        <v>2211</v>
      </c>
      <c r="D781" s="807">
        <v>3.53</v>
      </c>
    </row>
    <row r="782" spans="1:4">
      <c r="A782" t="s">
        <v>1171</v>
      </c>
      <c r="B782" t="s">
        <v>5294</v>
      </c>
      <c r="C782">
        <v>16424</v>
      </c>
      <c r="D782" s="807">
        <v>2.4112496163562103</v>
      </c>
    </row>
    <row r="783" spans="1:4">
      <c r="A783" t="s">
        <v>6272</v>
      </c>
      <c r="B783" t="s">
        <v>6271</v>
      </c>
      <c r="C783">
        <v>12224</v>
      </c>
      <c r="D783" s="807">
        <v>2</v>
      </c>
    </row>
    <row r="784" spans="1:4">
      <c r="A784" t="s">
        <v>1960</v>
      </c>
      <c r="B784" t="s">
        <v>1961</v>
      </c>
      <c r="C784">
        <v>12225</v>
      </c>
      <c r="D784" s="807">
        <v>4.5</v>
      </c>
    </row>
    <row r="785" spans="1:4">
      <c r="A785" t="s">
        <v>2821</v>
      </c>
      <c r="B785" t="s">
        <v>2429</v>
      </c>
      <c r="C785">
        <v>12227</v>
      </c>
      <c r="D785" s="807">
        <v>3.46</v>
      </c>
    </row>
    <row r="786" spans="1:4">
      <c r="A786" t="s">
        <v>6381</v>
      </c>
      <c r="B786" t="s">
        <v>6380</v>
      </c>
      <c r="C786">
        <v>6592</v>
      </c>
      <c r="D786" s="807">
        <v>2</v>
      </c>
    </row>
    <row r="787" spans="1:4">
      <c r="A787" t="s">
        <v>3883</v>
      </c>
      <c r="B787" t="s">
        <v>3884</v>
      </c>
      <c r="C787">
        <v>12251</v>
      </c>
      <c r="D787" s="807">
        <v>3.45</v>
      </c>
    </row>
    <row r="788" spans="1:4">
      <c r="A788" t="s">
        <v>3411</v>
      </c>
      <c r="B788" t="s">
        <v>1651</v>
      </c>
      <c r="C788">
        <v>2214</v>
      </c>
      <c r="D788" s="807">
        <v>3.67</v>
      </c>
    </row>
    <row r="789" spans="1:4">
      <c r="A789" t="s">
        <v>1619</v>
      </c>
      <c r="B789" t="s">
        <v>1653</v>
      </c>
      <c r="C789">
        <v>3011</v>
      </c>
      <c r="D789" s="807">
        <v>4.01</v>
      </c>
    </row>
    <row r="790" spans="1:4">
      <c r="A790" t="s">
        <v>1328</v>
      </c>
      <c r="B790" t="s">
        <v>1654</v>
      </c>
      <c r="C790">
        <v>2218</v>
      </c>
      <c r="D790" s="807">
        <v>4.42</v>
      </c>
    </row>
    <row r="791" spans="1:4">
      <c r="A791" t="s">
        <v>3634</v>
      </c>
      <c r="B791" t="s">
        <v>1655</v>
      </c>
      <c r="C791">
        <v>2219</v>
      </c>
      <c r="D791" s="807">
        <v>3.59</v>
      </c>
    </row>
    <row r="792" spans="1:4">
      <c r="A792" t="s">
        <v>6701</v>
      </c>
      <c r="B792" t="s">
        <v>6700</v>
      </c>
      <c r="C792">
        <v>2234</v>
      </c>
      <c r="D792" s="807">
        <v>3.4</v>
      </c>
    </row>
    <row r="793" spans="1:4">
      <c r="A793" t="s">
        <v>482</v>
      </c>
      <c r="B793" t="s">
        <v>3929</v>
      </c>
      <c r="C793">
        <v>3018</v>
      </c>
      <c r="D793" s="807">
        <v>3.41</v>
      </c>
    </row>
    <row r="794" spans="1:4">
      <c r="A794" t="s">
        <v>3822</v>
      </c>
      <c r="B794" t="s">
        <v>5131</v>
      </c>
      <c r="C794">
        <v>3468</v>
      </c>
      <c r="D794" s="807">
        <v>2.6</v>
      </c>
    </row>
    <row r="795" spans="1:4">
      <c r="A795" t="s">
        <v>2614</v>
      </c>
      <c r="B795" t="s">
        <v>2430</v>
      </c>
      <c r="C795">
        <v>2972</v>
      </c>
      <c r="D795" s="807">
        <v>3.47</v>
      </c>
    </row>
    <row r="796" spans="1:4">
      <c r="A796" t="s">
        <v>9018</v>
      </c>
      <c r="B796" t="s">
        <v>9019</v>
      </c>
      <c r="C796">
        <v>12268</v>
      </c>
      <c r="D796" s="807">
        <v>3.6</v>
      </c>
    </row>
    <row r="797" spans="1:4">
      <c r="A797" t="s">
        <v>5541</v>
      </c>
      <c r="B797" t="s">
        <v>1632</v>
      </c>
      <c r="C797">
        <v>2818</v>
      </c>
      <c r="D797" s="807">
        <v>4.54</v>
      </c>
    </row>
    <row r="798" spans="1:4">
      <c r="A798" t="s">
        <v>127</v>
      </c>
      <c r="B798" t="s">
        <v>2431</v>
      </c>
      <c r="C798">
        <v>2268</v>
      </c>
      <c r="D798" s="807">
        <v>3.57</v>
      </c>
    </row>
    <row r="799" spans="1:4">
      <c r="A799" t="s">
        <v>1463</v>
      </c>
      <c r="B799" t="s">
        <v>1633</v>
      </c>
      <c r="C799">
        <v>2828</v>
      </c>
      <c r="D799" s="807">
        <v>4.21</v>
      </c>
    </row>
    <row r="800" spans="1:4">
      <c r="A800" t="s">
        <v>2064</v>
      </c>
      <c r="B800" t="s">
        <v>1634</v>
      </c>
      <c r="C800">
        <v>2803</v>
      </c>
      <c r="D800" s="807">
        <v>4.2300000000000004</v>
      </c>
    </row>
    <row r="801" spans="1:4">
      <c r="A801" t="s">
        <v>1944</v>
      </c>
      <c r="B801" t="s">
        <v>1945</v>
      </c>
      <c r="C801">
        <v>12273</v>
      </c>
      <c r="D801" s="807">
        <v>3.97</v>
      </c>
    </row>
    <row r="802" spans="1:4">
      <c r="A802" t="s">
        <v>6300</v>
      </c>
      <c r="B802" t="s">
        <v>6299</v>
      </c>
      <c r="C802">
        <v>2489</v>
      </c>
      <c r="D802" s="807">
        <v>4.4000000000000004</v>
      </c>
    </row>
    <row r="803" spans="1:4">
      <c r="A803" t="s">
        <v>1156</v>
      </c>
      <c r="B803" t="s">
        <v>1509</v>
      </c>
      <c r="C803">
        <v>12291</v>
      </c>
      <c r="D803" s="807">
        <v>3.51</v>
      </c>
    </row>
    <row r="804" spans="1:4">
      <c r="A804" t="s">
        <v>2285</v>
      </c>
      <c r="B804" t="s">
        <v>4335</v>
      </c>
      <c r="C804">
        <v>3488</v>
      </c>
      <c r="D804" s="807">
        <v>2.1</v>
      </c>
    </row>
    <row r="805" spans="1:4">
      <c r="A805" t="s">
        <v>4210</v>
      </c>
      <c r="B805" t="s">
        <v>8617</v>
      </c>
      <c r="C805">
        <v>18469</v>
      </c>
      <c r="D805" s="807">
        <v>1</v>
      </c>
    </row>
    <row r="806" spans="1:4">
      <c r="A806" t="s">
        <v>1055</v>
      </c>
      <c r="B806" t="s">
        <v>1916</v>
      </c>
      <c r="C806">
        <v>2792</v>
      </c>
      <c r="D806" s="807">
        <v>1</v>
      </c>
    </row>
    <row r="807" spans="1:4">
      <c r="A807" t="s">
        <v>2170</v>
      </c>
      <c r="B807" t="s">
        <v>2202</v>
      </c>
      <c r="C807">
        <v>3266</v>
      </c>
      <c r="D807" s="807">
        <v>4.1500000000000004</v>
      </c>
    </row>
    <row r="808" spans="1:4">
      <c r="A808" t="s">
        <v>2632</v>
      </c>
      <c r="B808" t="s">
        <v>2432</v>
      </c>
      <c r="C808">
        <v>3159</v>
      </c>
      <c r="D808" s="807">
        <v>3.43</v>
      </c>
    </row>
    <row r="809" spans="1:4">
      <c r="A809" t="s">
        <v>3427</v>
      </c>
      <c r="B809" t="s">
        <v>2203</v>
      </c>
      <c r="C809">
        <v>3257</v>
      </c>
      <c r="D809" s="807">
        <v>4.34</v>
      </c>
    </row>
    <row r="810" spans="1:4">
      <c r="A810" t="s">
        <v>3536</v>
      </c>
      <c r="B810" t="s">
        <v>4631</v>
      </c>
      <c r="C810">
        <v>3259</v>
      </c>
      <c r="D810" s="807">
        <v>4.4400000000000004</v>
      </c>
    </row>
    <row r="811" spans="1:4">
      <c r="A811" t="s">
        <v>2737</v>
      </c>
      <c r="B811" t="s">
        <v>4632</v>
      </c>
      <c r="C811">
        <v>3258</v>
      </c>
      <c r="D811" s="807">
        <v>4.26</v>
      </c>
    </row>
    <row r="812" spans="1:4">
      <c r="A812" t="s">
        <v>4320</v>
      </c>
      <c r="B812" t="s">
        <v>4633</v>
      </c>
      <c r="C812">
        <v>2460</v>
      </c>
      <c r="D812" s="807">
        <v>4.09</v>
      </c>
    </row>
    <row r="813" spans="1:4">
      <c r="A813" t="s">
        <v>4763</v>
      </c>
      <c r="B813" t="s">
        <v>4634</v>
      </c>
      <c r="C813">
        <v>2459</v>
      </c>
      <c r="D813" s="807">
        <v>4.28</v>
      </c>
    </row>
    <row r="814" spans="1:4">
      <c r="A814" t="s">
        <v>2067</v>
      </c>
      <c r="B814" t="s">
        <v>2433</v>
      </c>
      <c r="C814">
        <v>3249</v>
      </c>
      <c r="D814" s="807">
        <v>3.25</v>
      </c>
    </row>
    <row r="815" spans="1:4">
      <c r="A815" t="s">
        <v>2822</v>
      </c>
      <c r="B815" t="s">
        <v>136</v>
      </c>
      <c r="C815">
        <v>18869</v>
      </c>
      <c r="D815" s="807">
        <v>3.19</v>
      </c>
    </row>
    <row r="816" spans="1:4">
      <c r="A816" t="s">
        <v>692</v>
      </c>
      <c r="B816" t="s">
        <v>137</v>
      </c>
      <c r="C816">
        <v>12319</v>
      </c>
      <c r="D816" s="807">
        <v>3.5</v>
      </c>
    </row>
    <row r="817" spans="1:4">
      <c r="A817" t="s">
        <v>230</v>
      </c>
      <c r="B817" t="s">
        <v>5120</v>
      </c>
      <c r="C817">
        <v>12320</v>
      </c>
      <c r="D817" s="807">
        <v>3.07</v>
      </c>
    </row>
    <row r="818" spans="1:4">
      <c r="A818" t="s">
        <v>617</v>
      </c>
      <c r="B818" t="s">
        <v>5121</v>
      </c>
      <c r="C818">
        <v>3250</v>
      </c>
      <c r="D818" s="807">
        <v>3.3</v>
      </c>
    </row>
    <row r="819" spans="1:4">
      <c r="A819" t="s">
        <v>6499</v>
      </c>
      <c r="B819" t="s">
        <v>6498</v>
      </c>
      <c r="C819">
        <v>16222</v>
      </c>
      <c r="D819" s="807">
        <v>2</v>
      </c>
    </row>
    <row r="820" spans="1:4">
      <c r="A820" t="s">
        <v>4028</v>
      </c>
      <c r="B820" t="s">
        <v>8618</v>
      </c>
      <c r="C820">
        <v>2164</v>
      </c>
      <c r="D820" s="807">
        <v>2.8</v>
      </c>
    </row>
    <row r="821" spans="1:4">
      <c r="A821" t="s">
        <v>243</v>
      </c>
      <c r="B821" t="s">
        <v>4075</v>
      </c>
      <c r="C821">
        <v>18402</v>
      </c>
      <c r="D821" s="807">
        <v>1</v>
      </c>
    </row>
    <row r="822" spans="1:4">
      <c r="A822" t="s">
        <v>6397</v>
      </c>
      <c r="B822" t="s">
        <v>6396</v>
      </c>
      <c r="C822">
        <v>19407</v>
      </c>
      <c r="D822" s="807">
        <v>2</v>
      </c>
    </row>
    <row r="823" spans="1:4">
      <c r="A823" t="s">
        <v>2529</v>
      </c>
      <c r="B823" t="s">
        <v>3716</v>
      </c>
      <c r="C823">
        <v>2013</v>
      </c>
      <c r="D823" s="807">
        <v>3.83</v>
      </c>
    </row>
    <row r="824" spans="1:4">
      <c r="A824" t="s">
        <v>4093</v>
      </c>
      <c r="B824" t="s">
        <v>5122</v>
      </c>
      <c r="C824">
        <v>18706</v>
      </c>
      <c r="D824" s="807">
        <v>2.21</v>
      </c>
    </row>
    <row r="825" spans="1:4">
      <c r="A825" t="s">
        <v>586</v>
      </c>
      <c r="B825" t="s">
        <v>5123</v>
      </c>
      <c r="C825">
        <v>18574</v>
      </c>
      <c r="D825" s="807">
        <v>2</v>
      </c>
    </row>
    <row r="826" spans="1:4">
      <c r="A826" t="s">
        <v>710</v>
      </c>
      <c r="B826" t="s">
        <v>629</v>
      </c>
      <c r="C826">
        <v>2938</v>
      </c>
      <c r="D826" s="807">
        <v>3.14</v>
      </c>
    </row>
    <row r="827" spans="1:4">
      <c r="A827" t="s">
        <v>383</v>
      </c>
      <c r="B827" t="s">
        <v>384</v>
      </c>
      <c r="C827">
        <v>17447</v>
      </c>
      <c r="D827" s="807">
        <v>3.3182763159269002</v>
      </c>
    </row>
    <row r="828" spans="1:4">
      <c r="A828" t="s">
        <v>9072</v>
      </c>
      <c r="B828" t="s">
        <v>9073</v>
      </c>
      <c r="C828">
        <v>17449</v>
      </c>
      <c r="D828" s="807">
        <v>2.1</v>
      </c>
    </row>
    <row r="829" spans="1:4">
      <c r="A829" t="s">
        <v>902</v>
      </c>
      <c r="B829" t="s">
        <v>3651</v>
      </c>
      <c r="C829">
        <v>3358</v>
      </c>
      <c r="D829" s="807">
        <v>3.14</v>
      </c>
    </row>
    <row r="830" spans="1:4">
      <c r="A830" t="s">
        <v>2696</v>
      </c>
      <c r="B830" t="s">
        <v>3652</v>
      </c>
      <c r="C830">
        <v>2545</v>
      </c>
      <c r="D830" s="807">
        <v>3.24</v>
      </c>
    </row>
    <row r="831" spans="1:4">
      <c r="A831" t="s">
        <v>3957</v>
      </c>
      <c r="B831" t="s">
        <v>695</v>
      </c>
      <c r="C831">
        <v>2323</v>
      </c>
      <c r="D831" s="807">
        <v>3.84</v>
      </c>
    </row>
    <row r="832" spans="1:4">
      <c r="A832" t="s">
        <v>9102</v>
      </c>
      <c r="B832" t="s">
        <v>9103</v>
      </c>
      <c r="C832">
        <v>20131</v>
      </c>
      <c r="D832" s="807">
        <v>3.4</v>
      </c>
    </row>
    <row r="833" spans="1:4">
      <c r="A833" t="s">
        <v>5483</v>
      </c>
      <c r="B833" t="s">
        <v>3089</v>
      </c>
      <c r="C833">
        <v>2516</v>
      </c>
      <c r="D833" s="807">
        <v>3.17</v>
      </c>
    </row>
    <row r="834" spans="1:4">
      <c r="A834" t="s">
        <v>3664</v>
      </c>
      <c r="B834" t="s">
        <v>3089</v>
      </c>
      <c r="C834">
        <v>2517</v>
      </c>
      <c r="D834" s="807">
        <v>3.17</v>
      </c>
    </row>
    <row r="835" spans="1:4">
      <c r="A835" t="s">
        <v>1873</v>
      </c>
      <c r="B835" t="s">
        <v>1874</v>
      </c>
      <c r="C835">
        <v>12379</v>
      </c>
      <c r="D835" s="807">
        <v>3.72</v>
      </c>
    </row>
    <row r="836" spans="1:4">
      <c r="A836" t="s">
        <v>8306</v>
      </c>
      <c r="B836" t="s">
        <v>5124</v>
      </c>
      <c r="C836">
        <v>2519</v>
      </c>
      <c r="D836" s="807">
        <v>3.3</v>
      </c>
    </row>
    <row r="837" spans="1:4">
      <c r="A837" t="s">
        <v>6644</v>
      </c>
      <c r="B837" t="s">
        <v>6643</v>
      </c>
      <c r="C837">
        <v>12393</v>
      </c>
      <c r="D837" s="807">
        <v>2</v>
      </c>
    </row>
    <row r="838" spans="1:4">
      <c r="A838" t="s">
        <v>1321</v>
      </c>
      <c r="B838" t="s">
        <v>1322</v>
      </c>
      <c r="C838">
        <v>19051</v>
      </c>
      <c r="D838" s="807">
        <v>3.3182763159269002</v>
      </c>
    </row>
    <row r="839" spans="1:4">
      <c r="A839" t="s">
        <v>6298</v>
      </c>
      <c r="B839" t="s">
        <v>6297</v>
      </c>
      <c r="C839">
        <v>6595</v>
      </c>
      <c r="D839" s="807">
        <v>2</v>
      </c>
    </row>
    <row r="840" spans="1:4">
      <c r="A840" t="s">
        <v>6405</v>
      </c>
      <c r="B840" t="s">
        <v>6404</v>
      </c>
      <c r="C840">
        <v>18765</v>
      </c>
      <c r="D840" s="807">
        <v>2</v>
      </c>
    </row>
    <row r="841" spans="1:4">
      <c r="A841" t="s">
        <v>4279</v>
      </c>
      <c r="B841" t="s">
        <v>8619</v>
      </c>
      <c r="C841">
        <v>18535</v>
      </c>
      <c r="D841" s="807">
        <v>1</v>
      </c>
    </row>
    <row r="842" spans="1:4">
      <c r="A842" t="s">
        <v>4726</v>
      </c>
      <c r="B842" t="s">
        <v>4076</v>
      </c>
      <c r="C842">
        <v>3636</v>
      </c>
      <c r="D842" s="807">
        <v>1</v>
      </c>
    </row>
    <row r="843" spans="1:4">
      <c r="A843" t="s">
        <v>1606</v>
      </c>
      <c r="B843" t="s">
        <v>4796</v>
      </c>
      <c r="C843">
        <v>18986</v>
      </c>
      <c r="D843" s="807">
        <v>3.84</v>
      </c>
    </row>
    <row r="844" spans="1:4">
      <c r="A844" t="s">
        <v>2817</v>
      </c>
      <c r="B844" t="s">
        <v>3090</v>
      </c>
      <c r="C844">
        <v>12441</v>
      </c>
      <c r="D844" s="807">
        <v>3.71</v>
      </c>
    </row>
    <row r="845" spans="1:4">
      <c r="A845" t="s">
        <v>869</v>
      </c>
      <c r="B845" t="s">
        <v>3091</v>
      </c>
      <c r="C845">
        <v>2301</v>
      </c>
      <c r="D845" s="807">
        <v>3.35</v>
      </c>
    </row>
    <row r="846" spans="1:4">
      <c r="A846" t="s">
        <v>5409</v>
      </c>
      <c r="B846" t="s">
        <v>4797</v>
      </c>
      <c r="C846">
        <v>3170</v>
      </c>
      <c r="D846" s="807">
        <v>3.35</v>
      </c>
    </row>
    <row r="847" spans="1:4">
      <c r="A847" t="s">
        <v>6414</v>
      </c>
      <c r="B847" t="s">
        <v>2754</v>
      </c>
      <c r="C847">
        <v>2782</v>
      </c>
      <c r="D847" s="807">
        <v>1</v>
      </c>
    </row>
    <row r="848" spans="1:4">
      <c r="A848" t="s">
        <v>2091</v>
      </c>
      <c r="B848" t="s">
        <v>4119</v>
      </c>
      <c r="C848">
        <v>2475</v>
      </c>
      <c r="D848" s="807">
        <v>4.5</v>
      </c>
    </row>
    <row r="849" spans="1:4">
      <c r="A849" t="s">
        <v>5499</v>
      </c>
      <c r="B849" t="s">
        <v>5500</v>
      </c>
      <c r="C849">
        <v>2144</v>
      </c>
      <c r="D849" s="807">
        <v>3.38</v>
      </c>
    </row>
    <row r="850" spans="1:4">
      <c r="A850" t="s">
        <v>8620</v>
      </c>
      <c r="B850" t="s">
        <v>8621</v>
      </c>
      <c r="C850">
        <v>12481</v>
      </c>
      <c r="D850" s="807">
        <v>3.4</v>
      </c>
    </row>
    <row r="851" spans="1:4">
      <c r="A851" t="s">
        <v>2792</v>
      </c>
      <c r="B851" t="s">
        <v>3717</v>
      </c>
      <c r="C851">
        <v>12485</v>
      </c>
      <c r="D851" s="807">
        <v>4.5</v>
      </c>
    </row>
    <row r="852" spans="1:4">
      <c r="A852" t="s">
        <v>6304</v>
      </c>
      <c r="B852" t="s">
        <v>6303</v>
      </c>
      <c r="C852">
        <v>12489</v>
      </c>
      <c r="D852" s="807">
        <v>2</v>
      </c>
    </row>
    <row r="853" spans="1:4">
      <c r="A853" t="s">
        <v>8865</v>
      </c>
      <c r="B853" t="s">
        <v>8866</v>
      </c>
      <c r="C853">
        <v>12490</v>
      </c>
      <c r="D853" s="807">
        <v>3.6</v>
      </c>
    </row>
    <row r="854" spans="1:4">
      <c r="A854" t="s">
        <v>6763</v>
      </c>
      <c r="B854" t="s">
        <v>8622</v>
      </c>
      <c r="C854">
        <v>19262</v>
      </c>
      <c r="D854" s="807">
        <v>1</v>
      </c>
    </row>
    <row r="855" spans="1:4">
      <c r="A855" t="s">
        <v>2116</v>
      </c>
      <c r="B855" t="s">
        <v>2396</v>
      </c>
      <c r="C855">
        <v>3142</v>
      </c>
      <c r="D855" s="807">
        <v>3.51</v>
      </c>
    </row>
    <row r="856" spans="1:4">
      <c r="A856" t="s">
        <v>31</v>
      </c>
      <c r="B856" t="s">
        <v>32</v>
      </c>
      <c r="C856">
        <v>12499</v>
      </c>
      <c r="D856" s="807">
        <v>3.18</v>
      </c>
    </row>
    <row r="857" spans="1:4">
      <c r="A857" t="s">
        <v>8867</v>
      </c>
      <c r="B857" t="s">
        <v>8868</v>
      </c>
      <c r="C857">
        <v>12500</v>
      </c>
      <c r="D857" s="807">
        <v>4.4000000000000004</v>
      </c>
    </row>
    <row r="858" spans="1:4">
      <c r="A858" t="s">
        <v>29</v>
      </c>
      <c r="B858" t="s">
        <v>30</v>
      </c>
      <c r="C858">
        <v>12509</v>
      </c>
      <c r="D858" s="807">
        <v>3.6</v>
      </c>
    </row>
    <row r="859" spans="1:4">
      <c r="A859" t="s">
        <v>8623</v>
      </c>
      <c r="B859" t="s">
        <v>6415</v>
      </c>
      <c r="C859">
        <v>19016</v>
      </c>
      <c r="D859" s="807">
        <v>2</v>
      </c>
    </row>
    <row r="860" spans="1:4">
      <c r="A860" t="s">
        <v>5479</v>
      </c>
      <c r="B860" t="s">
        <v>5480</v>
      </c>
      <c r="C860">
        <v>12517</v>
      </c>
      <c r="D860" s="807">
        <v>3.5</v>
      </c>
    </row>
    <row r="861" spans="1:4">
      <c r="A861" t="s">
        <v>8307</v>
      </c>
      <c r="B861" t="s">
        <v>8308</v>
      </c>
      <c r="C861">
        <v>12525</v>
      </c>
      <c r="D861" s="807">
        <v>3.4</v>
      </c>
    </row>
    <row r="862" spans="1:4">
      <c r="A862" t="s">
        <v>4208</v>
      </c>
      <c r="B862" t="s">
        <v>8624</v>
      </c>
      <c r="C862">
        <v>3490</v>
      </c>
      <c r="D862" s="807">
        <v>2.1</v>
      </c>
    </row>
    <row r="863" spans="1:4">
      <c r="A863" t="s">
        <v>4441</v>
      </c>
      <c r="B863" t="s">
        <v>4336</v>
      </c>
      <c r="C863">
        <v>3491</v>
      </c>
      <c r="D863" s="807">
        <v>2.1</v>
      </c>
    </row>
    <row r="864" spans="1:4">
      <c r="A864" t="s">
        <v>8625</v>
      </c>
      <c r="B864" t="s">
        <v>8626</v>
      </c>
      <c r="C864">
        <v>20272</v>
      </c>
      <c r="D864" s="807">
        <v>2.1</v>
      </c>
    </row>
    <row r="865" spans="1:4">
      <c r="A865" t="s">
        <v>5302</v>
      </c>
      <c r="B865" t="s">
        <v>4337</v>
      </c>
      <c r="C865">
        <v>2653</v>
      </c>
      <c r="D865" s="807">
        <v>2.1</v>
      </c>
    </row>
    <row r="866" spans="1:4">
      <c r="A866" t="s">
        <v>4887</v>
      </c>
      <c r="B866" t="s">
        <v>4338</v>
      </c>
      <c r="C866">
        <v>3492</v>
      </c>
      <c r="D866" s="807">
        <v>2.1</v>
      </c>
    </row>
    <row r="867" spans="1:4">
      <c r="A867" t="s">
        <v>4239</v>
      </c>
      <c r="B867" t="s">
        <v>8627</v>
      </c>
      <c r="C867">
        <v>2652</v>
      </c>
      <c r="D867" s="807">
        <v>2.1</v>
      </c>
    </row>
    <row r="868" spans="1:4">
      <c r="A868" t="s">
        <v>2893</v>
      </c>
      <c r="B868" t="s">
        <v>5354</v>
      </c>
      <c r="C868">
        <v>2651</v>
      </c>
      <c r="D868" s="807">
        <v>2.1</v>
      </c>
    </row>
    <row r="869" spans="1:4">
      <c r="A869" t="s">
        <v>1276</v>
      </c>
      <c r="B869" t="s">
        <v>373</v>
      </c>
      <c r="C869">
        <v>3493</v>
      </c>
      <c r="D869" s="807">
        <v>2.1</v>
      </c>
    </row>
    <row r="870" spans="1:4">
      <c r="A870" t="s">
        <v>2047</v>
      </c>
      <c r="B870" t="s">
        <v>766</v>
      </c>
      <c r="C870">
        <v>16661</v>
      </c>
      <c r="D870" s="807">
        <v>2.4713768380352099</v>
      </c>
    </row>
    <row r="871" spans="1:4">
      <c r="A871" t="s">
        <v>1494</v>
      </c>
      <c r="B871" t="s">
        <v>2346</v>
      </c>
      <c r="C871">
        <v>3440</v>
      </c>
      <c r="D871" s="807">
        <v>2.2000000000000002</v>
      </c>
    </row>
    <row r="872" spans="1:4">
      <c r="A872" t="s">
        <v>4765</v>
      </c>
      <c r="B872" t="s">
        <v>2347</v>
      </c>
      <c r="C872">
        <v>2612</v>
      </c>
      <c r="D872" s="807">
        <v>2.2000000000000002</v>
      </c>
    </row>
    <row r="873" spans="1:4">
      <c r="A873" t="s">
        <v>5029</v>
      </c>
      <c r="B873" t="s">
        <v>1934</v>
      </c>
      <c r="C873">
        <v>12540</v>
      </c>
      <c r="D873" s="807">
        <v>3.95</v>
      </c>
    </row>
    <row r="874" spans="1:4">
      <c r="A874" t="s">
        <v>1883</v>
      </c>
      <c r="B874" t="s">
        <v>749</v>
      </c>
      <c r="C874">
        <v>12545</v>
      </c>
      <c r="D874" s="807">
        <v>4.2300000000000004</v>
      </c>
    </row>
    <row r="875" spans="1:4">
      <c r="A875" t="s">
        <v>2351</v>
      </c>
      <c r="B875" t="s">
        <v>5192</v>
      </c>
      <c r="C875">
        <v>3223</v>
      </c>
      <c r="D875" s="807">
        <v>3.18</v>
      </c>
    </row>
    <row r="876" spans="1:4">
      <c r="A876" t="s">
        <v>1985</v>
      </c>
      <c r="B876" t="s">
        <v>2748</v>
      </c>
      <c r="C876">
        <v>2903</v>
      </c>
      <c r="D876" s="807">
        <v>3.3</v>
      </c>
    </row>
    <row r="877" spans="1:4">
      <c r="A877" t="s">
        <v>1962</v>
      </c>
      <c r="B877" t="s">
        <v>1963</v>
      </c>
      <c r="C877">
        <v>12563</v>
      </c>
      <c r="D877" s="807">
        <v>3.1</v>
      </c>
    </row>
    <row r="878" spans="1:4">
      <c r="A878" t="s">
        <v>4137</v>
      </c>
      <c r="B878" t="s">
        <v>3370</v>
      </c>
      <c r="C878">
        <v>2949</v>
      </c>
      <c r="D878" s="807">
        <v>4.2</v>
      </c>
    </row>
    <row r="879" spans="1:4">
      <c r="A879" t="s">
        <v>8869</v>
      </c>
      <c r="B879" t="s">
        <v>8870</v>
      </c>
      <c r="C879">
        <v>12571</v>
      </c>
      <c r="D879" s="807">
        <v>3.2</v>
      </c>
    </row>
    <row r="880" spans="1:4">
      <c r="A880" t="s">
        <v>1837</v>
      </c>
      <c r="B880" t="s">
        <v>630</v>
      </c>
      <c r="C880">
        <v>2528</v>
      </c>
      <c r="D880" s="807">
        <v>3.81</v>
      </c>
    </row>
    <row r="881" spans="1:4">
      <c r="A881" t="s">
        <v>8871</v>
      </c>
      <c r="B881" t="s">
        <v>8872</v>
      </c>
      <c r="C881">
        <v>18841</v>
      </c>
      <c r="D881" s="807">
        <v>4</v>
      </c>
    </row>
    <row r="882" spans="1:4">
      <c r="A882" t="s">
        <v>3659</v>
      </c>
      <c r="B882" t="s">
        <v>3092</v>
      </c>
      <c r="C882">
        <v>3322</v>
      </c>
      <c r="D882" s="807">
        <v>2.82</v>
      </c>
    </row>
    <row r="883" spans="1:4">
      <c r="A883" t="s">
        <v>3767</v>
      </c>
      <c r="B883" t="s">
        <v>6221</v>
      </c>
      <c r="C883">
        <v>2974</v>
      </c>
      <c r="D883" s="807">
        <v>3.6</v>
      </c>
    </row>
    <row r="884" spans="1:4">
      <c r="A884" t="s">
        <v>6417</v>
      </c>
      <c r="B884" t="s">
        <v>6416</v>
      </c>
      <c r="C884">
        <v>12583</v>
      </c>
      <c r="D884" s="807">
        <v>2</v>
      </c>
    </row>
    <row r="885" spans="1:4">
      <c r="A885" t="s">
        <v>6235</v>
      </c>
      <c r="B885" t="s">
        <v>6234</v>
      </c>
      <c r="C885">
        <v>12591</v>
      </c>
      <c r="D885" s="807">
        <v>3.2</v>
      </c>
    </row>
    <row r="886" spans="1:4">
      <c r="A886" t="s">
        <v>8994</v>
      </c>
      <c r="B886" t="s">
        <v>8995</v>
      </c>
      <c r="C886">
        <v>6776</v>
      </c>
      <c r="D886" s="807">
        <v>2.6</v>
      </c>
    </row>
    <row r="887" spans="1:4">
      <c r="A887" t="s">
        <v>6230</v>
      </c>
      <c r="B887" t="s">
        <v>6229</v>
      </c>
      <c r="C887">
        <v>2213</v>
      </c>
      <c r="D887" s="807">
        <v>3.6</v>
      </c>
    </row>
    <row r="888" spans="1:4">
      <c r="A888" t="s">
        <v>2572</v>
      </c>
      <c r="B888" t="s">
        <v>696</v>
      </c>
      <c r="C888">
        <v>3003</v>
      </c>
      <c r="D888" s="807">
        <v>2.48</v>
      </c>
    </row>
    <row r="889" spans="1:4">
      <c r="A889" t="s">
        <v>9112</v>
      </c>
      <c r="B889" t="s">
        <v>9113</v>
      </c>
      <c r="C889">
        <v>20579</v>
      </c>
      <c r="D889" s="807">
        <v>4</v>
      </c>
    </row>
    <row r="890" spans="1:4">
      <c r="A890" t="s">
        <v>5369</v>
      </c>
      <c r="B890" t="s">
        <v>4042</v>
      </c>
      <c r="C890">
        <v>2212</v>
      </c>
      <c r="D890" s="807">
        <v>3.06</v>
      </c>
    </row>
    <row r="891" spans="1:4">
      <c r="A891" t="s">
        <v>6580</v>
      </c>
      <c r="B891" t="s">
        <v>6579</v>
      </c>
      <c r="C891">
        <v>12623</v>
      </c>
      <c r="D891" s="807">
        <v>2</v>
      </c>
    </row>
    <row r="892" spans="1:4">
      <c r="A892" t="s">
        <v>6441</v>
      </c>
      <c r="B892" t="s">
        <v>6440</v>
      </c>
      <c r="C892">
        <v>12629</v>
      </c>
      <c r="D892" s="807">
        <v>4.4000000000000004</v>
      </c>
    </row>
    <row r="893" spans="1:4">
      <c r="A893" t="s">
        <v>909</v>
      </c>
      <c r="B893" t="s">
        <v>3093</v>
      </c>
      <c r="C893">
        <v>12635</v>
      </c>
      <c r="D893" s="807">
        <v>4.5</v>
      </c>
    </row>
    <row r="894" spans="1:4">
      <c r="A894" t="s">
        <v>6624</v>
      </c>
      <c r="B894" t="s">
        <v>6623</v>
      </c>
      <c r="C894">
        <v>12637</v>
      </c>
      <c r="D894" s="807">
        <v>4.2</v>
      </c>
    </row>
    <row r="895" spans="1:4">
      <c r="A895" t="s">
        <v>3012</v>
      </c>
      <c r="B895" t="s">
        <v>964</v>
      </c>
      <c r="C895">
        <v>2912</v>
      </c>
      <c r="D895" s="807">
        <v>3.57</v>
      </c>
    </row>
    <row r="896" spans="1:4">
      <c r="A896" t="s">
        <v>4000</v>
      </c>
      <c r="B896" t="s">
        <v>8628</v>
      </c>
      <c r="C896">
        <v>2198</v>
      </c>
      <c r="D896" s="807">
        <v>3.7</v>
      </c>
    </row>
    <row r="897" spans="1:4">
      <c r="A897" t="s">
        <v>4250</v>
      </c>
      <c r="B897" t="s">
        <v>8309</v>
      </c>
      <c r="C897">
        <v>2983</v>
      </c>
      <c r="D897" s="807">
        <v>3.7</v>
      </c>
    </row>
    <row r="898" spans="1:4">
      <c r="A898" t="s">
        <v>2048</v>
      </c>
      <c r="B898" t="s">
        <v>2348</v>
      </c>
      <c r="C898">
        <v>2605</v>
      </c>
      <c r="D898" s="807">
        <v>2.2999999999999998</v>
      </c>
    </row>
    <row r="899" spans="1:4">
      <c r="A899" t="s">
        <v>8310</v>
      </c>
      <c r="B899" t="s">
        <v>8311</v>
      </c>
      <c r="C899">
        <v>20406</v>
      </c>
      <c r="D899" s="807">
        <v>2.39</v>
      </c>
    </row>
    <row r="900" spans="1:4">
      <c r="A900" t="s">
        <v>3328</v>
      </c>
      <c r="B900" t="s">
        <v>2349</v>
      </c>
      <c r="C900">
        <v>16508</v>
      </c>
      <c r="D900" s="807">
        <v>2.4713768380352099</v>
      </c>
    </row>
    <row r="901" spans="1:4">
      <c r="A901" t="s">
        <v>9100</v>
      </c>
      <c r="B901" t="s">
        <v>9101</v>
      </c>
      <c r="C901">
        <v>19807</v>
      </c>
      <c r="D901" s="807">
        <v>3.3</v>
      </c>
    </row>
    <row r="902" spans="1:4">
      <c r="A902" t="s">
        <v>6792</v>
      </c>
      <c r="B902" t="s">
        <v>8629</v>
      </c>
      <c r="C902">
        <v>12670</v>
      </c>
      <c r="D902" s="807">
        <v>3.6</v>
      </c>
    </row>
    <row r="903" spans="1:4">
      <c r="A903" t="s">
        <v>3999</v>
      </c>
      <c r="B903" t="s">
        <v>6199</v>
      </c>
      <c r="C903">
        <v>2141</v>
      </c>
      <c r="D903" s="807">
        <v>2</v>
      </c>
    </row>
    <row r="904" spans="1:4">
      <c r="A904" t="s">
        <v>2254</v>
      </c>
      <c r="B904" t="s">
        <v>2255</v>
      </c>
      <c r="C904">
        <v>19139</v>
      </c>
      <c r="D904" s="807">
        <v>3.59</v>
      </c>
    </row>
    <row r="905" spans="1:4">
      <c r="A905" t="s">
        <v>2813</v>
      </c>
      <c r="B905" t="s">
        <v>3718</v>
      </c>
      <c r="C905">
        <v>2003</v>
      </c>
      <c r="D905" s="807">
        <v>4.28</v>
      </c>
    </row>
    <row r="906" spans="1:4">
      <c r="A906" t="s">
        <v>3766</v>
      </c>
      <c r="B906" t="s">
        <v>8630</v>
      </c>
      <c r="C906">
        <v>2097</v>
      </c>
      <c r="D906" s="807">
        <v>3.25</v>
      </c>
    </row>
    <row r="907" spans="1:4">
      <c r="A907" t="s">
        <v>3336</v>
      </c>
      <c r="B907" t="s">
        <v>3719</v>
      </c>
      <c r="C907">
        <v>12686</v>
      </c>
      <c r="D907" s="807">
        <v>3.73</v>
      </c>
    </row>
    <row r="908" spans="1:4">
      <c r="A908" t="s">
        <v>9084</v>
      </c>
      <c r="B908" t="s">
        <v>9085</v>
      </c>
      <c r="C908">
        <v>18618</v>
      </c>
      <c r="D908" s="807">
        <v>3.3</v>
      </c>
    </row>
    <row r="909" spans="1:4">
      <c r="A909" t="s">
        <v>4174</v>
      </c>
      <c r="B909" t="s">
        <v>3653</v>
      </c>
      <c r="C909">
        <v>2547</v>
      </c>
      <c r="D909" s="807">
        <v>3.64</v>
      </c>
    </row>
    <row r="910" spans="1:4">
      <c r="A910" t="s">
        <v>1661</v>
      </c>
      <c r="B910" t="s">
        <v>3654</v>
      </c>
      <c r="C910">
        <v>3359</v>
      </c>
      <c r="D910" s="807">
        <v>3.65</v>
      </c>
    </row>
    <row r="911" spans="1:4">
      <c r="A911" t="s">
        <v>1484</v>
      </c>
      <c r="B911" t="s">
        <v>3655</v>
      </c>
      <c r="C911">
        <v>3353</v>
      </c>
      <c r="D911" s="807">
        <v>4.53</v>
      </c>
    </row>
    <row r="912" spans="1:4">
      <c r="A912" t="s">
        <v>1620</v>
      </c>
      <c r="B912" t="s">
        <v>3605</v>
      </c>
      <c r="C912">
        <v>2542</v>
      </c>
      <c r="D912" s="807">
        <v>4.13</v>
      </c>
    </row>
    <row r="913" spans="1:4">
      <c r="A913" t="s">
        <v>4968</v>
      </c>
      <c r="B913" t="s">
        <v>8631</v>
      </c>
      <c r="C913">
        <v>3559</v>
      </c>
      <c r="D913" s="807">
        <v>2.1</v>
      </c>
    </row>
    <row r="914" spans="1:4">
      <c r="A914" t="s">
        <v>6627</v>
      </c>
      <c r="B914" t="s">
        <v>6626</v>
      </c>
      <c r="C914">
        <v>18282</v>
      </c>
      <c r="D914" s="807">
        <v>2</v>
      </c>
    </row>
    <row r="915" spans="1:4">
      <c r="A915" t="s">
        <v>171</v>
      </c>
      <c r="B915" t="s">
        <v>3371</v>
      </c>
      <c r="C915">
        <v>3042</v>
      </c>
      <c r="D915" s="807">
        <v>3.68</v>
      </c>
    </row>
    <row r="916" spans="1:4">
      <c r="A916" t="s">
        <v>8632</v>
      </c>
      <c r="B916" t="s">
        <v>8633</v>
      </c>
      <c r="C916">
        <v>12727</v>
      </c>
      <c r="D916" s="807">
        <v>3.1</v>
      </c>
    </row>
    <row r="917" spans="1:4">
      <c r="A917" t="s">
        <v>35</v>
      </c>
      <c r="B917" t="s">
        <v>36</v>
      </c>
      <c r="C917">
        <v>18371</v>
      </c>
      <c r="D917" s="807">
        <v>3.3182763159269002</v>
      </c>
    </row>
    <row r="918" spans="1:4">
      <c r="A918" t="s">
        <v>3565</v>
      </c>
      <c r="B918" t="s">
        <v>3566</v>
      </c>
      <c r="C918">
        <v>18367</v>
      </c>
      <c r="D918" s="807">
        <v>3.3182763159269002</v>
      </c>
    </row>
    <row r="919" spans="1:4">
      <c r="A919" t="s">
        <v>8634</v>
      </c>
      <c r="B919" t="s">
        <v>3870</v>
      </c>
      <c r="C919">
        <v>18366</v>
      </c>
      <c r="D919" s="807">
        <v>3.3182763159269002</v>
      </c>
    </row>
    <row r="920" spans="1:4">
      <c r="A920" t="s">
        <v>713</v>
      </c>
      <c r="B920" t="s">
        <v>6420</v>
      </c>
      <c r="C920">
        <v>2770</v>
      </c>
      <c r="D920" s="807">
        <v>2.2999999999999998</v>
      </c>
    </row>
    <row r="921" spans="1:4">
      <c r="A921" t="s">
        <v>214</v>
      </c>
      <c r="B921" t="s">
        <v>215</v>
      </c>
      <c r="C921">
        <v>19141</v>
      </c>
      <c r="D921" s="807">
        <v>3.3182763159269002</v>
      </c>
    </row>
    <row r="922" spans="1:4">
      <c r="A922" t="s">
        <v>4488</v>
      </c>
      <c r="B922" t="s">
        <v>178</v>
      </c>
      <c r="C922">
        <v>3482</v>
      </c>
      <c r="D922" s="807">
        <v>3.4</v>
      </c>
    </row>
    <row r="923" spans="1:4">
      <c r="A923" t="s">
        <v>3959</v>
      </c>
      <c r="B923" t="s">
        <v>1270</v>
      </c>
      <c r="C923">
        <v>2648</v>
      </c>
      <c r="D923" s="807">
        <v>2.6</v>
      </c>
    </row>
    <row r="924" spans="1:4">
      <c r="A924" t="s">
        <v>6205</v>
      </c>
      <c r="B924" t="s">
        <v>6204</v>
      </c>
      <c r="C924">
        <v>12737</v>
      </c>
      <c r="D924" s="807">
        <v>3.4</v>
      </c>
    </row>
    <row r="925" spans="1:4">
      <c r="A925" t="s">
        <v>6764</v>
      </c>
      <c r="B925" t="s">
        <v>8635</v>
      </c>
      <c r="C925">
        <v>6803</v>
      </c>
      <c r="D925" s="807">
        <v>3.6</v>
      </c>
    </row>
    <row r="926" spans="1:4">
      <c r="A926" t="s">
        <v>6422</v>
      </c>
      <c r="B926" t="s">
        <v>6421</v>
      </c>
      <c r="C926">
        <v>12738</v>
      </c>
      <c r="D926" s="807">
        <v>3.7</v>
      </c>
    </row>
    <row r="927" spans="1:4">
      <c r="A927" t="s">
        <v>6704</v>
      </c>
      <c r="B927" t="s">
        <v>6703</v>
      </c>
      <c r="C927">
        <v>6820</v>
      </c>
      <c r="D927" s="807">
        <v>2</v>
      </c>
    </row>
    <row r="928" spans="1:4">
      <c r="A928" t="s">
        <v>6424</v>
      </c>
      <c r="B928" t="s">
        <v>6423</v>
      </c>
      <c r="C928">
        <v>19224</v>
      </c>
      <c r="D928" s="807">
        <v>2</v>
      </c>
    </row>
    <row r="929" spans="1:4">
      <c r="A929" t="s">
        <v>8636</v>
      </c>
      <c r="B929" t="s">
        <v>8637</v>
      </c>
      <c r="C929">
        <v>20443</v>
      </c>
      <c r="D929" s="807">
        <v>2.6</v>
      </c>
    </row>
    <row r="930" spans="1:4">
      <c r="A930" t="s">
        <v>1938</v>
      </c>
      <c r="B930" t="s">
        <v>6425</v>
      </c>
      <c r="C930">
        <v>12745</v>
      </c>
      <c r="D930" s="807">
        <v>3.68</v>
      </c>
    </row>
    <row r="931" spans="1:4">
      <c r="A931" t="s">
        <v>4963</v>
      </c>
      <c r="B931" t="s">
        <v>8638</v>
      </c>
      <c r="C931">
        <v>2986</v>
      </c>
      <c r="D931" s="807">
        <v>2.7</v>
      </c>
    </row>
    <row r="932" spans="1:4">
      <c r="A932" t="s">
        <v>3778</v>
      </c>
      <c r="B932" t="s">
        <v>631</v>
      </c>
      <c r="C932">
        <v>2249</v>
      </c>
      <c r="D932" s="807">
        <v>4.3</v>
      </c>
    </row>
    <row r="933" spans="1:4">
      <c r="A933" t="s">
        <v>4362</v>
      </c>
      <c r="B933" t="s">
        <v>4363</v>
      </c>
      <c r="C933">
        <v>12747</v>
      </c>
      <c r="D933" s="807">
        <v>3.49</v>
      </c>
    </row>
    <row r="934" spans="1:4">
      <c r="A934" t="s">
        <v>5236</v>
      </c>
      <c r="B934" t="s">
        <v>3831</v>
      </c>
      <c r="C934">
        <v>12757</v>
      </c>
      <c r="D934" s="807">
        <v>4.17</v>
      </c>
    </row>
    <row r="935" spans="1:4">
      <c r="A935" t="s">
        <v>4428</v>
      </c>
      <c r="B935" t="s">
        <v>1107</v>
      </c>
      <c r="C935">
        <v>2072</v>
      </c>
      <c r="D935" s="807">
        <v>4.0599999999999996</v>
      </c>
    </row>
    <row r="936" spans="1:4">
      <c r="A936" t="s">
        <v>6371</v>
      </c>
      <c r="B936" t="s">
        <v>6370</v>
      </c>
      <c r="C936">
        <v>12762</v>
      </c>
      <c r="D936" s="807">
        <v>2</v>
      </c>
    </row>
    <row r="937" spans="1:4">
      <c r="A937" t="s">
        <v>1980</v>
      </c>
      <c r="B937" t="s">
        <v>3720</v>
      </c>
      <c r="C937">
        <v>2066</v>
      </c>
      <c r="D937" s="807">
        <v>3.68</v>
      </c>
    </row>
    <row r="938" spans="1:4">
      <c r="A938" t="s">
        <v>3799</v>
      </c>
      <c r="B938" t="s">
        <v>4838</v>
      </c>
      <c r="C938">
        <v>2871</v>
      </c>
      <c r="D938" s="807">
        <v>3.52</v>
      </c>
    </row>
    <row r="939" spans="1:4">
      <c r="A939" t="s">
        <v>1116</v>
      </c>
      <c r="B939" t="s">
        <v>4839</v>
      </c>
      <c r="C939">
        <v>2870</v>
      </c>
      <c r="D939" s="807">
        <v>3.77</v>
      </c>
    </row>
    <row r="940" spans="1:4">
      <c r="A940" t="s">
        <v>8873</v>
      </c>
      <c r="B940" t="s">
        <v>8874</v>
      </c>
      <c r="C940">
        <v>6801</v>
      </c>
      <c r="D940" s="807">
        <v>4.5</v>
      </c>
    </row>
    <row r="941" spans="1:4">
      <c r="A941" t="s">
        <v>4662</v>
      </c>
      <c r="B941" t="s">
        <v>632</v>
      </c>
      <c r="C941">
        <v>3319</v>
      </c>
      <c r="D941" s="807">
        <v>3.95</v>
      </c>
    </row>
    <row r="942" spans="1:4">
      <c r="A942" t="s">
        <v>1611</v>
      </c>
      <c r="B942" t="s">
        <v>633</v>
      </c>
      <c r="C942">
        <v>18704</v>
      </c>
      <c r="D942" s="807">
        <v>3.82</v>
      </c>
    </row>
    <row r="943" spans="1:4">
      <c r="A943" t="s">
        <v>342</v>
      </c>
      <c r="B943" t="s">
        <v>343</v>
      </c>
      <c r="C943">
        <v>18705</v>
      </c>
      <c r="D943" s="807">
        <v>3.93</v>
      </c>
    </row>
    <row r="944" spans="1:4">
      <c r="A944" t="s">
        <v>6439</v>
      </c>
      <c r="B944" t="s">
        <v>6438</v>
      </c>
      <c r="C944">
        <v>19145</v>
      </c>
      <c r="D944" s="807">
        <v>2</v>
      </c>
    </row>
    <row r="945" spans="1:4">
      <c r="A945" t="s">
        <v>3707</v>
      </c>
      <c r="B945" t="s">
        <v>1994</v>
      </c>
      <c r="C945">
        <v>2129</v>
      </c>
      <c r="D945" s="807">
        <v>3.21</v>
      </c>
    </row>
    <row r="946" spans="1:4">
      <c r="A946" t="s">
        <v>1085</v>
      </c>
      <c r="B946" t="s">
        <v>1995</v>
      </c>
      <c r="C946">
        <v>2937</v>
      </c>
      <c r="D946" s="807">
        <v>3.43</v>
      </c>
    </row>
    <row r="947" spans="1:4">
      <c r="A947" t="s">
        <v>2549</v>
      </c>
      <c r="B947" t="s">
        <v>4827</v>
      </c>
      <c r="C947">
        <v>2967</v>
      </c>
      <c r="D947" s="807">
        <v>2</v>
      </c>
    </row>
    <row r="948" spans="1:4">
      <c r="A948" t="s">
        <v>1245</v>
      </c>
      <c r="B948" t="s">
        <v>4828</v>
      </c>
      <c r="C948">
        <v>2965</v>
      </c>
      <c r="D948" s="807">
        <v>2.33</v>
      </c>
    </row>
    <row r="949" spans="1:4">
      <c r="A949" t="s">
        <v>6419</v>
      </c>
      <c r="B949" t="s">
        <v>6418</v>
      </c>
      <c r="C949">
        <v>12795</v>
      </c>
      <c r="D949" s="807">
        <v>2.9</v>
      </c>
    </row>
    <row r="950" spans="1:4">
      <c r="A950" t="s">
        <v>8312</v>
      </c>
      <c r="B950" t="s">
        <v>8313</v>
      </c>
      <c r="C950">
        <v>6804</v>
      </c>
      <c r="D950" s="807">
        <v>3.15</v>
      </c>
    </row>
    <row r="951" spans="1:4">
      <c r="A951" t="s">
        <v>2868</v>
      </c>
      <c r="B951" t="s">
        <v>3372</v>
      </c>
      <c r="C951">
        <v>2462</v>
      </c>
      <c r="D951" s="807">
        <v>3.31</v>
      </c>
    </row>
    <row r="952" spans="1:4">
      <c r="A952" t="s">
        <v>2866</v>
      </c>
      <c r="B952" t="s">
        <v>4043</v>
      </c>
      <c r="C952">
        <v>3002</v>
      </c>
      <c r="D952" s="807">
        <v>3.4</v>
      </c>
    </row>
    <row r="953" spans="1:4">
      <c r="A953" t="s">
        <v>6793</v>
      </c>
      <c r="B953" t="s">
        <v>8639</v>
      </c>
      <c r="C953">
        <v>12812</v>
      </c>
      <c r="D953" s="807">
        <v>2.5</v>
      </c>
    </row>
    <row r="954" spans="1:4">
      <c r="A954" t="s">
        <v>8996</v>
      </c>
      <c r="B954" t="s">
        <v>8997</v>
      </c>
      <c r="C954">
        <v>6800</v>
      </c>
      <c r="D954" s="807">
        <v>2.5</v>
      </c>
    </row>
    <row r="955" spans="1:4">
      <c r="A955" t="s">
        <v>8640</v>
      </c>
      <c r="B955" t="s">
        <v>8641</v>
      </c>
      <c r="C955">
        <v>19191</v>
      </c>
      <c r="D955" s="807">
        <v>3</v>
      </c>
    </row>
    <row r="956" spans="1:4">
      <c r="A956" t="s">
        <v>8314</v>
      </c>
      <c r="B956" t="s">
        <v>8315</v>
      </c>
      <c r="C956">
        <v>16312</v>
      </c>
      <c r="D956" s="807">
        <v>2.96</v>
      </c>
    </row>
    <row r="957" spans="1:4">
      <c r="A957" t="s">
        <v>4370</v>
      </c>
      <c r="B957" t="s">
        <v>1271</v>
      </c>
      <c r="C957">
        <v>16315</v>
      </c>
      <c r="D957" s="807">
        <v>2.9587323501170402</v>
      </c>
    </row>
    <row r="958" spans="1:4">
      <c r="A958" t="s">
        <v>6765</v>
      </c>
      <c r="B958" t="s">
        <v>4204</v>
      </c>
      <c r="C958">
        <v>2147</v>
      </c>
      <c r="D958" s="807">
        <v>2.2000000000000002</v>
      </c>
    </row>
    <row r="959" spans="1:4">
      <c r="A959" t="s">
        <v>5278</v>
      </c>
      <c r="B959" t="s">
        <v>3094</v>
      </c>
      <c r="C959">
        <v>2977</v>
      </c>
      <c r="D959" s="807">
        <v>3.41</v>
      </c>
    </row>
    <row r="960" spans="1:4">
      <c r="A960" t="s">
        <v>2264</v>
      </c>
      <c r="B960" t="s">
        <v>309</v>
      </c>
      <c r="C960">
        <v>2188</v>
      </c>
      <c r="D960" s="807">
        <v>3.87</v>
      </c>
    </row>
    <row r="961" spans="1:4">
      <c r="A961" t="s">
        <v>1246</v>
      </c>
      <c r="B961" t="s">
        <v>310</v>
      </c>
      <c r="C961">
        <v>2976</v>
      </c>
      <c r="D961" s="807">
        <v>3.58</v>
      </c>
    </row>
    <row r="962" spans="1:4">
      <c r="A962" t="s">
        <v>2517</v>
      </c>
      <c r="B962" t="s">
        <v>4829</v>
      </c>
      <c r="C962">
        <v>2954</v>
      </c>
      <c r="D962" s="807">
        <v>3.11</v>
      </c>
    </row>
    <row r="963" spans="1:4">
      <c r="A963" t="s">
        <v>9020</v>
      </c>
      <c r="B963" t="s">
        <v>9021</v>
      </c>
      <c r="C963">
        <v>12853</v>
      </c>
      <c r="D963" s="807">
        <v>2.9</v>
      </c>
    </row>
    <row r="964" spans="1:4">
      <c r="A964" t="s">
        <v>131</v>
      </c>
      <c r="B964" t="s">
        <v>217</v>
      </c>
      <c r="C964">
        <v>2112</v>
      </c>
      <c r="D964" s="807">
        <v>3.44</v>
      </c>
    </row>
    <row r="965" spans="1:4">
      <c r="A965" t="s">
        <v>416</v>
      </c>
      <c r="B965" t="s">
        <v>218</v>
      </c>
      <c r="C965">
        <v>2924</v>
      </c>
      <c r="D965" s="807">
        <v>3.79</v>
      </c>
    </row>
    <row r="966" spans="1:4">
      <c r="A966" t="s">
        <v>3530</v>
      </c>
      <c r="B966" t="s">
        <v>4456</v>
      </c>
      <c r="C966">
        <v>3565</v>
      </c>
      <c r="D966" s="807">
        <v>3.8</v>
      </c>
    </row>
    <row r="967" spans="1:4">
      <c r="A967" t="s">
        <v>2814</v>
      </c>
      <c r="B967" t="s">
        <v>4457</v>
      </c>
      <c r="C967">
        <v>3564</v>
      </c>
      <c r="D967" s="807">
        <v>4.1500000000000004</v>
      </c>
    </row>
    <row r="968" spans="1:4">
      <c r="A968" t="s">
        <v>1889</v>
      </c>
      <c r="B968" t="s">
        <v>4458</v>
      </c>
      <c r="C968">
        <v>2720</v>
      </c>
      <c r="D968" s="807">
        <v>3.98</v>
      </c>
    </row>
    <row r="969" spans="1:4">
      <c r="A969" t="s">
        <v>2933</v>
      </c>
      <c r="B969" t="s">
        <v>838</v>
      </c>
      <c r="C969">
        <v>3625</v>
      </c>
      <c r="D969" s="807">
        <v>2.2999999999999998</v>
      </c>
    </row>
    <row r="970" spans="1:4">
      <c r="A970" t="s">
        <v>4323</v>
      </c>
      <c r="B970" t="s">
        <v>3000</v>
      </c>
      <c r="C970">
        <v>3143</v>
      </c>
      <c r="D970" s="807">
        <v>2.91</v>
      </c>
    </row>
    <row r="971" spans="1:4">
      <c r="A971" t="s">
        <v>6256</v>
      </c>
      <c r="B971" t="s">
        <v>6255</v>
      </c>
      <c r="C971">
        <v>12890</v>
      </c>
      <c r="D971" s="807">
        <v>2</v>
      </c>
    </row>
    <row r="972" spans="1:4">
      <c r="A972" t="s">
        <v>8316</v>
      </c>
      <c r="B972" t="s">
        <v>8317</v>
      </c>
      <c r="C972">
        <v>12892</v>
      </c>
      <c r="D972" s="807">
        <v>3.6</v>
      </c>
    </row>
    <row r="973" spans="1:4">
      <c r="A973" t="s">
        <v>4400</v>
      </c>
      <c r="B973" t="s">
        <v>4120</v>
      </c>
      <c r="C973">
        <v>3300</v>
      </c>
      <c r="D973" s="807">
        <v>4.47</v>
      </c>
    </row>
    <row r="974" spans="1:4">
      <c r="A974" t="s">
        <v>2958</v>
      </c>
      <c r="B974" t="s">
        <v>2407</v>
      </c>
      <c r="C974">
        <v>2499</v>
      </c>
      <c r="D974" s="807">
        <v>4.5</v>
      </c>
    </row>
    <row r="975" spans="1:4">
      <c r="A975" t="s">
        <v>5050</v>
      </c>
      <c r="B975" t="s">
        <v>2408</v>
      </c>
      <c r="C975">
        <v>3301</v>
      </c>
      <c r="D975" s="807">
        <v>4.5</v>
      </c>
    </row>
    <row r="976" spans="1:4">
      <c r="A976" t="s">
        <v>129</v>
      </c>
      <c r="B976" t="s">
        <v>4840</v>
      </c>
      <c r="C976">
        <v>2011</v>
      </c>
      <c r="D976" s="807">
        <v>4.5</v>
      </c>
    </row>
    <row r="977" spans="1:4">
      <c r="A977" t="s">
        <v>4361</v>
      </c>
      <c r="B977" t="s">
        <v>4841</v>
      </c>
      <c r="C977">
        <v>2797</v>
      </c>
      <c r="D977" s="807">
        <v>4.5</v>
      </c>
    </row>
    <row r="978" spans="1:4">
      <c r="A978" t="s">
        <v>4131</v>
      </c>
      <c r="B978" t="s">
        <v>4842</v>
      </c>
      <c r="C978">
        <v>2010</v>
      </c>
      <c r="D978" s="807">
        <v>4.5</v>
      </c>
    </row>
    <row r="979" spans="1:4">
      <c r="A979" t="s">
        <v>5525</v>
      </c>
      <c r="B979" t="s">
        <v>2160</v>
      </c>
      <c r="C979">
        <v>3450</v>
      </c>
      <c r="D979" s="807">
        <v>2.6</v>
      </c>
    </row>
    <row r="980" spans="1:4">
      <c r="A980" t="s">
        <v>2289</v>
      </c>
      <c r="B980" t="s">
        <v>2161</v>
      </c>
      <c r="C980">
        <v>3448</v>
      </c>
      <c r="D980" s="807">
        <v>2.6</v>
      </c>
    </row>
    <row r="981" spans="1:4">
      <c r="A981" t="s">
        <v>1220</v>
      </c>
      <c r="B981" t="s">
        <v>2162</v>
      </c>
      <c r="C981">
        <v>3447</v>
      </c>
      <c r="D981" s="807">
        <v>2.6</v>
      </c>
    </row>
    <row r="982" spans="1:4">
      <c r="A982" t="s">
        <v>2926</v>
      </c>
      <c r="B982" t="s">
        <v>3762</v>
      </c>
      <c r="C982">
        <v>16285</v>
      </c>
      <c r="D982" s="807">
        <v>2.9587323501170402</v>
      </c>
    </row>
    <row r="983" spans="1:4">
      <c r="A983" t="s">
        <v>4653</v>
      </c>
      <c r="B983" t="s">
        <v>3763</v>
      </c>
      <c r="C983">
        <v>16284</v>
      </c>
      <c r="D983" s="807">
        <v>2.9587323501170402</v>
      </c>
    </row>
    <row r="984" spans="1:4">
      <c r="A984" t="s">
        <v>262</v>
      </c>
      <c r="B984" t="s">
        <v>5161</v>
      </c>
      <c r="C984">
        <v>3449</v>
      </c>
      <c r="D984" s="807">
        <v>2.6</v>
      </c>
    </row>
    <row r="985" spans="1:4">
      <c r="A985" t="s">
        <v>5366</v>
      </c>
      <c r="B985" t="s">
        <v>5162</v>
      </c>
      <c r="C985">
        <v>2617</v>
      </c>
      <c r="D985" s="807">
        <v>2.6</v>
      </c>
    </row>
    <row r="986" spans="1:4">
      <c r="A986" t="s">
        <v>2093</v>
      </c>
      <c r="B986" t="s">
        <v>3001</v>
      </c>
      <c r="C986">
        <v>2259</v>
      </c>
      <c r="D986" s="807">
        <v>2.37</v>
      </c>
    </row>
    <row r="987" spans="1:4">
      <c r="A987" t="s">
        <v>443</v>
      </c>
      <c r="B987" t="s">
        <v>8642</v>
      </c>
      <c r="C987">
        <v>2783</v>
      </c>
      <c r="D987" s="807">
        <v>1</v>
      </c>
    </row>
    <row r="988" spans="1:4">
      <c r="A988" t="s">
        <v>3806</v>
      </c>
      <c r="B988" t="s">
        <v>634</v>
      </c>
      <c r="C988">
        <v>3234</v>
      </c>
      <c r="D988" s="807">
        <v>4.57</v>
      </c>
    </row>
    <row r="989" spans="1:4">
      <c r="A989" t="s">
        <v>2870</v>
      </c>
      <c r="B989" t="s">
        <v>2409</v>
      </c>
      <c r="C989">
        <v>2494</v>
      </c>
      <c r="D989" s="807">
        <v>4.3499999999999996</v>
      </c>
    </row>
    <row r="990" spans="1:4">
      <c r="A990" t="s">
        <v>1056</v>
      </c>
      <c r="B990" t="s">
        <v>864</v>
      </c>
      <c r="C990">
        <v>2908</v>
      </c>
      <c r="D990" s="807">
        <v>2.87</v>
      </c>
    </row>
    <row r="991" spans="1:4">
      <c r="A991" t="s">
        <v>4148</v>
      </c>
      <c r="B991" t="s">
        <v>311</v>
      </c>
      <c r="C991">
        <v>2185</v>
      </c>
      <c r="D991" s="807">
        <v>3.96</v>
      </c>
    </row>
    <row r="992" spans="1:4">
      <c r="A992" t="s">
        <v>1853</v>
      </c>
      <c r="B992" t="s">
        <v>4728</v>
      </c>
      <c r="C992">
        <v>18985</v>
      </c>
      <c r="D992" s="807">
        <v>2.72</v>
      </c>
    </row>
    <row r="993" spans="1:4">
      <c r="A993" t="s">
        <v>6773</v>
      </c>
      <c r="B993" t="s">
        <v>8643</v>
      </c>
      <c r="C993">
        <v>2161</v>
      </c>
      <c r="D993" s="807">
        <v>2</v>
      </c>
    </row>
    <row r="994" spans="1:4">
      <c r="A994" t="s">
        <v>6768</v>
      </c>
      <c r="B994" t="s">
        <v>8644</v>
      </c>
      <c r="C994">
        <v>12975</v>
      </c>
      <c r="D994" s="807">
        <v>2</v>
      </c>
    </row>
    <row r="995" spans="1:4">
      <c r="A995" t="s">
        <v>4246</v>
      </c>
      <c r="B995" t="s">
        <v>8645</v>
      </c>
      <c r="C995">
        <v>2964</v>
      </c>
      <c r="D995" s="807">
        <v>2.2000000000000002</v>
      </c>
    </row>
    <row r="996" spans="1:4">
      <c r="A996" t="s">
        <v>3313</v>
      </c>
      <c r="B996" t="s">
        <v>4830</v>
      </c>
      <c r="C996">
        <v>2963</v>
      </c>
      <c r="D996" s="807">
        <v>2.19</v>
      </c>
    </row>
    <row r="997" spans="1:4">
      <c r="A997" t="s">
        <v>4226</v>
      </c>
      <c r="B997" t="s">
        <v>8646</v>
      </c>
      <c r="C997">
        <v>12991</v>
      </c>
      <c r="D997" s="807">
        <v>2.4</v>
      </c>
    </row>
    <row r="998" spans="1:4">
      <c r="A998" t="s">
        <v>4245</v>
      </c>
      <c r="B998" t="s">
        <v>8647</v>
      </c>
      <c r="C998">
        <v>10724</v>
      </c>
      <c r="D998" s="807">
        <v>3.4</v>
      </c>
    </row>
    <row r="999" spans="1:4">
      <c r="A999" t="s">
        <v>2473</v>
      </c>
      <c r="B999" t="s">
        <v>5087</v>
      </c>
      <c r="C999">
        <v>19128</v>
      </c>
      <c r="D999" s="807">
        <v>2.34</v>
      </c>
    </row>
    <row r="1000" spans="1:4">
      <c r="A1000" t="s">
        <v>4722</v>
      </c>
      <c r="B1000" t="s">
        <v>4729</v>
      </c>
      <c r="C1000">
        <v>3224</v>
      </c>
      <c r="D1000" s="807">
        <v>3.43</v>
      </c>
    </row>
    <row r="1001" spans="1:4">
      <c r="A1001" t="s">
        <v>2628</v>
      </c>
      <c r="B1001" t="s">
        <v>4730</v>
      </c>
      <c r="C1001">
        <v>13004</v>
      </c>
      <c r="D1001" s="807">
        <v>3.07</v>
      </c>
    </row>
    <row r="1002" spans="1:4">
      <c r="A1002" t="s">
        <v>6286</v>
      </c>
      <c r="B1002" t="s">
        <v>6285</v>
      </c>
      <c r="C1002">
        <v>17808</v>
      </c>
      <c r="D1002" s="807">
        <v>2</v>
      </c>
    </row>
    <row r="1003" spans="1:4">
      <c r="A1003" t="s">
        <v>2252</v>
      </c>
      <c r="B1003" t="s">
        <v>2253</v>
      </c>
      <c r="C1003">
        <v>13007</v>
      </c>
      <c r="D1003" s="807">
        <v>3.93</v>
      </c>
    </row>
    <row r="1004" spans="1:4">
      <c r="A1004" t="s">
        <v>1164</v>
      </c>
      <c r="B1004" t="s">
        <v>4040</v>
      </c>
      <c r="C1004">
        <v>3101</v>
      </c>
      <c r="D1004" s="807">
        <v>3.97</v>
      </c>
    </row>
    <row r="1005" spans="1:4">
      <c r="A1005" t="s">
        <v>6446</v>
      </c>
      <c r="B1005" t="s">
        <v>5546</v>
      </c>
      <c r="C1005">
        <v>13017</v>
      </c>
      <c r="D1005" s="807">
        <v>3.61</v>
      </c>
    </row>
    <row r="1006" spans="1:4">
      <c r="A1006" t="s">
        <v>8648</v>
      </c>
      <c r="B1006" t="s">
        <v>8649</v>
      </c>
      <c r="C1006">
        <v>13022</v>
      </c>
      <c r="D1006" s="807">
        <v>4</v>
      </c>
    </row>
    <row r="1007" spans="1:4">
      <c r="A1007" t="s">
        <v>6636</v>
      </c>
      <c r="B1007" t="s">
        <v>6635</v>
      </c>
      <c r="C1007">
        <v>18933</v>
      </c>
      <c r="D1007" s="807">
        <v>3.6</v>
      </c>
    </row>
    <row r="1008" spans="1:4">
      <c r="A1008" t="s">
        <v>6577</v>
      </c>
      <c r="B1008" t="s">
        <v>6576</v>
      </c>
      <c r="C1008">
        <v>13026</v>
      </c>
      <c r="D1008" s="807">
        <v>2</v>
      </c>
    </row>
    <row r="1009" spans="1:4">
      <c r="A1009" t="s">
        <v>1163</v>
      </c>
      <c r="B1009" t="s">
        <v>3730</v>
      </c>
      <c r="C1009">
        <v>18539</v>
      </c>
      <c r="D1009" s="807">
        <v>1</v>
      </c>
    </row>
    <row r="1010" spans="1:4">
      <c r="A1010" t="s">
        <v>4511</v>
      </c>
      <c r="B1010" t="s">
        <v>5413</v>
      </c>
      <c r="C1010">
        <v>3629</v>
      </c>
      <c r="D1010" s="807">
        <v>1</v>
      </c>
    </row>
    <row r="1011" spans="1:4">
      <c r="A1011" t="s">
        <v>5154</v>
      </c>
      <c r="B1011" t="s">
        <v>5414</v>
      </c>
      <c r="C1011">
        <v>2776</v>
      </c>
      <c r="D1011" s="807">
        <v>1</v>
      </c>
    </row>
    <row r="1012" spans="1:4">
      <c r="A1012" t="s">
        <v>1358</v>
      </c>
      <c r="B1012" t="s">
        <v>2366</v>
      </c>
      <c r="C1012">
        <v>2798</v>
      </c>
      <c r="D1012" s="807">
        <v>4.5</v>
      </c>
    </row>
    <row r="1013" spans="1:4">
      <c r="A1013" t="s">
        <v>1935</v>
      </c>
      <c r="B1013" t="s">
        <v>1936</v>
      </c>
      <c r="C1013">
        <v>2796</v>
      </c>
      <c r="D1013" s="807">
        <v>4.51</v>
      </c>
    </row>
    <row r="1014" spans="1:4">
      <c r="A1014" t="s">
        <v>776</v>
      </c>
      <c r="B1014" t="s">
        <v>635</v>
      </c>
      <c r="C1014">
        <v>2142</v>
      </c>
      <c r="D1014" s="807">
        <v>3.17</v>
      </c>
    </row>
    <row r="1015" spans="1:4">
      <c r="A1015" t="s">
        <v>5491</v>
      </c>
      <c r="B1015" t="s">
        <v>5492</v>
      </c>
      <c r="C1015">
        <v>13036</v>
      </c>
      <c r="D1015" s="807">
        <v>3.19</v>
      </c>
    </row>
    <row r="1016" spans="1:4">
      <c r="A1016" t="s">
        <v>873</v>
      </c>
      <c r="B1016" t="s">
        <v>1510</v>
      </c>
      <c r="C1016">
        <v>2002</v>
      </c>
      <c r="D1016" s="807">
        <v>4.5</v>
      </c>
    </row>
    <row r="1017" spans="1:4">
      <c r="A1017" t="s">
        <v>168</v>
      </c>
      <c r="B1017" t="s">
        <v>4041</v>
      </c>
      <c r="C1017">
        <v>2247</v>
      </c>
      <c r="D1017" s="807">
        <v>4.22</v>
      </c>
    </row>
    <row r="1018" spans="1:4">
      <c r="A1018" t="s">
        <v>5516</v>
      </c>
      <c r="B1018" t="s">
        <v>5517</v>
      </c>
      <c r="C1018">
        <v>13048</v>
      </c>
      <c r="D1018" s="807">
        <v>4.3899999999999997</v>
      </c>
    </row>
    <row r="1019" spans="1:4">
      <c r="A1019" t="s">
        <v>5157</v>
      </c>
      <c r="B1019" t="s">
        <v>3570</v>
      </c>
      <c r="C1019">
        <v>3163</v>
      </c>
      <c r="D1019" s="807">
        <v>3.72</v>
      </c>
    </row>
    <row r="1020" spans="1:4">
      <c r="A1020" t="s">
        <v>5407</v>
      </c>
      <c r="B1020" t="s">
        <v>3571</v>
      </c>
      <c r="C1020">
        <v>2362</v>
      </c>
      <c r="D1020" s="807">
        <v>3.64</v>
      </c>
    </row>
    <row r="1021" spans="1:4">
      <c r="A1021" t="s">
        <v>6629</v>
      </c>
      <c r="B1021" t="s">
        <v>6628</v>
      </c>
      <c r="C1021">
        <v>13055</v>
      </c>
      <c r="D1021" s="807">
        <v>2</v>
      </c>
    </row>
    <row r="1022" spans="1:4">
      <c r="A1022" t="s">
        <v>9022</v>
      </c>
      <c r="B1022" t="s">
        <v>9023</v>
      </c>
      <c r="C1022">
        <v>13057</v>
      </c>
      <c r="D1022" s="807">
        <v>4.5</v>
      </c>
    </row>
    <row r="1023" spans="1:4">
      <c r="A1023" t="s">
        <v>4436</v>
      </c>
      <c r="B1023" t="s">
        <v>3572</v>
      </c>
      <c r="C1023">
        <v>2286</v>
      </c>
      <c r="D1023" s="807">
        <v>3.36</v>
      </c>
    </row>
    <row r="1024" spans="1:4">
      <c r="A1024" t="s">
        <v>6695</v>
      </c>
      <c r="B1024" t="s">
        <v>6694</v>
      </c>
      <c r="C1024">
        <v>13059</v>
      </c>
      <c r="D1024" s="807">
        <v>2</v>
      </c>
    </row>
    <row r="1025" spans="1:4">
      <c r="A1025" t="s">
        <v>5459</v>
      </c>
      <c r="B1025" t="s">
        <v>1372</v>
      </c>
      <c r="C1025">
        <v>3068</v>
      </c>
      <c r="D1025" s="807">
        <v>4.3499999999999996</v>
      </c>
    </row>
    <row r="1026" spans="1:4">
      <c r="A1026" t="s">
        <v>6252</v>
      </c>
      <c r="B1026" t="s">
        <v>6251</v>
      </c>
      <c r="C1026">
        <v>13061</v>
      </c>
      <c r="D1026" s="807">
        <v>2</v>
      </c>
    </row>
    <row r="1027" spans="1:4">
      <c r="A1027" t="s">
        <v>6385</v>
      </c>
      <c r="B1027" t="s">
        <v>6384</v>
      </c>
      <c r="C1027">
        <v>13062</v>
      </c>
      <c r="D1027" s="807">
        <v>2</v>
      </c>
    </row>
    <row r="1028" spans="1:4">
      <c r="A1028" t="s">
        <v>911</v>
      </c>
      <c r="B1028" t="s">
        <v>312</v>
      </c>
      <c r="C1028">
        <v>2275</v>
      </c>
      <c r="D1028" s="807">
        <v>4.4800000000000004</v>
      </c>
    </row>
    <row r="1029" spans="1:4">
      <c r="A1029" t="s">
        <v>4413</v>
      </c>
      <c r="B1029" t="s">
        <v>313</v>
      </c>
      <c r="C1029">
        <v>3067</v>
      </c>
      <c r="D1029" s="807">
        <v>4.29</v>
      </c>
    </row>
    <row r="1030" spans="1:4">
      <c r="A1030" t="s">
        <v>6640</v>
      </c>
      <c r="B1030" t="s">
        <v>6639</v>
      </c>
      <c r="C1030">
        <v>19632</v>
      </c>
      <c r="D1030" s="807">
        <v>2</v>
      </c>
    </row>
    <row r="1031" spans="1:4">
      <c r="A1031" t="s">
        <v>4717</v>
      </c>
      <c r="B1031" t="s">
        <v>5231</v>
      </c>
      <c r="C1031">
        <v>3229</v>
      </c>
      <c r="D1031" s="807">
        <v>3.65</v>
      </c>
    </row>
    <row r="1032" spans="1:4">
      <c r="A1032" t="s">
        <v>427</v>
      </c>
      <c r="B1032" t="s">
        <v>8650</v>
      </c>
      <c r="C1032">
        <v>18993</v>
      </c>
      <c r="D1032" s="807">
        <v>3.5</v>
      </c>
    </row>
    <row r="1033" spans="1:4">
      <c r="A1033" t="s">
        <v>3690</v>
      </c>
      <c r="B1033" t="s">
        <v>3573</v>
      </c>
      <c r="C1033">
        <v>3141</v>
      </c>
      <c r="D1033" s="807">
        <v>3.13</v>
      </c>
    </row>
    <row r="1034" spans="1:4">
      <c r="A1034" t="s">
        <v>71</v>
      </c>
      <c r="B1034" t="s">
        <v>3574</v>
      </c>
      <c r="C1034">
        <v>2337</v>
      </c>
      <c r="D1034" s="807">
        <v>3.15</v>
      </c>
    </row>
    <row r="1035" spans="1:4">
      <c r="A1035" t="s">
        <v>1979</v>
      </c>
      <c r="B1035" t="s">
        <v>3575</v>
      </c>
      <c r="C1035">
        <v>3164</v>
      </c>
      <c r="D1035" s="807">
        <v>3.94</v>
      </c>
    </row>
    <row r="1036" spans="1:4">
      <c r="A1036" t="s">
        <v>6454</v>
      </c>
      <c r="B1036" t="s">
        <v>2300</v>
      </c>
      <c r="C1036">
        <v>3390</v>
      </c>
      <c r="D1036" s="807">
        <v>2.6</v>
      </c>
    </row>
    <row r="1037" spans="1:4">
      <c r="A1037" t="s">
        <v>2950</v>
      </c>
      <c r="B1037" t="s">
        <v>5232</v>
      </c>
      <c r="C1037">
        <v>3267</v>
      </c>
      <c r="D1037" s="807">
        <v>4.34</v>
      </c>
    </row>
    <row r="1038" spans="1:4">
      <c r="A1038" t="s">
        <v>3305</v>
      </c>
      <c r="B1038" t="s">
        <v>3576</v>
      </c>
      <c r="C1038">
        <v>13101</v>
      </c>
      <c r="D1038" s="807">
        <v>3.59</v>
      </c>
    </row>
    <row r="1039" spans="1:4">
      <c r="A1039" t="s">
        <v>160</v>
      </c>
      <c r="B1039" t="s">
        <v>3606</v>
      </c>
      <c r="C1039">
        <v>3362</v>
      </c>
      <c r="D1039" s="807">
        <v>3.21</v>
      </c>
    </row>
    <row r="1040" spans="1:4">
      <c r="A1040" t="s">
        <v>3505</v>
      </c>
      <c r="B1040" t="s">
        <v>5233</v>
      </c>
      <c r="C1040">
        <v>3270</v>
      </c>
      <c r="D1040" s="807">
        <v>3.85</v>
      </c>
    </row>
    <row r="1041" spans="1:4">
      <c r="A1041" t="s">
        <v>3350</v>
      </c>
      <c r="B1041" t="s">
        <v>3607</v>
      </c>
      <c r="C1041">
        <v>2561</v>
      </c>
      <c r="D1041" s="807">
        <v>3.69</v>
      </c>
    </row>
    <row r="1042" spans="1:4">
      <c r="A1042" t="s">
        <v>4364</v>
      </c>
      <c r="B1042" t="s">
        <v>3608</v>
      </c>
      <c r="C1042">
        <v>2559</v>
      </c>
      <c r="D1042" s="807">
        <v>3.96</v>
      </c>
    </row>
    <row r="1043" spans="1:4">
      <c r="A1043" t="s">
        <v>2016</v>
      </c>
      <c r="B1043" t="s">
        <v>3609</v>
      </c>
      <c r="C1043">
        <v>2560</v>
      </c>
      <c r="D1043" s="807">
        <v>4.24</v>
      </c>
    </row>
    <row r="1044" spans="1:4">
      <c r="A1044" t="s">
        <v>3324</v>
      </c>
      <c r="B1044" t="s">
        <v>2937</v>
      </c>
      <c r="C1044">
        <v>13106</v>
      </c>
      <c r="D1044" s="807">
        <v>4.0999999999999996</v>
      </c>
    </row>
    <row r="1045" spans="1:4">
      <c r="A1045" t="s">
        <v>5526</v>
      </c>
      <c r="B1045" t="s">
        <v>5527</v>
      </c>
      <c r="C1045">
        <v>13108</v>
      </c>
      <c r="D1045" s="807">
        <v>3.42</v>
      </c>
    </row>
    <row r="1046" spans="1:4">
      <c r="A1046" t="s">
        <v>1879</v>
      </c>
      <c r="B1046" t="s">
        <v>1880</v>
      </c>
      <c r="C1046">
        <v>19140</v>
      </c>
      <c r="D1046" s="807">
        <v>4.08</v>
      </c>
    </row>
    <row r="1047" spans="1:4">
      <c r="A1047" t="s">
        <v>4973</v>
      </c>
      <c r="B1047" t="s">
        <v>8651</v>
      </c>
      <c r="C1047">
        <v>13119</v>
      </c>
      <c r="D1047" s="807">
        <v>3.2</v>
      </c>
    </row>
    <row r="1048" spans="1:4">
      <c r="A1048" t="s">
        <v>6456</v>
      </c>
      <c r="B1048" t="s">
        <v>6455</v>
      </c>
      <c r="C1048">
        <v>13121</v>
      </c>
      <c r="D1048" s="807">
        <v>2.2999999999999998</v>
      </c>
    </row>
    <row r="1049" spans="1:4">
      <c r="A1049" t="s">
        <v>6769</v>
      </c>
      <c r="B1049" t="s">
        <v>8652</v>
      </c>
      <c r="C1049">
        <v>6799</v>
      </c>
      <c r="D1049" s="807">
        <v>2.1</v>
      </c>
    </row>
    <row r="1050" spans="1:4">
      <c r="A1050" t="s">
        <v>6458</v>
      </c>
      <c r="B1050" t="s">
        <v>6457</v>
      </c>
      <c r="C1050">
        <v>13125</v>
      </c>
      <c r="D1050" s="807">
        <v>2</v>
      </c>
    </row>
    <row r="1051" spans="1:4">
      <c r="A1051" t="s">
        <v>1047</v>
      </c>
      <c r="B1051" t="s">
        <v>4831</v>
      </c>
      <c r="C1051">
        <v>2969</v>
      </c>
      <c r="D1051" s="807">
        <v>2.76</v>
      </c>
    </row>
    <row r="1052" spans="1:4">
      <c r="A1052" t="s">
        <v>6239</v>
      </c>
      <c r="B1052" t="s">
        <v>6238</v>
      </c>
      <c r="C1052">
        <v>13132</v>
      </c>
      <c r="D1052" s="807">
        <v>3.8</v>
      </c>
    </row>
    <row r="1053" spans="1:4">
      <c r="A1053" t="s">
        <v>6429</v>
      </c>
      <c r="B1053" t="s">
        <v>6428</v>
      </c>
      <c r="C1053">
        <v>14482</v>
      </c>
      <c r="D1053" s="807">
        <v>3.9</v>
      </c>
    </row>
    <row r="1054" spans="1:4">
      <c r="A1054" t="s">
        <v>2046</v>
      </c>
      <c r="B1054" t="s">
        <v>5415</v>
      </c>
      <c r="C1054">
        <v>2779</v>
      </c>
      <c r="D1054" s="807">
        <v>1</v>
      </c>
    </row>
    <row r="1055" spans="1:4">
      <c r="A1055" t="s">
        <v>6461</v>
      </c>
      <c r="B1055" t="s">
        <v>5416</v>
      </c>
      <c r="C1055">
        <v>2778</v>
      </c>
      <c r="D1055" s="807">
        <v>1</v>
      </c>
    </row>
    <row r="1056" spans="1:4">
      <c r="A1056" t="s">
        <v>6462</v>
      </c>
      <c r="B1056" t="s">
        <v>5417</v>
      </c>
      <c r="C1056">
        <v>18544</v>
      </c>
      <c r="D1056" s="807">
        <v>1</v>
      </c>
    </row>
    <row r="1057" spans="1:4">
      <c r="A1057" t="s">
        <v>5049</v>
      </c>
      <c r="B1057" t="s">
        <v>3577</v>
      </c>
      <c r="C1057">
        <v>2366</v>
      </c>
      <c r="D1057" s="807">
        <v>3.58</v>
      </c>
    </row>
    <row r="1058" spans="1:4">
      <c r="A1058" t="s">
        <v>121</v>
      </c>
      <c r="B1058" t="s">
        <v>3578</v>
      </c>
      <c r="C1058">
        <v>3171</v>
      </c>
      <c r="D1058" s="807">
        <v>3.54</v>
      </c>
    </row>
    <row r="1059" spans="1:4">
      <c r="A1059" t="s">
        <v>693</v>
      </c>
      <c r="B1059" t="s">
        <v>3579</v>
      </c>
      <c r="C1059">
        <v>18953</v>
      </c>
      <c r="D1059" s="807">
        <v>3.47</v>
      </c>
    </row>
    <row r="1060" spans="1:4">
      <c r="A1060" t="s">
        <v>2445</v>
      </c>
      <c r="B1060" t="s">
        <v>3580</v>
      </c>
      <c r="C1060">
        <v>13164</v>
      </c>
      <c r="D1060" s="807">
        <v>3.56</v>
      </c>
    </row>
    <row r="1061" spans="1:4">
      <c r="A1061" t="s">
        <v>2131</v>
      </c>
      <c r="B1061" t="s">
        <v>3837</v>
      </c>
      <c r="C1061">
        <v>13166</v>
      </c>
      <c r="D1061" s="807">
        <v>4.21</v>
      </c>
    </row>
    <row r="1062" spans="1:4">
      <c r="A1062" t="s">
        <v>691</v>
      </c>
      <c r="B1062" t="s">
        <v>3838</v>
      </c>
      <c r="C1062">
        <v>13167</v>
      </c>
      <c r="D1062" s="807">
        <v>3.43</v>
      </c>
    </row>
    <row r="1063" spans="1:4">
      <c r="A1063" t="s">
        <v>1250</v>
      </c>
      <c r="B1063" t="s">
        <v>4750</v>
      </c>
      <c r="C1063">
        <v>13168</v>
      </c>
      <c r="D1063" s="807">
        <v>3.79</v>
      </c>
    </row>
    <row r="1064" spans="1:4">
      <c r="A1064" t="s">
        <v>4277</v>
      </c>
      <c r="B1064" t="s">
        <v>6710</v>
      </c>
      <c r="C1064">
        <v>13169</v>
      </c>
      <c r="D1064" s="807">
        <v>3.5</v>
      </c>
    </row>
    <row r="1065" spans="1:4">
      <c r="A1065" t="s">
        <v>4178</v>
      </c>
      <c r="B1065" t="s">
        <v>4751</v>
      </c>
      <c r="C1065">
        <v>13170</v>
      </c>
      <c r="D1065" s="807">
        <v>3.32</v>
      </c>
    </row>
    <row r="1066" spans="1:4">
      <c r="A1066" t="s">
        <v>2537</v>
      </c>
      <c r="B1066" t="s">
        <v>4752</v>
      </c>
      <c r="C1066">
        <v>18909</v>
      </c>
      <c r="D1066" s="807">
        <v>3.39</v>
      </c>
    </row>
    <row r="1067" spans="1:4">
      <c r="A1067" t="s">
        <v>2449</v>
      </c>
      <c r="B1067" t="s">
        <v>4753</v>
      </c>
      <c r="C1067">
        <v>18911</v>
      </c>
      <c r="D1067" s="807">
        <v>3.67</v>
      </c>
    </row>
    <row r="1068" spans="1:4">
      <c r="A1068" s="771" t="s">
        <v>9196</v>
      </c>
      <c r="B1068" s="403" t="s">
        <v>8933</v>
      </c>
      <c r="C1068" s="403">
        <v>13178</v>
      </c>
      <c r="D1068" s="807">
        <v>3.03</v>
      </c>
    </row>
    <row r="1069" spans="1:4">
      <c r="A1069" t="s">
        <v>3471</v>
      </c>
      <c r="B1069" t="s">
        <v>2356</v>
      </c>
      <c r="C1069">
        <v>13179</v>
      </c>
      <c r="D1069" s="807">
        <v>3.03</v>
      </c>
    </row>
    <row r="1070" spans="1:4">
      <c r="A1070" t="s">
        <v>1157</v>
      </c>
      <c r="B1070" t="s">
        <v>2357</v>
      </c>
      <c r="C1070">
        <v>2160</v>
      </c>
      <c r="D1070" s="807">
        <v>3.79</v>
      </c>
    </row>
    <row r="1071" spans="1:4">
      <c r="A1071" t="s">
        <v>4387</v>
      </c>
      <c r="B1071" t="s">
        <v>2358</v>
      </c>
      <c r="C1071">
        <v>2962</v>
      </c>
      <c r="D1071" s="807">
        <v>2.57</v>
      </c>
    </row>
    <row r="1072" spans="1:4">
      <c r="A1072" t="s">
        <v>932</v>
      </c>
      <c r="B1072" t="s">
        <v>2359</v>
      </c>
      <c r="C1072">
        <v>2961</v>
      </c>
      <c r="D1072" s="807">
        <v>3.31</v>
      </c>
    </row>
    <row r="1073" spans="1:4">
      <c r="A1073" t="s">
        <v>6582</v>
      </c>
      <c r="B1073" t="s">
        <v>6581</v>
      </c>
      <c r="C1073">
        <v>6815</v>
      </c>
      <c r="D1073" s="807">
        <v>2</v>
      </c>
    </row>
    <row r="1074" spans="1:4">
      <c r="A1074" t="s">
        <v>3284</v>
      </c>
      <c r="B1074" t="s">
        <v>2994</v>
      </c>
      <c r="C1074">
        <v>2322</v>
      </c>
      <c r="D1074" s="807">
        <v>4.5</v>
      </c>
    </row>
    <row r="1075" spans="1:4">
      <c r="A1075" t="s">
        <v>1964</v>
      </c>
      <c r="B1075" t="s">
        <v>1965</v>
      </c>
      <c r="C1075">
        <v>13193</v>
      </c>
      <c r="D1075" s="807">
        <v>3.49</v>
      </c>
    </row>
    <row r="1076" spans="1:4">
      <c r="A1076" t="s">
        <v>167</v>
      </c>
      <c r="B1076" t="s">
        <v>3610</v>
      </c>
      <c r="C1076">
        <v>3360</v>
      </c>
      <c r="D1076" s="807">
        <v>3.24</v>
      </c>
    </row>
    <row r="1077" spans="1:4">
      <c r="A1077" t="s">
        <v>5008</v>
      </c>
      <c r="B1077" t="s">
        <v>1213</v>
      </c>
      <c r="C1077">
        <v>2548</v>
      </c>
      <c r="D1077" s="807">
        <v>3.22</v>
      </c>
    </row>
    <row r="1078" spans="1:4">
      <c r="A1078" t="s">
        <v>4626</v>
      </c>
      <c r="B1078" t="s">
        <v>1214</v>
      </c>
      <c r="C1078">
        <v>3361</v>
      </c>
      <c r="D1078" s="807">
        <v>3.29</v>
      </c>
    </row>
    <row r="1079" spans="1:4">
      <c r="A1079" t="s">
        <v>6450</v>
      </c>
      <c r="B1079" t="s">
        <v>6449</v>
      </c>
      <c r="C1079">
        <v>2104</v>
      </c>
      <c r="D1079" s="807">
        <v>3</v>
      </c>
    </row>
    <row r="1080" spans="1:4">
      <c r="A1080" t="s">
        <v>6464</v>
      </c>
      <c r="B1080" t="s">
        <v>6463</v>
      </c>
      <c r="C1080">
        <v>13199</v>
      </c>
      <c r="D1080" s="807">
        <v>3.1</v>
      </c>
    </row>
    <row r="1081" spans="1:4">
      <c r="A1081" t="s">
        <v>921</v>
      </c>
      <c r="B1081" t="s">
        <v>5319</v>
      </c>
      <c r="C1081">
        <v>3616</v>
      </c>
      <c r="D1081" s="807">
        <v>2.2999999999999998</v>
      </c>
    </row>
    <row r="1082" spans="1:4">
      <c r="A1082" t="s">
        <v>8318</v>
      </c>
      <c r="B1082" t="s">
        <v>8319</v>
      </c>
      <c r="C1082">
        <v>19305</v>
      </c>
      <c r="D1082" s="807">
        <v>3.4</v>
      </c>
    </row>
    <row r="1083" spans="1:4">
      <c r="A1083" t="s">
        <v>2590</v>
      </c>
      <c r="B1083" t="s">
        <v>5132</v>
      </c>
      <c r="C1083">
        <v>18570</v>
      </c>
      <c r="D1083" s="807">
        <v>2.2999999999999998</v>
      </c>
    </row>
    <row r="1084" spans="1:4">
      <c r="A1084" t="s">
        <v>2476</v>
      </c>
      <c r="B1084" t="s">
        <v>5133</v>
      </c>
      <c r="C1084">
        <v>2641</v>
      </c>
      <c r="D1084" s="807">
        <v>2.2999999999999998</v>
      </c>
    </row>
    <row r="1085" spans="1:4">
      <c r="A1085" t="s">
        <v>1460</v>
      </c>
      <c r="B1085" t="s">
        <v>2665</v>
      </c>
      <c r="C1085">
        <v>3471</v>
      </c>
      <c r="D1085" s="807">
        <v>2.2999999999999998</v>
      </c>
    </row>
    <row r="1086" spans="1:4">
      <c r="A1086" t="s">
        <v>5489</v>
      </c>
      <c r="B1086" t="s">
        <v>5490</v>
      </c>
      <c r="C1086">
        <v>3470</v>
      </c>
      <c r="D1086" s="807">
        <v>2</v>
      </c>
    </row>
    <row r="1087" spans="1:4">
      <c r="A1087" t="s">
        <v>2291</v>
      </c>
      <c r="B1087" t="s">
        <v>5134</v>
      </c>
      <c r="C1087">
        <v>3469</v>
      </c>
      <c r="D1087" s="807">
        <v>2.2999999999999998</v>
      </c>
    </row>
    <row r="1088" spans="1:4">
      <c r="A1088" t="s">
        <v>2477</v>
      </c>
      <c r="B1088" t="s">
        <v>5059</v>
      </c>
      <c r="C1088">
        <v>2391</v>
      </c>
      <c r="D1088" s="807">
        <v>2.92</v>
      </c>
    </row>
    <row r="1089" spans="1:4">
      <c r="A1089" t="s">
        <v>2121</v>
      </c>
      <c r="B1089" t="s">
        <v>4354</v>
      </c>
      <c r="C1089">
        <v>2392</v>
      </c>
      <c r="D1089" s="807">
        <v>3.42</v>
      </c>
    </row>
    <row r="1090" spans="1:4">
      <c r="A1090" t="s">
        <v>1222</v>
      </c>
      <c r="B1090" t="s">
        <v>4355</v>
      </c>
      <c r="C1090">
        <v>2390</v>
      </c>
      <c r="D1090" s="807">
        <v>3.24</v>
      </c>
    </row>
    <row r="1091" spans="1:4">
      <c r="A1091" t="s">
        <v>4234</v>
      </c>
      <c r="B1091" t="s">
        <v>8653</v>
      </c>
      <c r="C1091">
        <v>19044</v>
      </c>
      <c r="D1091" s="807">
        <v>4.2</v>
      </c>
    </row>
    <row r="1092" spans="1:4">
      <c r="A1092" t="s">
        <v>1527</v>
      </c>
      <c r="B1092" t="s">
        <v>374</v>
      </c>
      <c r="C1092">
        <v>3499</v>
      </c>
      <c r="D1092" s="807">
        <v>2.1</v>
      </c>
    </row>
    <row r="1093" spans="1:4">
      <c r="A1093" t="s">
        <v>3161</v>
      </c>
      <c r="B1093" t="s">
        <v>375</v>
      </c>
      <c r="C1093">
        <v>2660</v>
      </c>
      <c r="D1093" s="807">
        <v>2.1</v>
      </c>
    </row>
    <row r="1094" spans="1:4">
      <c r="A1094" t="s">
        <v>6196</v>
      </c>
      <c r="B1094" t="s">
        <v>6195</v>
      </c>
      <c r="C1094">
        <v>19844</v>
      </c>
      <c r="D1094" s="807">
        <v>2.6</v>
      </c>
    </row>
    <row r="1095" spans="1:4">
      <c r="A1095" t="s">
        <v>3533</v>
      </c>
      <c r="B1095" t="s">
        <v>4356</v>
      </c>
      <c r="C1095">
        <v>3055</v>
      </c>
      <c r="D1095" s="807">
        <v>2.46</v>
      </c>
    </row>
    <row r="1096" spans="1:4">
      <c r="A1096" t="s">
        <v>4572</v>
      </c>
      <c r="B1096" t="s">
        <v>4357</v>
      </c>
      <c r="C1096">
        <v>18864</v>
      </c>
      <c r="D1096" s="807">
        <v>2.56</v>
      </c>
    </row>
    <row r="1097" spans="1:4">
      <c r="A1097" t="s">
        <v>4275</v>
      </c>
      <c r="B1097" t="s">
        <v>8320</v>
      </c>
      <c r="C1097">
        <v>3054</v>
      </c>
      <c r="D1097" s="807">
        <v>2.2999999999999998</v>
      </c>
    </row>
    <row r="1098" spans="1:4">
      <c r="A1098" t="s">
        <v>3537</v>
      </c>
      <c r="B1098" t="s">
        <v>2065</v>
      </c>
      <c r="C1098">
        <v>2261</v>
      </c>
      <c r="D1098" s="807">
        <v>3.04</v>
      </c>
    </row>
    <row r="1099" spans="1:4">
      <c r="A1099" t="s">
        <v>6782</v>
      </c>
      <c r="B1099" t="s">
        <v>8654</v>
      </c>
      <c r="C1099">
        <v>2661</v>
      </c>
      <c r="D1099" s="807">
        <v>2</v>
      </c>
    </row>
    <row r="1100" spans="1:4">
      <c r="A1100" t="s">
        <v>6553</v>
      </c>
      <c r="B1100" t="s">
        <v>6552</v>
      </c>
      <c r="C1100">
        <v>19100</v>
      </c>
      <c r="D1100" s="807">
        <v>2</v>
      </c>
    </row>
    <row r="1101" spans="1:4">
      <c r="A1101" t="s">
        <v>5219</v>
      </c>
      <c r="B1101" t="s">
        <v>2239</v>
      </c>
      <c r="C1101">
        <v>13233</v>
      </c>
      <c r="D1101" s="807">
        <v>4.04</v>
      </c>
    </row>
    <row r="1102" spans="1:4">
      <c r="A1102" t="s">
        <v>2126</v>
      </c>
      <c r="B1102" t="s">
        <v>4459</v>
      </c>
      <c r="C1102">
        <v>3575</v>
      </c>
      <c r="D1102" s="807">
        <v>3.2</v>
      </c>
    </row>
    <row r="1103" spans="1:4">
      <c r="A1103" t="s">
        <v>6427</v>
      </c>
      <c r="B1103" t="s">
        <v>6426</v>
      </c>
      <c r="C1103">
        <v>17020</v>
      </c>
      <c r="D1103" s="807">
        <v>2</v>
      </c>
    </row>
    <row r="1104" spans="1:4">
      <c r="A1104" t="s">
        <v>5433</v>
      </c>
      <c r="B1104" t="s">
        <v>5174</v>
      </c>
      <c r="C1104">
        <v>17029</v>
      </c>
      <c r="D1104" s="807">
        <v>3.5</v>
      </c>
    </row>
    <row r="1105" spans="1:4">
      <c r="A1105" t="s">
        <v>3484</v>
      </c>
      <c r="B1105" t="s">
        <v>5175</v>
      </c>
      <c r="C1105">
        <v>2713</v>
      </c>
      <c r="D1105" s="807">
        <v>3.2</v>
      </c>
    </row>
    <row r="1106" spans="1:4">
      <c r="A1106" t="s">
        <v>4092</v>
      </c>
      <c r="B1106" t="s">
        <v>5176</v>
      </c>
      <c r="C1106">
        <v>17033</v>
      </c>
      <c r="D1106" s="807">
        <v>3.88</v>
      </c>
    </row>
    <row r="1107" spans="1:4">
      <c r="A1107" t="s">
        <v>3538</v>
      </c>
      <c r="B1107" t="s">
        <v>3539</v>
      </c>
      <c r="C1107">
        <v>2714</v>
      </c>
      <c r="D1107" s="807">
        <v>3.51</v>
      </c>
    </row>
    <row r="1108" spans="1:4">
      <c r="A1108" t="s">
        <v>2815</v>
      </c>
      <c r="B1108" t="s">
        <v>6467</v>
      </c>
      <c r="C1108">
        <v>2715</v>
      </c>
      <c r="D1108" s="807">
        <v>3.2</v>
      </c>
    </row>
    <row r="1109" spans="1:4">
      <c r="A1109" t="s">
        <v>948</v>
      </c>
      <c r="B1109" t="s">
        <v>4880</v>
      </c>
      <c r="C1109">
        <v>2712</v>
      </c>
      <c r="D1109" s="807">
        <v>3.5</v>
      </c>
    </row>
    <row r="1110" spans="1:4">
      <c r="A1110" t="s">
        <v>6374</v>
      </c>
      <c r="B1110" t="s">
        <v>6373</v>
      </c>
      <c r="C1110">
        <v>17019</v>
      </c>
      <c r="D1110" s="807">
        <v>2</v>
      </c>
    </row>
    <row r="1111" spans="1:4">
      <c r="A1111" t="s">
        <v>5127</v>
      </c>
      <c r="B1111" t="s">
        <v>2240</v>
      </c>
      <c r="C1111">
        <v>2570</v>
      </c>
      <c r="D1111" s="807">
        <v>4.43</v>
      </c>
    </row>
    <row r="1112" spans="1:4">
      <c r="A1112" t="s">
        <v>6201</v>
      </c>
      <c r="B1112" t="s">
        <v>6200</v>
      </c>
      <c r="C1112">
        <v>19543</v>
      </c>
      <c r="D1112" s="807">
        <v>3.3</v>
      </c>
    </row>
    <row r="1113" spans="1:4">
      <c r="A1113" t="s">
        <v>6479</v>
      </c>
      <c r="B1113" t="s">
        <v>6478</v>
      </c>
      <c r="C1113">
        <v>13243</v>
      </c>
      <c r="D1113" s="807">
        <v>4</v>
      </c>
    </row>
    <row r="1114" spans="1:4">
      <c r="A1114" t="s">
        <v>4487</v>
      </c>
      <c r="B1114" t="s">
        <v>2241</v>
      </c>
      <c r="C1114">
        <v>3380</v>
      </c>
      <c r="D1114" s="807">
        <v>4.5</v>
      </c>
    </row>
    <row r="1115" spans="1:4">
      <c r="A1115" t="s">
        <v>117</v>
      </c>
      <c r="B1115" t="s">
        <v>3437</v>
      </c>
      <c r="C1115">
        <v>2571</v>
      </c>
      <c r="D1115" s="807">
        <v>4.4800000000000004</v>
      </c>
    </row>
    <row r="1116" spans="1:4">
      <c r="A1116" t="s">
        <v>3567</v>
      </c>
      <c r="B1116" t="s">
        <v>3568</v>
      </c>
      <c r="C1116">
        <v>19058</v>
      </c>
      <c r="D1116" s="807">
        <v>4.5</v>
      </c>
    </row>
    <row r="1117" spans="1:4">
      <c r="A1117" t="s">
        <v>940</v>
      </c>
      <c r="B1117" t="s">
        <v>3438</v>
      </c>
      <c r="C1117">
        <v>3379</v>
      </c>
      <c r="D1117" s="807">
        <v>4.45</v>
      </c>
    </row>
    <row r="1118" spans="1:4">
      <c r="A1118" t="s">
        <v>1942</v>
      </c>
      <c r="B1118" t="s">
        <v>1943</v>
      </c>
      <c r="C1118">
        <v>3378</v>
      </c>
      <c r="D1118" s="807">
        <v>4.4800000000000004</v>
      </c>
    </row>
    <row r="1119" spans="1:4">
      <c r="A1119" t="s">
        <v>473</v>
      </c>
      <c r="B1119" t="s">
        <v>1071</v>
      </c>
      <c r="C1119">
        <v>3381</v>
      </c>
      <c r="D1119" s="807">
        <v>4.5</v>
      </c>
    </row>
    <row r="1120" spans="1:4">
      <c r="A1120" t="s">
        <v>1227</v>
      </c>
      <c r="B1120" t="s">
        <v>1072</v>
      </c>
      <c r="C1120">
        <v>2572</v>
      </c>
      <c r="D1120" s="807">
        <v>4.46</v>
      </c>
    </row>
    <row r="1121" spans="1:4">
      <c r="A1121" t="s">
        <v>1528</v>
      </c>
      <c r="B1121" t="s">
        <v>1073</v>
      </c>
      <c r="C1121">
        <v>2302</v>
      </c>
      <c r="D1121" s="807">
        <v>3.45</v>
      </c>
    </row>
    <row r="1122" spans="1:4">
      <c r="A1122" t="s">
        <v>6481</v>
      </c>
      <c r="B1122" t="s">
        <v>6480</v>
      </c>
      <c r="C1122">
        <v>13251</v>
      </c>
      <c r="D1122" s="807">
        <v>2</v>
      </c>
    </row>
    <row r="1123" spans="1:4">
      <c r="A1123" t="s">
        <v>2546</v>
      </c>
      <c r="B1123" t="s">
        <v>314</v>
      </c>
      <c r="C1123">
        <v>3012</v>
      </c>
      <c r="D1123" s="807">
        <v>4.03</v>
      </c>
    </row>
    <row r="1124" spans="1:4">
      <c r="A1124" t="s">
        <v>602</v>
      </c>
      <c r="B1124" t="s">
        <v>3518</v>
      </c>
      <c r="C1124">
        <v>3621</v>
      </c>
      <c r="D1124" s="807">
        <v>2.2999999999999998</v>
      </c>
    </row>
    <row r="1125" spans="1:4">
      <c r="A1125" t="s">
        <v>8655</v>
      </c>
      <c r="B1125" t="s">
        <v>8656</v>
      </c>
      <c r="C1125">
        <v>2077</v>
      </c>
      <c r="D1125" s="807">
        <v>3.11</v>
      </c>
    </row>
    <row r="1126" spans="1:4">
      <c r="A1126" t="s">
        <v>4001</v>
      </c>
      <c r="B1126" t="s">
        <v>8657</v>
      </c>
      <c r="C1126">
        <v>10727</v>
      </c>
      <c r="D1126" s="807">
        <v>2.8</v>
      </c>
    </row>
    <row r="1127" spans="1:4">
      <c r="A1127" t="s">
        <v>6565</v>
      </c>
      <c r="B1127" t="s">
        <v>6564</v>
      </c>
      <c r="C1127">
        <v>13265</v>
      </c>
      <c r="D1127" s="807">
        <v>4.3</v>
      </c>
    </row>
    <row r="1128" spans="1:4">
      <c r="A1128" t="s">
        <v>3521</v>
      </c>
      <c r="B1128" t="s">
        <v>2066</v>
      </c>
      <c r="C1128">
        <v>3133</v>
      </c>
      <c r="D1128" s="807">
        <v>3.97</v>
      </c>
    </row>
    <row r="1129" spans="1:4">
      <c r="A1129" t="s">
        <v>1948</v>
      </c>
      <c r="B1129" t="s">
        <v>1949</v>
      </c>
      <c r="C1129">
        <v>13275</v>
      </c>
      <c r="D1129" s="807">
        <v>3.86</v>
      </c>
    </row>
    <row r="1130" spans="1:4">
      <c r="A1130" t="s">
        <v>527</v>
      </c>
      <c r="B1130" t="s">
        <v>2486</v>
      </c>
      <c r="C1130">
        <v>3134</v>
      </c>
      <c r="D1130" s="807">
        <v>3.58</v>
      </c>
    </row>
    <row r="1131" spans="1:4">
      <c r="A1131" t="s">
        <v>183</v>
      </c>
      <c r="B1131" t="s">
        <v>2487</v>
      </c>
      <c r="C1131">
        <v>3135</v>
      </c>
      <c r="D1131" s="807">
        <v>4.04</v>
      </c>
    </row>
    <row r="1132" spans="1:4">
      <c r="A1132" t="s">
        <v>3522</v>
      </c>
      <c r="B1132" t="s">
        <v>2488</v>
      </c>
      <c r="C1132">
        <v>13278</v>
      </c>
      <c r="D1132" s="807">
        <v>4.1100000000000003</v>
      </c>
    </row>
    <row r="1133" spans="1:4">
      <c r="A1133" t="s">
        <v>6265</v>
      </c>
      <c r="B1133" t="s">
        <v>6264</v>
      </c>
      <c r="C1133">
        <v>13279</v>
      </c>
      <c r="D1133" s="807">
        <v>2</v>
      </c>
    </row>
    <row r="1134" spans="1:4">
      <c r="A1134" t="s">
        <v>2097</v>
      </c>
      <c r="B1134" t="s">
        <v>1696</v>
      </c>
      <c r="C1134">
        <v>3136</v>
      </c>
      <c r="D1134" s="807">
        <v>4.01</v>
      </c>
    </row>
    <row r="1135" spans="1:4">
      <c r="A1135" t="s">
        <v>4792</v>
      </c>
      <c r="B1135" t="s">
        <v>452</v>
      </c>
      <c r="C1135">
        <v>13281</v>
      </c>
      <c r="D1135" s="807">
        <v>4.22</v>
      </c>
    </row>
    <row r="1136" spans="1:4">
      <c r="A1136" t="s">
        <v>8658</v>
      </c>
      <c r="B1136" t="s">
        <v>8659</v>
      </c>
      <c r="C1136">
        <v>18871</v>
      </c>
      <c r="D1136" s="807">
        <v>4</v>
      </c>
    </row>
    <row r="1137" spans="1:4">
      <c r="A1137" t="s">
        <v>2209</v>
      </c>
      <c r="B1137" t="s">
        <v>4372</v>
      </c>
      <c r="C1137">
        <v>13287</v>
      </c>
      <c r="D1137" s="807">
        <v>3.62</v>
      </c>
    </row>
    <row r="1138" spans="1:4">
      <c r="A1138" t="s">
        <v>8660</v>
      </c>
      <c r="B1138" t="s">
        <v>8661</v>
      </c>
      <c r="C1138">
        <v>13288</v>
      </c>
      <c r="D1138" s="807">
        <v>4</v>
      </c>
    </row>
    <row r="1139" spans="1:4">
      <c r="A1139" t="s">
        <v>1325</v>
      </c>
      <c r="B1139" t="s">
        <v>2249</v>
      </c>
      <c r="C1139">
        <v>13289</v>
      </c>
      <c r="D1139" s="807">
        <v>4.25</v>
      </c>
    </row>
    <row r="1140" spans="1:4">
      <c r="A1140" t="s">
        <v>4739</v>
      </c>
      <c r="B1140" t="s">
        <v>4740</v>
      </c>
      <c r="C1140">
        <v>13290</v>
      </c>
      <c r="D1140" s="807">
        <v>3.94</v>
      </c>
    </row>
    <row r="1141" spans="1:4">
      <c r="A1141" t="s">
        <v>9024</v>
      </c>
      <c r="B1141" t="s">
        <v>9025</v>
      </c>
      <c r="C1141">
        <v>13291</v>
      </c>
      <c r="D1141" s="807">
        <v>4.4000000000000004</v>
      </c>
    </row>
    <row r="1142" spans="1:4">
      <c r="A1142" t="s">
        <v>4923</v>
      </c>
      <c r="B1142" t="s">
        <v>4373</v>
      </c>
      <c r="C1142">
        <v>13292</v>
      </c>
      <c r="D1142" s="807">
        <v>4.18</v>
      </c>
    </row>
    <row r="1143" spans="1:4">
      <c r="A1143" t="s">
        <v>229</v>
      </c>
      <c r="B1143" t="s">
        <v>134</v>
      </c>
      <c r="C1143">
        <v>18897</v>
      </c>
      <c r="D1143" s="807">
        <v>3.6</v>
      </c>
    </row>
    <row r="1144" spans="1:4">
      <c r="A1144" t="s">
        <v>4573</v>
      </c>
      <c r="B1144" t="s">
        <v>135</v>
      </c>
      <c r="C1144">
        <v>13295</v>
      </c>
      <c r="D1144" s="807">
        <v>4.46</v>
      </c>
    </row>
    <row r="1145" spans="1:4">
      <c r="A1145" t="s">
        <v>1583</v>
      </c>
      <c r="B1145" t="s">
        <v>1584</v>
      </c>
      <c r="C1145">
        <v>19091</v>
      </c>
      <c r="D1145" s="807">
        <v>4.0199999999999996</v>
      </c>
    </row>
    <row r="1146" spans="1:4">
      <c r="A1146" t="s">
        <v>2466</v>
      </c>
      <c r="B1146" t="s">
        <v>1302</v>
      </c>
      <c r="C1146">
        <v>2333</v>
      </c>
      <c r="D1146" s="807">
        <v>3.58</v>
      </c>
    </row>
    <row r="1147" spans="1:4">
      <c r="A1147" t="s">
        <v>233</v>
      </c>
      <c r="B1147" t="s">
        <v>1303</v>
      </c>
      <c r="C1147">
        <v>18946</v>
      </c>
      <c r="D1147" s="807">
        <v>3.57</v>
      </c>
    </row>
    <row r="1148" spans="1:4">
      <c r="A1148" t="s">
        <v>4248</v>
      </c>
      <c r="B1148" t="s">
        <v>8662</v>
      </c>
      <c r="C1148">
        <v>3137</v>
      </c>
      <c r="D1148" s="807">
        <v>4.0999999999999996</v>
      </c>
    </row>
    <row r="1149" spans="1:4">
      <c r="A1149" t="s">
        <v>8663</v>
      </c>
      <c r="B1149" t="s">
        <v>8664</v>
      </c>
      <c r="C1149">
        <v>13300</v>
      </c>
      <c r="D1149" s="807">
        <v>4.0999999999999996</v>
      </c>
    </row>
    <row r="1150" spans="1:4">
      <c r="A1150" t="s">
        <v>3705</v>
      </c>
      <c r="B1150" t="s">
        <v>5295</v>
      </c>
      <c r="C1150">
        <v>2332</v>
      </c>
      <c r="D1150" s="807">
        <v>4</v>
      </c>
    </row>
    <row r="1151" spans="1:4">
      <c r="A1151" t="s">
        <v>2458</v>
      </c>
      <c r="B1151" t="s">
        <v>5296</v>
      </c>
      <c r="C1151">
        <v>2334</v>
      </c>
      <c r="D1151" s="807">
        <v>3.82</v>
      </c>
    </row>
    <row r="1152" spans="1:4">
      <c r="A1152" t="s">
        <v>6288</v>
      </c>
      <c r="B1152" t="s">
        <v>6287</v>
      </c>
      <c r="C1152">
        <v>13301</v>
      </c>
      <c r="D1152" s="807">
        <v>4.0999999999999996</v>
      </c>
    </row>
    <row r="1153" spans="1:4">
      <c r="A1153" t="s">
        <v>3881</v>
      </c>
      <c r="B1153" t="s">
        <v>3882</v>
      </c>
      <c r="C1153">
        <v>13302</v>
      </c>
      <c r="D1153" s="807">
        <v>3.09</v>
      </c>
    </row>
    <row r="1154" spans="1:4">
      <c r="A1154" t="s">
        <v>8875</v>
      </c>
      <c r="B1154" t="s">
        <v>8876</v>
      </c>
      <c r="C1154">
        <v>13284</v>
      </c>
      <c r="D1154" s="807">
        <v>4.5</v>
      </c>
    </row>
    <row r="1155" spans="1:4">
      <c r="A1155" t="s">
        <v>28</v>
      </c>
      <c r="B1155" t="s">
        <v>240</v>
      </c>
      <c r="C1155">
        <v>2922</v>
      </c>
      <c r="D1155" s="807">
        <v>3.64</v>
      </c>
    </row>
    <row r="1156" spans="1:4">
      <c r="A1156" t="s">
        <v>4764</v>
      </c>
      <c r="B1156" t="s">
        <v>1174</v>
      </c>
      <c r="C1156">
        <v>3255</v>
      </c>
      <c r="D1156" s="807">
        <v>3.5</v>
      </c>
    </row>
    <row r="1157" spans="1:4">
      <c r="A1157" t="s">
        <v>4224</v>
      </c>
      <c r="B1157" t="s">
        <v>8665</v>
      </c>
      <c r="C1157">
        <v>2292</v>
      </c>
      <c r="D1157" s="807">
        <v>4.2</v>
      </c>
    </row>
    <row r="1158" spans="1:4">
      <c r="A1158" t="s">
        <v>4194</v>
      </c>
      <c r="B1158" t="s">
        <v>8666</v>
      </c>
      <c r="C1158">
        <v>2294</v>
      </c>
      <c r="D1158" s="807">
        <v>3.7</v>
      </c>
    </row>
    <row r="1159" spans="1:4">
      <c r="A1159" t="s">
        <v>4220</v>
      </c>
      <c r="B1159" t="s">
        <v>8667</v>
      </c>
      <c r="C1159">
        <v>16448</v>
      </c>
      <c r="D1159" s="807">
        <v>2.37</v>
      </c>
    </row>
    <row r="1160" spans="1:4">
      <c r="A1160" t="s">
        <v>4221</v>
      </c>
      <c r="B1160" t="s">
        <v>8668</v>
      </c>
      <c r="C1160">
        <v>3433</v>
      </c>
      <c r="D1160" s="807">
        <v>2.37</v>
      </c>
    </row>
    <row r="1161" spans="1:4">
      <c r="A1161" t="s">
        <v>3706</v>
      </c>
      <c r="B1161" t="s">
        <v>5140</v>
      </c>
      <c r="C1161">
        <v>16456</v>
      </c>
      <c r="D1161" s="807">
        <v>2.4112496163562103</v>
      </c>
    </row>
    <row r="1162" spans="1:4">
      <c r="A1162" t="s">
        <v>2609</v>
      </c>
      <c r="B1162" t="s">
        <v>5141</v>
      </c>
      <c r="C1162">
        <v>2608</v>
      </c>
      <c r="D1162" s="807">
        <v>2.2000000000000002</v>
      </c>
    </row>
    <row r="1163" spans="1:4">
      <c r="A1163" t="s">
        <v>2603</v>
      </c>
      <c r="B1163" t="s">
        <v>5142</v>
      </c>
      <c r="C1163">
        <v>3431</v>
      </c>
      <c r="D1163" s="807">
        <v>2.5</v>
      </c>
    </row>
    <row r="1164" spans="1:4">
      <c r="A1164" t="s">
        <v>2468</v>
      </c>
      <c r="B1164" t="s">
        <v>485</v>
      </c>
      <c r="C1164">
        <v>13329</v>
      </c>
      <c r="D1164" s="807">
        <v>3.7</v>
      </c>
    </row>
    <row r="1165" spans="1:4">
      <c r="A1165" t="s">
        <v>6760</v>
      </c>
      <c r="B1165" t="s">
        <v>8669</v>
      </c>
      <c r="C1165">
        <v>18545</v>
      </c>
      <c r="D1165" s="807">
        <v>1</v>
      </c>
    </row>
    <row r="1166" spans="1:4">
      <c r="A1166" t="s">
        <v>8670</v>
      </c>
      <c r="B1166" t="s">
        <v>5418</v>
      </c>
      <c r="C1166">
        <v>3631</v>
      </c>
      <c r="D1166" s="807">
        <v>1</v>
      </c>
    </row>
    <row r="1167" spans="1:4">
      <c r="A1167" t="s">
        <v>3415</v>
      </c>
      <c r="B1167" t="s">
        <v>3646</v>
      </c>
      <c r="C1167">
        <v>3156</v>
      </c>
      <c r="D1167" s="807">
        <v>3.9</v>
      </c>
    </row>
    <row r="1168" spans="1:4">
      <c r="A1168" t="s">
        <v>3990</v>
      </c>
      <c r="B1168" t="s">
        <v>1175</v>
      </c>
      <c r="C1168">
        <v>2246</v>
      </c>
      <c r="D1168" s="807">
        <v>3.47</v>
      </c>
    </row>
    <row r="1169" spans="1:4">
      <c r="A1169" t="s">
        <v>2863</v>
      </c>
      <c r="B1169" t="s">
        <v>2938</v>
      </c>
      <c r="C1169">
        <v>16070</v>
      </c>
      <c r="D1169" s="807">
        <v>3.59</v>
      </c>
    </row>
    <row r="1170" spans="1:4">
      <c r="A1170" t="s">
        <v>3992</v>
      </c>
      <c r="B1170" t="s">
        <v>2939</v>
      </c>
      <c r="C1170">
        <v>3034</v>
      </c>
      <c r="D1170" s="807">
        <v>4.4800000000000004</v>
      </c>
    </row>
    <row r="1171" spans="1:4">
      <c r="A1171" t="s">
        <v>8671</v>
      </c>
      <c r="B1171" t="s">
        <v>8672</v>
      </c>
      <c r="C1171">
        <v>19845</v>
      </c>
      <c r="D1171" s="807">
        <v>3.5</v>
      </c>
    </row>
    <row r="1172" spans="1:4">
      <c r="A1172" t="s">
        <v>4173</v>
      </c>
      <c r="B1172" t="s">
        <v>2940</v>
      </c>
      <c r="C1172">
        <v>13341</v>
      </c>
      <c r="D1172" s="807">
        <v>3.75</v>
      </c>
    </row>
    <row r="1173" spans="1:4">
      <c r="A1173" t="s">
        <v>3208</v>
      </c>
      <c r="B1173" t="s">
        <v>2941</v>
      </c>
      <c r="C1173">
        <v>13342</v>
      </c>
      <c r="D1173" s="807">
        <v>3.71</v>
      </c>
    </row>
    <row r="1174" spans="1:4">
      <c r="A1174" t="s">
        <v>3412</v>
      </c>
      <c r="B1174" t="s">
        <v>1919</v>
      </c>
      <c r="C1174">
        <v>2244</v>
      </c>
      <c r="D1174" s="807">
        <v>3.85</v>
      </c>
    </row>
    <row r="1175" spans="1:4">
      <c r="A1175" t="s">
        <v>2956</v>
      </c>
      <c r="B1175" t="s">
        <v>597</v>
      </c>
      <c r="C1175">
        <v>13343</v>
      </c>
      <c r="D1175" s="807">
        <v>3.47</v>
      </c>
    </row>
    <row r="1176" spans="1:4">
      <c r="A1176" t="s">
        <v>1890</v>
      </c>
      <c r="B1176" t="s">
        <v>1579</v>
      </c>
      <c r="C1176">
        <v>2458</v>
      </c>
      <c r="D1176" s="807">
        <v>3.42</v>
      </c>
    </row>
    <row r="1177" spans="1:4">
      <c r="A1177" t="s">
        <v>3423</v>
      </c>
      <c r="B1177" t="s">
        <v>598</v>
      </c>
      <c r="C1177">
        <v>2243</v>
      </c>
      <c r="D1177" s="807">
        <v>3.93</v>
      </c>
    </row>
    <row r="1178" spans="1:4">
      <c r="A1178" t="s">
        <v>3210</v>
      </c>
      <c r="B1178" t="s">
        <v>599</v>
      </c>
      <c r="C1178">
        <v>3033</v>
      </c>
      <c r="D1178" s="807">
        <v>4.47</v>
      </c>
    </row>
    <row r="1179" spans="1:4">
      <c r="A1179" t="s">
        <v>4260</v>
      </c>
      <c r="B1179" t="s">
        <v>8673</v>
      </c>
      <c r="C1179">
        <v>2695</v>
      </c>
      <c r="D1179" s="807">
        <v>2.1</v>
      </c>
    </row>
    <row r="1180" spans="1:4">
      <c r="A1180" t="s">
        <v>451</v>
      </c>
      <c r="B1180" t="s">
        <v>8674</v>
      </c>
      <c r="C1180">
        <v>3537</v>
      </c>
      <c r="D1180" s="807">
        <v>2.1</v>
      </c>
    </row>
    <row r="1181" spans="1:4">
      <c r="A1181" t="s">
        <v>6362</v>
      </c>
      <c r="B1181" t="s">
        <v>6361</v>
      </c>
      <c r="C1181">
        <v>13345</v>
      </c>
      <c r="D1181" s="807">
        <v>4.0999999999999996</v>
      </c>
    </row>
    <row r="1182" spans="1:4">
      <c r="A1182" t="s">
        <v>3365</v>
      </c>
      <c r="B1182" t="s">
        <v>2333</v>
      </c>
      <c r="C1182">
        <v>3476</v>
      </c>
      <c r="D1182" s="807">
        <v>2.2999999999999998</v>
      </c>
    </row>
    <row r="1183" spans="1:4">
      <c r="A1183" t="s">
        <v>3209</v>
      </c>
      <c r="B1183" t="s">
        <v>2410</v>
      </c>
      <c r="C1183">
        <v>2500</v>
      </c>
      <c r="D1183" s="807">
        <v>4.5</v>
      </c>
    </row>
    <row r="1184" spans="1:4">
      <c r="A1184" t="s">
        <v>3198</v>
      </c>
      <c r="B1184" t="s">
        <v>2411</v>
      </c>
      <c r="C1184">
        <v>3303</v>
      </c>
      <c r="D1184" s="807">
        <v>4.5</v>
      </c>
    </row>
    <row r="1185" spans="1:4">
      <c r="A1185" t="s">
        <v>9106</v>
      </c>
      <c r="B1185" t="s">
        <v>9107</v>
      </c>
      <c r="C1185">
        <v>20264</v>
      </c>
      <c r="D1185" s="807">
        <v>4.5</v>
      </c>
    </row>
    <row r="1186" spans="1:4">
      <c r="A1186" t="s">
        <v>6613</v>
      </c>
      <c r="B1186" t="s">
        <v>6612</v>
      </c>
      <c r="C1186">
        <v>19219</v>
      </c>
      <c r="D1186" s="807">
        <v>3.6</v>
      </c>
    </row>
    <row r="1187" spans="1:4">
      <c r="A1187" t="s">
        <v>2381</v>
      </c>
      <c r="B1187" t="s">
        <v>3724</v>
      </c>
      <c r="C1187">
        <v>2747</v>
      </c>
      <c r="D1187" s="807">
        <v>4.16</v>
      </c>
    </row>
    <row r="1188" spans="1:4">
      <c r="A1188" t="s">
        <v>8877</v>
      </c>
      <c r="B1188" t="s">
        <v>8878</v>
      </c>
      <c r="C1188">
        <v>10096</v>
      </c>
      <c r="D1188" s="807">
        <v>4.16</v>
      </c>
    </row>
    <row r="1189" spans="1:4">
      <c r="A1189" t="s">
        <v>6367</v>
      </c>
      <c r="B1189" t="s">
        <v>6366</v>
      </c>
      <c r="C1189">
        <v>13359</v>
      </c>
      <c r="D1189" s="807">
        <v>2.9</v>
      </c>
    </row>
    <row r="1190" spans="1:4">
      <c r="A1190" t="s">
        <v>3318</v>
      </c>
      <c r="B1190" t="s">
        <v>2995</v>
      </c>
      <c r="C1190">
        <v>2126</v>
      </c>
      <c r="D1190" s="807">
        <v>3.15</v>
      </c>
    </row>
    <row r="1191" spans="1:4">
      <c r="A1191" t="s">
        <v>2602</v>
      </c>
      <c r="B1191" t="s">
        <v>4353</v>
      </c>
      <c r="C1191">
        <v>3602</v>
      </c>
      <c r="D1191" s="807">
        <v>3.5</v>
      </c>
    </row>
    <row r="1192" spans="1:4">
      <c r="A1192" t="s">
        <v>5468</v>
      </c>
      <c r="B1192" t="s">
        <v>5469</v>
      </c>
      <c r="C1192">
        <v>13364</v>
      </c>
      <c r="D1192" s="807">
        <v>3.66</v>
      </c>
    </row>
    <row r="1193" spans="1:4">
      <c r="A1193" t="s">
        <v>6395</v>
      </c>
      <c r="B1193" t="s">
        <v>6394</v>
      </c>
      <c r="C1193">
        <v>13369</v>
      </c>
      <c r="D1193" s="807">
        <v>2</v>
      </c>
    </row>
    <row r="1194" spans="1:4">
      <c r="A1194" t="s">
        <v>3431</v>
      </c>
      <c r="B1194" t="s">
        <v>283</v>
      </c>
      <c r="C1194">
        <v>2723</v>
      </c>
      <c r="D1194" s="807">
        <v>4.3600000000000003</v>
      </c>
    </row>
    <row r="1195" spans="1:4">
      <c r="A1195" t="s">
        <v>8675</v>
      </c>
      <c r="B1195" t="s">
        <v>8676</v>
      </c>
      <c r="C1195">
        <v>19631</v>
      </c>
      <c r="D1195" s="807">
        <v>3.7</v>
      </c>
    </row>
    <row r="1196" spans="1:4">
      <c r="A1196" t="s">
        <v>4144</v>
      </c>
      <c r="B1196" t="s">
        <v>4145</v>
      </c>
      <c r="C1196">
        <v>19039</v>
      </c>
      <c r="D1196" s="807">
        <v>2.74</v>
      </c>
    </row>
    <row r="1197" spans="1:4">
      <c r="A1197" t="s">
        <v>963</v>
      </c>
      <c r="B1197" t="s">
        <v>1176</v>
      </c>
      <c r="C1197">
        <v>2138</v>
      </c>
      <c r="D1197" s="807">
        <v>3.01</v>
      </c>
    </row>
    <row r="1198" spans="1:4">
      <c r="A1198" t="s">
        <v>6495</v>
      </c>
      <c r="B1198" t="s">
        <v>6494</v>
      </c>
      <c r="C1198">
        <v>18448</v>
      </c>
      <c r="D1198" s="807">
        <v>2</v>
      </c>
    </row>
    <row r="1199" spans="1:4">
      <c r="A1199" t="s">
        <v>3020</v>
      </c>
      <c r="B1199" t="s">
        <v>2996</v>
      </c>
      <c r="C1199">
        <v>3123</v>
      </c>
      <c r="D1199" s="807">
        <v>4.3899999999999997</v>
      </c>
    </row>
    <row r="1200" spans="1:4">
      <c r="A1200" t="s">
        <v>2550</v>
      </c>
      <c r="B1200" t="s">
        <v>2360</v>
      </c>
      <c r="C1200">
        <v>2173</v>
      </c>
      <c r="D1200" s="807">
        <v>2.72</v>
      </c>
    </row>
    <row r="1201" spans="1:4">
      <c r="A1201" t="s">
        <v>2467</v>
      </c>
      <c r="B1201" t="s">
        <v>1511</v>
      </c>
      <c r="C1201">
        <v>2075</v>
      </c>
      <c r="D1201" s="807">
        <v>4.5</v>
      </c>
    </row>
    <row r="1202" spans="1:4">
      <c r="A1202" t="s">
        <v>5536</v>
      </c>
      <c r="B1202" t="s">
        <v>1512</v>
      </c>
      <c r="C1202">
        <v>2882</v>
      </c>
      <c r="D1202" s="807">
        <v>3.3</v>
      </c>
    </row>
    <row r="1203" spans="1:4">
      <c r="A1203" t="s">
        <v>2524</v>
      </c>
      <c r="B1203" t="s">
        <v>2298</v>
      </c>
      <c r="C1203">
        <v>2581</v>
      </c>
      <c r="D1203" s="807">
        <v>4</v>
      </c>
    </row>
    <row r="1204" spans="1:4">
      <c r="A1204" t="s">
        <v>1486</v>
      </c>
      <c r="B1204" t="s">
        <v>600</v>
      </c>
      <c r="C1204">
        <v>2228</v>
      </c>
      <c r="D1204" s="807">
        <v>4.09</v>
      </c>
    </row>
    <row r="1205" spans="1:4">
      <c r="A1205" t="s">
        <v>440</v>
      </c>
      <c r="B1205" t="s">
        <v>8677</v>
      </c>
      <c r="C1205">
        <v>3406</v>
      </c>
      <c r="D1205" s="807">
        <v>2.7</v>
      </c>
    </row>
    <row r="1206" spans="1:4">
      <c r="A1206" t="s">
        <v>1989</v>
      </c>
      <c r="B1206" t="s">
        <v>1513</v>
      </c>
      <c r="C1206">
        <v>2328</v>
      </c>
      <c r="D1206" s="807">
        <v>3.45</v>
      </c>
    </row>
    <row r="1207" spans="1:4">
      <c r="A1207" t="s">
        <v>3631</v>
      </c>
      <c r="B1207" t="s">
        <v>2997</v>
      </c>
      <c r="C1207">
        <v>2264</v>
      </c>
      <c r="D1207" s="807">
        <v>3.18</v>
      </c>
    </row>
    <row r="1208" spans="1:4">
      <c r="A1208" t="s">
        <v>821</v>
      </c>
      <c r="B1208" t="s">
        <v>2334</v>
      </c>
      <c r="C1208">
        <v>2628</v>
      </c>
      <c r="D1208" s="807">
        <v>2.6</v>
      </c>
    </row>
    <row r="1209" spans="1:4">
      <c r="A1209" t="s">
        <v>6658</v>
      </c>
      <c r="B1209" t="s">
        <v>6657</v>
      </c>
      <c r="C1209">
        <v>3152</v>
      </c>
      <c r="D1209" s="807">
        <v>3.5</v>
      </c>
    </row>
    <row r="1210" spans="1:4">
      <c r="A1210" t="s">
        <v>2096</v>
      </c>
      <c r="B1210" t="s">
        <v>1514</v>
      </c>
      <c r="C1210">
        <v>3153</v>
      </c>
      <c r="D1210" s="807">
        <v>3.92</v>
      </c>
    </row>
    <row r="1211" spans="1:4">
      <c r="A1211" t="s">
        <v>9026</v>
      </c>
      <c r="B1211" t="s">
        <v>9027</v>
      </c>
      <c r="C1211">
        <v>13423</v>
      </c>
      <c r="D1211" s="807">
        <v>3.4</v>
      </c>
    </row>
    <row r="1212" spans="1:4">
      <c r="A1212" t="s">
        <v>4090</v>
      </c>
      <c r="B1212" t="s">
        <v>64</v>
      </c>
      <c r="C1212">
        <v>2354</v>
      </c>
      <c r="D1212" s="807">
        <v>3.58</v>
      </c>
    </row>
    <row r="1213" spans="1:4">
      <c r="A1213" t="s">
        <v>2456</v>
      </c>
      <c r="B1213" t="s">
        <v>65</v>
      </c>
      <c r="C1213">
        <v>2353</v>
      </c>
      <c r="D1213" s="807">
        <v>3.5</v>
      </c>
    </row>
    <row r="1214" spans="1:4">
      <c r="A1214" t="s">
        <v>3160</v>
      </c>
      <c r="B1214" t="s">
        <v>1078</v>
      </c>
      <c r="C1214">
        <v>3547</v>
      </c>
      <c r="D1214" s="807">
        <v>2.1</v>
      </c>
    </row>
    <row r="1215" spans="1:4">
      <c r="A1215" t="s">
        <v>5405</v>
      </c>
      <c r="B1215" t="s">
        <v>1079</v>
      </c>
      <c r="C1215">
        <v>3541</v>
      </c>
      <c r="D1215" s="807">
        <v>2.1</v>
      </c>
    </row>
    <row r="1216" spans="1:4">
      <c r="A1216" t="s">
        <v>3116</v>
      </c>
      <c r="B1216" t="s">
        <v>1080</v>
      </c>
      <c r="C1216">
        <v>2698</v>
      </c>
      <c r="D1216" s="807">
        <v>2.1</v>
      </c>
    </row>
    <row r="1217" spans="1:4">
      <c r="A1217" t="s">
        <v>3459</v>
      </c>
      <c r="B1217" t="s">
        <v>1438</v>
      </c>
      <c r="C1217">
        <v>3022</v>
      </c>
      <c r="D1217" s="807">
        <v>4.37</v>
      </c>
    </row>
    <row r="1218" spans="1:4">
      <c r="A1218" t="s">
        <v>4091</v>
      </c>
      <c r="B1218" t="s">
        <v>1439</v>
      </c>
      <c r="C1218">
        <v>2242</v>
      </c>
      <c r="D1218" s="807">
        <v>3.43</v>
      </c>
    </row>
    <row r="1219" spans="1:4">
      <c r="A1219" t="s">
        <v>2071</v>
      </c>
      <c r="B1219" t="s">
        <v>1440</v>
      </c>
      <c r="C1219">
        <v>13427</v>
      </c>
      <c r="D1219" s="807">
        <v>4.01</v>
      </c>
    </row>
    <row r="1220" spans="1:4">
      <c r="A1220" t="s">
        <v>1459</v>
      </c>
      <c r="B1220" t="s">
        <v>1441</v>
      </c>
      <c r="C1220">
        <v>2239</v>
      </c>
      <c r="D1220" s="807">
        <v>4.45</v>
      </c>
    </row>
    <row r="1221" spans="1:4">
      <c r="A1221" t="s">
        <v>1092</v>
      </c>
      <c r="B1221" t="s">
        <v>1442</v>
      </c>
      <c r="C1221">
        <v>3026</v>
      </c>
      <c r="D1221" s="807">
        <v>4.26</v>
      </c>
    </row>
    <row r="1222" spans="1:4">
      <c r="A1222" t="s">
        <v>2122</v>
      </c>
      <c r="B1222" t="s">
        <v>1443</v>
      </c>
      <c r="C1222">
        <v>3029</v>
      </c>
      <c r="D1222" s="807">
        <v>4.45</v>
      </c>
    </row>
    <row r="1223" spans="1:4">
      <c r="A1223" t="s">
        <v>3317</v>
      </c>
      <c r="B1223" t="s">
        <v>6508</v>
      </c>
      <c r="C1223">
        <v>3024</v>
      </c>
      <c r="D1223" s="807">
        <v>4.29</v>
      </c>
    </row>
    <row r="1224" spans="1:4">
      <c r="A1224" t="s">
        <v>1395</v>
      </c>
      <c r="B1224" t="s">
        <v>1444</v>
      </c>
      <c r="C1224">
        <v>2240</v>
      </c>
      <c r="D1224" s="807">
        <v>4.26</v>
      </c>
    </row>
    <row r="1225" spans="1:4">
      <c r="A1225" t="s">
        <v>3527</v>
      </c>
      <c r="B1225" t="s">
        <v>1445</v>
      </c>
      <c r="C1225">
        <v>3027</v>
      </c>
      <c r="D1225" s="807">
        <v>4.2300000000000004</v>
      </c>
    </row>
    <row r="1226" spans="1:4">
      <c r="A1226" t="s">
        <v>3958</v>
      </c>
      <c r="B1226" t="s">
        <v>1446</v>
      </c>
      <c r="C1226">
        <v>2238</v>
      </c>
      <c r="D1226" s="807">
        <v>4.42</v>
      </c>
    </row>
    <row r="1227" spans="1:4">
      <c r="A1227" t="s">
        <v>8321</v>
      </c>
      <c r="B1227" t="s">
        <v>8322</v>
      </c>
      <c r="C1227">
        <v>3030</v>
      </c>
      <c r="D1227" s="807">
        <v>4.5999999999999996</v>
      </c>
    </row>
    <row r="1228" spans="1:4">
      <c r="A1228" t="s">
        <v>3460</v>
      </c>
      <c r="B1228" t="s">
        <v>1447</v>
      </c>
      <c r="C1228">
        <v>2241</v>
      </c>
      <c r="D1228" s="807">
        <v>4.5</v>
      </c>
    </row>
    <row r="1229" spans="1:4">
      <c r="A1229" t="s">
        <v>1887</v>
      </c>
      <c r="B1229" t="s">
        <v>1448</v>
      </c>
      <c r="C1229">
        <v>3028</v>
      </c>
      <c r="D1229" s="807">
        <v>4.3499999999999996</v>
      </c>
    </row>
    <row r="1230" spans="1:4">
      <c r="A1230" t="s">
        <v>1091</v>
      </c>
      <c r="B1230" t="s">
        <v>3912</v>
      </c>
      <c r="C1230">
        <v>3025</v>
      </c>
      <c r="D1230" s="807">
        <v>4.5</v>
      </c>
    </row>
    <row r="1231" spans="1:4">
      <c r="A1231" t="s">
        <v>118</v>
      </c>
      <c r="B1231" t="s">
        <v>3444</v>
      </c>
      <c r="C1231">
        <v>2237</v>
      </c>
      <c r="D1231" s="807">
        <v>4.29</v>
      </c>
    </row>
    <row r="1232" spans="1:4">
      <c r="A1232" t="s">
        <v>2292</v>
      </c>
      <c r="B1232" t="s">
        <v>154</v>
      </c>
      <c r="C1232">
        <v>3557</v>
      </c>
      <c r="D1232" s="807">
        <v>2.1</v>
      </c>
    </row>
    <row r="1233" spans="1:4">
      <c r="A1233" t="s">
        <v>6445</v>
      </c>
      <c r="B1233" t="s">
        <v>6444</v>
      </c>
      <c r="C1233">
        <v>13433</v>
      </c>
      <c r="D1233" s="807">
        <v>2</v>
      </c>
    </row>
    <row r="1234" spans="1:4">
      <c r="A1234" t="s">
        <v>4856</v>
      </c>
      <c r="B1234" t="s">
        <v>5163</v>
      </c>
      <c r="C1234">
        <v>2646</v>
      </c>
      <c r="D1234" s="807">
        <v>2.6</v>
      </c>
    </row>
    <row r="1235" spans="1:4">
      <c r="A1235" t="s">
        <v>3292</v>
      </c>
      <c r="B1235" t="s">
        <v>5164</v>
      </c>
      <c r="C1235">
        <v>3481</v>
      </c>
      <c r="D1235" s="807">
        <v>2.6</v>
      </c>
    </row>
    <row r="1236" spans="1:4">
      <c r="A1236" t="s">
        <v>2102</v>
      </c>
      <c r="B1236" t="s">
        <v>5165</v>
      </c>
      <c r="C1236">
        <v>3480</v>
      </c>
      <c r="D1236" s="807">
        <v>2.6</v>
      </c>
    </row>
    <row r="1237" spans="1:4">
      <c r="A1237" t="s">
        <v>6509</v>
      </c>
      <c r="B1237" t="s">
        <v>5166</v>
      </c>
      <c r="C1237">
        <v>18779</v>
      </c>
      <c r="D1237" s="807">
        <v>2.9587323501170402</v>
      </c>
    </row>
    <row r="1238" spans="1:4">
      <c r="A1238" t="s">
        <v>719</v>
      </c>
      <c r="B1238" t="s">
        <v>2350</v>
      </c>
      <c r="C1238">
        <v>2594</v>
      </c>
      <c r="D1238" s="807">
        <v>2.7</v>
      </c>
    </row>
    <row r="1239" spans="1:4">
      <c r="A1239" t="s">
        <v>4198</v>
      </c>
      <c r="B1239" t="s">
        <v>8678</v>
      </c>
      <c r="C1239">
        <v>2597</v>
      </c>
      <c r="D1239" s="807">
        <v>2.6</v>
      </c>
    </row>
    <row r="1240" spans="1:4">
      <c r="A1240" t="s">
        <v>5537</v>
      </c>
      <c r="B1240" t="s">
        <v>508</v>
      </c>
      <c r="C1240">
        <v>2595</v>
      </c>
      <c r="D1240" s="807">
        <v>2.7</v>
      </c>
    </row>
    <row r="1241" spans="1:4">
      <c r="A1241" t="s">
        <v>3063</v>
      </c>
      <c r="B1241" t="s">
        <v>1317</v>
      </c>
      <c r="C1241">
        <v>3416</v>
      </c>
      <c r="D1241" s="807">
        <v>2.7</v>
      </c>
    </row>
    <row r="1242" spans="1:4">
      <c r="A1242" t="s">
        <v>816</v>
      </c>
      <c r="B1242" t="s">
        <v>1318</v>
      </c>
      <c r="C1242">
        <v>3415</v>
      </c>
      <c r="D1242" s="807">
        <v>2.6</v>
      </c>
    </row>
    <row r="1243" spans="1:4">
      <c r="A1243" t="s">
        <v>442</v>
      </c>
      <c r="B1243" t="s">
        <v>8679</v>
      </c>
      <c r="C1243">
        <v>2593</v>
      </c>
      <c r="D1243" s="807">
        <v>2.56</v>
      </c>
    </row>
    <row r="1244" spans="1:4">
      <c r="A1244" t="s">
        <v>6511</v>
      </c>
      <c r="B1244" t="s">
        <v>6510</v>
      </c>
      <c r="C1244">
        <v>13439</v>
      </c>
      <c r="D1244" s="807">
        <v>2</v>
      </c>
    </row>
    <row r="1245" spans="1:4">
      <c r="A1245" t="s">
        <v>6514</v>
      </c>
      <c r="B1245" t="s">
        <v>1215</v>
      </c>
      <c r="C1245">
        <v>2556</v>
      </c>
      <c r="D1245" s="807">
        <v>3.21</v>
      </c>
    </row>
    <row r="1246" spans="1:4">
      <c r="A1246" t="s">
        <v>2847</v>
      </c>
      <c r="B1246" t="s">
        <v>5315</v>
      </c>
      <c r="C1246">
        <v>3624</v>
      </c>
      <c r="D1246" s="807">
        <v>3</v>
      </c>
    </row>
    <row r="1247" spans="1:4">
      <c r="A1247" t="s">
        <v>1822</v>
      </c>
      <c r="B1247" t="s">
        <v>3445</v>
      </c>
      <c r="C1247">
        <v>2230</v>
      </c>
      <c r="D1247" s="807">
        <v>3.58</v>
      </c>
    </row>
    <row r="1248" spans="1:4">
      <c r="A1248" t="s">
        <v>4416</v>
      </c>
      <c r="B1248" t="s">
        <v>3446</v>
      </c>
      <c r="C1248">
        <v>3015</v>
      </c>
      <c r="D1248" s="807">
        <v>3.26</v>
      </c>
    </row>
    <row r="1249" spans="1:4">
      <c r="A1249" t="s">
        <v>3721</v>
      </c>
      <c r="B1249" t="s">
        <v>3447</v>
      </c>
      <c r="C1249">
        <v>2236</v>
      </c>
      <c r="D1249" s="807">
        <v>3.79</v>
      </c>
    </row>
    <row r="1250" spans="1:4">
      <c r="A1250" t="s">
        <v>943</v>
      </c>
      <c r="B1250" t="s">
        <v>3448</v>
      </c>
      <c r="C1250">
        <v>3021</v>
      </c>
      <c r="D1250" s="807">
        <v>4.01</v>
      </c>
    </row>
    <row r="1251" spans="1:4">
      <c r="A1251" t="s">
        <v>2955</v>
      </c>
      <c r="B1251" t="s">
        <v>66</v>
      </c>
      <c r="C1251">
        <v>2351</v>
      </c>
      <c r="D1251" s="807">
        <v>3.26</v>
      </c>
    </row>
    <row r="1252" spans="1:4">
      <c r="A1252" t="s">
        <v>3823</v>
      </c>
      <c r="B1252" t="s">
        <v>973</v>
      </c>
      <c r="C1252">
        <v>2350</v>
      </c>
      <c r="D1252" s="807">
        <v>3.41</v>
      </c>
    </row>
    <row r="1253" spans="1:4">
      <c r="A1253" t="s">
        <v>2399</v>
      </c>
      <c r="B1253" t="s">
        <v>974</v>
      </c>
      <c r="C1253">
        <v>2352</v>
      </c>
      <c r="D1253" s="807">
        <v>3.31</v>
      </c>
    </row>
    <row r="1254" spans="1:4">
      <c r="A1254" t="s">
        <v>2518</v>
      </c>
      <c r="B1254" t="s">
        <v>315</v>
      </c>
      <c r="C1254">
        <v>3089</v>
      </c>
      <c r="D1254" s="807">
        <v>3.84</v>
      </c>
    </row>
    <row r="1255" spans="1:4">
      <c r="A1255" t="s">
        <v>193</v>
      </c>
      <c r="B1255" t="s">
        <v>1216</v>
      </c>
      <c r="C1255">
        <v>3363</v>
      </c>
      <c r="D1255" s="807">
        <v>3.25</v>
      </c>
    </row>
    <row r="1256" spans="1:4">
      <c r="A1256" t="s">
        <v>62</v>
      </c>
      <c r="B1256" t="s">
        <v>2911</v>
      </c>
      <c r="C1256">
        <v>2549</v>
      </c>
      <c r="D1256" s="807">
        <v>3.27</v>
      </c>
    </row>
    <row r="1257" spans="1:4">
      <c r="A1257" t="s">
        <v>503</v>
      </c>
      <c r="B1257" t="s">
        <v>975</v>
      </c>
      <c r="C1257">
        <v>13477</v>
      </c>
      <c r="D1257" s="807">
        <v>3.5</v>
      </c>
    </row>
    <row r="1258" spans="1:4">
      <c r="A1258" t="s">
        <v>4238</v>
      </c>
      <c r="B1258" t="s">
        <v>6578</v>
      </c>
      <c r="C1258">
        <v>2179</v>
      </c>
      <c r="D1258" s="807">
        <v>2</v>
      </c>
    </row>
    <row r="1259" spans="1:4">
      <c r="A1259" t="s">
        <v>2404</v>
      </c>
      <c r="B1259" t="s">
        <v>2405</v>
      </c>
      <c r="C1259">
        <v>19042</v>
      </c>
      <c r="D1259" s="807">
        <v>3.4</v>
      </c>
    </row>
    <row r="1260" spans="1:4">
      <c r="A1260" t="s">
        <v>3327</v>
      </c>
      <c r="B1260" t="s">
        <v>2335</v>
      </c>
      <c r="C1260">
        <v>16194</v>
      </c>
      <c r="D1260" s="807">
        <v>2.501218236046268</v>
      </c>
    </row>
    <row r="1261" spans="1:4">
      <c r="A1261" t="s">
        <v>9028</v>
      </c>
      <c r="B1261" t="s">
        <v>9029</v>
      </c>
      <c r="C1261">
        <v>13502</v>
      </c>
      <c r="D1261" s="807">
        <v>3.4</v>
      </c>
    </row>
    <row r="1262" spans="1:4">
      <c r="A1262" t="s">
        <v>398</v>
      </c>
      <c r="B1262" t="s">
        <v>1491</v>
      </c>
      <c r="C1262">
        <v>13504</v>
      </c>
      <c r="D1262" s="807">
        <v>3.71</v>
      </c>
    </row>
    <row r="1263" spans="1:4">
      <c r="A1263" t="s">
        <v>9086</v>
      </c>
      <c r="B1263" t="s">
        <v>9087</v>
      </c>
      <c r="C1263">
        <v>18767</v>
      </c>
      <c r="D1263" s="807">
        <v>3.71</v>
      </c>
    </row>
    <row r="1264" spans="1:4">
      <c r="A1264" t="s">
        <v>1937</v>
      </c>
      <c r="B1264" t="s">
        <v>2367</v>
      </c>
      <c r="C1264">
        <v>2063</v>
      </c>
      <c r="D1264" s="807">
        <v>3.54</v>
      </c>
    </row>
    <row r="1265" spans="1:4">
      <c r="A1265" t="s">
        <v>3844</v>
      </c>
      <c r="B1265" t="s">
        <v>4185</v>
      </c>
      <c r="C1265">
        <v>3530</v>
      </c>
      <c r="D1265" s="807">
        <v>2.1</v>
      </c>
    </row>
    <row r="1266" spans="1:4">
      <c r="A1266" t="s">
        <v>4512</v>
      </c>
      <c r="B1266" t="s">
        <v>2998</v>
      </c>
      <c r="C1266">
        <v>2569</v>
      </c>
      <c r="D1266" s="807">
        <v>4</v>
      </c>
    </row>
    <row r="1267" spans="1:4">
      <c r="A1267" t="s">
        <v>5484</v>
      </c>
      <c r="B1267" t="s">
        <v>2987</v>
      </c>
      <c r="C1267">
        <v>3573</v>
      </c>
      <c r="D1267" s="807">
        <v>2.2000000000000002</v>
      </c>
    </row>
    <row r="1268" spans="1:4">
      <c r="A1268" t="s">
        <v>5495</v>
      </c>
      <c r="B1268" t="s">
        <v>2987</v>
      </c>
      <c r="C1268">
        <v>3574</v>
      </c>
      <c r="D1268" s="807">
        <v>2.2000000000000002</v>
      </c>
    </row>
    <row r="1269" spans="1:4">
      <c r="A1269" t="s">
        <v>4133</v>
      </c>
      <c r="B1269" t="s">
        <v>5031</v>
      </c>
      <c r="C1269">
        <v>2221</v>
      </c>
      <c r="D1269" s="807">
        <v>4.4800000000000004</v>
      </c>
    </row>
    <row r="1270" spans="1:4">
      <c r="A1270" t="s">
        <v>6667</v>
      </c>
      <c r="B1270" t="s">
        <v>6666</v>
      </c>
      <c r="C1270">
        <v>19251</v>
      </c>
      <c r="D1270" s="807">
        <v>2</v>
      </c>
    </row>
    <row r="1271" spans="1:4">
      <c r="A1271" t="s">
        <v>194</v>
      </c>
      <c r="B1271" t="s">
        <v>5032</v>
      </c>
      <c r="C1271">
        <v>2220</v>
      </c>
      <c r="D1271" s="807">
        <v>4.25</v>
      </c>
    </row>
    <row r="1272" spans="1:4">
      <c r="A1272" t="s">
        <v>4569</v>
      </c>
      <c r="B1272" t="s">
        <v>5033</v>
      </c>
      <c r="C1272">
        <v>3013</v>
      </c>
      <c r="D1272" s="807">
        <v>4.3600000000000003</v>
      </c>
    </row>
    <row r="1273" spans="1:4">
      <c r="A1273" t="s">
        <v>2484</v>
      </c>
      <c r="B1273" t="s">
        <v>976</v>
      </c>
      <c r="C1273">
        <v>18785</v>
      </c>
      <c r="D1273" s="807">
        <v>2.94</v>
      </c>
    </row>
    <row r="1274" spans="1:4">
      <c r="A1274" t="s">
        <v>4962</v>
      </c>
      <c r="B1274" t="s">
        <v>1707</v>
      </c>
      <c r="C1274">
        <v>2272</v>
      </c>
      <c r="D1274" s="807">
        <v>2.88</v>
      </c>
    </row>
    <row r="1275" spans="1:4">
      <c r="A1275" t="s">
        <v>4199</v>
      </c>
      <c r="B1275" t="s">
        <v>6408</v>
      </c>
      <c r="C1275">
        <v>3627</v>
      </c>
      <c r="D1275" s="807">
        <v>2</v>
      </c>
    </row>
    <row r="1276" spans="1:4">
      <c r="A1276" t="s">
        <v>2210</v>
      </c>
      <c r="B1276" t="s">
        <v>1720</v>
      </c>
      <c r="C1276">
        <v>13526</v>
      </c>
      <c r="D1276" s="807">
        <v>3.19</v>
      </c>
    </row>
    <row r="1277" spans="1:4">
      <c r="A1277" t="s">
        <v>369</v>
      </c>
      <c r="B1277" t="s">
        <v>4327</v>
      </c>
      <c r="C1277">
        <v>13530</v>
      </c>
      <c r="D1277" s="807">
        <v>3.75</v>
      </c>
    </row>
    <row r="1278" spans="1:4">
      <c r="A1278" t="s">
        <v>3007</v>
      </c>
      <c r="B1278" t="s">
        <v>750</v>
      </c>
      <c r="C1278">
        <v>2215</v>
      </c>
      <c r="D1278" s="807">
        <v>3.53</v>
      </c>
    </row>
    <row r="1279" spans="1:4">
      <c r="A1279" t="s">
        <v>2353</v>
      </c>
      <c r="B1279" t="s">
        <v>1708</v>
      </c>
      <c r="C1279">
        <v>18781</v>
      </c>
      <c r="D1279" s="807">
        <v>3.11</v>
      </c>
    </row>
    <row r="1280" spans="1:4">
      <c r="A1280" t="s">
        <v>938</v>
      </c>
      <c r="B1280" t="s">
        <v>1373</v>
      </c>
      <c r="C1280">
        <v>3086</v>
      </c>
      <c r="D1280" s="807">
        <v>3.04</v>
      </c>
    </row>
    <row r="1281" spans="1:4">
      <c r="A1281" t="s">
        <v>937</v>
      </c>
      <c r="B1281" t="s">
        <v>1374</v>
      </c>
      <c r="C1281">
        <v>13535</v>
      </c>
      <c r="D1281" s="807">
        <v>4.04</v>
      </c>
    </row>
    <row r="1282" spans="1:4">
      <c r="A1282" t="s">
        <v>4268</v>
      </c>
      <c r="B1282" t="s">
        <v>8680</v>
      </c>
      <c r="C1282">
        <v>3085</v>
      </c>
      <c r="D1282" s="807">
        <v>4.2699999999999996</v>
      </c>
    </row>
    <row r="1283" spans="1:4">
      <c r="A1283" t="s">
        <v>2247</v>
      </c>
      <c r="B1283" t="s">
        <v>529</v>
      </c>
      <c r="C1283">
        <v>2289</v>
      </c>
      <c r="D1283" s="807">
        <v>4.5</v>
      </c>
    </row>
    <row r="1284" spans="1:4">
      <c r="A1284" t="s">
        <v>3008</v>
      </c>
      <c r="B1284" t="s">
        <v>3009</v>
      </c>
      <c r="C1284">
        <v>16949</v>
      </c>
      <c r="D1284" s="807">
        <v>4.49</v>
      </c>
    </row>
    <row r="1285" spans="1:4">
      <c r="A1285" t="s">
        <v>3865</v>
      </c>
      <c r="B1285" t="s">
        <v>3866</v>
      </c>
      <c r="C1285">
        <v>16953</v>
      </c>
      <c r="D1285" s="807">
        <v>3.3182763159269002</v>
      </c>
    </row>
    <row r="1286" spans="1:4">
      <c r="A1286" t="s">
        <v>8988</v>
      </c>
      <c r="B1286" t="s">
        <v>8989</v>
      </c>
      <c r="C1286">
        <v>3053</v>
      </c>
      <c r="D1286" s="807">
        <v>2</v>
      </c>
    </row>
    <row r="1287" spans="1:4">
      <c r="A1287" t="s">
        <v>2544</v>
      </c>
      <c r="B1287" t="s">
        <v>1721</v>
      </c>
      <c r="C1287">
        <v>3050</v>
      </c>
      <c r="D1287" s="807">
        <v>2.13</v>
      </c>
    </row>
    <row r="1288" spans="1:4">
      <c r="A1288" t="s">
        <v>33</v>
      </c>
      <c r="B1288" t="s">
        <v>34</v>
      </c>
      <c r="C1288">
        <v>3051</v>
      </c>
      <c r="D1288" s="807">
        <v>2.0099999999999998</v>
      </c>
    </row>
    <row r="1289" spans="1:4">
      <c r="A1289" t="s">
        <v>1585</v>
      </c>
      <c r="B1289" t="s">
        <v>1586</v>
      </c>
      <c r="C1289">
        <v>3052</v>
      </c>
      <c r="D1289" s="807">
        <v>2.0099999999999998</v>
      </c>
    </row>
    <row r="1290" spans="1:4">
      <c r="A1290" t="s">
        <v>2655</v>
      </c>
      <c r="B1290" t="s">
        <v>1722</v>
      </c>
      <c r="C1290">
        <v>2257</v>
      </c>
      <c r="D1290" s="807">
        <v>2</v>
      </c>
    </row>
    <row r="1291" spans="1:4">
      <c r="A1291" t="s">
        <v>3846</v>
      </c>
      <c r="B1291" t="s">
        <v>1723</v>
      </c>
      <c r="C1291">
        <v>2258</v>
      </c>
      <c r="D1291" s="807">
        <v>2.4900000000000002</v>
      </c>
    </row>
    <row r="1292" spans="1:4">
      <c r="A1292" t="s">
        <v>1870</v>
      </c>
      <c r="B1292" t="s">
        <v>1724</v>
      </c>
      <c r="C1292">
        <v>2256</v>
      </c>
      <c r="D1292" s="807">
        <v>2.4300000000000002</v>
      </c>
    </row>
    <row r="1293" spans="1:4">
      <c r="A1293" t="s">
        <v>1643</v>
      </c>
      <c r="B1293" t="s">
        <v>155</v>
      </c>
      <c r="C1293">
        <v>3539</v>
      </c>
      <c r="D1293" s="807">
        <v>2.1</v>
      </c>
    </row>
    <row r="1294" spans="1:4">
      <c r="A1294" t="s">
        <v>3956</v>
      </c>
      <c r="B1294" t="s">
        <v>1725</v>
      </c>
      <c r="C1294">
        <v>3206</v>
      </c>
      <c r="D1294" s="807">
        <v>3.48</v>
      </c>
    </row>
    <row r="1295" spans="1:4">
      <c r="A1295" t="s">
        <v>4530</v>
      </c>
      <c r="B1295" t="s">
        <v>1726</v>
      </c>
      <c r="C1295">
        <v>13544</v>
      </c>
      <c r="D1295" s="807">
        <v>3.27</v>
      </c>
    </row>
    <row r="1296" spans="1:4">
      <c r="A1296" t="s">
        <v>3526</v>
      </c>
      <c r="B1296" t="s">
        <v>2129</v>
      </c>
      <c r="C1296">
        <v>18766</v>
      </c>
      <c r="D1296" s="807">
        <v>3.45</v>
      </c>
    </row>
    <row r="1297" spans="1:4">
      <c r="A1297" t="s">
        <v>481</v>
      </c>
      <c r="B1297" t="s">
        <v>2130</v>
      </c>
      <c r="C1297">
        <v>3208</v>
      </c>
      <c r="D1297" s="807">
        <v>3.15</v>
      </c>
    </row>
    <row r="1298" spans="1:4">
      <c r="A1298" t="s">
        <v>4083</v>
      </c>
      <c r="B1298" t="s">
        <v>5017</v>
      </c>
      <c r="C1298">
        <v>2401</v>
      </c>
      <c r="D1298" s="807">
        <v>3.34</v>
      </c>
    </row>
    <row r="1299" spans="1:4">
      <c r="A1299" t="s">
        <v>3060</v>
      </c>
      <c r="B1299" t="s">
        <v>5018</v>
      </c>
      <c r="C1299">
        <v>3207</v>
      </c>
      <c r="D1299" s="807">
        <v>3.42</v>
      </c>
    </row>
    <row r="1300" spans="1:4">
      <c r="A1300" t="s">
        <v>3010</v>
      </c>
      <c r="B1300" t="s">
        <v>3011</v>
      </c>
      <c r="C1300">
        <v>16910</v>
      </c>
      <c r="D1300" s="807">
        <v>2.0935528537656198</v>
      </c>
    </row>
    <row r="1301" spans="1:4">
      <c r="A1301" t="s">
        <v>6501</v>
      </c>
      <c r="B1301" t="s">
        <v>6500</v>
      </c>
      <c r="C1301">
        <v>13548</v>
      </c>
      <c r="D1301" s="807">
        <v>4.2</v>
      </c>
    </row>
    <row r="1302" spans="1:4">
      <c r="A1302" t="s">
        <v>8990</v>
      </c>
      <c r="B1302" t="s">
        <v>8991</v>
      </c>
      <c r="C1302">
        <v>6338</v>
      </c>
      <c r="D1302" s="807">
        <v>4.2</v>
      </c>
    </row>
    <row r="1303" spans="1:4">
      <c r="A1303" t="s">
        <v>25</v>
      </c>
      <c r="B1303" t="s">
        <v>288</v>
      </c>
      <c r="C1303">
        <v>2205</v>
      </c>
      <c r="D1303" s="807">
        <v>4.07</v>
      </c>
    </row>
    <row r="1304" spans="1:4">
      <c r="A1304" t="s">
        <v>4138</v>
      </c>
      <c r="B1304" t="s">
        <v>2757</v>
      </c>
      <c r="C1304">
        <v>2991</v>
      </c>
      <c r="D1304" s="807">
        <v>4.07</v>
      </c>
    </row>
    <row r="1305" spans="1:4">
      <c r="A1305" t="s">
        <v>6519</v>
      </c>
      <c r="B1305" t="s">
        <v>515</v>
      </c>
      <c r="C1305">
        <v>2990</v>
      </c>
      <c r="D1305" s="807">
        <v>3.97</v>
      </c>
    </row>
    <row r="1306" spans="1:4">
      <c r="A1306" t="s">
        <v>5531</v>
      </c>
      <c r="B1306" t="s">
        <v>751</v>
      </c>
      <c r="C1306">
        <v>3007</v>
      </c>
      <c r="D1306" s="807">
        <v>3.4</v>
      </c>
    </row>
    <row r="1307" spans="1:4">
      <c r="A1307" t="s">
        <v>1522</v>
      </c>
      <c r="B1307" t="s">
        <v>752</v>
      </c>
      <c r="C1307">
        <v>3006</v>
      </c>
      <c r="D1307" s="807">
        <v>3.4</v>
      </c>
    </row>
    <row r="1308" spans="1:4">
      <c r="A1308" t="s">
        <v>1113</v>
      </c>
      <c r="B1308" t="s">
        <v>376</v>
      </c>
      <c r="C1308">
        <v>3495</v>
      </c>
      <c r="D1308" s="807">
        <v>2.1</v>
      </c>
    </row>
    <row r="1309" spans="1:4">
      <c r="A1309" t="s">
        <v>6413</v>
      </c>
      <c r="B1309" t="s">
        <v>6412</v>
      </c>
      <c r="C1309">
        <v>3649</v>
      </c>
      <c r="D1309" s="807">
        <v>2</v>
      </c>
    </row>
    <row r="1310" spans="1:4">
      <c r="A1310" t="s">
        <v>4741</v>
      </c>
      <c r="B1310" t="s">
        <v>3242</v>
      </c>
      <c r="C1310">
        <v>2031</v>
      </c>
      <c r="D1310" s="807">
        <v>3.71</v>
      </c>
    </row>
    <row r="1311" spans="1:4">
      <c r="A1311" t="s">
        <v>63</v>
      </c>
      <c r="B1311" t="s">
        <v>2368</v>
      </c>
      <c r="C1311">
        <v>13557</v>
      </c>
      <c r="D1311" s="807">
        <v>3.67</v>
      </c>
    </row>
    <row r="1312" spans="1:4">
      <c r="A1312" t="s">
        <v>51</v>
      </c>
      <c r="B1312" t="s">
        <v>2369</v>
      </c>
      <c r="C1312">
        <v>2030</v>
      </c>
      <c r="D1312" s="807">
        <v>3.61</v>
      </c>
    </row>
    <row r="1313" spans="1:4">
      <c r="A1313" t="s">
        <v>5532</v>
      </c>
      <c r="B1313" t="s">
        <v>2370</v>
      </c>
      <c r="C1313">
        <v>13562</v>
      </c>
      <c r="D1313" s="807">
        <v>3.51</v>
      </c>
    </row>
    <row r="1314" spans="1:4">
      <c r="A1314" t="s">
        <v>2475</v>
      </c>
      <c r="B1314" t="s">
        <v>2371</v>
      </c>
      <c r="C1314">
        <v>2827</v>
      </c>
      <c r="D1314" s="807">
        <v>3.83</v>
      </c>
    </row>
    <row r="1315" spans="1:4">
      <c r="A1315" t="s">
        <v>3420</v>
      </c>
      <c r="B1315" t="s">
        <v>2372</v>
      </c>
      <c r="C1315">
        <v>2826</v>
      </c>
      <c r="D1315" s="807">
        <v>3.59</v>
      </c>
    </row>
    <row r="1316" spans="1:4">
      <c r="A1316" t="s">
        <v>4082</v>
      </c>
      <c r="B1316" t="s">
        <v>2132</v>
      </c>
      <c r="C1316">
        <v>2029</v>
      </c>
      <c r="D1316" s="807">
        <v>3.73</v>
      </c>
    </row>
    <row r="1317" spans="1:4">
      <c r="A1317" t="s">
        <v>2692</v>
      </c>
      <c r="B1317" t="s">
        <v>3933</v>
      </c>
      <c r="C1317">
        <v>3553</v>
      </c>
      <c r="D1317" s="807">
        <v>2.1</v>
      </c>
    </row>
    <row r="1318" spans="1:4">
      <c r="A1318" t="s">
        <v>1612</v>
      </c>
      <c r="B1318" t="s">
        <v>516</v>
      </c>
      <c r="C1318">
        <v>13573</v>
      </c>
      <c r="D1318" s="807">
        <v>4.5</v>
      </c>
    </row>
    <row r="1319" spans="1:4">
      <c r="A1319" s="403" t="s">
        <v>8952</v>
      </c>
      <c r="B1319" s="403" t="s">
        <v>8953</v>
      </c>
      <c r="C1319" s="403">
        <v>13576</v>
      </c>
      <c r="D1319" s="807">
        <v>4.5</v>
      </c>
    </row>
    <row r="1320" spans="1:4">
      <c r="A1320" t="s">
        <v>3636</v>
      </c>
      <c r="B1320" t="s">
        <v>517</v>
      </c>
      <c r="C1320">
        <v>13578</v>
      </c>
      <c r="D1320" s="807">
        <v>3.65</v>
      </c>
    </row>
    <row r="1321" spans="1:4">
      <c r="A1321" t="s">
        <v>1192</v>
      </c>
      <c r="B1321" t="s">
        <v>514</v>
      </c>
      <c r="C1321">
        <v>13579</v>
      </c>
      <c r="D1321" s="807">
        <v>4.47</v>
      </c>
    </row>
    <row r="1322" spans="1:4">
      <c r="A1322" t="s">
        <v>8681</v>
      </c>
      <c r="B1322" t="s">
        <v>8682</v>
      </c>
      <c r="C1322">
        <v>13581</v>
      </c>
      <c r="D1322" s="807">
        <v>4.0999999999999996</v>
      </c>
    </row>
    <row r="1323" spans="1:4">
      <c r="A1323" t="s">
        <v>3810</v>
      </c>
      <c r="B1323" t="s">
        <v>2397</v>
      </c>
      <c r="C1323">
        <v>2277</v>
      </c>
      <c r="D1323" s="807">
        <v>4.3099999999999996</v>
      </c>
    </row>
    <row r="1324" spans="1:4">
      <c r="A1324" t="s">
        <v>1999</v>
      </c>
      <c r="B1324" t="s">
        <v>2622</v>
      </c>
      <c r="C1324">
        <v>13583</v>
      </c>
      <c r="D1324" s="807">
        <v>4.49</v>
      </c>
    </row>
    <row r="1325" spans="1:4">
      <c r="A1325" t="s">
        <v>2652</v>
      </c>
      <c r="B1325" t="s">
        <v>2376</v>
      </c>
      <c r="C1325">
        <v>3070</v>
      </c>
      <c r="D1325" s="807">
        <v>4.58</v>
      </c>
    </row>
    <row r="1326" spans="1:4">
      <c r="A1326" t="s">
        <v>2869</v>
      </c>
      <c r="B1326" t="s">
        <v>2758</v>
      </c>
      <c r="C1326">
        <v>2947</v>
      </c>
      <c r="D1326" s="807">
        <v>3.2</v>
      </c>
    </row>
    <row r="1327" spans="1:4">
      <c r="A1327" t="s">
        <v>3803</v>
      </c>
      <c r="B1327" t="s">
        <v>2133</v>
      </c>
      <c r="C1327">
        <v>2866</v>
      </c>
      <c r="D1327" s="807">
        <v>3.54</v>
      </c>
    </row>
    <row r="1328" spans="1:4">
      <c r="A1328" t="s">
        <v>2816</v>
      </c>
      <c r="B1328" t="s">
        <v>2134</v>
      </c>
      <c r="C1328">
        <v>13590</v>
      </c>
      <c r="D1328" s="807">
        <v>3.61</v>
      </c>
    </row>
    <row r="1329" spans="1:4">
      <c r="A1329" t="s">
        <v>3294</v>
      </c>
      <c r="B1329" t="s">
        <v>2361</v>
      </c>
      <c r="C1329">
        <v>2970</v>
      </c>
      <c r="D1329" s="807">
        <v>3.19</v>
      </c>
    </row>
    <row r="1330" spans="1:4">
      <c r="A1330" t="s">
        <v>8879</v>
      </c>
      <c r="B1330" t="s">
        <v>8880</v>
      </c>
      <c r="C1330">
        <v>13604</v>
      </c>
      <c r="D1330" s="807">
        <v>2.8</v>
      </c>
    </row>
    <row r="1331" spans="1:4">
      <c r="A1331" t="s">
        <v>6631</v>
      </c>
      <c r="B1331" t="s">
        <v>6630</v>
      </c>
      <c r="C1331">
        <v>6515</v>
      </c>
      <c r="D1331" s="807">
        <v>3.9</v>
      </c>
    </row>
    <row r="1332" spans="1:4">
      <c r="A1332" t="s">
        <v>3357</v>
      </c>
      <c r="B1332" t="s">
        <v>2377</v>
      </c>
      <c r="C1332">
        <v>3343</v>
      </c>
      <c r="D1332" s="807">
        <v>3.85</v>
      </c>
    </row>
    <row r="1333" spans="1:4">
      <c r="A1333" t="s">
        <v>6520</v>
      </c>
      <c r="B1333" t="s">
        <v>40</v>
      </c>
      <c r="C1333">
        <v>19129</v>
      </c>
      <c r="D1333" s="807">
        <v>2.93</v>
      </c>
    </row>
    <row r="1334" spans="1:4">
      <c r="A1334" t="s">
        <v>6521</v>
      </c>
      <c r="B1334" t="s">
        <v>41</v>
      </c>
      <c r="C1334">
        <v>19130</v>
      </c>
      <c r="D1334" s="807">
        <v>3.34</v>
      </c>
    </row>
    <row r="1335" spans="1:4">
      <c r="A1335" t="s">
        <v>4071</v>
      </c>
      <c r="B1335" t="s">
        <v>4186</v>
      </c>
      <c r="C1335">
        <v>2686</v>
      </c>
      <c r="D1335" s="807">
        <v>2.1</v>
      </c>
    </row>
    <row r="1336" spans="1:4">
      <c r="A1336" s="403" t="s">
        <v>8940</v>
      </c>
      <c r="B1336" s="403" t="s">
        <v>8941</v>
      </c>
      <c r="C1336" s="403">
        <v>3526</v>
      </c>
      <c r="D1336" s="807">
        <v>2.1800000000000002</v>
      </c>
    </row>
    <row r="1337" spans="1:4">
      <c r="A1337" t="s">
        <v>2895</v>
      </c>
      <c r="B1337" t="s">
        <v>4187</v>
      </c>
      <c r="C1337">
        <v>3527</v>
      </c>
      <c r="D1337" s="807">
        <v>2.1</v>
      </c>
    </row>
    <row r="1338" spans="1:4">
      <c r="A1338" t="s">
        <v>2917</v>
      </c>
      <c r="B1338" t="s">
        <v>4188</v>
      </c>
      <c r="C1338">
        <v>2687</v>
      </c>
      <c r="D1338" s="807">
        <v>2.1</v>
      </c>
    </row>
    <row r="1339" spans="1:4">
      <c r="A1339" t="s">
        <v>3405</v>
      </c>
      <c r="B1339" t="s">
        <v>4189</v>
      </c>
      <c r="C1339">
        <v>2688</v>
      </c>
      <c r="D1339" s="807">
        <v>2.1</v>
      </c>
    </row>
    <row r="1340" spans="1:4">
      <c r="A1340" t="s">
        <v>4339</v>
      </c>
      <c r="B1340" t="s">
        <v>4190</v>
      </c>
      <c r="C1340">
        <v>3529</v>
      </c>
      <c r="D1340" s="807">
        <v>2.1</v>
      </c>
    </row>
    <row r="1341" spans="1:4">
      <c r="A1341" t="s">
        <v>2223</v>
      </c>
      <c r="B1341" t="s">
        <v>4191</v>
      </c>
      <c r="C1341">
        <v>2689</v>
      </c>
      <c r="D1341" s="807">
        <v>2.1</v>
      </c>
    </row>
    <row r="1342" spans="1:4">
      <c r="A1342" t="s">
        <v>3406</v>
      </c>
      <c r="B1342" t="s">
        <v>960</v>
      </c>
      <c r="C1342">
        <v>3528</v>
      </c>
      <c r="D1342" s="807">
        <v>2.1</v>
      </c>
    </row>
    <row r="1343" spans="1:4">
      <c r="A1343" t="s">
        <v>8683</v>
      </c>
      <c r="B1343" t="s">
        <v>8684</v>
      </c>
      <c r="C1343">
        <v>13620</v>
      </c>
      <c r="D1343" s="807">
        <v>4.5</v>
      </c>
    </row>
    <row r="1344" spans="1:4">
      <c r="A1344" t="s">
        <v>2864</v>
      </c>
      <c r="B1344" t="s">
        <v>2378</v>
      </c>
      <c r="C1344">
        <v>16073</v>
      </c>
      <c r="D1344" s="807">
        <v>4.0199999999999996</v>
      </c>
    </row>
    <row r="1345" spans="1:4">
      <c r="A1345" t="s">
        <v>3759</v>
      </c>
      <c r="B1345" t="s">
        <v>1396</v>
      </c>
      <c r="C1345">
        <v>13661</v>
      </c>
      <c r="D1345" s="807">
        <v>2.17</v>
      </c>
    </row>
    <row r="1346" spans="1:4">
      <c r="A1346" t="s">
        <v>8881</v>
      </c>
      <c r="B1346" t="s">
        <v>8882</v>
      </c>
      <c r="C1346">
        <v>17811</v>
      </c>
      <c r="D1346" s="807">
        <v>2.1</v>
      </c>
    </row>
    <row r="1347" spans="1:4">
      <c r="A1347" t="s">
        <v>3666</v>
      </c>
      <c r="B1347" t="s">
        <v>1319</v>
      </c>
      <c r="C1347">
        <v>3397</v>
      </c>
      <c r="D1347" s="807">
        <v>2.2000000000000002</v>
      </c>
    </row>
    <row r="1348" spans="1:4">
      <c r="A1348" t="s">
        <v>3849</v>
      </c>
      <c r="B1348" t="s">
        <v>3850</v>
      </c>
      <c r="C1348">
        <v>13664</v>
      </c>
      <c r="D1348" s="807">
        <v>3.98</v>
      </c>
    </row>
    <row r="1349" spans="1:4">
      <c r="A1349" t="s">
        <v>554</v>
      </c>
      <c r="B1349" t="s">
        <v>555</v>
      </c>
      <c r="C1349">
        <v>2638</v>
      </c>
      <c r="D1349" s="807">
        <v>2.6</v>
      </c>
    </row>
    <row r="1350" spans="1:4">
      <c r="A1350" t="s">
        <v>923</v>
      </c>
      <c r="B1350" t="s">
        <v>2135</v>
      </c>
      <c r="C1350">
        <v>2026</v>
      </c>
      <c r="D1350" s="807">
        <v>4.37</v>
      </c>
    </row>
    <row r="1351" spans="1:4">
      <c r="A1351" t="s">
        <v>163</v>
      </c>
      <c r="B1351" t="s">
        <v>2759</v>
      </c>
      <c r="C1351">
        <v>2428</v>
      </c>
      <c r="D1351" s="807">
        <v>3.41</v>
      </c>
    </row>
    <row r="1352" spans="1:4">
      <c r="A1352" t="s">
        <v>3310</v>
      </c>
      <c r="B1352" t="s">
        <v>2760</v>
      </c>
      <c r="C1352">
        <v>2429</v>
      </c>
      <c r="D1352" s="807">
        <v>3.38</v>
      </c>
    </row>
    <row r="1353" spans="1:4">
      <c r="A1353" t="s">
        <v>3953</v>
      </c>
      <c r="B1353" t="s">
        <v>1503</v>
      </c>
      <c r="C1353">
        <v>13689</v>
      </c>
      <c r="D1353" s="807">
        <v>2.67</v>
      </c>
    </row>
    <row r="1354" spans="1:4">
      <c r="A1354" t="s">
        <v>4484</v>
      </c>
      <c r="B1354" t="s">
        <v>4485</v>
      </c>
      <c r="C1354">
        <v>16476</v>
      </c>
      <c r="D1354" s="807">
        <v>2.4713768380352099</v>
      </c>
    </row>
    <row r="1355" spans="1:4">
      <c r="A1355" t="s">
        <v>5266</v>
      </c>
      <c r="B1355" t="s">
        <v>3200</v>
      </c>
      <c r="C1355">
        <v>16475</v>
      </c>
      <c r="D1355" s="807">
        <v>2.4713768380352099</v>
      </c>
    </row>
    <row r="1356" spans="1:4">
      <c r="A1356" t="s">
        <v>4182</v>
      </c>
      <c r="B1356" t="s">
        <v>1010</v>
      </c>
      <c r="C1356">
        <v>2335</v>
      </c>
      <c r="D1356" s="807">
        <v>3.69</v>
      </c>
    </row>
    <row r="1357" spans="1:4">
      <c r="A1357" t="s">
        <v>4570</v>
      </c>
      <c r="B1357" t="s">
        <v>1011</v>
      </c>
      <c r="C1357">
        <v>13703</v>
      </c>
      <c r="D1357" s="807">
        <v>3.77</v>
      </c>
    </row>
    <row r="1358" spans="1:4">
      <c r="A1358" t="s">
        <v>2541</v>
      </c>
      <c r="B1358" t="s">
        <v>1012</v>
      </c>
      <c r="C1358">
        <v>18950</v>
      </c>
      <c r="D1358" s="807">
        <v>3.6</v>
      </c>
    </row>
    <row r="1359" spans="1:4">
      <c r="A1359" t="s">
        <v>2217</v>
      </c>
      <c r="B1359" t="s">
        <v>1013</v>
      </c>
      <c r="C1359">
        <v>3139</v>
      </c>
      <c r="D1359" s="807">
        <v>3.77</v>
      </c>
    </row>
    <row r="1360" spans="1:4">
      <c r="A1360" t="s">
        <v>4369</v>
      </c>
      <c r="B1360" t="s">
        <v>1014</v>
      </c>
      <c r="C1360">
        <v>3140</v>
      </c>
      <c r="D1360" s="807">
        <v>3.99</v>
      </c>
    </row>
    <row r="1361" spans="1:4">
      <c r="A1361" t="s">
        <v>701</v>
      </c>
      <c r="B1361" t="s">
        <v>2761</v>
      </c>
      <c r="C1361">
        <v>18840</v>
      </c>
      <c r="D1361" s="807">
        <v>3.58</v>
      </c>
    </row>
    <row r="1362" spans="1:4">
      <c r="A1362" t="s">
        <v>8323</v>
      </c>
      <c r="B1362" t="s">
        <v>8324</v>
      </c>
      <c r="C1362">
        <v>18824</v>
      </c>
      <c r="D1362" s="807">
        <v>3.3</v>
      </c>
    </row>
    <row r="1363" spans="1:4">
      <c r="A1363" t="s">
        <v>8685</v>
      </c>
      <c r="B1363" t="s">
        <v>8686</v>
      </c>
      <c r="C1363">
        <v>10195</v>
      </c>
      <c r="D1363" s="807">
        <v>3</v>
      </c>
    </row>
    <row r="1364" spans="1:4">
      <c r="A1364" t="s">
        <v>6522</v>
      </c>
      <c r="B1364" t="s">
        <v>5547</v>
      </c>
      <c r="C1364">
        <v>13747</v>
      </c>
      <c r="D1364" s="807">
        <v>3.42</v>
      </c>
    </row>
    <row r="1365" spans="1:4">
      <c r="A1365" t="s">
        <v>2017</v>
      </c>
      <c r="B1365" t="s">
        <v>5112</v>
      </c>
      <c r="C1365">
        <v>2647</v>
      </c>
      <c r="D1365" s="807">
        <v>2.6</v>
      </c>
    </row>
    <row r="1366" spans="1:4">
      <c r="A1366" t="s">
        <v>1526</v>
      </c>
      <c r="B1366" t="s">
        <v>753</v>
      </c>
      <c r="C1366">
        <v>13776</v>
      </c>
      <c r="D1366" s="807">
        <v>3.3</v>
      </c>
    </row>
    <row r="1367" spans="1:4">
      <c r="A1367" t="s">
        <v>2865</v>
      </c>
      <c r="B1367" t="s">
        <v>1015</v>
      </c>
      <c r="C1367">
        <v>2361</v>
      </c>
      <c r="D1367" s="807">
        <v>3.5</v>
      </c>
    </row>
    <row r="1368" spans="1:4">
      <c r="A1368" t="s">
        <v>6776</v>
      </c>
      <c r="B1368" t="s">
        <v>8687</v>
      </c>
      <c r="C1368">
        <v>17518</v>
      </c>
      <c r="D1368" s="807">
        <v>2.1</v>
      </c>
    </row>
    <row r="1369" spans="1:4">
      <c r="A1369" t="s">
        <v>1523</v>
      </c>
      <c r="B1369" t="s">
        <v>1764</v>
      </c>
      <c r="C1369">
        <v>2536</v>
      </c>
      <c r="D1369" s="807">
        <v>2.75</v>
      </c>
    </row>
    <row r="1370" spans="1:4">
      <c r="A1370" t="s">
        <v>8688</v>
      </c>
      <c r="B1370" t="s">
        <v>2504</v>
      </c>
      <c r="C1370">
        <v>18611</v>
      </c>
      <c r="D1370" s="807">
        <v>3.52</v>
      </c>
    </row>
    <row r="1371" spans="1:4">
      <c r="A1371" t="s">
        <v>6349</v>
      </c>
      <c r="B1371" t="s">
        <v>6348</v>
      </c>
      <c r="C1371">
        <v>19220</v>
      </c>
      <c r="D1371" s="807">
        <v>3.5</v>
      </c>
    </row>
    <row r="1372" spans="1:4">
      <c r="A1372" t="s">
        <v>6748</v>
      </c>
      <c r="B1372" t="s">
        <v>8689</v>
      </c>
      <c r="C1372">
        <v>13817</v>
      </c>
      <c r="D1372" s="807">
        <v>3.5</v>
      </c>
    </row>
    <row r="1373" spans="1:4">
      <c r="A1373" t="s">
        <v>2040</v>
      </c>
      <c r="B1373" t="s">
        <v>3187</v>
      </c>
      <c r="C1373">
        <v>2139</v>
      </c>
      <c r="D1373" s="807">
        <v>3.5</v>
      </c>
    </row>
    <row r="1374" spans="1:4">
      <c r="A1374" t="s">
        <v>4663</v>
      </c>
      <c r="B1374" t="s">
        <v>2136</v>
      </c>
      <c r="C1374">
        <v>2004</v>
      </c>
      <c r="D1374" s="807">
        <v>4.5999999999999996</v>
      </c>
    </row>
    <row r="1375" spans="1:4">
      <c r="A1375" t="s">
        <v>5520</v>
      </c>
      <c r="B1375" t="s">
        <v>5521</v>
      </c>
      <c r="C1375">
        <v>2443</v>
      </c>
      <c r="D1375" s="807">
        <v>3.29</v>
      </c>
    </row>
    <row r="1376" spans="1:4">
      <c r="A1376" t="s">
        <v>3563</v>
      </c>
      <c r="B1376" t="s">
        <v>3564</v>
      </c>
      <c r="C1376">
        <v>3236</v>
      </c>
      <c r="D1376" s="807">
        <v>2.75</v>
      </c>
    </row>
    <row r="1377" spans="1:4">
      <c r="A1377" t="s">
        <v>3413</v>
      </c>
      <c r="B1377" t="s">
        <v>1765</v>
      </c>
      <c r="C1377">
        <v>2441</v>
      </c>
      <c r="D1377" s="807">
        <v>3.15</v>
      </c>
    </row>
    <row r="1378" spans="1:4">
      <c r="A1378" t="s">
        <v>703</v>
      </c>
      <c r="B1378" t="s">
        <v>1766</v>
      </c>
      <c r="C1378">
        <v>3237</v>
      </c>
      <c r="D1378" s="807">
        <v>3.09</v>
      </c>
    </row>
    <row r="1379" spans="1:4">
      <c r="A1379" t="s">
        <v>4768</v>
      </c>
      <c r="B1379" t="s">
        <v>1767</v>
      </c>
      <c r="C1379">
        <v>3235</v>
      </c>
      <c r="D1379" s="807">
        <v>3.1</v>
      </c>
    </row>
    <row r="1380" spans="1:4">
      <c r="A1380" t="s">
        <v>3419</v>
      </c>
      <c r="B1380" t="s">
        <v>1768</v>
      </c>
      <c r="C1380">
        <v>2440</v>
      </c>
      <c r="D1380" s="807">
        <v>3.61</v>
      </c>
    </row>
    <row r="1381" spans="1:4">
      <c r="A1381" t="s">
        <v>5368</v>
      </c>
      <c r="B1381" t="s">
        <v>1769</v>
      </c>
      <c r="C1381">
        <v>2442</v>
      </c>
      <c r="D1381" s="807">
        <v>3.09</v>
      </c>
    </row>
    <row r="1382" spans="1:4">
      <c r="A1382" t="s">
        <v>1859</v>
      </c>
      <c r="B1382" t="s">
        <v>1770</v>
      </c>
      <c r="C1382">
        <v>2435</v>
      </c>
      <c r="D1382" s="807">
        <v>3.44</v>
      </c>
    </row>
    <row r="1383" spans="1:4">
      <c r="A1383" t="s">
        <v>5501</v>
      </c>
      <c r="B1383" t="s">
        <v>5502</v>
      </c>
      <c r="C1383">
        <v>2444</v>
      </c>
      <c r="D1383" s="807">
        <v>3.27</v>
      </c>
    </row>
    <row r="1384" spans="1:4">
      <c r="A1384" t="s">
        <v>5518</v>
      </c>
      <c r="B1384" t="s">
        <v>5519</v>
      </c>
      <c r="C1384">
        <v>2445</v>
      </c>
      <c r="D1384" s="807">
        <v>3.22</v>
      </c>
    </row>
    <row r="1385" spans="1:4">
      <c r="A1385" t="s">
        <v>5522</v>
      </c>
      <c r="B1385" t="s">
        <v>5523</v>
      </c>
      <c r="C1385">
        <v>3240</v>
      </c>
      <c r="D1385" s="807">
        <v>3.47</v>
      </c>
    </row>
    <row r="1386" spans="1:4">
      <c r="A1386" t="s">
        <v>6531</v>
      </c>
      <c r="B1386" t="s">
        <v>333</v>
      </c>
      <c r="C1386">
        <v>16090</v>
      </c>
      <c r="D1386" s="807">
        <v>3.26</v>
      </c>
    </row>
    <row r="1387" spans="1:4">
      <c r="A1387" t="s">
        <v>164</v>
      </c>
      <c r="B1387" t="s">
        <v>6532</v>
      </c>
      <c r="C1387">
        <v>3568</v>
      </c>
      <c r="D1387" s="807">
        <v>3.2</v>
      </c>
    </row>
    <row r="1388" spans="1:4">
      <c r="A1388" t="s">
        <v>872</v>
      </c>
      <c r="B1388" t="s">
        <v>2493</v>
      </c>
      <c r="C1388">
        <v>2377</v>
      </c>
      <c r="D1388" s="807">
        <v>3.03</v>
      </c>
    </row>
    <row r="1389" spans="1:4">
      <c r="A1389" t="s">
        <v>1052</v>
      </c>
      <c r="B1389" t="s">
        <v>2437</v>
      </c>
      <c r="C1389">
        <v>3569</v>
      </c>
      <c r="D1389" s="807">
        <v>3.2</v>
      </c>
    </row>
    <row r="1390" spans="1:4">
      <c r="A1390" t="s">
        <v>4227</v>
      </c>
      <c r="B1390" t="s">
        <v>8690</v>
      </c>
      <c r="C1390">
        <v>3570</v>
      </c>
      <c r="D1390" s="807">
        <v>3.19</v>
      </c>
    </row>
    <row r="1391" spans="1:4">
      <c r="A1391" t="s">
        <v>1939</v>
      </c>
      <c r="B1391" t="s">
        <v>1940</v>
      </c>
      <c r="C1391">
        <v>16924</v>
      </c>
      <c r="D1391" s="807">
        <v>3.5</v>
      </c>
    </row>
    <row r="1392" spans="1:4">
      <c r="A1392" t="s">
        <v>946</v>
      </c>
      <c r="B1392" t="s">
        <v>2438</v>
      </c>
      <c r="C1392">
        <v>3571</v>
      </c>
      <c r="D1392" s="807">
        <v>3.55</v>
      </c>
    </row>
    <row r="1393" spans="1:4">
      <c r="A1393" t="s">
        <v>278</v>
      </c>
      <c r="B1393" t="s">
        <v>2494</v>
      </c>
      <c r="C1393">
        <v>3138</v>
      </c>
      <c r="D1393" s="807">
        <v>3.99</v>
      </c>
    </row>
    <row r="1394" spans="1:4">
      <c r="A1394" t="s">
        <v>4960</v>
      </c>
      <c r="B1394" t="s">
        <v>6214</v>
      </c>
      <c r="C1394">
        <v>3059</v>
      </c>
      <c r="D1394" s="807">
        <v>2</v>
      </c>
    </row>
    <row r="1395" spans="1:4">
      <c r="A1395" t="s">
        <v>3628</v>
      </c>
      <c r="B1395" t="s">
        <v>2999</v>
      </c>
      <c r="C1395">
        <v>13865</v>
      </c>
      <c r="D1395" s="807">
        <v>4</v>
      </c>
    </row>
    <row r="1396" spans="1:4">
      <c r="A1396" t="s">
        <v>6536</v>
      </c>
      <c r="B1396" t="s">
        <v>6535</v>
      </c>
      <c r="C1396">
        <v>19252</v>
      </c>
      <c r="D1396" s="807">
        <v>3.3</v>
      </c>
    </row>
    <row r="1397" spans="1:4">
      <c r="A1397" t="s">
        <v>9030</v>
      </c>
      <c r="B1397" t="s">
        <v>9031</v>
      </c>
      <c r="C1397">
        <v>13875</v>
      </c>
      <c r="D1397" s="807">
        <v>3.2</v>
      </c>
    </row>
    <row r="1398" spans="1:4">
      <c r="A1398" t="s">
        <v>9032</v>
      </c>
      <c r="B1398" t="s">
        <v>9033</v>
      </c>
      <c r="C1398">
        <v>13883</v>
      </c>
      <c r="D1398" s="807">
        <v>4.0999999999999996</v>
      </c>
    </row>
    <row r="1399" spans="1:4">
      <c r="A1399" t="s">
        <v>8883</v>
      </c>
      <c r="B1399" t="s">
        <v>8884</v>
      </c>
      <c r="C1399">
        <v>13884</v>
      </c>
      <c r="D1399" s="807">
        <v>4.3</v>
      </c>
    </row>
    <row r="1400" spans="1:4">
      <c r="A1400" t="s">
        <v>3879</v>
      </c>
      <c r="B1400" t="s">
        <v>3880</v>
      </c>
      <c r="C1400">
        <v>13885</v>
      </c>
      <c r="D1400" s="807">
        <v>4.2</v>
      </c>
    </row>
    <row r="1401" spans="1:4">
      <c r="A1401" t="s">
        <v>4862</v>
      </c>
      <c r="B1401" t="s">
        <v>2439</v>
      </c>
      <c r="C1401">
        <v>2719</v>
      </c>
      <c r="D1401" s="807">
        <v>3.2</v>
      </c>
    </row>
    <row r="1402" spans="1:4">
      <c r="A1402" t="s">
        <v>4140</v>
      </c>
      <c r="B1402" t="s">
        <v>4141</v>
      </c>
      <c r="C1402">
        <v>13896</v>
      </c>
      <c r="D1402" s="807">
        <v>3.61</v>
      </c>
    </row>
    <row r="1403" spans="1:4">
      <c r="A1403" t="s">
        <v>4195</v>
      </c>
      <c r="B1403" t="s">
        <v>8691</v>
      </c>
      <c r="C1403">
        <v>16074</v>
      </c>
      <c r="D1403" s="807">
        <v>3.3</v>
      </c>
    </row>
    <row r="1404" spans="1:4">
      <c r="A1404" t="s">
        <v>6539</v>
      </c>
      <c r="B1404" t="s">
        <v>1996</v>
      </c>
      <c r="C1404">
        <v>2116</v>
      </c>
      <c r="D1404" s="807">
        <v>4.1900000000000004</v>
      </c>
    </row>
    <row r="1405" spans="1:4">
      <c r="A1405" t="s">
        <v>6540</v>
      </c>
      <c r="B1405" t="s">
        <v>1997</v>
      </c>
      <c r="C1405">
        <v>2931</v>
      </c>
      <c r="D1405" s="807">
        <v>3.47</v>
      </c>
    </row>
    <row r="1406" spans="1:4">
      <c r="A1406" t="s">
        <v>6541</v>
      </c>
      <c r="B1406" t="s">
        <v>1998</v>
      </c>
      <c r="C1406">
        <v>2118</v>
      </c>
      <c r="D1406" s="807">
        <v>4.22</v>
      </c>
    </row>
    <row r="1407" spans="1:4">
      <c r="A1407" t="s">
        <v>2505</v>
      </c>
      <c r="B1407" t="s">
        <v>4803</v>
      </c>
      <c r="C1407">
        <v>2932</v>
      </c>
      <c r="D1407" s="807">
        <v>3.6</v>
      </c>
    </row>
    <row r="1408" spans="1:4">
      <c r="A1408" t="s">
        <v>1871</v>
      </c>
      <c r="B1408" t="s">
        <v>4804</v>
      </c>
      <c r="C1408">
        <v>2934</v>
      </c>
      <c r="D1408" s="807">
        <v>4.42</v>
      </c>
    </row>
    <row r="1409" spans="1:4">
      <c r="A1409" t="s">
        <v>6542</v>
      </c>
      <c r="B1409" t="s">
        <v>2827</v>
      </c>
      <c r="C1409">
        <v>2117</v>
      </c>
      <c r="D1409" s="807">
        <v>3.73</v>
      </c>
    </row>
    <row r="1410" spans="1:4">
      <c r="A1410" t="s">
        <v>3314</v>
      </c>
      <c r="B1410" t="s">
        <v>2828</v>
      </c>
      <c r="C1410">
        <v>2930</v>
      </c>
      <c r="D1410" s="807">
        <v>3.81</v>
      </c>
    </row>
    <row r="1411" spans="1:4">
      <c r="A1411" t="s">
        <v>6543</v>
      </c>
      <c r="B1411" t="s">
        <v>2829</v>
      </c>
      <c r="C1411">
        <v>2933</v>
      </c>
      <c r="D1411" s="807">
        <v>4.4000000000000004</v>
      </c>
    </row>
    <row r="1412" spans="1:4">
      <c r="A1412" t="s">
        <v>244</v>
      </c>
      <c r="B1412" t="s">
        <v>2495</v>
      </c>
      <c r="C1412">
        <v>18992</v>
      </c>
      <c r="D1412" s="807">
        <v>3.79</v>
      </c>
    </row>
    <row r="1413" spans="1:4">
      <c r="A1413" t="s">
        <v>9034</v>
      </c>
      <c r="B1413" t="s">
        <v>9035</v>
      </c>
      <c r="C1413">
        <v>13909</v>
      </c>
      <c r="D1413" s="807">
        <v>4</v>
      </c>
    </row>
    <row r="1414" spans="1:4">
      <c r="A1414" t="s">
        <v>3813</v>
      </c>
      <c r="B1414" t="s">
        <v>2762</v>
      </c>
      <c r="C1414">
        <v>3256</v>
      </c>
      <c r="D1414" s="807">
        <v>3.6</v>
      </c>
    </row>
    <row r="1415" spans="1:4">
      <c r="A1415" t="s">
        <v>1615</v>
      </c>
      <c r="B1415" t="s">
        <v>3341</v>
      </c>
      <c r="C1415">
        <v>3340</v>
      </c>
      <c r="D1415" s="807">
        <v>4.32</v>
      </c>
    </row>
    <row r="1416" spans="1:4">
      <c r="A1416" t="s">
        <v>2485</v>
      </c>
      <c r="B1416" t="s">
        <v>965</v>
      </c>
      <c r="C1416">
        <v>2906</v>
      </c>
      <c r="D1416" s="807">
        <v>2.89</v>
      </c>
    </row>
    <row r="1417" spans="1:4">
      <c r="A1417" t="s">
        <v>2571</v>
      </c>
      <c r="B1417" t="s">
        <v>966</v>
      </c>
      <c r="C1417">
        <v>2907</v>
      </c>
      <c r="D1417" s="807">
        <v>4.5</v>
      </c>
    </row>
    <row r="1418" spans="1:4">
      <c r="A1418" t="s">
        <v>9088</v>
      </c>
      <c r="B1418" t="s">
        <v>9089</v>
      </c>
      <c r="C1418">
        <v>18832</v>
      </c>
      <c r="D1418" s="807">
        <v>3.4</v>
      </c>
    </row>
    <row r="1419" spans="1:4">
      <c r="A1419" t="s">
        <v>75</v>
      </c>
      <c r="B1419" t="s">
        <v>2412</v>
      </c>
      <c r="C1419">
        <v>2474</v>
      </c>
      <c r="D1419" s="807">
        <v>4.5</v>
      </c>
    </row>
    <row r="1420" spans="1:4">
      <c r="A1420" t="s">
        <v>5456</v>
      </c>
      <c r="B1420" t="s">
        <v>5193</v>
      </c>
      <c r="C1420">
        <v>3216</v>
      </c>
      <c r="D1420" s="807">
        <v>2.2200000000000002</v>
      </c>
    </row>
    <row r="1421" spans="1:4">
      <c r="A1421" t="s">
        <v>4276</v>
      </c>
      <c r="B1421" t="s">
        <v>8692</v>
      </c>
      <c r="C1421">
        <v>3218</v>
      </c>
      <c r="D1421" s="807">
        <v>2.1</v>
      </c>
    </row>
    <row r="1422" spans="1:4">
      <c r="A1422" t="s">
        <v>670</v>
      </c>
      <c r="B1422" t="s">
        <v>1627</v>
      </c>
      <c r="C1422">
        <v>2409</v>
      </c>
      <c r="D1422" s="807">
        <v>2.069</v>
      </c>
    </row>
    <row r="1423" spans="1:4">
      <c r="A1423" t="s">
        <v>4213</v>
      </c>
      <c r="B1423" t="s">
        <v>8693</v>
      </c>
      <c r="C1423">
        <v>2411</v>
      </c>
      <c r="D1423" s="807">
        <v>2.1</v>
      </c>
    </row>
    <row r="1424" spans="1:4">
      <c r="A1424" t="s">
        <v>3473</v>
      </c>
      <c r="B1424" t="s">
        <v>4723</v>
      </c>
      <c r="C1424">
        <v>2408</v>
      </c>
      <c r="D1424" s="807">
        <v>2</v>
      </c>
    </row>
    <row r="1425" spans="1:4">
      <c r="A1425" t="s">
        <v>1717</v>
      </c>
      <c r="B1425" t="s">
        <v>4724</v>
      </c>
      <c r="C1425">
        <v>3217</v>
      </c>
      <c r="D1425" s="807">
        <v>2</v>
      </c>
    </row>
    <row r="1426" spans="1:4">
      <c r="A1426" t="s">
        <v>6747</v>
      </c>
      <c r="B1426" t="s">
        <v>4724</v>
      </c>
      <c r="C1426">
        <v>6824</v>
      </c>
      <c r="D1426" s="807">
        <v>2</v>
      </c>
    </row>
    <row r="1427" spans="1:4">
      <c r="A1427" t="s">
        <v>8694</v>
      </c>
      <c r="B1427" t="s">
        <v>6544</v>
      </c>
      <c r="C1427">
        <v>13969</v>
      </c>
      <c r="D1427" s="807">
        <v>2</v>
      </c>
    </row>
    <row r="1428" spans="1:4">
      <c r="A1428" t="s">
        <v>4249</v>
      </c>
      <c r="B1428" t="s">
        <v>8695</v>
      </c>
      <c r="C1428">
        <v>2410</v>
      </c>
      <c r="D1428" s="807">
        <v>2.6</v>
      </c>
    </row>
    <row r="1429" spans="1:4">
      <c r="A1429" t="s">
        <v>8696</v>
      </c>
      <c r="B1429" t="s">
        <v>8697</v>
      </c>
      <c r="C1429">
        <v>13971</v>
      </c>
      <c r="D1429" s="807">
        <v>2</v>
      </c>
    </row>
    <row r="1430" spans="1:4">
      <c r="A1430" t="s">
        <v>504</v>
      </c>
      <c r="B1430" t="s">
        <v>2763</v>
      </c>
      <c r="C1430">
        <v>2252</v>
      </c>
      <c r="D1430" s="807">
        <v>3.61</v>
      </c>
    </row>
    <row r="1431" spans="1:4">
      <c r="A1431" t="s">
        <v>1824</v>
      </c>
      <c r="B1431" t="s">
        <v>3342</v>
      </c>
      <c r="C1431">
        <v>2338</v>
      </c>
      <c r="D1431" s="807">
        <v>3.42</v>
      </c>
    </row>
    <row r="1432" spans="1:4">
      <c r="A1432" t="s">
        <v>8885</v>
      </c>
      <c r="B1432" t="s">
        <v>8886</v>
      </c>
      <c r="C1432">
        <v>13982</v>
      </c>
      <c r="D1432" s="807">
        <v>3.6</v>
      </c>
    </row>
    <row r="1433" spans="1:4">
      <c r="A1433" t="s">
        <v>1172</v>
      </c>
      <c r="B1433" t="s">
        <v>2830</v>
      </c>
      <c r="C1433">
        <v>2127</v>
      </c>
      <c r="D1433" s="807">
        <v>3</v>
      </c>
    </row>
    <row r="1434" spans="1:4">
      <c r="A1434" t="s">
        <v>4385</v>
      </c>
      <c r="B1434" t="s">
        <v>1277</v>
      </c>
      <c r="C1434">
        <v>2128</v>
      </c>
      <c r="D1434" s="807">
        <v>3</v>
      </c>
    </row>
    <row r="1435" spans="1:4">
      <c r="A1435" t="s">
        <v>4386</v>
      </c>
      <c r="B1435" t="s">
        <v>1278</v>
      </c>
      <c r="C1435">
        <v>2125</v>
      </c>
      <c r="D1435" s="807">
        <v>3.18</v>
      </c>
    </row>
    <row r="1436" spans="1:4">
      <c r="A1436" t="s">
        <v>94</v>
      </c>
      <c r="B1436" t="s">
        <v>3188</v>
      </c>
      <c r="C1436">
        <v>2512</v>
      </c>
      <c r="D1436" s="807">
        <v>2.04</v>
      </c>
    </row>
    <row r="1437" spans="1:4">
      <c r="A1437" t="s">
        <v>4197</v>
      </c>
      <c r="B1437" t="s">
        <v>3188</v>
      </c>
      <c r="C1437">
        <v>2513</v>
      </c>
      <c r="D1437" s="807">
        <v>2.04</v>
      </c>
    </row>
    <row r="1438" spans="1:4">
      <c r="A1438" t="s">
        <v>5505</v>
      </c>
      <c r="B1438" t="s">
        <v>3189</v>
      </c>
      <c r="C1438">
        <v>2573</v>
      </c>
      <c r="D1438" s="807">
        <v>3.1</v>
      </c>
    </row>
    <row r="1439" spans="1:4">
      <c r="A1439" t="s">
        <v>5482</v>
      </c>
      <c r="B1439" t="s">
        <v>3189</v>
      </c>
      <c r="C1439">
        <v>3382</v>
      </c>
      <c r="D1439" s="807">
        <v>3.1</v>
      </c>
    </row>
    <row r="1440" spans="1:4">
      <c r="A1440" t="s">
        <v>5488</v>
      </c>
      <c r="B1440" t="s">
        <v>3189</v>
      </c>
      <c r="C1440">
        <v>3383</v>
      </c>
      <c r="D1440" s="807">
        <v>3.1</v>
      </c>
    </row>
    <row r="1441" spans="1:4">
      <c r="A1441" t="s">
        <v>5070</v>
      </c>
      <c r="B1441" t="s">
        <v>3189</v>
      </c>
      <c r="C1441">
        <v>3384</v>
      </c>
      <c r="D1441" s="807">
        <v>3.1</v>
      </c>
    </row>
    <row r="1442" spans="1:4">
      <c r="A1442" t="s">
        <v>5494</v>
      </c>
      <c r="B1442" t="s">
        <v>3189</v>
      </c>
      <c r="C1442">
        <v>3385</v>
      </c>
      <c r="D1442" s="807">
        <v>3.1</v>
      </c>
    </row>
    <row r="1443" spans="1:4">
      <c r="A1443" t="s">
        <v>6775</v>
      </c>
      <c r="B1443" t="s">
        <v>4229</v>
      </c>
      <c r="C1443">
        <v>13988</v>
      </c>
      <c r="D1443" s="807">
        <v>2.7</v>
      </c>
    </row>
    <row r="1444" spans="1:4">
      <c r="A1444" t="s">
        <v>4352</v>
      </c>
      <c r="B1444" t="s">
        <v>3005</v>
      </c>
      <c r="C1444">
        <v>2167</v>
      </c>
      <c r="D1444" s="807">
        <v>2.57</v>
      </c>
    </row>
    <row r="1445" spans="1:4">
      <c r="A1445" t="s">
        <v>6213</v>
      </c>
      <c r="B1445" t="s">
        <v>6212</v>
      </c>
      <c r="C1445">
        <v>13994</v>
      </c>
      <c r="D1445" s="807">
        <v>3.4</v>
      </c>
    </row>
    <row r="1446" spans="1:4">
      <c r="A1446" t="s">
        <v>829</v>
      </c>
      <c r="B1446" t="s">
        <v>4022</v>
      </c>
      <c r="C1446">
        <v>18573</v>
      </c>
      <c r="D1446" s="807">
        <v>3.1</v>
      </c>
    </row>
    <row r="1447" spans="1:4">
      <c r="A1447" t="s">
        <v>2894</v>
      </c>
      <c r="B1447" t="s">
        <v>3205</v>
      </c>
      <c r="C1447">
        <v>3509</v>
      </c>
      <c r="D1447" s="807">
        <v>2.1</v>
      </c>
    </row>
    <row r="1448" spans="1:4">
      <c r="A1448" t="s">
        <v>446</v>
      </c>
      <c r="B1448" t="s">
        <v>3206</v>
      </c>
      <c r="C1448">
        <v>2666</v>
      </c>
      <c r="D1448" s="807">
        <v>2.1</v>
      </c>
    </row>
    <row r="1449" spans="1:4">
      <c r="A1449" t="s">
        <v>2700</v>
      </c>
      <c r="B1449" t="s">
        <v>3206</v>
      </c>
      <c r="C1449">
        <v>3510</v>
      </c>
      <c r="D1449" s="807">
        <v>2.1</v>
      </c>
    </row>
    <row r="1450" spans="1:4">
      <c r="A1450" t="s">
        <v>3291</v>
      </c>
      <c r="B1450" t="s">
        <v>850</v>
      </c>
      <c r="C1450">
        <v>3511</v>
      </c>
      <c r="D1450" s="807">
        <v>2.1</v>
      </c>
    </row>
    <row r="1451" spans="1:4">
      <c r="A1451" t="s">
        <v>445</v>
      </c>
      <c r="B1451" t="s">
        <v>8698</v>
      </c>
      <c r="C1451">
        <v>3508</v>
      </c>
      <c r="D1451" s="807">
        <v>2.1</v>
      </c>
    </row>
    <row r="1452" spans="1:4">
      <c r="A1452" t="s">
        <v>6538</v>
      </c>
      <c r="B1452" t="s">
        <v>6537</v>
      </c>
      <c r="C1452">
        <v>2668</v>
      </c>
      <c r="D1452" s="807">
        <v>2</v>
      </c>
    </row>
    <row r="1453" spans="1:4">
      <c r="A1453" t="s">
        <v>5083</v>
      </c>
      <c r="B1453" t="s">
        <v>1237</v>
      </c>
      <c r="C1453">
        <v>3160</v>
      </c>
      <c r="D1453" s="807">
        <v>3.6</v>
      </c>
    </row>
    <row r="1454" spans="1:4">
      <c r="A1454" t="s">
        <v>9036</v>
      </c>
      <c r="B1454" t="s">
        <v>9037</v>
      </c>
      <c r="C1454">
        <v>14009</v>
      </c>
      <c r="D1454" s="807">
        <v>3.2</v>
      </c>
    </row>
    <row r="1455" spans="1:4">
      <c r="A1455" t="s">
        <v>4216</v>
      </c>
      <c r="B1455" t="s">
        <v>8699</v>
      </c>
      <c r="C1455">
        <v>2515</v>
      </c>
      <c r="D1455" s="807">
        <v>3.9</v>
      </c>
    </row>
    <row r="1456" spans="1:4">
      <c r="A1456" t="s">
        <v>3345</v>
      </c>
      <c r="B1456" t="s">
        <v>2137</v>
      </c>
      <c r="C1456">
        <v>2843</v>
      </c>
      <c r="D1456" s="807">
        <v>3.0609999999999999</v>
      </c>
    </row>
    <row r="1457" spans="1:4">
      <c r="A1457" t="s">
        <v>4513</v>
      </c>
      <c r="B1457" t="s">
        <v>4906</v>
      </c>
      <c r="C1457">
        <v>2047</v>
      </c>
      <c r="D1457" s="807">
        <v>3.97</v>
      </c>
    </row>
    <row r="1458" spans="1:4">
      <c r="A1458" t="s">
        <v>6794</v>
      </c>
      <c r="B1458" t="s">
        <v>8700</v>
      </c>
      <c r="C1458">
        <v>19261</v>
      </c>
      <c r="D1458" s="807">
        <v>2</v>
      </c>
    </row>
    <row r="1459" spans="1:4">
      <c r="A1459" t="s">
        <v>4165</v>
      </c>
      <c r="B1459" t="s">
        <v>5143</v>
      </c>
      <c r="C1459">
        <v>2622</v>
      </c>
      <c r="D1459" s="807">
        <v>2.2000000000000002</v>
      </c>
    </row>
    <row r="1460" spans="1:4">
      <c r="A1460" t="s">
        <v>4087</v>
      </c>
      <c r="B1460" t="s">
        <v>1238</v>
      </c>
      <c r="C1460">
        <v>3174</v>
      </c>
      <c r="D1460" s="807">
        <v>3.48</v>
      </c>
    </row>
    <row r="1461" spans="1:4">
      <c r="A1461" t="s">
        <v>2120</v>
      </c>
      <c r="B1461" t="s">
        <v>797</v>
      </c>
      <c r="C1461">
        <v>2369</v>
      </c>
      <c r="D1461" s="807">
        <v>3.6</v>
      </c>
    </row>
    <row r="1462" spans="1:4">
      <c r="A1462" t="s">
        <v>1272</v>
      </c>
      <c r="B1462" t="s">
        <v>798</v>
      </c>
      <c r="C1462">
        <v>3173</v>
      </c>
      <c r="D1462" s="807">
        <v>3.73</v>
      </c>
    </row>
    <row r="1463" spans="1:4">
      <c r="A1463" t="s">
        <v>1481</v>
      </c>
      <c r="B1463" t="s">
        <v>799</v>
      </c>
      <c r="C1463">
        <v>2368</v>
      </c>
      <c r="D1463" s="807">
        <v>3.4</v>
      </c>
    </row>
    <row r="1464" spans="1:4">
      <c r="A1464" t="s">
        <v>2018</v>
      </c>
      <c r="B1464" t="s">
        <v>4167</v>
      </c>
      <c r="C1464">
        <v>3172</v>
      </c>
      <c r="D1464" s="807">
        <v>3.53</v>
      </c>
    </row>
    <row r="1465" spans="1:4">
      <c r="A1465" t="s">
        <v>702</v>
      </c>
      <c r="B1465" t="s">
        <v>4168</v>
      </c>
      <c r="C1465">
        <v>3243</v>
      </c>
      <c r="D1465" s="807">
        <v>3.92</v>
      </c>
    </row>
    <row r="1466" spans="1:4">
      <c r="A1466" t="s">
        <v>1127</v>
      </c>
      <c r="B1466" t="s">
        <v>4169</v>
      </c>
      <c r="C1466">
        <v>2382</v>
      </c>
      <c r="D1466" s="807">
        <v>3.32</v>
      </c>
    </row>
    <row r="1467" spans="1:4">
      <c r="A1467" t="s">
        <v>5437</v>
      </c>
      <c r="B1467" t="s">
        <v>4170</v>
      </c>
      <c r="C1467">
        <v>3189</v>
      </c>
      <c r="D1467" s="807">
        <v>3.81</v>
      </c>
    </row>
    <row r="1468" spans="1:4">
      <c r="A1468" t="s">
        <v>6767</v>
      </c>
      <c r="B1468" t="s">
        <v>8701</v>
      </c>
      <c r="C1468">
        <v>6350</v>
      </c>
      <c r="D1468" s="807">
        <v>3.7</v>
      </c>
    </row>
    <row r="1469" spans="1:4">
      <c r="A1469" t="s">
        <v>3152</v>
      </c>
      <c r="B1469" t="s">
        <v>4171</v>
      </c>
      <c r="C1469">
        <v>2381</v>
      </c>
      <c r="D1469" s="807">
        <v>3.65</v>
      </c>
    </row>
    <row r="1470" spans="1:4">
      <c r="A1470" t="s">
        <v>74</v>
      </c>
      <c r="B1470" t="s">
        <v>4172</v>
      </c>
      <c r="C1470">
        <v>2380</v>
      </c>
      <c r="D1470" s="807">
        <v>3.55</v>
      </c>
    </row>
    <row r="1471" spans="1:4">
      <c r="A1471" t="s">
        <v>4965</v>
      </c>
      <c r="B1471" t="s">
        <v>6231</v>
      </c>
      <c r="C1471">
        <v>16484</v>
      </c>
      <c r="D1471" s="807">
        <v>2</v>
      </c>
    </row>
    <row r="1472" spans="1:4">
      <c r="A1472" t="s">
        <v>371</v>
      </c>
      <c r="B1472" t="s">
        <v>3201</v>
      </c>
      <c r="C1472">
        <v>16488</v>
      </c>
      <c r="D1472" s="807">
        <v>2.7</v>
      </c>
    </row>
    <row r="1473" spans="1:4">
      <c r="A1473" t="s">
        <v>1273</v>
      </c>
      <c r="B1473" t="s">
        <v>3202</v>
      </c>
      <c r="C1473">
        <v>2607</v>
      </c>
      <c r="D1473" s="807">
        <v>2.7</v>
      </c>
    </row>
    <row r="1474" spans="1:4">
      <c r="A1474" t="s">
        <v>4964</v>
      </c>
      <c r="B1474" t="s">
        <v>8702</v>
      </c>
      <c r="C1474">
        <v>16496</v>
      </c>
      <c r="D1474" s="807">
        <v>2.4700000000000002</v>
      </c>
    </row>
    <row r="1475" spans="1:4">
      <c r="A1475" t="s">
        <v>5485</v>
      </c>
      <c r="B1475" t="s">
        <v>5144</v>
      </c>
      <c r="C1475">
        <v>3429</v>
      </c>
      <c r="D1475" s="807">
        <v>2.2000000000000002</v>
      </c>
    </row>
    <row r="1476" spans="1:4">
      <c r="A1476" t="s">
        <v>5503</v>
      </c>
      <c r="B1476" t="s">
        <v>5144</v>
      </c>
      <c r="C1476">
        <v>3430</v>
      </c>
      <c r="D1476" s="807">
        <v>2.2000000000000002</v>
      </c>
    </row>
    <row r="1477" spans="1:4">
      <c r="A1477" t="s">
        <v>1054</v>
      </c>
      <c r="B1477" t="s">
        <v>4811</v>
      </c>
      <c r="C1477">
        <v>3442</v>
      </c>
      <c r="D1477" s="807">
        <v>3.2</v>
      </c>
    </row>
    <row r="1478" spans="1:4">
      <c r="A1478" t="s">
        <v>331</v>
      </c>
      <c r="B1478" t="s">
        <v>4812</v>
      </c>
      <c r="C1478">
        <v>2619</v>
      </c>
      <c r="D1478" s="807">
        <v>2.6</v>
      </c>
    </row>
    <row r="1479" spans="1:4">
      <c r="A1479" t="s">
        <v>947</v>
      </c>
      <c r="B1479" t="s">
        <v>4813</v>
      </c>
      <c r="C1479">
        <v>3452</v>
      </c>
      <c r="D1479" s="807">
        <v>2.6</v>
      </c>
    </row>
    <row r="1480" spans="1:4">
      <c r="A1480" t="s">
        <v>1121</v>
      </c>
      <c r="B1480" t="s">
        <v>4814</v>
      </c>
      <c r="C1480">
        <v>3453</v>
      </c>
      <c r="D1480" s="807">
        <v>2.6</v>
      </c>
    </row>
    <row r="1481" spans="1:4">
      <c r="A1481" t="s">
        <v>1115</v>
      </c>
      <c r="B1481" t="s">
        <v>4815</v>
      </c>
      <c r="C1481">
        <v>2618</v>
      </c>
      <c r="D1481" s="807">
        <v>2.6</v>
      </c>
    </row>
    <row r="1482" spans="1:4">
      <c r="A1482" t="s">
        <v>2204</v>
      </c>
      <c r="B1482" t="s">
        <v>4816</v>
      </c>
      <c r="C1482">
        <v>3451</v>
      </c>
      <c r="D1482" s="807">
        <v>3.2</v>
      </c>
    </row>
    <row r="1483" spans="1:4">
      <c r="A1483" t="s">
        <v>6758</v>
      </c>
      <c r="B1483" t="s">
        <v>8703</v>
      </c>
      <c r="C1483">
        <v>2787</v>
      </c>
      <c r="D1483" s="807">
        <v>1</v>
      </c>
    </row>
    <row r="1484" spans="1:4">
      <c r="A1484" t="s">
        <v>1393</v>
      </c>
      <c r="B1484" t="s">
        <v>4929</v>
      </c>
      <c r="C1484">
        <v>2505</v>
      </c>
      <c r="D1484" s="807">
        <v>3.12</v>
      </c>
    </row>
    <row r="1485" spans="1:4">
      <c r="A1485" t="s">
        <v>3024</v>
      </c>
      <c r="B1485" t="s">
        <v>4930</v>
      </c>
      <c r="C1485">
        <v>3310</v>
      </c>
      <c r="D1485" s="807">
        <v>3.36</v>
      </c>
    </row>
    <row r="1486" spans="1:4">
      <c r="A1486" t="s">
        <v>2594</v>
      </c>
      <c r="B1486" t="s">
        <v>3203</v>
      </c>
      <c r="C1486">
        <v>16511</v>
      </c>
      <c r="D1486" s="807">
        <v>2.4713768380352099</v>
      </c>
    </row>
    <row r="1487" spans="1:4">
      <c r="A1487" t="s">
        <v>1888</v>
      </c>
      <c r="B1487" t="s">
        <v>1360</v>
      </c>
      <c r="C1487">
        <v>3425</v>
      </c>
      <c r="D1487" s="807">
        <v>2.46</v>
      </c>
    </row>
    <row r="1488" spans="1:4">
      <c r="A1488" t="s">
        <v>2593</v>
      </c>
      <c r="B1488" t="s">
        <v>1361</v>
      </c>
      <c r="C1488">
        <v>16513</v>
      </c>
      <c r="D1488" s="807">
        <v>2.4713768380352099</v>
      </c>
    </row>
    <row r="1489" spans="1:4">
      <c r="A1489" t="s">
        <v>2589</v>
      </c>
      <c r="B1489" t="s">
        <v>1362</v>
      </c>
      <c r="C1489">
        <v>16514</v>
      </c>
      <c r="D1489" s="807">
        <v>2.4713768380352099</v>
      </c>
    </row>
    <row r="1490" spans="1:4">
      <c r="A1490" t="s">
        <v>1954</v>
      </c>
      <c r="B1490" t="s">
        <v>1955</v>
      </c>
      <c r="C1490">
        <v>16515</v>
      </c>
      <c r="D1490" s="807">
        <v>3.3182763159269002</v>
      </c>
    </row>
    <row r="1491" spans="1:4">
      <c r="A1491" t="s">
        <v>2592</v>
      </c>
      <c r="B1491" t="s">
        <v>2267</v>
      </c>
      <c r="C1491">
        <v>16516</v>
      </c>
      <c r="D1491" s="807">
        <v>2.4713768380352099</v>
      </c>
    </row>
    <row r="1492" spans="1:4">
      <c r="A1492" t="s">
        <v>5260</v>
      </c>
      <c r="B1492" t="s">
        <v>2268</v>
      </c>
      <c r="C1492">
        <v>3426</v>
      </c>
      <c r="D1492" s="807">
        <v>2.2999999999999998</v>
      </c>
    </row>
    <row r="1493" spans="1:4">
      <c r="A1493" t="s">
        <v>6678</v>
      </c>
      <c r="B1493" t="s">
        <v>6677</v>
      </c>
      <c r="C1493">
        <v>16518</v>
      </c>
      <c r="D1493" s="807">
        <v>2</v>
      </c>
    </row>
    <row r="1494" spans="1:4">
      <c r="A1494" t="s">
        <v>1623</v>
      </c>
      <c r="B1494" t="s">
        <v>2269</v>
      </c>
      <c r="C1494">
        <v>2604</v>
      </c>
      <c r="D1494" s="807">
        <v>2.2999999999999998</v>
      </c>
    </row>
    <row r="1495" spans="1:4">
      <c r="A1495" t="s">
        <v>4269</v>
      </c>
      <c r="B1495" t="s">
        <v>8704</v>
      </c>
      <c r="C1495">
        <v>2193</v>
      </c>
      <c r="D1495" s="807">
        <v>3.1</v>
      </c>
    </row>
    <row r="1496" spans="1:4">
      <c r="A1496" t="s">
        <v>6556</v>
      </c>
      <c r="B1496" t="s">
        <v>42</v>
      </c>
      <c r="C1496">
        <v>19131</v>
      </c>
      <c r="D1496" s="807">
        <v>2.76</v>
      </c>
    </row>
    <row r="1497" spans="1:4">
      <c r="A1497" t="s">
        <v>4233</v>
      </c>
      <c r="B1497" t="s">
        <v>8705</v>
      </c>
      <c r="C1497">
        <v>2979</v>
      </c>
      <c r="D1497" s="807">
        <v>3.4</v>
      </c>
    </row>
    <row r="1498" spans="1:4">
      <c r="A1498" t="s">
        <v>3168</v>
      </c>
      <c r="B1498" t="s">
        <v>3190</v>
      </c>
      <c r="C1498">
        <v>2192</v>
      </c>
      <c r="D1498" s="807">
        <v>3.36</v>
      </c>
    </row>
    <row r="1499" spans="1:4">
      <c r="A1499" t="s">
        <v>2690</v>
      </c>
      <c r="B1499" t="s">
        <v>3934</v>
      </c>
      <c r="C1499">
        <v>3554</v>
      </c>
      <c r="D1499" s="807">
        <v>2.1</v>
      </c>
    </row>
    <row r="1500" spans="1:4">
      <c r="A1500" t="s">
        <v>827</v>
      </c>
      <c r="B1500" t="s">
        <v>4817</v>
      </c>
      <c r="C1500">
        <v>3445</v>
      </c>
      <c r="D1500" s="807">
        <v>3.2</v>
      </c>
    </row>
    <row r="1501" spans="1:4">
      <c r="A1501" t="s">
        <v>2960</v>
      </c>
      <c r="B1501" t="s">
        <v>4818</v>
      </c>
      <c r="C1501">
        <v>2616</v>
      </c>
      <c r="D1501" s="807">
        <v>2.6</v>
      </c>
    </row>
    <row r="1502" spans="1:4">
      <c r="A1502" t="s">
        <v>2653</v>
      </c>
      <c r="B1502" t="s">
        <v>3373</v>
      </c>
      <c r="C1502">
        <v>16234</v>
      </c>
      <c r="D1502" s="807">
        <v>2.9587323501170402</v>
      </c>
    </row>
    <row r="1503" spans="1:4">
      <c r="A1503" t="s">
        <v>4714</v>
      </c>
      <c r="B1503" t="s">
        <v>3374</v>
      </c>
      <c r="C1503">
        <v>3446</v>
      </c>
      <c r="D1503" s="807">
        <v>3.2</v>
      </c>
    </row>
    <row r="1504" spans="1:4">
      <c r="A1504" t="s">
        <v>4211</v>
      </c>
      <c r="B1504" t="s">
        <v>8706</v>
      </c>
      <c r="C1504">
        <v>16237</v>
      </c>
      <c r="D1504" s="807">
        <v>2.77</v>
      </c>
    </row>
    <row r="1505" spans="1:4">
      <c r="A1505" t="s">
        <v>4452</v>
      </c>
      <c r="B1505" t="s">
        <v>4407</v>
      </c>
      <c r="C1505">
        <v>2614</v>
      </c>
      <c r="D1505" s="807">
        <v>2.6</v>
      </c>
    </row>
    <row r="1506" spans="1:4">
      <c r="A1506" t="s">
        <v>6547</v>
      </c>
      <c r="B1506" t="s">
        <v>6546</v>
      </c>
      <c r="C1506">
        <v>16299</v>
      </c>
      <c r="D1506" s="807">
        <v>2</v>
      </c>
    </row>
    <row r="1507" spans="1:4">
      <c r="A1507" t="s">
        <v>4223</v>
      </c>
      <c r="B1507" t="s">
        <v>8707</v>
      </c>
      <c r="C1507">
        <v>3444</v>
      </c>
      <c r="D1507" s="807">
        <v>2.77</v>
      </c>
    </row>
    <row r="1508" spans="1:4">
      <c r="A1508" t="s">
        <v>3150</v>
      </c>
      <c r="B1508" t="s">
        <v>4408</v>
      </c>
      <c r="C1508">
        <v>3443</v>
      </c>
      <c r="D1508" s="807">
        <v>2.8</v>
      </c>
    </row>
    <row r="1509" spans="1:4">
      <c r="A1509" t="s">
        <v>4193</v>
      </c>
      <c r="B1509" t="s">
        <v>8708</v>
      </c>
      <c r="C1509">
        <v>17576</v>
      </c>
      <c r="D1509" s="807">
        <v>2.1</v>
      </c>
    </row>
    <row r="1510" spans="1:4">
      <c r="A1510" t="s">
        <v>5528</v>
      </c>
      <c r="B1510" t="s">
        <v>3935</v>
      </c>
      <c r="C1510">
        <v>3545</v>
      </c>
      <c r="D1510" s="807">
        <v>2.1</v>
      </c>
    </row>
    <row r="1511" spans="1:4">
      <c r="A1511" t="s">
        <v>3485</v>
      </c>
      <c r="B1511" t="s">
        <v>3936</v>
      </c>
      <c r="C1511">
        <v>17386</v>
      </c>
      <c r="D1511" s="807">
        <v>2.0617598316454031</v>
      </c>
    </row>
    <row r="1512" spans="1:4">
      <c r="A1512" t="s">
        <v>4243</v>
      </c>
      <c r="B1512" t="s">
        <v>6599</v>
      </c>
      <c r="C1512">
        <v>14054</v>
      </c>
      <c r="D1512" s="807">
        <v>3.6</v>
      </c>
    </row>
    <row r="1513" spans="1:4">
      <c r="A1513" t="s">
        <v>714</v>
      </c>
      <c r="B1513" t="s">
        <v>835</v>
      </c>
      <c r="C1513">
        <v>2768</v>
      </c>
      <c r="D1513" s="807">
        <v>2.2999999999999998</v>
      </c>
    </row>
    <row r="1514" spans="1:4">
      <c r="A1514" t="s">
        <v>6557</v>
      </c>
      <c r="B1514" t="s">
        <v>5504</v>
      </c>
      <c r="C1514">
        <v>2448</v>
      </c>
      <c r="D1514" s="807">
        <v>4.04</v>
      </c>
    </row>
    <row r="1515" spans="1:4">
      <c r="A1515" t="s">
        <v>8325</v>
      </c>
      <c r="B1515" t="s">
        <v>8326</v>
      </c>
      <c r="C1515">
        <v>20347</v>
      </c>
      <c r="D1515" s="807">
        <v>3.4</v>
      </c>
    </row>
    <row r="1516" spans="1:4">
      <c r="A1516" t="s">
        <v>8709</v>
      </c>
      <c r="B1516" t="s">
        <v>8326</v>
      </c>
      <c r="C1516">
        <v>20360</v>
      </c>
      <c r="D1516" s="807">
        <v>3.4</v>
      </c>
    </row>
    <row r="1517" spans="1:4">
      <c r="A1517" s="403" t="s">
        <v>8931</v>
      </c>
      <c r="B1517" s="403" t="s">
        <v>8932</v>
      </c>
      <c r="C1517" s="403">
        <v>14087</v>
      </c>
      <c r="D1517" s="807">
        <v>4.0999999999999996</v>
      </c>
    </row>
    <row r="1518" spans="1:4">
      <c r="A1518" t="s">
        <v>6227</v>
      </c>
      <c r="B1518" t="s">
        <v>6226</v>
      </c>
      <c r="C1518">
        <v>14093</v>
      </c>
      <c r="D1518" s="807">
        <v>2</v>
      </c>
    </row>
    <row r="1519" spans="1:4">
      <c r="A1519" t="s">
        <v>8327</v>
      </c>
      <c r="B1519" t="s">
        <v>8328</v>
      </c>
      <c r="C1519">
        <v>6540</v>
      </c>
      <c r="D1519" s="807">
        <v>2.21</v>
      </c>
    </row>
    <row r="1520" spans="1:4">
      <c r="A1520" t="s">
        <v>3044</v>
      </c>
      <c r="B1520" t="s">
        <v>3191</v>
      </c>
      <c r="C1520">
        <v>14100</v>
      </c>
      <c r="D1520" s="807">
        <v>3.45</v>
      </c>
    </row>
    <row r="1521" spans="1:4">
      <c r="A1521" t="s">
        <v>4127</v>
      </c>
      <c r="B1521" t="s">
        <v>716</v>
      </c>
      <c r="C1521">
        <v>3083</v>
      </c>
      <c r="D1521" s="807">
        <v>4.1100000000000003</v>
      </c>
    </row>
    <row r="1522" spans="1:4">
      <c r="A1522" t="s">
        <v>6558</v>
      </c>
      <c r="B1522" t="s">
        <v>2502</v>
      </c>
      <c r="C1522">
        <v>19101</v>
      </c>
      <c r="D1522" s="807">
        <v>4.04</v>
      </c>
    </row>
    <row r="1523" spans="1:4">
      <c r="A1523" t="s">
        <v>54</v>
      </c>
      <c r="B1523" t="s">
        <v>2912</v>
      </c>
      <c r="C1523">
        <v>3372</v>
      </c>
      <c r="D1523" s="807">
        <v>4.5</v>
      </c>
    </row>
    <row r="1524" spans="1:4">
      <c r="A1524" t="s">
        <v>4129</v>
      </c>
      <c r="B1524" t="s">
        <v>2913</v>
      </c>
      <c r="C1524">
        <v>3351</v>
      </c>
      <c r="D1524" s="807">
        <v>4.49</v>
      </c>
    </row>
    <row r="1525" spans="1:4">
      <c r="A1525" t="s">
        <v>6387</v>
      </c>
      <c r="B1525" t="s">
        <v>6386</v>
      </c>
      <c r="C1525">
        <v>14118</v>
      </c>
      <c r="D1525" s="807">
        <v>4.2</v>
      </c>
    </row>
    <row r="1526" spans="1:4">
      <c r="A1526" t="s">
        <v>2743</v>
      </c>
      <c r="B1526" t="s">
        <v>4585</v>
      </c>
      <c r="C1526">
        <v>3350</v>
      </c>
      <c r="D1526" s="807">
        <v>4.3499999999999996</v>
      </c>
    </row>
    <row r="1527" spans="1:4">
      <c r="A1527" t="s">
        <v>1835</v>
      </c>
      <c r="B1527" t="s">
        <v>4586</v>
      </c>
      <c r="C1527">
        <v>2540</v>
      </c>
      <c r="D1527" s="807">
        <v>4.16</v>
      </c>
    </row>
    <row r="1528" spans="1:4">
      <c r="A1528" t="s">
        <v>2588</v>
      </c>
      <c r="B1528" t="s">
        <v>5135</v>
      </c>
      <c r="C1528">
        <v>18569</v>
      </c>
      <c r="D1528" s="807">
        <v>2.2999999999999998</v>
      </c>
    </row>
    <row r="1529" spans="1:4">
      <c r="A1529" t="s">
        <v>3329</v>
      </c>
      <c r="B1529" t="s">
        <v>5136</v>
      </c>
      <c r="C1529">
        <v>18567</v>
      </c>
      <c r="D1529" s="807">
        <v>2.2999999999999998</v>
      </c>
    </row>
    <row r="1530" spans="1:4">
      <c r="A1530" t="s">
        <v>2587</v>
      </c>
      <c r="B1530" t="s">
        <v>5137</v>
      </c>
      <c r="C1530">
        <v>18568</v>
      </c>
      <c r="D1530" s="807">
        <v>2.2999999999999998</v>
      </c>
    </row>
    <row r="1531" spans="1:4">
      <c r="A1531" t="s">
        <v>4451</v>
      </c>
      <c r="B1531" t="s">
        <v>5138</v>
      </c>
      <c r="C1531">
        <v>2640</v>
      </c>
      <c r="D1531" s="807">
        <v>2.2999999999999998</v>
      </c>
    </row>
    <row r="1532" spans="1:4">
      <c r="A1532" t="s">
        <v>5509</v>
      </c>
      <c r="B1532" t="s">
        <v>5510</v>
      </c>
      <c r="C1532">
        <v>3474</v>
      </c>
      <c r="D1532" s="807">
        <v>3.25</v>
      </c>
    </row>
    <row r="1533" spans="1:4">
      <c r="A1533" t="s">
        <v>4442</v>
      </c>
      <c r="B1533" t="s">
        <v>26</v>
      </c>
      <c r="C1533">
        <v>2643</v>
      </c>
      <c r="D1533" s="807">
        <v>2.2999999999999998</v>
      </c>
    </row>
    <row r="1534" spans="1:4">
      <c r="A1534" t="s">
        <v>3432</v>
      </c>
      <c r="B1534" t="s">
        <v>5402</v>
      </c>
      <c r="C1534">
        <v>3473</v>
      </c>
      <c r="D1534" s="807">
        <v>2.2999999999999998</v>
      </c>
    </row>
    <row r="1535" spans="1:4">
      <c r="A1535" t="s">
        <v>2601</v>
      </c>
      <c r="B1535" t="s">
        <v>5403</v>
      </c>
      <c r="C1535">
        <v>3475</v>
      </c>
      <c r="D1535" s="807">
        <v>2.2999999999999998</v>
      </c>
    </row>
    <row r="1536" spans="1:4">
      <c r="A1536" t="s">
        <v>6559</v>
      </c>
      <c r="B1536" t="s">
        <v>2479</v>
      </c>
      <c r="C1536">
        <v>18644</v>
      </c>
      <c r="D1536" s="807">
        <v>2.0935528537656198</v>
      </c>
    </row>
    <row r="1537" spans="1:4">
      <c r="A1537" t="s">
        <v>3861</v>
      </c>
      <c r="B1537" t="s">
        <v>3862</v>
      </c>
      <c r="C1537">
        <v>19127</v>
      </c>
      <c r="D1537" s="807">
        <v>3.3182763159269002</v>
      </c>
    </row>
    <row r="1538" spans="1:4">
      <c r="A1538" t="s">
        <v>1987</v>
      </c>
      <c r="B1538" t="s">
        <v>2219</v>
      </c>
      <c r="C1538">
        <v>2360</v>
      </c>
      <c r="D1538" s="807">
        <v>2.4900000000000002</v>
      </c>
    </row>
    <row r="1539" spans="1:4">
      <c r="A1539" t="s">
        <v>4654</v>
      </c>
      <c r="B1539" t="s">
        <v>308</v>
      </c>
      <c r="C1539">
        <v>3417</v>
      </c>
      <c r="D1539" s="807">
        <v>2.7</v>
      </c>
    </row>
    <row r="1540" spans="1:4">
      <c r="A1540" t="s">
        <v>3331</v>
      </c>
      <c r="B1540" t="s">
        <v>3949</v>
      </c>
      <c r="C1540">
        <v>2599</v>
      </c>
      <c r="D1540" s="807">
        <v>2.7</v>
      </c>
    </row>
    <row r="1541" spans="1:4">
      <c r="A1541" t="s">
        <v>4044</v>
      </c>
      <c r="B1541" t="s">
        <v>3950</v>
      </c>
      <c r="C1541">
        <v>2598</v>
      </c>
      <c r="D1541" s="807">
        <v>3.31</v>
      </c>
    </row>
    <row r="1542" spans="1:4">
      <c r="A1542" t="s">
        <v>3290</v>
      </c>
      <c r="B1542" t="s">
        <v>2220</v>
      </c>
      <c r="C1542">
        <v>2431</v>
      </c>
      <c r="D1542" s="807">
        <v>3.87</v>
      </c>
    </row>
    <row r="1543" spans="1:4">
      <c r="A1543" t="s">
        <v>6203</v>
      </c>
      <c r="B1543" t="s">
        <v>6202</v>
      </c>
      <c r="C1543">
        <v>2339</v>
      </c>
      <c r="D1543" s="807">
        <v>3.6</v>
      </c>
    </row>
    <row r="1544" spans="1:4">
      <c r="A1544" t="s">
        <v>9038</v>
      </c>
      <c r="B1544" t="s">
        <v>9039</v>
      </c>
      <c r="C1544">
        <v>14152</v>
      </c>
      <c r="D1544" s="807">
        <v>3.5</v>
      </c>
    </row>
    <row r="1545" spans="1:4">
      <c r="A1545" t="s">
        <v>3046</v>
      </c>
      <c r="B1545" t="s">
        <v>5145</v>
      </c>
      <c r="C1545">
        <v>3458</v>
      </c>
      <c r="D1545" s="807">
        <v>2.2000000000000002</v>
      </c>
    </row>
    <row r="1546" spans="1:4">
      <c r="A1546" t="s">
        <v>4762</v>
      </c>
      <c r="B1546" t="s">
        <v>4931</v>
      </c>
      <c r="C1546">
        <v>3127</v>
      </c>
      <c r="D1546" s="807">
        <v>2.93</v>
      </c>
    </row>
    <row r="1547" spans="1:4">
      <c r="A1547" t="s">
        <v>699</v>
      </c>
      <c r="B1547" t="s">
        <v>2764</v>
      </c>
      <c r="C1547">
        <v>14169</v>
      </c>
      <c r="D1547" s="807">
        <v>3.5</v>
      </c>
    </row>
    <row r="1548" spans="1:4">
      <c r="A1548" t="s">
        <v>5472</v>
      </c>
      <c r="B1548" t="s">
        <v>5473</v>
      </c>
      <c r="C1548">
        <v>18646</v>
      </c>
      <c r="D1548" s="807">
        <v>2</v>
      </c>
    </row>
    <row r="1549" spans="1:4">
      <c r="A1549" t="s">
        <v>3325</v>
      </c>
      <c r="B1549" t="s">
        <v>2261</v>
      </c>
      <c r="C1549">
        <v>14195</v>
      </c>
      <c r="D1549" s="807">
        <v>2.95</v>
      </c>
    </row>
    <row r="1550" spans="1:4">
      <c r="A1550" t="s">
        <v>3805</v>
      </c>
      <c r="B1550" t="s">
        <v>2765</v>
      </c>
      <c r="C1550">
        <v>16071</v>
      </c>
      <c r="D1550" s="807">
        <v>3.3</v>
      </c>
    </row>
    <row r="1551" spans="1:4">
      <c r="A1551" t="s">
        <v>3421</v>
      </c>
      <c r="B1551" t="s">
        <v>4932</v>
      </c>
      <c r="C1551">
        <v>3125</v>
      </c>
      <c r="D1551" s="807">
        <v>3.55</v>
      </c>
    </row>
    <row r="1552" spans="1:4">
      <c r="A1552" t="s">
        <v>8710</v>
      </c>
      <c r="B1552" t="s">
        <v>8711</v>
      </c>
      <c r="C1552">
        <v>6565</v>
      </c>
      <c r="D1552" s="807">
        <v>2.56</v>
      </c>
    </row>
    <row r="1553" spans="1:4">
      <c r="A1553" t="s">
        <v>3424</v>
      </c>
      <c r="B1553" t="s">
        <v>5085</v>
      </c>
      <c r="C1553">
        <v>3241</v>
      </c>
      <c r="D1553" s="807">
        <v>3.86</v>
      </c>
    </row>
    <row r="1554" spans="1:4">
      <c r="A1554" t="s">
        <v>8712</v>
      </c>
      <c r="B1554" t="s">
        <v>8713</v>
      </c>
      <c r="C1554">
        <v>19124</v>
      </c>
      <c r="D1554" s="807">
        <v>3.6</v>
      </c>
    </row>
    <row r="1555" spans="1:4">
      <c r="A1555" t="s">
        <v>3417</v>
      </c>
      <c r="B1555" t="s">
        <v>5086</v>
      </c>
      <c r="C1555">
        <v>2446</v>
      </c>
      <c r="D1555" s="807">
        <v>3.49</v>
      </c>
    </row>
    <row r="1556" spans="1:4">
      <c r="A1556" t="s">
        <v>2624</v>
      </c>
      <c r="B1556" t="s">
        <v>1595</v>
      </c>
      <c r="C1556">
        <v>3525</v>
      </c>
      <c r="D1556" s="807">
        <v>2.1</v>
      </c>
    </row>
    <row r="1557" spans="1:4">
      <c r="A1557" t="s">
        <v>2644</v>
      </c>
      <c r="B1557" t="s">
        <v>1596</v>
      </c>
      <c r="C1557">
        <v>2679</v>
      </c>
      <c r="D1557" s="807">
        <v>2.1</v>
      </c>
    </row>
    <row r="1558" spans="1:4">
      <c r="A1558" t="s">
        <v>4262</v>
      </c>
      <c r="B1558" t="s">
        <v>8714</v>
      </c>
      <c r="C1558">
        <v>3518</v>
      </c>
      <c r="D1558" s="807">
        <v>2.1</v>
      </c>
    </row>
    <row r="1559" spans="1:4">
      <c r="A1559" t="s">
        <v>1158</v>
      </c>
      <c r="B1559" t="s">
        <v>3611</v>
      </c>
      <c r="C1559">
        <v>3517</v>
      </c>
      <c r="D1559" s="807">
        <v>2.1</v>
      </c>
    </row>
    <row r="1560" spans="1:4">
      <c r="A1560" t="s">
        <v>1275</v>
      </c>
      <c r="B1560" t="s">
        <v>3612</v>
      </c>
      <c r="C1560">
        <v>3516</v>
      </c>
      <c r="D1560" s="807">
        <v>2.1</v>
      </c>
    </row>
    <row r="1561" spans="1:4">
      <c r="A1561" t="s">
        <v>5028</v>
      </c>
      <c r="B1561" t="s">
        <v>3613</v>
      </c>
      <c r="C1561">
        <v>2681</v>
      </c>
      <c r="D1561" s="807">
        <v>2.1</v>
      </c>
    </row>
    <row r="1562" spans="1:4">
      <c r="A1562" t="s">
        <v>1574</v>
      </c>
      <c r="B1562" t="s">
        <v>3614</v>
      </c>
      <c r="C1562">
        <v>2678</v>
      </c>
      <c r="D1562" s="807">
        <v>2.1</v>
      </c>
    </row>
    <row r="1563" spans="1:4">
      <c r="A1563" t="s">
        <v>3954</v>
      </c>
      <c r="B1563" t="s">
        <v>1239</v>
      </c>
      <c r="C1563">
        <v>14234</v>
      </c>
      <c r="D1563" s="807">
        <v>3.5</v>
      </c>
    </row>
    <row r="1564" spans="1:4">
      <c r="A1564" t="s">
        <v>930</v>
      </c>
      <c r="B1564" t="s">
        <v>2362</v>
      </c>
      <c r="C1564">
        <v>2170</v>
      </c>
      <c r="D1564" s="807">
        <v>3.33</v>
      </c>
    </row>
    <row r="1565" spans="1:4">
      <c r="A1565" t="s">
        <v>1059</v>
      </c>
      <c r="B1565" t="s">
        <v>1504</v>
      </c>
      <c r="C1565">
        <v>2925</v>
      </c>
      <c r="D1565" s="807">
        <v>3.95</v>
      </c>
    </row>
    <row r="1566" spans="1:4">
      <c r="A1566" t="s">
        <v>2606</v>
      </c>
      <c r="B1566" t="s">
        <v>1505</v>
      </c>
      <c r="C1566">
        <v>14236</v>
      </c>
      <c r="D1566" s="807">
        <v>4.5</v>
      </c>
    </row>
    <row r="1567" spans="1:4">
      <c r="A1567" t="s">
        <v>6660</v>
      </c>
      <c r="B1567" t="s">
        <v>6659</v>
      </c>
      <c r="C1567">
        <v>14239</v>
      </c>
      <c r="D1567" s="807">
        <v>2</v>
      </c>
    </row>
    <row r="1568" spans="1:4">
      <c r="A1568" s="403" t="s">
        <v>8938</v>
      </c>
      <c r="B1568" s="403" t="s">
        <v>8939</v>
      </c>
      <c r="C1568" s="403">
        <v>3398</v>
      </c>
      <c r="D1568" s="807">
        <v>2.2999999999999998</v>
      </c>
    </row>
    <row r="1569" spans="1:4">
      <c r="A1569" t="s">
        <v>924</v>
      </c>
      <c r="B1569" t="s">
        <v>1731</v>
      </c>
      <c r="C1569">
        <v>3400</v>
      </c>
      <c r="D1569" s="807">
        <v>2.8</v>
      </c>
    </row>
    <row r="1570" spans="1:4">
      <c r="A1570" t="s">
        <v>1983</v>
      </c>
      <c r="B1570" t="s">
        <v>1732</v>
      </c>
      <c r="C1570">
        <v>3407</v>
      </c>
      <c r="D1570" s="807">
        <v>2.7</v>
      </c>
    </row>
    <row r="1571" spans="1:4">
      <c r="A1571" t="s">
        <v>2584</v>
      </c>
      <c r="B1571" t="s">
        <v>3951</v>
      </c>
      <c r="C1571">
        <v>3410</v>
      </c>
      <c r="D1571" s="807">
        <v>2.7</v>
      </c>
    </row>
    <row r="1572" spans="1:4">
      <c r="A1572" t="s">
        <v>2375</v>
      </c>
      <c r="B1572" t="s">
        <v>3027</v>
      </c>
      <c r="C1572">
        <v>3401</v>
      </c>
      <c r="D1572" s="807">
        <v>2.7</v>
      </c>
    </row>
    <row r="1573" spans="1:4">
      <c r="A1573" t="s">
        <v>3602</v>
      </c>
      <c r="B1573" t="s">
        <v>3028</v>
      </c>
      <c r="C1573">
        <v>2586</v>
      </c>
      <c r="D1573" s="807">
        <v>2.7</v>
      </c>
    </row>
    <row r="1574" spans="1:4">
      <c r="A1574" t="s">
        <v>4126</v>
      </c>
      <c r="B1574" t="s">
        <v>3029</v>
      </c>
      <c r="C1574">
        <v>3402</v>
      </c>
      <c r="D1574" s="807">
        <v>3</v>
      </c>
    </row>
    <row r="1575" spans="1:4">
      <c r="A1575" t="s">
        <v>4976</v>
      </c>
      <c r="B1575" t="s">
        <v>8715</v>
      </c>
      <c r="C1575">
        <v>2588</v>
      </c>
      <c r="D1575" s="807">
        <v>2.7</v>
      </c>
    </row>
    <row r="1576" spans="1:4">
      <c r="A1576" t="s">
        <v>3151</v>
      </c>
      <c r="B1576" t="s">
        <v>3030</v>
      </c>
      <c r="C1576">
        <v>2589</v>
      </c>
      <c r="D1576" s="807">
        <v>2.7</v>
      </c>
    </row>
    <row r="1577" spans="1:4">
      <c r="A1577" t="s">
        <v>5027</v>
      </c>
      <c r="B1577" t="s">
        <v>3031</v>
      </c>
      <c r="C1577">
        <v>2584</v>
      </c>
      <c r="D1577" s="807">
        <v>2.7</v>
      </c>
    </row>
    <row r="1578" spans="1:4">
      <c r="A1578" t="s">
        <v>4340</v>
      </c>
      <c r="B1578" t="s">
        <v>3032</v>
      </c>
      <c r="C1578">
        <v>2587</v>
      </c>
      <c r="D1578" s="807">
        <v>2.7</v>
      </c>
    </row>
    <row r="1579" spans="1:4">
      <c r="A1579" t="s">
        <v>4720</v>
      </c>
      <c r="B1579" t="s">
        <v>4889</v>
      </c>
      <c r="C1579">
        <v>3411</v>
      </c>
      <c r="D1579" s="807">
        <v>2.7</v>
      </c>
    </row>
    <row r="1580" spans="1:4">
      <c r="A1580" t="s">
        <v>1483</v>
      </c>
      <c r="B1580" t="s">
        <v>4890</v>
      </c>
      <c r="C1580">
        <v>2583</v>
      </c>
      <c r="D1580" s="807">
        <v>3</v>
      </c>
    </row>
    <row r="1581" spans="1:4">
      <c r="A1581" t="s">
        <v>3765</v>
      </c>
      <c r="B1581" t="s">
        <v>4891</v>
      </c>
      <c r="C1581">
        <v>3405</v>
      </c>
      <c r="D1581" s="807">
        <v>2.6</v>
      </c>
    </row>
    <row r="1582" spans="1:4">
      <c r="A1582" t="s">
        <v>4655</v>
      </c>
      <c r="B1582" t="s">
        <v>2007</v>
      </c>
      <c r="C1582">
        <v>3413</v>
      </c>
      <c r="D1582" s="807">
        <v>2.7</v>
      </c>
    </row>
    <row r="1583" spans="1:4">
      <c r="A1583" t="s">
        <v>2073</v>
      </c>
      <c r="B1583" t="s">
        <v>2008</v>
      </c>
      <c r="C1583">
        <v>3412</v>
      </c>
      <c r="D1583" s="807">
        <v>2.7</v>
      </c>
    </row>
    <row r="1584" spans="1:4">
      <c r="A1584" t="s">
        <v>4558</v>
      </c>
      <c r="B1584" t="s">
        <v>2009</v>
      </c>
      <c r="C1584">
        <v>3414</v>
      </c>
      <c r="D1584" s="807">
        <v>2.7</v>
      </c>
    </row>
    <row r="1585" spans="1:4">
      <c r="A1585" t="s">
        <v>3520</v>
      </c>
      <c r="B1585" t="s">
        <v>2010</v>
      </c>
      <c r="C1585">
        <v>2590</v>
      </c>
      <c r="D1585" s="807">
        <v>2.7</v>
      </c>
    </row>
    <row r="1586" spans="1:4">
      <c r="A1586" t="s">
        <v>4263</v>
      </c>
      <c r="B1586" t="s">
        <v>6663</v>
      </c>
      <c r="C1586">
        <v>3403</v>
      </c>
      <c r="D1586" s="807">
        <v>2</v>
      </c>
    </row>
    <row r="1587" spans="1:4">
      <c r="A1587" t="s">
        <v>715</v>
      </c>
      <c r="B1587" t="s">
        <v>2011</v>
      </c>
      <c r="C1587">
        <v>3408</v>
      </c>
      <c r="D1587" s="807">
        <v>2.7</v>
      </c>
    </row>
    <row r="1588" spans="1:4">
      <c r="A1588" t="s">
        <v>4495</v>
      </c>
      <c r="B1588" t="s">
        <v>2012</v>
      </c>
      <c r="C1588">
        <v>3409</v>
      </c>
      <c r="D1588" s="807">
        <v>2.7</v>
      </c>
    </row>
    <row r="1589" spans="1:4">
      <c r="A1589" t="s">
        <v>3939</v>
      </c>
      <c r="B1589" t="s">
        <v>2013</v>
      </c>
      <c r="C1589">
        <v>3399</v>
      </c>
      <c r="D1589" s="807">
        <v>2.2999999999999998</v>
      </c>
    </row>
    <row r="1590" spans="1:4">
      <c r="A1590" t="s">
        <v>1576</v>
      </c>
      <c r="B1590" t="s">
        <v>2014</v>
      </c>
      <c r="C1590">
        <v>2585</v>
      </c>
      <c r="D1590" s="807">
        <v>2.7</v>
      </c>
    </row>
    <row r="1591" spans="1:4">
      <c r="A1591" t="s">
        <v>3891</v>
      </c>
      <c r="B1591" t="s">
        <v>3892</v>
      </c>
      <c r="C1591">
        <v>2591</v>
      </c>
      <c r="D1591" s="807">
        <v>2.7</v>
      </c>
    </row>
    <row r="1592" spans="1:4">
      <c r="A1592" t="s">
        <v>2543</v>
      </c>
      <c r="B1592" t="s">
        <v>180</v>
      </c>
      <c r="C1592">
        <v>3404</v>
      </c>
      <c r="D1592" s="807">
        <v>2.7</v>
      </c>
    </row>
    <row r="1593" spans="1:4">
      <c r="A1593" t="s">
        <v>8716</v>
      </c>
      <c r="B1593" t="s">
        <v>1240</v>
      </c>
      <c r="C1593">
        <v>18865</v>
      </c>
      <c r="D1593" s="807">
        <v>3.99</v>
      </c>
    </row>
    <row r="1594" spans="1:4">
      <c r="A1594" t="s">
        <v>3023</v>
      </c>
      <c r="B1594" t="s">
        <v>1241</v>
      </c>
      <c r="C1594">
        <v>3169</v>
      </c>
      <c r="D1594" s="807">
        <v>3.47</v>
      </c>
    </row>
    <row r="1595" spans="1:4">
      <c r="A1595" t="s">
        <v>8329</v>
      </c>
      <c r="B1595" t="s">
        <v>8330</v>
      </c>
      <c r="C1595">
        <v>19155</v>
      </c>
      <c r="D1595" s="807">
        <v>2</v>
      </c>
    </row>
    <row r="1596" spans="1:4">
      <c r="A1596" t="s">
        <v>1339</v>
      </c>
      <c r="B1596" t="s">
        <v>2670</v>
      </c>
      <c r="C1596">
        <v>18826</v>
      </c>
      <c r="D1596" s="807">
        <v>3.33</v>
      </c>
    </row>
    <row r="1597" spans="1:4">
      <c r="A1597" t="s">
        <v>128</v>
      </c>
      <c r="B1597" t="s">
        <v>1242</v>
      </c>
      <c r="C1597">
        <v>2269</v>
      </c>
      <c r="D1597" s="807">
        <v>3.56</v>
      </c>
    </row>
    <row r="1598" spans="1:4">
      <c r="A1598" t="s">
        <v>8992</v>
      </c>
      <c r="B1598" t="s">
        <v>8993</v>
      </c>
      <c r="C1598">
        <v>6609</v>
      </c>
      <c r="D1598" s="807">
        <v>4</v>
      </c>
    </row>
    <row r="1599" spans="1:4">
      <c r="A1599" t="s">
        <v>1855</v>
      </c>
      <c r="B1599" t="s">
        <v>1856</v>
      </c>
      <c r="C1599">
        <v>14262</v>
      </c>
      <c r="D1599" s="807">
        <v>4</v>
      </c>
    </row>
    <row r="1600" spans="1:4">
      <c r="A1600" t="s">
        <v>4095</v>
      </c>
      <c r="B1600" t="s">
        <v>4933</v>
      </c>
      <c r="C1600">
        <v>3314</v>
      </c>
      <c r="D1600" s="807">
        <v>4.09</v>
      </c>
    </row>
    <row r="1601" spans="1:4">
      <c r="A1601" t="s">
        <v>9104</v>
      </c>
      <c r="B1601" t="s">
        <v>9105</v>
      </c>
      <c r="C1601">
        <v>20201</v>
      </c>
      <c r="D1601" s="807">
        <v>4.0999999999999996</v>
      </c>
    </row>
    <row r="1602" spans="1:4">
      <c r="A1602" t="s">
        <v>2454</v>
      </c>
      <c r="B1602" t="s">
        <v>4934</v>
      </c>
      <c r="C1602">
        <v>3312</v>
      </c>
      <c r="D1602" s="807">
        <v>4.0199999999999996</v>
      </c>
    </row>
    <row r="1603" spans="1:4">
      <c r="A1603" t="s">
        <v>5451</v>
      </c>
      <c r="B1603" t="s">
        <v>4935</v>
      </c>
      <c r="C1603">
        <v>3313</v>
      </c>
      <c r="D1603" s="807">
        <v>3.97</v>
      </c>
    </row>
    <row r="1604" spans="1:4">
      <c r="A1604" t="s">
        <v>4642</v>
      </c>
      <c r="B1604" t="s">
        <v>3239</v>
      </c>
      <c r="C1604">
        <v>3096</v>
      </c>
      <c r="D1604" s="807">
        <v>3.7</v>
      </c>
    </row>
    <row r="1605" spans="1:4">
      <c r="A1605" t="s">
        <v>4016</v>
      </c>
      <c r="B1605" t="s">
        <v>3240</v>
      </c>
      <c r="C1605">
        <v>2298</v>
      </c>
      <c r="D1605" s="807">
        <v>4.3499999999999996</v>
      </c>
    </row>
    <row r="1606" spans="1:4">
      <c r="A1606" t="s">
        <v>1976</v>
      </c>
      <c r="B1606" t="s">
        <v>3486</v>
      </c>
      <c r="C1606">
        <v>14264</v>
      </c>
      <c r="D1606" s="807">
        <v>3.5</v>
      </c>
    </row>
    <row r="1607" spans="1:4">
      <c r="A1607" t="s">
        <v>5477</v>
      </c>
      <c r="B1607" t="s">
        <v>2671</v>
      </c>
      <c r="C1607">
        <v>3063</v>
      </c>
      <c r="D1607" s="807">
        <v>3.43</v>
      </c>
    </row>
    <row r="1608" spans="1:4">
      <c r="A1608" t="s">
        <v>5506</v>
      </c>
      <c r="B1608" t="s">
        <v>2671</v>
      </c>
      <c r="C1608">
        <v>3064</v>
      </c>
      <c r="D1608" s="807">
        <v>3.43</v>
      </c>
    </row>
    <row r="1609" spans="1:4">
      <c r="A1609" t="s">
        <v>3179</v>
      </c>
      <c r="B1609" t="s">
        <v>2163</v>
      </c>
      <c r="C1609">
        <v>2273</v>
      </c>
      <c r="D1609" s="807">
        <v>3.43</v>
      </c>
    </row>
    <row r="1610" spans="1:4">
      <c r="A1610" t="s">
        <v>1840</v>
      </c>
      <c r="B1610" t="s">
        <v>1841</v>
      </c>
      <c r="C1610">
        <v>3233</v>
      </c>
      <c r="D1610" s="807">
        <v>4.33</v>
      </c>
    </row>
    <row r="1611" spans="1:4">
      <c r="A1611" t="s">
        <v>4225</v>
      </c>
      <c r="B1611" t="s">
        <v>8717</v>
      </c>
      <c r="C1611">
        <v>3532</v>
      </c>
      <c r="D1611" s="807">
        <v>2.1</v>
      </c>
    </row>
    <row r="1612" spans="1:4">
      <c r="A1612" t="s">
        <v>5026</v>
      </c>
      <c r="B1612" t="s">
        <v>961</v>
      </c>
      <c r="C1612">
        <v>3531</v>
      </c>
      <c r="D1612" s="807">
        <v>2.1</v>
      </c>
    </row>
    <row r="1613" spans="1:4">
      <c r="A1613" t="s">
        <v>1488</v>
      </c>
      <c r="B1613" t="s">
        <v>289</v>
      </c>
      <c r="C1613">
        <v>2691</v>
      </c>
      <c r="D1613" s="807">
        <v>2</v>
      </c>
    </row>
    <row r="1614" spans="1:4">
      <c r="A1614" t="s">
        <v>6741</v>
      </c>
      <c r="B1614" t="s">
        <v>8718</v>
      </c>
      <c r="C1614">
        <v>2174</v>
      </c>
      <c r="D1614" s="807">
        <v>2.5</v>
      </c>
    </row>
    <row r="1615" spans="1:4">
      <c r="A1615" t="s">
        <v>3993</v>
      </c>
      <c r="B1615" t="s">
        <v>530</v>
      </c>
      <c r="C1615">
        <v>14293</v>
      </c>
      <c r="D1615" s="807">
        <v>4.37</v>
      </c>
    </row>
    <row r="1616" spans="1:4">
      <c r="A1616" t="s">
        <v>3048</v>
      </c>
      <c r="B1616" t="s">
        <v>531</v>
      </c>
      <c r="C1616">
        <v>2000</v>
      </c>
      <c r="D1616" s="807">
        <v>4.0199999999999996</v>
      </c>
    </row>
    <row r="1617" spans="1:4">
      <c r="A1617" t="s">
        <v>2474</v>
      </c>
      <c r="B1617" t="s">
        <v>2164</v>
      </c>
      <c r="C1617">
        <v>3191</v>
      </c>
      <c r="D1617" s="807">
        <v>4.5</v>
      </c>
    </row>
    <row r="1618" spans="1:4">
      <c r="A1618" t="s">
        <v>1450</v>
      </c>
      <c r="B1618" t="s">
        <v>5419</v>
      </c>
      <c r="C1618">
        <v>3628</v>
      </c>
      <c r="D1618" s="807">
        <v>1</v>
      </c>
    </row>
    <row r="1619" spans="1:4">
      <c r="A1619" t="s">
        <v>6250</v>
      </c>
      <c r="B1619" t="s">
        <v>6249</v>
      </c>
      <c r="C1619">
        <v>17311</v>
      </c>
      <c r="D1619" s="807">
        <v>2</v>
      </c>
    </row>
    <row r="1620" spans="1:4">
      <c r="A1620" t="s">
        <v>6598</v>
      </c>
      <c r="B1620" t="s">
        <v>6597</v>
      </c>
      <c r="C1620">
        <v>14333</v>
      </c>
      <c r="D1620" s="807">
        <v>4.2</v>
      </c>
    </row>
    <row r="1621" spans="1:4">
      <c r="A1621" t="s">
        <v>67</v>
      </c>
      <c r="B1621" t="s">
        <v>1842</v>
      </c>
      <c r="C1621">
        <v>2223</v>
      </c>
      <c r="D1621" s="807">
        <v>3.73</v>
      </c>
    </row>
    <row r="1622" spans="1:4">
      <c r="A1622" t="s">
        <v>6471</v>
      </c>
      <c r="B1622" t="s">
        <v>6470</v>
      </c>
      <c r="C1622">
        <v>14343</v>
      </c>
      <c r="D1622" s="807">
        <v>2</v>
      </c>
    </row>
    <row r="1623" spans="1:4">
      <c r="A1623" t="s">
        <v>3349</v>
      </c>
      <c r="B1623" t="s">
        <v>1843</v>
      </c>
      <c r="C1623">
        <v>2224</v>
      </c>
      <c r="D1623" s="807">
        <v>4.26</v>
      </c>
    </row>
    <row r="1624" spans="1:4">
      <c r="A1624" t="s">
        <v>2101</v>
      </c>
      <c r="B1624" t="s">
        <v>4009</v>
      </c>
      <c r="C1624">
        <v>2222</v>
      </c>
      <c r="D1624" s="807">
        <v>3.72</v>
      </c>
    </row>
    <row r="1625" spans="1:4">
      <c r="A1625" t="s">
        <v>697</v>
      </c>
      <c r="B1625" t="s">
        <v>2755</v>
      </c>
      <c r="C1625">
        <v>6275</v>
      </c>
      <c r="D1625" s="807">
        <v>1</v>
      </c>
    </row>
    <row r="1626" spans="1:4">
      <c r="A1626" t="s">
        <v>2263</v>
      </c>
      <c r="B1626" t="s">
        <v>639</v>
      </c>
      <c r="C1626">
        <v>2150</v>
      </c>
      <c r="D1626" s="807">
        <v>2.52</v>
      </c>
    </row>
    <row r="1627" spans="1:4">
      <c r="A1627" t="s">
        <v>4232</v>
      </c>
      <c r="B1627" t="s">
        <v>8719</v>
      </c>
      <c r="C1627">
        <v>2151</v>
      </c>
      <c r="D1627" s="807">
        <v>2</v>
      </c>
    </row>
    <row r="1628" spans="1:4">
      <c r="A1628" t="s">
        <v>6778</v>
      </c>
      <c r="B1628" t="s">
        <v>8720</v>
      </c>
      <c r="C1628">
        <v>6792</v>
      </c>
      <c r="D1628" s="807">
        <v>2.9</v>
      </c>
    </row>
    <row r="1629" spans="1:4">
      <c r="A1629" t="s">
        <v>8331</v>
      </c>
      <c r="B1629" t="s">
        <v>8332</v>
      </c>
      <c r="C1629">
        <v>14365</v>
      </c>
      <c r="D1629" s="807">
        <v>3.4</v>
      </c>
    </row>
    <row r="1630" spans="1:4">
      <c r="A1630" t="s">
        <v>6575</v>
      </c>
      <c r="B1630" t="s">
        <v>6574</v>
      </c>
      <c r="C1630">
        <v>14372</v>
      </c>
      <c r="D1630" s="807">
        <v>2</v>
      </c>
    </row>
    <row r="1631" spans="1:4">
      <c r="A1631" t="s">
        <v>6746</v>
      </c>
      <c r="B1631" t="s">
        <v>8721</v>
      </c>
      <c r="C1631">
        <v>2664</v>
      </c>
      <c r="D1631" s="807">
        <v>2.1</v>
      </c>
    </row>
    <row r="1632" spans="1:4">
      <c r="A1632" t="s">
        <v>6280</v>
      </c>
      <c r="B1632" t="s">
        <v>6279</v>
      </c>
      <c r="C1632">
        <v>14379</v>
      </c>
      <c r="D1632" s="807">
        <v>2</v>
      </c>
    </row>
    <row r="1633" spans="1:4">
      <c r="A1633" t="s">
        <v>6320</v>
      </c>
      <c r="B1633" t="s">
        <v>6319</v>
      </c>
      <c r="C1633">
        <v>19409</v>
      </c>
      <c r="D1633" s="807">
        <v>2</v>
      </c>
    </row>
    <row r="1634" spans="1:4">
      <c r="A1634" t="s">
        <v>8887</v>
      </c>
      <c r="B1634" t="s">
        <v>8888</v>
      </c>
      <c r="C1634">
        <v>14380</v>
      </c>
      <c r="D1634" s="807">
        <v>4.5</v>
      </c>
    </row>
    <row r="1635" spans="1:4">
      <c r="A1635" t="s">
        <v>4557</v>
      </c>
      <c r="B1635" t="s">
        <v>3937</v>
      </c>
      <c r="C1635">
        <v>17260</v>
      </c>
      <c r="D1635" s="807">
        <v>2.0617598316454031</v>
      </c>
    </row>
    <row r="1636" spans="1:4">
      <c r="A1636" t="s">
        <v>4489</v>
      </c>
      <c r="B1636" t="s">
        <v>3615</v>
      </c>
      <c r="C1636">
        <v>3519</v>
      </c>
      <c r="D1636" s="807">
        <v>2.1</v>
      </c>
    </row>
    <row r="1637" spans="1:4">
      <c r="A1637" t="s">
        <v>3867</v>
      </c>
      <c r="B1637" t="s">
        <v>3868</v>
      </c>
      <c r="C1637">
        <v>18561</v>
      </c>
      <c r="D1637" s="807">
        <v>3.4</v>
      </c>
    </row>
    <row r="1638" spans="1:4">
      <c r="A1638" t="s">
        <v>9040</v>
      </c>
      <c r="B1638" t="s">
        <v>9041</v>
      </c>
      <c r="C1638">
        <v>14390</v>
      </c>
      <c r="D1638" s="807">
        <v>3.5</v>
      </c>
    </row>
    <row r="1639" spans="1:4">
      <c r="A1639" t="s">
        <v>3379</v>
      </c>
      <c r="B1639" t="s">
        <v>3380</v>
      </c>
      <c r="C1639">
        <v>14391</v>
      </c>
      <c r="D1639" s="807">
        <v>4.3499999999999996</v>
      </c>
    </row>
    <row r="1640" spans="1:4">
      <c r="A1640" t="s">
        <v>3293</v>
      </c>
      <c r="B1640" t="s">
        <v>3948</v>
      </c>
      <c r="C1640">
        <v>3642</v>
      </c>
      <c r="D1640" s="807">
        <v>1</v>
      </c>
    </row>
    <row r="1641" spans="1:4">
      <c r="A1641" t="s">
        <v>6774</v>
      </c>
      <c r="B1641" t="s">
        <v>8722</v>
      </c>
      <c r="C1641">
        <v>14398</v>
      </c>
      <c r="D1641" s="807">
        <v>3.3</v>
      </c>
    </row>
    <row r="1642" spans="1:4">
      <c r="A1642" t="s">
        <v>823</v>
      </c>
      <c r="B1642" t="s">
        <v>2165</v>
      </c>
      <c r="C1642">
        <v>2406</v>
      </c>
      <c r="D1642" s="807">
        <v>3.64</v>
      </c>
    </row>
    <row r="1643" spans="1:4">
      <c r="A1643" t="s">
        <v>3154</v>
      </c>
      <c r="B1643" t="s">
        <v>4587</v>
      </c>
      <c r="C1643">
        <v>2550</v>
      </c>
      <c r="D1643" s="807">
        <v>3.19</v>
      </c>
    </row>
    <row r="1644" spans="1:4">
      <c r="A1644" t="s">
        <v>5217</v>
      </c>
      <c r="B1644" t="s">
        <v>4588</v>
      </c>
      <c r="C1644">
        <v>18727</v>
      </c>
      <c r="D1644" s="807">
        <v>3.32</v>
      </c>
    </row>
    <row r="1645" spans="1:4">
      <c r="A1645" t="s">
        <v>5363</v>
      </c>
      <c r="B1645" t="s">
        <v>1635</v>
      </c>
      <c r="C1645">
        <v>3342</v>
      </c>
      <c r="D1645" s="807">
        <v>3.9</v>
      </c>
    </row>
    <row r="1646" spans="1:4">
      <c r="A1646" t="s">
        <v>3468</v>
      </c>
      <c r="B1646" t="s">
        <v>1636</v>
      </c>
      <c r="C1646">
        <v>2535</v>
      </c>
      <c r="D1646" s="807">
        <v>3.6</v>
      </c>
    </row>
    <row r="1647" spans="1:4">
      <c r="A1647" t="s">
        <v>6590</v>
      </c>
      <c r="B1647" t="s">
        <v>6589</v>
      </c>
      <c r="C1647">
        <v>14405</v>
      </c>
      <c r="D1647" s="807">
        <v>3</v>
      </c>
    </row>
    <row r="1648" spans="1:4">
      <c r="A1648" t="s">
        <v>2934</v>
      </c>
      <c r="B1648" t="s">
        <v>1279</v>
      </c>
      <c r="C1648">
        <v>2124</v>
      </c>
      <c r="D1648" s="807">
        <v>3</v>
      </c>
    </row>
    <row r="1649" spans="1:4">
      <c r="A1649" t="s">
        <v>3756</v>
      </c>
      <c r="B1649" t="s">
        <v>2506</v>
      </c>
      <c r="C1649">
        <v>18951</v>
      </c>
      <c r="D1649" s="807">
        <v>3.99</v>
      </c>
    </row>
    <row r="1650" spans="1:4">
      <c r="A1650" t="s">
        <v>2820</v>
      </c>
      <c r="B1650" t="s">
        <v>3169</v>
      </c>
      <c r="C1650">
        <v>3144</v>
      </c>
      <c r="D1650" s="807">
        <v>3.69</v>
      </c>
    </row>
    <row r="1651" spans="1:4">
      <c r="A1651" t="s">
        <v>2726</v>
      </c>
      <c r="B1651" t="s">
        <v>3170</v>
      </c>
      <c r="C1651">
        <v>3145</v>
      </c>
      <c r="D1651" s="807">
        <v>3.49</v>
      </c>
    </row>
    <row r="1652" spans="1:4">
      <c r="A1652" t="s">
        <v>4183</v>
      </c>
      <c r="B1652" t="s">
        <v>3171</v>
      </c>
      <c r="C1652">
        <v>14425</v>
      </c>
      <c r="D1652" s="807">
        <v>3.48</v>
      </c>
    </row>
    <row r="1653" spans="1:4">
      <c r="A1653" t="s">
        <v>2212</v>
      </c>
      <c r="B1653" t="s">
        <v>3172</v>
      </c>
      <c r="C1653">
        <v>14426</v>
      </c>
      <c r="D1653" s="807">
        <v>3.82</v>
      </c>
    </row>
    <row r="1654" spans="1:4">
      <c r="A1654" t="s">
        <v>4176</v>
      </c>
      <c r="B1654" t="s">
        <v>4177</v>
      </c>
      <c r="C1654">
        <v>18952</v>
      </c>
      <c r="D1654" s="807">
        <v>3.99</v>
      </c>
    </row>
    <row r="1655" spans="1:4">
      <c r="A1655" t="s">
        <v>4983</v>
      </c>
      <c r="B1655" t="s">
        <v>4984</v>
      </c>
      <c r="C1655">
        <v>19138</v>
      </c>
      <c r="D1655" s="807">
        <v>3.74</v>
      </c>
    </row>
    <row r="1656" spans="1:4">
      <c r="A1656" t="s">
        <v>5234</v>
      </c>
      <c r="B1656" t="s">
        <v>3173</v>
      </c>
      <c r="C1656">
        <v>14431</v>
      </c>
      <c r="D1656" s="807">
        <v>4.5</v>
      </c>
    </row>
    <row r="1657" spans="1:4">
      <c r="A1657" t="s">
        <v>304</v>
      </c>
      <c r="B1657" t="s">
        <v>305</v>
      </c>
      <c r="C1657">
        <v>14433</v>
      </c>
      <c r="D1657" s="807">
        <v>4.49</v>
      </c>
    </row>
    <row r="1658" spans="1:4">
      <c r="A1658" t="s">
        <v>4265</v>
      </c>
      <c r="B1658" t="s">
        <v>8723</v>
      </c>
      <c r="C1658">
        <v>2285</v>
      </c>
      <c r="D1658" s="807">
        <v>4.0999999999999996</v>
      </c>
    </row>
    <row r="1659" spans="1:4">
      <c r="A1659" t="s">
        <v>3333</v>
      </c>
      <c r="B1659" t="s">
        <v>3174</v>
      </c>
      <c r="C1659">
        <v>14434</v>
      </c>
      <c r="D1659" s="807">
        <v>4.28</v>
      </c>
    </row>
    <row r="1660" spans="1:4">
      <c r="A1660" t="s">
        <v>3528</v>
      </c>
      <c r="B1660" t="s">
        <v>181</v>
      </c>
      <c r="C1660">
        <v>3437</v>
      </c>
      <c r="D1660" s="807">
        <v>2.2000000000000002</v>
      </c>
    </row>
    <row r="1661" spans="1:4">
      <c r="A1661" t="s">
        <v>865</v>
      </c>
      <c r="B1661" t="s">
        <v>182</v>
      </c>
      <c r="C1661">
        <v>2611</v>
      </c>
      <c r="D1661" s="807">
        <v>2.2000000000000002</v>
      </c>
    </row>
    <row r="1662" spans="1:4">
      <c r="A1662" t="s">
        <v>8724</v>
      </c>
      <c r="B1662" t="s">
        <v>8725</v>
      </c>
      <c r="C1662">
        <v>16522</v>
      </c>
      <c r="D1662" s="807">
        <v>2</v>
      </c>
    </row>
    <row r="1663" spans="1:4">
      <c r="A1663" t="s">
        <v>6403</v>
      </c>
      <c r="B1663" t="s">
        <v>6402</v>
      </c>
      <c r="C1663">
        <v>16521</v>
      </c>
      <c r="D1663" s="807">
        <v>2</v>
      </c>
    </row>
    <row r="1664" spans="1:4">
      <c r="A1664" t="s">
        <v>3356</v>
      </c>
      <c r="B1664" t="s">
        <v>106</v>
      </c>
      <c r="C1664">
        <v>3421</v>
      </c>
      <c r="D1664" s="807">
        <v>2.2999999999999998</v>
      </c>
    </row>
    <row r="1665" spans="1:4">
      <c r="A1665" t="s">
        <v>1990</v>
      </c>
      <c r="B1665" t="s">
        <v>3175</v>
      </c>
      <c r="C1665">
        <v>3244</v>
      </c>
      <c r="D1665" s="807">
        <v>3</v>
      </c>
    </row>
    <row r="1666" spans="1:4">
      <c r="A1666" t="s">
        <v>2919</v>
      </c>
      <c r="B1666" t="s">
        <v>5209</v>
      </c>
      <c r="C1666">
        <v>2534</v>
      </c>
      <c r="D1666" s="807">
        <v>3.58</v>
      </c>
    </row>
    <row r="1667" spans="1:4">
      <c r="A1667" t="s">
        <v>3340</v>
      </c>
      <c r="B1667" t="s">
        <v>5210</v>
      </c>
      <c r="C1667">
        <v>14439</v>
      </c>
      <c r="D1667" s="807">
        <v>3.33</v>
      </c>
    </row>
    <row r="1668" spans="1:4">
      <c r="A1668" t="s">
        <v>1480</v>
      </c>
      <c r="B1668" t="s">
        <v>5404</v>
      </c>
      <c r="C1668">
        <v>16599</v>
      </c>
      <c r="D1668" s="807">
        <v>2.0935528537656198</v>
      </c>
    </row>
    <row r="1669" spans="1:4">
      <c r="A1669" t="s">
        <v>4909</v>
      </c>
      <c r="B1669" t="s">
        <v>3818</v>
      </c>
      <c r="C1669">
        <v>16853</v>
      </c>
      <c r="D1669" s="807">
        <v>2.0935528537656198</v>
      </c>
    </row>
    <row r="1670" spans="1:4">
      <c r="A1670" t="s">
        <v>4629</v>
      </c>
      <c r="B1670" t="s">
        <v>4589</v>
      </c>
      <c r="C1670">
        <v>3354</v>
      </c>
      <c r="D1670" s="807">
        <v>3.26</v>
      </c>
    </row>
    <row r="1671" spans="1:4">
      <c r="A1671" t="s">
        <v>2600</v>
      </c>
      <c r="B1671" t="s">
        <v>4590</v>
      </c>
      <c r="C1671">
        <v>2543</v>
      </c>
      <c r="D1671" s="807">
        <v>3.1</v>
      </c>
    </row>
    <row r="1672" spans="1:4">
      <c r="A1672" t="s">
        <v>3635</v>
      </c>
      <c r="B1672" t="s">
        <v>4591</v>
      </c>
      <c r="C1672">
        <v>3355</v>
      </c>
      <c r="D1672" s="807">
        <v>3.39</v>
      </c>
    </row>
    <row r="1673" spans="1:4">
      <c r="A1673" t="s">
        <v>3863</v>
      </c>
      <c r="B1673" t="s">
        <v>3864</v>
      </c>
      <c r="C1673">
        <v>3352</v>
      </c>
      <c r="D1673" s="807">
        <v>3.37</v>
      </c>
    </row>
    <row r="1674" spans="1:4">
      <c r="A1674" t="s">
        <v>4725</v>
      </c>
      <c r="B1674" t="s">
        <v>187</v>
      </c>
      <c r="C1674">
        <v>3345</v>
      </c>
      <c r="D1674" s="807">
        <v>3.51</v>
      </c>
    </row>
    <row r="1675" spans="1:4">
      <c r="A1675" t="s">
        <v>61</v>
      </c>
      <c r="B1675" t="s">
        <v>188</v>
      </c>
      <c r="C1675">
        <v>14449</v>
      </c>
      <c r="D1675" s="807">
        <v>3.85</v>
      </c>
    </row>
    <row r="1676" spans="1:4">
      <c r="A1676" s="403" t="s">
        <v>8954</v>
      </c>
      <c r="B1676" s="403" t="s">
        <v>8955</v>
      </c>
      <c r="C1676" s="403">
        <v>14450</v>
      </c>
      <c r="D1676" s="807">
        <v>3.1</v>
      </c>
    </row>
    <row r="1677" spans="1:4">
      <c r="A1677" t="s">
        <v>1058</v>
      </c>
      <c r="B1677" t="s">
        <v>5211</v>
      </c>
      <c r="C1677">
        <v>2183</v>
      </c>
      <c r="D1677" s="807">
        <v>3.68</v>
      </c>
    </row>
    <row r="1678" spans="1:4">
      <c r="A1678" t="s">
        <v>1836</v>
      </c>
      <c r="B1678" t="s">
        <v>5212</v>
      </c>
      <c r="C1678">
        <v>3161</v>
      </c>
      <c r="D1678" s="807">
        <v>3.89</v>
      </c>
    </row>
    <row r="1679" spans="1:4">
      <c r="A1679" t="s">
        <v>5507</v>
      </c>
      <c r="B1679" t="s">
        <v>5508</v>
      </c>
      <c r="C1679">
        <v>2454</v>
      </c>
      <c r="D1679" s="807">
        <v>3.29</v>
      </c>
    </row>
    <row r="1680" spans="1:4">
      <c r="A1680" t="s">
        <v>196</v>
      </c>
      <c r="B1680" t="s">
        <v>4010</v>
      </c>
      <c r="C1680">
        <v>2232</v>
      </c>
      <c r="D1680" s="807">
        <v>4.1500000000000004</v>
      </c>
    </row>
    <row r="1681" spans="1:4">
      <c r="A1681" t="s">
        <v>3059</v>
      </c>
      <c r="B1681" t="s">
        <v>4011</v>
      </c>
      <c r="C1681">
        <v>3016</v>
      </c>
      <c r="D1681" s="807">
        <v>4.38</v>
      </c>
    </row>
    <row r="1682" spans="1:4">
      <c r="A1682" t="s">
        <v>9096</v>
      </c>
      <c r="B1682" t="s">
        <v>9097</v>
      </c>
      <c r="C1682">
        <v>19347</v>
      </c>
      <c r="D1682" s="807">
        <v>2.2000000000000002</v>
      </c>
    </row>
    <row r="1683" spans="1:4">
      <c r="A1683" t="s">
        <v>2481</v>
      </c>
      <c r="B1683" t="s">
        <v>6242</v>
      </c>
      <c r="C1683">
        <v>2577</v>
      </c>
      <c r="D1683" s="807">
        <v>2</v>
      </c>
    </row>
    <row r="1684" spans="1:4">
      <c r="A1684" t="s">
        <v>8333</v>
      </c>
      <c r="B1684" t="s">
        <v>8334</v>
      </c>
      <c r="C1684">
        <v>19349</v>
      </c>
      <c r="D1684" s="807">
        <v>2.61</v>
      </c>
    </row>
    <row r="1685" spans="1:4">
      <c r="A1685" t="s">
        <v>2354</v>
      </c>
      <c r="B1685" t="s">
        <v>1297</v>
      </c>
      <c r="C1685">
        <v>2765</v>
      </c>
      <c r="D1685" s="807">
        <v>2.2999999999999998</v>
      </c>
    </row>
    <row r="1686" spans="1:4">
      <c r="A1686" t="s">
        <v>9042</v>
      </c>
      <c r="B1686" t="s">
        <v>9043</v>
      </c>
      <c r="C1686">
        <v>14481</v>
      </c>
      <c r="D1686" s="807">
        <v>3.6</v>
      </c>
    </row>
    <row r="1687" spans="1:4">
      <c r="A1687" t="s">
        <v>125</v>
      </c>
      <c r="B1687" t="s">
        <v>5213</v>
      </c>
      <c r="C1687">
        <v>2266</v>
      </c>
      <c r="D1687" s="807">
        <v>4.01</v>
      </c>
    </row>
    <row r="1688" spans="1:4">
      <c r="A1688" t="s">
        <v>4257</v>
      </c>
      <c r="B1688" t="s">
        <v>8726</v>
      </c>
      <c r="C1688">
        <v>14485</v>
      </c>
      <c r="D1688" s="807">
        <v>3.4</v>
      </c>
    </row>
    <row r="1689" spans="1:4">
      <c r="A1689" t="s">
        <v>8727</v>
      </c>
      <c r="B1689" t="s">
        <v>8728</v>
      </c>
      <c r="C1689">
        <v>17165</v>
      </c>
      <c r="D1689" s="807">
        <v>2.1</v>
      </c>
    </row>
    <row r="1690" spans="1:4">
      <c r="A1690" t="s">
        <v>4981</v>
      </c>
      <c r="B1690" t="s">
        <v>4982</v>
      </c>
      <c r="C1690">
        <v>18872</v>
      </c>
      <c r="D1690" s="807">
        <v>4.2</v>
      </c>
    </row>
    <row r="1691" spans="1:4">
      <c r="A1691" t="s">
        <v>4139</v>
      </c>
      <c r="B1691" t="s">
        <v>5214</v>
      </c>
      <c r="C1691">
        <v>2265</v>
      </c>
      <c r="D1691" s="807">
        <v>3.67</v>
      </c>
    </row>
    <row r="1692" spans="1:4">
      <c r="A1692" t="s">
        <v>2246</v>
      </c>
      <c r="B1692" t="s">
        <v>1108</v>
      </c>
      <c r="C1692">
        <v>2880</v>
      </c>
      <c r="D1692" s="807">
        <v>3</v>
      </c>
    </row>
    <row r="1693" spans="1:4">
      <c r="A1693" t="s">
        <v>4085</v>
      </c>
      <c r="B1693" t="s">
        <v>2672</v>
      </c>
      <c r="C1693">
        <v>3077</v>
      </c>
      <c r="D1693" s="807">
        <v>4.1399999999999997</v>
      </c>
    </row>
    <row r="1694" spans="1:4">
      <c r="A1694" t="s">
        <v>2288</v>
      </c>
      <c r="B1694" t="s">
        <v>2673</v>
      </c>
      <c r="C1694">
        <v>3078</v>
      </c>
      <c r="D1694" s="807">
        <v>4.45</v>
      </c>
    </row>
    <row r="1695" spans="1:4">
      <c r="A1695" t="s">
        <v>828</v>
      </c>
      <c r="B1695" t="s">
        <v>5215</v>
      </c>
      <c r="C1695">
        <v>2426</v>
      </c>
      <c r="D1695" s="807">
        <v>2.8</v>
      </c>
    </row>
    <row r="1696" spans="1:4">
      <c r="A1696" t="s">
        <v>4621</v>
      </c>
      <c r="B1696" t="s">
        <v>98</v>
      </c>
      <c r="C1696">
        <v>18974</v>
      </c>
      <c r="D1696" s="807">
        <v>2.67</v>
      </c>
    </row>
    <row r="1697" spans="1:4">
      <c r="A1697" t="s">
        <v>1704</v>
      </c>
      <c r="B1697" t="s">
        <v>99</v>
      </c>
      <c r="C1697">
        <v>2340</v>
      </c>
      <c r="D1697" s="807">
        <v>3.42</v>
      </c>
    </row>
    <row r="1698" spans="1:4">
      <c r="A1698" t="s">
        <v>3346</v>
      </c>
      <c r="B1698" t="s">
        <v>1773</v>
      </c>
      <c r="C1698">
        <v>3146</v>
      </c>
      <c r="D1698" s="807">
        <v>3.8</v>
      </c>
    </row>
    <row r="1699" spans="1:4">
      <c r="A1699" t="s">
        <v>4483</v>
      </c>
      <c r="B1699" t="s">
        <v>1774</v>
      </c>
      <c r="C1699">
        <v>2341</v>
      </c>
      <c r="D1699" s="807">
        <v>3.33</v>
      </c>
    </row>
    <row r="1700" spans="1:4">
      <c r="A1700" t="s">
        <v>4571</v>
      </c>
      <c r="B1700" t="s">
        <v>1775</v>
      </c>
      <c r="C1700">
        <v>18668</v>
      </c>
      <c r="D1700" s="807">
        <v>3.46</v>
      </c>
    </row>
    <row r="1701" spans="1:4">
      <c r="A1701" t="s">
        <v>8335</v>
      </c>
      <c r="B1701" t="s">
        <v>8336</v>
      </c>
      <c r="C1701">
        <v>14512</v>
      </c>
      <c r="D1701" s="807">
        <v>3.3</v>
      </c>
    </row>
    <row r="1702" spans="1:4">
      <c r="A1702" t="s">
        <v>4180</v>
      </c>
      <c r="B1702" t="s">
        <v>1776</v>
      </c>
      <c r="C1702">
        <v>14513</v>
      </c>
      <c r="D1702" s="807">
        <v>4.0199999999999996</v>
      </c>
    </row>
    <row r="1703" spans="1:4">
      <c r="A1703" t="s">
        <v>3845</v>
      </c>
      <c r="B1703" t="s">
        <v>4936</v>
      </c>
      <c r="C1703">
        <v>3102</v>
      </c>
      <c r="D1703" s="807">
        <v>4.5</v>
      </c>
    </row>
    <row r="1704" spans="1:4">
      <c r="A1704" t="s">
        <v>6338</v>
      </c>
      <c r="B1704" t="s">
        <v>6337</v>
      </c>
      <c r="C1704">
        <v>6513</v>
      </c>
      <c r="D1704" s="807">
        <v>3.3</v>
      </c>
    </row>
    <row r="1705" spans="1:4">
      <c r="A1705" t="s">
        <v>4283</v>
      </c>
      <c r="B1705" t="s">
        <v>8729</v>
      </c>
      <c r="C1705">
        <v>14516</v>
      </c>
      <c r="D1705" s="807">
        <v>4.4000000000000004</v>
      </c>
    </row>
    <row r="1706" spans="1:4">
      <c r="A1706" t="s">
        <v>1956</v>
      </c>
      <c r="B1706" t="s">
        <v>1957</v>
      </c>
      <c r="C1706">
        <v>3333</v>
      </c>
      <c r="D1706" s="807">
        <v>4.05</v>
      </c>
    </row>
    <row r="1707" spans="1:4">
      <c r="A1707" t="s">
        <v>6779</v>
      </c>
      <c r="B1707" t="s">
        <v>8730</v>
      </c>
      <c r="C1707">
        <v>18390</v>
      </c>
      <c r="D1707" s="807">
        <v>1</v>
      </c>
    </row>
    <row r="1708" spans="1:4">
      <c r="A1708" t="s">
        <v>8731</v>
      </c>
      <c r="B1708" t="s">
        <v>8732</v>
      </c>
      <c r="C1708">
        <v>18394</v>
      </c>
      <c r="D1708" s="807">
        <v>1</v>
      </c>
    </row>
    <row r="1709" spans="1:4">
      <c r="A1709" t="s">
        <v>1386</v>
      </c>
      <c r="B1709" t="s">
        <v>2756</v>
      </c>
      <c r="C1709">
        <v>3638</v>
      </c>
      <c r="D1709" s="807">
        <v>1</v>
      </c>
    </row>
    <row r="1710" spans="1:4">
      <c r="A1710" t="s">
        <v>5158</v>
      </c>
      <c r="B1710" t="s">
        <v>1727</v>
      </c>
      <c r="C1710">
        <v>2790</v>
      </c>
      <c r="D1710" s="807">
        <v>1</v>
      </c>
    </row>
    <row r="1711" spans="1:4">
      <c r="A1711" t="s">
        <v>4273</v>
      </c>
      <c r="B1711" t="s">
        <v>8733</v>
      </c>
      <c r="C1711">
        <v>3464</v>
      </c>
      <c r="D1711" s="807">
        <v>2.81</v>
      </c>
    </row>
    <row r="1712" spans="1:4">
      <c r="A1712" t="s">
        <v>23</v>
      </c>
      <c r="B1712" t="s">
        <v>173</v>
      </c>
      <c r="C1712">
        <v>2629</v>
      </c>
      <c r="D1712" s="807">
        <v>3</v>
      </c>
    </row>
    <row r="1713" spans="1:4">
      <c r="A1713" t="s">
        <v>2929</v>
      </c>
      <c r="B1713" t="s">
        <v>174</v>
      </c>
      <c r="C1713">
        <v>3465</v>
      </c>
      <c r="D1713" s="807">
        <v>2.5</v>
      </c>
    </row>
    <row r="1714" spans="1:4">
      <c r="A1714" t="s">
        <v>1049</v>
      </c>
      <c r="B1714" t="s">
        <v>175</v>
      </c>
      <c r="C1714">
        <v>2630</v>
      </c>
      <c r="D1714" s="807">
        <v>2.6</v>
      </c>
    </row>
    <row r="1715" spans="1:4">
      <c r="A1715" t="s">
        <v>8889</v>
      </c>
      <c r="B1715" t="s">
        <v>8890</v>
      </c>
      <c r="C1715">
        <v>14534</v>
      </c>
      <c r="D1715" s="807">
        <v>2</v>
      </c>
    </row>
    <row r="1716" spans="1:4">
      <c r="A1716" t="s">
        <v>8337</v>
      </c>
      <c r="B1716" t="s">
        <v>8338</v>
      </c>
      <c r="C1716">
        <v>6791</v>
      </c>
      <c r="D1716" s="807">
        <v>3.2</v>
      </c>
    </row>
    <row r="1717" spans="1:4">
      <c r="A1717" t="s">
        <v>8891</v>
      </c>
      <c r="B1717" t="s">
        <v>8892</v>
      </c>
      <c r="C1717">
        <v>14546</v>
      </c>
      <c r="D1717" s="807">
        <v>4</v>
      </c>
    </row>
    <row r="1718" spans="1:4">
      <c r="A1718" t="s">
        <v>4561</v>
      </c>
      <c r="B1718" t="s">
        <v>4637</v>
      </c>
      <c r="C1718">
        <v>3091</v>
      </c>
      <c r="D1718" s="807">
        <v>4.1100000000000003</v>
      </c>
    </row>
    <row r="1719" spans="1:4">
      <c r="A1719" t="s">
        <v>5007</v>
      </c>
      <c r="B1719" t="s">
        <v>4638</v>
      </c>
      <c r="C1719">
        <v>2295</v>
      </c>
      <c r="D1719" s="807">
        <v>3.88</v>
      </c>
    </row>
    <row r="1720" spans="1:4">
      <c r="A1720" t="s">
        <v>122</v>
      </c>
      <c r="B1720" t="s">
        <v>4907</v>
      </c>
      <c r="C1720">
        <v>2018</v>
      </c>
      <c r="D1720" s="807">
        <v>4.24</v>
      </c>
    </row>
    <row r="1721" spans="1:4">
      <c r="A1721" t="s">
        <v>1830</v>
      </c>
      <c r="B1721" t="s">
        <v>2674</v>
      </c>
      <c r="C1721">
        <v>3338</v>
      </c>
      <c r="D1721" s="807">
        <v>3.83</v>
      </c>
    </row>
    <row r="1722" spans="1:4">
      <c r="A1722" t="s">
        <v>1984</v>
      </c>
      <c r="B1722" t="s">
        <v>4919</v>
      </c>
      <c r="C1722">
        <v>2050</v>
      </c>
      <c r="D1722" s="807">
        <v>4.0599999999999996</v>
      </c>
    </row>
    <row r="1723" spans="1:4">
      <c r="A1723" t="s">
        <v>1698</v>
      </c>
      <c r="B1723" t="s">
        <v>4920</v>
      </c>
      <c r="C1723">
        <v>18780</v>
      </c>
      <c r="D1723" s="807">
        <v>3.97</v>
      </c>
    </row>
    <row r="1724" spans="1:4">
      <c r="A1724" t="s">
        <v>8339</v>
      </c>
      <c r="B1724" t="s">
        <v>8340</v>
      </c>
      <c r="C1724">
        <v>14568</v>
      </c>
      <c r="D1724" s="807">
        <v>3.9</v>
      </c>
    </row>
    <row r="1725" spans="1:4">
      <c r="A1725" t="s">
        <v>8341</v>
      </c>
      <c r="B1725" t="s">
        <v>8342</v>
      </c>
      <c r="C1725">
        <v>20408</v>
      </c>
      <c r="D1725" s="807">
        <v>3.9</v>
      </c>
    </row>
    <row r="1726" spans="1:4">
      <c r="A1726" t="s">
        <v>302</v>
      </c>
      <c r="B1726" t="s">
        <v>303</v>
      </c>
      <c r="C1726">
        <v>19037</v>
      </c>
      <c r="D1726" s="807">
        <v>3.84</v>
      </c>
    </row>
    <row r="1727" spans="1:4">
      <c r="A1727" t="s">
        <v>3176</v>
      </c>
      <c r="B1727" t="s">
        <v>3177</v>
      </c>
      <c r="C1727">
        <v>14579</v>
      </c>
      <c r="D1727" s="807">
        <v>3.14</v>
      </c>
    </row>
    <row r="1728" spans="1:4">
      <c r="A1728" t="s">
        <v>4207</v>
      </c>
      <c r="B1728" t="s">
        <v>8734</v>
      </c>
      <c r="C1728">
        <v>2168</v>
      </c>
      <c r="D1728" s="807">
        <v>3.4</v>
      </c>
    </row>
    <row r="1729" spans="1:4">
      <c r="A1729" t="s">
        <v>3709</v>
      </c>
      <c r="B1729" t="s">
        <v>5146</v>
      </c>
      <c r="C1729">
        <v>3454</v>
      </c>
      <c r="D1729" s="807">
        <v>2.2000000000000002</v>
      </c>
    </row>
    <row r="1730" spans="1:4">
      <c r="A1730" t="s">
        <v>6687</v>
      </c>
      <c r="B1730" t="s">
        <v>6686</v>
      </c>
      <c r="C1730">
        <v>2951</v>
      </c>
      <c r="D1730" s="807">
        <v>2.2000000000000002</v>
      </c>
    </row>
    <row r="1731" spans="1:4">
      <c r="A1731" t="s">
        <v>6780</v>
      </c>
      <c r="B1731" t="s">
        <v>8735</v>
      </c>
      <c r="C1731">
        <v>19887</v>
      </c>
      <c r="D1731" s="807">
        <v>2.1</v>
      </c>
    </row>
    <row r="1732" spans="1:4">
      <c r="A1732" t="s">
        <v>6745</v>
      </c>
      <c r="B1732" t="s">
        <v>8736</v>
      </c>
      <c r="C1732">
        <v>6816</v>
      </c>
      <c r="D1732" s="807">
        <v>2.4</v>
      </c>
    </row>
    <row r="1733" spans="1:4">
      <c r="A1733" t="s">
        <v>5430</v>
      </c>
      <c r="B1733" t="s">
        <v>640</v>
      </c>
      <c r="C1733">
        <v>2952</v>
      </c>
      <c r="D1733" s="807">
        <v>2</v>
      </c>
    </row>
    <row r="1734" spans="1:4">
      <c r="A1734" t="s">
        <v>3167</v>
      </c>
      <c r="B1734" t="s">
        <v>641</v>
      </c>
      <c r="C1734">
        <v>2146</v>
      </c>
      <c r="D1734" s="807">
        <v>2.09</v>
      </c>
    </row>
    <row r="1735" spans="1:4">
      <c r="A1735" t="s">
        <v>8343</v>
      </c>
      <c r="B1735" t="s">
        <v>8344</v>
      </c>
      <c r="C1735">
        <v>16301</v>
      </c>
      <c r="D1735" s="807">
        <v>3.2</v>
      </c>
    </row>
    <row r="1736" spans="1:4">
      <c r="A1736" t="s">
        <v>1388</v>
      </c>
      <c r="B1736" t="s">
        <v>4639</v>
      </c>
      <c r="C1736">
        <v>14591</v>
      </c>
      <c r="D1736" s="807">
        <v>3.7</v>
      </c>
    </row>
    <row r="1737" spans="1:4">
      <c r="A1737" t="s">
        <v>2952</v>
      </c>
      <c r="B1737" t="s">
        <v>2675</v>
      </c>
      <c r="C1737">
        <v>14592</v>
      </c>
      <c r="D1737" s="807">
        <v>4.18</v>
      </c>
    </row>
    <row r="1738" spans="1:4">
      <c r="A1738" s="403" t="s">
        <v>8956</v>
      </c>
      <c r="B1738" s="403" t="s">
        <v>8957</v>
      </c>
      <c r="C1738" s="403">
        <v>14598</v>
      </c>
      <c r="D1738" s="807">
        <v>3.3</v>
      </c>
    </row>
    <row r="1739" spans="1:4">
      <c r="A1739" t="s">
        <v>4247</v>
      </c>
      <c r="B1739" t="s">
        <v>8737</v>
      </c>
      <c r="C1739">
        <v>17253</v>
      </c>
      <c r="D1739" s="807">
        <v>2.1</v>
      </c>
    </row>
    <row r="1740" spans="1:4">
      <c r="A1740" t="s">
        <v>6719</v>
      </c>
      <c r="B1740" t="s">
        <v>6718</v>
      </c>
      <c r="C1740">
        <v>14600</v>
      </c>
      <c r="D1740" s="807">
        <v>3.4</v>
      </c>
    </row>
    <row r="1741" spans="1:4">
      <c r="A1741" t="s">
        <v>6489</v>
      </c>
      <c r="B1741" t="s">
        <v>6488</v>
      </c>
      <c r="C1741">
        <v>14611</v>
      </c>
      <c r="D1741" s="807">
        <v>2</v>
      </c>
    </row>
    <row r="1742" spans="1:4">
      <c r="A1742" t="s">
        <v>367</v>
      </c>
      <c r="B1742" t="s">
        <v>642</v>
      </c>
      <c r="C1742">
        <v>2875</v>
      </c>
      <c r="D1742" s="807">
        <v>3.63</v>
      </c>
    </row>
    <row r="1743" spans="1:4">
      <c r="A1743" t="s">
        <v>430</v>
      </c>
      <c r="B1743" t="s">
        <v>8738</v>
      </c>
      <c r="C1743">
        <v>14613</v>
      </c>
      <c r="D1743" s="807">
        <v>3</v>
      </c>
    </row>
    <row r="1744" spans="1:4">
      <c r="A1744" t="s">
        <v>2691</v>
      </c>
      <c r="B1744" t="s">
        <v>3938</v>
      </c>
      <c r="C1744">
        <v>3546</v>
      </c>
      <c r="D1744" s="807">
        <v>2.1</v>
      </c>
    </row>
    <row r="1745" spans="1:4">
      <c r="A1745" t="s">
        <v>1642</v>
      </c>
      <c r="B1745" t="s">
        <v>5464</v>
      </c>
      <c r="C1745">
        <v>2703</v>
      </c>
      <c r="D1745" s="807">
        <v>2.1</v>
      </c>
    </row>
    <row r="1746" spans="1:4">
      <c r="A1746" t="s">
        <v>4985</v>
      </c>
      <c r="B1746" t="s">
        <v>547</v>
      </c>
      <c r="C1746">
        <v>16600</v>
      </c>
      <c r="D1746" s="807">
        <v>3.3182763159269002</v>
      </c>
    </row>
    <row r="1747" spans="1:4">
      <c r="A1747" t="s">
        <v>9094</v>
      </c>
      <c r="B1747" t="s">
        <v>9095</v>
      </c>
      <c r="C1747">
        <v>19260</v>
      </c>
      <c r="D1747" s="807">
        <v>3.7</v>
      </c>
    </row>
    <row r="1748" spans="1:4">
      <c r="A1748" t="s">
        <v>4278</v>
      </c>
      <c r="B1748" t="s">
        <v>8739</v>
      </c>
      <c r="C1748">
        <v>14618</v>
      </c>
      <c r="D1748" s="807">
        <v>4</v>
      </c>
    </row>
    <row r="1749" spans="1:4">
      <c r="A1749" t="s">
        <v>9044</v>
      </c>
      <c r="B1749" t="s">
        <v>9045</v>
      </c>
      <c r="C1749">
        <v>14619</v>
      </c>
      <c r="D1749" s="807">
        <v>2</v>
      </c>
    </row>
    <row r="1750" spans="1:4">
      <c r="A1750" t="s">
        <v>5410</v>
      </c>
      <c r="B1750" t="s">
        <v>2676</v>
      </c>
      <c r="C1750">
        <v>3320</v>
      </c>
      <c r="D1750" s="807">
        <v>4</v>
      </c>
    </row>
    <row r="1751" spans="1:4">
      <c r="A1751" t="s">
        <v>3155</v>
      </c>
      <c r="B1751" t="s">
        <v>189</v>
      </c>
      <c r="C1751">
        <v>2563</v>
      </c>
      <c r="D1751" s="807">
        <v>3.96</v>
      </c>
    </row>
    <row r="1752" spans="1:4">
      <c r="A1752" t="s">
        <v>1820</v>
      </c>
      <c r="B1752" t="s">
        <v>4879</v>
      </c>
      <c r="C1752">
        <v>3364</v>
      </c>
      <c r="D1752" s="807">
        <v>4.0599999999999996</v>
      </c>
    </row>
    <row r="1753" spans="1:4">
      <c r="A1753" t="s">
        <v>4833</v>
      </c>
      <c r="B1753" t="s">
        <v>2270</v>
      </c>
      <c r="C1753">
        <v>3347</v>
      </c>
      <c r="D1753" s="807">
        <v>4.07</v>
      </c>
    </row>
    <row r="1754" spans="1:4">
      <c r="A1754" t="s">
        <v>4910</v>
      </c>
      <c r="B1754" t="s">
        <v>2271</v>
      </c>
      <c r="C1754">
        <v>3346</v>
      </c>
      <c r="D1754" s="807">
        <v>4.3899999999999997</v>
      </c>
    </row>
    <row r="1755" spans="1:4">
      <c r="A1755" t="s">
        <v>4721</v>
      </c>
      <c r="B1755" t="s">
        <v>4937</v>
      </c>
      <c r="C1755">
        <v>2316</v>
      </c>
      <c r="D1755" s="807">
        <v>3.92</v>
      </c>
    </row>
    <row r="1756" spans="1:4">
      <c r="A1756" t="s">
        <v>4790</v>
      </c>
      <c r="B1756" t="s">
        <v>4791</v>
      </c>
      <c r="C1756">
        <v>14647</v>
      </c>
      <c r="D1756" s="807">
        <v>4.21</v>
      </c>
    </row>
    <row r="1757" spans="1:4">
      <c r="A1757" t="s">
        <v>4444</v>
      </c>
      <c r="B1757" t="s">
        <v>5465</v>
      </c>
      <c r="C1757">
        <v>3536</v>
      </c>
      <c r="D1757" s="807">
        <v>2.1</v>
      </c>
    </row>
    <row r="1758" spans="1:4">
      <c r="A1758" t="s">
        <v>1394</v>
      </c>
      <c r="B1758" t="s">
        <v>2677</v>
      </c>
      <c r="C1758">
        <v>3246</v>
      </c>
      <c r="D1758" s="807">
        <v>3.33</v>
      </c>
    </row>
    <row r="1759" spans="1:4">
      <c r="A1759" t="s">
        <v>6584</v>
      </c>
      <c r="B1759" t="s">
        <v>6583</v>
      </c>
      <c r="C1759">
        <v>14657</v>
      </c>
      <c r="D1759" s="807">
        <v>2</v>
      </c>
    </row>
    <row r="1760" spans="1:4">
      <c r="A1760" t="s">
        <v>700</v>
      </c>
      <c r="B1760" t="s">
        <v>3482</v>
      </c>
      <c r="C1760">
        <v>3046</v>
      </c>
      <c r="D1760" s="807">
        <v>3.61</v>
      </c>
    </row>
    <row r="1761" spans="1:4">
      <c r="A1761" t="s">
        <v>506</v>
      </c>
      <c r="B1761" t="s">
        <v>3483</v>
      </c>
      <c r="C1761">
        <v>2407</v>
      </c>
      <c r="D1761" s="807">
        <v>3.5</v>
      </c>
    </row>
    <row r="1762" spans="1:4">
      <c r="A1762" t="s">
        <v>6642</v>
      </c>
      <c r="B1762" t="s">
        <v>6641</v>
      </c>
      <c r="C1762">
        <v>19049</v>
      </c>
      <c r="D1762" s="807">
        <v>3.4</v>
      </c>
    </row>
    <row r="1763" spans="1:4">
      <c r="A1763" t="s">
        <v>5381</v>
      </c>
      <c r="B1763" t="s">
        <v>3750</v>
      </c>
      <c r="C1763">
        <v>18733</v>
      </c>
      <c r="D1763" s="807">
        <v>3.88</v>
      </c>
    </row>
    <row r="1764" spans="1:4">
      <c r="A1764" t="s">
        <v>4855</v>
      </c>
      <c r="B1764" t="s">
        <v>919</v>
      </c>
      <c r="C1764">
        <v>2231</v>
      </c>
      <c r="D1764" s="807">
        <v>4.5</v>
      </c>
    </row>
    <row r="1765" spans="1:4">
      <c r="A1765" t="s">
        <v>6682</v>
      </c>
      <c r="B1765" t="s">
        <v>6681</v>
      </c>
      <c r="C1765">
        <v>14682</v>
      </c>
      <c r="D1765" s="807">
        <v>4.5</v>
      </c>
    </row>
    <row r="1766" spans="1:4">
      <c r="A1766" t="s">
        <v>4966</v>
      </c>
      <c r="B1766" t="s">
        <v>6243</v>
      </c>
      <c r="C1766">
        <v>2202</v>
      </c>
      <c r="D1766" s="807">
        <v>4.4000000000000004</v>
      </c>
    </row>
    <row r="1767" spans="1:4">
      <c r="A1767" t="s">
        <v>6655</v>
      </c>
      <c r="B1767" t="s">
        <v>6654</v>
      </c>
      <c r="C1767">
        <v>6614</v>
      </c>
      <c r="D1767" s="807">
        <v>2</v>
      </c>
    </row>
    <row r="1768" spans="1:4">
      <c r="A1768" t="s">
        <v>8893</v>
      </c>
      <c r="B1768" t="s">
        <v>8894</v>
      </c>
      <c r="C1768">
        <v>14683</v>
      </c>
      <c r="D1768" s="807">
        <v>4.5</v>
      </c>
    </row>
    <row r="1769" spans="1:4">
      <c r="A1769" t="s">
        <v>901</v>
      </c>
      <c r="B1769" t="s">
        <v>2272</v>
      </c>
      <c r="C1769">
        <v>2551</v>
      </c>
      <c r="D1769" s="807">
        <v>2.83</v>
      </c>
    </row>
    <row r="1770" spans="1:4">
      <c r="A1770" t="s">
        <v>5539</v>
      </c>
      <c r="B1770" t="s">
        <v>1343</v>
      </c>
      <c r="C1770">
        <v>3365</v>
      </c>
      <c r="D1770" s="807">
        <v>3.15</v>
      </c>
    </row>
    <row r="1771" spans="1:4">
      <c r="A1771" t="s">
        <v>6620</v>
      </c>
      <c r="B1771" t="s">
        <v>6619</v>
      </c>
      <c r="C1771">
        <v>19410</v>
      </c>
      <c r="D1771" s="807">
        <v>2</v>
      </c>
    </row>
    <row r="1772" spans="1:4">
      <c r="A1772" t="s">
        <v>4481</v>
      </c>
      <c r="B1772" t="s">
        <v>3751</v>
      </c>
      <c r="C1772">
        <v>2365</v>
      </c>
      <c r="D1772" s="807">
        <v>4.0599999999999996</v>
      </c>
    </row>
    <row r="1773" spans="1:4">
      <c r="A1773" t="s">
        <v>4482</v>
      </c>
      <c r="B1773" t="s">
        <v>3752</v>
      </c>
      <c r="C1773">
        <v>2364</v>
      </c>
      <c r="D1773" s="807">
        <v>3.84</v>
      </c>
    </row>
    <row r="1774" spans="1:4">
      <c r="A1774" t="s">
        <v>2725</v>
      </c>
      <c r="B1774" t="s">
        <v>6453</v>
      </c>
      <c r="C1774">
        <v>3166</v>
      </c>
      <c r="D1774" s="807">
        <v>3.9</v>
      </c>
    </row>
    <row r="1775" spans="1:4">
      <c r="A1775" t="s">
        <v>2127</v>
      </c>
      <c r="B1775" t="s">
        <v>3753</v>
      </c>
      <c r="C1775">
        <v>2363</v>
      </c>
      <c r="D1775" s="807">
        <v>3.78</v>
      </c>
    </row>
    <row r="1776" spans="1:4">
      <c r="A1776" t="s">
        <v>824</v>
      </c>
      <c r="B1776" t="s">
        <v>3754</v>
      </c>
      <c r="C1776">
        <v>3209</v>
      </c>
      <c r="D1776" s="807">
        <v>3.24</v>
      </c>
    </row>
    <row r="1777" spans="1:4">
      <c r="A1777" t="s">
        <v>4237</v>
      </c>
      <c r="B1777" t="s">
        <v>8740</v>
      </c>
      <c r="C1777">
        <v>3507</v>
      </c>
      <c r="D1777" s="807">
        <v>2.1</v>
      </c>
    </row>
    <row r="1778" spans="1:4">
      <c r="A1778" t="s">
        <v>9082</v>
      </c>
      <c r="B1778" t="s">
        <v>9083</v>
      </c>
      <c r="C1778">
        <v>18553</v>
      </c>
      <c r="D1778" s="807">
        <v>1</v>
      </c>
    </row>
    <row r="1779" spans="1:4">
      <c r="A1779" s="403" t="s">
        <v>8925</v>
      </c>
      <c r="B1779" s="403" t="s">
        <v>8926</v>
      </c>
      <c r="C1779" s="403">
        <v>14732</v>
      </c>
      <c r="D1779" s="807">
        <v>2.6</v>
      </c>
    </row>
    <row r="1780" spans="1:4">
      <c r="A1780" t="s">
        <v>159</v>
      </c>
      <c r="B1780" t="s">
        <v>3755</v>
      </c>
      <c r="C1780">
        <v>2383</v>
      </c>
      <c r="D1780" s="807">
        <v>3.68</v>
      </c>
    </row>
    <row r="1781" spans="1:4">
      <c r="A1781" t="s">
        <v>8345</v>
      </c>
      <c r="B1781" t="s">
        <v>8346</v>
      </c>
      <c r="C1781">
        <v>14740</v>
      </c>
      <c r="D1781" s="807">
        <v>4.4000000000000004</v>
      </c>
    </row>
    <row r="1782" spans="1:4">
      <c r="A1782" t="s">
        <v>123</v>
      </c>
      <c r="B1782" t="s">
        <v>3286</v>
      </c>
      <c r="C1782">
        <v>2359</v>
      </c>
      <c r="D1782" s="807">
        <v>3.56</v>
      </c>
    </row>
    <row r="1783" spans="1:4">
      <c r="A1783" t="s">
        <v>1640</v>
      </c>
      <c r="B1783" t="s">
        <v>3287</v>
      </c>
      <c r="C1783">
        <v>2884</v>
      </c>
      <c r="D1783" s="807">
        <v>3.03</v>
      </c>
    </row>
    <row r="1784" spans="1:4">
      <c r="A1784" t="s">
        <v>8895</v>
      </c>
      <c r="B1784" t="s">
        <v>8896</v>
      </c>
      <c r="C1784">
        <v>14748</v>
      </c>
      <c r="D1784" s="807">
        <v>4.0999999999999996</v>
      </c>
    </row>
    <row r="1785" spans="1:4">
      <c r="A1785" t="s">
        <v>6739</v>
      </c>
      <c r="B1785" t="s">
        <v>8347</v>
      </c>
      <c r="C1785">
        <v>19882</v>
      </c>
      <c r="D1785" s="807">
        <v>2</v>
      </c>
    </row>
    <row r="1786" spans="1:4">
      <c r="A1786" t="s">
        <v>5533</v>
      </c>
      <c r="B1786" t="s">
        <v>3973</v>
      </c>
      <c r="C1786">
        <v>18575</v>
      </c>
      <c r="D1786" s="807">
        <v>3.68</v>
      </c>
    </row>
    <row r="1787" spans="1:4">
      <c r="A1787" t="s">
        <v>3126</v>
      </c>
      <c r="B1787" t="s">
        <v>3974</v>
      </c>
      <c r="C1787">
        <v>3339</v>
      </c>
      <c r="D1787" s="807">
        <v>3.77</v>
      </c>
    </row>
    <row r="1788" spans="1:4">
      <c r="A1788" t="s">
        <v>4560</v>
      </c>
      <c r="B1788" t="s">
        <v>4409</v>
      </c>
      <c r="C1788">
        <v>16303</v>
      </c>
      <c r="D1788" s="807">
        <v>2.9587323501170402</v>
      </c>
    </row>
    <row r="1789" spans="1:4">
      <c r="A1789" t="s">
        <v>6585</v>
      </c>
      <c r="B1789" t="s">
        <v>43</v>
      </c>
      <c r="C1789">
        <v>19132</v>
      </c>
      <c r="D1789" s="807">
        <v>2.36</v>
      </c>
    </row>
    <row r="1790" spans="1:4">
      <c r="A1790" t="s">
        <v>3381</v>
      </c>
      <c r="B1790" t="s">
        <v>3382</v>
      </c>
      <c r="C1790">
        <v>14763</v>
      </c>
      <c r="D1790" s="807">
        <v>2.6</v>
      </c>
    </row>
    <row r="1791" spans="1:4">
      <c r="A1791" s="403" t="s">
        <v>8927</v>
      </c>
      <c r="B1791" s="403" t="s">
        <v>8928</v>
      </c>
      <c r="C1791" s="403">
        <v>14776</v>
      </c>
      <c r="D1791" s="807">
        <v>3.7</v>
      </c>
    </row>
    <row r="1792" spans="1:4">
      <c r="A1792" t="s">
        <v>2383</v>
      </c>
      <c r="B1792" t="s">
        <v>2384</v>
      </c>
      <c r="C1792">
        <v>14780</v>
      </c>
      <c r="D1792" s="807">
        <v>3.79</v>
      </c>
    </row>
    <row r="1793" spans="1:8">
      <c r="A1793" t="s">
        <v>242</v>
      </c>
      <c r="B1793" t="s">
        <v>5316</v>
      </c>
      <c r="C1793">
        <v>2772</v>
      </c>
      <c r="D1793" s="807">
        <v>3</v>
      </c>
    </row>
    <row r="1794" spans="1:8">
      <c r="A1794" t="s">
        <v>2043</v>
      </c>
      <c r="B1794" t="s">
        <v>5317</v>
      </c>
      <c r="C1794">
        <v>2771</v>
      </c>
      <c r="D1794" s="807">
        <v>3</v>
      </c>
    </row>
    <row r="1795" spans="1:8">
      <c r="A1795" t="s">
        <v>4852</v>
      </c>
      <c r="B1795" t="s">
        <v>4938</v>
      </c>
      <c r="C1795">
        <v>2304</v>
      </c>
      <c r="D1795" s="807">
        <v>3.96</v>
      </c>
    </row>
    <row r="1796" spans="1:8">
      <c r="A1796" t="s">
        <v>6726</v>
      </c>
      <c r="B1796" t="s">
        <v>6725</v>
      </c>
      <c r="C1796">
        <v>2056</v>
      </c>
      <c r="D1796" s="807">
        <v>2</v>
      </c>
    </row>
    <row r="1797" spans="1:8">
      <c r="A1797" t="s">
        <v>6507</v>
      </c>
      <c r="B1797" t="s">
        <v>6506</v>
      </c>
      <c r="C1797">
        <v>14800</v>
      </c>
      <c r="D1797" s="807">
        <v>2</v>
      </c>
    </row>
    <row r="1798" spans="1:8">
      <c r="A1798" t="s">
        <v>4134</v>
      </c>
      <c r="B1798" t="s">
        <v>4921</v>
      </c>
      <c r="C1798">
        <v>2051</v>
      </c>
      <c r="D1798" s="807">
        <v>3.96</v>
      </c>
    </row>
    <row r="1799" spans="1:8">
      <c r="A1799" t="s">
        <v>866</v>
      </c>
      <c r="B1799" t="s">
        <v>2570</v>
      </c>
      <c r="C1799">
        <v>2853</v>
      </c>
      <c r="D1799" s="807">
        <v>3.98</v>
      </c>
    </row>
    <row r="1800" spans="1:8">
      <c r="A1800" t="s">
        <v>6680</v>
      </c>
      <c r="B1800" t="s">
        <v>6679</v>
      </c>
      <c r="C1800">
        <v>14809</v>
      </c>
      <c r="D1800" s="807">
        <v>2</v>
      </c>
      <c r="E1800" s="268"/>
      <c r="F1800" s="268"/>
      <c r="G1800" s="268"/>
      <c r="H1800" s="268"/>
    </row>
    <row r="1801" spans="1:8">
      <c r="A1801" t="s">
        <v>1117</v>
      </c>
      <c r="B1801" t="s">
        <v>3400</v>
      </c>
      <c r="C1801">
        <v>2053</v>
      </c>
      <c r="D1801" s="807">
        <v>3.5</v>
      </c>
    </row>
    <row r="1802" spans="1:8">
      <c r="A1802" t="s">
        <v>2944</v>
      </c>
      <c r="B1802" t="s">
        <v>3401</v>
      </c>
      <c r="C1802">
        <v>2851</v>
      </c>
      <c r="D1802" s="807">
        <v>3.76</v>
      </c>
    </row>
    <row r="1803" spans="1:8">
      <c r="A1803" t="s">
        <v>6377</v>
      </c>
      <c r="B1803" t="s">
        <v>6376</v>
      </c>
      <c r="C1803">
        <v>14817</v>
      </c>
      <c r="D1803" s="807">
        <v>2</v>
      </c>
    </row>
    <row r="1804" spans="1:8">
      <c r="A1804" t="s">
        <v>6466</v>
      </c>
      <c r="B1804" t="s">
        <v>6465</v>
      </c>
      <c r="C1804">
        <v>2057</v>
      </c>
      <c r="D1804" s="807">
        <v>2</v>
      </c>
    </row>
    <row r="1805" spans="1:8">
      <c r="A1805" t="s">
        <v>1118</v>
      </c>
      <c r="B1805" t="s">
        <v>3402</v>
      </c>
      <c r="C1805">
        <v>2854</v>
      </c>
      <c r="D1805" s="807">
        <v>3.5</v>
      </c>
    </row>
    <row r="1806" spans="1:8">
      <c r="A1806" t="s">
        <v>6609</v>
      </c>
      <c r="B1806" t="s">
        <v>6608</v>
      </c>
      <c r="C1806">
        <v>2858</v>
      </c>
      <c r="D1806" s="807">
        <v>2</v>
      </c>
    </row>
    <row r="1807" spans="1:8">
      <c r="A1807" t="s">
        <v>1375</v>
      </c>
      <c r="B1807" t="s">
        <v>3403</v>
      </c>
      <c r="C1807">
        <v>2859</v>
      </c>
      <c r="D1807" s="807">
        <v>3.83</v>
      </c>
    </row>
    <row r="1808" spans="1:8">
      <c r="A1808" t="s">
        <v>3967</v>
      </c>
      <c r="B1808" t="s">
        <v>2054</v>
      </c>
      <c r="C1808">
        <v>14830</v>
      </c>
      <c r="D1808" s="807">
        <v>3.84</v>
      </c>
    </row>
    <row r="1809" spans="1:4">
      <c r="A1809" t="s">
        <v>1161</v>
      </c>
      <c r="B1809" t="s">
        <v>3407</v>
      </c>
      <c r="C1809">
        <v>14842</v>
      </c>
      <c r="D1809" s="807">
        <v>3.62</v>
      </c>
    </row>
    <row r="1810" spans="1:4">
      <c r="A1810" t="s">
        <v>6485</v>
      </c>
      <c r="B1810" t="s">
        <v>6484</v>
      </c>
      <c r="C1810">
        <v>14844</v>
      </c>
      <c r="D1810" s="807">
        <v>2</v>
      </c>
    </row>
    <row r="1811" spans="1:4">
      <c r="A1811" t="s">
        <v>1119</v>
      </c>
      <c r="B1811" t="s">
        <v>3297</v>
      </c>
      <c r="C1811">
        <v>2054</v>
      </c>
      <c r="D1811" s="807">
        <v>3.89</v>
      </c>
    </row>
    <row r="1812" spans="1:4">
      <c r="A1812" t="s">
        <v>1178</v>
      </c>
      <c r="B1812" t="s">
        <v>1179</v>
      </c>
      <c r="C1812">
        <v>14847</v>
      </c>
      <c r="D1812" s="807">
        <v>3.8</v>
      </c>
    </row>
    <row r="1813" spans="1:4">
      <c r="A1813" t="s">
        <v>1124</v>
      </c>
      <c r="B1813" t="s">
        <v>3298</v>
      </c>
      <c r="C1813">
        <v>2852</v>
      </c>
      <c r="D1813" s="807">
        <v>3.67</v>
      </c>
    </row>
    <row r="1814" spans="1:4">
      <c r="A1814" t="s">
        <v>370</v>
      </c>
      <c r="B1814" t="s">
        <v>3299</v>
      </c>
      <c r="C1814">
        <v>2855</v>
      </c>
      <c r="D1814" s="807">
        <v>3.94</v>
      </c>
    </row>
    <row r="1815" spans="1:4">
      <c r="A1815" t="s">
        <v>6530</v>
      </c>
      <c r="B1815" t="s">
        <v>6529</v>
      </c>
      <c r="C1815">
        <v>14849</v>
      </c>
      <c r="D1815" s="807">
        <v>2</v>
      </c>
    </row>
    <row r="1816" spans="1:4">
      <c r="A1816" t="s">
        <v>2766</v>
      </c>
      <c r="B1816" t="s">
        <v>3300</v>
      </c>
      <c r="C1816">
        <v>2856</v>
      </c>
      <c r="D1816" s="807">
        <v>3.5</v>
      </c>
    </row>
    <row r="1817" spans="1:4">
      <c r="A1817" t="s">
        <v>1162</v>
      </c>
      <c r="B1817" t="s">
        <v>3301</v>
      </c>
      <c r="C1817">
        <v>2052</v>
      </c>
      <c r="D1817" s="807">
        <v>4.0199999999999996</v>
      </c>
    </row>
    <row r="1818" spans="1:4">
      <c r="A1818" t="s">
        <v>198</v>
      </c>
      <c r="B1818" t="s">
        <v>3302</v>
      </c>
      <c r="C1818">
        <v>2850</v>
      </c>
      <c r="D1818" s="807">
        <v>3.94</v>
      </c>
    </row>
    <row r="1819" spans="1:4">
      <c r="A1819" t="s">
        <v>8741</v>
      </c>
      <c r="B1819" t="s">
        <v>6588</v>
      </c>
      <c r="C1819">
        <v>14869</v>
      </c>
      <c r="D1819" s="807">
        <v>2</v>
      </c>
    </row>
    <row r="1820" spans="1:4">
      <c r="A1820" t="s">
        <v>6715</v>
      </c>
      <c r="B1820" t="s">
        <v>6714</v>
      </c>
      <c r="C1820">
        <v>2055</v>
      </c>
      <c r="D1820" s="807">
        <v>2</v>
      </c>
    </row>
    <row r="1821" spans="1:4">
      <c r="A1821" t="s">
        <v>5524</v>
      </c>
      <c r="B1821" t="s">
        <v>3303</v>
      </c>
      <c r="C1821">
        <v>2849</v>
      </c>
      <c r="D1821" s="807">
        <v>3.81</v>
      </c>
    </row>
    <row r="1822" spans="1:4">
      <c r="A1822" t="s">
        <v>1359</v>
      </c>
      <c r="B1822" t="s">
        <v>82</v>
      </c>
      <c r="C1822">
        <v>2845</v>
      </c>
      <c r="D1822" s="807">
        <v>3.69</v>
      </c>
    </row>
    <row r="1823" spans="1:4">
      <c r="A1823" t="s">
        <v>4002</v>
      </c>
      <c r="B1823" t="s">
        <v>8742</v>
      </c>
      <c r="C1823">
        <v>10048</v>
      </c>
      <c r="D1823" s="807">
        <v>2.6</v>
      </c>
    </row>
    <row r="1824" spans="1:4">
      <c r="A1824" t="s">
        <v>6759</v>
      </c>
      <c r="B1824" t="s">
        <v>8743</v>
      </c>
      <c r="C1824">
        <v>10093</v>
      </c>
      <c r="D1824" s="807">
        <v>2.6</v>
      </c>
    </row>
    <row r="1825" spans="1:4">
      <c r="A1825" t="s">
        <v>3166</v>
      </c>
      <c r="B1825" t="s">
        <v>3453</v>
      </c>
      <c r="C1825">
        <v>2746</v>
      </c>
      <c r="D1825" s="807">
        <v>2.6</v>
      </c>
    </row>
    <row r="1826" spans="1:4">
      <c r="A1826" t="s">
        <v>4072</v>
      </c>
      <c r="B1826" t="s">
        <v>377</v>
      </c>
      <c r="C1826">
        <v>2658</v>
      </c>
      <c r="D1826" s="807">
        <v>2.1</v>
      </c>
    </row>
    <row r="1827" spans="1:4">
      <c r="A1827" t="s">
        <v>8897</v>
      </c>
      <c r="B1827" t="s">
        <v>8898</v>
      </c>
      <c r="C1827">
        <v>17807</v>
      </c>
      <c r="D1827" s="807">
        <v>2.1</v>
      </c>
    </row>
    <row r="1828" spans="1:4">
      <c r="A1828" t="s">
        <v>5088</v>
      </c>
      <c r="B1828" t="s">
        <v>3376</v>
      </c>
      <c r="C1828">
        <v>19133</v>
      </c>
      <c r="D1828" s="807">
        <v>2</v>
      </c>
    </row>
    <row r="1829" spans="1:4">
      <c r="A1829" t="s">
        <v>5223</v>
      </c>
      <c r="B1829" t="s">
        <v>4939</v>
      </c>
      <c r="C1829">
        <v>2477</v>
      </c>
      <c r="D1829" s="807">
        <v>2.72</v>
      </c>
    </row>
    <row r="1830" spans="1:4">
      <c r="A1830" t="s">
        <v>3535</v>
      </c>
      <c r="B1830" t="s">
        <v>4940</v>
      </c>
      <c r="C1830">
        <v>2478</v>
      </c>
      <c r="D1830" s="807">
        <v>3.19</v>
      </c>
    </row>
    <row r="1831" spans="1:4">
      <c r="A1831" t="s">
        <v>184</v>
      </c>
      <c r="B1831" t="s">
        <v>4941</v>
      </c>
      <c r="C1831">
        <v>2476</v>
      </c>
      <c r="D1831" s="807">
        <v>3.1</v>
      </c>
    </row>
    <row r="1832" spans="1:4">
      <c r="A1832" t="s">
        <v>2352</v>
      </c>
      <c r="B1832" t="s">
        <v>2776</v>
      </c>
      <c r="C1832">
        <v>2169</v>
      </c>
      <c r="D1832" s="807">
        <v>3.41</v>
      </c>
    </row>
    <row r="1833" spans="1:4">
      <c r="A1833" t="s">
        <v>4617</v>
      </c>
      <c r="B1833" t="s">
        <v>4942</v>
      </c>
      <c r="C1833">
        <v>14892</v>
      </c>
      <c r="D1833" s="807">
        <v>3.2</v>
      </c>
    </row>
    <row r="1834" spans="1:4">
      <c r="A1834" t="s">
        <v>4581</v>
      </c>
      <c r="B1834" t="s">
        <v>1344</v>
      </c>
      <c r="C1834">
        <v>2544</v>
      </c>
      <c r="D1834" s="807">
        <v>4.4800000000000004</v>
      </c>
    </row>
    <row r="1835" spans="1:4">
      <c r="A1835" t="s">
        <v>2118</v>
      </c>
      <c r="B1835" t="s">
        <v>4410</v>
      </c>
      <c r="C1835">
        <v>2613</v>
      </c>
      <c r="D1835" s="807">
        <v>2.6</v>
      </c>
    </row>
    <row r="1836" spans="1:4">
      <c r="A1836" t="s">
        <v>1703</v>
      </c>
      <c r="B1836" t="s">
        <v>3975</v>
      </c>
      <c r="C1836">
        <v>3268</v>
      </c>
      <c r="D1836" s="807">
        <v>4.3099999999999996</v>
      </c>
    </row>
    <row r="1837" spans="1:4">
      <c r="A1837" t="s">
        <v>5369</v>
      </c>
      <c r="B1837" t="s">
        <v>8348</v>
      </c>
      <c r="C1837">
        <v>20200</v>
      </c>
      <c r="D1837" s="807">
        <v>2.94</v>
      </c>
    </row>
    <row r="1838" spans="1:4">
      <c r="A1838" t="s">
        <v>2478</v>
      </c>
      <c r="B1838" t="s">
        <v>5542</v>
      </c>
      <c r="C1838">
        <v>3192</v>
      </c>
      <c r="D1838" s="807">
        <v>2.87</v>
      </c>
    </row>
    <row r="1839" spans="1:4">
      <c r="A1839" t="s">
        <v>3941</v>
      </c>
      <c r="B1839" t="s">
        <v>5543</v>
      </c>
      <c r="C1839">
        <v>18956</v>
      </c>
      <c r="D1839" s="807">
        <v>3.5</v>
      </c>
    </row>
    <row r="1840" spans="1:4">
      <c r="A1840" t="s">
        <v>4196</v>
      </c>
      <c r="B1840" t="s">
        <v>8744</v>
      </c>
      <c r="C1840">
        <v>3193</v>
      </c>
      <c r="D1840" s="807">
        <v>3.3</v>
      </c>
    </row>
    <row r="1841" spans="1:4">
      <c r="A1841" t="s">
        <v>8349</v>
      </c>
      <c r="B1841" t="s">
        <v>8350</v>
      </c>
      <c r="C1841">
        <v>20104</v>
      </c>
      <c r="D1841" s="807">
        <v>2.95</v>
      </c>
    </row>
    <row r="1842" spans="1:4">
      <c r="A1842" t="s">
        <v>4261</v>
      </c>
      <c r="B1842" t="s">
        <v>6656</v>
      </c>
      <c r="C1842">
        <v>14918</v>
      </c>
      <c r="D1842" s="807">
        <v>3.2</v>
      </c>
    </row>
    <row r="1843" spans="1:4">
      <c r="A1843" t="s">
        <v>3281</v>
      </c>
      <c r="B1843" t="s">
        <v>83</v>
      </c>
      <c r="C1843">
        <v>2048</v>
      </c>
      <c r="D1843" s="807">
        <v>3.63</v>
      </c>
    </row>
    <row r="1844" spans="1:4">
      <c r="A1844" t="s">
        <v>6262</v>
      </c>
      <c r="B1844" t="s">
        <v>6261</v>
      </c>
      <c r="C1844">
        <v>14939</v>
      </c>
      <c r="D1844" s="807">
        <v>4</v>
      </c>
    </row>
    <row r="1845" spans="1:4">
      <c r="A1845" t="s">
        <v>3812</v>
      </c>
      <c r="B1845" t="s">
        <v>84</v>
      </c>
      <c r="C1845">
        <v>2847</v>
      </c>
      <c r="D1845" s="807">
        <v>3.58</v>
      </c>
    </row>
    <row r="1846" spans="1:4">
      <c r="A1846" t="s">
        <v>1986</v>
      </c>
      <c r="B1846" t="s">
        <v>3064</v>
      </c>
      <c r="C1846">
        <v>2049</v>
      </c>
      <c r="D1846" s="807">
        <v>3.54</v>
      </c>
    </row>
    <row r="1847" spans="1:4">
      <c r="A1847" t="s">
        <v>6340</v>
      </c>
      <c r="B1847" t="s">
        <v>6339</v>
      </c>
      <c r="C1847">
        <v>14955</v>
      </c>
      <c r="D1847" s="807">
        <v>2</v>
      </c>
    </row>
    <row r="1848" spans="1:4">
      <c r="A1848" t="s">
        <v>3339</v>
      </c>
      <c r="B1848" t="s">
        <v>3685</v>
      </c>
      <c r="C1848">
        <v>14961</v>
      </c>
      <c r="D1848" s="807">
        <v>3.55</v>
      </c>
    </row>
    <row r="1849" spans="1:4">
      <c r="A1849" t="s">
        <v>6345</v>
      </c>
      <c r="B1849" t="s">
        <v>6344</v>
      </c>
      <c r="C1849">
        <v>14972</v>
      </c>
      <c r="D1849" s="807">
        <v>3.5</v>
      </c>
    </row>
    <row r="1850" spans="1:4">
      <c r="A1850" t="s">
        <v>6483</v>
      </c>
      <c r="B1850" t="s">
        <v>6482</v>
      </c>
      <c r="C1850">
        <v>14976</v>
      </c>
      <c r="D1850" s="807">
        <v>3.8</v>
      </c>
    </row>
    <row r="1851" spans="1:4">
      <c r="A1851" t="s">
        <v>9046</v>
      </c>
      <c r="B1851" t="s">
        <v>9047</v>
      </c>
      <c r="C1851">
        <v>14978</v>
      </c>
      <c r="D1851" s="807">
        <v>3.6</v>
      </c>
    </row>
    <row r="1852" spans="1:4">
      <c r="A1852" t="s">
        <v>6516</v>
      </c>
      <c r="B1852" t="s">
        <v>6515</v>
      </c>
      <c r="C1852">
        <v>14984</v>
      </c>
      <c r="D1852" s="807">
        <v>4.3</v>
      </c>
    </row>
    <row r="1853" spans="1:4">
      <c r="A1853" t="s">
        <v>8899</v>
      </c>
      <c r="B1853" t="s">
        <v>8900</v>
      </c>
      <c r="C1853">
        <v>14985</v>
      </c>
      <c r="D1853" s="807">
        <v>4.3</v>
      </c>
    </row>
    <row r="1854" spans="1:4">
      <c r="A1854" t="s">
        <v>8901</v>
      </c>
      <c r="B1854" t="s">
        <v>8902</v>
      </c>
      <c r="C1854">
        <v>14988</v>
      </c>
      <c r="D1854" s="807">
        <v>4</v>
      </c>
    </row>
    <row r="1855" spans="1:4">
      <c r="A1855" t="s">
        <v>338</v>
      </c>
      <c r="B1855" t="s">
        <v>339</v>
      </c>
      <c r="C1855">
        <v>2820</v>
      </c>
      <c r="D1855" s="807">
        <v>4.2699999999999996</v>
      </c>
    </row>
    <row r="1856" spans="1:4">
      <c r="A1856" t="s">
        <v>1451</v>
      </c>
      <c r="B1856" t="s">
        <v>1728</v>
      </c>
      <c r="C1856">
        <v>3634</v>
      </c>
      <c r="D1856" s="807">
        <v>1</v>
      </c>
    </row>
    <row r="1857" spans="1:4">
      <c r="A1857" t="s">
        <v>5220</v>
      </c>
      <c r="B1857" t="s">
        <v>3141</v>
      </c>
      <c r="C1857">
        <v>14996</v>
      </c>
      <c r="D1857" s="807">
        <v>4.33</v>
      </c>
    </row>
    <row r="1858" spans="1:4">
      <c r="A1858" t="s">
        <v>6600</v>
      </c>
      <c r="B1858" t="s">
        <v>1345</v>
      </c>
      <c r="C1858">
        <v>3366</v>
      </c>
      <c r="D1858" s="807">
        <v>3.06</v>
      </c>
    </row>
    <row r="1859" spans="1:4">
      <c r="A1859" t="s">
        <v>6601</v>
      </c>
      <c r="B1859" t="s">
        <v>5198</v>
      </c>
      <c r="C1859">
        <v>2758</v>
      </c>
      <c r="D1859" s="807">
        <v>2.2999999999999998</v>
      </c>
    </row>
    <row r="1860" spans="1:4">
      <c r="A1860" t="s">
        <v>37</v>
      </c>
      <c r="B1860" t="s">
        <v>38</v>
      </c>
      <c r="C1860">
        <v>15002</v>
      </c>
      <c r="D1860" s="807">
        <v>3.54</v>
      </c>
    </row>
    <row r="1861" spans="1:4">
      <c r="A1861" t="s">
        <v>889</v>
      </c>
      <c r="B1861" t="s">
        <v>3686</v>
      </c>
      <c r="C1861">
        <v>15003</v>
      </c>
      <c r="D1861" s="807">
        <v>3.6</v>
      </c>
    </row>
    <row r="1862" spans="1:4">
      <c r="A1862" t="s">
        <v>6603</v>
      </c>
      <c r="B1862" t="s">
        <v>6602</v>
      </c>
      <c r="C1862">
        <v>19256</v>
      </c>
      <c r="D1862" s="807">
        <v>2</v>
      </c>
    </row>
    <row r="1863" spans="1:4">
      <c r="A1863" t="s">
        <v>8745</v>
      </c>
      <c r="B1863" t="s">
        <v>8746</v>
      </c>
      <c r="C1863">
        <v>15026</v>
      </c>
      <c r="D1863" s="807">
        <v>2.7</v>
      </c>
    </row>
    <row r="1864" spans="1:4">
      <c r="A1864" t="s">
        <v>3470</v>
      </c>
      <c r="B1864" t="s">
        <v>5466</v>
      </c>
      <c r="C1864">
        <v>3542</v>
      </c>
      <c r="D1864" s="807">
        <v>2.1</v>
      </c>
    </row>
    <row r="1865" spans="1:4">
      <c r="A1865" t="s">
        <v>5153</v>
      </c>
      <c r="B1865" t="s">
        <v>1304</v>
      </c>
      <c r="C1865">
        <v>3543</v>
      </c>
      <c r="D1865" s="807">
        <v>2.1</v>
      </c>
    </row>
    <row r="1866" spans="1:4">
      <c r="A1866" t="s">
        <v>4026</v>
      </c>
      <c r="B1866" t="s">
        <v>6313</v>
      </c>
      <c r="C1866">
        <v>2700</v>
      </c>
      <c r="D1866" s="807">
        <v>2</v>
      </c>
    </row>
    <row r="1867" spans="1:4">
      <c r="A1867" t="s">
        <v>8351</v>
      </c>
      <c r="B1867" t="s">
        <v>8352</v>
      </c>
      <c r="C1867">
        <v>19856</v>
      </c>
      <c r="D1867" s="807">
        <v>3.3</v>
      </c>
    </row>
    <row r="1868" spans="1:4">
      <c r="A1868" t="s">
        <v>222</v>
      </c>
      <c r="B1868" t="s">
        <v>2777</v>
      </c>
      <c r="C1868">
        <v>2158</v>
      </c>
      <c r="D1868" s="807">
        <v>3.51</v>
      </c>
    </row>
    <row r="1869" spans="1:4">
      <c r="A1869" t="s">
        <v>4163</v>
      </c>
      <c r="B1869" t="s">
        <v>2778</v>
      </c>
      <c r="C1869">
        <v>2157</v>
      </c>
      <c r="D1869" s="807">
        <v>2.79</v>
      </c>
    </row>
    <row r="1870" spans="1:4">
      <c r="A1870" t="s">
        <v>3745</v>
      </c>
      <c r="B1870" t="s">
        <v>2779</v>
      </c>
      <c r="C1870">
        <v>2960</v>
      </c>
      <c r="D1870" s="807">
        <v>3.05</v>
      </c>
    </row>
    <row r="1871" spans="1:4">
      <c r="A1871" t="s">
        <v>2951</v>
      </c>
      <c r="B1871" t="s">
        <v>2307</v>
      </c>
      <c r="C1871">
        <v>2467</v>
      </c>
      <c r="D1871" s="807">
        <v>4.18</v>
      </c>
    </row>
    <row r="1872" spans="1:4">
      <c r="A1872" t="s">
        <v>4252</v>
      </c>
      <c r="B1872" t="s">
        <v>8747</v>
      </c>
      <c r="C1872">
        <v>18540</v>
      </c>
      <c r="D1872" s="807">
        <v>1</v>
      </c>
    </row>
    <row r="1873" spans="1:4">
      <c r="A1873" t="s">
        <v>4203</v>
      </c>
      <c r="B1873" t="s">
        <v>8748</v>
      </c>
      <c r="C1873">
        <v>2670</v>
      </c>
      <c r="D1873" s="807">
        <v>2.1</v>
      </c>
    </row>
    <row r="1874" spans="1:4">
      <c r="A1874" t="s">
        <v>6437</v>
      </c>
      <c r="B1874" t="s">
        <v>6436</v>
      </c>
      <c r="C1874">
        <v>19146</v>
      </c>
      <c r="D1874" s="807">
        <v>3.7</v>
      </c>
    </row>
    <row r="1875" spans="1:4">
      <c r="A1875" t="s">
        <v>1462</v>
      </c>
      <c r="B1875" t="s">
        <v>3519</v>
      </c>
      <c r="C1875">
        <v>3008</v>
      </c>
      <c r="D1875" s="807">
        <v>4.43</v>
      </c>
    </row>
    <row r="1876" spans="1:4">
      <c r="A1876" t="s">
        <v>6358</v>
      </c>
      <c r="B1876" t="s">
        <v>6357</v>
      </c>
      <c r="C1876">
        <v>15055</v>
      </c>
      <c r="D1876" s="807">
        <v>2</v>
      </c>
    </row>
    <row r="1877" spans="1:4">
      <c r="A1877" t="s">
        <v>6786</v>
      </c>
      <c r="B1877" t="s">
        <v>8749</v>
      </c>
      <c r="C1877">
        <v>15059</v>
      </c>
      <c r="D1877" s="807">
        <v>3.3</v>
      </c>
    </row>
    <row r="1878" spans="1:4">
      <c r="A1878" t="s">
        <v>5458</v>
      </c>
      <c r="B1878" t="s">
        <v>1280</v>
      </c>
      <c r="C1878">
        <v>2929</v>
      </c>
      <c r="D1878" s="807">
        <v>4.43</v>
      </c>
    </row>
    <row r="1879" spans="1:4">
      <c r="A1879" t="s">
        <v>5457</v>
      </c>
      <c r="B1879" t="s">
        <v>1281</v>
      </c>
      <c r="C1879">
        <v>2928</v>
      </c>
      <c r="D1879" s="807">
        <v>3.6659999999999999</v>
      </c>
    </row>
    <row r="1880" spans="1:4">
      <c r="A1880" t="s">
        <v>1243</v>
      </c>
      <c r="B1880" t="s">
        <v>1282</v>
      </c>
      <c r="C1880">
        <v>2115</v>
      </c>
      <c r="D1880" s="807">
        <v>3.1549999999999998</v>
      </c>
    </row>
    <row r="1881" spans="1:4">
      <c r="A1881" t="s">
        <v>6784</v>
      </c>
      <c r="B1881" t="s">
        <v>8750</v>
      </c>
      <c r="C1881">
        <v>16077</v>
      </c>
      <c r="D1881" s="807">
        <v>3.95</v>
      </c>
    </row>
    <row r="1882" spans="1:4">
      <c r="A1882" t="s">
        <v>5238</v>
      </c>
      <c r="B1882" t="s">
        <v>1283</v>
      </c>
      <c r="C1882">
        <v>2927</v>
      </c>
      <c r="D1882" s="807">
        <v>3.56</v>
      </c>
    </row>
    <row r="1883" spans="1:4">
      <c r="A1883" t="s">
        <v>1417</v>
      </c>
      <c r="B1883" t="s">
        <v>5318</v>
      </c>
      <c r="C1883">
        <v>18275</v>
      </c>
      <c r="D1883" s="807">
        <v>3</v>
      </c>
    </row>
    <row r="1884" spans="1:4">
      <c r="A1884" t="s">
        <v>1244</v>
      </c>
      <c r="B1884" t="s">
        <v>3359</v>
      </c>
      <c r="C1884">
        <v>2120</v>
      </c>
      <c r="D1884" s="807">
        <v>4.26</v>
      </c>
    </row>
    <row r="1885" spans="1:4">
      <c r="A1885" t="s">
        <v>4015</v>
      </c>
      <c r="B1885" t="s">
        <v>3360</v>
      </c>
      <c r="C1885">
        <v>2935</v>
      </c>
      <c r="D1885" s="807">
        <v>3.14</v>
      </c>
    </row>
    <row r="1886" spans="1:4">
      <c r="A1886" t="s">
        <v>1166</v>
      </c>
      <c r="B1886" t="s">
        <v>3361</v>
      </c>
      <c r="C1886">
        <v>2121</v>
      </c>
      <c r="D1886" s="807">
        <v>4.29</v>
      </c>
    </row>
    <row r="1887" spans="1:4">
      <c r="A1887" t="s">
        <v>3288</v>
      </c>
      <c r="B1887" t="s">
        <v>3362</v>
      </c>
      <c r="C1887">
        <v>2119</v>
      </c>
      <c r="D1887" s="807">
        <v>3.76</v>
      </c>
    </row>
    <row r="1888" spans="1:4">
      <c r="A1888" t="s">
        <v>1167</v>
      </c>
      <c r="B1888" t="s">
        <v>1168</v>
      </c>
      <c r="C1888">
        <v>2300</v>
      </c>
      <c r="D1888" s="807">
        <v>4.0599999999999996</v>
      </c>
    </row>
    <row r="1889" spans="1:4">
      <c r="A1889" t="s">
        <v>2553</v>
      </c>
      <c r="B1889" t="s">
        <v>2608</v>
      </c>
      <c r="C1889">
        <v>3098</v>
      </c>
      <c r="D1889" s="807">
        <v>4.25</v>
      </c>
    </row>
    <row r="1890" spans="1:4">
      <c r="A1890" t="s">
        <v>1169</v>
      </c>
      <c r="B1890" t="s">
        <v>1170</v>
      </c>
      <c r="C1890">
        <v>3097</v>
      </c>
      <c r="D1890" s="807">
        <v>4.46</v>
      </c>
    </row>
    <row r="1891" spans="1:4">
      <c r="A1891" t="s">
        <v>8751</v>
      </c>
      <c r="B1891" t="s">
        <v>8752</v>
      </c>
      <c r="C1891">
        <v>15074</v>
      </c>
      <c r="D1891" s="807">
        <v>4.0999999999999996</v>
      </c>
    </row>
    <row r="1892" spans="1:4">
      <c r="A1892" t="s">
        <v>8753</v>
      </c>
      <c r="B1892" t="s">
        <v>6616</v>
      </c>
      <c r="C1892">
        <v>18447</v>
      </c>
      <c r="D1892" s="807">
        <v>2</v>
      </c>
    </row>
    <row r="1893" spans="1:4">
      <c r="A1893" t="s">
        <v>8353</v>
      </c>
      <c r="B1893" t="s">
        <v>8354</v>
      </c>
      <c r="C1893">
        <v>2472</v>
      </c>
      <c r="D1893" s="807">
        <v>4.5</v>
      </c>
    </row>
    <row r="1894" spans="1:4">
      <c r="A1894" t="s">
        <v>1228</v>
      </c>
      <c r="B1894" t="s">
        <v>2413</v>
      </c>
      <c r="C1894">
        <v>3275</v>
      </c>
      <c r="D1894" s="807">
        <v>4.5</v>
      </c>
    </row>
    <row r="1895" spans="1:4">
      <c r="A1895" t="s">
        <v>845</v>
      </c>
      <c r="B1895" t="s">
        <v>2414</v>
      </c>
      <c r="C1895">
        <v>3274</v>
      </c>
      <c r="D1895" s="807">
        <v>4.21</v>
      </c>
    </row>
    <row r="1896" spans="1:4">
      <c r="A1896" t="s">
        <v>941</v>
      </c>
      <c r="B1896" t="s">
        <v>2415</v>
      </c>
      <c r="C1896">
        <v>2471</v>
      </c>
      <c r="D1896" s="807">
        <v>4.5</v>
      </c>
    </row>
    <row r="1897" spans="1:4">
      <c r="A1897" t="s">
        <v>3960</v>
      </c>
      <c r="B1897" t="s">
        <v>967</v>
      </c>
      <c r="C1897">
        <v>2910</v>
      </c>
      <c r="D1897" s="807">
        <v>3.05</v>
      </c>
    </row>
    <row r="1898" spans="1:4">
      <c r="A1898" t="s">
        <v>3501</v>
      </c>
      <c r="B1898" t="s">
        <v>4946</v>
      </c>
      <c r="C1898">
        <v>2088</v>
      </c>
      <c r="D1898" s="807">
        <v>3.4</v>
      </c>
    </row>
    <row r="1899" spans="1:4">
      <c r="A1899" t="s">
        <v>3811</v>
      </c>
      <c r="B1899" t="s">
        <v>4947</v>
      </c>
      <c r="C1899">
        <v>2090</v>
      </c>
      <c r="D1899" s="807">
        <v>3.1</v>
      </c>
    </row>
    <row r="1900" spans="1:4">
      <c r="A1900" t="s">
        <v>3113</v>
      </c>
      <c r="B1900" t="s">
        <v>4017</v>
      </c>
      <c r="C1900">
        <v>2085</v>
      </c>
      <c r="D1900" s="807">
        <v>2.85</v>
      </c>
    </row>
    <row r="1901" spans="1:4">
      <c r="A1901" t="s">
        <v>4951</v>
      </c>
      <c r="B1901" t="s">
        <v>2496</v>
      </c>
      <c r="C1901">
        <v>2892</v>
      </c>
      <c r="D1901" s="807">
        <v>2.48</v>
      </c>
    </row>
    <row r="1902" spans="1:4">
      <c r="A1902" t="s">
        <v>1415</v>
      </c>
      <c r="B1902" t="s">
        <v>2497</v>
      </c>
      <c r="C1902">
        <v>2086</v>
      </c>
      <c r="D1902" s="807">
        <v>2.41</v>
      </c>
    </row>
    <row r="1903" spans="1:4">
      <c r="A1903" t="s">
        <v>186</v>
      </c>
      <c r="B1903" t="s">
        <v>2498</v>
      </c>
      <c r="C1903">
        <v>2089</v>
      </c>
      <c r="D1903" s="807">
        <v>3.2</v>
      </c>
    </row>
    <row r="1904" spans="1:4">
      <c r="A1904" t="s">
        <v>1353</v>
      </c>
      <c r="B1904" t="s">
        <v>3491</v>
      </c>
      <c r="C1904">
        <v>2084</v>
      </c>
      <c r="D1904" s="807">
        <v>2.82</v>
      </c>
    </row>
    <row r="1905" spans="1:4">
      <c r="A1905" t="s">
        <v>2867</v>
      </c>
      <c r="B1905" t="s">
        <v>3492</v>
      </c>
      <c r="C1905">
        <v>2891</v>
      </c>
      <c r="D1905" s="807">
        <v>3.12</v>
      </c>
    </row>
    <row r="1906" spans="1:4">
      <c r="A1906" t="s">
        <v>2094</v>
      </c>
      <c r="B1906" t="s">
        <v>3493</v>
      </c>
      <c r="C1906">
        <v>2894</v>
      </c>
      <c r="D1906" s="808">
        <v>2.4300000000000002</v>
      </c>
    </row>
    <row r="1907" spans="1:4">
      <c r="A1907" t="s">
        <v>502</v>
      </c>
      <c r="B1907" t="s">
        <v>3494</v>
      </c>
      <c r="C1907">
        <v>2893</v>
      </c>
      <c r="D1907" s="807">
        <v>2.4300000000000002</v>
      </c>
    </row>
    <row r="1908" spans="1:4">
      <c r="A1908" t="s">
        <v>3108</v>
      </c>
      <c r="B1908" t="s">
        <v>4106</v>
      </c>
      <c r="C1908">
        <v>3651</v>
      </c>
      <c r="D1908" s="807">
        <v>2.4300000000000002</v>
      </c>
    </row>
    <row r="1909" spans="1:4">
      <c r="A1909" t="s">
        <v>2123</v>
      </c>
      <c r="B1909" t="s">
        <v>4107</v>
      </c>
      <c r="C1909">
        <v>2895</v>
      </c>
      <c r="D1909" s="807">
        <v>2.4300000000000002</v>
      </c>
    </row>
    <row r="1910" spans="1:4">
      <c r="A1910" t="s">
        <v>1641</v>
      </c>
      <c r="B1910" t="s">
        <v>4108</v>
      </c>
      <c r="C1910">
        <v>2091</v>
      </c>
      <c r="D1910" s="807">
        <v>2.4300000000000002</v>
      </c>
    </row>
    <row r="1911" spans="1:4">
      <c r="A1911" t="s">
        <v>8754</v>
      </c>
      <c r="B1911" t="s">
        <v>8755</v>
      </c>
      <c r="C1911">
        <v>20365</v>
      </c>
      <c r="D1911" s="807">
        <v>1</v>
      </c>
    </row>
    <row r="1912" spans="1:4">
      <c r="A1912" t="s">
        <v>5988</v>
      </c>
      <c r="B1912" t="s">
        <v>8756</v>
      </c>
      <c r="C1912">
        <v>18996</v>
      </c>
      <c r="D1912" s="807">
        <v>1</v>
      </c>
    </row>
    <row r="1913" spans="1:4">
      <c r="A1913" t="s">
        <v>8355</v>
      </c>
      <c r="B1913" t="s">
        <v>8356</v>
      </c>
      <c r="C1913">
        <v>20023</v>
      </c>
      <c r="D1913" s="807">
        <v>3.6</v>
      </c>
    </row>
    <row r="1914" spans="1:4">
      <c r="A1914" t="s">
        <v>3335</v>
      </c>
      <c r="B1914" t="s">
        <v>3142</v>
      </c>
      <c r="C1914">
        <v>18887</v>
      </c>
      <c r="D1914" s="807">
        <v>3.54</v>
      </c>
    </row>
    <row r="1915" spans="1:4">
      <c r="A1915" t="s">
        <v>4556</v>
      </c>
      <c r="B1915" t="s">
        <v>3002</v>
      </c>
      <c r="C1915">
        <v>2413</v>
      </c>
      <c r="D1915" s="807">
        <v>2.0499999999999998</v>
      </c>
    </row>
    <row r="1916" spans="1:4">
      <c r="A1916" t="s">
        <v>4971</v>
      </c>
      <c r="B1916" t="s">
        <v>6263</v>
      </c>
      <c r="C1916">
        <v>2414</v>
      </c>
      <c r="D1916" s="807">
        <v>2</v>
      </c>
    </row>
    <row r="1917" spans="1:4">
      <c r="A1917" t="s">
        <v>3502</v>
      </c>
      <c r="B1917" t="s">
        <v>3143</v>
      </c>
      <c r="C1917">
        <v>2397</v>
      </c>
      <c r="D1917" s="807">
        <v>2</v>
      </c>
    </row>
    <row r="1918" spans="1:4">
      <c r="A1918" t="s">
        <v>3115</v>
      </c>
      <c r="B1918" t="s">
        <v>3144</v>
      </c>
      <c r="C1918">
        <v>2984</v>
      </c>
      <c r="D1918" s="807">
        <v>4.4000000000000004</v>
      </c>
    </row>
    <row r="1919" spans="1:4">
      <c r="A1919" t="s">
        <v>4514</v>
      </c>
      <c r="B1919" t="s">
        <v>3145</v>
      </c>
      <c r="C1919">
        <v>2985</v>
      </c>
      <c r="D1919" s="807">
        <v>4.4800000000000004</v>
      </c>
    </row>
    <row r="1920" spans="1:4">
      <c r="A1920" t="s">
        <v>1597</v>
      </c>
      <c r="B1920" t="s">
        <v>1305</v>
      </c>
      <c r="C1920">
        <v>2701</v>
      </c>
      <c r="D1920" s="807">
        <v>2.1</v>
      </c>
    </row>
    <row r="1921" spans="1:4">
      <c r="A1921" t="s">
        <v>4443</v>
      </c>
      <c r="B1921" t="s">
        <v>1306</v>
      </c>
      <c r="C1921">
        <v>3502</v>
      </c>
      <c r="D1921" s="807">
        <v>2.1</v>
      </c>
    </row>
    <row r="1922" spans="1:4">
      <c r="A1922" t="s">
        <v>4164</v>
      </c>
      <c r="B1922" t="s">
        <v>2780</v>
      </c>
      <c r="C1922">
        <v>2159</v>
      </c>
      <c r="D1922" s="807">
        <v>2.89</v>
      </c>
    </row>
    <row r="1923" spans="1:4">
      <c r="A1923" t="s">
        <v>169</v>
      </c>
      <c r="B1923" t="s">
        <v>3793</v>
      </c>
      <c r="C1923">
        <v>2425</v>
      </c>
      <c r="D1923" s="807">
        <v>2.08</v>
      </c>
    </row>
    <row r="1924" spans="1:4">
      <c r="A1924" t="s">
        <v>9048</v>
      </c>
      <c r="B1924" t="s">
        <v>9049</v>
      </c>
      <c r="C1924">
        <v>15102</v>
      </c>
      <c r="D1924" s="807">
        <v>3</v>
      </c>
    </row>
    <row r="1925" spans="1:4">
      <c r="A1925" t="s">
        <v>3757</v>
      </c>
      <c r="B1925" t="s">
        <v>2109</v>
      </c>
      <c r="C1925">
        <v>18969</v>
      </c>
      <c r="D1925" s="807">
        <v>2</v>
      </c>
    </row>
    <row r="1926" spans="1:4">
      <c r="A1926" t="s">
        <v>891</v>
      </c>
      <c r="B1926" t="s">
        <v>2110</v>
      </c>
      <c r="C1926">
        <v>18866</v>
      </c>
      <c r="D1926" s="807">
        <v>2</v>
      </c>
    </row>
    <row r="1927" spans="1:4">
      <c r="A1927" t="s">
        <v>5074</v>
      </c>
      <c r="B1927" t="s">
        <v>2111</v>
      </c>
      <c r="C1927">
        <v>3213</v>
      </c>
      <c r="D1927" s="807">
        <v>2.99</v>
      </c>
    </row>
    <row r="1928" spans="1:4">
      <c r="A1928" t="s">
        <v>3351</v>
      </c>
      <c r="B1928" t="s">
        <v>1143</v>
      </c>
      <c r="C1928">
        <v>15111</v>
      </c>
      <c r="D1928" s="807">
        <v>3.54</v>
      </c>
    </row>
    <row r="1929" spans="1:4">
      <c r="A1929" t="s">
        <v>2823</v>
      </c>
      <c r="B1929" t="s">
        <v>1144</v>
      </c>
      <c r="C1929">
        <v>18870</v>
      </c>
      <c r="D1929" s="807">
        <v>3.96</v>
      </c>
    </row>
    <row r="1930" spans="1:4">
      <c r="A1930" t="s">
        <v>2179</v>
      </c>
      <c r="B1930" t="s">
        <v>2180</v>
      </c>
      <c r="C1930">
        <v>16094</v>
      </c>
      <c r="D1930" s="807">
        <v>4.1500000000000004</v>
      </c>
    </row>
    <row r="1931" spans="1:4">
      <c r="A1931" t="s">
        <v>6618</v>
      </c>
      <c r="B1931" t="s">
        <v>6617</v>
      </c>
      <c r="C1931">
        <v>15123</v>
      </c>
      <c r="D1931" s="807">
        <v>2</v>
      </c>
    </row>
    <row r="1932" spans="1:4">
      <c r="A1932" t="s">
        <v>8757</v>
      </c>
      <c r="B1932" t="s">
        <v>8758</v>
      </c>
      <c r="C1932">
        <v>15125</v>
      </c>
      <c r="D1932" s="807">
        <v>2</v>
      </c>
    </row>
    <row r="1933" spans="1:4">
      <c r="A1933" t="s">
        <v>8759</v>
      </c>
      <c r="B1933" t="s">
        <v>8760</v>
      </c>
      <c r="C1933">
        <v>20550</v>
      </c>
      <c r="D1933" s="807">
        <v>2</v>
      </c>
    </row>
    <row r="1934" spans="1:4">
      <c r="A1934" t="s">
        <v>6785</v>
      </c>
      <c r="B1934" t="s">
        <v>8761</v>
      </c>
      <c r="C1934">
        <v>2343</v>
      </c>
      <c r="D1934" s="807">
        <v>3.63</v>
      </c>
    </row>
    <row r="1935" spans="1:4">
      <c r="A1935" t="s">
        <v>9118</v>
      </c>
      <c r="B1935" t="s">
        <v>9119</v>
      </c>
      <c r="C1935">
        <v>20628</v>
      </c>
      <c r="D1935" s="807">
        <v>3.5</v>
      </c>
    </row>
    <row r="1936" spans="1:4">
      <c r="A1936" t="s">
        <v>4130</v>
      </c>
      <c r="B1936" t="s">
        <v>4857</v>
      </c>
      <c r="C1936">
        <v>3149</v>
      </c>
      <c r="D1936" s="807">
        <v>3.7</v>
      </c>
    </row>
    <row r="1937" spans="1:4">
      <c r="A1937" t="s">
        <v>24</v>
      </c>
      <c r="B1937" t="s">
        <v>4858</v>
      </c>
      <c r="C1937">
        <v>3148</v>
      </c>
      <c r="D1937" s="807">
        <v>3.67</v>
      </c>
    </row>
    <row r="1938" spans="1:4">
      <c r="A1938" t="s">
        <v>2931</v>
      </c>
      <c r="B1938" t="s">
        <v>4859</v>
      </c>
      <c r="C1938">
        <v>3165</v>
      </c>
      <c r="D1938" s="807">
        <v>4.07</v>
      </c>
    </row>
    <row r="1939" spans="1:4">
      <c r="A1939" t="s">
        <v>3042</v>
      </c>
      <c r="B1939" t="s">
        <v>1920</v>
      </c>
      <c r="C1939">
        <v>2794</v>
      </c>
      <c r="D1939" s="807">
        <v>1</v>
      </c>
    </row>
    <row r="1940" spans="1:4">
      <c r="A1940" t="s">
        <v>2528</v>
      </c>
      <c r="B1940" t="s">
        <v>5078</v>
      </c>
      <c r="C1940">
        <v>2760</v>
      </c>
      <c r="D1940" s="807">
        <v>2.2999999999999998</v>
      </c>
    </row>
    <row r="1941" spans="1:4">
      <c r="A1941" t="s">
        <v>5044</v>
      </c>
      <c r="B1941" t="s">
        <v>107</v>
      </c>
      <c r="C1941">
        <v>6290</v>
      </c>
      <c r="D1941" s="807">
        <v>2.7</v>
      </c>
    </row>
    <row r="1942" spans="1:4">
      <c r="A1942" t="s">
        <v>422</v>
      </c>
      <c r="B1942" t="s">
        <v>423</v>
      </c>
      <c r="C1942">
        <v>19137</v>
      </c>
      <c r="D1942" s="807">
        <v>3.88</v>
      </c>
    </row>
    <row r="1943" spans="1:4">
      <c r="A1943" t="s">
        <v>4123</v>
      </c>
      <c r="B1943" t="s">
        <v>4860</v>
      </c>
      <c r="C1943">
        <v>2336</v>
      </c>
      <c r="D1943" s="807">
        <v>3.53</v>
      </c>
    </row>
    <row r="1944" spans="1:4">
      <c r="A1944" t="s">
        <v>364</v>
      </c>
      <c r="B1944" t="s">
        <v>6268</v>
      </c>
      <c r="C1944">
        <v>18949</v>
      </c>
      <c r="D1944" s="807">
        <v>3.5</v>
      </c>
    </row>
    <row r="1945" spans="1:4">
      <c r="A1945" t="s">
        <v>4853</v>
      </c>
      <c r="B1945" t="s">
        <v>4943</v>
      </c>
      <c r="C1945">
        <v>3278</v>
      </c>
      <c r="D1945" s="807">
        <v>4.2</v>
      </c>
    </row>
    <row r="1946" spans="1:4">
      <c r="A1946" t="s">
        <v>8762</v>
      </c>
      <c r="B1946" t="s">
        <v>8763</v>
      </c>
      <c r="C1946">
        <v>20480</v>
      </c>
      <c r="D1946" s="807">
        <v>3.9</v>
      </c>
    </row>
    <row r="1947" spans="1:4">
      <c r="A1947" t="s">
        <v>8764</v>
      </c>
      <c r="B1947" t="s">
        <v>4944</v>
      </c>
      <c r="C1947">
        <v>3277</v>
      </c>
      <c r="D1947" s="807">
        <v>3.09</v>
      </c>
    </row>
    <row r="1948" spans="1:4">
      <c r="A1948" t="s">
        <v>4086</v>
      </c>
      <c r="B1948" t="s">
        <v>4945</v>
      </c>
      <c r="C1948">
        <v>2473</v>
      </c>
      <c r="D1948" s="807">
        <v>3.65</v>
      </c>
    </row>
    <row r="1949" spans="1:4">
      <c r="A1949" t="s">
        <v>3504</v>
      </c>
      <c r="B1949" t="s">
        <v>381</v>
      </c>
      <c r="C1949">
        <v>3276</v>
      </c>
      <c r="D1949" s="807">
        <v>3.65</v>
      </c>
    </row>
    <row r="1950" spans="1:4">
      <c r="A1950" t="s">
        <v>4319</v>
      </c>
      <c r="B1950" t="s">
        <v>3907</v>
      </c>
      <c r="C1950">
        <v>3000</v>
      </c>
      <c r="D1950" s="807">
        <v>3.64</v>
      </c>
    </row>
    <row r="1951" spans="1:4">
      <c r="A1951" t="s">
        <v>4181</v>
      </c>
      <c r="B1951" t="s">
        <v>3908</v>
      </c>
      <c r="C1951">
        <v>15152</v>
      </c>
      <c r="D1951" s="807">
        <v>4.4800000000000004</v>
      </c>
    </row>
    <row r="1952" spans="1:4">
      <c r="A1952" t="s">
        <v>232</v>
      </c>
      <c r="B1952" t="s">
        <v>349</v>
      </c>
      <c r="C1952">
        <v>15153</v>
      </c>
      <c r="D1952" s="807">
        <v>4.5</v>
      </c>
    </row>
    <row r="1953" spans="1:4">
      <c r="A1953" t="s">
        <v>1247</v>
      </c>
      <c r="B1953" t="s">
        <v>350</v>
      </c>
      <c r="C1953">
        <v>2324</v>
      </c>
      <c r="D1953" s="807">
        <v>4.4800000000000004</v>
      </c>
    </row>
    <row r="1954" spans="1:4">
      <c r="A1954" t="s">
        <v>2213</v>
      </c>
      <c r="B1954" t="s">
        <v>351</v>
      </c>
      <c r="C1954">
        <v>15155</v>
      </c>
      <c r="D1954" s="807">
        <v>4.43</v>
      </c>
    </row>
    <row r="1955" spans="1:4">
      <c r="A1955" t="s">
        <v>3582</v>
      </c>
      <c r="B1955" t="s">
        <v>1515</v>
      </c>
      <c r="C1955">
        <v>3286</v>
      </c>
      <c r="D1955" s="807">
        <v>3.31</v>
      </c>
    </row>
    <row r="1956" spans="1:4">
      <c r="A1956" t="s">
        <v>2455</v>
      </c>
      <c r="B1956" t="s">
        <v>1516</v>
      </c>
      <c r="C1956">
        <v>2483</v>
      </c>
      <c r="D1956" s="807">
        <v>4.5</v>
      </c>
    </row>
    <row r="1957" spans="1:4">
      <c r="A1957" t="s">
        <v>3489</v>
      </c>
      <c r="B1957" t="s">
        <v>1517</v>
      </c>
      <c r="C1957">
        <v>3280</v>
      </c>
      <c r="D1957" s="807">
        <v>4.5</v>
      </c>
    </row>
    <row r="1958" spans="1:4">
      <c r="A1958" t="s">
        <v>1416</v>
      </c>
      <c r="B1958" t="s">
        <v>1518</v>
      </c>
      <c r="C1958">
        <v>3281</v>
      </c>
      <c r="D1958" s="807">
        <v>4.28</v>
      </c>
    </row>
    <row r="1959" spans="1:4">
      <c r="A1959" t="s">
        <v>4948</v>
      </c>
      <c r="B1959" t="s">
        <v>1519</v>
      </c>
      <c r="C1959">
        <v>2482</v>
      </c>
      <c r="D1959" s="807">
        <v>4.5</v>
      </c>
    </row>
    <row r="1960" spans="1:4">
      <c r="A1960" t="s">
        <v>2092</v>
      </c>
      <c r="B1960" t="s">
        <v>3590</v>
      </c>
      <c r="C1960">
        <v>3282</v>
      </c>
      <c r="D1960" s="807">
        <v>4.5</v>
      </c>
    </row>
    <row r="1961" spans="1:4">
      <c r="A1961" t="s">
        <v>4449</v>
      </c>
      <c r="B1961" t="s">
        <v>2873</v>
      </c>
      <c r="C1961">
        <v>3285</v>
      </c>
      <c r="D1961" s="807">
        <v>4.5</v>
      </c>
    </row>
    <row r="1962" spans="1:4">
      <c r="A1962" t="s">
        <v>2527</v>
      </c>
      <c r="B1962" t="s">
        <v>2961</v>
      </c>
      <c r="C1962">
        <v>2484</v>
      </c>
      <c r="D1962" s="807">
        <v>4.4800000000000004</v>
      </c>
    </row>
    <row r="1963" spans="1:4">
      <c r="A1963" t="s">
        <v>8357</v>
      </c>
      <c r="B1963" t="s">
        <v>8358</v>
      </c>
      <c r="C1963">
        <v>2486</v>
      </c>
      <c r="D1963" s="807">
        <v>4.5</v>
      </c>
    </row>
    <row r="1964" spans="1:4">
      <c r="A1964" t="s">
        <v>2070</v>
      </c>
      <c r="B1964" t="s">
        <v>2962</v>
      </c>
      <c r="C1964">
        <v>3283</v>
      </c>
      <c r="D1964" s="807">
        <v>4.49</v>
      </c>
    </row>
    <row r="1965" spans="1:4">
      <c r="A1965" t="s">
        <v>1700</v>
      </c>
      <c r="B1965" t="s">
        <v>4018</v>
      </c>
      <c r="C1965">
        <v>2480</v>
      </c>
      <c r="D1965" s="807">
        <v>4.32</v>
      </c>
    </row>
    <row r="1966" spans="1:4">
      <c r="A1966" t="s">
        <v>825</v>
      </c>
      <c r="B1966" t="s">
        <v>4019</v>
      </c>
      <c r="C1966">
        <v>2485</v>
      </c>
      <c r="D1966" s="807">
        <v>4.26</v>
      </c>
    </row>
    <row r="1967" spans="1:4">
      <c r="A1967" t="s">
        <v>2918</v>
      </c>
      <c r="B1967" t="s">
        <v>352</v>
      </c>
      <c r="C1967">
        <v>3273</v>
      </c>
      <c r="D1967" s="807">
        <v>4.2</v>
      </c>
    </row>
    <row r="1968" spans="1:4">
      <c r="A1968" t="s">
        <v>3640</v>
      </c>
      <c r="B1968" t="s">
        <v>4020</v>
      </c>
      <c r="C1968">
        <v>3271</v>
      </c>
      <c r="D1968" s="807">
        <v>3.43</v>
      </c>
    </row>
    <row r="1969" spans="1:4">
      <c r="A1969" t="s">
        <v>2598</v>
      </c>
      <c r="B1969" t="s">
        <v>1346</v>
      </c>
      <c r="C1969">
        <v>2558</v>
      </c>
      <c r="D1969" s="807">
        <v>3.89</v>
      </c>
    </row>
    <row r="1970" spans="1:4">
      <c r="A1970" t="s">
        <v>1017</v>
      </c>
      <c r="B1970" t="s">
        <v>2787</v>
      </c>
      <c r="C1970">
        <v>3370</v>
      </c>
      <c r="D1970" s="807">
        <v>3.55</v>
      </c>
    </row>
    <row r="1971" spans="1:4">
      <c r="A1971" t="s">
        <v>731</v>
      </c>
      <c r="B1971" t="s">
        <v>2788</v>
      </c>
      <c r="C1971">
        <v>2562</v>
      </c>
      <c r="D1971" s="807">
        <v>3.79</v>
      </c>
    </row>
    <row r="1972" spans="1:4">
      <c r="A1972" t="s">
        <v>8903</v>
      </c>
      <c r="B1972" t="s">
        <v>8904</v>
      </c>
      <c r="C1972">
        <v>19316</v>
      </c>
      <c r="D1972" s="807">
        <v>3.9</v>
      </c>
    </row>
    <row r="1973" spans="1:4">
      <c r="A1973" t="s">
        <v>8905</v>
      </c>
      <c r="B1973" t="s">
        <v>8906</v>
      </c>
      <c r="C1973">
        <v>15171</v>
      </c>
      <c r="D1973" s="807">
        <v>3.7</v>
      </c>
    </row>
    <row r="1974" spans="1:4">
      <c r="A1974" t="s">
        <v>6260</v>
      </c>
      <c r="B1974" t="s">
        <v>6259</v>
      </c>
      <c r="C1974">
        <v>3331</v>
      </c>
      <c r="D1974" s="807">
        <v>3.9</v>
      </c>
    </row>
    <row r="1975" spans="1:4">
      <c r="A1975" t="s">
        <v>3355</v>
      </c>
      <c r="B1975" t="s">
        <v>1145</v>
      </c>
      <c r="C1975">
        <v>2527</v>
      </c>
      <c r="D1975" s="807">
        <v>4.2699999999999996</v>
      </c>
    </row>
    <row r="1976" spans="1:4">
      <c r="A1976" t="s">
        <v>52</v>
      </c>
      <c r="B1976" t="s">
        <v>1932</v>
      </c>
      <c r="C1976">
        <v>15174</v>
      </c>
      <c r="D1976" s="807">
        <v>3.62</v>
      </c>
    </row>
    <row r="1977" spans="1:4">
      <c r="A1977" t="s">
        <v>2920</v>
      </c>
      <c r="B1977" t="s">
        <v>1392</v>
      </c>
      <c r="C1977">
        <v>2521</v>
      </c>
      <c r="D1977" s="807">
        <v>3.77</v>
      </c>
    </row>
    <row r="1978" spans="1:4">
      <c r="A1978" t="s">
        <v>8359</v>
      </c>
      <c r="B1978" t="s">
        <v>8360</v>
      </c>
      <c r="C1978">
        <v>15182</v>
      </c>
      <c r="D1978" s="807">
        <v>3.1</v>
      </c>
    </row>
    <row r="1979" spans="1:4">
      <c r="A1979" t="s">
        <v>8765</v>
      </c>
      <c r="B1979" t="s">
        <v>8766</v>
      </c>
      <c r="C1979">
        <v>19638</v>
      </c>
      <c r="D1979" s="807">
        <v>2.7</v>
      </c>
    </row>
    <row r="1980" spans="1:4">
      <c r="A1980" t="s">
        <v>6777</v>
      </c>
      <c r="B1980" t="s">
        <v>8767</v>
      </c>
      <c r="C1980">
        <v>17310</v>
      </c>
      <c r="D1980" s="807">
        <v>2.1</v>
      </c>
    </row>
    <row r="1981" spans="1:4">
      <c r="A1981" t="s">
        <v>3338</v>
      </c>
      <c r="B1981" t="s">
        <v>3687</v>
      </c>
      <c r="C1981">
        <v>2802</v>
      </c>
      <c r="D1981" s="807">
        <v>3.92</v>
      </c>
    </row>
    <row r="1982" spans="1:4">
      <c r="A1982" t="s">
        <v>1120</v>
      </c>
      <c r="B1982" t="s">
        <v>2874</v>
      </c>
      <c r="C1982">
        <v>2016</v>
      </c>
      <c r="D1982" s="807">
        <v>3.69</v>
      </c>
    </row>
    <row r="1983" spans="1:4">
      <c r="A1983" t="s">
        <v>945</v>
      </c>
      <c r="B1983" t="s">
        <v>2875</v>
      </c>
      <c r="C1983">
        <v>2804</v>
      </c>
      <c r="D1983" s="807">
        <v>3.95</v>
      </c>
    </row>
    <row r="1984" spans="1:4">
      <c r="A1984" t="s">
        <v>1114</v>
      </c>
      <c r="B1984" t="s">
        <v>2876</v>
      </c>
      <c r="C1984">
        <v>2805</v>
      </c>
      <c r="D1984" s="807">
        <v>4.03</v>
      </c>
    </row>
    <row r="1985" spans="1:4">
      <c r="A1985" t="s">
        <v>6772</v>
      </c>
      <c r="B1985" t="s">
        <v>8768</v>
      </c>
      <c r="C1985">
        <v>16110</v>
      </c>
      <c r="D1985" s="807">
        <v>3.1</v>
      </c>
    </row>
    <row r="1986" spans="1:4">
      <c r="A1986" t="s">
        <v>8907</v>
      </c>
      <c r="B1986" t="s">
        <v>8908</v>
      </c>
      <c r="C1986">
        <v>16111</v>
      </c>
      <c r="D1986" s="807">
        <v>3.1</v>
      </c>
    </row>
    <row r="1987" spans="1:4">
      <c r="A1987" t="s">
        <v>3657</v>
      </c>
      <c r="B1987" t="s">
        <v>176</v>
      </c>
      <c r="C1987">
        <v>2637</v>
      </c>
      <c r="D1987" s="807">
        <v>3.1</v>
      </c>
    </row>
    <row r="1988" spans="1:4">
      <c r="A1988" t="s">
        <v>1705</v>
      </c>
      <c r="B1988" t="s">
        <v>4411</v>
      </c>
      <c r="C1988">
        <v>3467</v>
      </c>
      <c r="D1988" s="807">
        <v>2.8</v>
      </c>
    </row>
    <row r="1989" spans="1:4">
      <c r="A1989" t="s">
        <v>6669</v>
      </c>
      <c r="B1989" t="s">
        <v>6668</v>
      </c>
      <c r="C1989">
        <v>16328</v>
      </c>
      <c r="D1989" s="807">
        <v>2</v>
      </c>
    </row>
    <row r="1990" spans="1:4">
      <c r="A1990" t="s">
        <v>3352</v>
      </c>
      <c r="B1990" t="s">
        <v>3353</v>
      </c>
      <c r="C1990">
        <v>16323</v>
      </c>
      <c r="D1990" s="807">
        <v>2.9587323501170402</v>
      </c>
    </row>
    <row r="1991" spans="1:4">
      <c r="A1991" t="s">
        <v>3648</v>
      </c>
      <c r="B1991" t="s">
        <v>3649</v>
      </c>
      <c r="C1991">
        <v>2043</v>
      </c>
      <c r="D1991" s="807">
        <v>3.88</v>
      </c>
    </row>
    <row r="1992" spans="1:4">
      <c r="A1992" t="s">
        <v>8769</v>
      </c>
      <c r="B1992" t="s">
        <v>8770</v>
      </c>
      <c r="C1992">
        <v>15213</v>
      </c>
      <c r="D1992" s="807">
        <v>3.9</v>
      </c>
    </row>
    <row r="1993" spans="1:4">
      <c r="A1993" t="s">
        <v>1622</v>
      </c>
      <c r="B1993" t="s">
        <v>1289</v>
      </c>
      <c r="C1993">
        <v>3326</v>
      </c>
      <c r="D1993" s="807">
        <v>3.5</v>
      </c>
    </row>
    <row r="1994" spans="1:4">
      <c r="A1994" t="s">
        <v>8771</v>
      </c>
      <c r="B1994" t="s">
        <v>8772</v>
      </c>
      <c r="C1994">
        <v>18714</v>
      </c>
      <c r="D1994" s="807">
        <v>3.7</v>
      </c>
    </row>
    <row r="1995" spans="1:4">
      <c r="A1995" t="s">
        <v>8773</v>
      </c>
      <c r="B1995" t="s">
        <v>8774</v>
      </c>
      <c r="C1995">
        <v>18715</v>
      </c>
      <c r="D1995" s="807">
        <v>3.8</v>
      </c>
    </row>
    <row r="1996" spans="1:4">
      <c r="A1996" t="s">
        <v>8909</v>
      </c>
      <c r="B1996" t="s">
        <v>8910</v>
      </c>
      <c r="C1996">
        <v>3328</v>
      </c>
      <c r="D1996" s="807">
        <v>3.7</v>
      </c>
    </row>
    <row r="1997" spans="1:4">
      <c r="A1997" t="s">
        <v>8775</v>
      </c>
      <c r="B1997" t="s">
        <v>8776</v>
      </c>
      <c r="C1997">
        <v>20369</v>
      </c>
      <c r="D1997" s="807">
        <v>3.6</v>
      </c>
    </row>
    <row r="1998" spans="1:4">
      <c r="A1998" s="403" t="s">
        <v>8958</v>
      </c>
      <c r="B1998" s="403" t="s">
        <v>8959</v>
      </c>
      <c r="C1998" s="403">
        <v>15206</v>
      </c>
      <c r="D1998" s="807">
        <v>4.0999999999999996</v>
      </c>
    </row>
    <row r="1999" spans="1:4">
      <c r="A1999" s="403" t="s">
        <v>8982</v>
      </c>
      <c r="B1999" s="403" t="s">
        <v>8983</v>
      </c>
      <c r="C1999" s="403">
        <v>20368</v>
      </c>
      <c r="D1999" s="807">
        <v>3.8</v>
      </c>
    </row>
    <row r="2000" spans="1:4">
      <c r="A2000" s="403" t="s">
        <v>8960</v>
      </c>
      <c r="B2000" s="403" t="s">
        <v>8961</v>
      </c>
      <c r="C2000" s="403">
        <v>15207</v>
      </c>
      <c r="D2000" s="807">
        <v>3.7</v>
      </c>
    </row>
    <row r="2001" spans="1:4">
      <c r="A2001" t="s">
        <v>201</v>
      </c>
      <c r="B2001" t="s">
        <v>202</v>
      </c>
      <c r="C2001">
        <v>18730</v>
      </c>
      <c r="D2001" s="807">
        <v>3.71</v>
      </c>
    </row>
    <row r="2002" spans="1:4">
      <c r="A2002" t="s">
        <v>6675</v>
      </c>
      <c r="B2002" t="s">
        <v>6674</v>
      </c>
      <c r="C2002">
        <v>15208</v>
      </c>
      <c r="D2002" s="807">
        <v>2</v>
      </c>
    </row>
    <row r="2003" spans="1:4">
      <c r="A2003" s="403" t="s">
        <v>8962</v>
      </c>
      <c r="B2003" s="403" t="s">
        <v>8963</v>
      </c>
      <c r="C2003" s="403">
        <v>15209</v>
      </c>
      <c r="D2003" s="807">
        <v>3.7</v>
      </c>
    </row>
    <row r="2004" spans="1:4">
      <c r="A2004" t="s">
        <v>1992</v>
      </c>
      <c r="B2004" t="s">
        <v>1290</v>
      </c>
      <c r="C2004">
        <v>2523</v>
      </c>
      <c r="D2004" s="807">
        <v>3.68</v>
      </c>
    </row>
    <row r="2005" spans="1:4">
      <c r="A2005" t="s">
        <v>1993</v>
      </c>
      <c r="B2005" t="s">
        <v>1291</v>
      </c>
      <c r="C2005">
        <v>3325</v>
      </c>
      <c r="D2005" s="807">
        <v>4.1100000000000003</v>
      </c>
    </row>
    <row r="2006" spans="1:4">
      <c r="A2006" t="s">
        <v>58</v>
      </c>
      <c r="B2006" t="s">
        <v>1292</v>
      </c>
      <c r="C2006">
        <v>2526</v>
      </c>
      <c r="D2006" s="807">
        <v>3.46</v>
      </c>
    </row>
    <row r="2007" spans="1:4">
      <c r="A2007" s="403" t="s">
        <v>8964</v>
      </c>
      <c r="B2007" s="403" t="s">
        <v>8965</v>
      </c>
      <c r="C2007" s="403">
        <v>15211</v>
      </c>
      <c r="D2007" s="807">
        <v>3.2</v>
      </c>
    </row>
    <row r="2008" spans="1:4">
      <c r="A2008" s="403" t="s">
        <v>8984</v>
      </c>
      <c r="B2008" s="403" t="s">
        <v>8985</v>
      </c>
      <c r="C2008" s="403">
        <v>20370</v>
      </c>
      <c r="D2008" s="807">
        <v>4</v>
      </c>
    </row>
    <row r="2009" spans="1:4">
      <c r="A2009" t="s">
        <v>2522</v>
      </c>
      <c r="B2009" t="s">
        <v>1293</v>
      </c>
      <c r="C2009">
        <v>3324</v>
      </c>
      <c r="D2009" s="807">
        <v>4.04</v>
      </c>
    </row>
    <row r="2010" spans="1:4">
      <c r="A2010" t="s">
        <v>1613</v>
      </c>
      <c r="B2010" t="s">
        <v>1294</v>
      </c>
      <c r="C2010">
        <v>18588</v>
      </c>
      <c r="D2010" s="807">
        <v>4.38</v>
      </c>
    </row>
    <row r="2011" spans="1:4">
      <c r="A2011" t="s">
        <v>8777</v>
      </c>
      <c r="B2011" t="s">
        <v>8778</v>
      </c>
      <c r="C2011">
        <v>18718</v>
      </c>
      <c r="D2011" s="807">
        <v>3.8</v>
      </c>
    </row>
    <row r="2012" spans="1:4">
      <c r="A2012" t="s">
        <v>5454</v>
      </c>
      <c r="B2012" t="s">
        <v>1295</v>
      </c>
      <c r="C2012">
        <v>3327</v>
      </c>
      <c r="D2012" s="807">
        <v>3.65</v>
      </c>
    </row>
    <row r="2013" spans="1:4">
      <c r="A2013" s="403" t="s">
        <v>8966</v>
      </c>
      <c r="B2013" s="403" t="s">
        <v>8967</v>
      </c>
      <c r="C2013" s="403">
        <v>15215</v>
      </c>
      <c r="D2013" s="807">
        <v>2.7</v>
      </c>
    </row>
    <row r="2014" spans="1:4">
      <c r="A2014" s="403" t="s">
        <v>8980</v>
      </c>
      <c r="B2014" s="403" t="s">
        <v>8981</v>
      </c>
      <c r="C2014" s="403">
        <v>18719</v>
      </c>
      <c r="D2014" s="807">
        <v>3.9</v>
      </c>
    </row>
    <row r="2015" spans="1:4">
      <c r="A2015" t="s">
        <v>6561</v>
      </c>
      <c r="B2015" t="s">
        <v>6560</v>
      </c>
      <c r="C2015">
        <v>19217</v>
      </c>
      <c r="D2015" s="807">
        <v>2</v>
      </c>
    </row>
    <row r="2016" spans="1:4">
      <c r="A2016" t="s">
        <v>4125</v>
      </c>
      <c r="B2016" t="s">
        <v>1296</v>
      </c>
      <c r="C2016">
        <v>2524</v>
      </c>
      <c r="D2016" s="807">
        <v>3.51</v>
      </c>
    </row>
    <row r="2017" spans="1:4">
      <c r="A2017" t="s">
        <v>56</v>
      </c>
      <c r="B2017" t="s">
        <v>2104</v>
      </c>
      <c r="C2017">
        <v>3329</v>
      </c>
      <c r="D2017" s="807">
        <v>3.8</v>
      </c>
    </row>
    <row r="2018" spans="1:4">
      <c r="A2018" s="403" t="s">
        <v>8978</v>
      </c>
      <c r="B2018" s="403" t="s">
        <v>8979</v>
      </c>
      <c r="C2018" s="403">
        <v>18661</v>
      </c>
      <c r="D2018" s="807">
        <v>3.8</v>
      </c>
    </row>
    <row r="2019" spans="1:4">
      <c r="A2019" s="403" t="s">
        <v>8968</v>
      </c>
      <c r="B2019" s="403" t="s">
        <v>8969</v>
      </c>
      <c r="C2019" s="403">
        <v>15216</v>
      </c>
      <c r="D2019" s="807">
        <v>3.7</v>
      </c>
    </row>
    <row r="2020" spans="1:4">
      <c r="A2020" s="403" t="s">
        <v>8976</v>
      </c>
      <c r="B2020" s="403" t="s">
        <v>8977</v>
      </c>
      <c r="C2020" s="403">
        <v>18587</v>
      </c>
      <c r="D2020" s="807">
        <v>4.4000000000000004</v>
      </c>
    </row>
    <row r="2021" spans="1:4">
      <c r="A2021" t="s">
        <v>8779</v>
      </c>
      <c r="B2021" t="s">
        <v>8780</v>
      </c>
      <c r="C2021">
        <v>20372</v>
      </c>
      <c r="D2021" s="807">
        <v>3.8</v>
      </c>
    </row>
    <row r="2022" spans="1:4">
      <c r="A2022" t="s">
        <v>4212</v>
      </c>
      <c r="B2022" t="s">
        <v>8781</v>
      </c>
      <c r="C2022">
        <v>15217</v>
      </c>
      <c r="D2022" s="807">
        <v>3.68</v>
      </c>
    </row>
    <row r="2023" spans="1:4">
      <c r="A2023" s="403" t="s">
        <v>8970</v>
      </c>
      <c r="B2023" s="403" t="s">
        <v>8971</v>
      </c>
      <c r="C2023" s="403">
        <v>15218</v>
      </c>
      <c r="D2023" s="807">
        <v>4.2</v>
      </c>
    </row>
    <row r="2024" spans="1:4">
      <c r="A2024" s="403" t="s">
        <v>8972</v>
      </c>
      <c r="B2024" s="403" t="s">
        <v>8973</v>
      </c>
      <c r="C2024" s="403">
        <v>15219</v>
      </c>
      <c r="D2024" s="807">
        <v>3.7</v>
      </c>
    </row>
    <row r="2025" spans="1:4">
      <c r="A2025" t="s">
        <v>4625</v>
      </c>
      <c r="B2025" t="s">
        <v>2105</v>
      </c>
      <c r="C2025">
        <v>2522</v>
      </c>
      <c r="D2025" s="807">
        <v>3.68</v>
      </c>
    </row>
    <row r="2026" spans="1:4">
      <c r="A2026" t="s">
        <v>1952</v>
      </c>
      <c r="B2026" t="s">
        <v>1953</v>
      </c>
      <c r="C2026">
        <v>15221</v>
      </c>
      <c r="D2026" s="807">
        <v>4.03</v>
      </c>
    </row>
    <row r="2027" spans="1:4">
      <c r="A2027" t="s">
        <v>962</v>
      </c>
      <c r="B2027" t="s">
        <v>2106</v>
      </c>
      <c r="C2027">
        <v>15223</v>
      </c>
      <c r="D2027" s="807">
        <v>3.61</v>
      </c>
    </row>
    <row r="2028" spans="1:4">
      <c r="A2028" t="s">
        <v>8782</v>
      </c>
      <c r="B2028" t="s">
        <v>8783</v>
      </c>
      <c r="C2028">
        <v>18585</v>
      </c>
      <c r="D2028" s="807">
        <v>3.3</v>
      </c>
    </row>
    <row r="2029" spans="1:4">
      <c r="A2029" t="s">
        <v>9050</v>
      </c>
      <c r="B2029" t="s">
        <v>9051</v>
      </c>
      <c r="C2029">
        <v>15224</v>
      </c>
      <c r="D2029" s="807">
        <v>3.5</v>
      </c>
    </row>
    <row r="2030" spans="1:4">
      <c r="A2030" t="s">
        <v>3457</v>
      </c>
      <c r="B2030" t="s">
        <v>5545</v>
      </c>
      <c r="C2030">
        <v>3387</v>
      </c>
      <c r="D2030" s="807">
        <v>3.3182763159269002</v>
      </c>
    </row>
    <row r="2031" spans="1:4">
      <c r="A2031" t="s">
        <v>5261</v>
      </c>
      <c r="B2031" t="s">
        <v>2625</v>
      </c>
      <c r="C2031">
        <v>2326</v>
      </c>
      <c r="D2031" s="807">
        <v>4.0999999999999996</v>
      </c>
    </row>
    <row r="2032" spans="1:4">
      <c r="A2032" t="s">
        <v>3467</v>
      </c>
      <c r="B2032" t="s">
        <v>2626</v>
      </c>
      <c r="C2032">
        <v>3126</v>
      </c>
      <c r="D2032" s="807">
        <v>3.53</v>
      </c>
    </row>
    <row r="2033" spans="1:4">
      <c r="A2033" t="s">
        <v>119</v>
      </c>
      <c r="B2033" t="s">
        <v>4610</v>
      </c>
      <c r="C2033">
        <v>2318</v>
      </c>
      <c r="D2033" s="807">
        <v>4.08</v>
      </c>
    </row>
    <row r="2034" spans="1:4">
      <c r="A2034" t="s">
        <v>1591</v>
      </c>
      <c r="B2034" t="s">
        <v>1592</v>
      </c>
      <c r="C2034">
        <v>15237</v>
      </c>
      <c r="D2034" s="807">
        <v>4.25</v>
      </c>
    </row>
    <row r="2035" spans="1:4">
      <c r="A2035" t="s">
        <v>3898</v>
      </c>
      <c r="B2035" t="s">
        <v>4611</v>
      </c>
      <c r="C2035">
        <v>3114</v>
      </c>
      <c r="D2035" s="807">
        <v>3.72</v>
      </c>
    </row>
    <row r="2036" spans="1:4">
      <c r="A2036" t="s">
        <v>6477</v>
      </c>
      <c r="B2036" t="s">
        <v>6476</v>
      </c>
      <c r="C2036">
        <v>15238</v>
      </c>
      <c r="D2036" s="807">
        <v>4.3</v>
      </c>
    </row>
    <row r="2037" spans="1:4">
      <c r="A2037" t="s">
        <v>8784</v>
      </c>
      <c r="B2037" t="s">
        <v>6621</v>
      </c>
      <c r="C2037">
        <v>15241</v>
      </c>
      <c r="D2037" s="807">
        <v>2</v>
      </c>
    </row>
    <row r="2038" spans="1:4">
      <c r="A2038" t="s">
        <v>2530</v>
      </c>
      <c r="B2038" t="s">
        <v>1307</v>
      </c>
      <c r="C2038">
        <v>18713</v>
      </c>
      <c r="D2038" s="807">
        <v>2.0617598316454031</v>
      </c>
    </row>
    <row r="2039" spans="1:4">
      <c r="A2039" t="s">
        <v>9098</v>
      </c>
      <c r="B2039" t="s">
        <v>9099</v>
      </c>
      <c r="C2039">
        <v>19368</v>
      </c>
      <c r="D2039" s="807">
        <v>2.06</v>
      </c>
    </row>
    <row r="2040" spans="1:4">
      <c r="A2040" t="s">
        <v>9114</v>
      </c>
      <c r="B2040" t="s">
        <v>9115</v>
      </c>
      <c r="C2040">
        <v>20596</v>
      </c>
      <c r="D2040" s="807">
        <v>2.2000000000000002</v>
      </c>
    </row>
    <row r="2041" spans="1:4">
      <c r="A2041" t="s">
        <v>55</v>
      </c>
      <c r="B2041" t="s">
        <v>1933</v>
      </c>
      <c r="C2041">
        <v>3226</v>
      </c>
      <c r="D2041" s="807">
        <v>3.56</v>
      </c>
    </row>
    <row r="2042" spans="1:4">
      <c r="A2042" t="s">
        <v>732</v>
      </c>
      <c r="B2042" t="s">
        <v>2440</v>
      </c>
      <c r="C2042">
        <v>2711</v>
      </c>
      <c r="D2042" s="807">
        <v>3.55</v>
      </c>
    </row>
    <row r="2043" spans="1:4">
      <c r="A2043" t="s">
        <v>6569</v>
      </c>
      <c r="B2043" t="s">
        <v>6568</v>
      </c>
      <c r="C2043">
        <v>17070</v>
      </c>
      <c r="D2043" s="807">
        <v>2</v>
      </c>
    </row>
    <row r="2044" spans="1:4">
      <c r="A2044" t="s">
        <v>200</v>
      </c>
      <c r="B2044" t="s">
        <v>5109</v>
      </c>
      <c r="C2044">
        <v>3561</v>
      </c>
      <c r="D2044" s="807">
        <v>3.2</v>
      </c>
    </row>
    <row r="2045" spans="1:4">
      <c r="A2045" t="s">
        <v>344</v>
      </c>
      <c r="B2045" t="s">
        <v>345</v>
      </c>
      <c r="C2045">
        <v>17043</v>
      </c>
      <c r="D2045" s="807">
        <v>4.5</v>
      </c>
    </row>
    <row r="2046" spans="1:4">
      <c r="A2046" t="s">
        <v>2089</v>
      </c>
      <c r="B2046" t="s">
        <v>108</v>
      </c>
      <c r="C2046">
        <v>3427</v>
      </c>
      <c r="D2046" s="807">
        <v>2.5</v>
      </c>
    </row>
    <row r="2047" spans="1:4">
      <c r="A2047" t="s">
        <v>3478</v>
      </c>
      <c r="B2047" t="s">
        <v>4612</v>
      </c>
      <c r="C2047">
        <v>3119</v>
      </c>
      <c r="D2047" s="807">
        <v>4.5</v>
      </c>
    </row>
    <row r="2048" spans="1:4">
      <c r="A2048" t="s">
        <v>6460</v>
      </c>
      <c r="B2048" t="s">
        <v>6459</v>
      </c>
      <c r="C2048">
        <v>15247</v>
      </c>
      <c r="D2048" s="807">
        <v>4.5</v>
      </c>
    </row>
    <row r="2049" spans="1:4">
      <c r="A2049" t="s">
        <v>2957</v>
      </c>
      <c r="B2049" t="s">
        <v>4613</v>
      </c>
      <c r="C2049">
        <v>3120</v>
      </c>
      <c r="D2049" s="807">
        <v>4.07</v>
      </c>
    </row>
    <row r="2050" spans="1:4">
      <c r="A2050" t="s">
        <v>9052</v>
      </c>
      <c r="B2050" t="s">
        <v>9053</v>
      </c>
      <c r="C2050">
        <v>15249</v>
      </c>
      <c r="D2050" s="807">
        <v>4.3</v>
      </c>
    </row>
    <row r="2051" spans="1:4">
      <c r="A2051" t="s">
        <v>4209</v>
      </c>
      <c r="B2051" t="s">
        <v>8785</v>
      </c>
      <c r="C2051">
        <v>2321</v>
      </c>
      <c r="D2051" s="807">
        <v>4</v>
      </c>
    </row>
    <row r="2052" spans="1:4">
      <c r="A2052" t="s">
        <v>6473</v>
      </c>
      <c r="B2052" t="s">
        <v>6472</v>
      </c>
      <c r="C2052">
        <v>15250</v>
      </c>
      <c r="D2052" s="807">
        <v>4.5</v>
      </c>
    </row>
    <row r="2053" spans="1:4">
      <c r="A2053" t="s">
        <v>4850</v>
      </c>
      <c r="B2053" t="s">
        <v>4614</v>
      </c>
      <c r="C2053">
        <v>2320</v>
      </c>
      <c r="D2053" s="807">
        <v>4.34</v>
      </c>
    </row>
    <row r="2054" spans="1:4">
      <c r="A2054" t="s">
        <v>6237</v>
      </c>
      <c r="B2054" t="s">
        <v>6236</v>
      </c>
      <c r="C2054">
        <v>15251</v>
      </c>
      <c r="D2054" s="807">
        <v>4.5</v>
      </c>
    </row>
    <row r="2055" spans="1:4">
      <c r="A2055" t="s">
        <v>4665</v>
      </c>
      <c r="B2055" t="s">
        <v>2107</v>
      </c>
      <c r="C2055">
        <v>2509</v>
      </c>
      <c r="D2055" s="807">
        <v>3.3</v>
      </c>
    </row>
    <row r="2056" spans="1:4">
      <c r="A2056" t="s">
        <v>3326</v>
      </c>
      <c r="B2056" t="s">
        <v>245</v>
      </c>
      <c r="C2056">
        <v>2511</v>
      </c>
      <c r="D2056" s="807">
        <v>3.41</v>
      </c>
    </row>
    <row r="2057" spans="1:4">
      <c r="A2057" t="s">
        <v>3409</v>
      </c>
      <c r="B2057" t="s">
        <v>246</v>
      </c>
      <c r="C2057">
        <v>3317</v>
      </c>
      <c r="D2057" s="807">
        <v>3.4</v>
      </c>
    </row>
    <row r="2058" spans="1:4">
      <c r="A2058" t="s">
        <v>5529</v>
      </c>
      <c r="B2058" t="s">
        <v>247</v>
      </c>
      <c r="C2058">
        <v>3318</v>
      </c>
      <c r="D2058" s="807">
        <v>3.4</v>
      </c>
    </row>
    <row r="2059" spans="1:4">
      <c r="A2059" t="s">
        <v>4719</v>
      </c>
      <c r="B2059" t="s">
        <v>4312</v>
      </c>
      <c r="C2059">
        <v>2508</v>
      </c>
      <c r="D2059" s="807">
        <v>3.38</v>
      </c>
    </row>
    <row r="2060" spans="1:4">
      <c r="A2060" t="s">
        <v>2844</v>
      </c>
      <c r="B2060" t="s">
        <v>608</v>
      </c>
      <c r="C2060">
        <v>15252</v>
      </c>
      <c r="D2060" s="807">
        <v>4.17</v>
      </c>
    </row>
    <row r="2061" spans="1:4">
      <c r="A2061" t="s">
        <v>2981</v>
      </c>
      <c r="B2061" t="s">
        <v>524</v>
      </c>
      <c r="C2061">
        <v>3069</v>
      </c>
      <c r="D2061" s="807">
        <v>3.89</v>
      </c>
    </row>
    <row r="2062" spans="1:4">
      <c r="A2062" t="s">
        <v>4287</v>
      </c>
      <c r="B2062" t="s">
        <v>8786</v>
      </c>
      <c r="C2062">
        <v>2423</v>
      </c>
      <c r="D2062" s="807">
        <v>4.0999999999999996</v>
      </c>
    </row>
    <row r="2063" spans="1:4">
      <c r="A2063" t="s">
        <v>6270</v>
      </c>
      <c r="B2063" t="s">
        <v>6269</v>
      </c>
      <c r="C2063">
        <v>19318</v>
      </c>
      <c r="D2063" s="807">
        <v>2</v>
      </c>
    </row>
    <row r="2064" spans="1:4">
      <c r="A2064" t="s">
        <v>6334</v>
      </c>
      <c r="B2064" t="s">
        <v>6333</v>
      </c>
      <c r="C2064">
        <v>2284</v>
      </c>
      <c r="D2064" s="807">
        <v>3.4</v>
      </c>
    </row>
    <row r="2065" spans="1:4">
      <c r="A2065" t="s">
        <v>6555</v>
      </c>
      <c r="B2065" t="s">
        <v>6554</v>
      </c>
      <c r="C2065">
        <v>15260</v>
      </c>
      <c r="D2065" s="807">
        <v>3.8</v>
      </c>
    </row>
    <row r="2066" spans="1:4">
      <c r="A2066" t="s">
        <v>6336</v>
      </c>
      <c r="B2066" t="s">
        <v>6335</v>
      </c>
      <c r="C2066">
        <v>2283</v>
      </c>
      <c r="D2066" s="807">
        <v>2</v>
      </c>
    </row>
    <row r="2067" spans="1:4">
      <c r="A2067" t="s">
        <v>8361</v>
      </c>
      <c r="B2067" t="s">
        <v>8362</v>
      </c>
      <c r="C2067">
        <v>6785</v>
      </c>
      <c r="D2067" s="807">
        <v>3.56</v>
      </c>
    </row>
    <row r="2068" spans="1:4">
      <c r="A2068" t="s">
        <v>2697</v>
      </c>
      <c r="B2068" t="s">
        <v>109</v>
      </c>
      <c r="C2068">
        <v>2610</v>
      </c>
      <c r="D2068" s="807">
        <v>2.2000000000000002</v>
      </c>
    </row>
    <row r="2069" spans="1:4">
      <c r="A2069" t="s">
        <v>1425</v>
      </c>
      <c r="B2069" t="s">
        <v>110</v>
      </c>
      <c r="C2069">
        <v>16659</v>
      </c>
      <c r="D2069" s="807">
        <v>2.4713768380352099</v>
      </c>
    </row>
    <row r="2070" spans="1:4">
      <c r="A2070" t="s">
        <v>426</v>
      </c>
      <c r="B2070" t="s">
        <v>1872</v>
      </c>
      <c r="C2070">
        <v>15277</v>
      </c>
      <c r="D2070" s="807">
        <v>2.77</v>
      </c>
    </row>
    <row r="2071" spans="1:4">
      <c r="A2071" t="s">
        <v>4284</v>
      </c>
      <c r="B2071" t="s">
        <v>8787</v>
      </c>
      <c r="C2071">
        <v>3263</v>
      </c>
      <c r="D2071" s="807">
        <v>2.8</v>
      </c>
    </row>
    <row r="2072" spans="1:4">
      <c r="A2072" t="s">
        <v>4267</v>
      </c>
      <c r="B2072" t="s">
        <v>8788</v>
      </c>
      <c r="C2072">
        <v>15287</v>
      </c>
      <c r="D2072" s="807">
        <v>2.4</v>
      </c>
    </row>
    <row r="2073" spans="1:4">
      <c r="A2073" t="s">
        <v>8363</v>
      </c>
      <c r="B2073" t="s">
        <v>8364</v>
      </c>
      <c r="C2073">
        <v>15290</v>
      </c>
      <c r="D2073" s="807">
        <v>2</v>
      </c>
    </row>
    <row r="2074" spans="1:4">
      <c r="A2074" t="s">
        <v>4217</v>
      </c>
      <c r="B2074" t="s">
        <v>8365</v>
      </c>
      <c r="C2074">
        <v>2463</v>
      </c>
      <c r="D2074" s="807">
        <v>2</v>
      </c>
    </row>
    <row r="2075" spans="1:4">
      <c r="A2075" t="s">
        <v>3180</v>
      </c>
      <c r="B2075" t="s">
        <v>1467</v>
      </c>
      <c r="C2075">
        <v>3262</v>
      </c>
      <c r="D2075" s="807">
        <v>2.31</v>
      </c>
    </row>
    <row r="2076" spans="1:4">
      <c r="A2076" t="s">
        <v>4096</v>
      </c>
      <c r="B2076" t="s">
        <v>1308</v>
      </c>
      <c r="C2076">
        <v>2706</v>
      </c>
      <c r="D2076" s="807">
        <v>2.1</v>
      </c>
    </row>
    <row r="2077" spans="1:4">
      <c r="A2077" t="s">
        <v>1702</v>
      </c>
      <c r="B2077" t="s">
        <v>1468</v>
      </c>
      <c r="C2077">
        <v>3099</v>
      </c>
      <c r="D2077" s="807">
        <v>3.29</v>
      </c>
    </row>
    <row r="2078" spans="1:4">
      <c r="A2078" t="s">
        <v>5224</v>
      </c>
      <c r="B2078" t="s">
        <v>234</v>
      </c>
      <c r="C2078">
        <v>15315</v>
      </c>
      <c r="D2078" s="807">
        <v>3.37</v>
      </c>
    </row>
    <row r="2079" spans="1:4">
      <c r="A2079" t="s">
        <v>3165</v>
      </c>
      <c r="B2079" t="s">
        <v>4388</v>
      </c>
      <c r="C2079">
        <v>2180</v>
      </c>
      <c r="D2079" s="807">
        <v>3.32</v>
      </c>
    </row>
    <row r="2080" spans="1:4">
      <c r="A2080" t="s">
        <v>4958</v>
      </c>
      <c r="B2080" t="s">
        <v>8789</v>
      </c>
      <c r="C2080">
        <v>15319</v>
      </c>
      <c r="D2080" s="807">
        <v>4.4000000000000004</v>
      </c>
    </row>
    <row r="2081" spans="1:4">
      <c r="A2081" t="s">
        <v>6632</v>
      </c>
      <c r="B2081" t="s">
        <v>4389</v>
      </c>
      <c r="C2081">
        <v>2973</v>
      </c>
      <c r="D2081" s="807">
        <v>4.37</v>
      </c>
    </row>
    <row r="2082" spans="1:4">
      <c r="A2082" t="s">
        <v>4215</v>
      </c>
      <c r="B2082" t="s">
        <v>8790</v>
      </c>
      <c r="C2082">
        <v>3082</v>
      </c>
      <c r="D2082" s="807">
        <v>4.5</v>
      </c>
    </row>
    <row r="2083" spans="1:4">
      <c r="A2083" t="s">
        <v>431</v>
      </c>
      <c r="B2083" t="s">
        <v>8791</v>
      </c>
      <c r="C2083">
        <v>17223</v>
      </c>
      <c r="D2083" s="807">
        <v>2.1</v>
      </c>
    </row>
    <row r="2084" spans="1:4">
      <c r="A2084" t="s">
        <v>2629</v>
      </c>
      <c r="B2084" t="s">
        <v>2789</v>
      </c>
      <c r="C2084">
        <v>2553</v>
      </c>
      <c r="D2084" s="807">
        <v>3.19</v>
      </c>
    </row>
    <row r="2085" spans="1:4">
      <c r="A2085" t="s">
        <v>4253</v>
      </c>
      <c r="B2085" t="s">
        <v>6622</v>
      </c>
      <c r="C2085">
        <v>15344</v>
      </c>
      <c r="D2085" s="807">
        <v>2</v>
      </c>
    </row>
    <row r="2086" spans="1:4">
      <c r="A2086" t="s">
        <v>4341</v>
      </c>
      <c r="B2086" t="s">
        <v>2790</v>
      </c>
      <c r="C2086">
        <v>3367</v>
      </c>
      <c r="D2086" s="807">
        <v>3.13</v>
      </c>
    </row>
    <row r="2087" spans="1:4">
      <c r="A2087" t="s">
        <v>6788</v>
      </c>
      <c r="B2087" t="s">
        <v>2790</v>
      </c>
      <c r="C2087">
        <v>18628</v>
      </c>
      <c r="D2087" s="807">
        <v>2.77</v>
      </c>
    </row>
    <row r="2088" spans="1:4">
      <c r="A2088" t="s">
        <v>3315</v>
      </c>
      <c r="B2088" t="s">
        <v>2791</v>
      </c>
      <c r="C2088">
        <v>2552</v>
      </c>
      <c r="D2088" s="807">
        <v>3.41</v>
      </c>
    </row>
    <row r="2089" spans="1:4">
      <c r="A2089" t="s">
        <v>6653</v>
      </c>
      <c r="B2089" t="s">
        <v>1309</v>
      </c>
      <c r="C2089">
        <v>2705</v>
      </c>
      <c r="D2089" s="807">
        <v>2.1</v>
      </c>
    </row>
    <row r="2090" spans="1:4">
      <c r="A2090" t="s">
        <v>3857</v>
      </c>
      <c r="B2090" t="s">
        <v>3858</v>
      </c>
      <c r="C2090">
        <v>3549</v>
      </c>
      <c r="D2090" s="807">
        <v>2.1</v>
      </c>
    </row>
    <row r="2091" spans="1:4">
      <c r="A2091" t="s">
        <v>2654</v>
      </c>
      <c r="B2091" t="s">
        <v>5267</v>
      </c>
      <c r="C2091">
        <v>3438</v>
      </c>
      <c r="D2091" s="807">
        <v>2.2000000000000002</v>
      </c>
    </row>
    <row r="2092" spans="1:4">
      <c r="A2092" t="s">
        <v>3989</v>
      </c>
      <c r="B2092" t="s">
        <v>2877</v>
      </c>
      <c r="C2092">
        <v>2033</v>
      </c>
      <c r="D2092" s="807">
        <v>4.22</v>
      </c>
    </row>
    <row r="2093" spans="1:4">
      <c r="A2093" t="s">
        <v>585</v>
      </c>
      <c r="B2093" t="s">
        <v>2878</v>
      </c>
      <c r="C2093">
        <v>15351</v>
      </c>
      <c r="D2093" s="807">
        <v>4.25</v>
      </c>
    </row>
    <row r="2094" spans="1:4">
      <c r="A2094" t="s">
        <v>3650</v>
      </c>
      <c r="B2094" t="s">
        <v>2879</v>
      </c>
      <c r="C2094">
        <v>2833</v>
      </c>
      <c r="D2094" s="807">
        <v>4.2</v>
      </c>
    </row>
    <row r="2095" spans="1:4">
      <c r="A2095" t="s">
        <v>439</v>
      </c>
      <c r="B2095" t="s">
        <v>6363</v>
      </c>
      <c r="C2095">
        <v>2201</v>
      </c>
      <c r="D2095" s="807">
        <v>4.0999999999999996</v>
      </c>
    </row>
    <row r="2096" spans="1:4">
      <c r="A2096" t="s">
        <v>2932</v>
      </c>
      <c r="B2096" t="s">
        <v>235</v>
      </c>
      <c r="C2096">
        <v>2367</v>
      </c>
      <c r="D2096" s="807">
        <v>3.4</v>
      </c>
    </row>
    <row r="2097" spans="1:4">
      <c r="A2097" t="s">
        <v>433</v>
      </c>
      <c r="B2097" t="s">
        <v>235</v>
      </c>
      <c r="C2097">
        <v>3201</v>
      </c>
      <c r="D2097" s="807">
        <v>3.4</v>
      </c>
    </row>
    <row r="2098" spans="1:4">
      <c r="A2098" t="s">
        <v>528</v>
      </c>
      <c r="B2098" t="s">
        <v>236</v>
      </c>
      <c r="C2098">
        <v>18581</v>
      </c>
      <c r="D2098" s="807">
        <v>3.39</v>
      </c>
    </row>
    <row r="2099" spans="1:4">
      <c r="A2099" t="s">
        <v>3354</v>
      </c>
      <c r="B2099" t="s">
        <v>237</v>
      </c>
      <c r="C2099">
        <v>3227</v>
      </c>
      <c r="D2099" s="807">
        <v>2.86</v>
      </c>
    </row>
    <row r="2100" spans="1:4">
      <c r="A2100" t="s">
        <v>3702</v>
      </c>
      <c r="B2100" t="s">
        <v>238</v>
      </c>
      <c r="C2100">
        <v>2384</v>
      </c>
      <c r="D2100" s="807">
        <v>3.26</v>
      </c>
    </row>
    <row r="2101" spans="1:4">
      <c r="A2101" t="s">
        <v>4365</v>
      </c>
      <c r="B2101" t="s">
        <v>239</v>
      </c>
      <c r="C2101">
        <v>2568</v>
      </c>
      <c r="D2101" s="807">
        <v>4.04</v>
      </c>
    </row>
    <row r="2102" spans="1:4">
      <c r="A2102" t="s">
        <v>1608</v>
      </c>
      <c r="B2102" t="s">
        <v>4801</v>
      </c>
      <c r="C2102">
        <v>3375</v>
      </c>
      <c r="D2102" s="807">
        <v>3.64</v>
      </c>
    </row>
    <row r="2103" spans="1:4">
      <c r="A2103" s="403" t="s">
        <v>8974</v>
      </c>
      <c r="B2103" s="403" t="s">
        <v>8975</v>
      </c>
      <c r="C2103" s="403">
        <v>15376</v>
      </c>
      <c r="D2103" s="807">
        <v>4.5</v>
      </c>
    </row>
    <row r="2104" spans="1:4">
      <c r="A2104" t="s">
        <v>3114</v>
      </c>
      <c r="B2104" t="s">
        <v>5201</v>
      </c>
      <c r="C2104">
        <v>3048</v>
      </c>
      <c r="D2104" s="807">
        <v>4.5</v>
      </c>
    </row>
    <row r="2105" spans="1:4">
      <c r="A2105" t="s">
        <v>6513</v>
      </c>
      <c r="B2105" t="s">
        <v>6512</v>
      </c>
      <c r="C2105">
        <v>15378</v>
      </c>
      <c r="D2105" s="807">
        <v>4.5</v>
      </c>
    </row>
    <row r="2106" spans="1:4">
      <c r="A2106" t="s">
        <v>306</v>
      </c>
      <c r="B2106" t="s">
        <v>4584</v>
      </c>
      <c r="C2106">
        <v>15383</v>
      </c>
      <c r="D2106" s="807">
        <v>4.5</v>
      </c>
    </row>
    <row r="2107" spans="1:4">
      <c r="A2107" t="s">
        <v>2214</v>
      </c>
      <c r="B2107" t="s">
        <v>571</v>
      </c>
      <c r="C2107">
        <v>15384</v>
      </c>
      <c r="D2107" s="807">
        <v>4.49</v>
      </c>
    </row>
    <row r="2108" spans="1:4">
      <c r="A2108" t="s">
        <v>8366</v>
      </c>
      <c r="B2108" t="s">
        <v>8367</v>
      </c>
      <c r="C2108">
        <v>16089</v>
      </c>
      <c r="D2108" s="807">
        <v>3.2</v>
      </c>
    </row>
    <row r="2109" spans="1:4">
      <c r="A2109" t="s">
        <v>209</v>
      </c>
      <c r="B2109" t="s">
        <v>210</v>
      </c>
      <c r="C2109">
        <v>15387</v>
      </c>
      <c r="D2109" s="807">
        <v>4.04</v>
      </c>
    </row>
    <row r="2110" spans="1:4">
      <c r="A2110" t="s">
        <v>855</v>
      </c>
      <c r="B2110" t="s">
        <v>572</v>
      </c>
      <c r="C2110">
        <v>2255</v>
      </c>
      <c r="D2110" s="807">
        <v>4.32</v>
      </c>
    </row>
    <row r="2111" spans="1:4">
      <c r="A2111" t="s">
        <v>3581</v>
      </c>
      <c r="B2111" t="s">
        <v>3780</v>
      </c>
      <c r="C2111">
        <v>2028</v>
      </c>
      <c r="D2111" s="807">
        <v>4.08</v>
      </c>
    </row>
    <row r="2112" spans="1:4">
      <c r="A2112" t="s">
        <v>8368</v>
      </c>
      <c r="B2112" t="s">
        <v>8369</v>
      </c>
      <c r="C2112">
        <v>2824</v>
      </c>
      <c r="D2112" s="807">
        <v>4.3</v>
      </c>
    </row>
    <row r="2113" spans="1:4">
      <c r="A2113" t="s">
        <v>6276</v>
      </c>
      <c r="B2113" t="s">
        <v>6275</v>
      </c>
      <c r="C2113">
        <v>2823</v>
      </c>
      <c r="D2113" s="807">
        <v>3.9</v>
      </c>
    </row>
    <row r="2114" spans="1:4">
      <c r="A2114" t="s">
        <v>4081</v>
      </c>
      <c r="B2114" t="s">
        <v>4378</v>
      </c>
      <c r="C2114">
        <v>2822</v>
      </c>
      <c r="D2114" s="807">
        <v>4.5</v>
      </c>
    </row>
    <row r="2115" spans="1:4">
      <c r="A2115" t="s">
        <v>126</v>
      </c>
      <c r="B2115" t="s">
        <v>4379</v>
      </c>
      <c r="C2115">
        <v>2027</v>
      </c>
      <c r="D2115" s="807">
        <v>4.09</v>
      </c>
    </row>
    <row r="2116" spans="1:4">
      <c r="A2116" t="s">
        <v>5259</v>
      </c>
      <c r="B2116" t="s">
        <v>4802</v>
      </c>
      <c r="C2116">
        <v>3205</v>
      </c>
      <c r="D2116" s="807">
        <v>4.1500000000000004</v>
      </c>
    </row>
    <row r="2117" spans="1:4">
      <c r="A2117" t="s">
        <v>6571</v>
      </c>
      <c r="B2117" t="s">
        <v>6570</v>
      </c>
      <c r="C2117">
        <v>3652</v>
      </c>
      <c r="D2117" s="807">
        <v>3</v>
      </c>
    </row>
    <row r="2118" spans="1:4">
      <c r="A2118" t="s">
        <v>2019</v>
      </c>
      <c r="B2118" t="s">
        <v>1895</v>
      </c>
      <c r="C2118">
        <v>2400</v>
      </c>
      <c r="D2118" s="807">
        <v>3.55</v>
      </c>
    </row>
    <row r="2119" spans="1:4">
      <c r="A2119" t="s">
        <v>6789</v>
      </c>
      <c r="B2119" t="s">
        <v>5990</v>
      </c>
      <c r="C2119">
        <v>18519</v>
      </c>
      <c r="D2119" s="807">
        <v>1</v>
      </c>
    </row>
    <row r="2120" spans="1:4">
      <c r="A2120" t="s">
        <v>6790</v>
      </c>
      <c r="B2120" t="s">
        <v>5991</v>
      </c>
      <c r="C2120">
        <v>18518</v>
      </c>
      <c r="D2120" s="807">
        <v>1</v>
      </c>
    </row>
    <row r="2121" spans="1:4">
      <c r="A2121" t="s">
        <v>2684</v>
      </c>
      <c r="B2121" t="s">
        <v>1921</v>
      </c>
      <c r="C2121">
        <v>2773</v>
      </c>
      <c r="D2121" s="807">
        <v>1</v>
      </c>
    </row>
    <row r="2122" spans="1:4">
      <c r="A2122" t="s">
        <v>1084</v>
      </c>
      <c r="B2122" t="s">
        <v>1310</v>
      </c>
      <c r="C2122">
        <v>2696</v>
      </c>
      <c r="D2122" s="807">
        <v>2.1</v>
      </c>
    </row>
    <row r="2123" spans="1:4">
      <c r="A2123" t="s">
        <v>2526</v>
      </c>
      <c r="B2123" t="s">
        <v>1311</v>
      </c>
      <c r="C2123">
        <v>17369</v>
      </c>
      <c r="D2123" s="807">
        <v>2.1</v>
      </c>
    </row>
    <row r="2124" spans="1:4">
      <c r="A2124" t="s">
        <v>3632</v>
      </c>
      <c r="B2124" t="s">
        <v>4601</v>
      </c>
      <c r="C2124">
        <v>3538</v>
      </c>
      <c r="D2124" s="807">
        <v>2.1</v>
      </c>
    </row>
    <row r="2125" spans="1:4">
      <c r="A2125" t="s">
        <v>2554</v>
      </c>
      <c r="B2125" t="s">
        <v>4602</v>
      </c>
      <c r="C2125">
        <v>3658</v>
      </c>
      <c r="D2125" s="807">
        <v>2.1</v>
      </c>
    </row>
    <row r="2126" spans="1:4">
      <c r="A2126" t="s">
        <v>6691</v>
      </c>
      <c r="B2126" t="s">
        <v>6690</v>
      </c>
      <c r="C2126">
        <v>17381</v>
      </c>
      <c r="D2126" s="807">
        <v>2</v>
      </c>
    </row>
    <row r="2127" spans="1:4">
      <c r="A2127" t="s">
        <v>5160</v>
      </c>
      <c r="B2127" t="s">
        <v>1896</v>
      </c>
      <c r="C2127">
        <v>2376</v>
      </c>
      <c r="D2127" s="807">
        <v>3.29</v>
      </c>
    </row>
    <row r="2128" spans="1:4">
      <c r="A2128" t="s">
        <v>6731</v>
      </c>
      <c r="B2128" t="s">
        <v>6730</v>
      </c>
      <c r="C2128">
        <v>18284</v>
      </c>
      <c r="D2128" s="807">
        <v>2</v>
      </c>
    </row>
    <row r="2129" spans="1:4">
      <c r="A2129" t="s">
        <v>6399</v>
      </c>
      <c r="B2129" t="s">
        <v>6398</v>
      </c>
      <c r="C2129">
        <v>18285</v>
      </c>
      <c r="D2129" s="807">
        <v>2</v>
      </c>
    </row>
    <row r="2130" spans="1:4">
      <c r="A2130" t="s">
        <v>1449</v>
      </c>
      <c r="B2130" t="s">
        <v>6676</v>
      </c>
      <c r="C2130">
        <v>2757</v>
      </c>
      <c r="D2130" s="807">
        <v>2.2999999999999998</v>
      </c>
    </row>
    <row r="2131" spans="1:4">
      <c r="A2131" t="s">
        <v>8370</v>
      </c>
      <c r="B2131" t="s">
        <v>8371</v>
      </c>
      <c r="C2131">
        <v>20449</v>
      </c>
      <c r="D2131" s="807">
        <v>2</v>
      </c>
    </row>
    <row r="2132" spans="1:4">
      <c r="A2132" t="s">
        <v>72</v>
      </c>
      <c r="B2132" t="s">
        <v>4109</v>
      </c>
      <c r="C2132">
        <v>2100</v>
      </c>
      <c r="D2132" s="807">
        <v>3.04</v>
      </c>
    </row>
    <row r="2133" spans="1:4">
      <c r="A2133" t="s">
        <v>1229</v>
      </c>
      <c r="B2133" t="s">
        <v>4110</v>
      </c>
      <c r="C2133">
        <v>2911</v>
      </c>
      <c r="D2133" s="807">
        <v>3.4</v>
      </c>
    </row>
    <row r="2134" spans="1:4">
      <c r="A2134" t="s">
        <v>3797</v>
      </c>
      <c r="B2134" t="s">
        <v>4111</v>
      </c>
      <c r="C2134">
        <v>2102</v>
      </c>
      <c r="D2134" s="807">
        <v>3</v>
      </c>
    </row>
    <row r="2135" spans="1:4">
      <c r="A2135" t="s">
        <v>4045</v>
      </c>
      <c r="B2135" t="s">
        <v>4380</v>
      </c>
      <c r="C2135">
        <v>2831</v>
      </c>
      <c r="D2135" s="807">
        <v>4.3</v>
      </c>
    </row>
    <row r="2136" spans="1:4">
      <c r="A2136" t="s">
        <v>4627</v>
      </c>
      <c r="B2136" t="s">
        <v>5281</v>
      </c>
      <c r="C2136">
        <v>2832</v>
      </c>
      <c r="D2136" s="807">
        <v>4.16</v>
      </c>
    </row>
    <row r="2137" spans="1:4">
      <c r="A2137" t="s">
        <v>2596</v>
      </c>
      <c r="B2137" t="s">
        <v>5282</v>
      </c>
      <c r="C2137">
        <v>2830</v>
      </c>
      <c r="D2137" s="807">
        <v>4.16</v>
      </c>
    </row>
    <row r="2138" spans="1:4">
      <c r="A2138" t="s">
        <v>195</v>
      </c>
      <c r="B2138" t="s">
        <v>5283</v>
      </c>
      <c r="C2138">
        <v>2834</v>
      </c>
      <c r="D2138" s="807">
        <v>4.3</v>
      </c>
    </row>
    <row r="2139" spans="1:4">
      <c r="A2139" t="s">
        <v>2258</v>
      </c>
      <c r="B2139" t="s">
        <v>6737</v>
      </c>
      <c r="C2139">
        <v>15408</v>
      </c>
      <c r="D2139" s="807">
        <v>3.97</v>
      </c>
    </row>
    <row r="2140" spans="1:4">
      <c r="A2140" t="s">
        <v>6356</v>
      </c>
      <c r="B2140" t="s">
        <v>6355</v>
      </c>
      <c r="C2140">
        <v>2034</v>
      </c>
      <c r="D2140" s="807">
        <v>4.3</v>
      </c>
    </row>
    <row r="2141" spans="1:4">
      <c r="A2141" t="s">
        <v>1378</v>
      </c>
      <c r="B2141" t="s">
        <v>5284</v>
      </c>
      <c r="C2141">
        <v>15416</v>
      </c>
      <c r="D2141" s="807">
        <v>4.1100000000000003</v>
      </c>
    </row>
    <row r="2142" spans="1:4">
      <c r="A2142" t="s">
        <v>1958</v>
      </c>
      <c r="B2142" t="s">
        <v>1959</v>
      </c>
      <c r="C2142">
        <v>15418</v>
      </c>
      <c r="D2142" s="807">
        <v>4.1399999999999997</v>
      </c>
    </row>
    <row r="2143" spans="1:4">
      <c r="A2143" t="s">
        <v>3691</v>
      </c>
      <c r="B2143" t="s">
        <v>5285</v>
      </c>
      <c r="C2143">
        <v>2046</v>
      </c>
      <c r="D2143" s="807">
        <v>4.05</v>
      </c>
    </row>
    <row r="2144" spans="1:4">
      <c r="A2144" t="s">
        <v>939</v>
      </c>
      <c r="B2144" t="s">
        <v>5286</v>
      </c>
      <c r="C2144">
        <v>2842</v>
      </c>
      <c r="D2144" s="807">
        <v>4.05</v>
      </c>
    </row>
    <row r="2145" spans="1:4">
      <c r="A2145" t="s">
        <v>1123</v>
      </c>
      <c r="B2145" t="s">
        <v>556</v>
      </c>
      <c r="C2145">
        <v>3392</v>
      </c>
      <c r="D2145" s="807">
        <v>2.6</v>
      </c>
    </row>
    <row r="2146" spans="1:4">
      <c r="A2146" t="s">
        <v>5406</v>
      </c>
      <c r="B2146" t="s">
        <v>557</v>
      </c>
      <c r="C2146">
        <v>3391</v>
      </c>
      <c r="D2146" s="807">
        <v>2.2999999999999998</v>
      </c>
    </row>
    <row r="2147" spans="1:4">
      <c r="A2147" t="s">
        <v>9054</v>
      </c>
      <c r="B2147" t="s">
        <v>9055</v>
      </c>
      <c r="C2147">
        <v>15447</v>
      </c>
      <c r="D2147" s="807">
        <v>3.4</v>
      </c>
    </row>
    <row r="2148" spans="1:4">
      <c r="A2148" t="s">
        <v>9108</v>
      </c>
      <c r="B2148" t="s">
        <v>9109</v>
      </c>
      <c r="C2148">
        <v>20474</v>
      </c>
      <c r="D2148" s="807">
        <v>3.4</v>
      </c>
    </row>
    <row r="2149" spans="1:4">
      <c r="A2149" t="s">
        <v>1090</v>
      </c>
      <c r="B2149" t="s">
        <v>1897</v>
      </c>
      <c r="C2149">
        <v>2399</v>
      </c>
      <c r="D2149" s="807">
        <v>3.9</v>
      </c>
    </row>
    <row r="2150" spans="1:4">
      <c r="A2150" t="s">
        <v>2921</v>
      </c>
      <c r="B2150" t="s">
        <v>2617</v>
      </c>
      <c r="C2150">
        <v>2567</v>
      </c>
      <c r="D2150" s="807">
        <v>2.84</v>
      </c>
    </row>
    <row r="2151" spans="1:4">
      <c r="A2151" t="s">
        <v>8911</v>
      </c>
      <c r="B2151" t="s">
        <v>8912</v>
      </c>
      <c r="C2151">
        <v>20038</v>
      </c>
      <c r="D2151" s="807">
        <v>2.8</v>
      </c>
    </row>
    <row r="2152" spans="1:4">
      <c r="A2152" t="s">
        <v>1350</v>
      </c>
      <c r="B2152" t="s">
        <v>2618</v>
      </c>
      <c r="C2152">
        <v>3088</v>
      </c>
      <c r="D2152" s="807">
        <v>4.5</v>
      </c>
    </row>
    <row r="2153" spans="1:4">
      <c r="A2153" t="s">
        <v>5155</v>
      </c>
      <c r="B2153" t="s">
        <v>836</v>
      </c>
      <c r="C2153">
        <v>3622</v>
      </c>
      <c r="D2153" s="807">
        <v>2.2999999999999998</v>
      </c>
    </row>
    <row r="2154" spans="1:4">
      <c r="A2154" t="s">
        <v>9080</v>
      </c>
      <c r="B2154" t="s">
        <v>9081</v>
      </c>
      <c r="C2154">
        <v>18364</v>
      </c>
      <c r="D2154" s="807">
        <v>2.2999999999999998</v>
      </c>
    </row>
    <row r="2155" spans="1:4">
      <c r="A2155" t="s">
        <v>6685</v>
      </c>
      <c r="B2155" t="s">
        <v>4112</v>
      </c>
      <c r="C2155">
        <v>2110</v>
      </c>
      <c r="D2155" s="807">
        <v>3.23</v>
      </c>
    </row>
    <row r="2156" spans="1:4">
      <c r="A2156" t="s">
        <v>6452</v>
      </c>
      <c r="B2156" t="s">
        <v>6451</v>
      </c>
      <c r="C2156">
        <v>15484</v>
      </c>
      <c r="D2156" s="807">
        <v>2.7</v>
      </c>
    </row>
    <row r="2157" spans="1:4">
      <c r="A2157" t="s">
        <v>2845</v>
      </c>
      <c r="B2157" t="s">
        <v>558</v>
      </c>
      <c r="C2157">
        <v>18708</v>
      </c>
      <c r="D2157" s="807">
        <v>2.2618765205246363</v>
      </c>
    </row>
    <row r="2158" spans="1:4">
      <c r="A2158" t="s">
        <v>6308</v>
      </c>
      <c r="B2158" t="s">
        <v>6307</v>
      </c>
      <c r="C2158">
        <v>18293</v>
      </c>
      <c r="D2158" s="807">
        <v>2</v>
      </c>
    </row>
    <row r="2159" spans="1:4">
      <c r="A2159" t="s">
        <v>4318</v>
      </c>
      <c r="B2159" t="s">
        <v>4113</v>
      </c>
      <c r="C2159">
        <v>2913</v>
      </c>
      <c r="D2159" s="807">
        <v>2.69</v>
      </c>
    </row>
    <row r="2160" spans="1:4">
      <c r="A2160" t="s">
        <v>3316</v>
      </c>
      <c r="B2160" t="s">
        <v>573</v>
      </c>
      <c r="C2160">
        <v>3309</v>
      </c>
      <c r="D2160" s="807">
        <v>3.73</v>
      </c>
    </row>
    <row r="2161" spans="1:4">
      <c r="A2161" t="s">
        <v>1658</v>
      </c>
      <c r="B2161" t="s">
        <v>1659</v>
      </c>
      <c r="C2161">
        <v>15490</v>
      </c>
      <c r="D2161" s="807">
        <v>3.4</v>
      </c>
    </row>
    <row r="2162" spans="1:4">
      <c r="A2162" t="s">
        <v>1041</v>
      </c>
      <c r="B2162" t="s">
        <v>574</v>
      </c>
      <c r="C2162">
        <v>2504</v>
      </c>
      <c r="D2162" s="807">
        <v>4.03</v>
      </c>
    </row>
    <row r="2163" spans="1:4">
      <c r="A2163" t="s">
        <v>9090</v>
      </c>
      <c r="B2163" t="s">
        <v>9091</v>
      </c>
      <c r="C2163">
        <v>19059</v>
      </c>
      <c r="D2163" s="807">
        <v>3.6</v>
      </c>
    </row>
    <row r="2164" spans="1:4">
      <c r="A2164" t="s">
        <v>5069</v>
      </c>
      <c r="B2164" t="s">
        <v>378</v>
      </c>
      <c r="C2164">
        <v>3500</v>
      </c>
      <c r="D2164" s="807">
        <v>2</v>
      </c>
    </row>
    <row r="2165" spans="1:4">
      <c r="A2165" t="s">
        <v>4073</v>
      </c>
      <c r="B2165" t="s">
        <v>837</v>
      </c>
      <c r="C2165">
        <v>3619</v>
      </c>
      <c r="D2165" s="807">
        <v>2.2999999999999998</v>
      </c>
    </row>
    <row r="2166" spans="1:4">
      <c r="A2166" t="s">
        <v>6225</v>
      </c>
      <c r="B2166" t="s">
        <v>6224</v>
      </c>
      <c r="C2166">
        <v>2209</v>
      </c>
      <c r="D2166" s="807">
        <v>3.8</v>
      </c>
    </row>
    <row r="2167" spans="1:4">
      <c r="A2167" t="s">
        <v>6343</v>
      </c>
      <c r="B2167" t="s">
        <v>6342</v>
      </c>
      <c r="C2167">
        <v>15520</v>
      </c>
      <c r="D2167" s="807">
        <v>3.2</v>
      </c>
    </row>
    <row r="2168" spans="1:4">
      <c r="A2168" t="s">
        <v>8913</v>
      </c>
      <c r="B2168" t="s">
        <v>8914</v>
      </c>
      <c r="C2168">
        <v>15526</v>
      </c>
      <c r="D2168" s="807">
        <v>3.5</v>
      </c>
    </row>
    <row r="2169" spans="1:4">
      <c r="A2169" t="s">
        <v>6254</v>
      </c>
      <c r="B2169" t="s">
        <v>6253</v>
      </c>
      <c r="C2169">
        <v>19258</v>
      </c>
      <c r="D2169" s="807">
        <v>3.7</v>
      </c>
    </row>
    <row r="2170" spans="1:4">
      <c r="A2170" t="s">
        <v>6646</v>
      </c>
      <c r="B2170" t="s">
        <v>6645</v>
      </c>
      <c r="C2170">
        <v>19257</v>
      </c>
      <c r="D2170" s="807">
        <v>3.9</v>
      </c>
    </row>
    <row r="2171" spans="1:4">
      <c r="A2171" t="s">
        <v>3988</v>
      </c>
      <c r="B2171" t="s">
        <v>4313</v>
      </c>
      <c r="C2171">
        <v>3095</v>
      </c>
      <c r="D2171" s="807">
        <v>4.2699999999999996</v>
      </c>
    </row>
    <row r="2172" spans="1:4">
      <c r="A2172" t="s">
        <v>6491</v>
      </c>
      <c r="B2172" t="s">
        <v>6490</v>
      </c>
      <c r="C2172">
        <v>15540</v>
      </c>
      <c r="D2172" s="807">
        <v>2.8</v>
      </c>
    </row>
    <row r="2173" spans="1:4">
      <c r="A2173" t="s">
        <v>871</v>
      </c>
      <c r="B2173" t="s">
        <v>2619</v>
      </c>
      <c r="C2173">
        <v>2199</v>
      </c>
      <c r="D2173" s="807">
        <v>4.3499999999999996</v>
      </c>
    </row>
    <row r="2174" spans="1:4">
      <c r="A2174" t="s">
        <v>912</v>
      </c>
      <c r="B2174" t="s">
        <v>4390</v>
      </c>
      <c r="C2174">
        <v>2946</v>
      </c>
      <c r="D2174" s="807">
        <v>2.82</v>
      </c>
    </row>
    <row r="2175" spans="1:4">
      <c r="A2175" t="s">
        <v>6223</v>
      </c>
      <c r="B2175" t="s">
        <v>6222</v>
      </c>
      <c r="C2175">
        <v>15569</v>
      </c>
      <c r="D2175" s="807">
        <v>4.5</v>
      </c>
    </row>
    <row r="2176" spans="1:4">
      <c r="A2176" t="s">
        <v>8792</v>
      </c>
      <c r="B2176" t="s">
        <v>8793</v>
      </c>
      <c r="C2176">
        <v>14768</v>
      </c>
      <c r="D2176" s="807">
        <v>2.9</v>
      </c>
    </row>
    <row r="2177" spans="1:4">
      <c r="A2177" t="s">
        <v>4286</v>
      </c>
      <c r="B2177" t="s">
        <v>8794</v>
      </c>
      <c r="C2177">
        <v>14241</v>
      </c>
      <c r="D2177" s="807">
        <v>3.5</v>
      </c>
    </row>
    <row r="2178" spans="1:4">
      <c r="A2178" t="s">
        <v>9068</v>
      </c>
      <c r="B2178" t="s">
        <v>9069</v>
      </c>
      <c r="C2178">
        <v>17224</v>
      </c>
      <c r="D2178" s="807">
        <v>2.1</v>
      </c>
    </row>
    <row r="2179" spans="1:4">
      <c r="A2179" t="s">
        <v>6771</v>
      </c>
      <c r="B2179" t="s">
        <v>8795</v>
      </c>
      <c r="C2179">
        <v>6821</v>
      </c>
      <c r="D2179" s="807">
        <v>3.4</v>
      </c>
    </row>
    <row r="2180" spans="1:4">
      <c r="A2180" t="s">
        <v>6797</v>
      </c>
      <c r="B2180" t="s">
        <v>8796</v>
      </c>
      <c r="C2180">
        <v>6822</v>
      </c>
      <c r="D2180" s="807">
        <v>3.6</v>
      </c>
    </row>
    <row r="2181" spans="1:4">
      <c r="A2181" t="s">
        <v>2953</v>
      </c>
      <c r="B2181" t="s">
        <v>2954</v>
      </c>
      <c r="C2181">
        <v>15600</v>
      </c>
      <c r="D2181" s="807">
        <v>4.32</v>
      </c>
    </row>
    <row r="2182" spans="1:4">
      <c r="A2182" t="s">
        <v>5218</v>
      </c>
      <c r="B2182" t="s">
        <v>2620</v>
      </c>
      <c r="C2182">
        <v>2424</v>
      </c>
      <c r="D2182" s="807">
        <v>3.32</v>
      </c>
    </row>
    <row r="2183" spans="1:4">
      <c r="A2183" t="s">
        <v>60</v>
      </c>
      <c r="B2183" t="s">
        <v>4500</v>
      </c>
      <c r="C2183">
        <v>3225</v>
      </c>
      <c r="D2183" s="807">
        <v>3.54</v>
      </c>
    </row>
    <row r="2184" spans="1:4">
      <c r="A2184" t="s">
        <v>2286</v>
      </c>
      <c r="B2184" t="s">
        <v>4603</v>
      </c>
      <c r="C2184">
        <v>17571</v>
      </c>
      <c r="D2184" s="807">
        <v>2.0617598316454031</v>
      </c>
    </row>
    <row r="2185" spans="1:4">
      <c r="A2185" t="s">
        <v>6697</v>
      </c>
      <c r="B2185" t="s">
        <v>6696</v>
      </c>
      <c r="C2185">
        <v>18577</v>
      </c>
      <c r="D2185" s="807">
        <v>2</v>
      </c>
    </row>
    <row r="2186" spans="1:4">
      <c r="A2186" t="s">
        <v>2545</v>
      </c>
      <c r="B2186" t="s">
        <v>1506</v>
      </c>
      <c r="C2186">
        <v>2904</v>
      </c>
      <c r="D2186" s="807">
        <v>2.04</v>
      </c>
    </row>
    <row r="2187" spans="1:4">
      <c r="A2187" t="s">
        <v>3019</v>
      </c>
      <c r="B2187" t="s">
        <v>1507</v>
      </c>
      <c r="C2187">
        <v>2905</v>
      </c>
      <c r="D2187" s="807">
        <v>2.48</v>
      </c>
    </row>
    <row r="2188" spans="1:4">
      <c r="A2188" t="s">
        <v>8797</v>
      </c>
      <c r="B2188" t="s">
        <v>8798</v>
      </c>
      <c r="C2188">
        <v>15622</v>
      </c>
      <c r="D2188" s="807">
        <v>3.1</v>
      </c>
    </row>
    <row r="2189" spans="1:4">
      <c r="A2189" t="s">
        <v>3018</v>
      </c>
      <c r="B2189" t="s">
        <v>2434</v>
      </c>
      <c r="C2189">
        <v>2288</v>
      </c>
      <c r="D2189" s="807">
        <v>3.5</v>
      </c>
    </row>
    <row r="2190" spans="1:4">
      <c r="A2190" t="s">
        <v>8372</v>
      </c>
      <c r="B2190" t="s">
        <v>8373</v>
      </c>
      <c r="C2190">
        <v>15623</v>
      </c>
      <c r="D2190" s="807">
        <v>3.5</v>
      </c>
    </row>
    <row r="2191" spans="1:4">
      <c r="A2191" t="s">
        <v>5496</v>
      </c>
      <c r="B2191" t="s">
        <v>3725</v>
      </c>
      <c r="C2191">
        <v>3603</v>
      </c>
      <c r="D2191" s="807">
        <v>2.4</v>
      </c>
    </row>
    <row r="2192" spans="1:4">
      <c r="A2192" t="s">
        <v>5511</v>
      </c>
      <c r="B2192" t="s">
        <v>3725</v>
      </c>
      <c r="C2192">
        <v>3604</v>
      </c>
      <c r="D2192" s="807">
        <v>2.4</v>
      </c>
    </row>
    <row r="2193" spans="1:4">
      <c r="A2193" t="s">
        <v>3708</v>
      </c>
      <c r="B2193" t="s">
        <v>2435</v>
      </c>
      <c r="C2193">
        <v>3374</v>
      </c>
      <c r="D2193" s="807">
        <v>3.41</v>
      </c>
    </row>
    <row r="2194" spans="1:4">
      <c r="A2194" t="s">
        <v>4455</v>
      </c>
      <c r="B2194" t="s">
        <v>4021</v>
      </c>
      <c r="C2194">
        <v>3305</v>
      </c>
      <c r="D2194" s="807">
        <v>4.4800000000000004</v>
      </c>
    </row>
    <row r="2195" spans="1:4">
      <c r="A2195" t="s">
        <v>1701</v>
      </c>
      <c r="B2195" t="s">
        <v>323</v>
      </c>
      <c r="C2195">
        <v>2502</v>
      </c>
      <c r="D2195" s="807">
        <v>4.5</v>
      </c>
    </row>
    <row r="2196" spans="1:4">
      <c r="A2196" t="s">
        <v>4716</v>
      </c>
      <c r="B2196" t="s">
        <v>324</v>
      </c>
      <c r="C2196">
        <v>2501</v>
      </c>
      <c r="D2196" s="807">
        <v>4.58</v>
      </c>
    </row>
    <row r="2197" spans="1:4">
      <c r="A2197" t="s">
        <v>6505</v>
      </c>
      <c r="B2197" t="s">
        <v>6504</v>
      </c>
      <c r="C2197">
        <v>3304</v>
      </c>
      <c r="D2197" s="807">
        <v>4.5</v>
      </c>
    </row>
    <row r="2198" spans="1:4">
      <c r="A2198" t="s">
        <v>6611</v>
      </c>
      <c r="B2198" t="s">
        <v>6610</v>
      </c>
      <c r="C2198">
        <v>3307</v>
      </c>
      <c r="D2198" s="807">
        <v>4.4000000000000004</v>
      </c>
    </row>
    <row r="2199" spans="1:4">
      <c r="A2199" t="s">
        <v>2623</v>
      </c>
      <c r="B2199" t="s">
        <v>2273</v>
      </c>
      <c r="C2199">
        <v>3306</v>
      </c>
      <c r="D2199" s="807">
        <v>4.28</v>
      </c>
    </row>
    <row r="2200" spans="1:4">
      <c r="A2200" t="s">
        <v>2382</v>
      </c>
      <c r="B2200" t="s">
        <v>76</v>
      </c>
      <c r="C2200">
        <v>2130</v>
      </c>
      <c r="D2200" s="807">
        <v>3.25</v>
      </c>
    </row>
    <row r="2201" spans="1:4">
      <c r="A2201" t="s">
        <v>3853</v>
      </c>
      <c r="B2201" t="s">
        <v>3854</v>
      </c>
      <c r="C2201">
        <v>18375</v>
      </c>
      <c r="D2201" s="807">
        <v>3.3182763159269002</v>
      </c>
    </row>
    <row r="2202" spans="1:4">
      <c r="A2202" t="s">
        <v>5073</v>
      </c>
      <c r="B2202" t="s">
        <v>4412</v>
      </c>
      <c r="C2202">
        <v>16342</v>
      </c>
      <c r="D2202" s="807">
        <v>2.9587323501170402</v>
      </c>
    </row>
    <row r="2203" spans="1:4">
      <c r="A2203" t="s">
        <v>4486</v>
      </c>
      <c r="B2203" t="s">
        <v>5362</v>
      </c>
      <c r="C2203">
        <v>3017</v>
      </c>
      <c r="D2203" s="807">
        <v>3.45</v>
      </c>
    </row>
    <row r="2204" spans="1:4">
      <c r="A2204" t="s">
        <v>2871</v>
      </c>
      <c r="B2204" t="s">
        <v>2274</v>
      </c>
      <c r="C2204">
        <v>2496</v>
      </c>
      <c r="D2204" s="807">
        <v>4.3099999999999996</v>
      </c>
    </row>
    <row r="2205" spans="1:4">
      <c r="A2205" t="s">
        <v>4609</v>
      </c>
      <c r="B2205" t="s">
        <v>2275</v>
      </c>
      <c r="C2205">
        <v>2497</v>
      </c>
      <c r="D2205" s="807">
        <v>4.34</v>
      </c>
    </row>
    <row r="2206" spans="1:4">
      <c r="A2206" t="s">
        <v>5126</v>
      </c>
      <c r="B2206" t="s">
        <v>2276</v>
      </c>
      <c r="C2206">
        <v>3297</v>
      </c>
      <c r="D2206" s="807">
        <v>4.13</v>
      </c>
    </row>
    <row r="2207" spans="1:4">
      <c r="A2207" t="s">
        <v>2861</v>
      </c>
      <c r="B2207" t="s">
        <v>2277</v>
      </c>
      <c r="C2207">
        <v>3298</v>
      </c>
      <c r="D2207" s="807">
        <v>3.93</v>
      </c>
    </row>
    <row r="2208" spans="1:4">
      <c r="A2208" t="s">
        <v>2872</v>
      </c>
      <c r="B2208" t="s">
        <v>2278</v>
      </c>
      <c r="C2208">
        <v>2498</v>
      </c>
      <c r="D2208" s="807">
        <v>4.49</v>
      </c>
    </row>
    <row r="2209" spans="1:4">
      <c r="A2209" t="s">
        <v>4607</v>
      </c>
      <c r="B2209" t="s">
        <v>2279</v>
      </c>
      <c r="C2209">
        <v>18734</v>
      </c>
      <c r="D2209" s="807">
        <v>4.21</v>
      </c>
    </row>
    <row r="2210" spans="1:4">
      <c r="A2210" t="s">
        <v>1327</v>
      </c>
      <c r="B2210" t="s">
        <v>2280</v>
      </c>
      <c r="C2210">
        <v>3296</v>
      </c>
      <c r="D2210" s="807">
        <v>4.43</v>
      </c>
    </row>
    <row r="2211" spans="1:4">
      <c r="A2211" t="s">
        <v>4399</v>
      </c>
      <c r="B2211" t="s">
        <v>2281</v>
      </c>
      <c r="C2211">
        <v>2495</v>
      </c>
      <c r="D2211" s="807">
        <v>4.5</v>
      </c>
    </row>
    <row r="2212" spans="1:4">
      <c r="A2212" t="s">
        <v>4162</v>
      </c>
      <c r="B2212" t="s">
        <v>77</v>
      </c>
      <c r="C2212">
        <v>2122</v>
      </c>
      <c r="D2212" s="807">
        <v>3.1</v>
      </c>
    </row>
    <row r="2213" spans="1:4">
      <c r="A2213" t="s">
        <v>2666</v>
      </c>
      <c r="B2213" t="s">
        <v>2667</v>
      </c>
      <c r="C2213">
        <v>16282</v>
      </c>
      <c r="D2213" s="807">
        <v>3.3182763159269002</v>
      </c>
    </row>
    <row r="2214" spans="1:4">
      <c r="A2214" t="s">
        <v>6702</v>
      </c>
      <c r="B2214" t="s">
        <v>418</v>
      </c>
      <c r="C2214">
        <v>19134</v>
      </c>
      <c r="D2214" s="807">
        <v>2.64</v>
      </c>
    </row>
    <row r="2215" spans="1:4">
      <c r="A2215" t="s">
        <v>1706</v>
      </c>
      <c r="B2215" t="s">
        <v>4314</v>
      </c>
      <c r="C2215">
        <v>2465</v>
      </c>
      <c r="D2215" s="807">
        <v>3.74</v>
      </c>
    </row>
    <row r="2216" spans="1:4">
      <c r="A2216" t="s">
        <v>166</v>
      </c>
      <c r="B2216" t="s">
        <v>4876</v>
      </c>
      <c r="C2216">
        <v>2466</v>
      </c>
      <c r="D2216" s="807">
        <v>3.86</v>
      </c>
    </row>
    <row r="2217" spans="1:4">
      <c r="A2217" t="s">
        <v>3224</v>
      </c>
      <c r="B2217" t="s">
        <v>2781</v>
      </c>
      <c r="C2217">
        <v>2154</v>
      </c>
      <c r="D2217" s="807">
        <v>3.49</v>
      </c>
    </row>
    <row r="2218" spans="1:4">
      <c r="A2218" t="s">
        <v>276</v>
      </c>
      <c r="B2218" t="s">
        <v>4604</v>
      </c>
      <c r="C2218">
        <v>17573</v>
      </c>
      <c r="D2218" s="807">
        <v>2.0617598316454031</v>
      </c>
    </row>
    <row r="2219" spans="1:4">
      <c r="A2219" t="s">
        <v>6209</v>
      </c>
      <c r="B2219" t="s">
        <v>6208</v>
      </c>
      <c r="C2219">
        <v>16946</v>
      </c>
      <c r="D2219" s="807">
        <v>2</v>
      </c>
    </row>
    <row r="2220" spans="1:4">
      <c r="A2220" t="s">
        <v>4445</v>
      </c>
      <c r="B2220" t="s">
        <v>5110</v>
      </c>
      <c r="C2220">
        <v>3567</v>
      </c>
      <c r="D2220" s="807">
        <v>4.28</v>
      </c>
    </row>
    <row r="2221" spans="1:4">
      <c r="A2221" t="s">
        <v>3995</v>
      </c>
      <c r="B2221" t="s">
        <v>5111</v>
      </c>
      <c r="C2221">
        <v>3566</v>
      </c>
      <c r="D2221" s="807">
        <v>4.01</v>
      </c>
    </row>
    <row r="2222" spans="1:4">
      <c r="A2222" t="s">
        <v>8799</v>
      </c>
      <c r="B2222" t="s">
        <v>8800</v>
      </c>
      <c r="C2222">
        <v>16947</v>
      </c>
      <c r="D2222" s="807">
        <v>3.66</v>
      </c>
    </row>
    <row r="2223" spans="1:4">
      <c r="A2223" t="s">
        <v>3914</v>
      </c>
      <c r="B2223" t="s">
        <v>2610</v>
      </c>
      <c r="C2223">
        <v>17821</v>
      </c>
      <c r="D2223" s="807">
        <v>1.9785341879407026</v>
      </c>
    </row>
    <row r="2224" spans="1:4">
      <c r="A2224" t="s">
        <v>2471</v>
      </c>
      <c r="B2224" t="s">
        <v>2472</v>
      </c>
      <c r="C2224">
        <v>19135</v>
      </c>
      <c r="D2224" s="807">
        <v>3.02</v>
      </c>
    </row>
    <row r="2225" spans="1:4">
      <c r="A2225" t="s">
        <v>8801</v>
      </c>
      <c r="B2225" t="s">
        <v>8802</v>
      </c>
      <c r="C2225">
        <v>15718</v>
      </c>
      <c r="D2225" s="807">
        <v>2</v>
      </c>
    </row>
    <row r="2226" spans="1:4">
      <c r="A2226" t="s">
        <v>2946</v>
      </c>
      <c r="B2226" t="s">
        <v>5287</v>
      </c>
      <c r="C2226">
        <v>2065</v>
      </c>
      <c r="D2226" s="807">
        <v>4.3099999999999996</v>
      </c>
    </row>
    <row r="2227" spans="1:4">
      <c r="A2227" t="s">
        <v>9056</v>
      </c>
      <c r="B2227" t="s">
        <v>9057</v>
      </c>
      <c r="C2227">
        <v>15732</v>
      </c>
      <c r="D2227" s="807">
        <v>4</v>
      </c>
    </row>
    <row r="2228" spans="1:4">
      <c r="A2228" t="s">
        <v>2100</v>
      </c>
      <c r="B2228" t="s">
        <v>2436</v>
      </c>
      <c r="C2228">
        <v>2345</v>
      </c>
      <c r="D2228" s="807">
        <v>4.0599999999999996</v>
      </c>
    </row>
    <row r="2229" spans="1:4">
      <c r="A2229" t="s">
        <v>3377</v>
      </c>
      <c r="B2229" t="s">
        <v>3378</v>
      </c>
      <c r="C2229">
        <v>19136</v>
      </c>
      <c r="D2229" s="807">
        <v>3.15</v>
      </c>
    </row>
    <row r="2230" spans="1:4">
      <c r="A2230" t="s">
        <v>5530</v>
      </c>
      <c r="B2230" t="s">
        <v>4877</v>
      </c>
      <c r="C2230">
        <v>3041</v>
      </c>
      <c r="D2230" s="807">
        <v>3.72</v>
      </c>
    </row>
    <row r="2231" spans="1:4">
      <c r="A2231" t="s">
        <v>2181</v>
      </c>
      <c r="B2231" t="s">
        <v>2182</v>
      </c>
      <c r="C2231">
        <v>3231</v>
      </c>
      <c r="D2231" s="807">
        <v>4.3</v>
      </c>
    </row>
    <row r="2232" spans="1:4">
      <c r="A2232" t="s">
        <v>2055</v>
      </c>
      <c r="B2232" t="s">
        <v>575</v>
      </c>
      <c r="C2232">
        <v>3116</v>
      </c>
      <c r="D2232" s="807">
        <v>3.74</v>
      </c>
    </row>
    <row r="2233" spans="1:4">
      <c r="A2233" t="s">
        <v>526</v>
      </c>
      <c r="B2233" t="s">
        <v>2886</v>
      </c>
      <c r="C2233">
        <v>2319</v>
      </c>
      <c r="D2233" s="807">
        <v>3.5</v>
      </c>
    </row>
    <row r="2234" spans="1:4">
      <c r="A2234" t="s">
        <v>8374</v>
      </c>
      <c r="B2234" t="s">
        <v>8375</v>
      </c>
      <c r="C2234">
        <v>15753</v>
      </c>
      <c r="D2234" s="807">
        <v>4</v>
      </c>
    </row>
    <row r="2235" spans="1:4">
      <c r="A2235" t="s">
        <v>892</v>
      </c>
      <c r="B2235" t="s">
        <v>2887</v>
      </c>
      <c r="C2235">
        <v>15758</v>
      </c>
      <c r="D2235" s="807">
        <v>3.72</v>
      </c>
    </row>
    <row r="2236" spans="1:4">
      <c r="A2236" t="s">
        <v>2119</v>
      </c>
      <c r="B2236" t="s">
        <v>2888</v>
      </c>
      <c r="C2236">
        <v>3117</v>
      </c>
      <c r="D2236" s="807">
        <v>3.73</v>
      </c>
    </row>
    <row r="2237" spans="1:4">
      <c r="A2237" t="s">
        <v>5186</v>
      </c>
      <c r="B2237" t="s">
        <v>2889</v>
      </c>
      <c r="C2237">
        <v>3115</v>
      </c>
      <c r="D2237" s="807">
        <v>3.66</v>
      </c>
    </row>
    <row r="2238" spans="1:4">
      <c r="A2238" t="s">
        <v>44</v>
      </c>
      <c r="B2238" t="s">
        <v>995</v>
      </c>
      <c r="C2238">
        <v>2433</v>
      </c>
      <c r="D2238" s="807">
        <v>4.18</v>
      </c>
    </row>
    <row r="2239" spans="1:4">
      <c r="A2239" t="s">
        <v>2183</v>
      </c>
      <c r="B2239" t="s">
        <v>2184</v>
      </c>
      <c r="C2239">
        <v>3232</v>
      </c>
      <c r="D2239" s="807">
        <v>4.18</v>
      </c>
    </row>
    <row r="2240" spans="1:4">
      <c r="A2240" t="s">
        <v>8915</v>
      </c>
      <c r="B2240" t="s">
        <v>8916</v>
      </c>
      <c r="C2240">
        <v>15763</v>
      </c>
      <c r="D2240" s="807">
        <v>4.4000000000000004</v>
      </c>
    </row>
    <row r="2241" spans="1:4">
      <c r="A2241" t="s">
        <v>9062</v>
      </c>
      <c r="B2241" t="s">
        <v>9063</v>
      </c>
      <c r="C2241">
        <v>16072</v>
      </c>
      <c r="D2241" s="807">
        <v>3.52</v>
      </c>
    </row>
    <row r="2242" spans="1:4">
      <c r="A2242" t="s">
        <v>203</v>
      </c>
      <c r="B2242" t="s">
        <v>204</v>
      </c>
      <c r="C2242">
        <v>15765</v>
      </c>
      <c r="D2242" s="807">
        <v>4.5</v>
      </c>
    </row>
    <row r="2243" spans="1:4">
      <c r="A2243" t="s">
        <v>3800</v>
      </c>
      <c r="B2243" t="s">
        <v>5108</v>
      </c>
      <c r="C2243">
        <v>3038</v>
      </c>
      <c r="D2243" s="807">
        <v>4.0599999999999996</v>
      </c>
    </row>
    <row r="2244" spans="1:4">
      <c r="A2244" t="s">
        <v>6497</v>
      </c>
      <c r="B2244" t="s">
        <v>6496</v>
      </c>
      <c r="C2244">
        <v>16082</v>
      </c>
      <c r="D2244" s="807">
        <v>2</v>
      </c>
    </row>
    <row r="2245" spans="1:4">
      <c r="A2245" t="s">
        <v>1042</v>
      </c>
      <c r="B2245" t="s">
        <v>3055</v>
      </c>
      <c r="C2245">
        <v>3105</v>
      </c>
      <c r="D2245" s="807">
        <v>3.47</v>
      </c>
    </row>
    <row r="2246" spans="1:4">
      <c r="A2246" t="s">
        <v>5367</v>
      </c>
      <c r="B2246" t="s">
        <v>3056</v>
      </c>
      <c r="C2246">
        <v>2313</v>
      </c>
      <c r="D2246" s="807">
        <v>3.93</v>
      </c>
    </row>
    <row r="2247" spans="1:4">
      <c r="A2247" t="s">
        <v>1051</v>
      </c>
      <c r="B2247" t="s">
        <v>3057</v>
      </c>
      <c r="C2247">
        <v>2308</v>
      </c>
      <c r="D2247" s="807">
        <v>3.4</v>
      </c>
    </row>
    <row r="2248" spans="1:4">
      <c r="A2248" t="s">
        <v>3430</v>
      </c>
      <c r="B2248" t="s">
        <v>4777</v>
      </c>
      <c r="C2248">
        <v>2312</v>
      </c>
      <c r="D2248" s="807">
        <v>3.99</v>
      </c>
    </row>
    <row r="2249" spans="1:4">
      <c r="A2249" t="s">
        <v>1886</v>
      </c>
      <c r="B2249" t="s">
        <v>4778</v>
      </c>
      <c r="C2249">
        <v>2311</v>
      </c>
      <c r="D2249" s="807">
        <v>3.59</v>
      </c>
    </row>
    <row r="2250" spans="1:4">
      <c r="A2250" t="s">
        <v>1226</v>
      </c>
      <c r="B2250" t="s">
        <v>4054</v>
      </c>
      <c r="C2250">
        <v>2309</v>
      </c>
      <c r="D2250" s="807">
        <v>3.49</v>
      </c>
    </row>
    <row r="2251" spans="1:4">
      <c r="A2251" t="s">
        <v>3347</v>
      </c>
      <c r="B2251" t="s">
        <v>4055</v>
      </c>
      <c r="C2251">
        <v>2307</v>
      </c>
      <c r="D2251" s="807">
        <v>3.32</v>
      </c>
    </row>
    <row r="2252" spans="1:4">
      <c r="A2252" t="s">
        <v>1050</v>
      </c>
      <c r="B2252" t="s">
        <v>4056</v>
      </c>
      <c r="C2252">
        <v>2305</v>
      </c>
      <c r="D2252" s="807">
        <v>3.58</v>
      </c>
    </row>
    <row r="2253" spans="1:4">
      <c r="A2253" t="s">
        <v>1891</v>
      </c>
      <c r="B2253" t="s">
        <v>4057</v>
      </c>
      <c r="C2253">
        <v>2310</v>
      </c>
      <c r="D2253" s="807">
        <v>3.56</v>
      </c>
    </row>
    <row r="2254" spans="1:4">
      <c r="A2254" t="s">
        <v>4624</v>
      </c>
      <c r="B2254" t="s">
        <v>4058</v>
      </c>
      <c r="C2254">
        <v>2306</v>
      </c>
      <c r="D2254" s="807">
        <v>3.64</v>
      </c>
    </row>
    <row r="2255" spans="1:4">
      <c r="A2255" t="s">
        <v>2113</v>
      </c>
      <c r="B2255" t="s">
        <v>4059</v>
      </c>
      <c r="C2255">
        <v>3106</v>
      </c>
      <c r="D2255" s="807">
        <v>3.49</v>
      </c>
    </row>
    <row r="2256" spans="1:4">
      <c r="A2256" t="s">
        <v>334</v>
      </c>
      <c r="B2256" t="s">
        <v>335</v>
      </c>
      <c r="C2256">
        <v>17178</v>
      </c>
      <c r="D2256" s="807">
        <v>3.3182763159269002</v>
      </c>
    </row>
    <row r="2257" spans="1:4">
      <c r="A2257" t="s">
        <v>9066</v>
      </c>
      <c r="B2257" t="s">
        <v>9067</v>
      </c>
      <c r="C2257">
        <v>17180</v>
      </c>
      <c r="D2257" s="807">
        <v>2.33</v>
      </c>
    </row>
    <row r="2258" spans="1:4">
      <c r="A2258" t="s">
        <v>3026</v>
      </c>
      <c r="B2258" t="s">
        <v>5268</v>
      </c>
      <c r="C2258">
        <v>3419</v>
      </c>
      <c r="D2258" s="807">
        <v>2.7</v>
      </c>
    </row>
    <row r="2259" spans="1:4">
      <c r="A2259" t="s">
        <v>584</v>
      </c>
      <c r="B2259" t="s">
        <v>1057</v>
      </c>
      <c r="C2259">
        <v>15778</v>
      </c>
      <c r="D2259" s="807">
        <v>3.47</v>
      </c>
    </row>
    <row r="2260" spans="1:4">
      <c r="A2260" t="s">
        <v>1122</v>
      </c>
      <c r="B2260" t="s">
        <v>5332</v>
      </c>
      <c r="C2260">
        <v>18999</v>
      </c>
      <c r="D2260" s="807">
        <v>3.67</v>
      </c>
    </row>
    <row r="2261" spans="1:4">
      <c r="A2261" t="s">
        <v>6475</v>
      </c>
      <c r="B2261" t="s">
        <v>6474</v>
      </c>
      <c r="C2261">
        <v>15781</v>
      </c>
      <c r="D2261" s="807">
        <v>3.5</v>
      </c>
    </row>
    <row r="2262" spans="1:4">
      <c r="A2262" t="s">
        <v>6705</v>
      </c>
      <c r="B2262" t="s">
        <v>5550</v>
      </c>
      <c r="C2262">
        <v>2447</v>
      </c>
      <c r="D2262" s="807">
        <v>3.31</v>
      </c>
    </row>
    <row r="2263" spans="1:4">
      <c r="A2263" t="s">
        <v>6706</v>
      </c>
      <c r="B2263" t="s">
        <v>5474</v>
      </c>
      <c r="C2263">
        <v>3242</v>
      </c>
      <c r="D2263" s="807">
        <v>3.45</v>
      </c>
    </row>
    <row r="2264" spans="1:4">
      <c r="A2264" t="s">
        <v>4231</v>
      </c>
      <c r="B2264" t="s">
        <v>8803</v>
      </c>
      <c r="C2264">
        <v>17372</v>
      </c>
      <c r="D2264" s="807">
        <v>2.0617598316454031</v>
      </c>
    </row>
    <row r="2265" spans="1:4">
      <c r="A2265" t="s">
        <v>4094</v>
      </c>
      <c r="B2265" t="s">
        <v>4605</v>
      </c>
      <c r="C2265">
        <v>18707</v>
      </c>
      <c r="D2265" s="807">
        <v>2.0617598316454031</v>
      </c>
    </row>
    <row r="2266" spans="1:4">
      <c r="A2266" t="s">
        <v>3875</v>
      </c>
      <c r="B2266" t="s">
        <v>3876</v>
      </c>
      <c r="C2266">
        <v>15799</v>
      </c>
      <c r="D2266" s="807">
        <v>4</v>
      </c>
    </row>
    <row r="2267" spans="1:4">
      <c r="A2267" t="s">
        <v>8804</v>
      </c>
      <c r="B2267" t="s">
        <v>8805</v>
      </c>
      <c r="C2267">
        <v>2829</v>
      </c>
      <c r="D2267" s="807">
        <v>3.7</v>
      </c>
    </row>
    <row r="2268" spans="1:4">
      <c r="A2268" t="s">
        <v>2604</v>
      </c>
      <c r="B2268" t="s">
        <v>3452</v>
      </c>
      <c r="C2268">
        <v>3587</v>
      </c>
      <c r="D2268" s="807">
        <v>2</v>
      </c>
    </row>
    <row r="2269" spans="1:4">
      <c r="A2269" t="s">
        <v>3534</v>
      </c>
      <c r="B2269" t="s">
        <v>5333</v>
      </c>
      <c r="C2269">
        <v>3269</v>
      </c>
      <c r="D2269" s="807">
        <v>4.24</v>
      </c>
    </row>
    <row r="2270" spans="1:4">
      <c r="A2270" t="s">
        <v>3416</v>
      </c>
      <c r="B2270" t="s">
        <v>5334</v>
      </c>
      <c r="C2270">
        <v>2468</v>
      </c>
      <c r="D2270" s="807">
        <v>4.45</v>
      </c>
    </row>
    <row r="2271" spans="1:4">
      <c r="A2271" t="s">
        <v>2930</v>
      </c>
      <c r="B2271" t="s">
        <v>4391</v>
      </c>
      <c r="C2271">
        <v>3321</v>
      </c>
      <c r="D2271" s="807">
        <v>2.3199999999999998</v>
      </c>
    </row>
    <row r="2272" spans="1:4">
      <c r="A2272" t="s">
        <v>745</v>
      </c>
      <c r="B2272" t="s">
        <v>746</v>
      </c>
      <c r="C2272">
        <v>15804</v>
      </c>
      <c r="D2272" s="807">
        <v>2.68</v>
      </c>
    </row>
    <row r="2273" spans="1:4">
      <c r="A2273" t="s">
        <v>435</v>
      </c>
      <c r="B2273" t="s">
        <v>8806</v>
      </c>
      <c r="C2273">
        <v>17470</v>
      </c>
      <c r="D2273" s="807">
        <v>2.1</v>
      </c>
    </row>
    <row r="2274" spans="1:4">
      <c r="A2274" t="s">
        <v>4259</v>
      </c>
      <c r="B2274" t="s">
        <v>8807</v>
      </c>
      <c r="C2274">
        <v>3558</v>
      </c>
      <c r="D2274" s="807">
        <v>2.1</v>
      </c>
    </row>
    <row r="2275" spans="1:4">
      <c r="A2275" t="s">
        <v>450</v>
      </c>
      <c r="B2275" t="s">
        <v>8808</v>
      </c>
      <c r="C2275">
        <v>2709</v>
      </c>
      <c r="D2275" s="807">
        <v>2.1</v>
      </c>
    </row>
    <row r="2276" spans="1:4">
      <c r="A2276" t="s">
        <v>8809</v>
      </c>
      <c r="B2276" t="s">
        <v>8808</v>
      </c>
      <c r="C2276">
        <v>20239</v>
      </c>
      <c r="D2276" s="807">
        <v>2.1</v>
      </c>
    </row>
    <row r="2277" spans="1:4">
      <c r="A2277" t="s">
        <v>444</v>
      </c>
      <c r="B2277" t="s">
        <v>8810</v>
      </c>
      <c r="C2277">
        <v>17471</v>
      </c>
      <c r="D2277" s="807">
        <v>2.1</v>
      </c>
    </row>
    <row r="2278" spans="1:4">
      <c r="A2278" t="s">
        <v>447</v>
      </c>
      <c r="B2278" t="s">
        <v>8811</v>
      </c>
      <c r="C2278">
        <v>2710</v>
      </c>
      <c r="D2278" s="807">
        <v>2.1</v>
      </c>
    </row>
    <row r="2279" spans="1:4">
      <c r="A2279" t="s">
        <v>8812</v>
      </c>
      <c r="B2279" t="s">
        <v>8813</v>
      </c>
      <c r="C2279">
        <v>3335</v>
      </c>
      <c r="D2279" s="807">
        <v>3.7</v>
      </c>
    </row>
    <row r="2280" spans="1:4">
      <c r="A2280" t="s">
        <v>3282</v>
      </c>
      <c r="B2280" t="s">
        <v>3147</v>
      </c>
      <c r="C2280">
        <v>3334</v>
      </c>
      <c r="D2280" s="807">
        <v>3.63</v>
      </c>
    </row>
    <row r="2281" spans="1:4">
      <c r="A2281" t="s">
        <v>6707</v>
      </c>
      <c r="B2281" t="s">
        <v>3726</v>
      </c>
      <c r="C2281">
        <v>2749</v>
      </c>
      <c r="D2281" s="807">
        <v>2.25</v>
      </c>
    </row>
    <row r="2282" spans="1:4">
      <c r="A2282" t="s">
        <v>6709</v>
      </c>
      <c r="B2282" t="s">
        <v>6708</v>
      </c>
      <c r="C2282">
        <v>15834</v>
      </c>
      <c r="D2282" s="807">
        <v>2.7</v>
      </c>
    </row>
    <row r="2283" spans="1:4">
      <c r="A2283" t="s">
        <v>3808</v>
      </c>
      <c r="B2283" t="s">
        <v>4012</v>
      </c>
      <c r="C2283">
        <v>15836</v>
      </c>
      <c r="D2283" s="807">
        <v>3.03</v>
      </c>
    </row>
    <row r="2284" spans="1:4">
      <c r="A2284" t="s">
        <v>2523</v>
      </c>
      <c r="B2284" t="s">
        <v>4013</v>
      </c>
      <c r="C2284">
        <v>3019</v>
      </c>
      <c r="D2284" s="807">
        <v>3.24</v>
      </c>
    </row>
    <row r="2285" spans="1:4">
      <c r="A2285" t="s">
        <v>197</v>
      </c>
      <c r="B2285" t="s">
        <v>4014</v>
      </c>
      <c r="C2285">
        <v>2235</v>
      </c>
      <c r="D2285" s="807">
        <v>3.73</v>
      </c>
    </row>
    <row r="2286" spans="1:4">
      <c r="A2286" t="s">
        <v>2020</v>
      </c>
      <c r="B2286" t="s">
        <v>3689</v>
      </c>
      <c r="C2286">
        <v>3020</v>
      </c>
      <c r="D2286" s="807">
        <v>3.83</v>
      </c>
    </row>
    <row r="2287" spans="1:4">
      <c r="A2287" t="s">
        <v>8917</v>
      </c>
      <c r="B2287" t="s">
        <v>8918</v>
      </c>
      <c r="C2287">
        <v>6456</v>
      </c>
      <c r="D2287" s="807">
        <v>2.1</v>
      </c>
    </row>
    <row r="2288" spans="1:4">
      <c r="A2288" t="s">
        <v>1187</v>
      </c>
      <c r="B2288" t="s">
        <v>382</v>
      </c>
      <c r="C2288">
        <v>3653</v>
      </c>
      <c r="D2288" s="807">
        <v>3.3182763159269002</v>
      </c>
    </row>
    <row r="2289" spans="1:4">
      <c r="A2289" t="s">
        <v>1089</v>
      </c>
      <c r="B2289" t="s">
        <v>2611</v>
      </c>
      <c r="C2289">
        <v>2656</v>
      </c>
      <c r="D2289" s="807">
        <v>2.1</v>
      </c>
    </row>
    <row r="2290" spans="1:4">
      <c r="A2290" t="s">
        <v>8814</v>
      </c>
      <c r="B2290" t="s">
        <v>8815</v>
      </c>
      <c r="C2290">
        <v>17776</v>
      </c>
      <c r="D2290" s="807">
        <v>2.1</v>
      </c>
    </row>
    <row r="2291" spans="1:4">
      <c r="A2291" t="s">
        <v>3133</v>
      </c>
      <c r="B2291" t="s">
        <v>4060</v>
      </c>
      <c r="C2291">
        <v>15861</v>
      </c>
      <c r="D2291" s="807">
        <v>4.47</v>
      </c>
    </row>
    <row r="2292" spans="1:4">
      <c r="A2292" t="s">
        <v>969</v>
      </c>
      <c r="B2292" t="s">
        <v>4061</v>
      </c>
      <c r="C2292">
        <v>2998</v>
      </c>
      <c r="D2292" s="807">
        <v>4.4400000000000004</v>
      </c>
    </row>
    <row r="2293" spans="1:4">
      <c r="A2293" t="s">
        <v>6487</v>
      </c>
      <c r="B2293" t="s">
        <v>6486</v>
      </c>
      <c r="C2293">
        <v>16196</v>
      </c>
      <c r="D2293" s="807">
        <v>2</v>
      </c>
    </row>
    <row r="2294" spans="1:4">
      <c r="A2294" t="s">
        <v>4974</v>
      </c>
      <c r="B2294" t="s">
        <v>8816</v>
      </c>
      <c r="C2294">
        <v>18538</v>
      </c>
      <c r="D2294" s="807">
        <v>1</v>
      </c>
    </row>
    <row r="2295" spans="1:4">
      <c r="A2295" t="s">
        <v>4371</v>
      </c>
      <c r="B2295" t="s">
        <v>1730</v>
      </c>
      <c r="C2295">
        <v>2775</v>
      </c>
      <c r="D2295" s="807">
        <v>1</v>
      </c>
    </row>
    <row r="2296" spans="1:4">
      <c r="A2296" t="s">
        <v>8376</v>
      </c>
      <c r="B2296" t="s">
        <v>8377</v>
      </c>
      <c r="C2296">
        <v>20407</v>
      </c>
      <c r="D2296" s="807">
        <v>1</v>
      </c>
    </row>
    <row r="2297" spans="1:4">
      <c r="A2297" t="s">
        <v>6713</v>
      </c>
      <c r="B2297" t="s">
        <v>1810</v>
      </c>
      <c r="C2297">
        <v>2356</v>
      </c>
      <c r="D2297" s="807">
        <v>3.37</v>
      </c>
    </row>
    <row r="2298" spans="1:4">
      <c r="A2298" t="s">
        <v>1380</v>
      </c>
      <c r="B2298" t="s">
        <v>1811</v>
      </c>
      <c r="C2298">
        <v>3155</v>
      </c>
      <c r="D2298" s="807">
        <v>3.85</v>
      </c>
    </row>
    <row r="2299" spans="1:4">
      <c r="A2299" t="s">
        <v>3153</v>
      </c>
      <c r="B2299" t="s">
        <v>1812</v>
      </c>
      <c r="C2299">
        <v>3154</v>
      </c>
      <c r="D2299" s="807">
        <v>3.46</v>
      </c>
    </row>
    <row r="2300" spans="1:4">
      <c r="A2300" t="s">
        <v>9058</v>
      </c>
      <c r="B2300" t="s">
        <v>9059</v>
      </c>
      <c r="C2300">
        <v>15891</v>
      </c>
      <c r="D2300" s="807">
        <v>3.7</v>
      </c>
    </row>
    <row r="2301" spans="1:4">
      <c r="A2301" t="s">
        <v>4074</v>
      </c>
      <c r="B2301" t="s">
        <v>1912</v>
      </c>
      <c r="C2301">
        <v>2777</v>
      </c>
      <c r="D2301" s="807">
        <v>1</v>
      </c>
    </row>
    <row r="2302" spans="1:4">
      <c r="A2302" t="s">
        <v>5993</v>
      </c>
      <c r="B2302" t="s">
        <v>1912</v>
      </c>
      <c r="C2302">
        <v>3630</v>
      </c>
      <c r="D2302" s="807">
        <v>1</v>
      </c>
    </row>
    <row r="2303" spans="1:4">
      <c r="A2303" t="s">
        <v>5408</v>
      </c>
      <c r="B2303" t="s">
        <v>1813</v>
      </c>
      <c r="C2303">
        <v>2402</v>
      </c>
      <c r="D2303" s="807">
        <v>3.5</v>
      </c>
    </row>
    <row r="2304" spans="1:4">
      <c r="A2304" t="s">
        <v>4124</v>
      </c>
      <c r="B2304" t="s">
        <v>5129</v>
      </c>
      <c r="C2304">
        <v>16352</v>
      </c>
      <c r="D2304" s="807">
        <v>2.9587323501170402</v>
      </c>
    </row>
    <row r="2305" spans="1:4">
      <c r="A2305" t="s">
        <v>5431</v>
      </c>
      <c r="B2305" t="s">
        <v>3148</v>
      </c>
      <c r="C2305">
        <v>15903</v>
      </c>
      <c r="D2305" s="807">
        <v>4.38</v>
      </c>
    </row>
    <row r="2306" spans="1:4">
      <c r="A2306" t="s">
        <v>6684</v>
      </c>
      <c r="B2306" t="s">
        <v>6683</v>
      </c>
      <c r="C2306">
        <v>2434</v>
      </c>
      <c r="D2306" s="807">
        <v>2</v>
      </c>
    </row>
    <row r="2307" spans="1:4">
      <c r="A2307" t="s">
        <v>1839</v>
      </c>
      <c r="B2307" t="s">
        <v>3102</v>
      </c>
      <c r="C2307">
        <v>2225</v>
      </c>
      <c r="D2307" s="807">
        <v>3.79</v>
      </c>
    </row>
    <row r="2308" spans="1:4">
      <c r="A2308" t="s">
        <v>1892</v>
      </c>
      <c r="B2308" t="s">
        <v>3278</v>
      </c>
      <c r="C2308">
        <v>2226</v>
      </c>
      <c r="D2308" s="807">
        <v>3.64</v>
      </c>
    </row>
    <row r="2309" spans="1:4">
      <c r="A2309" t="s">
        <v>900</v>
      </c>
      <c r="B2309" t="s">
        <v>1905</v>
      </c>
      <c r="C2309">
        <v>2227</v>
      </c>
      <c r="D2309" s="807">
        <v>4.2</v>
      </c>
    </row>
    <row r="2310" spans="1:4">
      <c r="A2310" t="s">
        <v>3469</v>
      </c>
      <c r="B2310" t="s">
        <v>1814</v>
      </c>
      <c r="C2310">
        <v>15945</v>
      </c>
      <c r="D2310" s="807">
        <v>2.3199999999999998</v>
      </c>
    </row>
    <row r="2311" spans="1:4">
      <c r="A2311" t="s">
        <v>8378</v>
      </c>
      <c r="B2311" t="s">
        <v>8379</v>
      </c>
      <c r="C2311">
        <v>20405</v>
      </c>
      <c r="D2311" s="807">
        <v>2.7</v>
      </c>
    </row>
    <row r="2312" spans="1:4">
      <c r="A2312" t="s">
        <v>2447</v>
      </c>
      <c r="B2312" t="s">
        <v>1026</v>
      </c>
      <c r="C2312">
        <v>15958</v>
      </c>
      <c r="D2312" s="807">
        <v>4.33</v>
      </c>
    </row>
    <row r="2313" spans="1:4">
      <c r="A2313" t="s">
        <v>1482</v>
      </c>
      <c r="B2313" t="s">
        <v>4568</v>
      </c>
      <c r="C2313">
        <v>3540</v>
      </c>
      <c r="D2313" s="807">
        <v>2.1</v>
      </c>
    </row>
    <row r="2314" spans="1:4">
      <c r="A2314" t="s">
        <v>733</v>
      </c>
      <c r="B2314" t="s">
        <v>1418</v>
      </c>
      <c r="C2314">
        <v>3544</v>
      </c>
      <c r="D2314" s="807">
        <v>2.1</v>
      </c>
    </row>
    <row r="2315" spans="1:4">
      <c r="A2315" t="s">
        <v>340</v>
      </c>
      <c r="B2315" t="s">
        <v>341</v>
      </c>
      <c r="C2315">
        <v>17577</v>
      </c>
      <c r="D2315" s="807">
        <v>3.3182763159269002</v>
      </c>
    </row>
    <row r="2316" spans="1:4">
      <c r="A2316" t="s">
        <v>4280</v>
      </c>
      <c r="B2316" t="s">
        <v>6722</v>
      </c>
      <c r="C2316">
        <v>17580</v>
      </c>
      <c r="D2316" s="807">
        <v>2</v>
      </c>
    </row>
    <row r="2317" spans="1:4">
      <c r="A2317" t="s">
        <v>4970</v>
      </c>
      <c r="B2317" t="s">
        <v>8817</v>
      </c>
      <c r="C2317">
        <v>2416</v>
      </c>
      <c r="D2317" s="807">
        <v>2</v>
      </c>
    </row>
    <row r="2318" spans="1:4">
      <c r="A2318" t="s">
        <v>3323</v>
      </c>
      <c r="B2318" t="s">
        <v>2782</v>
      </c>
      <c r="C2318">
        <v>15973</v>
      </c>
      <c r="D2318" s="807">
        <v>3.16</v>
      </c>
    </row>
    <row r="2319" spans="1:4">
      <c r="A2319" t="s">
        <v>6799</v>
      </c>
      <c r="B2319" t="s">
        <v>6799</v>
      </c>
      <c r="C2319">
        <v>15981</v>
      </c>
      <c r="D2319" s="807">
        <v>4.5</v>
      </c>
    </row>
    <row r="2320" spans="1:4">
      <c r="A2320" t="s">
        <v>8818</v>
      </c>
      <c r="B2320" t="s">
        <v>8819</v>
      </c>
      <c r="C2320">
        <v>19212</v>
      </c>
      <c r="D2320" s="807">
        <v>3.7</v>
      </c>
    </row>
    <row r="2321" spans="1:4">
      <c r="A2321" t="s">
        <v>9060</v>
      </c>
      <c r="B2321" t="s">
        <v>9061</v>
      </c>
      <c r="C2321">
        <v>15995</v>
      </c>
      <c r="D2321" s="807">
        <v>3.5</v>
      </c>
    </row>
    <row r="2322" spans="1:4">
      <c r="A2322" t="s">
        <v>8380</v>
      </c>
      <c r="B2322" t="s">
        <v>8381</v>
      </c>
      <c r="C2322">
        <v>15998</v>
      </c>
      <c r="D2322" s="807">
        <v>2.9</v>
      </c>
    </row>
    <row r="2323" spans="1:4">
      <c r="A2323" t="s">
        <v>4084</v>
      </c>
      <c r="B2323" t="s">
        <v>2282</v>
      </c>
      <c r="C2323">
        <v>2503</v>
      </c>
      <c r="D2323" s="807">
        <v>4.49</v>
      </c>
    </row>
    <row r="2324" spans="1:4">
      <c r="A2324" t="s">
        <v>3899</v>
      </c>
      <c r="B2324" t="s">
        <v>1628</v>
      </c>
      <c r="C2324">
        <v>2600</v>
      </c>
      <c r="D2324" s="807">
        <v>2.7</v>
      </c>
    </row>
    <row r="2325" spans="1:4">
      <c r="A2325" t="s">
        <v>2069</v>
      </c>
      <c r="B2325" t="s">
        <v>1629</v>
      </c>
      <c r="C2325">
        <v>3418</v>
      </c>
      <c r="D2325" s="807">
        <v>2.7</v>
      </c>
    </row>
    <row r="2326" spans="1:4">
      <c r="A2326" t="s">
        <v>2585</v>
      </c>
      <c r="B2326" t="s">
        <v>6729</v>
      </c>
      <c r="C2326">
        <v>2582</v>
      </c>
      <c r="D2326" s="807">
        <v>2.2999999999999998</v>
      </c>
    </row>
    <row r="2327" spans="1:4">
      <c r="A2327" t="s">
        <v>1587</v>
      </c>
      <c r="B2327" t="s">
        <v>1588</v>
      </c>
      <c r="C2327">
        <v>16030</v>
      </c>
      <c r="D2327" s="807">
        <v>3.14</v>
      </c>
    </row>
    <row r="2328" spans="1:4">
      <c r="A2328" t="s">
        <v>6390</v>
      </c>
      <c r="B2328" t="s">
        <v>6389</v>
      </c>
      <c r="C2328">
        <v>16037</v>
      </c>
      <c r="D2328" s="807">
        <v>2</v>
      </c>
    </row>
    <row r="2329" spans="1:4">
      <c r="A2329" t="s">
        <v>5470</v>
      </c>
      <c r="B2329" t="s">
        <v>5471</v>
      </c>
      <c r="C2329">
        <v>16042</v>
      </c>
      <c r="D2329" s="807">
        <v>3.2850000000000001</v>
      </c>
    </row>
    <row r="2330" spans="1:4">
      <c r="A2330" t="s">
        <v>6524</v>
      </c>
      <c r="B2330" t="s">
        <v>6523</v>
      </c>
      <c r="C2330">
        <v>19223</v>
      </c>
      <c r="D2330" s="807">
        <v>3.7</v>
      </c>
    </row>
    <row r="2331" spans="1:4">
      <c r="A2331" t="s">
        <v>3802</v>
      </c>
      <c r="B2331" t="s">
        <v>3149</v>
      </c>
      <c r="C2331">
        <v>3043</v>
      </c>
      <c r="D2331" s="807">
        <v>4.3600000000000003</v>
      </c>
    </row>
    <row r="2332" spans="1:4">
      <c r="A2332" t="s">
        <v>3358</v>
      </c>
      <c r="B2332" t="s">
        <v>5361</v>
      </c>
      <c r="C2332">
        <v>3044</v>
      </c>
      <c r="D2332" s="807">
        <v>4.5</v>
      </c>
    </row>
    <row r="2333" spans="1:4">
      <c r="A2333" t="s">
        <v>3309</v>
      </c>
      <c r="B2333" t="s">
        <v>2729</v>
      </c>
      <c r="C2333">
        <v>18586</v>
      </c>
      <c r="D2333" s="807">
        <v>3.98</v>
      </c>
    </row>
    <row r="2334" spans="1:4">
      <c r="A2334" t="s">
        <v>8919</v>
      </c>
      <c r="B2334" t="s">
        <v>8920</v>
      </c>
      <c r="C2334">
        <v>16059</v>
      </c>
      <c r="D2334" s="807">
        <v>4.5</v>
      </c>
    </row>
    <row r="2335" spans="1:4">
      <c r="A2335" t="s">
        <v>3283</v>
      </c>
      <c r="B2335" t="s">
        <v>3781</v>
      </c>
      <c r="C2335">
        <v>2250</v>
      </c>
      <c r="D2335" s="807">
        <v>4.5</v>
      </c>
    </row>
    <row r="2336" spans="1:4">
      <c r="A2336" t="s">
        <v>1857</v>
      </c>
      <c r="B2336" t="s">
        <v>2612</v>
      </c>
      <c r="C2336">
        <v>18711</v>
      </c>
      <c r="D2336" s="807">
        <v>1.9785341879407026</v>
      </c>
    </row>
    <row r="2337" spans="1:4">
      <c r="A2337" t="s">
        <v>4135</v>
      </c>
      <c r="B2337" t="s">
        <v>570</v>
      </c>
      <c r="C2337">
        <v>3254</v>
      </c>
      <c r="D2337" s="807">
        <v>3.47</v>
      </c>
    </row>
    <row r="2338" spans="1:4">
      <c r="A2338" t="s">
        <v>3694</v>
      </c>
      <c r="B2338" t="s">
        <v>1922</v>
      </c>
      <c r="C2338">
        <v>2793</v>
      </c>
      <c r="D2338" s="807">
        <v>1</v>
      </c>
    </row>
    <row r="2339" spans="1:4">
      <c r="A2339" t="s">
        <v>3801</v>
      </c>
      <c r="B2339" t="s">
        <v>6734</v>
      </c>
      <c r="C2339">
        <v>17523</v>
      </c>
      <c r="D2339" s="807">
        <v>1.9639160018591753</v>
      </c>
    </row>
    <row r="2340" spans="1:4">
      <c r="A2340" s="20" t="s">
        <v>3425</v>
      </c>
      <c r="B2340" s="20" t="s">
        <v>6735</v>
      </c>
      <c r="C2340" s="20">
        <v>17524</v>
      </c>
      <c r="D2340" s="866">
        <v>1.9639160018591753</v>
      </c>
    </row>
  </sheetData>
  <sortState xmlns:xlrd2="http://schemas.microsoft.com/office/spreadsheetml/2017/richdata2" ref="A7:D2340">
    <sortCondition ref="B7:B2340"/>
  </sortState>
  <conditionalFormatting sqref="E1815:E1835">
    <cfRule type="cellIs" dxfId="7" priority="14" stopIfTrue="1" operator="notEqual">
      <formula>#REF!</formula>
    </cfRule>
  </conditionalFormatting>
  <conditionalFormatting sqref="D1801:D1813 D1835:D1932 D159:D1798">
    <cfRule type="cellIs" dxfId="6" priority="6" stopIfTrue="1" operator="notEqual">
      <formula>#REF!</formula>
    </cfRule>
  </conditionalFormatting>
  <conditionalFormatting sqref="B1814:B1834 D1814:D1837 A1800:A1837 B1838:B1935 A7:A1798 A1840:A1932 A1958:A1960 A2008:A2014 A2039 C7:C2111 D7:D158">
    <cfRule type="cellIs" dxfId="5" priority="5" stopIfTrue="1" operator="equal">
      <formula>"h3:h400"</formula>
    </cfRule>
  </conditionalFormatting>
  <conditionalFormatting sqref="D1804:D1816 D1838:D1935 D159:D1801">
    <cfRule type="cellIs" dxfId="4" priority="4" stopIfTrue="1" operator="notEqual">
      <formula>#REF!</formula>
    </cfRule>
  </conditionalFormatting>
  <conditionalFormatting sqref="D1801:D1813 D1835:D1932 D159:D1798">
    <cfRule type="cellIs" dxfId="3" priority="3" stopIfTrue="1" operator="notEqual">
      <formula>#REF!</formula>
    </cfRule>
  </conditionalFormatting>
  <conditionalFormatting sqref="B1814:B1834 A1840:A1932 D1814:D1837 A1800:A1837 B1838:B1935 D7:D158">
    <cfRule type="cellIs" dxfId="2" priority="2" stopIfTrue="1" operator="equal">
      <formula>"h3:h400"</formula>
    </cfRule>
  </conditionalFormatting>
  <conditionalFormatting sqref="D1804:D1816 D1838:D1935">
    <cfRule type="cellIs" dxfId="1" priority="1" stopIfTrue="1" operator="notEqual">
      <formula>#REF!</formula>
    </cfRule>
  </conditionalFormatting>
  <hyperlinks>
    <hyperlink ref="D3" location="fish_efp!A1" display="fish_efp" xr:uid="{00000000-0004-0000-3500-000000000000}"/>
    <hyperlink ref="E3" location="fish_efi_efe!A1" display="fish_efi_efe" xr:uid="{00000000-0004-0000-3500-000001000000}"/>
  </hyperlinks>
  <pageMargins left="0.75" right="0.75" top="1" bottom="1" header="0.5" footer="0.5"/>
  <headerFooter alignWithMargins="0"/>
  <drawing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1">
    <tabColor theme="9"/>
    <pageSetUpPr autoPageBreaks="0"/>
  </sheetPr>
  <dimension ref="A1:K58"/>
  <sheetViews>
    <sheetView zoomScaleNormal="100" workbookViewId="0">
      <pane ySplit="6" topLeftCell="A7" activePane="bottomLeft" state="frozen"/>
      <selection pane="bottomLeft" activeCell="A65536" sqref="A65536"/>
    </sheetView>
  </sheetViews>
  <sheetFormatPr defaultColWidth="9.1796875" defaultRowHeight="12.75" customHeight="1"/>
  <cols>
    <col min="1" max="1" width="39" style="36" customWidth="1"/>
    <col min="2" max="2" width="10.1796875" style="86" bestFit="1" customWidth="1"/>
    <col min="3" max="3" width="14.81640625" style="36" bestFit="1" customWidth="1"/>
    <col min="4" max="8" width="18.7265625" style="36" customWidth="1"/>
    <col min="9" max="9" width="16" style="36" customWidth="1"/>
    <col min="10" max="10" width="15.81640625" style="36" bestFit="1" customWidth="1"/>
    <col min="11" max="11" width="12.81640625" style="36" bestFit="1" customWidth="1"/>
    <col min="12" max="16384" width="9.1796875" style="36"/>
  </cols>
  <sheetData>
    <row r="1" spans="1:11" ht="12.75" customHeight="1">
      <c r="B1" s="97"/>
      <c r="C1" s="97"/>
      <c r="D1" s="97"/>
      <c r="E1" s="97"/>
      <c r="F1" s="97"/>
      <c r="G1" s="97"/>
      <c r="H1" s="97"/>
      <c r="I1" s="97"/>
      <c r="J1" s="97"/>
      <c r="K1" s="97"/>
    </row>
    <row r="2" spans="1:11" ht="12.75" customHeight="1">
      <c r="C2" s="37" t="s">
        <v>985</v>
      </c>
      <c r="D2" s="466" t="s">
        <v>6915</v>
      </c>
      <c r="E2" s="466" t="s">
        <v>6143</v>
      </c>
      <c r="F2" s="466" t="s">
        <v>2004</v>
      </c>
      <c r="G2" s="466" t="s">
        <v>6145</v>
      </c>
    </row>
    <row r="3" spans="1:11" ht="12.75" customHeight="1">
      <c r="C3" s="37" t="s">
        <v>986</v>
      </c>
      <c r="D3" s="466" t="s">
        <v>6914</v>
      </c>
      <c r="E3" s="466" t="s">
        <v>8830</v>
      </c>
      <c r="F3" s="466"/>
      <c r="G3" s="466"/>
      <c r="H3" s="97"/>
      <c r="I3" s="97"/>
      <c r="J3" s="97"/>
    </row>
    <row r="4" spans="1:11" ht="12.75" customHeight="1">
      <c r="B4" s="36"/>
      <c r="K4" s="74"/>
    </row>
    <row r="5" spans="1:11" ht="15">
      <c r="A5" s="987" t="s">
        <v>1923</v>
      </c>
      <c r="B5" s="988" t="s">
        <v>1907</v>
      </c>
      <c r="C5" s="910" t="s">
        <v>2532</v>
      </c>
      <c r="D5" s="910" t="s">
        <v>1925</v>
      </c>
      <c r="E5" s="910" t="s">
        <v>1926</v>
      </c>
      <c r="F5" s="1011" t="s">
        <v>6022</v>
      </c>
      <c r="G5" s="1011" t="s">
        <v>1771</v>
      </c>
      <c r="H5" s="911" t="s">
        <v>3841</v>
      </c>
      <c r="J5" s="987" t="s">
        <v>2797</v>
      </c>
      <c r="K5" s="911" t="s">
        <v>6952</v>
      </c>
    </row>
    <row r="6" spans="1:11" ht="12.75" customHeight="1">
      <c r="A6" s="1012" t="s">
        <v>542</v>
      </c>
      <c r="B6" s="1013" t="s">
        <v>542</v>
      </c>
      <c r="C6" s="990" t="s">
        <v>542</v>
      </c>
      <c r="D6" s="1015" t="s">
        <v>6911</v>
      </c>
      <c r="E6" s="990" t="s">
        <v>9218</v>
      </c>
      <c r="F6" s="1014" t="s">
        <v>542</v>
      </c>
      <c r="G6" s="1014" t="s">
        <v>9208</v>
      </c>
      <c r="H6" s="914" t="s">
        <v>720</v>
      </c>
      <c r="J6" s="1012" t="s">
        <v>542</v>
      </c>
      <c r="K6" s="991" t="s">
        <v>542</v>
      </c>
    </row>
    <row r="7" spans="1:11" ht="15">
      <c r="A7" s="624" t="s">
        <v>6926</v>
      </c>
      <c r="B7" s="625">
        <v>1864</v>
      </c>
      <c r="C7" s="626" t="s">
        <v>6927</v>
      </c>
      <c r="D7" s="527">
        <v>1173760</v>
      </c>
      <c r="E7" s="723">
        <f t="shared" ref="E7:E31" si="0">VLOOKUP("world",constant_forest_increment,2,FALSE)*IF(J7="p",1,1/VLOOKUP(B7,constant_forest_extr,5,FALSE))</f>
        <v>3.3465612094400017</v>
      </c>
      <c r="F7" s="726">
        <f>VLOOKUP("Forest Land",iyf,2,FALSE)</f>
        <v>1</v>
      </c>
      <c r="G7" s="618">
        <f>VLOOKUP("Forest Land",eqf,2,FALSE)</f>
        <v>1.2621587876897493</v>
      </c>
      <c r="H7" s="619">
        <f t="shared" ref="H7:H50" si="1">IFERROR(D7/E7*G7*F7,0)</f>
        <v>442684.71601827443</v>
      </c>
      <c r="J7" s="729" t="s">
        <v>2796</v>
      </c>
      <c r="K7" s="764" t="s">
        <v>6018</v>
      </c>
    </row>
    <row r="8" spans="1:11" ht="14.5">
      <c r="A8" s="627" t="s">
        <v>3464</v>
      </c>
      <c r="B8" s="628">
        <v>1627</v>
      </c>
      <c r="C8" s="629" t="s">
        <v>6928</v>
      </c>
      <c r="D8" s="528">
        <v>526223</v>
      </c>
      <c r="E8" s="724">
        <f t="shared" si="0"/>
        <v>3.3465612094400017</v>
      </c>
      <c r="F8" s="727">
        <f t="shared" ref="F8:F41" si="2">$F$7</f>
        <v>1</v>
      </c>
      <c r="G8" s="620">
        <f t="shared" ref="G8:G41" si="3">$G$7</f>
        <v>1.2621587876897493</v>
      </c>
      <c r="H8" s="621">
        <f t="shared" si="1"/>
        <v>198465.51195924587</v>
      </c>
      <c r="J8" s="730" t="s">
        <v>2796</v>
      </c>
      <c r="K8" s="765" t="s">
        <v>6020</v>
      </c>
    </row>
    <row r="9" spans="1:11" ht="14.5">
      <c r="A9" s="630" t="s">
        <v>3465</v>
      </c>
      <c r="B9" s="631">
        <v>1628</v>
      </c>
      <c r="C9" s="632" t="s">
        <v>6928</v>
      </c>
      <c r="D9" s="592">
        <v>647533</v>
      </c>
      <c r="E9" s="725">
        <f t="shared" si="0"/>
        <v>3.3465612094400017</v>
      </c>
      <c r="F9" s="728">
        <f t="shared" si="2"/>
        <v>1</v>
      </c>
      <c r="G9" s="622">
        <f t="shared" si="3"/>
        <v>1.2621587876897493</v>
      </c>
      <c r="H9" s="623">
        <f t="shared" si="1"/>
        <v>244217.69545517082</v>
      </c>
      <c r="J9" s="731" t="s">
        <v>2796</v>
      </c>
      <c r="K9" s="766" t="s">
        <v>6020</v>
      </c>
    </row>
    <row r="10" spans="1:11" ht="15">
      <c r="A10" s="248" t="s">
        <v>6929</v>
      </c>
      <c r="B10" s="378">
        <v>1865</v>
      </c>
      <c r="C10" s="379" t="s">
        <v>6930</v>
      </c>
      <c r="D10" s="527">
        <v>155628992</v>
      </c>
      <c r="E10" s="363">
        <f t="shared" si="0"/>
        <v>1.8187832660000001</v>
      </c>
      <c r="F10" s="363">
        <f t="shared" si="2"/>
        <v>1</v>
      </c>
      <c r="G10" s="363">
        <f t="shared" si="3"/>
        <v>1.2621587876897493</v>
      </c>
      <c r="H10" s="364">
        <f t="shared" si="1"/>
        <v>107999948.94614215</v>
      </c>
      <c r="J10" s="729" t="s">
        <v>413</v>
      </c>
      <c r="K10" s="764" t="s">
        <v>6018</v>
      </c>
    </row>
    <row r="11" spans="1:11" ht="14.5">
      <c r="A11" s="373" t="s">
        <v>6931</v>
      </c>
      <c r="B11" s="374">
        <v>1866</v>
      </c>
      <c r="C11" s="375" t="s">
        <v>6932</v>
      </c>
      <c r="D11" s="528">
        <v>127752000</v>
      </c>
      <c r="E11" s="386">
        <f t="shared" si="0"/>
        <v>1.8187832660000001</v>
      </c>
      <c r="F11" s="386">
        <f t="shared" si="2"/>
        <v>1</v>
      </c>
      <c r="G11" s="386">
        <f t="shared" si="3"/>
        <v>1.2621587876897493</v>
      </c>
      <c r="H11" s="526">
        <f t="shared" si="1"/>
        <v>88654493.616250843</v>
      </c>
      <c r="J11" s="730" t="s">
        <v>413</v>
      </c>
      <c r="K11" s="765" t="s">
        <v>6020</v>
      </c>
    </row>
    <row r="12" spans="1:11" ht="14.5">
      <c r="A12" s="373" t="s">
        <v>6933</v>
      </c>
      <c r="B12" s="374">
        <v>1867</v>
      </c>
      <c r="C12" s="375" t="s">
        <v>6928</v>
      </c>
      <c r="D12" s="528">
        <v>27876800</v>
      </c>
      <c r="E12" s="386">
        <f t="shared" si="0"/>
        <v>1.8187832660000001</v>
      </c>
      <c r="F12" s="386">
        <f t="shared" si="2"/>
        <v>1</v>
      </c>
      <c r="G12" s="386">
        <f t="shared" si="3"/>
        <v>1.2621587876897493</v>
      </c>
      <c r="H12" s="526">
        <f t="shared" si="1"/>
        <v>19345322.089998603</v>
      </c>
      <c r="J12" s="730" t="s">
        <v>413</v>
      </c>
      <c r="K12" s="765" t="s">
        <v>6020</v>
      </c>
    </row>
    <row r="13" spans="1:11" ht="14.5">
      <c r="A13" s="376" t="s">
        <v>6934</v>
      </c>
      <c r="B13" s="374">
        <v>1868</v>
      </c>
      <c r="C13" s="375" t="s">
        <v>6928</v>
      </c>
      <c r="D13" s="528">
        <v>138490000</v>
      </c>
      <c r="E13" s="386">
        <f t="shared" si="0"/>
        <v>1.8187832660000001</v>
      </c>
      <c r="F13" s="386">
        <f t="shared" si="2"/>
        <v>1</v>
      </c>
      <c r="G13" s="386">
        <f t="shared" si="3"/>
        <v>1.2621587876897493</v>
      </c>
      <c r="H13" s="526">
        <f t="shared" si="1"/>
        <v>96106212.199531734</v>
      </c>
      <c r="J13" s="730" t="s">
        <v>413</v>
      </c>
      <c r="K13" s="765" t="s">
        <v>6020</v>
      </c>
    </row>
    <row r="14" spans="1:11" ht="14.5">
      <c r="A14" s="377" t="s">
        <v>6935</v>
      </c>
      <c r="B14" s="374">
        <v>1601</v>
      </c>
      <c r="C14" s="375" t="s">
        <v>6928</v>
      </c>
      <c r="D14" s="528">
        <v>122952000</v>
      </c>
      <c r="E14" s="386">
        <f t="shared" si="0"/>
        <v>1.8187832660000001</v>
      </c>
      <c r="F14" s="386">
        <f t="shared" si="2"/>
        <v>1</v>
      </c>
      <c r="G14" s="386">
        <f t="shared" si="3"/>
        <v>1.2621587876897493</v>
      </c>
      <c r="H14" s="526">
        <f t="shared" si="1"/>
        <v>85323496.298337966</v>
      </c>
      <c r="J14" s="730" t="s">
        <v>413</v>
      </c>
      <c r="K14" s="765" t="s">
        <v>6020</v>
      </c>
    </row>
    <row r="15" spans="1:11" ht="14.5">
      <c r="A15" s="377" t="s">
        <v>6936</v>
      </c>
      <c r="B15" s="374">
        <v>1604</v>
      </c>
      <c r="C15" s="375" t="s">
        <v>6928</v>
      </c>
      <c r="D15" s="528">
        <v>15538000</v>
      </c>
      <c r="E15" s="386">
        <f t="shared" si="0"/>
        <v>1.8187832660000001</v>
      </c>
      <c r="F15" s="386">
        <f t="shared" si="2"/>
        <v>1</v>
      </c>
      <c r="G15" s="386">
        <f t="shared" si="3"/>
        <v>1.2621587876897493</v>
      </c>
      <c r="H15" s="526">
        <f t="shared" si="1"/>
        <v>10782715.901193764</v>
      </c>
      <c r="J15" s="730" t="s">
        <v>413</v>
      </c>
      <c r="K15" s="765" t="s">
        <v>6020</v>
      </c>
    </row>
    <row r="16" spans="1:11" ht="14.5">
      <c r="A16" s="376" t="s">
        <v>6937</v>
      </c>
      <c r="B16" s="374">
        <v>2038</v>
      </c>
      <c r="C16" s="375" t="s">
        <v>6928</v>
      </c>
      <c r="D16" s="528">
        <v>15502600</v>
      </c>
      <c r="E16" s="386">
        <f t="shared" si="0"/>
        <v>1.8187832660000001</v>
      </c>
      <c r="F16" s="386">
        <f t="shared" si="2"/>
        <v>1</v>
      </c>
      <c r="G16" s="386">
        <f t="shared" si="3"/>
        <v>1.2621587876897493</v>
      </c>
      <c r="H16" s="526">
        <f t="shared" si="1"/>
        <v>10758149.795974156</v>
      </c>
      <c r="J16" s="730" t="s">
        <v>413</v>
      </c>
      <c r="K16" s="765" t="s">
        <v>6020</v>
      </c>
    </row>
    <row r="17" spans="1:11" ht="14.5">
      <c r="A17" s="377" t="s">
        <v>6938</v>
      </c>
      <c r="B17" s="374">
        <v>1602</v>
      </c>
      <c r="C17" s="375" t="s">
        <v>6928</v>
      </c>
      <c r="D17" s="528">
        <v>4678190</v>
      </c>
      <c r="E17" s="386">
        <f t="shared" si="0"/>
        <v>1.8187832660000001</v>
      </c>
      <c r="F17" s="386">
        <f t="shared" si="2"/>
        <v>1</v>
      </c>
      <c r="G17" s="386">
        <f t="shared" si="3"/>
        <v>1.2621587876897493</v>
      </c>
      <c r="H17" s="526">
        <f t="shared" si="1"/>
        <v>3246466.3213930782</v>
      </c>
      <c r="J17" s="730" t="s">
        <v>413</v>
      </c>
      <c r="K17" s="765" t="s">
        <v>6020</v>
      </c>
    </row>
    <row r="18" spans="1:11" ht="14.5">
      <c r="A18" s="377" t="s">
        <v>6939</v>
      </c>
      <c r="B18" s="374">
        <v>1603</v>
      </c>
      <c r="C18" s="375" t="s">
        <v>6928</v>
      </c>
      <c r="D18" s="528">
        <v>10824400</v>
      </c>
      <c r="E18" s="386">
        <f t="shared" si="0"/>
        <v>1.8187832660000001</v>
      </c>
      <c r="F18" s="386">
        <f t="shared" si="2"/>
        <v>1</v>
      </c>
      <c r="G18" s="386">
        <f t="shared" si="3"/>
        <v>1.2621587876897493</v>
      </c>
      <c r="H18" s="526">
        <f t="shared" si="1"/>
        <v>7511676.5350033306</v>
      </c>
      <c r="J18" s="730" t="s">
        <v>413</v>
      </c>
      <c r="K18" s="765" t="s">
        <v>6020</v>
      </c>
    </row>
    <row r="19" spans="1:11" ht="14.5">
      <c r="A19" s="376" t="s">
        <v>6940</v>
      </c>
      <c r="B19" s="374">
        <v>1870</v>
      </c>
      <c r="C19" s="375" t="s">
        <v>6928</v>
      </c>
      <c r="D19" s="528"/>
      <c r="E19" s="386">
        <f t="shared" si="0"/>
        <v>1.8187832660000001</v>
      </c>
      <c r="F19" s="386">
        <f t="shared" si="2"/>
        <v>1</v>
      </c>
      <c r="G19" s="386">
        <f t="shared" si="3"/>
        <v>1.2621587876897493</v>
      </c>
      <c r="H19" s="526">
        <f t="shared" si="1"/>
        <v>0</v>
      </c>
      <c r="J19" s="730" t="s">
        <v>413</v>
      </c>
      <c r="K19" s="765" t="s">
        <v>6020</v>
      </c>
    </row>
    <row r="20" spans="1:11" ht="14.5">
      <c r="A20" s="377" t="s">
        <v>6941</v>
      </c>
      <c r="B20" s="374">
        <v>1608</v>
      </c>
      <c r="C20" s="375" t="s">
        <v>6928</v>
      </c>
      <c r="D20" s="528"/>
      <c r="E20" s="386">
        <f t="shared" si="0"/>
        <v>1.8187832660000001</v>
      </c>
      <c r="F20" s="386">
        <f t="shared" si="2"/>
        <v>1</v>
      </c>
      <c r="G20" s="386">
        <f t="shared" si="3"/>
        <v>1.2621587876897493</v>
      </c>
      <c r="H20" s="526">
        <f t="shared" si="1"/>
        <v>0</v>
      </c>
      <c r="J20" s="730" t="s">
        <v>413</v>
      </c>
      <c r="K20" s="765" t="s">
        <v>6020</v>
      </c>
    </row>
    <row r="21" spans="1:11" ht="14.5">
      <c r="A21" s="377" t="s">
        <v>6942</v>
      </c>
      <c r="B21" s="374">
        <v>1611</v>
      </c>
      <c r="C21" s="375" t="s">
        <v>6928</v>
      </c>
      <c r="D21" s="528"/>
      <c r="E21" s="386">
        <f t="shared" si="0"/>
        <v>1.8187832660000001</v>
      </c>
      <c r="F21" s="386">
        <f t="shared" si="2"/>
        <v>1</v>
      </c>
      <c r="G21" s="386">
        <f t="shared" si="3"/>
        <v>1.2621587876897493</v>
      </c>
      <c r="H21" s="526">
        <f t="shared" si="1"/>
        <v>0</v>
      </c>
      <c r="J21" s="730" t="s">
        <v>413</v>
      </c>
      <c r="K21" s="765" t="s">
        <v>6020</v>
      </c>
    </row>
    <row r="22" spans="1:11" ht="14.5">
      <c r="A22" s="376" t="s">
        <v>6943</v>
      </c>
      <c r="B22" s="374">
        <v>1871</v>
      </c>
      <c r="C22" s="375" t="s">
        <v>6928</v>
      </c>
      <c r="D22" s="528">
        <v>1636000</v>
      </c>
      <c r="E22" s="386">
        <f t="shared" si="0"/>
        <v>1.8187832660000001</v>
      </c>
      <c r="F22" s="386">
        <f t="shared" si="2"/>
        <v>1</v>
      </c>
      <c r="G22" s="386">
        <f t="shared" si="3"/>
        <v>1.2621587876897493</v>
      </c>
      <c r="H22" s="526">
        <f t="shared" si="1"/>
        <v>1135314.919188634</v>
      </c>
      <c r="J22" s="730" t="s">
        <v>413</v>
      </c>
      <c r="K22" s="765" t="s">
        <v>6020</v>
      </c>
    </row>
    <row r="23" spans="1:11" ht="14.5">
      <c r="A23" s="377" t="s">
        <v>6944</v>
      </c>
      <c r="B23" s="374">
        <v>1623</v>
      </c>
      <c r="C23" s="375" t="s">
        <v>6928</v>
      </c>
      <c r="D23" s="528">
        <v>121662</v>
      </c>
      <c r="E23" s="386">
        <f t="shared" si="0"/>
        <v>1.8187832660000001</v>
      </c>
      <c r="F23" s="386">
        <f t="shared" si="2"/>
        <v>1</v>
      </c>
      <c r="G23" s="386">
        <f t="shared" si="3"/>
        <v>1.2621587876897493</v>
      </c>
      <c r="H23" s="526">
        <f t="shared" si="1"/>
        <v>84428.290769148894</v>
      </c>
      <c r="J23" s="730" t="s">
        <v>413</v>
      </c>
      <c r="K23" s="765" t="s">
        <v>6020</v>
      </c>
    </row>
    <row r="24" spans="1:11" ht="14.5">
      <c r="A24" s="377" t="s">
        <v>6945</v>
      </c>
      <c r="B24" s="374">
        <v>1626</v>
      </c>
      <c r="C24" s="375" t="s">
        <v>6928</v>
      </c>
      <c r="D24" s="528">
        <v>1514330</v>
      </c>
      <c r="E24" s="386">
        <f t="shared" si="0"/>
        <v>1.8187832660000001</v>
      </c>
      <c r="F24" s="386">
        <f t="shared" si="2"/>
        <v>1</v>
      </c>
      <c r="G24" s="386">
        <f t="shared" si="3"/>
        <v>1.2621587876897493</v>
      </c>
      <c r="H24" s="526">
        <f t="shared" si="1"/>
        <v>1050881.0767572885</v>
      </c>
      <c r="J24" s="730" t="s">
        <v>413</v>
      </c>
      <c r="K24" s="765" t="s">
        <v>6020</v>
      </c>
    </row>
    <row r="25" spans="1:11" ht="13">
      <c r="A25" s="229" t="s">
        <v>3463</v>
      </c>
      <c r="B25" s="380">
        <v>1630</v>
      </c>
      <c r="C25" s="381" t="s">
        <v>3589</v>
      </c>
      <c r="D25" s="529"/>
      <c r="E25" s="365">
        <f t="shared" si="0"/>
        <v>1.8187832660000001</v>
      </c>
      <c r="F25" s="365">
        <f t="shared" si="2"/>
        <v>1</v>
      </c>
      <c r="G25" s="365">
        <f t="shared" si="3"/>
        <v>1.2621587876897493</v>
      </c>
      <c r="H25" s="364">
        <f t="shared" si="1"/>
        <v>0</v>
      </c>
      <c r="J25" s="732" t="s">
        <v>2796</v>
      </c>
      <c r="K25" s="767" t="s">
        <v>6020</v>
      </c>
    </row>
    <row r="26" spans="1:11" ht="15">
      <c r="A26" s="229" t="s">
        <v>6946</v>
      </c>
      <c r="B26" s="380">
        <v>1872</v>
      </c>
      <c r="C26" s="381" t="s">
        <v>6927</v>
      </c>
      <c r="D26" s="529">
        <v>47603400</v>
      </c>
      <c r="E26" s="365">
        <f t="shared" si="0"/>
        <v>1.8187832660000001</v>
      </c>
      <c r="F26" s="365">
        <f t="shared" si="2"/>
        <v>1</v>
      </c>
      <c r="G26" s="365">
        <f t="shared" si="3"/>
        <v>1.2621587876897493</v>
      </c>
      <c r="H26" s="364">
        <f t="shared" si="1"/>
        <v>33034749.525736079</v>
      </c>
      <c r="J26" s="732" t="s">
        <v>2796</v>
      </c>
      <c r="K26" s="767" t="s">
        <v>6020</v>
      </c>
    </row>
    <row r="27" spans="1:11" ht="12.75" customHeight="1">
      <c r="A27" s="373" t="s">
        <v>1007</v>
      </c>
      <c r="B27" s="374">
        <v>1632</v>
      </c>
      <c r="C27" s="375" t="s">
        <v>6928</v>
      </c>
      <c r="D27" s="528">
        <v>46352500</v>
      </c>
      <c r="E27" s="386">
        <f t="shared" si="0"/>
        <v>1.8187832660000001</v>
      </c>
      <c r="F27" s="386">
        <f t="shared" si="2"/>
        <v>1</v>
      </c>
      <c r="G27" s="386">
        <f t="shared" si="3"/>
        <v>1.2621587876897493</v>
      </c>
      <c r="H27" s="526">
        <f t="shared" si="1"/>
        <v>32166677.745532494</v>
      </c>
      <c r="J27" s="730" t="s">
        <v>2796</v>
      </c>
      <c r="K27" s="765" t="s">
        <v>6020</v>
      </c>
    </row>
    <row r="28" spans="1:11" ht="12.75" customHeight="1">
      <c r="A28" s="373" t="s">
        <v>1008</v>
      </c>
      <c r="B28" s="374">
        <v>1633</v>
      </c>
      <c r="C28" s="375" t="s">
        <v>6928</v>
      </c>
      <c r="D28" s="528">
        <v>1250900</v>
      </c>
      <c r="E28" s="386">
        <f t="shared" si="0"/>
        <v>1.8187832660000001</v>
      </c>
      <c r="F28" s="386">
        <f t="shared" si="2"/>
        <v>1</v>
      </c>
      <c r="G28" s="386">
        <f t="shared" si="3"/>
        <v>1.2621587876897493</v>
      </c>
      <c r="H28" s="526">
        <f t="shared" si="1"/>
        <v>868071.7802035833</v>
      </c>
      <c r="J28" s="730" t="s">
        <v>2796</v>
      </c>
      <c r="K28" s="765" t="s">
        <v>6020</v>
      </c>
    </row>
    <row r="29" spans="1:11" ht="12.75" customHeight="1">
      <c r="A29" s="229" t="s">
        <v>3462</v>
      </c>
      <c r="B29" s="380">
        <v>1634</v>
      </c>
      <c r="C29" s="381" t="s">
        <v>6927</v>
      </c>
      <c r="D29" s="529">
        <v>638760</v>
      </c>
      <c r="E29" s="365">
        <f t="shared" si="0"/>
        <v>1.8187832660000001</v>
      </c>
      <c r="F29" s="365">
        <f t="shared" si="2"/>
        <v>1</v>
      </c>
      <c r="G29" s="365">
        <f t="shared" si="3"/>
        <v>1.2621587876897493</v>
      </c>
      <c r="H29" s="364">
        <f t="shared" si="1"/>
        <v>443272.46808125422</v>
      </c>
      <c r="J29" s="732" t="s">
        <v>2796</v>
      </c>
      <c r="K29" s="767" t="s">
        <v>6020</v>
      </c>
    </row>
    <row r="30" spans="1:11" ht="12.75" customHeight="1">
      <c r="A30" s="229" t="s">
        <v>2836</v>
      </c>
      <c r="B30" s="380">
        <v>1640</v>
      </c>
      <c r="C30" s="381" t="s">
        <v>6927</v>
      </c>
      <c r="D30" s="529">
        <v>1742370</v>
      </c>
      <c r="E30" s="365">
        <f t="shared" si="0"/>
        <v>1.8187832660000001</v>
      </c>
      <c r="F30" s="365">
        <f t="shared" si="2"/>
        <v>1</v>
      </c>
      <c r="G30" s="365">
        <f t="shared" si="3"/>
        <v>1.2621587876897493</v>
      </c>
      <c r="H30" s="364">
        <f t="shared" si="1"/>
        <v>1209131.2076691322</v>
      </c>
      <c r="J30" s="732" t="s">
        <v>2796</v>
      </c>
      <c r="K30" s="767" t="s">
        <v>6020</v>
      </c>
    </row>
    <row r="31" spans="1:11" ht="12.75" customHeight="1">
      <c r="A31" s="229" t="s">
        <v>8821</v>
      </c>
      <c r="B31" s="380">
        <v>1646</v>
      </c>
      <c r="C31" s="381" t="s">
        <v>6927</v>
      </c>
      <c r="D31" s="529"/>
      <c r="E31" s="365">
        <f t="shared" si="0"/>
        <v>1.2775358644549839</v>
      </c>
      <c r="F31" s="365">
        <f t="shared" si="2"/>
        <v>1</v>
      </c>
      <c r="G31" s="365">
        <f t="shared" si="3"/>
        <v>1.2621587876897493</v>
      </c>
      <c r="H31" s="364">
        <f t="shared" si="1"/>
        <v>0</v>
      </c>
      <c r="J31" s="732" t="s">
        <v>2796</v>
      </c>
      <c r="K31" s="767" t="s">
        <v>6020</v>
      </c>
    </row>
    <row r="32" spans="1:11" ht="12.75" customHeight="1">
      <c r="A32" s="843" t="s">
        <v>2835</v>
      </c>
      <c r="B32" s="392">
        <v>1697</v>
      </c>
      <c r="C32" s="375" t="s">
        <v>6928</v>
      </c>
      <c r="D32" s="851">
        <v>1803150</v>
      </c>
      <c r="E32" s="43">
        <f t="shared" ref="E32:E58" si="4">VLOOKUP("world",constant_forest_increment,2,FALSE)*IF(J32="p",1,1/VLOOKUP(B32,constant_forest_extr,5,FALSE))</f>
        <v>1.2775358644549839</v>
      </c>
      <c r="F32" s="43">
        <f>$F$7</f>
        <v>1</v>
      </c>
      <c r="G32" s="43">
        <f t="shared" si="3"/>
        <v>1.2621587876897493</v>
      </c>
      <c r="H32" s="850">
        <f t="shared" si="1"/>
        <v>1781446.3619725371</v>
      </c>
      <c r="J32" s="844" t="s">
        <v>2796</v>
      </c>
      <c r="K32" s="845" t="s">
        <v>6020</v>
      </c>
    </row>
    <row r="33" spans="1:11" ht="12.75" customHeight="1">
      <c r="A33" s="843" t="s">
        <v>8820</v>
      </c>
      <c r="B33" s="392">
        <v>1606</v>
      </c>
      <c r="C33" s="375" t="s">
        <v>6928</v>
      </c>
      <c r="D33" s="851">
        <v>7428740</v>
      </c>
      <c r="E33" s="43">
        <f t="shared" si="4"/>
        <v>1.2775358644549839</v>
      </c>
      <c r="F33" s="43">
        <f>$F$7</f>
        <v>1</v>
      </c>
      <c r="G33" s="43">
        <f t="shared" si="3"/>
        <v>1.2621587876897493</v>
      </c>
      <c r="H33" s="850">
        <f t="shared" si="1"/>
        <v>7339323.8760168962</v>
      </c>
      <c r="J33" s="844" t="s">
        <v>2796</v>
      </c>
      <c r="K33" s="845" t="s">
        <v>6020</v>
      </c>
    </row>
    <row r="34" spans="1:11" ht="12.75" customHeight="1">
      <c r="A34" s="229" t="s">
        <v>6947</v>
      </c>
      <c r="B34" s="380">
        <v>1874</v>
      </c>
      <c r="C34" s="381" t="s">
        <v>6927</v>
      </c>
      <c r="D34" s="529">
        <v>1321560</v>
      </c>
      <c r="E34" s="365">
        <f t="shared" si="4"/>
        <v>0.98247769632562731</v>
      </c>
      <c r="F34" s="365">
        <f t="shared" si="2"/>
        <v>1</v>
      </c>
      <c r="G34" s="365">
        <f t="shared" si="3"/>
        <v>1.2621587876897493</v>
      </c>
      <c r="H34" s="364">
        <f t="shared" si="1"/>
        <v>1697767.3627579487</v>
      </c>
      <c r="J34" s="732" t="s">
        <v>2796</v>
      </c>
      <c r="K34" s="767" t="s">
        <v>6020</v>
      </c>
    </row>
    <row r="35" spans="1:11" ht="12.75" customHeight="1">
      <c r="A35" s="376" t="s">
        <v>2906</v>
      </c>
      <c r="B35" s="374">
        <v>1647</v>
      </c>
      <c r="C35" s="375" t="s">
        <v>6928</v>
      </c>
      <c r="D35" s="528">
        <v>90000</v>
      </c>
      <c r="E35" s="386">
        <f t="shared" si="4"/>
        <v>0.98247769632562731</v>
      </c>
      <c r="F35" s="386">
        <f t="shared" si="2"/>
        <v>1</v>
      </c>
      <c r="G35" s="386">
        <f t="shared" si="3"/>
        <v>1.2621587876897493</v>
      </c>
      <c r="H35" s="526">
        <f t="shared" si="1"/>
        <v>115620.22356019809</v>
      </c>
      <c r="J35" s="730" t="s">
        <v>2796</v>
      </c>
      <c r="K35" s="765" t="s">
        <v>6020</v>
      </c>
    </row>
    <row r="36" spans="1:11" ht="12.75" customHeight="1">
      <c r="A36" s="376" t="s">
        <v>2908</v>
      </c>
      <c r="B36" s="374">
        <v>1648</v>
      </c>
      <c r="C36" s="375" t="s">
        <v>6928</v>
      </c>
      <c r="D36" s="528">
        <v>1131560</v>
      </c>
      <c r="E36" s="386">
        <f t="shared" si="4"/>
        <v>0.98247769632562731</v>
      </c>
      <c r="F36" s="386">
        <f t="shared" si="2"/>
        <v>1</v>
      </c>
      <c r="G36" s="386">
        <f t="shared" si="3"/>
        <v>1.2621587876897493</v>
      </c>
      <c r="H36" s="526">
        <f t="shared" si="1"/>
        <v>1453680.224130864</v>
      </c>
      <c r="J36" s="730" t="s">
        <v>2796</v>
      </c>
      <c r="K36" s="765" t="s">
        <v>6020</v>
      </c>
    </row>
    <row r="37" spans="1:11" ht="12.75" customHeight="1">
      <c r="A37" s="376" t="s">
        <v>2907</v>
      </c>
      <c r="B37" s="374">
        <v>1650</v>
      </c>
      <c r="C37" s="375" t="s">
        <v>6928</v>
      </c>
      <c r="D37" s="528">
        <v>100000</v>
      </c>
      <c r="E37" s="386">
        <f t="shared" si="4"/>
        <v>0.98247769632562731</v>
      </c>
      <c r="F37" s="386">
        <f t="shared" si="2"/>
        <v>1</v>
      </c>
      <c r="G37" s="386">
        <f t="shared" si="3"/>
        <v>1.2621587876897493</v>
      </c>
      <c r="H37" s="526">
        <f t="shared" si="1"/>
        <v>128466.91506688677</v>
      </c>
      <c r="J37" s="730" t="s">
        <v>2796</v>
      </c>
      <c r="K37" s="765" t="s">
        <v>6020</v>
      </c>
    </row>
    <row r="38" spans="1:11" ht="12.75" customHeight="1">
      <c r="A38" s="229" t="s">
        <v>2909</v>
      </c>
      <c r="B38" s="380">
        <v>1654</v>
      </c>
      <c r="C38" s="381" t="s">
        <v>3589</v>
      </c>
      <c r="D38" s="529"/>
      <c r="E38" s="365">
        <f t="shared" si="4"/>
        <v>0.7545001277022656</v>
      </c>
      <c r="F38" s="365">
        <f t="shared" si="2"/>
        <v>1</v>
      </c>
      <c r="G38" s="365">
        <f t="shared" si="3"/>
        <v>1.2621587876897493</v>
      </c>
      <c r="H38" s="364">
        <f t="shared" si="1"/>
        <v>0</v>
      </c>
      <c r="J38" s="732" t="s">
        <v>2796</v>
      </c>
      <c r="K38" s="767" t="s">
        <v>6020</v>
      </c>
    </row>
    <row r="39" spans="1:11" ht="12.75" customHeight="1">
      <c r="A39" s="229" t="s">
        <v>1009</v>
      </c>
      <c r="B39" s="380">
        <v>1655</v>
      </c>
      <c r="C39" s="381" t="s">
        <v>3589</v>
      </c>
      <c r="D39" s="529"/>
      <c r="E39" s="365">
        <f t="shared" si="4"/>
        <v>0.68839718777528647</v>
      </c>
      <c r="F39" s="365">
        <f t="shared" si="2"/>
        <v>1</v>
      </c>
      <c r="G39" s="365">
        <f t="shared" si="3"/>
        <v>1.2621587876897493</v>
      </c>
      <c r="H39" s="364">
        <f t="shared" si="1"/>
        <v>0</v>
      </c>
      <c r="J39" s="732" t="s">
        <v>2796</v>
      </c>
      <c r="K39" s="767" t="s">
        <v>6020</v>
      </c>
    </row>
    <row r="40" spans="1:11" ht="12.75" customHeight="1">
      <c r="A40" s="229" t="s">
        <v>4785</v>
      </c>
      <c r="B40" s="380">
        <v>1656</v>
      </c>
      <c r="C40" s="381" t="s">
        <v>3589</v>
      </c>
      <c r="D40" s="529">
        <v>8961000</v>
      </c>
      <c r="E40" s="365">
        <f t="shared" si="4"/>
        <v>0.38204597972080051</v>
      </c>
      <c r="F40" s="365">
        <f t="shared" si="2"/>
        <v>1</v>
      </c>
      <c r="G40" s="365">
        <f t="shared" si="3"/>
        <v>1.2621587876897493</v>
      </c>
      <c r="H40" s="364">
        <f t="shared" si="1"/>
        <v>29604302.876720101</v>
      </c>
      <c r="J40" s="732" t="s">
        <v>2796</v>
      </c>
      <c r="K40" s="767" t="s">
        <v>6020</v>
      </c>
    </row>
    <row r="41" spans="1:11" ht="12.75" customHeight="1">
      <c r="A41" s="376" t="s">
        <v>5903</v>
      </c>
      <c r="B41" s="374">
        <v>1660</v>
      </c>
      <c r="C41" s="375" t="s">
        <v>3589</v>
      </c>
      <c r="D41" s="528"/>
      <c r="E41" s="386">
        <f t="shared" si="4"/>
        <v>0.68839718777528647</v>
      </c>
      <c r="F41" s="386">
        <f t="shared" si="2"/>
        <v>1</v>
      </c>
      <c r="G41" s="386">
        <f t="shared" si="3"/>
        <v>1.2621587876897493</v>
      </c>
      <c r="H41" s="526">
        <f t="shared" si="1"/>
        <v>0</v>
      </c>
      <c r="J41" s="730" t="s">
        <v>2796</v>
      </c>
      <c r="K41" s="765" t="s">
        <v>6020</v>
      </c>
    </row>
    <row r="42" spans="1:11" ht="12.75" customHeight="1">
      <c r="A42" s="376" t="s">
        <v>5904</v>
      </c>
      <c r="B42" s="374">
        <v>1661</v>
      </c>
      <c r="C42" s="375" t="s">
        <v>3589</v>
      </c>
      <c r="D42" s="528"/>
      <c r="E42" s="386">
        <f t="shared" si="4"/>
        <v>0.68839718777528647</v>
      </c>
      <c r="F42" s="386">
        <f t="shared" ref="F42:F58" si="5">$F$7</f>
        <v>1</v>
      </c>
      <c r="G42" s="386">
        <f t="shared" ref="G42:G58" si="6">$G$7</f>
        <v>1.2621587876897493</v>
      </c>
      <c r="H42" s="526">
        <f t="shared" si="1"/>
        <v>0</v>
      </c>
      <c r="J42" s="730" t="s">
        <v>2796</v>
      </c>
      <c r="K42" s="765" t="s">
        <v>6020</v>
      </c>
    </row>
    <row r="43" spans="1:11" ht="12.75" customHeight="1">
      <c r="A43" s="376" t="s">
        <v>5905</v>
      </c>
      <c r="B43" s="374">
        <v>1662</v>
      </c>
      <c r="C43" s="375" t="s">
        <v>3589</v>
      </c>
      <c r="D43" s="528">
        <v>672000</v>
      </c>
      <c r="E43" s="386">
        <f t="shared" si="4"/>
        <v>0.68839718777528647</v>
      </c>
      <c r="F43" s="386">
        <f t="shared" si="5"/>
        <v>1</v>
      </c>
      <c r="G43" s="386">
        <f t="shared" si="6"/>
        <v>1.2621587876897493</v>
      </c>
      <c r="H43" s="526">
        <f t="shared" si="1"/>
        <v>1232094.9596969881</v>
      </c>
      <c r="J43" s="730" t="s">
        <v>2796</v>
      </c>
      <c r="K43" s="765" t="s">
        <v>6020</v>
      </c>
    </row>
    <row r="44" spans="1:11" ht="12.75" customHeight="1">
      <c r="A44" s="376" t="s">
        <v>5906</v>
      </c>
      <c r="B44" s="374">
        <v>1663</v>
      </c>
      <c r="C44" s="375" t="s">
        <v>3589</v>
      </c>
      <c r="D44" s="528">
        <v>8081000</v>
      </c>
      <c r="E44" s="386">
        <f t="shared" si="4"/>
        <v>0.68839718777528647</v>
      </c>
      <c r="F44" s="386">
        <f t="shared" si="5"/>
        <v>1</v>
      </c>
      <c r="G44" s="386">
        <f t="shared" si="6"/>
        <v>1.2621587876897493</v>
      </c>
      <c r="H44" s="526">
        <f t="shared" si="1"/>
        <v>14816308.585284762</v>
      </c>
      <c r="J44" s="730" t="s">
        <v>2796</v>
      </c>
      <c r="K44" s="765" t="s">
        <v>6020</v>
      </c>
    </row>
    <row r="45" spans="1:11" ht="12.75" customHeight="1">
      <c r="A45" s="229" t="s">
        <v>4786</v>
      </c>
      <c r="B45" s="380">
        <v>1667</v>
      </c>
      <c r="C45" s="381" t="s">
        <v>3589</v>
      </c>
      <c r="D45" s="529">
        <v>620000</v>
      </c>
      <c r="E45" s="365">
        <f t="shared" si="4"/>
        <v>0.38204597972080051</v>
      </c>
      <c r="F45" s="365">
        <f t="shared" si="5"/>
        <v>1</v>
      </c>
      <c r="G45" s="365">
        <f t="shared" si="6"/>
        <v>1.2621587876897493</v>
      </c>
      <c r="H45" s="364">
        <f t="shared" si="1"/>
        <v>2048283.4263549226</v>
      </c>
      <c r="J45" s="732" t="s">
        <v>2796</v>
      </c>
      <c r="K45" s="767" t="s">
        <v>6020</v>
      </c>
    </row>
    <row r="46" spans="1:11" ht="12.75" customHeight="1">
      <c r="A46" s="229" t="s">
        <v>2910</v>
      </c>
      <c r="B46" s="380">
        <v>1671</v>
      </c>
      <c r="C46" s="381" t="s">
        <v>3589</v>
      </c>
      <c r="D46" s="529">
        <v>3001000</v>
      </c>
      <c r="E46" s="365">
        <f t="shared" si="4"/>
        <v>0.56049242626637763</v>
      </c>
      <c r="F46" s="365">
        <f t="shared" si="5"/>
        <v>1</v>
      </c>
      <c r="G46" s="365">
        <f t="shared" si="6"/>
        <v>1.2621587876897493</v>
      </c>
      <c r="H46" s="364">
        <f t="shared" si="1"/>
        <v>6757876.3679079413</v>
      </c>
      <c r="J46" s="732" t="s">
        <v>2796</v>
      </c>
      <c r="K46" s="767" t="s">
        <v>6020</v>
      </c>
    </row>
    <row r="47" spans="1:11" ht="12.75" customHeight="1">
      <c r="A47" s="229" t="s">
        <v>49</v>
      </c>
      <c r="B47" s="380">
        <v>1674</v>
      </c>
      <c r="C47" s="381" t="s">
        <v>3589</v>
      </c>
      <c r="D47" s="529">
        <v>3060000</v>
      </c>
      <c r="E47" s="365">
        <f t="shared" si="4"/>
        <v>0.4543371417740909</v>
      </c>
      <c r="F47" s="365">
        <f t="shared" si="5"/>
        <v>1</v>
      </c>
      <c r="G47" s="365">
        <f t="shared" si="6"/>
        <v>1.2621587876897493</v>
      </c>
      <c r="H47" s="364">
        <f t="shared" si="1"/>
        <v>8500748.7506954242</v>
      </c>
      <c r="J47" s="732" t="s">
        <v>2796</v>
      </c>
      <c r="K47" s="767" t="s">
        <v>6020</v>
      </c>
    </row>
    <row r="48" spans="1:11" ht="12.75" customHeight="1">
      <c r="A48" s="376" t="s">
        <v>5894</v>
      </c>
      <c r="B48" s="374">
        <v>1612</v>
      </c>
      <c r="C48" s="375" t="s">
        <v>3589</v>
      </c>
      <c r="D48" s="528">
        <v>1937000</v>
      </c>
      <c r="E48" s="386">
        <f t="shared" si="4"/>
        <v>1.8187832660000001</v>
      </c>
      <c r="F48" s="386">
        <f t="shared" si="5"/>
        <v>1</v>
      </c>
      <c r="G48" s="386">
        <f t="shared" si="6"/>
        <v>1.2621587876897493</v>
      </c>
      <c r="H48" s="526">
        <f t="shared" si="1"/>
        <v>1344196.2093327532</v>
      </c>
      <c r="J48" s="730" t="s">
        <v>2796</v>
      </c>
      <c r="K48" s="765" t="s">
        <v>6020</v>
      </c>
    </row>
    <row r="49" spans="1:11" ht="12.75" customHeight="1">
      <c r="A49" s="376" t="s">
        <v>5895</v>
      </c>
      <c r="B49" s="374">
        <v>1615</v>
      </c>
      <c r="C49" s="375" t="s">
        <v>3589</v>
      </c>
      <c r="D49" s="528">
        <v>667000</v>
      </c>
      <c r="E49" s="386">
        <f t="shared" si="4"/>
        <v>1.8187832660000001</v>
      </c>
      <c r="F49" s="386">
        <f t="shared" si="5"/>
        <v>1</v>
      </c>
      <c r="G49" s="386">
        <f t="shared" si="6"/>
        <v>1.2621587876897493</v>
      </c>
      <c r="H49" s="526">
        <f t="shared" si="1"/>
        <v>462869.83563497488</v>
      </c>
      <c r="J49" s="730" t="s">
        <v>2796</v>
      </c>
      <c r="K49" s="765" t="s">
        <v>6020</v>
      </c>
    </row>
    <row r="50" spans="1:11" ht="12.75" customHeight="1">
      <c r="A50" s="376" t="s">
        <v>5896</v>
      </c>
      <c r="B50" s="374">
        <v>1616</v>
      </c>
      <c r="C50" s="375" t="s">
        <v>3589</v>
      </c>
      <c r="D50" s="528">
        <v>456000</v>
      </c>
      <c r="E50" s="386">
        <f t="shared" si="4"/>
        <v>0.4543371417740909</v>
      </c>
      <c r="F50" s="386">
        <f t="shared" si="5"/>
        <v>1</v>
      </c>
      <c r="G50" s="386">
        <f t="shared" si="6"/>
        <v>1.2621587876897493</v>
      </c>
      <c r="H50" s="526">
        <f t="shared" si="1"/>
        <v>1266778.245201671</v>
      </c>
      <c r="J50" s="730" t="s">
        <v>2796</v>
      </c>
      <c r="K50" s="765" t="s">
        <v>6020</v>
      </c>
    </row>
    <row r="51" spans="1:11" ht="12.75" customHeight="1">
      <c r="A51" s="229" t="s">
        <v>4403</v>
      </c>
      <c r="B51" s="380">
        <v>1675</v>
      </c>
      <c r="C51" s="381" t="s">
        <v>3589</v>
      </c>
      <c r="D51" s="529">
        <v>4081000</v>
      </c>
      <c r="E51" s="365">
        <f t="shared" si="4"/>
        <v>0.52462263269114562</v>
      </c>
      <c r="F51" s="365">
        <f t="shared" si="5"/>
        <v>1</v>
      </c>
      <c r="G51" s="365">
        <f t="shared" si="6"/>
        <v>1.2621587876897493</v>
      </c>
      <c r="H51" s="364">
        <f>IFERROR(IF(VLOOKUP(1676,$B$10:$D$58,3,FALSE)+VLOOKUP(1681,$B$10:$D$58,3,FALSE)+VLOOKUP(1683,$B$10:$D$58,3,FALSE)&lt;=VLOOKUP(1675,$B$10:$D$58,3,FALSE),D51/E51*G51*F51,0),0)</f>
        <v>9818238.2756526489</v>
      </c>
      <c r="J51" s="732" t="s">
        <v>2796</v>
      </c>
      <c r="K51" s="767" t="s">
        <v>6020</v>
      </c>
    </row>
    <row r="52" spans="1:11" ht="12.75" customHeight="1">
      <c r="A52" s="229" t="s">
        <v>6948</v>
      </c>
      <c r="B52" s="380">
        <v>1676</v>
      </c>
      <c r="C52" s="381" t="s">
        <v>3589</v>
      </c>
      <c r="D52" s="529">
        <v>739000</v>
      </c>
      <c r="E52" s="365">
        <f t="shared" si="4"/>
        <v>0.52462263269114562</v>
      </c>
      <c r="F52" s="365">
        <f t="shared" si="5"/>
        <v>1</v>
      </c>
      <c r="G52" s="365">
        <f t="shared" si="6"/>
        <v>1.2621587876897493</v>
      </c>
      <c r="H52" s="364">
        <f>IFERROR(IF(VLOOKUP(1676,$B$10:$D$58,3,FALSE)+VLOOKUP(1681,$B$10:$D$58,3,FALSE)+VLOOKUP(1683,$B$10:$D$58,3,FALSE)&gt;VLOOKUP(1675,$B$10:$D$58,3,FALSE),D52/E52*G52*F52,0),0)</f>
        <v>0</v>
      </c>
      <c r="J52" s="732" t="s">
        <v>2796</v>
      </c>
      <c r="K52" s="767" t="s">
        <v>6020</v>
      </c>
    </row>
    <row r="53" spans="1:11" ht="12.75" customHeight="1">
      <c r="A53" s="229" t="s">
        <v>6949</v>
      </c>
      <c r="B53" s="380">
        <v>1681</v>
      </c>
      <c r="C53" s="381" t="s">
        <v>3589</v>
      </c>
      <c r="D53" s="529"/>
      <c r="E53" s="365">
        <f t="shared" si="4"/>
        <v>0.52462263269114562</v>
      </c>
      <c r="F53" s="365">
        <f t="shared" si="5"/>
        <v>1</v>
      </c>
      <c r="G53" s="365">
        <f t="shared" si="6"/>
        <v>1.2621587876897493</v>
      </c>
      <c r="H53" s="364">
        <f>IFERROR(IF(VLOOKUP(1676,$B$10:$D$58,3,FALSE)+VLOOKUP(1681,$B$10:$D$58,3,FALSE)+VLOOKUP(1683,$B$10:$D$58,3,FALSE)&gt;VLOOKUP(1675,$B$10:$D$58,3,FALSE),D53/E53*G53*F53,0),0)</f>
        <v>0</v>
      </c>
      <c r="J53" s="732" t="s">
        <v>2796</v>
      </c>
      <c r="K53" s="767" t="s">
        <v>6020</v>
      </c>
    </row>
    <row r="54" spans="1:11" ht="12.75" customHeight="1">
      <c r="A54" s="376" t="s">
        <v>5897</v>
      </c>
      <c r="B54" s="374">
        <v>1617</v>
      </c>
      <c r="C54" s="375" t="s">
        <v>3589</v>
      </c>
      <c r="D54" s="528">
        <v>2250000</v>
      </c>
      <c r="E54" s="386">
        <f t="shared" si="4"/>
        <v>0.52462263269114562</v>
      </c>
      <c r="F54" s="386">
        <f t="shared" si="5"/>
        <v>1</v>
      </c>
      <c r="G54" s="386">
        <f t="shared" si="6"/>
        <v>1.2621587876897493</v>
      </c>
      <c r="H54" s="526">
        <f>IFERROR(D54/E54*G54*F54,0)</f>
        <v>5413142.886600947</v>
      </c>
      <c r="J54" s="730" t="s">
        <v>2796</v>
      </c>
      <c r="K54" s="765" t="s">
        <v>6020</v>
      </c>
    </row>
    <row r="55" spans="1:11" ht="12.75" customHeight="1">
      <c r="A55" s="376" t="s">
        <v>5898</v>
      </c>
      <c r="B55" s="374">
        <v>1618</v>
      </c>
      <c r="C55" s="375" t="s">
        <v>3589</v>
      </c>
      <c r="D55" s="528">
        <v>811000</v>
      </c>
      <c r="E55" s="386">
        <f t="shared" si="4"/>
        <v>0.52462263269114562</v>
      </c>
      <c r="F55" s="386">
        <f t="shared" si="5"/>
        <v>1</v>
      </c>
      <c r="G55" s="386">
        <f t="shared" si="6"/>
        <v>1.2621587876897493</v>
      </c>
      <c r="H55" s="526">
        <f>IFERROR(D55/E55*G55*F55,0)</f>
        <v>1951137.2804592743</v>
      </c>
      <c r="J55" s="730" t="s">
        <v>2796</v>
      </c>
      <c r="K55" s="765" t="s">
        <v>6020</v>
      </c>
    </row>
    <row r="56" spans="1:11" ht="12.75" customHeight="1">
      <c r="A56" s="376" t="s">
        <v>5901</v>
      </c>
      <c r="B56" s="374">
        <v>1621</v>
      </c>
      <c r="C56" s="375" t="s">
        <v>3589</v>
      </c>
      <c r="D56" s="528">
        <v>281000</v>
      </c>
      <c r="E56" s="386">
        <f t="shared" si="4"/>
        <v>0.52462263269114562</v>
      </c>
      <c r="F56" s="386">
        <f t="shared" si="5"/>
        <v>1</v>
      </c>
      <c r="G56" s="386">
        <f t="shared" si="6"/>
        <v>1.2621587876897493</v>
      </c>
      <c r="H56" s="526">
        <f>IFERROR(D56/E56*G56*F56,0)</f>
        <v>676041.40050438489</v>
      </c>
      <c r="J56" s="730" t="s">
        <v>2796</v>
      </c>
      <c r="K56" s="765" t="s">
        <v>6020</v>
      </c>
    </row>
    <row r="57" spans="1:11" ht="12.75" customHeight="1">
      <c r="A57" s="376" t="s">
        <v>6950</v>
      </c>
      <c r="B57" s="374">
        <v>1622</v>
      </c>
      <c r="C57" s="375" t="s">
        <v>3589</v>
      </c>
      <c r="D57" s="528">
        <v>0</v>
      </c>
      <c r="E57" s="386">
        <f t="shared" si="4"/>
        <v>0.52462263269114562</v>
      </c>
      <c r="F57" s="386">
        <f t="shared" si="5"/>
        <v>1</v>
      </c>
      <c r="G57" s="386">
        <f t="shared" si="6"/>
        <v>1.2621587876897493</v>
      </c>
      <c r="H57" s="526">
        <f>IFERROR(D57/E57*G57*F57,0)</f>
        <v>0</v>
      </c>
      <c r="J57" s="730" t="s">
        <v>2796</v>
      </c>
      <c r="K57" s="765" t="s">
        <v>6020</v>
      </c>
    </row>
    <row r="58" spans="1:11" ht="12.75" customHeight="1">
      <c r="A58" s="77" t="s">
        <v>6951</v>
      </c>
      <c r="B58" s="524">
        <v>1683</v>
      </c>
      <c r="C58" s="525" t="s">
        <v>3589</v>
      </c>
      <c r="D58" s="530">
        <v>0</v>
      </c>
      <c r="E58" s="347">
        <f t="shared" si="4"/>
        <v>0.52462263269114562</v>
      </c>
      <c r="F58" s="347">
        <f t="shared" si="5"/>
        <v>1</v>
      </c>
      <c r="G58" s="347">
        <f t="shared" si="6"/>
        <v>1.2621587876897493</v>
      </c>
      <c r="H58" s="366">
        <f>IFERROR(IF(VLOOKUP(1676,$B$10:$D$58,3,FALSE)+VLOOKUP(1681,$B$10:$D$58,3,FALSE)+VLOOKUP(1683,$B$10:$D$58,3,FALSE)&gt;VLOOKUP(1675,$B$10:$D$58,3,FALSE),D58/E58*G58*F58,0),0)</f>
        <v>0</v>
      </c>
      <c r="J58" s="733" t="s">
        <v>2796</v>
      </c>
      <c r="K58" s="768" t="s">
        <v>6020</v>
      </c>
    </row>
  </sheetData>
  <phoneticPr fontId="5" type="noConversion"/>
  <hyperlinks>
    <hyperlink ref="D3" location="ef_forest_products!A1" tooltip="Go to ef_forest" display="ef_forest_products" xr:uid="{00000000-0004-0000-3600-000000000000}"/>
    <hyperlink ref="E2" location="constant_forest_increment" tooltip="Go to eqf" display="constant_forest_increment" xr:uid="{00000000-0004-0000-3600-000001000000}"/>
    <hyperlink ref="G2" location="iyf" display="iyf" xr:uid="{00000000-0004-0000-3600-000002000000}"/>
    <hyperlink ref="E3" location="forest_efi_efe!A1" tooltip="Go to forest_efi_efe" display="forest_efi_efe" xr:uid="{00000000-0004-0000-3600-000003000000}"/>
    <hyperlink ref="D2" location="constant_forest_extr!A1" tooltip="Go to eqf" display="constant_forest_extr" xr:uid="{00000000-0004-0000-3600-000004000000}"/>
    <hyperlink ref="F2" location="eqf" tooltip="Go to eqf" display="eqf" xr:uid="{00000000-0004-0000-3600-000005000000}"/>
  </hyperlinks>
  <pageMargins left="0.75" right="0.75" top="1" bottom="1" header="0.5" footer="0.5"/>
  <pageSetup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2">
    <tabColor theme="9"/>
    <pageSetUpPr autoPageBreaks="0"/>
  </sheetPr>
  <dimension ref="A1:M58"/>
  <sheetViews>
    <sheetView zoomScaleNormal="100" workbookViewId="0">
      <pane ySplit="6" topLeftCell="A7" activePane="bottomLeft" state="frozen"/>
      <selection pane="bottomLeft" activeCell="A65536" sqref="A65536"/>
    </sheetView>
  </sheetViews>
  <sheetFormatPr defaultColWidth="9.1796875" defaultRowHeight="12.75" customHeight="1"/>
  <cols>
    <col min="1" max="1" width="38.26953125" style="36" customWidth="1"/>
    <col min="2" max="2" width="10.1796875" style="36" bestFit="1" customWidth="1"/>
    <col min="3" max="3" width="14.81640625" style="36" bestFit="1" customWidth="1"/>
    <col min="4" max="10" width="18.7265625" style="36" customWidth="1"/>
    <col min="11" max="11" width="11.1796875" style="36" customWidth="1"/>
    <col min="12" max="12" width="15.81640625" style="36" bestFit="1" customWidth="1"/>
    <col min="13" max="13" width="12.81640625" style="36" bestFit="1" customWidth="1"/>
    <col min="14" max="16384" width="9.1796875" style="36"/>
  </cols>
  <sheetData>
    <row r="1" spans="1:13" ht="12.75" customHeight="1">
      <c r="B1" s="97"/>
      <c r="C1" s="97"/>
      <c r="D1" s="97"/>
      <c r="E1" s="97"/>
      <c r="F1" s="97"/>
      <c r="G1" s="97"/>
      <c r="I1" s="97"/>
      <c r="J1" s="97"/>
      <c r="K1" s="97"/>
      <c r="L1" s="97"/>
      <c r="M1" s="97"/>
    </row>
    <row r="2" spans="1:13" ht="12.75" customHeight="1">
      <c r="C2" s="37" t="s">
        <v>985</v>
      </c>
      <c r="D2" s="447" t="s">
        <v>6915</v>
      </c>
      <c r="E2" s="447" t="s">
        <v>2004</v>
      </c>
      <c r="F2" s="447" t="s">
        <v>6145</v>
      </c>
      <c r="G2" s="447" t="s">
        <v>6143</v>
      </c>
    </row>
    <row r="3" spans="1:13" ht="12.75" customHeight="1">
      <c r="C3" s="37" t="s">
        <v>986</v>
      </c>
      <c r="D3" s="447" t="s">
        <v>6914</v>
      </c>
      <c r="E3" s="466" t="s">
        <v>8830</v>
      </c>
      <c r="F3" s="97"/>
      <c r="H3" s="97"/>
      <c r="I3" s="97"/>
    </row>
    <row r="4" spans="1:13" ht="12.75" customHeight="1">
      <c r="L4" s="74"/>
    </row>
    <row r="5" spans="1:13" ht="15">
      <c r="A5" s="987" t="s">
        <v>1923</v>
      </c>
      <c r="B5" s="988" t="s">
        <v>1907</v>
      </c>
      <c r="C5" s="910" t="s">
        <v>2532</v>
      </c>
      <c r="D5" s="910" t="s">
        <v>5396</v>
      </c>
      <c r="E5" s="910" t="s">
        <v>1005</v>
      </c>
      <c r="F5" s="910" t="s">
        <v>1926</v>
      </c>
      <c r="G5" s="1011" t="s">
        <v>6022</v>
      </c>
      <c r="H5" s="1011" t="s">
        <v>1771</v>
      </c>
      <c r="I5" s="910" t="s">
        <v>3840</v>
      </c>
      <c r="J5" s="911" t="s">
        <v>3842</v>
      </c>
      <c r="L5" s="1147" t="s">
        <v>2797</v>
      </c>
      <c r="M5" s="911" t="s">
        <v>6952</v>
      </c>
    </row>
    <row r="6" spans="1:13" ht="14.5">
      <c r="A6" s="1012" t="s">
        <v>542</v>
      </c>
      <c r="B6" s="1013" t="s">
        <v>542</v>
      </c>
      <c r="C6" s="1013" t="s">
        <v>542</v>
      </c>
      <c r="D6" s="913" t="s">
        <v>6911</v>
      </c>
      <c r="E6" s="913" t="s">
        <v>6911</v>
      </c>
      <c r="F6" s="990" t="s">
        <v>9218</v>
      </c>
      <c r="G6" s="1014" t="s">
        <v>542</v>
      </c>
      <c r="H6" s="1014" t="s">
        <v>9208</v>
      </c>
      <c r="I6" s="990" t="s">
        <v>720</v>
      </c>
      <c r="J6" s="914" t="s">
        <v>720</v>
      </c>
      <c r="L6" s="1148" t="s">
        <v>542</v>
      </c>
      <c r="M6" s="991" t="s">
        <v>542</v>
      </c>
    </row>
    <row r="7" spans="1:13" ht="15">
      <c r="A7" s="633" t="s">
        <v>6926</v>
      </c>
      <c r="B7" s="634">
        <v>1864</v>
      </c>
      <c r="C7" s="635" t="s">
        <v>6927</v>
      </c>
      <c r="D7" s="853">
        <v>163</v>
      </c>
      <c r="E7" s="854">
        <v>35320</v>
      </c>
      <c r="F7" s="642">
        <f t="shared" ref="F7:F31" si="0">VLOOKUP("world",constant_forest_increment,2,FALSE)*IF(L7="p",1,1/VLOOKUP(B7,constant_forest_extr,5,FALSE))</f>
        <v>3.3465612094400017</v>
      </c>
      <c r="G7" s="642">
        <f t="shared" ref="G7:G58" si="1">VLOOKUP("Forest Land",iyf,2,FALSE)</f>
        <v>1</v>
      </c>
      <c r="H7" s="642">
        <f t="shared" ref="H7:H58" si="2">VLOOKUP("Forest Land",eqf,2,FALSE)</f>
        <v>1.2621587876897493</v>
      </c>
      <c r="I7" s="643">
        <f t="shared" ref="I7:I50" si="3">IFERROR(D7/F7*H7*G7,0)</f>
        <v>61.475607203328394</v>
      </c>
      <c r="J7" s="644">
        <f t="shared" ref="J7:J50" si="4">IFERROR(E7/F7*H7*G7,0)</f>
        <v>13320.972063935944</v>
      </c>
      <c r="L7" s="734" t="s">
        <v>2796</v>
      </c>
      <c r="M7" s="760" t="s">
        <v>6018</v>
      </c>
    </row>
    <row r="8" spans="1:13" ht="14.5">
      <c r="A8" s="636" t="s">
        <v>3464</v>
      </c>
      <c r="B8" s="637">
        <v>1627</v>
      </c>
      <c r="C8" s="638" t="s">
        <v>6928</v>
      </c>
      <c r="D8" s="513">
        <v>122</v>
      </c>
      <c r="E8" s="532">
        <v>32844</v>
      </c>
      <c r="F8" s="645">
        <f t="shared" si="0"/>
        <v>3.3465612094400017</v>
      </c>
      <c r="G8" s="645">
        <f>VLOOKUP("Forest Land",iyf,2,FALSE)</f>
        <v>1</v>
      </c>
      <c r="H8" s="645">
        <f t="shared" si="2"/>
        <v>1.2621587876897493</v>
      </c>
      <c r="I8" s="646">
        <f t="shared" si="3"/>
        <v>46.012417661386898</v>
      </c>
      <c r="J8" s="647">
        <f t="shared" si="4"/>
        <v>12387.146275988453</v>
      </c>
      <c r="L8" s="735" t="s">
        <v>2796</v>
      </c>
      <c r="M8" s="761" t="s">
        <v>6020</v>
      </c>
    </row>
    <row r="9" spans="1:13" ht="14.5">
      <c r="A9" s="639" t="s">
        <v>3465</v>
      </c>
      <c r="B9" s="640">
        <v>1628</v>
      </c>
      <c r="C9" s="641" t="s">
        <v>6928</v>
      </c>
      <c r="D9" s="522">
        <v>41</v>
      </c>
      <c r="E9" s="593">
        <v>2476</v>
      </c>
      <c r="F9" s="648">
        <f t="shared" si="0"/>
        <v>3.3465612094400017</v>
      </c>
      <c r="G9" s="648">
        <f t="shared" si="1"/>
        <v>1</v>
      </c>
      <c r="H9" s="648">
        <f>VLOOKUP("Forest Land",eqf,2,FALSE)</f>
        <v>1.2621587876897493</v>
      </c>
      <c r="I9" s="649">
        <f t="shared" si="3"/>
        <v>15.463189541941496</v>
      </c>
      <c r="J9" s="650">
        <f t="shared" si="4"/>
        <v>933.82578794749134</v>
      </c>
      <c r="L9" s="736" t="s">
        <v>2796</v>
      </c>
      <c r="M9" s="762" t="s">
        <v>6020</v>
      </c>
    </row>
    <row r="10" spans="1:13" s="37" customFormat="1" ht="15">
      <c r="A10" s="248" t="s">
        <v>6929</v>
      </c>
      <c r="B10" s="378">
        <v>1865</v>
      </c>
      <c r="C10" s="379" t="s">
        <v>6930</v>
      </c>
      <c r="D10" s="853">
        <v>5132510</v>
      </c>
      <c r="E10" s="853">
        <v>8493980</v>
      </c>
      <c r="F10" s="365">
        <f t="shared" si="0"/>
        <v>1.8187832660000001</v>
      </c>
      <c r="G10" s="363">
        <f t="shared" si="1"/>
        <v>1</v>
      </c>
      <c r="H10" s="363">
        <f t="shared" si="2"/>
        <v>1.2621587876897493</v>
      </c>
      <c r="I10" s="369">
        <f>IFERROR(D10/F10*H10*G10,0)</f>
        <v>3561745.2175335307</v>
      </c>
      <c r="J10" s="361">
        <f t="shared" si="4"/>
        <v>5894463.4580011452</v>
      </c>
      <c r="L10" s="734" t="s">
        <v>413</v>
      </c>
      <c r="M10" s="760" t="s">
        <v>6018</v>
      </c>
    </row>
    <row r="11" spans="1:13" ht="14.5">
      <c r="A11" s="373" t="s">
        <v>6931</v>
      </c>
      <c r="B11" s="374">
        <v>1866</v>
      </c>
      <c r="C11" s="375" t="s">
        <v>6932</v>
      </c>
      <c r="D11" s="513">
        <v>3696500</v>
      </c>
      <c r="E11" s="513">
        <v>8015940</v>
      </c>
      <c r="F11" s="386">
        <f t="shared" si="0"/>
        <v>1.8187832660000001</v>
      </c>
      <c r="G11" s="386">
        <f t="shared" si="1"/>
        <v>1</v>
      </c>
      <c r="H11" s="386">
        <f t="shared" si="2"/>
        <v>1.2621587876897493</v>
      </c>
      <c r="I11" s="385">
        <f t="shared" si="3"/>
        <v>2565214.9136801865</v>
      </c>
      <c r="J11" s="384">
        <f>IFERROR(E11/F11*H11*G11,0)</f>
        <v>5562723.8834480066</v>
      </c>
      <c r="L11" s="735" t="s">
        <v>413</v>
      </c>
      <c r="M11" s="761" t="s">
        <v>6020</v>
      </c>
    </row>
    <row r="12" spans="1:13" ht="14.5">
      <c r="A12" s="373" t="s">
        <v>6933</v>
      </c>
      <c r="B12" s="374">
        <v>1867</v>
      </c>
      <c r="C12" s="375" t="s">
        <v>6928</v>
      </c>
      <c r="D12" s="513">
        <v>1436010</v>
      </c>
      <c r="E12" s="513">
        <v>478035</v>
      </c>
      <c r="F12" s="386">
        <f t="shared" si="0"/>
        <v>1.8187832660000001</v>
      </c>
      <c r="G12" s="386">
        <f t="shared" si="1"/>
        <v>1</v>
      </c>
      <c r="H12" s="386">
        <f t="shared" si="2"/>
        <v>1.2621587876897493</v>
      </c>
      <c r="I12" s="385">
        <f t="shared" si="3"/>
        <v>996530.30385334382</v>
      </c>
      <c r="J12" s="384">
        <f t="shared" si="4"/>
        <v>331736.10476426565</v>
      </c>
      <c r="L12" s="735" t="s">
        <v>413</v>
      </c>
      <c r="M12" s="761" t="s">
        <v>6020</v>
      </c>
    </row>
    <row r="13" spans="1:13" ht="14.5">
      <c r="A13" s="376" t="s">
        <v>6934</v>
      </c>
      <c r="B13" s="374">
        <v>1868</v>
      </c>
      <c r="C13" s="375" t="s">
        <v>6928</v>
      </c>
      <c r="D13" s="513"/>
      <c r="E13" s="513"/>
      <c r="F13" s="386">
        <f t="shared" si="0"/>
        <v>1.8187832660000001</v>
      </c>
      <c r="G13" s="386">
        <f t="shared" si="1"/>
        <v>1</v>
      </c>
      <c r="H13" s="386">
        <f t="shared" si="2"/>
        <v>1.2621587876897493</v>
      </c>
      <c r="I13" s="385">
        <f t="shared" si="3"/>
        <v>0</v>
      </c>
      <c r="J13" s="384">
        <f t="shared" si="4"/>
        <v>0</v>
      </c>
      <c r="L13" s="735" t="s">
        <v>413</v>
      </c>
      <c r="M13" s="761" t="s">
        <v>6020</v>
      </c>
    </row>
    <row r="14" spans="1:13" ht="14.5">
      <c r="A14" s="377" t="s">
        <v>6935</v>
      </c>
      <c r="B14" s="374">
        <v>1601</v>
      </c>
      <c r="C14" s="375" t="s">
        <v>6928</v>
      </c>
      <c r="D14" s="513"/>
      <c r="E14" s="513"/>
      <c r="F14" s="386">
        <f t="shared" si="0"/>
        <v>1.8187832660000001</v>
      </c>
      <c r="G14" s="386">
        <f t="shared" si="1"/>
        <v>1</v>
      </c>
      <c r="H14" s="386">
        <f t="shared" si="2"/>
        <v>1.2621587876897493</v>
      </c>
      <c r="I14" s="385">
        <f t="shared" si="3"/>
        <v>0</v>
      </c>
      <c r="J14" s="384">
        <f t="shared" si="4"/>
        <v>0</v>
      </c>
      <c r="L14" s="735" t="s">
        <v>413</v>
      </c>
      <c r="M14" s="761" t="s">
        <v>6020</v>
      </c>
    </row>
    <row r="15" spans="1:13" ht="14.5">
      <c r="A15" s="377" t="s">
        <v>6936</v>
      </c>
      <c r="B15" s="374">
        <v>1604</v>
      </c>
      <c r="C15" s="375" t="s">
        <v>6928</v>
      </c>
      <c r="D15" s="513"/>
      <c r="E15" s="513"/>
      <c r="F15" s="386">
        <f t="shared" si="0"/>
        <v>1.8187832660000001</v>
      </c>
      <c r="G15" s="386">
        <f t="shared" si="1"/>
        <v>1</v>
      </c>
      <c r="H15" s="386">
        <f t="shared" si="2"/>
        <v>1.2621587876897493</v>
      </c>
      <c r="I15" s="385">
        <f t="shared" si="3"/>
        <v>0</v>
      </c>
      <c r="J15" s="384">
        <f t="shared" si="4"/>
        <v>0</v>
      </c>
      <c r="L15" s="735" t="s">
        <v>413</v>
      </c>
      <c r="M15" s="761" t="s">
        <v>6020</v>
      </c>
    </row>
    <row r="16" spans="1:13" ht="14.5">
      <c r="A16" s="376" t="s">
        <v>6937</v>
      </c>
      <c r="B16" s="374">
        <v>2038</v>
      </c>
      <c r="C16" s="375" t="s">
        <v>6928</v>
      </c>
      <c r="D16" s="513"/>
      <c r="E16" s="513"/>
      <c r="F16" s="386">
        <f t="shared" si="0"/>
        <v>1.8187832660000001</v>
      </c>
      <c r="G16" s="386">
        <f t="shared" si="1"/>
        <v>1</v>
      </c>
      <c r="H16" s="386">
        <f t="shared" si="2"/>
        <v>1.2621587876897493</v>
      </c>
      <c r="I16" s="385">
        <f t="shared" si="3"/>
        <v>0</v>
      </c>
      <c r="J16" s="384">
        <f t="shared" si="4"/>
        <v>0</v>
      </c>
      <c r="L16" s="735" t="s">
        <v>413</v>
      </c>
      <c r="M16" s="761" t="s">
        <v>6020</v>
      </c>
    </row>
    <row r="17" spans="1:13" ht="14.5">
      <c r="A17" s="377" t="s">
        <v>6938</v>
      </c>
      <c r="B17" s="374">
        <v>1602</v>
      </c>
      <c r="C17" s="375" t="s">
        <v>6928</v>
      </c>
      <c r="D17" s="513"/>
      <c r="E17" s="513"/>
      <c r="F17" s="386">
        <f t="shared" si="0"/>
        <v>1.8187832660000001</v>
      </c>
      <c r="G17" s="386">
        <f t="shared" si="1"/>
        <v>1</v>
      </c>
      <c r="H17" s="386">
        <f t="shared" si="2"/>
        <v>1.2621587876897493</v>
      </c>
      <c r="I17" s="385">
        <f t="shared" si="3"/>
        <v>0</v>
      </c>
      <c r="J17" s="384">
        <f t="shared" si="4"/>
        <v>0</v>
      </c>
      <c r="L17" s="735" t="s">
        <v>413</v>
      </c>
      <c r="M17" s="761" t="s">
        <v>6020</v>
      </c>
    </row>
    <row r="18" spans="1:13" ht="14.5">
      <c r="A18" s="377" t="s">
        <v>6939</v>
      </c>
      <c r="B18" s="374">
        <v>1603</v>
      </c>
      <c r="C18" s="375" t="s">
        <v>6928</v>
      </c>
      <c r="D18" s="513"/>
      <c r="E18" s="513"/>
      <c r="F18" s="386">
        <f t="shared" si="0"/>
        <v>1.8187832660000001</v>
      </c>
      <c r="G18" s="386">
        <f t="shared" si="1"/>
        <v>1</v>
      </c>
      <c r="H18" s="386">
        <f t="shared" si="2"/>
        <v>1.2621587876897493</v>
      </c>
      <c r="I18" s="385">
        <f t="shared" si="3"/>
        <v>0</v>
      </c>
      <c r="J18" s="384">
        <f t="shared" si="4"/>
        <v>0</v>
      </c>
      <c r="L18" s="735" t="s">
        <v>413</v>
      </c>
      <c r="M18" s="761" t="s">
        <v>6020</v>
      </c>
    </row>
    <row r="19" spans="1:13" ht="14.5">
      <c r="A19" s="376" t="s">
        <v>6940</v>
      </c>
      <c r="B19" s="374">
        <v>1870</v>
      </c>
      <c r="C19" s="375" t="s">
        <v>6928</v>
      </c>
      <c r="D19" s="513"/>
      <c r="E19" s="513"/>
      <c r="F19" s="386">
        <f t="shared" si="0"/>
        <v>1.8187832660000001</v>
      </c>
      <c r="G19" s="386">
        <f t="shared" si="1"/>
        <v>1</v>
      </c>
      <c r="H19" s="386">
        <f t="shared" si="2"/>
        <v>1.2621587876897493</v>
      </c>
      <c r="I19" s="385">
        <f t="shared" si="3"/>
        <v>0</v>
      </c>
      <c r="J19" s="384">
        <f t="shared" si="4"/>
        <v>0</v>
      </c>
      <c r="L19" s="735" t="s">
        <v>413</v>
      </c>
      <c r="M19" s="761" t="s">
        <v>6020</v>
      </c>
    </row>
    <row r="20" spans="1:13" ht="14.5">
      <c r="A20" s="377" t="s">
        <v>6941</v>
      </c>
      <c r="B20" s="374">
        <v>1608</v>
      </c>
      <c r="C20" s="375" t="s">
        <v>6928</v>
      </c>
      <c r="D20" s="513"/>
      <c r="E20" s="513"/>
      <c r="F20" s="386">
        <f t="shared" si="0"/>
        <v>1.8187832660000001</v>
      </c>
      <c r="G20" s="386">
        <f t="shared" si="1"/>
        <v>1</v>
      </c>
      <c r="H20" s="386">
        <f t="shared" si="2"/>
        <v>1.2621587876897493</v>
      </c>
      <c r="I20" s="385">
        <f t="shared" si="3"/>
        <v>0</v>
      </c>
      <c r="J20" s="384">
        <f t="shared" si="4"/>
        <v>0</v>
      </c>
      <c r="L20" s="735" t="s">
        <v>413</v>
      </c>
      <c r="M20" s="761" t="s">
        <v>6020</v>
      </c>
    </row>
    <row r="21" spans="1:13" ht="14.5">
      <c r="A21" s="377" t="s">
        <v>6942</v>
      </c>
      <c r="B21" s="374">
        <v>1611</v>
      </c>
      <c r="C21" s="375" t="s">
        <v>6928</v>
      </c>
      <c r="D21" s="513"/>
      <c r="E21" s="513"/>
      <c r="F21" s="386">
        <f t="shared" si="0"/>
        <v>1.8187832660000001</v>
      </c>
      <c r="G21" s="386">
        <f t="shared" si="1"/>
        <v>1</v>
      </c>
      <c r="H21" s="386">
        <f t="shared" si="2"/>
        <v>1.2621587876897493</v>
      </c>
      <c r="I21" s="385">
        <f t="shared" si="3"/>
        <v>0</v>
      </c>
      <c r="J21" s="384">
        <f t="shared" si="4"/>
        <v>0</v>
      </c>
      <c r="L21" s="735" t="s">
        <v>413</v>
      </c>
      <c r="M21" s="761" t="s">
        <v>6020</v>
      </c>
    </row>
    <row r="22" spans="1:13" ht="14.5">
      <c r="A22" s="376" t="s">
        <v>6943</v>
      </c>
      <c r="B22" s="374">
        <v>1871</v>
      </c>
      <c r="C22" s="375" t="s">
        <v>6928</v>
      </c>
      <c r="D22" s="513"/>
      <c r="E22" s="513"/>
      <c r="F22" s="386">
        <f t="shared" si="0"/>
        <v>1.8187832660000001</v>
      </c>
      <c r="G22" s="386">
        <f t="shared" si="1"/>
        <v>1</v>
      </c>
      <c r="H22" s="386">
        <f t="shared" si="2"/>
        <v>1.2621587876897493</v>
      </c>
      <c r="I22" s="385">
        <f t="shared" si="3"/>
        <v>0</v>
      </c>
      <c r="J22" s="384">
        <f t="shared" si="4"/>
        <v>0</v>
      </c>
      <c r="L22" s="735" t="s">
        <v>413</v>
      </c>
      <c r="M22" s="761" t="s">
        <v>6020</v>
      </c>
    </row>
    <row r="23" spans="1:13" ht="14.5">
      <c r="A23" s="377" t="s">
        <v>6944</v>
      </c>
      <c r="B23" s="374">
        <v>1623</v>
      </c>
      <c r="C23" s="375" t="s">
        <v>6928</v>
      </c>
      <c r="D23" s="513"/>
      <c r="E23" s="513"/>
      <c r="F23" s="386">
        <f t="shared" si="0"/>
        <v>1.8187832660000001</v>
      </c>
      <c r="G23" s="386">
        <f t="shared" si="1"/>
        <v>1</v>
      </c>
      <c r="H23" s="386">
        <f t="shared" si="2"/>
        <v>1.2621587876897493</v>
      </c>
      <c r="I23" s="385">
        <f t="shared" si="3"/>
        <v>0</v>
      </c>
      <c r="J23" s="384">
        <f t="shared" si="4"/>
        <v>0</v>
      </c>
      <c r="L23" s="735" t="s">
        <v>413</v>
      </c>
      <c r="M23" s="761" t="s">
        <v>6020</v>
      </c>
    </row>
    <row r="24" spans="1:13" ht="14.5">
      <c r="A24" s="377" t="s">
        <v>6945</v>
      </c>
      <c r="B24" s="374">
        <v>1626</v>
      </c>
      <c r="C24" s="375" t="s">
        <v>6928</v>
      </c>
      <c r="D24" s="513"/>
      <c r="E24" s="513"/>
      <c r="F24" s="386">
        <f t="shared" si="0"/>
        <v>1.8187832660000001</v>
      </c>
      <c r="G24" s="386">
        <f t="shared" si="1"/>
        <v>1</v>
      </c>
      <c r="H24" s="386">
        <f t="shared" si="2"/>
        <v>1.2621587876897493</v>
      </c>
      <c r="I24" s="385">
        <f t="shared" si="3"/>
        <v>0</v>
      </c>
      <c r="J24" s="384">
        <f t="shared" si="4"/>
        <v>0</v>
      </c>
      <c r="L24" s="735" t="s">
        <v>413</v>
      </c>
      <c r="M24" s="761" t="s">
        <v>6020</v>
      </c>
    </row>
    <row r="25" spans="1:13" s="37" customFormat="1" ht="13">
      <c r="A25" s="229" t="s">
        <v>3463</v>
      </c>
      <c r="B25" s="380">
        <v>1630</v>
      </c>
      <c r="C25" s="381" t="s">
        <v>3589</v>
      </c>
      <c r="D25" s="852">
        <v>45777</v>
      </c>
      <c r="E25" s="852">
        <v>1365</v>
      </c>
      <c r="F25" s="365">
        <f t="shared" si="0"/>
        <v>1.8187832660000001</v>
      </c>
      <c r="G25" s="365">
        <f t="shared" si="1"/>
        <v>1</v>
      </c>
      <c r="H25" s="365">
        <f t="shared" si="2"/>
        <v>1.2621587876897493</v>
      </c>
      <c r="I25" s="371">
        <f t="shared" si="3"/>
        <v>31767.305046270234</v>
      </c>
      <c r="J25" s="370">
        <f t="shared" si="4"/>
        <v>947.25236228147025</v>
      </c>
      <c r="L25" s="735" t="s">
        <v>2796</v>
      </c>
      <c r="M25" s="761" t="s">
        <v>6018</v>
      </c>
    </row>
    <row r="26" spans="1:13" s="37" customFormat="1" ht="15">
      <c r="A26" s="229" t="s">
        <v>6946</v>
      </c>
      <c r="B26" s="380">
        <v>1872</v>
      </c>
      <c r="C26" s="381" t="s">
        <v>6927</v>
      </c>
      <c r="D26" s="852">
        <v>1616780</v>
      </c>
      <c r="E26" s="852">
        <v>30208000</v>
      </c>
      <c r="F26" s="365">
        <f t="shared" si="0"/>
        <v>1.8187832660000001</v>
      </c>
      <c r="G26" s="365">
        <f t="shared" si="1"/>
        <v>1</v>
      </c>
      <c r="H26" s="365">
        <f t="shared" si="2"/>
        <v>1.2621587876897493</v>
      </c>
      <c r="I26" s="371">
        <f t="shared" si="3"/>
        <v>1121977.0507614911</v>
      </c>
      <c r="J26" s="370">
        <f t="shared" si="4"/>
        <v>20963076.45406495</v>
      </c>
      <c r="L26" s="735" t="s">
        <v>2796</v>
      </c>
      <c r="M26" s="761" t="s">
        <v>6018</v>
      </c>
    </row>
    <row r="27" spans="1:13" ht="14.5">
      <c r="A27" s="373" t="s">
        <v>1007</v>
      </c>
      <c r="B27" s="374">
        <v>1632</v>
      </c>
      <c r="C27" s="375" t="s">
        <v>6928</v>
      </c>
      <c r="D27" s="513">
        <v>791588</v>
      </c>
      <c r="E27" s="513">
        <v>29630000</v>
      </c>
      <c r="F27" s="386">
        <f t="shared" si="0"/>
        <v>1.8187832660000001</v>
      </c>
      <c r="G27" s="386">
        <f t="shared" si="1"/>
        <v>1</v>
      </c>
      <c r="H27" s="386">
        <f t="shared" si="2"/>
        <v>1.2621587876897493</v>
      </c>
      <c r="I27" s="385">
        <f t="shared" si="3"/>
        <v>549328.64685250144</v>
      </c>
      <c r="J27" s="384">
        <f t="shared" si="4"/>
        <v>20561968.860366274</v>
      </c>
      <c r="L27" s="735" t="s">
        <v>2796</v>
      </c>
      <c r="M27" s="761" t="s">
        <v>6020</v>
      </c>
    </row>
    <row r="28" spans="1:13" ht="14.5">
      <c r="A28" s="373" t="s">
        <v>1008</v>
      </c>
      <c r="B28" s="374">
        <v>1633</v>
      </c>
      <c r="C28" s="375" t="s">
        <v>6928</v>
      </c>
      <c r="D28" s="513">
        <v>825195</v>
      </c>
      <c r="E28" s="513">
        <v>577993</v>
      </c>
      <c r="F28" s="386">
        <f t="shared" si="0"/>
        <v>1.8187832660000001</v>
      </c>
      <c r="G28" s="386">
        <f t="shared" si="1"/>
        <v>1</v>
      </c>
      <c r="H28" s="386">
        <f t="shared" si="2"/>
        <v>1.2621587876897493</v>
      </c>
      <c r="I28" s="385">
        <f t="shared" si="3"/>
        <v>572650.48578231339</v>
      </c>
      <c r="J28" s="384">
        <f t="shared" si="4"/>
        <v>401102.73599425191</v>
      </c>
      <c r="L28" s="735" t="s">
        <v>2796</v>
      </c>
      <c r="M28" s="761" t="s">
        <v>6020</v>
      </c>
    </row>
    <row r="29" spans="1:13" s="37" customFormat="1" ht="12.75" customHeight="1">
      <c r="A29" s="229" t="s">
        <v>3462</v>
      </c>
      <c r="B29" s="380">
        <v>1634</v>
      </c>
      <c r="C29" s="381" t="s">
        <v>6927</v>
      </c>
      <c r="D29" s="852">
        <v>169268</v>
      </c>
      <c r="E29" s="852">
        <v>623266</v>
      </c>
      <c r="F29" s="365">
        <f t="shared" si="0"/>
        <v>1.8187832660000001</v>
      </c>
      <c r="G29" s="365">
        <f t="shared" si="1"/>
        <v>1</v>
      </c>
      <c r="H29" s="365">
        <f t="shared" si="2"/>
        <v>1.2621587876897493</v>
      </c>
      <c r="I29" s="371">
        <f t="shared" si="3"/>
        <v>117464.84458509884</v>
      </c>
      <c r="J29" s="370">
        <f t="shared" si="4"/>
        <v>432520.2863221413</v>
      </c>
      <c r="L29" s="735" t="s">
        <v>2796</v>
      </c>
      <c r="M29" s="761" t="s">
        <v>6018</v>
      </c>
    </row>
    <row r="30" spans="1:13" s="37" customFormat="1" ht="12.75" customHeight="1">
      <c r="A30" s="229" t="s">
        <v>2836</v>
      </c>
      <c r="B30" s="380">
        <v>1640</v>
      </c>
      <c r="C30" s="381" t="s">
        <v>6927</v>
      </c>
      <c r="D30" s="852">
        <v>1561910</v>
      </c>
      <c r="E30" s="852">
        <v>733087</v>
      </c>
      <c r="F30" s="365">
        <f t="shared" si="0"/>
        <v>1.8187832660000001</v>
      </c>
      <c r="G30" s="365">
        <f t="shared" si="1"/>
        <v>1</v>
      </c>
      <c r="H30" s="365">
        <f t="shared" si="2"/>
        <v>1.2621587876897493</v>
      </c>
      <c r="I30" s="371">
        <f t="shared" si="3"/>
        <v>1083899.5876710997</v>
      </c>
      <c r="J30" s="370">
        <f t="shared" si="4"/>
        <v>508731.42308266391</v>
      </c>
      <c r="L30" s="735" t="s">
        <v>2796</v>
      </c>
      <c r="M30" s="761" t="s">
        <v>6018</v>
      </c>
    </row>
    <row r="31" spans="1:13" s="37" customFormat="1" ht="12.75" customHeight="1">
      <c r="A31" s="229" t="s">
        <v>8821</v>
      </c>
      <c r="B31" s="380">
        <v>1646</v>
      </c>
      <c r="C31" s="381" t="s">
        <v>6927</v>
      </c>
      <c r="D31" s="852"/>
      <c r="E31" s="852"/>
      <c r="F31" s="365">
        <f t="shared" si="0"/>
        <v>1.2775358644549839</v>
      </c>
      <c r="G31" s="365">
        <f t="shared" si="1"/>
        <v>1</v>
      </c>
      <c r="H31" s="365">
        <f t="shared" si="2"/>
        <v>1.2621587876897493</v>
      </c>
      <c r="I31" s="371">
        <f t="shared" si="3"/>
        <v>0</v>
      </c>
      <c r="J31" s="370">
        <f t="shared" si="4"/>
        <v>0</v>
      </c>
      <c r="L31" s="735" t="s">
        <v>2796</v>
      </c>
      <c r="M31" s="761" t="s">
        <v>6018</v>
      </c>
    </row>
    <row r="32" spans="1:13" s="37" customFormat="1" ht="12.75" customHeight="1">
      <c r="A32" s="843" t="s">
        <v>2835</v>
      </c>
      <c r="B32" s="392">
        <v>1697</v>
      </c>
      <c r="C32" s="375" t="s">
        <v>6928</v>
      </c>
      <c r="D32" s="513">
        <v>499595</v>
      </c>
      <c r="E32" s="513">
        <v>2279690</v>
      </c>
      <c r="F32" s="43">
        <f t="shared" ref="F32:F58" si="5">VLOOKUP("world",constant_forest_increment,2,FALSE)*IF(L32="p",1,1/VLOOKUP(B32,constant_forest_extr,5,FALSE))</f>
        <v>1.2775358644549839</v>
      </c>
      <c r="G32" s="43">
        <f t="shared" si="1"/>
        <v>1</v>
      </c>
      <c r="H32" s="43">
        <f t="shared" si="2"/>
        <v>1.2621587876897493</v>
      </c>
      <c r="I32" s="848">
        <f t="shared" ref="I32" si="6">IFERROR(D32/F32*H32*G32,0)</f>
        <v>493581.61839540239</v>
      </c>
      <c r="J32" s="849">
        <f t="shared" ref="J32" si="7">IFERROR(E32/F32*H32*G32,0)</f>
        <v>2252250.4821701874</v>
      </c>
      <c r="L32" s="846" t="s">
        <v>2796</v>
      </c>
      <c r="M32" s="847" t="s">
        <v>6020</v>
      </c>
    </row>
    <row r="33" spans="1:13" ht="12.75" customHeight="1">
      <c r="A33" s="843" t="s">
        <v>8820</v>
      </c>
      <c r="B33" s="392">
        <v>1606</v>
      </c>
      <c r="C33" s="375" t="s">
        <v>6928</v>
      </c>
      <c r="D33" s="513">
        <v>130500</v>
      </c>
      <c r="E33" s="513">
        <v>6273000</v>
      </c>
      <c r="F33" s="43">
        <f t="shared" si="5"/>
        <v>1.2775358644549839</v>
      </c>
      <c r="G33" s="43">
        <f t="shared" si="1"/>
        <v>1</v>
      </c>
      <c r="H33" s="43">
        <f t="shared" si="2"/>
        <v>1.2621587876897493</v>
      </c>
      <c r="I33" s="848">
        <f t="shared" si="3"/>
        <v>128929.23508161613</v>
      </c>
      <c r="J33" s="849">
        <f t="shared" si="4"/>
        <v>6197494.9553025123</v>
      </c>
      <c r="K33" s="37"/>
      <c r="L33" s="846" t="s">
        <v>2796</v>
      </c>
      <c r="M33" s="847" t="s">
        <v>6020</v>
      </c>
    </row>
    <row r="34" spans="1:13" ht="12.75" customHeight="1">
      <c r="A34" s="229" t="s">
        <v>6947</v>
      </c>
      <c r="B34" s="380">
        <v>1874</v>
      </c>
      <c r="C34" s="381" t="s">
        <v>6927</v>
      </c>
      <c r="D34" s="852">
        <v>920081</v>
      </c>
      <c r="E34" s="852">
        <v>877505</v>
      </c>
      <c r="F34" s="365">
        <f t="shared" si="5"/>
        <v>0.98247769632562731</v>
      </c>
      <c r="G34" s="365">
        <f t="shared" si="1"/>
        <v>1</v>
      </c>
      <c r="H34" s="365">
        <f t="shared" si="2"/>
        <v>1.2621587876897493</v>
      </c>
      <c r="I34" s="371">
        <f t="shared" si="3"/>
        <v>1181999.6768165624</v>
      </c>
      <c r="J34" s="370">
        <f t="shared" si="4"/>
        <v>1127303.6030576846</v>
      </c>
      <c r="L34" s="735" t="s">
        <v>2796</v>
      </c>
      <c r="M34" s="761" t="s">
        <v>6018</v>
      </c>
    </row>
    <row r="35" spans="1:13" ht="12.75" customHeight="1">
      <c r="A35" s="376" t="s">
        <v>2906</v>
      </c>
      <c r="B35" s="374">
        <v>1647</v>
      </c>
      <c r="C35" s="375" t="s">
        <v>6928</v>
      </c>
      <c r="D35" s="513">
        <v>76751</v>
      </c>
      <c r="E35" s="513">
        <v>103433</v>
      </c>
      <c r="F35" s="386">
        <f t="shared" si="5"/>
        <v>0.98247769632562731</v>
      </c>
      <c r="G35" s="386">
        <f t="shared" si="1"/>
        <v>1</v>
      </c>
      <c r="H35" s="386">
        <f t="shared" si="2"/>
        <v>1.2621587876897493</v>
      </c>
      <c r="I35" s="385">
        <f t="shared" si="3"/>
        <v>98599.641982986257</v>
      </c>
      <c r="J35" s="384">
        <f t="shared" si="4"/>
        <v>132877.18426113299</v>
      </c>
      <c r="L35" s="735" t="s">
        <v>2796</v>
      </c>
      <c r="M35" s="761" t="s">
        <v>6020</v>
      </c>
    </row>
    <row r="36" spans="1:13" s="37" customFormat="1" ht="12.75" customHeight="1">
      <c r="A36" s="376" t="s">
        <v>2908</v>
      </c>
      <c r="B36" s="374">
        <v>1648</v>
      </c>
      <c r="C36" s="375" t="s">
        <v>6928</v>
      </c>
      <c r="D36" s="513">
        <v>705252</v>
      </c>
      <c r="E36" s="513">
        <v>635140</v>
      </c>
      <c r="F36" s="386">
        <f t="shared" si="5"/>
        <v>0.98247769632562731</v>
      </c>
      <c r="G36" s="386">
        <f t="shared" si="1"/>
        <v>1</v>
      </c>
      <c r="H36" s="386">
        <f t="shared" si="2"/>
        <v>1.2621587876897493</v>
      </c>
      <c r="I36" s="385">
        <f t="shared" si="3"/>
        <v>906015.48784752027</v>
      </c>
      <c r="J36" s="384">
        <f t="shared" si="4"/>
        <v>815944.76435582456</v>
      </c>
      <c r="K36" s="36"/>
      <c r="L36" s="735" t="s">
        <v>2796</v>
      </c>
      <c r="M36" s="761" t="s">
        <v>6020</v>
      </c>
    </row>
    <row r="37" spans="1:13" s="37" customFormat="1" ht="12.75" customHeight="1">
      <c r="A37" s="376" t="s">
        <v>2907</v>
      </c>
      <c r="B37" s="374">
        <v>1650</v>
      </c>
      <c r="C37" s="375" t="s">
        <v>6928</v>
      </c>
      <c r="D37" s="513">
        <v>138078</v>
      </c>
      <c r="E37" s="513">
        <v>138932</v>
      </c>
      <c r="F37" s="386">
        <f t="shared" si="5"/>
        <v>0.98247769632562731</v>
      </c>
      <c r="G37" s="386">
        <f t="shared" si="1"/>
        <v>1</v>
      </c>
      <c r="H37" s="386">
        <f t="shared" si="2"/>
        <v>1.2621587876897493</v>
      </c>
      <c r="I37" s="385">
        <f t="shared" si="3"/>
        <v>177384.54698605591</v>
      </c>
      <c r="J37" s="384">
        <f t="shared" si="4"/>
        <v>178481.65444072714</v>
      </c>
      <c r="L37" s="735" t="s">
        <v>2796</v>
      </c>
      <c r="M37" s="761" t="s">
        <v>6020</v>
      </c>
    </row>
    <row r="38" spans="1:13" s="37" customFormat="1" ht="12.75" customHeight="1">
      <c r="A38" s="229" t="s">
        <v>2909</v>
      </c>
      <c r="B38" s="380">
        <v>1654</v>
      </c>
      <c r="C38" s="381" t="s">
        <v>3589</v>
      </c>
      <c r="D38" s="852"/>
      <c r="E38" s="852"/>
      <c r="F38" s="365">
        <f t="shared" si="5"/>
        <v>0.7545001277022656</v>
      </c>
      <c r="G38" s="365">
        <f t="shared" si="1"/>
        <v>1</v>
      </c>
      <c r="H38" s="365">
        <f t="shared" si="2"/>
        <v>1.2621587876897493</v>
      </c>
      <c r="I38" s="371">
        <f t="shared" si="3"/>
        <v>0</v>
      </c>
      <c r="J38" s="370">
        <f t="shared" si="4"/>
        <v>0</v>
      </c>
      <c r="L38" s="735" t="s">
        <v>2796</v>
      </c>
      <c r="M38" s="761" t="s">
        <v>6018</v>
      </c>
    </row>
    <row r="39" spans="1:13" ht="12.75" customHeight="1">
      <c r="A39" s="229" t="s">
        <v>1009</v>
      </c>
      <c r="B39" s="380">
        <v>1655</v>
      </c>
      <c r="C39" s="381" t="s">
        <v>3589</v>
      </c>
      <c r="D39" s="852"/>
      <c r="E39" s="852"/>
      <c r="F39" s="365">
        <f t="shared" si="5"/>
        <v>0.68839718777528647</v>
      </c>
      <c r="G39" s="365">
        <f t="shared" si="1"/>
        <v>1</v>
      </c>
      <c r="H39" s="365">
        <f t="shared" si="2"/>
        <v>1.2621587876897493</v>
      </c>
      <c r="I39" s="371">
        <f t="shared" si="3"/>
        <v>0</v>
      </c>
      <c r="J39" s="370">
        <f t="shared" si="4"/>
        <v>0</v>
      </c>
      <c r="K39" s="37"/>
      <c r="L39" s="735" t="s">
        <v>2796</v>
      </c>
      <c r="M39" s="761" t="s">
        <v>6018</v>
      </c>
    </row>
    <row r="40" spans="1:13" ht="12.75" customHeight="1">
      <c r="A40" s="229" t="s">
        <v>4785</v>
      </c>
      <c r="B40" s="380">
        <v>1656</v>
      </c>
      <c r="C40" s="381" t="s">
        <v>3589</v>
      </c>
      <c r="D40" s="852">
        <v>343747</v>
      </c>
      <c r="E40" s="852">
        <v>7177690</v>
      </c>
      <c r="F40" s="365">
        <f t="shared" si="5"/>
        <v>0.38204597972080051</v>
      </c>
      <c r="G40" s="365">
        <f t="shared" si="1"/>
        <v>1</v>
      </c>
      <c r="H40" s="365">
        <f t="shared" si="2"/>
        <v>1.2621587876897493</v>
      </c>
      <c r="I40" s="371">
        <f t="shared" si="3"/>
        <v>1135631.1015471381</v>
      </c>
      <c r="J40" s="370">
        <f t="shared" si="4"/>
        <v>23712812.042763654</v>
      </c>
      <c r="L40" s="735" t="s">
        <v>2796</v>
      </c>
      <c r="M40" s="761" t="s">
        <v>6018</v>
      </c>
    </row>
    <row r="41" spans="1:13" ht="12.75" customHeight="1">
      <c r="A41" s="376" t="s">
        <v>5903</v>
      </c>
      <c r="B41" s="374">
        <v>1660</v>
      </c>
      <c r="C41" s="375" t="s">
        <v>3589</v>
      </c>
      <c r="D41" s="513"/>
      <c r="E41" s="513"/>
      <c r="F41" s="386">
        <f t="shared" si="5"/>
        <v>0.68839718777528647</v>
      </c>
      <c r="G41" s="386">
        <f t="shared" si="1"/>
        <v>1</v>
      </c>
      <c r="H41" s="386">
        <f t="shared" si="2"/>
        <v>1.2621587876897493</v>
      </c>
      <c r="I41" s="385">
        <f t="shared" si="3"/>
        <v>0</v>
      </c>
      <c r="J41" s="384">
        <f t="shared" si="4"/>
        <v>0</v>
      </c>
      <c r="L41" s="735" t="s">
        <v>2796</v>
      </c>
      <c r="M41" s="761" t="s">
        <v>6020</v>
      </c>
    </row>
    <row r="42" spans="1:13" ht="12.75" customHeight="1">
      <c r="A42" s="376" t="s">
        <v>5904</v>
      </c>
      <c r="B42" s="374">
        <v>1661</v>
      </c>
      <c r="C42" s="375" t="s">
        <v>3589</v>
      </c>
      <c r="D42" s="513"/>
      <c r="E42" s="513"/>
      <c r="F42" s="386">
        <f t="shared" si="5"/>
        <v>0.68839718777528647</v>
      </c>
      <c r="G42" s="386">
        <f t="shared" si="1"/>
        <v>1</v>
      </c>
      <c r="H42" s="386">
        <f t="shared" si="2"/>
        <v>1.2621587876897493</v>
      </c>
      <c r="I42" s="385">
        <f t="shared" si="3"/>
        <v>0</v>
      </c>
      <c r="J42" s="384">
        <f t="shared" si="4"/>
        <v>0</v>
      </c>
      <c r="L42" s="735" t="s">
        <v>2796</v>
      </c>
      <c r="M42" s="761" t="s">
        <v>6020</v>
      </c>
    </row>
    <row r="43" spans="1:13" s="37" customFormat="1" ht="12.75" customHeight="1">
      <c r="A43" s="376" t="s">
        <v>5905</v>
      </c>
      <c r="B43" s="374">
        <v>1662</v>
      </c>
      <c r="C43" s="375" t="s">
        <v>3589</v>
      </c>
      <c r="D43" s="513">
        <v>1770</v>
      </c>
      <c r="E43" s="513">
        <v>270012</v>
      </c>
      <c r="F43" s="386">
        <f t="shared" si="5"/>
        <v>0.68839718777528647</v>
      </c>
      <c r="G43" s="386">
        <f t="shared" si="1"/>
        <v>1</v>
      </c>
      <c r="H43" s="386">
        <f t="shared" si="2"/>
        <v>1.2621587876897493</v>
      </c>
      <c r="I43" s="385">
        <f t="shared" si="3"/>
        <v>3245.2501170590313</v>
      </c>
      <c r="J43" s="384">
        <f t="shared" si="4"/>
        <v>495060.15514539159</v>
      </c>
      <c r="K43" s="36"/>
      <c r="L43" s="735" t="s">
        <v>2796</v>
      </c>
      <c r="M43" s="761" t="s">
        <v>6020</v>
      </c>
    </row>
    <row r="44" spans="1:13" s="37" customFormat="1" ht="12.75" customHeight="1">
      <c r="A44" s="376" t="s">
        <v>5906</v>
      </c>
      <c r="B44" s="374">
        <v>1663</v>
      </c>
      <c r="C44" s="375" t="s">
        <v>3589</v>
      </c>
      <c r="D44" s="513">
        <v>320787</v>
      </c>
      <c r="E44" s="513">
        <v>6636230</v>
      </c>
      <c r="F44" s="386">
        <f t="shared" si="5"/>
        <v>0.68839718777528647</v>
      </c>
      <c r="G44" s="386">
        <f t="shared" si="1"/>
        <v>1</v>
      </c>
      <c r="H44" s="386">
        <f t="shared" si="2"/>
        <v>1.2621587876897493</v>
      </c>
      <c r="I44" s="385">
        <f t="shared" si="3"/>
        <v>588154.83011356799</v>
      </c>
      <c r="J44" s="384">
        <f t="shared" si="4"/>
        <v>12167359.426175511</v>
      </c>
      <c r="L44" s="735" t="s">
        <v>2796</v>
      </c>
      <c r="M44" s="761" t="s">
        <v>6020</v>
      </c>
    </row>
    <row r="45" spans="1:13" s="37" customFormat="1" ht="12.75" customHeight="1">
      <c r="A45" s="229" t="s">
        <v>4786</v>
      </c>
      <c r="B45" s="380">
        <v>1667</v>
      </c>
      <c r="C45" s="381" t="s">
        <v>3589</v>
      </c>
      <c r="D45" s="852">
        <v>129</v>
      </c>
      <c r="E45" s="852">
        <v>522060</v>
      </c>
      <c r="F45" s="365">
        <f t="shared" si="5"/>
        <v>0.38204597972080051</v>
      </c>
      <c r="G45" s="365">
        <f t="shared" si="1"/>
        <v>1</v>
      </c>
      <c r="H45" s="365">
        <f t="shared" si="2"/>
        <v>1.2621587876897493</v>
      </c>
      <c r="I45" s="371">
        <f t="shared" si="3"/>
        <v>426.17509999965324</v>
      </c>
      <c r="J45" s="370">
        <f t="shared" si="4"/>
        <v>1724720.7186497597</v>
      </c>
      <c r="L45" s="735" t="s">
        <v>2796</v>
      </c>
      <c r="M45" s="761" t="s">
        <v>6018</v>
      </c>
    </row>
    <row r="46" spans="1:13" ht="12.75" customHeight="1">
      <c r="A46" s="229" t="s">
        <v>2910</v>
      </c>
      <c r="B46" s="380">
        <v>1671</v>
      </c>
      <c r="C46" s="381" t="s">
        <v>3589</v>
      </c>
      <c r="D46" s="852">
        <v>26556</v>
      </c>
      <c r="E46" s="852">
        <v>2845010</v>
      </c>
      <c r="F46" s="365">
        <f t="shared" si="5"/>
        <v>0.56049242626637763</v>
      </c>
      <c r="G46" s="365">
        <f t="shared" si="1"/>
        <v>1</v>
      </c>
      <c r="H46" s="365">
        <f t="shared" si="2"/>
        <v>1.2621587876897493</v>
      </c>
      <c r="I46" s="371">
        <f t="shared" si="3"/>
        <v>59800.788012716854</v>
      </c>
      <c r="J46" s="370">
        <f t="shared" si="4"/>
        <v>6406606.4130162522</v>
      </c>
      <c r="K46" s="37"/>
      <c r="L46" s="735" t="s">
        <v>2796</v>
      </c>
      <c r="M46" s="761" t="s">
        <v>6018</v>
      </c>
    </row>
    <row r="47" spans="1:13" ht="12.75" customHeight="1">
      <c r="A47" s="229" t="s">
        <v>49</v>
      </c>
      <c r="B47" s="380">
        <v>1674</v>
      </c>
      <c r="C47" s="381" t="s">
        <v>3589</v>
      </c>
      <c r="D47" s="852">
        <v>644355</v>
      </c>
      <c r="E47" s="852">
        <v>2395060</v>
      </c>
      <c r="F47" s="365">
        <f t="shared" si="5"/>
        <v>0.4543371417740909</v>
      </c>
      <c r="G47" s="365">
        <f t="shared" si="1"/>
        <v>1</v>
      </c>
      <c r="H47" s="365">
        <f t="shared" si="2"/>
        <v>1.2621587876897493</v>
      </c>
      <c r="I47" s="371">
        <f t="shared" si="3"/>
        <v>1790032.6670765851</v>
      </c>
      <c r="J47" s="370">
        <f t="shared" si="4"/>
        <v>6653530.4911243739</v>
      </c>
      <c r="L47" s="735" t="s">
        <v>2796</v>
      </c>
      <c r="M47" s="761" t="s">
        <v>6018</v>
      </c>
    </row>
    <row r="48" spans="1:13" ht="12.75" customHeight="1">
      <c r="A48" s="376" t="s">
        <v>5894</v>
      </c>
      <c r="B48" s="374">
        <v>1612</v>
      </c>
      <c r="C48" s="375" t="s">
        <v>3589</v>
      </c>
      <c r="D48" s="513">
        <v>21818</v>
      </c>
      <c r="E48" s="513">
        <v>1513830</v>
      </c>
      <c r="F48" s="386">
        <f t="shared" si="5"/>
        <v>1.8187832660000001</v>
      </c>
      <c r="G48" s="386">
        <f t="shared" si="1"/>
        <v>1</v>
      </c>
      <c r="H48" s="386">
        <f t="shared" si="2"/>
        <v>1.2621587876897493</v>
      </c>
      <c r="I48" s="385">
        <f t="shared" si="3"/>
        <v>15140.770725463091</v>
      </c>
      <c r="J48" s="384">
        <f t="shared" si="4"/>
        <v>1050534.097870006</v>
      </c>
      <c r="L48" s="735" t="s">
        <v>2796</v>
      </c>
      <c r="M48" s="761" t="s">
        <v>6020</v>
      </c>
    </row>
    <row r="49" spans="1:13" ht="12.75" customHeight="1">
      <c r="A49" s="376" t="s">
        <v>5895</v>
      </c>
      <c r="B49" s="374">
        <v>1615</v>
      </c>
      <c r="C49" s="375" t="s">
        <v>3589</v>
      </c>
      <c r="D49" s="513">
        <v>223422</v>
      </c>
      <c r="E49" s="513">
        <v>433489</v>
      </c>
      <c r="F49" s="386">
        <f t="shared" si="5"/>
        <v>1.8187832660000001</v>
      </c>
      <c r="G49" s="386">
        <f t="shared" si="1"/>
        <v>1</v>
      </c>
      <c r="H49" s="386">
        <f t="shared" si="2"/>
        <v>1.2621587876897493</v>
      </c>
      <c r="I49" s="385">
        <f t="shared" si="3"/>
        <v>155045.43390890158</v>
      </c>
      <c r="J49" s="384">
        <f t="shared" si="4"/>
        <v>300823.06173848518</v>
      </c>
      <c r="L49" s="735" t="s">
        <v>2796</v>
      </c>
      <c r="M49" s="761" t="s">
        <v>6020</v>
      </c>
    </row>
    <row r="50" spans="1:13" s="37" customFormat="1" ht="12.75" customHeight="1">
      <c r="A50" s="376" t="s">
        <v>5896</v>
      </c>
      <c r="B50" s="374">
        <v>1616</v>
      </c>
      <c r="C50" s="375" t="s">
        <v>3589</v>
      </c>
      <c r="D50" s="513">
        <v>399115</v>
      </c>
      <c r="E50" s="513">
        <v>447740</v>
      </c>
      <c r="F50" s="386">
        <f t="shared" si="5"/>
        <v>0.4543371417740909</v>
      </c>
      <c r="G50" s="386">
        <f t="shared" si="1"/>
        <v>1</v>
      </c>
      <c r="H50" s="386">
        <f t="shared" si="2"/>
        <v>1.2621587876897493</v>
      </c>
      <c r="I50" s="385">
        <f t="shared" si="3"/>
        <v>1108750.4371352301</v>
      </c>
      <c r="J50" s="384">
        <f t="shared" si="4"/>
        <v>1243831.7796197284</v>
      </c>
      <c r="K50" s="36"/>
      <c r="L50" s="735" t="s">
        <v>2796</v>
      </c>
      <c r="M50" s="761" t="s">
        <v>6020</v>
      </c>
    </row>
    <row r="51" spans="1:13" s="37" customFormat="1" ht="12.75" customHeight="1">
      <c r="A51" s="229" t="s">
        <v>4403</v>
      </c>
      <c r="B51" s="380">
        <v>1675</v>
      </c>
      <c r="C51" s="381" t="s">
        <v>3589</v>
      </c>
      <c r="D51" s="852">
        <v>1951780</v>
      </c>
      <c r="E51" s="852">
        <v>2289920</v>
      </c>
      <c r="F51" s="365">
        <f t="shared" si="5"/>
        <v>0.52462263269114562</v>
      </c>
      <c r="G51" s="365">
        <f t="shared" si="1"/>
        <v>1</v>
      </c>
      <c r="H51" s="365">
        <f t="shared" si="2"/>
        <v>1.2621587876897493</v>
      </c>
      <c r="I51" s="371">
        <f>IFERROR(IF(VLOOKUP(1676,$B$10:$D$58,3,FALSE)+VLOOKUP(1681,$B$10:$D$58,3,FALSE)+VLOOKUP(1683,$B$10:$D$58,3,FALSE)&lt;=VLOOKUP(1675,$B$10:$D$58,3,FALSE),D51/F51*H51*G51,0),0)</f>
        <v>4695672.8992044423</v>
      </c>
      <c r="J51" s="364">
        <f>IFERROR(IF(VLOOKUP(1676,$B$10:$E$58,4,FALSE)+VLOOKUP(1681,$B$10:$E$58,4,FALSE)+VLOOKUP(1683,$B$10:$E$58,4,FALSE)&lt;=VLOOKUP(1675,$B$10:$E$58,4,FALSE),E51/F51*H51*G51,0),0)</f>
        <v>5509184.0706156613</v>
      </c>
      <c r="L51" s="735" t="s">
        <v>2796</v>
      </c>
      <c r="M51" s="761" t="s">
        <v>6018</v>
      </c>
    </row>
    <row r="52" spans="1:13" ht="12.75" customHeight="1">
      <c r="A52" s="229" t="s">
        <v>6948</v>
      </c>
      <c r="B52" s="380">
        <v>1676</v>
      </c>
      <c r="C52" s="381" t="s">
        <v>3589</v>
      </c>
      <c r="D52" s="852">
        <v>102467</v>
      </c>
      <c r="E52" s="852">
        <v>130646</v>
      </c>
      <c r="F52" s="365">
        <f t="shared" si="5"/>
        <v>0.52462263269114562</v>
      </c>
      <c r="G52" s="365">
        <f t="shared" si="1"/>
        <v>1</v>
      </c>
      <c r="H52" s="365">
        <f t="shared" si="2"/>
        <v>1.2621587876897493</v>
      </c>
      <c r="I52" s="371">
        <f>IFERROR(IF(VLOOKUP(1676,$B$10:$D$58,3,FALSE)+VLOOKUP(1681,$B$10:$D$58,3,FALSE)+VLOOKUP(1683,$B$10:$D$58,3,FALSE)&gt;VLOOKUP(1675,$B$10:$D$58,3,FALSE),D52/F52*H52*G52,0),0)</f>
        <v>0</v>
      </c>
      <c r="J52" s="364">
        <f>IFERROR(IF(VLOOKUP(1676,$B$10:$E$58,4,FALSE)+VLOOKUP(1681,$B$10:$E$58,4,FALSE)+VLOOKUP(1683,$B$10:$E$58,4,FALSE)&gt;VLOOKUP(1675,$B$10:$E$58,4,FALSE),E52/F52*H52*G52,0),0)</f>
        <v>0</v>
      </c>
      <c r="K52" s="37"/>
      <c r="L52" s="735" t="s">
        <v>2796</v>
      </c>
      <c r="M52" s="761" t="s">
        <v>6018</v>
      </c>
    </row>
    <row r="53" spans="1:13" ht="12.75" customHeight="1">
      <c r="A53" s="229" t="s">
        <v>6949</v>
      </c>
      <c r="B53" s="380">
        <v>1681</v>
      </c>
      <c r="C53" s="381" t="s">
        <v>3589</v>
      </c>
      <c r="D53" s="852"/>
      <c r="E53" s="852"/>
      <c r="F53" s="365">
        <f t="shared" si="5"/>
        <v>0.52462263269114562</v>
      </c>
      <c r="G53" s="365">
        <f t="shared" si="1"/>
        <v>1</v>
      </c>
      <c r="H53" s="365">
        <f t="shared" si="2"/>
        <v>1.2621587876897493</v>
      </c>
      <c r="I53" s="371">
        <f>IFERROR(IF(VLOOKUP(1676,$B$10:$D$58,3,FALSE)+VLOOKUP(1681,$B$10:$D$58,3,FALSE)+VLOOKUP(1683,$B$10:$D$58,3,FALSE)&gt;VLOOKUP(1675,$B$10:$D$58,3,FALSE),D53/F53*H53*G53,0),0)</f>
        <v>0</v>
      </c>
      <c r="J53" s="364">
        <f>IFERROR(IF(VLOOKUP(1676,$B$10:$E$58,4,FALSE)+VLOOKUP(1681,$B$10:$E$58,4,FALSE)+VLOOKUP(1683,$B$10:$E$58,4,FALSE)&gt;VLOOKUP(1675,$B$10:$E$58,4,FALSE),E53/F53*H53*G53,0),0)</f>
        <v>0</v>
      </c>
      <c r="L53" s="735" t="s">
        <v>2796</v>
      </c>
      <c r="M53" s="761" t="s">
        <v>6018</v>
      </c>
    </row>
    <row r="54" spans="1:13" ht="12.75" customHeight="1">
      <c r="A54" s="376" t="s">
        <v>5897</v>
      </c>
      <c r="B54" s="374">
        <v>1617</v>
      </c>
      <c r="C54" s="375" t="s">
        <v>3589</v>
      </c>
      <c r="D54" s="513">
        <v>724774</v>
      </c>
      <c r="E54" s="513">
        <v>1265670</v>
      </c>
      <c r="F54" s="386">
        <f t="shared" si="5"/>
        <v>0.52462263269114562</v>
      </c>
      <c r="G54" s="386">
        <f t="shared" si="1"/>
        <v>1</v>
      </c>
      <c r="H54" s="386">
        <f t="shared" si="2"/>
        <v>1.2621587876897493</v>
      </c>
      <c r="I54" s="385">
        <f>IFERROR(D54/F54*H54*G54,0)</f>
        <v>1743691.2099970286</v>
      </c>
      <c r="J54" s="384">
        <f>IFERROR(E54/F54*H54*G54,0)</f>
        <v>3045001.1365707642</v>
      </c>
      <c r="L54" s="735" t="s">
        <v>2796</v>
      </c>
      <c r="M54" s="761" t="s">
        <v>6020</v>
      </c>
    </row>
    <row r="55" spans="1:13" ht="12.75" customHeight="1">
      <c r="A55" s="376" t="s">
        <v>5898</v>
      </c>
      <c r="B55" s="374">
        <v>1618</v>
      </c>
      <c r="C55" s="375" t="s">
        <v>3589</v>
      </c>
      <c r="D55" s="513">
        <v>677780</v>
      </c>
      <c r="E55" s="513">
        <v>391363</v>
      </c>
      <c r="F55" s="386">
        <f t="shared" si="5"/>
        <v>0.52462263269114562</v>
      </c>
      <c r="G55" s="386">
        <f t="shared" si="1"/>
        <v>1</v>
      </c>
      <c r="H55" s="386">
        <f t="shared" si="2"/>
        <v>1.2621587876897493</v>
      </c>
      <c r="I55" s="385">
        <f>IFERROR(D55/F55*H55*G55,0)</f>
        <v>1630631.10474684</v>
      </c>
      <c r="J55" s="384">
        <f>IFERROR(E55/F55*H55*G55,0)</f>
        <v>941557.26201280276</v>
      </c>
      <c r="L55" s="735" t="s">
        <v>2796</v>
      </c>
      <c r="M55" s="761" t="s">
        <v>6020</v>
      </c>
    </row>
    <row r="56" spans="1:13" s="37" customFormat="1" ht="12.75" customHeight="1">
      <c r="A56" s="376" t="s">
        <v>5901</v>
      </c>
      <c r="B56" s="374">
        <v>1621</v>
      </c>
      <c r="C56" s="375" t="s">
        <v>3589</v>
      </c>
      <c r="D56" s="513">
        <v>390649</v>
      </c>
      <c r="E56" s="513">
        <v>428697</v>
      </c>
      <c r="F56" s="386">
        <f t="shared" si="5"/>
        <v>0.52462263269114562</v>
      </c>
      <c r="G56" s="386">
        <f t="shared" si="1"/>
        <v>1</v>
      </c>
      <c r="H56" s="386">
        <f t="shared" si="2"/>
        <v>1.2621587876897493</v>
      </c>
      <c r="I56" s="385">
        <f>IFERROR(D56/F56*H56*G56,0)</f>
        <v>939839.49133678805</v>
      </c>
      <c r="J56" s="384">
        <f>IFERROR(E56/F56*H56*G56,0)</f>
        <v>1031376.9404698516</v>
      </c>
      <c r="K56" s="36"/>
      <c r="L56" s="735" t="s">
        <v>2796</v>
      </c>
      <c r="M56" s="761" t="s">
        <v>6020</v>
      </c>
    </row>
    <row r="57" spans="1:13" ht="12.75" customHeight="1">
      <c r="A57" s="376" t="s">
        <v>6950</v>
      </c>
      <c r="B57" s="374">
        <v>1622</v>
      </c>
      <c r="C57" s="375" t="s">
        <v>3589</v>
      </c>
      <c r="D57" s="513">
        <v>28111</v>
      </c>
      <c r="E57" s="513">
        <v>64503</v>
      </c>
      <c r="F57" s="386">
        <f t="shared" si="5"/>
        <v>0.52462263269114562</v>
      </c>
      <c r="G57" s="386">
        <f t="shared" si="1"/>
        <v>1</v>
      </c>
      <c r="H57" s="386">
        <f t="shared" si="2"/>
        <v>1.2621587876897493</v>
      </c>
      <c r="I57" s="385">
        <f>IFERROR(D57/F57*H57*G57,0)</f>
        <v>67630.604304550754</v>
      </c>
      <c r="J57" s="384">
        <f>IFERROR(E57/F57*H57*G57,0)</f>
        <v>155183.98027307593</v>
      </c>
      <c r="K57" s="37"/>
      <c r="L57" s="735" t="s">
        <v>2796</v>
      </c>
      <c r="M57" s="761" t="s">
        <v>6020</v>
      </c>
    </row>
    <row r="58" spans="1:13" ht="12.75" customHeight="1">
      <c r="A58" s="77" t="s">
        <v>6951</v>
      </c>
      <c r="B58" s="382">
        <v>1683</v>
      </c>
      <c r="C58" s="383" t="s">
        <v>3589</v>
      </c>
      <c r="D58" s="855">
        <v>27996</v>
      </c>
      <c r="E58" s="855">
        <v>9042</v>
      </c>
      <c r="F58" s="368">
        <f t="shared" si="5"/>
        <v>0.52462263269114562</v>
      </c>
      <c r="G58" s="347">
        <f t="shared" si="1"/>
        <v>1</v>
      </c>
      <c r="H58" s="347">
        <f t="shared" si="2"/>
        <v>1.2621587876897493</v>
      </c>
      <c r="I58" s="372">
        <f>IFERROR(IF(VLOOKUP(1676,$B$10:$D$58,3,FALSE)+VLOOKUP(1681,$B$10:$D$58,3,FALSE)+VLOOKUP(1683,$B$10:$D$58,3,FALSE)&gt;VLOOKUP(1675,$B$10:$D$58,3,FALSE),D58/F58*H58*G58,0),0)</f>
        <v>0</v>
      </c>
      <c r="J58" s="366">
        <f>IFERROR(IF(VLOOKUP(1676,$B$10:$E$58,4,FALSE)+VLOOKUP(1681,$B$10:$E$58,4,FALSE)+VLOOKUP(1683,$B$10:$E$58,4,FALSE)&gt;VLOOKUP(1675,$B$10:$E$58,4,FALSE),E58/F58*H58*G58,0),0)</f>
        <v>0</v>
      </c>
      <c r="L58" s="737" t="s">
        <v>2796</v>
      </c>
      <c r="M58" s="763" t="s">
        <v>6018</v>
      </c>
    </row>
  </sheetData>
  <phoneticPr fontId="5" type="noConversion"/>
  <hyperlinks>
    <hyperlink ref="D3" location="ef_forest_products!A1" tooltip="Go to ef_forest" display="ef_forest_products" xr:uid="{00000000-0004-0000-3700-000000000000}"/>
    <hyperlink ref="D2" location="constant_forest_extr!A1" tooltip="Go to eqf" display="constant_forest_extr" xr:uid="{00000000-0004-0000-3700-000001000000}"/>
    <hyperlink ref="E2" location="eqf!A1" tooltip="Go to eqf" display="eqf" xr:uid="{00000000-0004-0000-3700-000002000000}"/>
    <hyperlink ref="E3" location="forest_efi_efe!A1" tooltip="Go to forest_efi_efe" display="forest_efi_efe" xr:uid="{00000000-0004-0000-3700-000003000000}"/>
    <hyperlink ref="G2" location="constant_forest_increment!A1" tooltip="Go to eqf" display="constant_forest_increment" xr:uid="{00000000-0004-0000-3700-000004000000}"/>
  </hyperlinks>
  <pageMargins left="0.75" right="0.75" top="1" bottom="1" header="0.5" footer="0.5"/>
  <pageSetup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01">
    <tabColor theme="9"/>
  </sheetPr>
  <dimension ref="A1:F63"/>
  <sheetViews>
    <sheetView zoomScaleNormal="100" workbookViewId="0">
      <pane ySplit="6" topLeftCell="A7" activePane="bottomLeft" state="frozen"/>
      <selection pane="bottomLeft" activeCell="A65536" sqref="A65536"/>
    </sheetView>
  </sheetViews>
  <sheetFormatPr defaultColWidth="9.1796875" defaultRowHeight="12.5"/>
  <cols>
    <col min="1" max="1" width="47.26953125" style="253" customWidth="1"/>
    <col min="2" max="2" width="10.1796875" style="253" customWidth="1"/>
    <col min="3" max="3" width="8.1796875" style="253" customWidth="1"/>
    <col min="4" max="8" width="9.1796875" style="253"/>
    <col min="9" max="9" width="12.7265625" style="253" customWidth="1"/>
    <col min="10" max="10" width="10.7265625" style="253" customWidth="1"/>
    <col min="11" max="16384" width="9.1796875" style="253"/>
  </cols>
  <sheetData>
    <row r="1" spans="1:6">
      <c r="A1" s="36"/>
    </row>
    <row r="2" spans="1:6" ht="13">
      <c r="A2" s="36"/>
      <c r="C2" s="37" t="s">
        <v>985</v>
      </c>
      <c r="E2" s="253" t="s">
        <v>6158</v>
      </c>
    </row>
    <row r="3" spans="1:6" ht="13">
      <c r="A3" s="36"/>
      <c r="C3" s="266" t="s">
        <v>986</v>
      </c>
      <c r="E3" s="466" t="s">
        <v>3234</v>
      </c>
      <c r="F3" s="466" t="s">
        <v>8830</v>
      </c>
    </row>
    <row r="4" spans="1:6">
      <c r="A4" s="36"/>
    </row>
    <row r="5" spans="1:6" ht="13">
      <c r="A5" s="987" t="s">
        <v>1923</v>
      </c>
      <c r="B5" s="988" t="s">
        <v>1907</v>
      </c>
      <c r="C5" s="910" t="s">
        <v>2532</v>
      </c>
      <c r="D5" s="988" t="s">
        <v>5789</v>
      </c>
      <c r="E5" s="910" t="s">
        <v>5790</v>
      </c>
      <c r="F5" s="1010" t="s">
        <v>2966</v>
      </c>
    </row>
    <row r="6" spans="1:6">
      <c r="A6" s="1012" t="s">
        <v>542</v>
      </c>
      <c r="B6" s="990" t="s">
        <v>542</v>
      </c>
      <c r="C6" s="990" t="s">
        <v>542</v>
      </c>
      <c r="D6" s="990" t="s">
        <v>542</v>
      </c>
      <c r="E6" s="990"/>
      <c r="F6" s="991"/>
    </row>
    <row r="7" spans="1:6" ht="14.5">
      <c r="A7" s="18" t="s">
        <v>1006</v>
      </c>
      <c r="B7" s="234">
        <v>1601</v>
      </c>
      <c r="C7" s="18" t="s">
        <v>4404</v>
      </c>
      <c r="D7" s="18" t="s">
        <v>5792</v>
      </c>
      <c r="E7" s="594">
        <v>1</v>
      </c>
      <c r="F7" s="595">
        <v>1</v>
      </c>
    </row>
    <row r="8" spans="1:6" ht="14.5">
      <c r="A8" t="s">
        <v>3228</v>
      </c>
      <c r="B8" s="233">
        <v>1602</v>
      </c>
      <c r="C8" t="s">
        <v>4404</v>
      </c>
      <c r="D8" t="s">
        <v>5792</v>
      </c>
      <c r="E8" s="596">
        <v>1</v>
      </c>
      <c r="F8" s="591">
        <v>1</v>
      </c>
    </row>
    <row r="9" spans="1:6" ht="14.5">
      <c r="A9" t="s">
        <v>3229</v>
      </c>
      <c r="B9" s="233">
        <v>1603</v>
      </c>
      <c r="C9" t="s">
        <v>5892</v>
      </c>
      <c r="D9" t="s">
        <v>5792</v>
      </c>
      <c r="E9" s="596">
        <v>1</v>
      </c>
      <c r="F9" s="591">
        <v>1</v>
      </c>
    </row>
    <row r="10" spans="1:6" ht="14.5">
      <c r="A10" t="s">
        <v>46</v>
      </c>
      <c r="B10" s="233">
        <v>1604</v>
      </c>
      <c r="C10" t="s">
        <v>5892</v>
      </c>
      <c r="D10" t="s">
        <v>5792</v>
      </c>
      <c r="E10" s="596">
        <v>1</v>
      </c>
      <c r="F10" s="591">
        <v>1</v>
      </c>
    </row>
    <row r="11" spans="1:6" ht="14.5">
      <c r="A11" t="s">
        <v>8820</v>
      </c>
      <c r="B11" s="233">
        <v>1606</v>
      </c>
      <c r="C11" t="s">
        <v>4405</v>
      </c>
      <c r="D11" t="s">
        <v>5793</v>
      </c>
      <c r="E11" s="596">
        <v>1.4236651327013199</v>
      </c>
      <c r="F11" s="591">
        <v>1.4236651327013199</v>
      </c>
    </row>
    <row r="12" spans="1:6" ht="14.5">
      <c r="A12" t="s">
        <v>47</v>
      </c>
      <c r="B12" s="233">
        <v>1608</v>
      </c>
      <c r="C12" t="s">
        <v>5892</v>
      </c>
      <c r="D12"/>
      <c r="E12" s="596">
        <v>1</v>
      </c>
      <c r="F12" s="591">
        <v>1</v>
      </c>
    </row>
    <row r="13" spans="1:6">
      <c r="A13" t="s">
        <v>5893</v>
      </c>
      <c r="B13" s="233">
        <v>1609</v>
      </c>
      <c r="C13" t="s">
        <v>3589</v>
      </c>
      <c r="D13" t="s">
        <v>5793</v>
      </c>
      <c r="E13" s="596">
        <v>2.4105804614491899</v>
      </c>
      <c r="F13" s="591">
        <v>2.4105804614491899</v>
      </c>
    </row>
    <row r="14" spans="1:6" ht="14.5">
      <c r="A14" t="s">
        <v>48</v>
      </c>
      <c r="B14" s="233">
        <v>1611</v>
      </c>
      <c r="C14" t="s">
        <v>5892</v>
      </c>
      <c r="D14"/>
      <c r="E14" s="596">
        <v>1</v>
      </c>
      <c r="F14" s="591">
        <v>1</v>
      </c>
    </row>
    <row r="15" spans="1:6">
      <c r="A15" t="s">
        <v>5894</v>
      </c>
      <c r="B15" s="233">
        <v>1612</v>
      </c>
      <c r="C15" t="s">
        <v>3589</v>
      </c>
      <c r="D15" t="s">
        <v>5793</v>
      </c>
      <c r="E15" s="596">
        <v>2.4105804614491899</v>
      </c>
      <c r="F15" s="591">
        <v>1</v>
      </c>
    </row>
    <row r="16" spans="1:6" ht="14.5">
      <c r="A16" t="s">
        <v>3227</v>
      </c>
      <c r="B16" s="233">
        <v>1614</v>
      </c>
      <c r="C16" t="s">
        <v>5892</v>
      </c>
      <c r="D16" t="s">
        <v>5792</v>
      </c>
      <c r="E16" s="596">
        <v>1</v>
      </c>
      <c r="F16" s="591">
        <v>1</v>
      </c>
    </row>
    <row r="17" spans="1:6">
      <c r="A17" t="s">
        <v>5895</v>
      </c>
      <c r="B17" s="233">
        <v>1615</v>
      </c>
      <c r="C17" t="s">
        <v>3589</v>
      </c>
      <c r="D17" t="s">
        <v>5793</v>
      </c>
      <c r="E17" s="596">
        <v>3.4668410256534798</v>
      </c>
      <c r="F17" s="591">
        <v>1</v>
      </c>
    </row>
    <row r="18" spans="1:6">
      <c r="A18" t="s">
        <v>5896</v>
      </c>
      <c r="B18" s="233">
        <v>1616</v>
      </c>
      <c r="C18" t="s">
        <v>3589</v>
      </c>
      <c r="D18" t="s">
        <v>5793</v>
      </c>
      <c r="E18" s="596">
        <v>4.0031577847631699</v>
      </c>
      <c r="F18" s="591">
        <v>4.0031577847631699</v>
      </c>
    </row>
    <row r="19" spans="1:6">
      <c r="A19" t="s">
        <v>5897</v>
      </c>
      <c r="B19" s="233">
        <v>1617</v>
      </c>
      <c r="C19" t="s">
        <v>3589</v>
      </c>
      <c r="D19" t="s">
        <v>5793</v>
      </c>
      <c r="E19" s="596">
        <v>3.4668410256534798</v>
      </c>
      <c r="F19" s="591">
        <v>3.4668410256534798</v>
      </c>
    </row>
    <row r="20" spans="1:6">
      <c r="A20" t="s">
        <v>5898</v>
      </c>
      <c r="B20" s="233">
        <v>1618</v>
      </c>
      <c r="C20" t="s">
        <v>3589</v>
      </c>
      <c r="D20" t="s">
        <v>5793</v>
      </c>
      <c r="E20" s="596">
        <v>3.4668410256534798</v>
      </c>
      <c r="F20" s="591">
        <v>3.4668410256534798</v>
      </c>
    </row>
    <row r="21" spans="1:6" ht="14.5">
      <c r="A21" t="s">
        <v>5899</v>
      </c>
      <c r="B21" s="233">
        <v>1619</v>
      </c>
      <c r="C21" t="s">
        <v>5892</v>
      </c>
      <c r="D21" t="s">
        <v>5793</v>
      </c>
      <c r="E21" s="596">
        <v>1</v>
      </c>
      <c r="F21" s="591">
        <v>1</v>
      </c>
    </row>
    <row r="22" spans="1:6" ht="14.5">
      <c r="A22" t="s">
        <v>5900</v>
      </c>
      <c r="B22" s="233">
        <v>1620</v>
      </c>
      <c r="C22" t="s">
        <v>5892</v>
      </c>
      <c r="D22" t="s">
        <v>5793</v>
      </c>
      <c r="E22" s="596">
        <v>1</v>
      </c>
      <c r="F22" s="591">
        <v>1</v>
      </c>
    </row>
    <row r="23" spans="1:6">
      <c r="A23" t="s">
        <v>5901</v>
      </c>
      <c r="B23" s="233">
        <v>1621</v>
      </c>
      <c r="C23" t="s">
        <v>3589</v>
      </c>
      <c r="D23" t="s">
        <v>5793</v>
      </c>
      <c r="E23" s="596">
        <v>3.4668410256534798</v>
      </c>
      <c r="F23" s="591">
        <v>3.4668410256534798</v>
      </c>
    </row>
    <row r="24" spans="1:6">
      <c r="A24" t="s">
        <v>5902</v>
      </c>
      <c r="B24" s="233">
        <v>1622</v>
      </c>
      <c r="C24" t="s">
        <v>3589</v>
      </c>
      <c r="D24" t="s">
        <v>5793</v>
      </c>
      <c r="E24" s="596">
        <v>3.4668410256534798</v>
      </c>
      <c r="F24" s="591">
        <v>3.4668410256534798</v>
      </c>
    </row>
    <row r="25" spans="1:6" ht="14.5">
      <c r="A25" t="s">
        <v>3036</v>
      </c>
      <c r="B25" s="233">
        <v>1623</v>
      </c>
      <c r="C25" t="s">
        <v>5892</v>
      </c>
      <c r="D25" t="s">
        <v>5792</v>
      </c>
      <c r="E25" s="596">
        <v>1</v>
      </c>
      <c r="F25" s="591">
        <v>1</v>
      </c>
    </row>
    <row r="26" spans="1:6" ht="14.5">
      <c r="A26" t="s">
        <v>1259</v>
      </c>
      <c r="B26" s="233">
        <v>1625</v>
      </c>
      <c r="C26" t="s">
        <v>5892</v>
      </c>
      <c r="D26" t="s">
        <v>5792</v>
      </c>
      <c r="E26" s="596">
        <v>1</v>
      </c>
      <c r="F26" s="591">
        <v>1</v>
      </c>
    </row>
    <row r="27" spans="1:6" ht="14.5">
      <c r="A27" t="s">
        <v>3037</v>
      </c>
      <c r="B27" s="233">
        <v>1626</v>
      </c>
      <c r="C27" t="s">
        <v>5892</v>
      </c>
      <c r="D27" t="s">
        <v>5792</v>
      </c>
      <c r="E27" s="596">
        <v>1</v>
      </c>
      <c r="F27" s="591">
        <v>1</v>
      </c>
    </row>
    <row r="28" spans="1:6" ht="14.5">
      <c r="A28" t="s">
        <v>3464</v>
      </c>
      <c r="B28" s="233">
        <v>1627</v>
      </c>
      <c r="C28" t="s">
        <v>5892</v>
      </c>
      <c r="D28" t="s">
        <v>5793</v>
      </c>
      <c r="E28" s="596">
        <v>0.54347826086956497</v>
      </c>
      <c r="F28" s="591">
        <v>0.54347826086956497</v>
      </c>
    </row>
    <row r="29" spans="1:6" ht="14.5">
      <c r="A29" t="s">
        <v>3465</v>
      </c>
      <c r="B29" s="233">
        <v>1628</v>
      </c>
      <c r="C29" t="s">
        <v>5892</v>
      </c>
      <c r="D29" t="s">
        <v>5793</v>
      </c>
      <c r="E29" s="596">
        <v>0.54347826086956497</v>
      </c>
      <c r="F29" s="591">
        <v>0.54347826086956497</v>
      </c>
    </row>
    <row r="30" spans="1:6" ht="14.5">
      <c r="A30" t="s">
        <v>1260</v>
      </c>
      <c r="B30" s="233">
        <v>1629</v>
      </c>
      <c r="C30" t="s">
        <v>5892</v>
      </c>
      <c r="D30" t="s">
        <v>5793</v>
      </c>
      <c r="E30" s="596">
        <v>0.54347826086956497</v>
      </c>
      <c r="F30" s="591">
        <v>0.54347826086956497</v>
      </c>
    </row>
    <row r="31" spans="1:6">
      <c r="A31" t="s">
        <v>3463</v>
      </c>
      <c r="B31" s="233">
        <v>1630</v>
      </c>
      <c r="C31" t="s">
        <v>3589</v>
      </c>
      <c r="D31" t="s">
        <v>5793</v>
      </c>
      <c r="E31" s="596">
        <v>1</v>
      </c>
      <c r="F31" s="591">
        <v>1</v>
      </c>
    </row>
    <row r="32" spans="1:6" ht="14.5">
      <c r="A32" t="s">
        <v>1007</v>
      </c>
      <c r="B32" s="233">
        <v>1632</v>
      </c>
      <c r="C32" t="s">
        <v>5892</v>
      </c>
      <c r="D32" t="s">
        <v>5793</v>
      </c>
      <c r="E32" s="596">
        <v>1</v>
      </c>
      <c r="F32" s="591">
        <v>1</v>
      </c>
    </row>
    <row r="33" spans="1:6" s="269" customFormat="1" ht="15">
      <c r="A33" t="s">
        <v>1008</v>
      </c>
      <c r="B33" s="233">
        <v>1633</v>
      </c>
      <c r="C33" t="s">
        <v>5892</v>
      </c>
      <c r="D33" t="s">
        <v>5793</v>
      </c>
      <c r="E33" s="596">
        <v>1</v>
      </c>
      <c r="F33" s="591">
        <v>1</v>
      </c>
    </row>
    <row r="34" spans="1:6" s="269" customFormat="1" ht="15">
      <c r="A34" t="s">
        <v>3462</v>
      </c>
      <c r="B34" s="233">
        <v>1634</v>
      </c>
      <c r="C34" t="s">
        <v>5892</v>
      </c>
      <c r="D34" t="s">
        <v>5793</v>
      </c>
      <c r="E34" s="596">
        <v>1</v>
      </c>
      <c r="F34" s="591">
        <v>1</v>
      </c>
    </row>
    <row r="35" spans="1:6" s="269" customFormat="1" ht="15">
      <c r="A35" t="s">
        <v>2836</v>
      </c>
      <c r="B35" s="233">
        <v>1640</v>
      </c>
      <c r="C35" t="s">
        <v>5892</v>
      </c>
      <c r="D35" t="s">
        <v>5793</v>
      </c>
      <c r="E35" s="596">
        <v>1</v>
      </c>
      <c r="F35" s="591">
        <v>1</v>
      </c>
    </row>
    <row r="36" spans="1:6" s="269" customFormat="1" ht="15">
      <c r="A36" t="s">
        <v>8821</v>
      </c>
      <c r="B36" s="233">
        <v>1646</v>
      </c>
      <c r="C36" t="s">
        <v>5892</v>
      </c>
      <c r="D36" t="s">
        <v>5793</v>
      </c>
      <c r="E36" s="596">
        <v>1.4236651327013199</v>
      </c>
      <c r="F36" s="591">
        <v>1.4236651327013199</v>
      </c>
    </row>
    <row r="37" spans="1:6" ht="14.5">
      <c r="A37" t="s">
        <v>2906</v>
      </c>
      <c r="B37" s="233">
        <v>1647</v>
      </c>
      <c r="C37" t="s">
        <v>5892</v>
      </c>
      <c r="D37" t="s">
        <v>5793</v>
      </c>
      <c r="E37" s="596">
        <v>1.8512209211487201</v>
      </c>
      <c r="F37" s="591">
        <v>1.8512209211487201</v>
      </c>
    </row>
    <row r="38" spans="1:6" s="270" customFormat="1" ht="14.5">
      <c r="A38" t="s">
        <v>2908</v>
      </c>
      <c r="B38" s="233">
        <v>1648</v>
      </c>
      <c r="C38" t="s">
        <v>5892</v>
      </c>
      <c r="D38" t="s">
        <v>5793</v>
      </c>
      <c r="E38" s="596">
        <v>1.8512209211487201</v>
      </c>
      <c r="F38" s="591">
        <v>1.8512209211487201</v>
      </c>
    </row>
    <row r="39" spans="1:6" s="270" customFormat="1" ht="14.5">
      <c r="A39" t="s">
        <v>4635</v>
      </c>
      <c r="B39" s="233">
        <v>1649</v>
      </c>
      <c r="C39" t="s">
        <v>5892</v>
      </c>
      <c r="D39" t="s">
        <v>5793</v>
      </c>
      <c r="E39" s="596">
        <v>1.8512209211487201</v>
      </c>
      <c r="F39" s="591">
        <v>1.8512209211487201</v>
      </c>
    </row>
    <row r="40" spans="1:6" ht="14.5">
      <c r="A40" t="s">
        <v>2907</v>
      </c>
      <c r="B40" s="233">
        <v>1650</v>
      </c>
      <c r="C40" t="s">
        <v>5892</v>
      </c>
      <c r="D40" t="s">
        <v>5793</v>
      </c>
      <c r="E40" s="596">
        <v>1.8512209211487201</v>
      </c>
      <c r="F40" s="591">
        <v>1.8512209211487201</v>
      </c>
    </row>
    <row r="41" spans="1:6" ht="14.5">
      <c r="A41" t="s">
        <v>1261</v>
      </c>
      <c r="B41" s="233">
        <v>1651</v>
      </c>
      <c r="C41" t="s">
        <v>5892</v>
      </c>
      <c r="D41" t="s">
        <v>5792</v>
      </c>
      <c r="E41" s="596">
        <v>1</v>
      </c>
      <c r="F41" s="591">
        <v>1</v>
      </c>
    </row>
    <row r="42" spans="1:6">
      <c r="A42" t="s">
        <v>2909</v>
      </c>
      <c r="B42" s="233">
        <v>1654</v>
      </c>
      <c r="C42" t="s">
        <v>3589</v>
      </c>
      <c r="D42" t="s">
        <v>5793</v>
      </c>
      <c r="E42" s="596">
        <v>2.4105804614491899</v>
      </c>
      <c r="F42" s="591">
        <v>2.4105804614491899</v>
      </c>
    </row>
    <row r="43" spans="1:6" s="268" customFormat="1">
      <c r="A43" t="s">
        <v>1009</v>
      </c>
      <c r="B43" s="233">
        <v>1655</v>
      </c>
      <c r="C43" t="s">
        <v>3589</v>
      </c>
      <c r="D43" t="s">
        <v>5793</v>
      </c>
      <c r="E43" s="596">
        <v>2.6420550494661601</v>
      </c>
      <c r="F43" s="591">
        <v>2.6420550494661601</v>
      </c>
    </row>
    <row r="44" spans="1:6" s="268" customFormat="1">
      <c r="A44" t="s">
        <v>4785</v>
      </c>
      <c r="B44" s="233">
        <v>1656</v>
      </c>
      <c r="C44" t="s">
        <v>3589</v>
      </c>
      <c r="D44" t="s">
        <v>5793</v>
      </c>
      <c r="E44" s="596">
        <v>4.7606397201958996</v>
      </c>
      <c r="F44" s="591">
        <v>4.7606397201958996</v>
      </c>
    </row>
    <row r="45" spans="1:6" s="268" customFormat="1" ht="14.5">
      <c r="A45" t="s">
        <v>1288</v>
      </c>
      <c r="B45" s="233">
        <v>1657</v>
      </c>
      <c r="C45" t="s">
        <v>5892</v>
      </c>
      <c r="D45" t="s">
        <v>5792</v>
      </c>
      <c r="E45" s="596">
        <v>1</v>
      </c>
      <c r="F45" s="591">
        <v>1</v>
      </c>
    </row>
    <row r="46" spans="1:6">
      <c r="A46" t="s">
        <v>5903</v>
      </c>
      <c r="B46" s="233">
        <v>1660</v>
      </c>
      <c r="C46" t="s">
        <v>3589</v>
      </c>
      <c r="D46" t="s">
        <v>5793</v>
      </c>
      <c r="E46" s="596">
        <v>2.6420550494661601</v>
      </c>
      <c r="F46" s="591">
        <v>2.6420550494661601</v>
      </c>
    </row>
    <row r="47" spans="1:6">
      <c r="A47" t="s">
        <v>5904</v>
      </c>
      <c r="B47" s="233">
        <v>1661</v>
      </c>
      <c r="C47" t="s">
        <v>3589</v>
      </c>
      <c r="D47" t="s">
        <v>5793</v>
      </c>
      <c r="E47" s="596">
        <v>2.6420550494661601</v>
      </c>
      <c r="F47" s="591">
        <v>2.6420550494661601</v>
      </c>
    </row>
    <row r="48" spans="1:6">
      <c r="A48" t="s">
        <v>5905</v>
      </c>
      <c r="B48" s="233">
        <v>1662</v>
      </c>
      <c r="C48" t="s">
        <v>3589</v>
      </c>
      <c r="D48" t="s">
        <v>5793</v>
      </c>
      <c r="E48" s="596">
        <v>2.6420550494661601</v>
      </c>
      <c r="F48" s="591">
        <v>2.6420550494661601</v>
      </c>
    </row>
    <row r="49" spans="1:6">
      <c r="A49" t="s">
        <v>5906</v>
      </c>
      <c r="B49" s="233">
        <v>1663</v>
      </c>
      <c r="C49" t="s">
        <v>3589</v>
      </c>
      <c r="D49" t="s">
        <v>5793</v>
      </c>
      <c r="E49" s="596">
        <v>2.6420550494661601</v>
      </c>
      <c r="F49" s="591">
        <v>2.6420550494661601</v>
      </c>
    </row>
    <row r="50" spans="1:6">
      <c r="A50" t="s">
        <v>4786</v>
      </c>
      <c r="B50" s="233">
        <v>1667</v>
      </c>
      <c r="C50" t="s">
        <v>3589</v>
      </c>
      <c r="D50" t="s">
        <v>5793</v>
      </c>
      <c r="E50" s="596">
        <v>4.7606397201958996</v>
      </c>
      <c r="F50" s="591">
        <v>4.7606397201958996</v>
      </c>
    </row>
    <row r="51" spans="1:6">
      <c r="A51" t="s">
        <v>5907</v>
      </c>
      <c r="B51" s="233">
        <v>1668</v>
      </c>
      <c r="C51" t="s">
        <v>3589</v>
      </c>
      <c r="D51" t="s">
        <v>5793</v>
      </c>
      <c r="E51" s="596">
        <v>2.4105804614491899</v>
      </c>
      <c r="F51" s="591">
        <v>2.4105804614491899</v>
      </c>
    </row>
    <row r="52" spans="1:6">
      <c r="A52" t="s">
        <v>5908</v>
      </c>
      <c r="B52" s="233">
        <v>1669</v>
      </c>
      <c r="C52" t="s">
        <v>3589</v>
      </c>
      <c r="D52" t="s">
        <v>5793</v>
      </c>
      <c r="E52" s="596">
        <v>3.8</v>
      </c>
      <c r="F52" s="591">
        <v>3.8</v>
      </c>
    </row>
    <row r="53" spans="1:6" ht="14.5">
      <c r="A53" t="s">
        <v>4152</v>
      </c>
      <c r="B53" s="233">
        <v>1670</v>
      </c>
      <c r="C53" t="s">
        <v>5892</v>
      </c>
      <c r="D53" t="s">
        <v>5792</v>
      </c>
      <c r="E53" s="596">
        <v>1</v>
      </c>
      <c r="F53" s="591">
        <v>1</v>
      </c>
    </row>
    <row r="54" spans="1:6">
      <c r="A54" t="s">
        <v>2910</v>
      </c>
      <c r="B54" s="233">
        <v>1671</v>
      </c>
      <c r="C54" t="s">
        <v>3589</v>
      </c>
      <c r="D54" t="s">
        <v>5793</v>
      </c>
      <c r="E54" s="596">
        <v>3.24497384936226</v>
      </c>
      <c r="F54" s="591">
        <v>3.24497384936226</v>
      </c>
    </row>
    <row r="55" spans="1:6">
      <c r="A55" t="s">
        <v>49</v>
      </c>
      <c r="B55" s="233">
        <v>1674</v>
      </c>
      <c r="C55" t="s">
        <v>3589</v>
      </c>
      <c r="D55" t="s">
        <v>5793</v>
      </c>
      <c r="E55" s="596">
        <v>4.0031577847631699</v>
      </c>
      <c r="F55" s="591">
        <v>4.0031577847631699</v>
      </c>
    </row>
    <row r="56" spans="1:6">
      <c r="A56" t="s">
        <v>4403</v>
      </c>
      <c r="B56" s="233">
        <v>1675</v>
      </c>
      <c r="C56" t="s">
        <v>3589</v>
      </c>
      <c r="D56" t="s">
        <v>5793</v>
      </c>
      <c r="E56" s="596">
        <v>3.4668410256534798</v>
      </c>
      <c r="F56" s="591">
        <v>3.4668410256534798</v>
      </c>
    </row>
    <row r="57" spans="1:6">
      <c r="A57" t="s">
        <v>5909</v>
      </c>
      <c r="B57" s="233">
        <v>1676</v>
      </c>
      <c r="C57" t="s">
        <v>3589</v>
      </c>
      <c r="D57" t="s">
        <v>5793</v>
      </c>
      <c r="E57" s="596">
        <v>3.4668410256534798</v>
      </c>
      <c r="F57" s="591">
        <v>3.4668410256534798</v>
      </c>
    </row>
    <row r="58" spans="1:6">
      <c r="A58" t="s">
        <v>5910</v>
      </c>
      <c r="B58" s="233">
        <v>1681</v>
      </c>
      <c r="C58" t="s">
        <v>3589</v>
      </c>
      <c r="D58" t="s">
        <v>5793</v>
      </c>
      <c r="E58" s="596">
        <v>3.4668410256534798</v>
      </c>
      <c r="F58" s="591">
        <v>3.4668410256534798</v>
      </c>
    </row>
    <row r="59" spans="1:6" ht="14.5">
      <c r="A59" t="s">
        <v>2835</v>
      </c>
      <c r="B59" s="233">
        <v>1697</v>
      </c>
      <c r="C59" t="s">
        <v>4405</v>
      </c>
      <c r="D59" t="s">
        <v>5793</v>
      </c>
      <c r="E59" s="596">
        <v>1.4236651327013199</v>
      </c>
      <c r="F59" s="591">
        <v>1.4236651327013199</v>
      </c>
    </row>
    <row r="60" spans="1:6">
      <c r="A60" t="s">
        <v>5911</v>
      </c>
      <c r="B60" s="233">
        <v>1683</v>
      </c>
      <c r="C60" t="s">
        <v>3589</v>
      </c>
      <c r="D60" t="s">
        <v>5793</v>
      </c>
      <c r="E60" s="596">
        <v>3.4668410256534798</v>
      </c>
      <c r="F60" s="591">
        <v>3.4668410256534798</v>
      </c>
    </row>
    <row r="61" spans="1:6" ht="14.5">
      <c r="A61" t="s">
        <v>6926</v>
      </c>
      <c r="B61" s="233">
        <v>1864</v>
      </c>
      <c r="C61" t="s">
        <v>4405</v>
      </c>
      <c r="D61" t="s">
        <v>5793</v>
      </c>
      <c r="E61" s="596">
        <v>0.54347826086956497</v>
      </c>
      <c r="F61" s="591">
        <v>0.54347826086956497</v>
      </c>
    </row>
    <row r="62" spans="1:6" ht="14.5">
      <c r="A62" t="s">
        <v>6946</v>
      </c>
      <c r="B62" s="233">
        <v>1872</v>
      </c>
      <c r="C62" t="s">
        <v>4405</v>
      </c>
      <c r="D62" t="s">
        <v>5793</v>
      </c>
      <c r="E62" s="596">
        <v>1</v>
      </c>
      <c r="F62" s="591">
        <v>1</v>
      </c>
    </row>
    <row r="63" spans="1:6" ht="14.5">
      <c r="A63" s="362" t="s">
        <v>6947</v>
      </c>
      <c r="B63" s="367">
        <v>1874</v>
      </c>
      <c r="C63" s="362" t="s">
        <v>4405</v>
      </c>
      <c r="D63" s="362" t="s">
        <v>5793</v>
      </c>
      <c r="E63" s="597">
        <v>1.8512209211487201</v>
      </c>
      <c r="F63" s="598">
        <v>1.8512209211487201</v>
      </c>
    </row>
  </sheetData>
  <hyperlinks>
    <hyperlink ref="E3" location="forest_efp!A1" display="forest_efp" xr:uid="{00000000-0004-0000-3800-000000000000}"/>
    <hyperlink ref="F3" location="forest_efi_efe!A1" display="forest_efi_efe" xr:uid="{00000000-0004-0000-3800-000001000000}"/>
  </hyperlinks>
  <pageMargins left="0.75" right="0.75" top="1" bottom="1" header="0.5" footer="0.5"/>
  <pageSetup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04">
    <tabColor theme="9"/>
  </sheetPr>
  <dimension ref="A1:F8"/>
  <sheetViews>
    <sheetView zoomScaleNormal="100" workbookViewId="0">
      <selection activeCell="A65536" sqref="A65536"/>
    </sheetView>
  </sheetViews>
  <sheetFormatPr defaultColWidth="9.1796875" defaultRowHeight="12.5"/>
  <cols>
    <col min="1" max="1" width="20" style="268" customWidth="1"/>
    <col min="2" max="2" width="34.7265625" style="268" customWidth="1"/>
    <col min="3" max="3" width="17.81640625" style="268" customWidth="1"/>
    <col min="4" max="4" width="15" style="268" customWidth="1"/>
    <col min="5" max="5" width="10.7265625" style="268" customWidth="1"/>
    <col min="6" max="7" width="9.1796875" style="268"/>
    <col min="8" max="8" width="13.54296875" style="268" bestFit="1" customWidth="1"/>
    <col min="9" max="9" width="12.7265625" style="268" bestFit="1" customWidth="1"/>
    <col min="10" max="16384" width="9.1796875" style="268"/>
  </cols>
  <sheetData>
    <row r="1" spans="1:6">
      <c r="A1" s="36"/>
    </row>
    <row r="2" spans="1:6" ht="13">
      <c r="A2" s="36"/>
      <c r="C2" s="266" t="s">
        <v>985</v>
      </c>
      <c r="D2" s="268" t="s">
        <v>6159</v>
      </c>
    </row>
    <row r="3" spans="1:6" ht="13">
      <c r="A3" s="36"/>
      <c r="C3" s="266" t="s">
        <v>986</v>
      </c>
      <c r="D3" s="466" t="s">
        <v>3234</v>
      </c>
      <c r="E3" s="466" t="s">
        <v>6916</v>
      </c>
      <c r="F3" s="466" t="s">
        <v>3235</v>
      </c>
    </row>
    <row r="4" spans="1:6">
      <c r="A4" s="36"/>
    </row>
    <row r="5" spans="1:6" ht="13">
      <c r="A5" s="987" t="s">
        <v>1923</v>
      </c>
      <c r="B5" s="988" t="s">
        <v>4769</v>
      </c>
      <c r="C5" s="911" t="s">
        <v>8230</v>
      </c>
    </row>
    <row r="6" spans="1:6">
      <c r="A6" s="989" t="s">
        <v>542</v>
      </c>
      <c r="B6" s="990" t="s">
        <v>542</v>
      </c>
      <c r="C6" s="991" t="s">
        <v>6157</v>
      </c>
    </row>
    <row r="7" spans="1:6">
      <c r="A7" s="18" t="s">
        <v>8229</v>
      </c>
      <c r="B7" s="18" t="str">
        <f>COUNTRY</f>
        <v>Canada</v>
      </c>
      <c r="C7" s="794">
        <v>1.282758421</v>
      </c>
    </row>
    <row r="8" spans="1:6">
      <c r="A8" s="228" t="s">
        <v>8229</v>
      </c>
      <c r="B8" s="228" t="s">
        <v>2966</v>
      </c>
      <c r="C8" s="795">
        <v>1.8187832660000001</v>
      </c>
    </row>
  </sheetData>
  <hyperlinks>
    <hyperlink ref="F3" location="yf" display="yf" xr:uid="{00000000-0004-0000-3900-000000000000}"/>
    <hyperlink ref="D3" location="forest_efp!A1" display="forest_efp" xr:uid="{00000000-0004-0000-3900-000001000000}"/>
    <hyperlink ref="E3" location="forest_trade!A1" display="forest_trade" xr:uid="{00000000-0004-0000-3900-000002000000}"/>
  </hyperlinks>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5"/>
    <pageSetUpPr autoPageBreaks="0"/>
  </sheetPr>
  <dimension ref="A1:G50"/>
  <sheetViews>
    <sheetView zoomScaleNormal="100" workbookViewId="0">
      <selection activeCell="A65536" sqref="A65536"/>
    </sheetView>
  </sheetViews>
  <sheetFormatPr defaultColWidth="9.1796875" defaultRowHeight="12.75" customHeight="1"/>
  <cols>
    <col min="1" max="1" width="50.7265625" style="8" customWidth="1"/>
    <col min="2" max="7" width="21.7265625" style="1" customWidth="1"/>
    <col min="8" max="16384" width="9.1796875" style="1"/>
  </cols>
  <sheetData>
    <row r="1" spans="1:5" s="32" customFormat="1" ht="15">
      <c r="A1" s="908" t="s">
        <v>1923</v>
      </c>
      <c r="B1" s="743" t="s">
        <v>3841</v>
      </c>
      <c r="C1" s="743" t="s">
        <v>3840</v>
      </c>
      <c r="D1" s="743" t="s">
        <v>3842</v>
      </c>
      <c r="E1" s="744" t="s">
        <v>1626</v>
      </c>
    </row>
    <row r="2" spans="1:5" s="8" customFormat="1" ht="12.5">
      <c r="A2" s="915" t="s">
        <v>542</v>
      </c>
      <c r="B2" s="916" t="s">
        <v>720</v>
      </c>
      <c r="C2" s="916" t="s">
        <v>720</v>
      </c>
      <c r="D2" s="916" t="s">
        <v>720</v>
      </c>
      <c r="E2" s="917" t="s">
        <v>720</v>
      </c>
    </row>
    <row r="3" spans="1:5" s="8" customFormat="1" ht="12.5">
      <c r="A3" s="33" t="s">
        <v>2990</v>
      </c>
      <c r="B3" s="27">
        <f>SUM(crop_efp!$H$7:$H$185)-B4</f>
        <v>65963810.82037767</v>
      </c>
      <c r="C3" s="27">
        <f>SUM(crop_efi_efe!$I$7:$I$426)-C4</f>
        <v>11671382.899417464</v>
      </c>
      <c r="D3" s="27">
        <f>SUM(crop_efi_efe!$J$7:$J$426)-D4</f>
        <v>62651128.441245735</v>
      </c>
      <c r="E3" s="49">
        <f>B3+C3-D3</f>
        <v>14984065.278549403</v>
      </c>
    </row>
    <row r="4" spans="1:5" s="8" customFormat="1" ht="12.5">
      <c r="A4" s="4" t="s">
        <v>7518</v>
      </c>
      <c r="B4" s="25">
        <f>market_feed_supply_n!I103+grass_supply_n!K36</f>
        <v>36042149.034651987</v>
      </c>
      <c r="C4" s="25">
        <f>market_feed_supply_n!J103+grass_supply_n!L36</f>
        <v>1518283.9715812439</v>
      </c>
      <c r="D4" s="25">
        <f>market_feed_supply_n!K103+grass_supply_n!M36</f>
        <v>13687839.239511432</v>
      </c>
      <c r="E4" s="23">
        <f>B4+C4-D4</f>
        <v>23872593.7667218</v>
      </c>
    </row>
    <row r="5" spans="1:5" s="8" customFormat="1" ht="12.5">
      <c r="A5" s="4" t="s">
        <v>7517</v>
      </c>
      <c r="B5" s="25"/>
      <c r="C5" s="25">
        <f>SUM(livestock_efi_efe!$I$7:$I$172)</f>
        <v>2685446.7364457254</v>
      </c>
      <c r="D5" s="25">
        <f>SUM(livestock_efi_efe!$J$7:$J$172)</f>
        <v>8386098.2348161554</v>
      </c>
      <c r="E5" s="23">
        <f>B5+C5-D5</f>
        <v>-5700651.4983704295</v>
      </c>
    </row>
    <row r="6" spans="1:5" s="8" customFormat="1" ht="12.5">
      <c r="A6" s="4" t="s">
        <v>6177</v>
      </c>
      <c r="B6" s="25">
        <v>0</v>
      </c>
      <c r="C6" s="25">
        <f>SUM(fish_efi_efe!K7:K278)</f>
        <v>47744.593711667076</v>
      </c>
      <c r="D6" s="25">
        <f>SUM(fish_efi_efe!L7:L278)</f>
        <v>89860.277974550481</v>
      </c>
      <c r="E6" s="23">
        <f>B6+C6-D6</f>
        <v>-42115.684262883406</v>
      </c>
    </row>
    <row r="7" spans="1:5" s="8" customFormat="1" ht="13">
      <c r="A7" s="35" t="s">
        <v>3843</v>
      </c>
      <c r="B7" s="47">
        <f>SUM(B3:B6)</f>
        <v>102005959.85502966</v>
      </c>
      <c r="C7" s="47">
        <f>SUM(C3:C6)</f>
        <v>15922858.201156098</v>
      </c>
      <c r="D7" s="47">
        <f>SUM(D3:D6)</f>
        <v>84814926.19354786</v>
      </c>
      <c r="E7" s="48">
        <f>MAX(0,B7+C7-D7)</f>
        <v>33113891.862637892</v>
      </c>
    </row>
    <row r="8" spans="1:5" ht="12.75" customHeight="1">
      <c r="E8" s="60"/>
    </row>
    <row r="12" spans="1:5" ht="12.75" customHeight="1">
      <c r="A12" s="65">
        <f>B7</f>
        <v>102005959.85502966</v>
      </c>
      <c r="B12" s="60">
        <f>MIN(A12,C12)</f>
        <v>33113891.862637892</v>
      </c>
      <c r="C12" s="60">
        <f>E7</f>
        <v>33113891.862637892</v>
      </c>
    </row>
    <row r="13" spans="1:5" ht="12.75" customHeight="1">
      <c r="A13" s="65">
        <f>C7</f>
        <v>15922858.201156098</v>
      </c>
      <c r="B13" s="60">
        <f>MAX(A12,C12)-B12</f>
        <v>68892067.992391765</v>
      </c>
      <c r="C13" s="60">
        <f>D7</f>
        <v>84814926.19354786</v>
      </c>
    </row>
    <row r="14" spans="1:5" ht="12.75" customHeight="1">
      <c r="A14" s="8">
        <v>0</v>
      </c>
      <c r="B14" s="60">
        <f>A12+A13-(B13+B12)</f>
        <v>15922858.201156095</v>
      </c>
      <c r="C14" s="60">
        <v>0</v>
      </c>
      <c r="D14" s="60"/>
    </row>
    <row r="15" spans="1:5" ht="12.75" customHeight="1">
      <c r="C15" s="60"/>
    </row>
    <row r="37" spans="7:7" ht="12.75" customHeight="1">
      <c r="G37" s="238" t="s">
        <v>1033</v>
      </c>
    </row>
    <row r="38" spans="7:7" ht="12.75" customHeight="1">
      <c r="G38" s="238" t="s">
        <v>1034</v>
      </c>
    </row>
    <row r="39" spans="7:7" ht="12.75" customHeight="1">
      <c r="G39" s="238" t="s">
        <v>1033</v>
      </c>
    </row>
    <row r="40" spans="7:7" ht="12.75" customHeight="1">
      <c r="G40" s="238" t="s">
        <v>1034</v>
      </c>
    </row>
    <row r="41" spans="7:7" ht="12.75" customHeight="1">
      <c r="G41" s="238" t="s">
        <v>1033</v>
      </c>
    </row>
    <row r="42" spans="7:7" ht="12.75" customHeight="1">
      <c r="G42" s="238" t="s">
        <v>1034</v>
      </c>
    </row>
    <row r="43" spans="7:7" ht="12.75" customHeight="1">
      <c r="G43" s="238" t="s">
        <v>1033</v>
      </c>
    </row>
    <row r="44" spans="7:7" ht="12.75" customHeight="1">
      <c r="G44" s="238" t="s">
        <v>1034</v>
      </c>
    </row>
    <row r="45" spans="7:7" ht="12.75" customHeight="1">
      <c r="G45" s="238" t="s">
        <v>1033</v>
      </c>
    </row>
    <row r="46" spans="7:7" ht="12.75" customHeight="1">
      <c r="G46" s="238" t="s">
        <v>1034</v>
      </c>
    </row>
    <row r="47" spans="7:7" ht="12.75" customHeight="1">
      <c r="G47" s="38"/>
    </row>
    <row r="48" spans="7:7" ht="12.75" customHeight="1">
      <c r="G48" s="38"/>
    </row>
    <row r="49" spans="7:7" ht="12.75" customHeight="1">
      <c r="G49" s="38"/>
    </row>
    <row r="50" spans="7:7" ht="12.75" customHeight="1">
      <c r="G50" s="38"/>
    </row>
  </sheetData>
  <phoneticPr fontId="5" type="noConversion"/>
  <pageMargins left="0.75" right="0.75" top="1" bottom="1" header="0.5" footer="0.5"/>
  <pageSetup orientation="portrait"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
    <tabColor theme="6"/>
    <pageSetUpPr autoPageBreaks="0"/>
  </sheetPr>
  <dimension ref="A1:G7"/>
  <sheetViews>
    <sheetView zoomScaleNormal="100" workbookViewId="0">
      <selection activeCell="A65536" sqref="A65536"/>
    </sheetView>
  </sheetViews>
  <sheetFormatPr defaultColWidth="9.1796875" defaultRowHeight="12.75" customHeight="1"/>
  <cols>
    <col min="1" max="1" width="50.7265625" style="36" customWidth="1"/>
    <col min="2" max="5" width="21.7265625" style="36" customWidth="1"/>
    <col min="6" max="6" width="11.81640625" style="36" customWidth="1"/>
    <col min="7" max="7" width="21.7265625" style="36" customWidth="1"/>
    <col min="8" max="16384" width="9.1796875" style="36"/>
  </cols>
  <sheetData>
    <row r="1" spans="1:7" ht="12.75" customHeight="1">
      <c r="B1" s="97"/>
      <c r="C1" s="97"/>
      <c r="D1" s="97"/>
      <c r="E1" s="97"/>
      <c r="F1" s="97"/>
      <c r="G1" s="97"/>
    </row>
    <row r="2" spans="1:7" ht="12.75" customHeight="1">
      <c r="B2" s="37" t="s">
        <v>985</v>
      </c>
      <c r="C2" s="466" t="s">
        <v>3235</v>
      </c>
      <c r="D2" s="466" t="s">
        <v>2004</v>
      </c>
      <c r="E2" s="466"/>
      <c r="F2" s="466" t="s">
        <v>6145</v>
      </c>
      <c r="G2" s="466" t="s">
        <v>6146</v>
      </c>
    </row>
    <row r="3" spans="1:7" ht="12.75" customHeight="1">
      <c r="B3" s="37" t="s">
        <v>986</v>
      </c>
      <c r="C3" s="466" t="s">
        <v>3236</v>
      </c>
      <c r="D3" s="466" t="s">
        <v>1751</v>
      </c>
      <c r="E3" s="466"/>
      <c r="F3" s="466"/>
      <c r="G3" s="466"/>
    </row>
    <row r="5" spans="1:7" ht="15">
      <c r="A5" s="983" t="s">
        <v>1923</v>
      </c>
      <c r="B5" s="745" t="s">
        <v>5254</v>
      </c>
      <c r="C5" s="745" t="s">
        <v>4088</v>
      </c>
      <c r="D5" s="745" t="s">
        <v>6022</v>
      </c>
      <c r="E5" s="745" t="s">
        <v>1771</v>
      </c>
      <c r="F5" s="746" t="s">
        <v>3841</v>
      </c>
    </row>
    <row r="6" spans="1:7" ht="14.5">
      <c r="A6" s="984" t="s">
        <v>542</v>
      </c>
      <c r="B6" s="985" t="s">
        <v>4980</v>
      </c>
      <c r="C6" s="985" t="s">
        <v>9207</v>
      </c>
      <c r="D6" s="986" t="s">
        <v>542</v>
      </c>
      <c r="E6" s="986" t="s">
        <v>9213</v>
      </c>
      <c r="F6" s="943" t="s">
        <v>720</v>
      </c>
    </row>
    <row r="7" spans="1:7" ht="12.5">
      <c r="A7" s="21" t="s">
        <v>3532</v>
      </c>
      <c r="B7" s="134">
        <f>IF(bioproductive_area!D11&gt;0,bioproductive_area!D11,(IF(bioproductive_area!D20&gt;0,bioproductive_area!D20,IF(bioproductive_area!D22&gt;0,bioproductive_area!D22,0))))*1000</f>
        <v>1089630.0048828125</v>
      </c>
      <c r="C7" s="135">
        <f>VLOOKUP(A7,yf,4,FALSE)</f>
        <v>1.231695465699624</v>
      </c>
      <c r="D7" s="135">
        <f>VLOOKUP(A7,iyf,2,FALSE)</f>
        <v>1</v>
      </c>
      <c r="E7" s="135">
        <f>VLOOKUP(A7,eqf,2,FALSE)</f>
        <v>2.4993969139811365</v>
      </c>
      <c r="F7" s="136">
        <f>B7*C7*E7*D7</f>
        <v>3354421.443636999</v>
      </c>
    </row>
  </sheetData>
  <phoneticPr fontId="5" type="noConversion"/>
  <hyperlinks>
    <hyperlink ref="C3" location="ef_built!A1" tooltip="Go to ef_built" display="ef_built" xr:uid="{00000000-0004-0000-3A00-000000000000}"/>
    <hyperlink ref="D3" location="biocap!A1" tooltip="Go to biocap" display="biocap" xr:uid="{00000000-0004-0000-3A00-000001000000}"/>
    <hyperlink ref="C2" location="yf" tooltip="Go to yf" display="yf" xr:uid="{00000000-0004-0000-3A00-000002000000}"/>
    <hyperlink ref="D2" location="eqf" tooltip="Go to eqf" display="eqf" xr:uid="{00000000-0004-0000-3A00-000003000000}"/>
    <hyperlink ref="F2" location="iyf" display="iyf" xr:uid="{00000000-0004-0000-3A00-000004000000}"/>
    <hyperlink ref="G2" location="bioproductive_area!A1" display="bioproductive_area" xr:uid="{00000000-0004-0000-3A00-000005000000}"/>
  </hyperlinks>
  <pageMargins left="0.75" right="0.75" top="1" bottom="1" header="0.5" footer="0.5"/>
  <headerFooter alignWithMargins="0"/>
  <drawing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tabColor rgb="FF7030A0"/>
    <pageSetUpPr autoPageBreaks="0"/>
  </sheetPr>
  <dimension ref="A1:Q13"/>
  <sheetViews>
    <sheetView zoomScaleNormal="100" workbookViewId="0">
      <selection activeCell="A65536" sqref="A65536"/>
    </sheetView>
  </sheetViews>
  <sheetFormatPr defaultColWidth="9.1796875" defaultRowHeight="12.75" customHeight="1"/>
  <cols>
    <col min="1" max="1" width="50.7265625" style="36" customWidth="1"/>
    <col min="2" max="2" width="21.7265625" style="36" customWidth="1"/>
    <col min="3" max="3" width="9" style="36" customWidth="1"/>
    <col min="4" max="4" width="8.7265625" style="36" customWidth="1"/>
    <col min="5" max="5" width="11.1796875" style="36" customWidth="1"/>
    <col min="6" max="6" width="8" style="36" customWidth="1"/>
    <col min="7" max="7" width="9.7265625" style="36" customWidth="1"/>
    <col min="8" max="8" width="19.81640625" style="36" customWidth="1"/>
    <col min="9" max="9" width="14.1796875" style="36" customWidth="1"/>
    <col min="10" max="10" width="14.81640625" style="36" customWidth="1"/>
    <col min="11" max="11" width="14" style="36" customWidth="1"/>
    <col min="12" max="12" width="13.26953125" style="36" customWidth="1"/>
    <col min="13" max="13" width="17" style="36" customWidth="1"/>
    <col min="14" max="14" width="17.7265625" style="36" customWidth="1"/>
    <col min="15" max="15" width="9" style="36" customWidth="1"/>
    <col min="16" max="16" width="10.7265625" style="36" customWidth="1"/>
    <col min="17" max="17" width="15.26953125" style="36" customWidth="1"/>
    <col min="18" max="18" width="9" style="36" customWidth="1"/>
    <col min="19" max="19" width="21.453125" style="36" customWidth="1"/>
    <col min="20" max="20" width="21" style="36" customWidth="1"/>
    <col min="21" max="21" width="16.54296875" style="36" customWidth="1"/>
    <col min="22" max="16384" width="9.1796875" style="36"/>
  </cols>
  <sheetData>
    <row r="1" spans="1:17" ht="12.75" customHeight="1">
      <c r="B1" s="97"/>
      <c r="C1" s="97"/>
      <c r="D1" s="97"/>
      <c r="E1" s="97"/>
      <c r="F1" s="97"/>
      <c r="G1" s="97"/>
      <c r="H1" s="97"/>
      <c r="I1" s="97"/>
      <c r="J1" s="97"/>
      <c r="K1" s="97"/>
      <c r="L1" s="97"/>
      <c r="M1" s="97"/>
      <c r="N1" s="97"/>
    </row>
    <row r="2" spans="1:17" ht="12.75" customHeight="1">
      <c r="B2" s="37" t="s">
        <v>985</v>
      </c>
      <c r="C2" s="96" t="s">
        <v>1745</v>
      </c>
      <c r="D2" s="97"/>
      <c r="E2" s="97"/>
      <c r="F2" s="97"/>
    </row>
    <row r="3" spans="1:17" ht="12.75" customHeight="1">
      <c r="B3" s="37" t="s">
        <v>986</v>
      </c>
      <c r="C3" s="466" t="s">
        <v>1751</v>
      </c>
      <c r="D3" s="466" t="s">
        <v>3230</v>
      </c>
      <c r="E3" s="466" t="s">
        <v>988</v>
      </c>
      <c r="F3" s="466" t="s">
        <v>2005</v>
      </c>
      <c r="G3" s="466" t="s">
        <v>8825</v>
      </c>
      <c r="H3" s="466" t="s">
        <v>2</v>
      </c>
      <c r="I3" s="466" t="s">
        <v>3</v>
      </c>
      <c r="J3" s="466" t="s">
        <v>1750</v>
      </c>
      <c r="K3" s="466" t="s">
        <v>8829</v>
      </c>
      <c r="L3" s="466" t="s">
        <v>3234</v>
      </c>
      <c r="M3" s="466" t="s">
        <v>8830</v>
      </c>
      <c r="N3" s="466" t="s">
        <v>3238</v>
      </c>
      <c r="O3" s="466" t="s">
        <v>5249</v>
      </c>
      <c r="P3" s="466" t="s">
        <v>5091</v>
      </c>
      <c r="Q3" s="466" t="s">
        <v>5247</v>
      </c>
    </row>
    <row r="5" spans="1:17" ht="13">
      <c r="A5" s="1002" t="s">
        <v>2669</v>
      </c>
      <c r="B5" s="1003" t="s">
        <v>595</v>
      </c>
    </row>
    <row r="6" spans="1:17" ht="14.5">
      <c r="A6" s="1004" t="s">
        <v>542</v>
      </c>
      <c r="B6" s="1005" t="s">
        <v>9214</v>
      </c>
    </row>
    <row r="7" spans="1:17" ht="12.5">
      <c r="A7" s="137" t="s">
        <v>6183</v>
      </c>
      <c r="B7" s="497">
        <v>2.4993969139811365</v>
      </c>
    </row>
    <row r="8" spans="1:17" ht="12.5">
      <c r="A8" s="76" t="s">
        <v>2800</v>
      </c>
      <c r="B8" s="533">
        <v>1.2621587876897493</v>
      </c>
    </row>
    <row r="9" spans="1:17" ht="12.5">
      <c r="A9" s="76" t="s">
        <v>888</v>
      </c>
      <c r="B9" s="533">
        <v>0.45312105834289551</v>
      </c>
    </row>
    <row r="10" spans="1:17" ht="12.5">
      <c r="A10" s="76" t="s">
        <v>6180</v>
      </c>
      <c r="B10" s="533">
        <v>0.36449057933102513</v>
      </c>
    </row>
    <row r="11" spans="1:17" ht="12.5">
      <c r="A11" s="76" t="s">
        <v>3532</v>
      </c>
      <c r="B11" s="533">
        <f>B7</f>
        <v>2.4993969139811365</v>
      </c>
    </row>
    <row r="12" spans="1:17" ht="12.5">
      <c r="A12" s="76" t="s">
        <v>6181</v>
      </c>
      <c r="B12" s="533">
        <f>B10</f>
        <v>0.36449057933102513</v>
      </c>
    </row>
    <row r="13" spans="1:17" ht="12.75" customHeight="1">
      <c r="A13" s="138" t="s">
        <v>4067</v>
      </c>
      <c r="B13" s="534">
        <f>B8</f>
        <v>1.2621587876897493</v>
      </c>
    </row>
  </sheetData>
  <phoneticPr fontId="5" type="noConversion"/>
  <hyperlinks>
    <hyperlink ref="H3" location="market_feed_supply_n!A1" tooltip="Go to market_feed_supply_n" display="market_feed_supply_n" xr:uid="{00000000-0004-0000-3B00-000000000000}"/>
    <hyperlink ref="I3" location="grass_supply_n!A1" tooltip="Go to grass_supply_n" display="grass_supply_n" xr:uid="{00000000-0004-0000-3B00-000001000000}"/>
    <hyperlink ref="C3" location="biocap!A1" tooltip="Go to biocap" display="biocap" xr:uid="{00000000-0004-0000-3B00-000002000000}"/>
    <hyperlink ref="F3" location="crop_efp!A1" tooltip="Got to crop_efp" display="crop_efp" xr:uid="{00000000-0004-0000-3B00-000003000000}"/>
    <hyperlink ref="G3" location="crop_efi_efe!A1" tooltip="Go to crop_efi" display="crop_efi_efe" xr:uid="{00000000-0004-0000-3B00-000004000000}"/>
    <hyperlink ref="D3" location="fossil_efp!A1" tooltip="Go to fossil_efp" display="fossil_efp" xr:uid="{00000000-0004-0000-3B00-000005000000}"/>
    <hyperlink ref="E3" location="cnst_carbon!A1" tooltip="Go to cnst_carbon" display="cnst_carbon" xr:uid="{00000000-0004-0000-3B00-000006000000}"/>
    <hyperlink ref="J3" location="feed_intensity_w!A1" tooltip="Go to feed_intensity_w" display="feed_intensity_w" xr:uid="{00000000-0004-0000-3B00-000007000000}"/>
    <hyperlink ref="K3" location="fish_efp" tooltip="Go to fish_marine_efp" display="fish_efp" xr:uid="{00000000-0004-0000-3B00-000008000000}"/>
    <hyperlink ref="M3" location="forest_efi_efe!A1" tooltip="Go to forest_efi" display="forest_efi_efe" xr:uid="{00000000-0004-0000-3B00-000009000000}"/>
    <hyperlink ref="L3" location="forest_efp!A1" tooltip="Go to forest_efp" display="forest_efp" xr:uid="{00000000-0004-0000-3B00-00000A000000}"/>
    <hyperlink ref="N3" location="infrastructure_efp!A1" tooltip="Go to infrastructure_efp" display="infrastructure_efp" xr:uid="{00000000-0004-0000-3B00-00000B000000}"/>
    <hyperlink ref="O3" location="fish_feed_group_yield_w!A1" display="fish_feed_group_yield_w" xr:uid="{00000000-0004-0000-3B00-00000C000000}"/>
    <hyperlink ref="P3" location="fish_feed_group_yield_n!A1" display="fish_feed_group_yield_n" xr:uid="{00000000-0004-0000-3B00-00000D000000}"/>
    <hyperlink ref="Q3" location="aquaculture_yields!A1" display="aquaculture_yields" xr:uid="{00000000-0004-0000-3B00-00000E000000}"/>
  </hyperlinks>
  <pageMargins left="0.75" right="0.75" top="1" bottom="1" header="0.5" footer="0.5"/>
  <pageSetup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tabColor rgb="FF7030A0"/>
    <pageSetUpPr autoPageBreaks="0"/>
  </sheetPr>
  <dimension ref="A1:F13"/>
  <sheetViews>
    <sheetView zoomScaleNormal="100" workbookViewId="0">
      <selection activeCell="A65536" sqref="A65536"/>
    </sheetView>
  </sheetViews>
  <sheetFormatPr defaultColWidth="9.1796875" defaultRowHeight="12.75" customHeight="1"/>
  <cols>
    <col min="1" max="1" width="50.7265625" style="36" customWidth="1"/>
    <col min="2" max="6" width="21.7265625" style="36" customWidth="1"/>
    <col min="7" max="16384" width="9.1796875" style="36"/>
  </cols>
  <sheetData>
    <row r="1" spans="1:6" ht="12.75" customHeight="1">
      <c r="B1" s="97"/>
      <c r="C1" s="97"/>
      <c r="D1" s="97"/>
      <c r="E1" s="97"/>
      <c r="F1" s="97"/>
    </row>
    <row r="2" spans="1:6" ht="12.75" customHeight="1">
      <c r="B2" s="37" t="s">
        <v>985</v>
      </c>
      <c r="C2" s="466" t="s">
        <v>6143</v>
      </c>
      <c r="D2" s="466" t="s">
        <v>7580</v>
      </c>
      <c r="E2" s="466" t="s">
        <v>6144</v>
      </c>
    </row>
    <row r="3" spans="1:6" ht="12.75" customHeight="1">
      <c r="B3" s="37" t="s">
        <v>986</v>
      </c>
      <c r="C3" s="466" t="s">
        <v>1751</v>
      </c>
      <c r="D3" s="466" t="s">
        <v>3238</v>
      </c>
      <c r="E3" s="466"/>
      <c r="F3" s="466"/>
    </row>
    <row r="4" spans="1:6" ht="12.75" customHeight="1">
      <c r="D4" s="97"/>
    </row>
    <row r="5" spans="1:6" ht="13">
      <c r="A5" s="1002" t="s">
        <v>2669</v>
      </c>
      <c r="B5" s="1006" t="s">
        <v>2834</v>
      </c>
      <c r="C5" s="1006" t="s">
        <v>1019</v>
      </c>
      <c r="D5" s="1003" t="s">
        <v>4088</v>
      </c>
    </row>
    <row r="6" spans="1:6" ht="14.5">
      <c r="A6" s="1004" t="s">
        <v>542</v>
      </c>
      <c r="B6" s="1007" t="s">
        <v>9215</v>
      </c>
      <c r="C6" s="1007" t="s">
        <v>9216</v>
      </c>
      <c r="D6" s="1005" t="s">
        <v>9217</v>
      </c>
    </row>
    <row r="7" spans="1:6" ht="12.5">
      <c r="A7" s="137" t="s">
        <v>6183</v>
      </c>
      <c r="B7" s="759">
        <f>SUM(crop_efp!$D$7:$D$183)/SUM(crop_efp!$J$7:$J$183)</f>
        <v>3.3505524586425866</v>
      </c>
      <c r="C7" s="759">
        <f>SUM(crop_efp!$D$7:$D$183)/SUMPRODUCT(crop_efp!$J$7:$J$183,crop_efp!$R$7:$R$183)</f>
        <v>2.7202766852270708</v>
      </c>
      <c r="D7" s="56">
        <f>IFERROR(VLOOKUP("TOTAL",crop_efp!$A$7:$R$185,18,FALSE),0)</f>
        <v>1.231695465699624</v>
      </c>
    </row>
    <row r="8" spans="1:6" ht="12.5">
      <c r="A8" s="76" t="s">
        <v>888</v>
      </c>
      <c r="B8" s="2">
        <f>VLOOKUP(country_code,constant_grazing_npp,4,FALSE)</f>
        <v>6.77</v>
      </c>
      <c r="C8" s="2">
        <f>VLOOKUP(5001,constant_grazing_npp,4,FALSE)</f>
        <v>6.19</v>
      </c>
      <c r="D8" s="54">
        <f>IF(ISERROR(B8/C8),1,B8/C8)</f>
        <v>1.0936995153473343</v>
      </c>
    </row>
    <row r="9" spans="1:6" ht="12.5">
      <c r="A9" s="76" t="s">
        <v>6180</v>
      </c>
      <c r="B9" s="31">
        <f>IFERROR(VLOOKUP(country_code,constant_area_shelf,6,FALSE),0)</f>
        <v>469</v>
      </c>
      <c r="C9" s="31">
        <f>VLOOKUP(5001,constant_area_shelf,6,FALSE)</f>
        <v>503.83624634550057</v>
      </c>
      <c r="D9" s="54">
        <f>IF(ISERROR(B9/C9),1,B9/C9)</f>
        <v>0.9308579988077873</v>
      </c>
    </row>
    <row r="10" spans="1:6" ht="12.5">
      <c r="A10" s="76" t="s">
        <v>6181</v>
      </c>
      <c r="B10" s="29">
        <v>0</v>
      </c>
      <c r="C10" s="29">
        <v>0</v>
      </c>
      <c r="D10" s="389">
        <v>1</v>
      </c>
    </row>
    <row r="11" spans="1:6" ht="12.5">
      <c r="A11" s="76" t="s">
        <v>2800</v>
      </c>
      <c r="B11" s="2">
        <f>constant_forest_increment!C7</f>
        <v>1.282758421</v>
      </c>
      <c r="C11" s="2">
        <f>constant_forest_increment!C8</f>
        <v>1.8187832660000001</v>
      </c>
      <c r="D11" s="54">
        <f>IF(ISERROR(B11/C11),1,B11/C11)</f>
        <v>0.70528382626982011</v>
      </c>
    </row>
    <row r="12" spans="1:6" ht="12.5">
      <c r="A12" s="138" t="s">
        <v>3532</v>
      </c>
      <c r="B12" s="139">
        <v>0</v>
      </c>
      <c r="C12" s="139">
        <v>0</v>
      </c>
      <c r="D12" s="81">
        <f>D7</f>
        <v>1.231695465699624</v>
      </c>
    </row>
    <row r="13" spans="1:6" ht="12.75" customHeight="1">
      <c r="C13" s="759"/>
    </row>
  </sheetData>
  <phoneticPr fontId="5" type="noConversion"/>
  <conditionalFormatting sqref="B9">
    <cfRule type="cellIs" dxfId="0" priority="1" stopIfTrue="1" operator="equal">
      <formula>0</formula>
    </cfRule>
  </conditionalFormatting>
  <hyperlinks>
    <hyperlink ref="C3" location="biocap!A1" tooltip="Go to biocap" display="biocap" xr:uid="{00000000-0004-0000-3C00-000000000000}"/>
    <hyperlink ref="D3" location="infrastructure_efp!A1" tooltip="Go to infrastructure_efp" display="infrastructure_efp" xr:uid="{00000000-0004-0000-3C00-000001000000}"/>
    <hyperlink ref="C2" location="constant_forest_increment" display="constant_forest_increment" xr:uid="{00000000-0004-0000-3C00-000002000000}"/>
    <hyperlink ref="D2" location="constant_area_shelf" display="constant_area_shelf" xr:uid="{00000000-0004-0000-3C00-000003000000}"/>
    <hyperlink ref="E2" location="constant_grazing_npp" display="constant_grazing_npp" xr:uid="{00000000-0004-0000-3C00-000004000000}"/>
  </hyperlinks>
  <pageMargins left="0.75" right="0.75" top="1" bottom="1" header="0.5" footer="0.5"/>
  <pageSetup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3">
    <tabColor rgb="FF7030A0"/>
  </sheetPr>
  <dimension ref="A1:P12"/>
  <sheetViews>
    <sheetView zoomScaleNormal="100" workbookViewId="0">
      <selection activeCell="A65536" sqref="A65536"/>
    </sheetView>
  </sheetViews>
  <sheetFormatPr defaultColWidth="9.1796875" defaultRowHeight="12.5"/>
  <cols>
    <col min="1" max="1" width="50.7265625" style="36" customWidth="1"/>
    <col min="2" max="2" width="25" style="36" customWidth="1"/>
    <col min="3" max="3" width="9" style="36" customWidth="1"/>
    <col min="4" max="4" width="15.26953125" style="36" customWidth="1"/>
    <col min="5" max="5" width="19.81640625" style="36" customWidth="1"/>
    <col min="6" max="6" width="8.7265625" style="36" customWidth="1"/>
    <col min="7" max="7" width="8" style="36" customWidth="1"/>
    <col min="8" max="8" width="9.7265625" style="36" customWidth="1"/>
    <col min="9" max="9" width="14.81640625" style="36" customWidth="1"/>
    <col min="10" max="10" width="14" style="36" customWidth="1"/>
    <col min="11" max="11" width="13.26953125" style="36" customWidth="1"/>
    <col min="12" max="12" width="17" style="36" customWidth="1"/>
    <col min="13" max="13" width="17.7265625" style="36" customWidth="1"/>
    <col min="14" max="14" width="9" style="36" customWidth="1"/>
    <col min="15" max="15" width="10.7265625" style="36" customWidth="1"/>
    <col min="16" max="16384" width="9.1796875" style="36"/>
  </cols>
  <sheetData>
    <row r="1" spans="1:16" ht="12.75" customHeight="1">
      <c r="B1" s="97"/>
      <c r="C1" s="97"/>
      <c r="D1" s="97"/>
      <c r="E1" s="97"/>
      <c r="I1" s="97"/>
      <c r="J1" s="97"/>
      <c r="K1" s="97"/>
      <c r="L1" s="97"/>
      <c r="M1" s="97"/>
      <c r="N1" s="97"/>
      <c r="O1" s="97"/>
      <c r="P1" s="97"/>
    </row>
    <row r="2" spans="1:16" ht="12.75" customHeight="1">
      <c r="B2" s="37" t="s">
        <v>985</v>
      </c>
      <c r="C2" s="272" t="s">
        <v>1745</v>
      </c>
      <c r="D2" s="97"/>
      <c r="I2" s="97"/>
    </row>
    <row r="3" spans="1:16" ht="12.75" customHeight="1">
      <c r="B3" s="37" t="s">
        <v>986</v>
      </c>
      <c r="C3" s="466" t="s">
        <v>1751</v>
      </c>
      <c r="D3" s="466" t="s">
        <v>3230</v>
      </c>
      <c r="E3" s="466" t="s">
        <v>2005</v>
      </c>
      <c r="F3" s="466" t="s">
        <v>8825</v>
      </c>
      <c r="G3" s="466" t="s">
        <v>2</v>
      </c>
      <c r="H3" s="466" t="s">
        <v>1750</v>
      </c>
      <c r="I3" s="466" t="s">
        <v>8829</v>
      </c>
      <c r="J3" s="466" t="s">
        <v>8832</v>
      </c>
      <c r="K3" s="466" t="s">
        <v>3234</v>
      </c>
      <c r="L3" s="466" t="s">
        <v>8830</v>
      </c>
      <c r="M3" s="466" t="s">
        <v>3238</v>
      </c>
    </row>
    <row r="4" spans="1:16" ht="12.75" customHeight="1"/>
    <row r="5" spans="1:16" ht="13">
      <c r="A5" s="1002" t="s">
        <v>2669</v>
      </c>
      <c r="B5" s="1003" t="s">
        <v>6021</v>
      </c>
      <c r="C5" s="252"/>
      <c r="D5" s="253"/>
    </row>
    <row r="6" spans="1:16">
      <c r="A6" s="1004" t="s">
        <v>542</v>
      </c>
      <c r="B6" s="1005" t="s">
        <v>542</v>
      </c>
      <c r="C6" s="254"/>
      <c r="D6" s="253"/>
    </row>
    <row r="7" spans="1:16">
      <c r="A7" s="76" t="s">
        <v>6183</v>
      </c>
      <c r="B7" s="497">
        <v>1</v>
      </c>
      <c r="C7" s="251"/>
      <c r="D7" s="253"/>
    </row>
    <row r="8" spans="1:16">
      <c r="A8" s="76" t="s">
        <v>888</v>
      </c>
      <c r="B8" s="533">
        <v>1</v>
      </c>
      <c r="C8" s="249"/>
      <c r="D8" s="253"/>
    </row>
    <row r="9" spans="1:16">
      <c r="A9" s="76" t="s">
        <v>3532</v>
      </c>
      <c r="B9" s="533">
        <v>1</v>
      </c>
      <c r="C9" s="250"/>
      <c r="D9" s="253"/>
    </row>
    <row r="10" spans="1:16">
      <c r="A10" s="76" t="s">
        <v>2800</v>
      </c>
      <c r="B10" s="533">
        <v>1</v>
      </c>
      <c r="C10" s="249"/>
      <c r="D10" s="253"/>
    </row>
    <row r="11" spans="1:16">
      <c r="A11" s="14" t="s">
        <v>6180</v>
      </c>
      <c r="B11" s="533">
        <v>1</v>
      </c>
      <c r="C11" s="249"/>
      <c r="D11" s="253"/>
    </row>
    <row r="12" spans="1:16">
      <c r="A12" s="19" t="s">
        <v>6181</v>
      </c>
      <c r="B12" s="534">
        <f>B11</f>
        <v>1</v>
      </c>
      <c r="C12" s="249"/>
      <c r="D12" s="253"/>
    </row>
  </sheetData>
  <hyperlinks>
    <hyperlink ref="C3" location="biocap!A1" tooltip="Go to biocap" display="biocap" xr:uid="{00000000-0004-0000-3D00-000000000000}"/>
    <hyperlink ref="M3" location="infrastructure_efp!A1" tooltip="Go to infrastructure_efp" display="infrastructure_efp" xr:uid="{00000000-0004-0000-3D00-000001000000}"/>
    <hyperlink ref="G3" location="market_feed_supply_n!A1" display="market_feed_supply_n" xr:uid="{00000000-0004-0000-3D00-000002000000}"/>
    <hyperlink ref="D3" location="fossil_efp!A1" display="fossil_efp" xr:uid="{00000000-0004-0000-3D00-000003000000}"/>
    <hyperlink ref="E3" location="crop_efp!A1" display="crop_efp" xr:uid="{00000000-0004-0000-3D00-000004000000}"/>
    <hyperlink ref="F3" location="crop_efi_efe!A1" tooltip="Go to crop_efi_efe" display="crop_efi_efe" xr:uid="{00000000-0004-0000-3D00-000005000000}"/>
    <hyperlink ref="H3" location="feed_intensity_w!A1" display="feed_intensity_w" xr:uid="{00000000-0004-0000-3D00-000006000000}"/>
    <hyperlink ref="I3" location="fish_efp!A1" tooltip="Go to fish_efp" display="fish_efp" xr:uid="{00000000-0004-0000-3D00-000007000000}"/>
    <hyperlink ref="J3" location="fish_efi_efe!A1" tooltip="Go to fish_efi_efe" display="fish_efi_efe" xr:uid="{00000000-0004-0000-3D00-000008000000}"/>
    <hyperlink ref="K3" location="forest_efp!A1" display="forest_efp" xr:uid="{00000000-0004-0000-3D00-000009000000}"/>
    <hyperlink ref="L3" location="forest_efi_efe!A1" tooltip="Go to fish_efi_efe" display="forest_efi_efe" xr:uid="{00000000-0004-0000-3D00-00000A000000}"/>
  </hyperlinks>
  <pageMargins left="0.7" right="0.7" top="0.75" bottom="0.75" header="0.3" footer="0.3"/>
  <pageSetup orientation="portrait" r:id="rId1"/>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9">
    <tabColor rgb="FF7030A0"/>
    <pageSetUpPr autoPageBreaks="0"/>
  </sheetPr>
  <dimension ref="A1:E26"/>
  <sheetViews>
    <sheetView zoomScaleNormal="100" workbookViewId="0">
      <selection activeCell="A65536" sqref="A65536"/>
    </sheetView>
  </sheetViews>
  <sheetFormatPr defaultColWidth="9.1796875" defaultRowHeight="12.5"/>
  <cols>
    <col min="1" max="1" width="50.7265625" style="36" customWidth="1"/>
    <col min="2" max="2" width="21.7265625" style="36" customWidth="1"/>
    <col min="3" max="3" width="38.81640625" style="36" customWidth="1"/>
    <col min="4" max="4" width="21.7265625" style="39" customWidth="1"/>
    <col min="5" max="5" width="21.7265625" style="36" customWidth="1"/>
    <col min="6" max="16384" width="9.1796875" style="36"/>
  </cols>
  <sheetData>
    <row r="1" spans="1:5" ht="12.75" customHeight="1">
      <c r="B1" s="97"/>
      <c r="C1" s="97"/>
      <c r="D1" s="97"/>
      <c r="E1" s="97"/>
    </row>
    <row r="2" spans="1:5" ht="12.75" customHeight="1">
      <c r="B2" s="37" t="s">
        <v>985</v>
      </c>
      <c r="C2" s="96" t="s">
        <v>1745</v>
      </c>
      <c r="D2" s="466" t="s">
        <v>6162</v>
      </c>
      <c r="E2" s="466" t="s">
        <v>6800</v>
      </c>
    </row>
    <row r="3" spans="1:5" ht="12.75" customHeight="1">
      <c r="B3" s="37" t="s">
        <v>986</v>
      </c>
      <c r="C3" s="466" t="s">
        <v>1751</v>
      </c>
      <c r="D3" s="466" t="s">
        <v>3238</v>
      </c>
      <c r="E3" s="466"/>
    </row>
    <row r="4" spans="1:5" ht="12.75" customHeight="1">
      <c r="D4" s="36"/>
    </row>
    <row r="5" spans="1:5" ht="13">
      <c r="A5" s="1002" t="s">
        <v>4979</v>
      </c>
      <c r="B5" s="1006" t="s">
        <v>2521</v>
      </c>
      <c r="C5" s="1006" t="s">
        <v>4048</v>
      </c>
      <c r="D5" s="1003" t="s">
        <v>5254</v>
      </c>
      <c r="E5" s="1003" t="s">
        <v>6190</v>
      </c>
    </row>
    <row r="6" spans="1:5">
      <c r="A6" s="1008" t="s">
        <v>542</v>
      </c>
      <c r="B6" s="1000" t="s">
        <v>542</v>
      </c>
      <c r="C6" s="1000" t="s">
        <v>542</v>
      </c>
      <c r="D6" s="1009" t="s">
        <v>1470</v>
      </c>
      <c r="E6" s="1009" t="s">
        <v>1470</v>
      </c>
    </row>
    <row r="7" spans="1:5">
      <c r="A7" s="17" t="s">
        <v>5084</v>
      </c>
      <c r="B7" s="271" t="s">
        <v>6183</v>
      </c>
      <c r="C7" s="18" t="s">
        <v>4358</v>
      </c>
      <c r="D7" s="535"/>
      <c r="E7" s="142"/>
    </row>
    <row r="8" spans="1:5">
      <c r="A8" s="14" t="s">
        <v>5084</v>
      </c>
      <c r="B8" s="13" t="s">
        <v>6186</v>
      </c>
      <c r="C8" t="s">
        <v>2198</v>
      </c>
      <c r="D8" s="536"/>
      <c r="E8" s="142"/>
    </row>
    <row r="9" spans="1:5">
      <c r="A9" s="14" t="s">
        <v>5084</v>
      </c>
      <c r="B9" s="13" t="s">
        <v>2800</v>
      </c>
      <c r="C9" t="s">
        <v>2197</v>
      </c>
      <c r="D9" s="536"/>
      <c r="E9" s="142"/>
    </row>
    <row r="10" spans="1:5">
      <c r="A10" s="14" t="s">
        <v>5084</v>
      </c>
      <c r="B10" s="13" t="s">
        <v>888</v>
      </c>
      <c r="C10" t="s">
        <v>4359</v>
      </c>
      <c r="D10" s="536"/>
      <c r="E10" s="142"/>
    </row>
    <row r="11" spans="1:5">
      <c r="A11" s="19" t="s">
        <v>5084</v>
      </c>
      <c r="B11" s="20" t="s">
        <v>3532</v>
      </c>
      <c r="C11" s="20" t="s">
        <v>2492</v>
      </c>
      <c r="D11" s="537"/>
      <c r="E11" s="142"/>
    </row>
    <row r="12" spans="1:5" ht="3" customHeight="1">
      <c r="A12" s="140"/>
      <c r="B12" s="141"/>
      <c r="C12" s="141"/>
      <c r="D12" s="299"/>
      <c r="E12" s="142"/>
    </row>
    <row r="13" spans="1:5">
      <c r="A13" s="17" t="s">
        <v>3146</v>
      </c>
      <c r="B13" s="271" t="s">
        <v>6183</v>
      </c>
      <c r="C13" s="18" t="s">
        <v>8833</v>
      </c>
      <c r="D13" s="535">
        <v>33135</v>
      </c>
      <c r="E13" s="535">
        <v>1567681.6569999999</v>
      </c>
    </row>
    <row r="14" spans="1:5">
      <c r="A14" s="14" t="s">
        <v>3146</v>
      </c>
      <c r="B14" s="13" t="s">
        <v>6186</v>
      </c>
      <c r="C14" t="s">
        <v>2198</v>
      </c>
      <c r="D14" s="536">
        <v>91416</v>
      </c>
      <c r="E14" s="536">
        <v>428493.60080000001</v>
      </c>
    </row>
    <row r="15" spans="1:5">
      <c r="A15" s="14" t="s">
        <v>3146</v>
      </c>
      <c r="B15" s="13" t="s">
        <v>2800</v>
      </c>
      <c r="C15" t="s">
        <v>9197</v>
      </c>
      <c r="D15" s="536">
        <v>347002.07</v>
      </c>
      <c r="E15" s="536">
        <v>4068923.2740000002</v>
      </c>
    </row>
    <row r="16" spans="1:5">
      <c r="A16" s="14" t="s">
        <v>3146</v>
      </c>
      <c r="B16" s="13" t="s">
        <v>888</v>
      </c>
      <c r="C16" t="s">
        <v>8834</v>
      </c>
      <c r="D16" s="536">
        <v>19342</v>
      </c>
      <c r="E16" s="536">
        <v>3233686.3530000001</v>
      </c>
    </row>
    <row r="17" spans="1:5">
      <c r="A17" s="14" t="s">
        <v>3146</v>
      </c>
      <c r="B17" s="13" t="s">
        <v>888</v>
      </c>
      <c r="C17" t="s">
        <v>8835</v>
      </c>
      <c r="D17" s="775">
        <v>5722</v>
      </c>
      <c r="E17" s="775"/>
    </row>
    <row r="18" spans="1:5">
      <c r="A18" s="19" t="s">
        <v>3146</v>
      </c>
      <c r="B18" s="20" t="s">
        <v>6156</v>
      </c>
      <c r="C18" s="228" t="s">
        <v>8837</v>
      </c>
      <c r="D18" s="537">
        <v>896559</v>
      </c>
      <c r="E18" s="537">
        <v>13028122.33</v>
      </c>
    </row>
    <row r="19" spans="1:5" ht="3" customHeight="1">
      <c r="A19" s="140"/>
      <c r="B19" s="141"/>
      <c r="C19" s="141"/>
      <c r="D19" s="299"/>
      <c r="E19" s="142"/>
    </row>
    <row r="20" spans="1:5">
      <c r="A20" s="21" t="s">
        <v>1683</v>
      </c>
      <c r="B20" s="22" t="s">
        <v>3532</v>
      </c>
      <c r="C20" s="22" t="s">
        <v>1684</v>
      </c>
      <c r="D20" s="450">
        <v>1089.6300048828125</v>
      </c>
      <c r="E20" s="439">
        <v>193113</v>
      </c>
    </row>
    <row r="21" spans="1:5" ht="3" customHeight="1">
      <c r="A21" s="140"/>
      <c r="B21" s="141"/>
      <c r="C21" s="141"/>
      <c r="D21" s="299"/>
      <c r="E21" s="142"/>
    </row>
    <row r="22" spans="1:5">
      <c r="A22" s="19" t="s">
        <v>409</v>
      </c>
      <c r="B22" s="20" t="s">
        <v>3532</v>
      </c>
      <c r="C22" s="20" t="s">
        <v>2199</v>
      </c>
      <c r="D22" s="448">
        <v>745.6510009765625</v>
      </c>
      <c r="E22" s="449">
        <v>3530.18994140625</v>
      </c>
    </row>
    <row r="23" spans="1:5" ht="3" customHeight="1">
      <c r="A23" s="140"/>
      <c r="B23" s="141"/>
      <c r="C23" s="141"/>
      <c r="D23" s="299"/>
      <c r="E23" s="142"/>
    </row>
    <row r="24" spans="1:5">
      <c r="A24" s="21" t="s">
        <v>4049</v>
      </c>
      <c r="B24" s="291" t="s">
        <v>6187</v>
      </c>
      <c r="C24" s="22" t="s">
        <v>4050</v>
      </c>
      <c r="D24" s="451">
        <f>(VLOOKUP(country_code,constant_area_shelf,5,FALSE)*100)/1000</f>
        <v>600615.4</v>
      </c>
      <c r="E24" s="136">
        <f>(VLOOKUP(5001,constant_area_shelf,5,FALSE)*100)/1000</f>
        <v>14177249.4</v>
      </c>
    </row>
    <row r="25" spans="1:5" ht="3" customHeight="1">
      <c r="A25" s="140"/>
      <c r="B25" s="141"/>
      <c r="C25" s="141"/>
      <c r="D25" s="299"/>
      <c r="E25" s="142"/>
    </row>
    <row r="26" spans="1:5">
      <c r="A26" s="21" t="s">
        <v>636</v>
      </c>
      <c r="B26" s="291" t="s">
        <v>6188</v>
      </c>
      <c r="C26" s="22" t="s">
        <v>637</v>
      </c>
      <c r="D26" s="451">
        <f>(VLOOKUP(country_code,constant_area_shelf,7,FALSE)*100)/1000</f>
        <v>254525.9</v>
      </c>
      <c r="E26" s="136">
        <f>(VLOOKUP(5001,constant_area_shelf,7,FALSE)*100)/1000</f>
        <v>2521763.65</v>
      </c>
    </row>
  </sheetData>
  <phoneticPr fontId="5" type="noConversion"/>
  <hyperlinks>
    <hyperlink ref="C3" location="biocap!A1" tooltip="Go to biocap" display="biocap" xr:uid="{00000000-0004-0000-3E00-000000000000}"/>
    <hyperlink ref="D3" location="infrastructure_efp!A1" tooltip="Go to infrastructure_efp" display="infrastructure_efp" xr:uid="{00000000-0004-0000-3E00-000001000000}"/>
    <hyperlink ref="D2" location="const_area_EEZ!A1" display="const_area_EEZ" xr:uid="{00000000-0004-0000-3E00-000002000000}"/>
    <hyperlink ref="E2" location="constant_area_shelf" display="const_area_shelf" xr:uid="{00000000-0004-0000-3E00-000003000000}"/>
  </hyperlinks>
  <pageMargins left="0.75" right="0.75" top="1" bottom="1" header="0.5" footer="0.5"/>
  <pageSetup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4">
    <tabColor rgb="FF7030A0"/>
  </sheetPr>
  <dimension ref="A1:G352"/>
  <sheetViews>
    <sheetView zoomScaleNormal="100" workbookViewId="0">
      <selection activeCell="A65536" sqref="A65536"/>
    </sheetView>
  </sheetViews>
  <sheetFormatPr defaultColWidth="9.1796875" defaultRowHeight="12.5"/>
  <cols>
    <col min="1" max="1" width="13.453125" style="325" customWidth="1"/>
    <col min="2" max="2" width="35.7265625" style="253" customWidth="1"/>
    <col min="3" max="3" width="24.7265625" style="253" customWidth="1"/>
    <col min="4" max="4" width="26.453125" style="253" customWidth="1"/>
    <col min="5" max="5" width="16.453125" style="253" customWidth="1"/>
    <col min="6" max="6" width="19" style="253" customWidth="1"/>
    <col min="7" max="7" width="14" style="253" customWidth="1"/>
    <col min="8" max="16384" width="9.1796875" style="253"/>
  </cols>
  <sheetData>
    <row r="1" spans="1:7">
      <c r="A1" s="207"/>
      <c r="B1" s="36"/>
    </row>
    <row r="2" spans="1:7" ht="13">
      <c r="A2" s="207"/>
      <c r="C2" s="37" t="s">
        <v>985</v>
      </c>
      <c r="D2" s="155" t="s">
        <v>1745</v>
      </c>
    </row>
    <row r="3" spans="1:7" ht="13">
      <c r="A3" s="207"/>
      <c r="C3" s="37" t="s">
        <v>986</v>
      </c>
      <c r="D3" s="466" t="s">
        <v>3235</v>
      </c>
      <c r="E3" s="466" t="s">
        <v>6146</v>
      </c>
    </row>
    <row r="4" spans="1:7">
      <c r="A4" s="207"/>
      <c r="B4" s="36"/>
    </row>
    <row r="5" spans="1:7" ht="12.75" customHeight="1">
      <c r="A5" s="1217" t="s">
        <v>6864</v>
      </c>
      <c r="B5" s="1218" t="s">
        <v>5961</v>
      </c>
      <c r="C5" s="1212" t="s">
        <v>6803</v>
      </c>
      <c r="D5" s="1212" t="s">
        <v>6804</v>
      </c>
      <c r="E5" s="1212" t="s">
        <v>5970</v>
      </c>
      <c r="F5" s="1212" t="s">
        <v>6805</v>
      </c>
      <c r="G5" s="1219" t="s">
        <v>6802</v>
      </c>
    </row>
    <row r="6" spans="1:7">
      <c r="A6" s="1217"/>
      <c r="B6" s="1218"/>
      <c r="C6" s="1212"/>
      <c r="D6" s="1212"/>
      <c r="E6" s="1212"/>
      <c r="F6" s="1212"/>
      <c r="G6" s="1219"/>
    </row>
    <row r="7" spans="1:7" s="268" customFormat="1" ht="13">
      <c r="A7" s="998"/>
      <c r="B7" s="999"/>
      <c r="C7" s="1000" t="s">
        <v>6806</v>
      </c>
      <c r="D7" s="1000" t="s">
        <v>6807</v>
      </c>
      <c r="E7" s="1000" t="s">
        <v>6806</v>
      </c>
      <c r="F7" s="1000" t="s">
        <v>6808</v>
      </c>
      <c r="G7" s="1001" t="s">
        <v>6806</v>
      </c>
    </row>
    <row r="8" spans="1:7">
      <c r="A8" s="234">
        <v>2</v>
      </c>
      <c r="B8" s="18" t="s">
        <v>5552</v>
      </c>
      <c r="C8" s="614">
        <v>0</v>
      </c>
      <c r="D8" s="615">
        <v>0</v>
      </c>
      <c r="E8" s="615">
        <v>0</v>
      </c>
      <c r="F8" s="616">
        <v>0</v>
      </c>
      <c r="G8" s="617">
        <v>0</v>
      </c>
    </row>
    <row r="9" spans="1:7">
      <c r="A9" s="233">
        <v>3</v>
      </c>
      <c r="B9" t="s">
        <v>5553</v>
      </c>
      <c r="C9" s="599">
        <v>11138</v>
      </c>
      <c r="D9" s="600">
        <v>507</v>
      </c>
      <c r="E9" s="600">
        <v>11138</v>
      </c>
      <c r="F9" s="601">
        <v>507</v>
      </c>
      <c r="G9" s="610">
        <v>5903</v>
      </c>
    </row>
    <row r="10" spans="1:7">
      <c r="A10" s="233">
        <v>4</v>
      </c>
      <c r="B10" t="s">
        <v>5554</v>
      </c>
      <c r="C10" s="599">
        <v>128865</v>
      </c>
      <c r="D10" s="600">
        <v>480</v>
      </c>
      <c r="E10" s="600">
        <v>128865</v>
      </c>
      <c r="F10" s="601">
        <v>480</v>
      </c>
      <c r="G10" s="610">
        <v>9171</v>
      </c>
    </row>
    <row r="11" spans="1:7">
      <c r="A11" s="233">
        <v>5</v>
      </c>
      <c r="B11" t="s">
        <v>5555</v>
      </c>
      <c r="C11" s="599">
        <v>404391</v>
      </c>
      <c r="D11" s="600">
        <v>184</v>
      </c>
      <c r="E11" s="600">
        <v>404391</v>
      </c>
      <c r="F11" s="601">
        <v>184</v>
      </c>
      <c r="G11" s="610">
        <v>154</v>
      </c>
    </row>
    <row r="12" spans="1:7">
      <c r="A12" s="233">
        <v>6</v>
      </c>
      <c r="B12" t="s">
        <v>5556</v>
      </c>
      <c r="C12" s="599">
        <v>0</v>
      </c>
      <c r="D12" s="600">
        <v>0</v>
      </c>
      <c r="E12" s="600">
        <v>0</v>
      </c>
      <c r="F12" s="601">
        <v>0</v>
      </c>
      <c r="G12" s="610">
        <v>0</v>
      </c>
    </row>
    <row r="13" spans="1:7">
      <c r="A13" s="233">
        <v>7</v>
      </c>
      <c r="B13" t="s">
        <v>5557</v>
      </c>
      <c r="C13" s="599">
        <v>501050</v>
      </c>
      <c r="D13" s="600">
        <v>1411</v>
      </c>
      <c r="E13" s="600">
        <v>501050</v>
      </c>
      <c r="F13" s="601">
        <v>1411</v>
      </c>
      <c r="G13" s="610">
        <v>52869</v>
      </c>
    </row>
    <row r="14" spans="1:7">
      <c r="A14" s="233">
        <v>8</v>
      </c>
      <c r="B14" t="s">
        <v>5558</v>
      </c>
      <c r="C14" s="599">
        <v>107914</v>
      </c>
      <c r="D14" s="600">
        <v>261</v>
      </c>
      <c r="E14" s="600">
        <v>107914</v>
      </c>
      <c r="F14" s="601">
        <v>261</v>
      </c>
      <c r="G14" s="610">
        <v>3710</v>
      </c>
    </row>
    <row r="15" spans="1:7">
      <c r="A15" s="233">
        <v>9</v>
      </c>
      <c r="B15" t="s">
        <v>5560</v>
      </c>
      <c r="C15" s="599">
        <v>1084386</v>
      </c>
      <c r="D15" s="600">
        <v>1180</v>
      </c>
      <c r="E15" s="600">
        <v>1084386</v>
      </c>
      <c r="F15" s="601">
        <v>1180</v>
      </c>
      <c r="G15" s="610">
        <v>785879</v>
      </c>
    </row>
    <row r="16" spans="1:7">
      <c r="A16" s="233">
        <v>1</v>
      </c>
      <c r="B16" t="s">
        <v>5561</v>
      </c>
      <c r="C16" s="599">
        <v>0</v>
      </c>
      <c r="D16" s="600">
        <v>0</v>
      </c>
      <c r="E16" s="600">
        <v>0</v>
      </c>
      <c r="F16" s="601">
        <v>0</v>
      </c>
      <c r="G16" s="610">
        <v>0</v>
      </c>
    </row>
    <row r="17" spans="1:7">
      <c r="A17" s="233">
        <v>10</v>
      </c>
      <c r="B17" t="s">
        <v>5563</v>
      </c>
      <c r="C17" s="599">
        <v>6362934</v>
      </c>
      <c r="D17" s="600">
        <v>518</v>
      </c>
      <c r="E17" s="600">
        <f>SUM(C17:C20)</f>
        <v>7799142</v>
      </c>
      <c r="F17" s="601">
        <f>SUMPRODUCT(C17:C20,D17:D20)/SUM(C17:C20)</f>
        <v>478.17938280903206</v>
      </c>
      <c r="G17" s="610">
        <f>2056241+SUM(G18:G20)</f>
        <v>2061874</v>
      </c>
    </row>
    <row r="18" spans="1:7">
      <c r="A18" s="233" t="s">
        <v>7547</v>
      </c>
      <c r="B18" t="s">
        <v>6809</v>
      </c>
      <c r="C18" s="599">
        <v>417015</v>
      </c>
      <c r="D18" s="600">
        <v>310</v>
      </c>
      <c r="E18" s="602">
        <v>0</v>
      </c>
      <c r="F18" s="603">
        <v>0</v>
      </c>
      <c r="G18" s="611">
        <v>4268</v>
      </c>
    </row>
    <row r="19" spans="1:7">
      <c r="A19" s="233" t="s">
        <v>7547</v>
      </c>
      <c r="B19" s="13" t="s">
        <v>6810</v>
      </c>
      <c r="C19" s="599">
        <v>543346</v>
      </c>
      <c r="D19" s="600">
        <v>325</v>
      </c>
      <c r="E19" s="602">
        <v>0</v>
      </c>
      <c r="F19" s="603">
        <v>0</v>
      </c>
      <c r="G19" s="611">
        <v>611</v>
      </c>
    </row>
    <row r="20" spans="1:7">
      <c r="A20" s="233" t="s">
        <v>7547</v>
      </c>
      <c r="B20" t="s">
        <v>6811</v>
      </c>
      <c r="C20" s="599">
        <v>475847</v>
      </c>
      <c r="D20" s="600">
        <v>268</v>
      </c>
      <c r="E20" s="602">
        <v>0</v>
      </c>
      <c r="F20" s="603">
        <v>0</v>
      </c>
      <c r="G20" s="611">
        <v>754</v>
      </c>
    </row>
    <row r="21" spans="1:7">
      <c r="A21" s="233">
        <v>42</v>
      </c>
      <c r="B21" t="s">
        <v>5595</v>
      </c>
      <c r="C21" s="599">
        <v>277345</v>
      </c>
      <c r="D21" s="600">
        <v>310</v>
      </c>
      <c r="E21" s="600">
        <v>277345</v>
      </c>
      <c r="F21" s="601">
        <v>310</v>
      </c>
      <c r="G21" s="610">
        <v>105</v>
      </c>
    </row>
    <row r="22" spans="1:7">
      <c r="A22" s="233">
        <v>43</v>
      </c>
      <c r="B22" t="s">
        <v>5596</v>
      </c>
      <c r="C22" s="599">
        <v>467249</v>
      </c>
      <c r="D22" s="600">
        <v>257</v>
      </c>
      <c r="E22" s="600">
        <v>467249</v>
      </c>
      <c r="F22" s="601">
        <v>257</v>
      </c>
      <c r="G22" s="610">
        <v>113</v>
      </c>
    </row>
    <row r="23" spans="1:7">
      <c r="A23" s="233">
        <v>161</v>
      </c>
      <c r="B23" t="s">
        <v>5707</v>
      </c>
      <c r="C23" s="599">
        <v>431121</v>
      </c>
      <c r="D23" s="600">
        <v>278</v>
      </c>
      <c r="E23" s="600">
        <v>431121</v>
      </c>
      <c r="F23" s="601">
        <v>278</v>
      </c>
      <c r="G23" s="610">
        <v>2911</v>
      </c>
    </row>
    <row r="24" spans="1:7">
      <c r="A24" s="233">
        <v>11</v>
      </c>
      <c r="B24" t="s">
        <v>5564</v>
      </c>
      <c r="C24" s="599">
        <v>0</v>
      </c>
      <c r="D24" s="600">
        <v>0</v>
      </c>
      <c r="E24" s="600">
        <v>0</v>
      </c>
      <c r="F24" s="601">
        <v>0</v>
      </c>
      <c r="G24" s="610">
        <v>0</v>
      </c>
    </row>
    <row r="25" spans="1:7">
      <c r="A25" s="233">
        <v>52</v>
      </c>
      <c r="B25" t="s">
        <v>5565</v>
      </c>
      <c r="C25" s="599">
        <v>0</v>
      </c>
      <c r="D25" s="600">
        <v>0</v>
      </c>
      <c r="E25" s="600">
        <v>0</v>
      </c>
      <c r="F25" s="601">
        <v>0</v>
      </c>
      <c r="G25" s="610">
        <v>0</v>
      </c>
    </row>
    <row r="26" spans="1:7">
      <c r="A26" s="233">
        <v>12</v>
      </c>
      <c r="B26" t="s">
        <v>5566</v>
      </c>
      <c r="C26" s="599">
        <v>654715</v>
      </c>
      <c r="D26" s="600">
        <v>375</v>
      </c>
      <c r="E26" s="600">
        <v>654715</v>
      </c>
      <c r="F26" s="601">
        <v>375</v>
      </c>
      <c r="G26" s="610">
        <v>108265</v>
      </c>
    </row>
    <row r="27" spans="1:7">
      <c r="A27" s="233">
        <v>13</v>
      </c>
      <c r="B27" t="s">
        <v>5567</v>
      </c>
      <c r="C27" s="599">
        <v>10225</v>
      </c>
      <c r="D27" s="600">
        <v>1098</v>
      </c>
      <c r="E27" s="600">
        <v>10225</v>
      </c>
      <c r="F27" s="601">
        <v>1098</v>
      </c>
      <c r="G27" s="610">
        <v>7671</v>
      </c>
    </row>
    <row r="28" spans="1:7">
      <c r="A28" s="233">
        <v>16</v>
      </c>
      <c r="B28" t="s">
        <v>5568</v>
      </c>
      <c r="C28" s="599">
        <v>78538</v>
      </c>
      <c r="D28" s="600">
        <v>1709</v>
      </c>
      <c r="E28" s="600">
        <v>78538</v>
      </c>
      <c r="F28" s="601">
        <v>1709</v>
      </c>
      <c r="G28" s="610">
        <v>61731</v>
      </c>
    </row>
    <row r="29" spans="1:7">
      <c r="A29" s="233">
        <v>14</v>
      </c>
      <c r="B29" t="s">
        <v>5569</v>
      </c>
      <c r="C29" s="599">
        <v>186107</v>
      </c>
      <c r="D29" s="600">
        <v>419</v>
      </c>
      <c r="E29" s="600">
        <v>186107</v>
      </c>
      <c r="F29" s="601">
        <v>419</v>
      </c>
      <c r="G29" s="610">
        <v>407</v>
      </c>
    </row>
    <row r="30" spans="1:7">
      <c r="A30" s="233">
        <v>57</v>
      </c>
      <c r="B30" t="s">
        <v>5570</v>
      </c>
      <c r="C30" s="599">
        <v>0</v>
      </c>
      <c r="D30" s="600">
        <v>0</v>
      </c>
      <c r="E30" s="600">
        <v>0</v>
      </c>
      <c r="F30" s="601">
        <v>0</v>
      </c>
      <c r="G30" s="610">
        <v>0</v>
      </c>
    </row>
    <row r="31" spans="1:7">
      <c r="A31" s="233">
        <v>255</v>
      </c>
      <c r="B31" t="s">
        <v>5544</v>
      </c>
      <c r="C31" s="599">
        <v>3453</v>
      </c>
      <c r="D31" s="600">
        <v>1774</v>
      </c>
      <c r="E31" s="600">
        <v>3453</v>
      </c>
      <c r="F31" s="601">
        <v>1908</v>
      </c>
      <c r="G31" s="610">
        <v>3438</v>
      </c>
    </row>
    <row r="32" spans="1:7">
      <c r="A32" s="233">
        <v>23</v>
      </c>
      <c r="B32" t="s">
        <v>5572</v>
      </c>
      <c r="C32" s="599">
        <v>35995</v>
      </c>
      <c r="D32" s="600">
        <v>517</v>
      </c>
      <c r="E32" s="600">
        <v>35995</v>
      </c>
      <c r="F32" s="601">
        <v>517</v>
      </c>
      <c r="G32" s="610">
        <v>9431</v>
      </c>
    </row>
    <row r="33" spans="1:7">
      <c r="A33" s="233">
        <v>53</v>
      </c>
      <c r="B33" t="s">
        <v>5573</v>
      </c>
      <c r="C33" s="599">
        <v>30024</v>
      </c>
      <c r="D33" s="600">
        <v>740</v>
      </c>
      <c r="E33" s="600">
        <v>30024</v>
      </c>
      <c r="F33" s="601">
        <v>740</v>
      </c>
      <c r="G33" s="610">
        <v>2852</v>
      </c>
    </row>
    <row r="34" spans="1:7">
      <c r="A34" s="233">
        <v>18</v>
      </c>
      <c r="B34" t="s">
        <v>5575</v>
      </c>
      <c r="C34" s="599">
        <v>0</v>
      </c>
      <c r="D34" s="600">
        <v>0</v>
      </c>
      <c r="E34" s="604">
        <v>0</v>
      </c>
      <c r="F34" s="605">
        <v>0</v>
      </c>
      <c r="G34" s="610">
        <v>0</v>
      </c>
    </row>
    <row r="35" spans="1:7">
      <c r="A35" s="233">
        <v>19</v>
      </c>
      <c r="B35" t="s">
        <v>5576</v>
      </c>
      <c r="C35" s="599">
        <v>0</v>
      </c>
      <c r="D35" s="600">
        <v>0</v>
      </c>
      <c r="E35" s="600">
        <v>0</v>
      </c>
      <c r="F35" s="601">
        <v>0</v>
      </c>
      <c r="G35" s="610">
        <v>0</v>
      </c>
    </row>
    <row r="36" spans="1:7">
      <c r="A36" s="233">
        <v>80</v>
      </c>
      <c r="B36" t="s">
        <v>5577</v>
      </c>
      <c r="C36" s="599">
        <v>14</v>
      </c>
      <c r="D36" s="600">
        <v>390</v>
      </c>
      <c r="E36" s="604">
        <v>14</v>
      </c>
      <c r="F36" s="605">
        <v>390</v>
      </c>
      <c r="G36" s="610">
        <v>14</v>
      </c>
    </row>
    <row r="37" spans="1:7">
      <c r="A37" s="233">
        <v>20</v>
      </c>
      <c r="B37" t="s">
        <v>5578</v>
      </c>
      <c r="C37" s="599">
        <v>0</v>
      </c>
      <c r="D37" s="600">
        <v>0</v>
      </c>
      <c r="E37" s="600">
        <v>0</v>
      </c>
      <c r="F37" s="601">
        <v>0</v>
      </c>
      <c r="G37" s="610">
        <v>0</v>
      </c>
    </row>
    <row r="38" spans="1:7">
      <c r="A38" s="233">
        <v>21</v>
      </c>
      <c r="B38" t="s">
        <v>5579</v>
      </c>
      <c r="C38" s="599">
        <v>3179693</v>
      </c>
      <c r="D38" s="600">
        <v>605</v>
      </c>
      <c r="E38" s="600">
        <f>SUM(C38:C39)</f>
        <v>3648308</v>
      </c>
      <c r="F38" s="601">
        <f>SUMPRODUCT(C38:C39,D38:D39)/SUM(C38:C39)</f>
        <v>547.32720071879896</v>
      </c>
      <c r="G38" s="610">
        <f>708805+G39</f>
        <v>708816</v>
      </c>
    </row>
    <row r="39" spans="1:7">
      <c r="A39" s="233" t="s">
        <v>7547</v>
      </c>
      <c r="B39" t="s">
        <v>6812</v>
      </c>
      <c r="C39" s="599">
        <v>468615</v>
      </c>
      <c r="D39" s="600">
        <v>156</v>
      </c>
      <c r="E39" s="600">
        <v>0</v>
      </c>
      <c r="F39" s="606">
        <v>0</v>
      </c>
      <c r="G39" s="611">
        <v>11</v>
      </c>
    </row>
    <row r="40" spans="1:7">
      <c r="A40" s="233">
        <v>26</v>
      </c>
      <c r="B40" t="s">
        <v>5582</v>
      </c>
      <c r="C40" s="599">
        <v>25427</v>
      </c>
      <c r="D40" s="600">
        <v>792</v>
      </c>
      <c r="E40" s="600">
        <v>25427</v>
      </c>
      <c r="F40" s="601">
        <v>792</v>
      </c>
      <c r="G40" s="610">
        <v>8633</v>
      </c>
    </row>
    <row r="41" spans="1:7">
      <c r="A41" s="233">
        <v>27</v>
      </c>
      <c r="B41" t="s">
        <v>5583</v>
      </c>
      <c r="C41" s="599">
        <v>35156</v>
      </c>
      <c r="D41" s="600">
        <v>964</v>
      </c>
      <c r="E41" s="600">
        <v>35156</v>
      </c>
      <c r="F41" s="601">
        <v>964</v>
      </c>
      <c r="G41" s="610">
        <v>11896</v>
      </c>
    </row>
    <row r="42" spans="1:7">
      <c r="A42" s="233">
        <v>233</v>
      </c>
      <c r="B42" t="s">
        <v>5584</v>
      </c>
      <c r="C42" s="599">
        <v>0</v>
      </c>
      <c r="D42" s="600">
        <v>0</v>
      </c>
      <c r="E42" s="600">
        <v>0</v>
      </c>
      <c r="F42" s="601">
        <v>0</v>
      </c>
      <c r="G42" s="610">
        <v>0</v>
      </c>
    </row>
    <row r="43" spans="1:7">
      <c r="A43" s="233">
        <v>29</v>
      </c>
      <c r="B43" t="s">
        <v>5585</v>
      </c>
      <c r="C43" s="599">
        <v>0</v>
      </c>
      <c r="D43" s="600">
        <v>0</v>
      </c>
      <c r="E43" s="600">
        <v>0</v>
      </c>
      <c r="F43" s="601">
        <v>0</v>
      </c>
      <c r="G43" s="610">
        <v>0</v>
      </c>
    </row>
    <row r="44" spans="1:7">
      <c r="A44" s="233">
        <v>115</v>
      </c>
      <c r="B44" t="s">
        <v>5586</v>
      </c>
      <c r="C44" s="599">
        <v>47827</v>
      </c>
      <c r="D44" s="600">
        <v>681</v>
      </c>
      <c r="E44" s="600">
        <v>47827</v>
      </c>
      <c r="F44" s="601">
        <v>681</v>
      </c>
      <c r="G44" s="610">
        <v>47827</v>
      </c>
    </row>
    <row r="45" spans="1:7">
      <c r="A45" s="233">
        <v>32</v>
      </c>
      <c r="B45" t="s">
        <v>5587</v>
      </c>
      <c r="C45" s="599">
        <v>14693</v>
      </c>
      <c r="D45" s="600">
        <v>2153</v>
      </c>
      <c r="E45" s="600">
        <v>14693</v>
      </c>
      <c r="F45" s="601">
        <v>2158</v>
      </c>
      <c r="G45" s="610">
        <v>10125</v>
      </c>
    </row>
    <row r="46" spans="1:7">
      <c r="A46" s="233">
        <v>33</v>
      </c>
      <c r="B46" t="s">
        <v>5588</v>
      </c>
      <c r="C46" s="599">
        <v>6006154</v>
      </c>
      <c r="D46" s="600">
        <v>469</v>
      </c>
      <c r="E46" s="600">
        <v>6006154</v>
      </c>
      <c r="F46" s="601">
        <v>469</v>
      </c>
      <c r="G46" s="610">
        <v>2545259</v>
      </c>
    </row>
    <row r="47" spans="1:7">
      <c r="A47" s="233">
        <v>35</v>
      </c>
      <c r="B47" t="s">
        <v>7554</v>
      </c>
      <c r="C47" s="599">
        <v>796840</v>
      </c>
      <c r="D47" s="600">
        <v>689</v>
      </c>
      <c r="E47" s="600">
        <v>769840</v>
      </c>
      <c r="F47" s="601">
        <v>689</v>
      </c>
      <c r="G47" s="610">
        <v>3768</v>
      </c>
    </row>
    <row r="48" spans="1:7">
      <c r="A48" s="233">
        <v>37</v>
      </c>
      <c r="B48" t="s">
        <v>5590</v>
      </c>
      <c r="C48" s="599">
        <v>0</v>
      </c>
      <c r="D48" s="600">
        <v>0</v>
      </c>
      <c r="E48" s="600">
        <v>0</v>
      </c>
      <c r="F48" s="601">
        <v>0</v>
      </c>
      <c r="G48" s="610">
        <v>0</v>
      </c>
    </row>
    <row r="49" spans="1:7">
      <c r="A49" s="233">
        <v>39</v>
      </c>
      <c r="B49" t="s">
        <v>5591</v>
      </c>
      <c r="C49" s="599">
        <v>0</v>
      </c>
      <c r="D49" s="600">
        <v>0</v>
      </c>
      <c r="E49" s="600">
        <v>0</v>
      </c>
      <c r="F49" s="601">
        <v>0</v>
      </c>
      <c r="G49" s="610">
        <v>0</v>
      </c>
    </row>
    <row r="50" spans="1:7">
      <c r="A50" s="233">
        <v>40</v>
      </c>
      <c r="B50" t="s">
        <v>5593</v>
      </c>
      <c r="C50" s="599">
        <v>2009299</v>
      </c>
      <c r="D50" s="600">
        <v>771</v>
      </c>
      <c r="E50" s="600">
        <f>SUM(C50:C53)</f>
        <v>3681989</v>
      </c>
      <c r="F50" s="601">
        <f>SUMPRODUCT(C50:C53,D50:D53)/SUM(C50:C53)</f>
        <v>530.13266851150286</v>
      </c>
      <c r="G50" s="610">
        <f>160916+SUM(G51:G53)</f>
        <v>161338</v>
      </c>
    </row>
    <row r="51" spans="1:7">
      <c r="A51" s="233" t="s">
        <v>7547</v>
      </c>
      <c r="B51" t="s">
        <v>6813</v>
      </c>
      <c r="C51" s="599">
        <v>449805</v>
      </c>
      <c r="D51" s="600">
        <v>285</v>
      </c>
      <c r="E51" s="602">
        <v>0</v>
      </c>
      <c r="F51" s="603">
        <v>0</v>
      </c>
      <c r="G51" s="611">
        <v>31</v>
      </c>
    </row>
    <row r="52" spans="1:7">
      <c r="A52" s="233" t="s">
        <v>7547</v>
      </c>
      <c r="B52" t="s">
        <v>6814</v>
      </c>
      <c r="C52" s="599">
        <v>720395</v>
      </c>
      <c r="D52" s="600">
        <v>114</v>
      </c>
      <c r="E52" s="602">
        <v>0</v>
      </c>
      <c r="F52" s="603">
        <v>0</v>
      </c>
      <c r="G52" s="611">
        <v>69</v>
      </c>
    </row>
    <row r="53" spans="1:7">
      <c r="A53" s="233" t="s">
        <v>7547</v>
      </c>
      <c r="B53" t="s">
        <v>6815</v>
      </c>
      <c r="C53" s="599">
        <v>502490</v>
      </c>
      <c r="D53" s="600">
        <v>383</v>
      </c>
      <c r="E53" s="602">
        <v>0</v>
      </c>
      <c r="F53" s="603">
        <v>0</v>
      </c>
      <c r="G53" s="611">
        <v>322</v>
      </c>
    </row>
    <row r="54" spans="1:7">
      <c r="A54" s="233">
        <v>41</v>
      </c>
      <c r="B54" s="404" t="s">
        <v>7553</v>
      </c>
      <c r="C54" s="599">
        <v>2285872</v>
      </c>
      <c r="D54" s="600">
        <v>755</v>
      </c>
      <c r="E54" s="599">
        <v>2285872</v>
      </c>
      <c r="F54" s="601">
        <v>755</v>
      </c>
      <c r="G54" s="610">
        <f>1013154</f>
        <v>1013154</v>
      </c>
    </row>
    <row r="55" spans="1:7">
      <c r="A55" s="233">
        <v>96</v>
      </c>
      <c r="B55" s="404" t="s">
        <v>7555</v>
      </c>
      <c r="C55" s="599">
        <v>2097</v>
      </c>
      <c r="D55" s="600">
        <v>1402</v>
      </c>
      <c r="E55" s="599">
        <v>2097</v>
      </c>
      <c r="F55" s="601">
        <v>1402</v>
      </c>
      <c r="G55" s="612">
        <v>1473</v>
      </c>
    </row>
    <row r="56" spans="1:7">
      <c r="A56" s="233">
        <v>214</v>
      </c>
      <c r="B56" t="s">
        <v>5756</v>
      </c>
      <c r="C56" s="599">
        <v>1149189</v>
      </c>
      <c r="D56" s="600">
        <v>407</v>
      </c>
      <c r="E56" s="599">
        <v>1149189</v>
      </c>
      <c r="F56" s="601">
        <v>407</v>
      </c>
      <c r="G56" s="612">
        <v>162343</v>
      </c>
    </row>
    <row r="57" spans="1:7">
      <c r="A57" s="233">
        <v>44</v>
      </c>
      <c r="B57" t="s">
        <v>5597</v>
      </c>
      <c r="C57" s="599">
        <v>817816</v>
      </c>
      <c r="D57" s="600">
        <v>623</v>
      </c>
      <c r="E57" s="600">
        <v>817816</v>
      </c>
      <c r="F57" s="601">
        <v>623</v>
      </c>
      <c r="G57" s="610">
        <v>46316</v>
      </c>
    </row>
    <row r="58" spans="1:7">
      <c r="A58" s="233">
        <v>45</v>
      </c>
      <c r="B58" t="s">
        <v>5598</v>
      </c>
      <c r="C58" s="599">
        <v>164691</v>
      </c>
      <c r="D58" s="600">
        <v>400</v>
      </c>
      <c r="E58" s="600">
        <v>164691</v>
      </c>
      <c r="F58" s="601">
        <v>400</v>
      </c>
      <c r="G58" s="610">
        <v>1618</v>
      </c>
    </row>
    <row r="59" spans="1:7">
      <c r="A59" s="233">
        <v>46</v>
      </c>
      <c r="B59" t="s">
        <v>5599</v>
      </c>
      <c r="C59" s="599">
        <v>40499</v>
      </c>
      <c r="D59" s="600">
        <v>2667</v>
      </c>
      <c r="E59" s="600">
        <v>40499</v>
      </c>
      <c r="F59" s="601">
        <v>2667</v>
      </c>
      <c r="G59" s="610">
        <v>7849</v>
      </c>
    </row>
    <row r="60" spans="1:7">
      <c r="A60" s="233">
        <v>250</v>
      </c>
      <c r="B60" t="s">
        <v>5600</v>
      </c>
      <c r="C60" s="599">
        <v>1072</v>
      </c>
      <c r="D60" s="600">
        <v>3601</v>
      </c>
      <c r="E60" s="600">
        <v>1072</v>
      </c>
      <c r="F60" s="601">
        <v>3601</v>
      </c>
      <c r="G60" s="610">
        <v>756</v>
      </c>
    </row>
    <row r="61" spans="1:7">
      <c r="A61" s="233">
        <v>48</v>
      </c>
      <c r="B61" t="s">
        <v>5602</v>
      </c>
      <c r="C61" s="599">
        <v>572014</v>
      </c>
      <c r="D61" s="600">
        <v>423</v>
      </c>
      <c r="E61" s="600">
        <v>572014</v>
      </c>
      <c r="F61" s="601">
        <v>423</v>
      </c>
      <c r="G61" s="610">
        <v>18600</v>
      </c>
    </row>
    <row r="62" spans="1:7">
      <c r="A62" s="233">
        <v>107</v>
      </c>
      <c r="B62" t="s">
        <v>5603</v>
      </c>
      <c r="C62" s="599">
        <v>174545</v>
      </c>
      <c r="D62" s="600">
        <v>774</v>
      </c>
      <c r="E62" s="600">
        <v>174545</v>
      </c>
      <c r="F62" s="601">
        <v>774</v>
      </c>
      <c r="G62" s="610">
        <v>11824</v>
      </c>
    </row>
    <row r="63" spans="1:7">
      <c r="A63" s="233">
        <v>98</v>
      </c>
      <c r="B63" t="s">
        <v>5604</v>
      </c>
      <c r="C63" s="600">
        <v>56374</v>
      </c>
      <c r="D63" s="600">
        <v>465</v>
      </c>
      <c r="E63" s="600">
        <v>56374</v>
      </c>
      <c r="F63" s="601">
        <v>465</v>
      </c>
      <c r="G63" s="610">
        <v>42019</v>
      </c>
    </row>
    <row r="64" spans="1:7">
      <c r="A64" s="233">
        <v>49</v>
      </c>
      <c r="B64" t="s">
        <v>5605</v>
      </c>
      <c r="C64" s="600">
        <v>365448</v>
      </c>
      <c r="D64" s="600">
        <v>415</v>
      </c>
      <c r="E64" s="600">
        <v>365448</v>
      </c>
      <c r="F64" s="601">
        <v>415</v>
      </c>
      <c r="G64" s="610">
        <v>54888</v>
      </c>
    </row>
    <row r="65" spans="1:7">
      <c r="A65" s="233">
        <v>50</v>
      </c>
      <c r="B65" t="s">
        <v>5606</v>
      </c>
      <c r="C65" s="600">
        <v>98550</v>
      </c>
      <c r="D65" s="600">
        <v>328</v>
      </c>
      <c r="E65" s="600">
        <v>98550</v>
      </c>
      <c r="F65" s="601">
        <v>328</v>
      </c>
      <c r="G65" s="610">
        <v>2670</v>
      </c>
    </row>
    <row r="66" spans="1:7">
      <c r="A66" s="233">
        <v>167</v>
      </c>
      <c r="B66" t="s">
        <v>5607</v>
      </c>
      <c r="C66" s="600">
        <v>0</v>
      </c>
      <c r="D66" s="600">
        <v>0</v>
      </c>
      <c r="E66" s="600">
        <v>0</v>
      </c>
      <c r="F66" s="601">
        <v>0</v>
      </c>
      <c r="G66" s="610">
        <v>0</v>
      </c>
    </row>
    <row r="67" spans="1:7">
      <c r="A67" s="233">
        <v>51</v>
      </c>
      <c r="B67" t="s">
        <v>5608</v>
      </c>
      <c r="C67" s="600">
        <v>0</v>
      </c>
      <c r="D67" s="600">
        <v>0</v>
      </c>
      <c r="E67" s="600">
        <v>0</v>
      </c>
      <c r="F67" s="601">
        <v>0</v>
      </c>
      <c r="G67" s="610">
        <v>0</v>
      </c>
    </row>
    <row r="68" spans="1:7">
      <c r="A68" s="233">
        <v>54</v>
      </c>
      <c r="B68" t="s">
        <v>5609</v>
      </c>
      <c r="C68" s="600">
        <v>107579</v>
      </c>
      <c r="D68" s="600">
        <v>1404</v>
      </c>
      <c r="E68" s="600">
        <v>107579</v>
      </c>
      <c r="F68" s="601">
        <v>1404</v>
      </c>
      <c r="G68" s="610">
        <f>99258</f>
        <v>99258</v>
      </c>
    </row>
    <row r="69" spans="1:7">
      <c r="A69" s="233">
        <v>85</v>
      </c>
      <c r="B69" t="s">
        <v>5635</v>
      </c>
      <c r="C69" s="600">
        <v>2353703</v>
      </c>
      <c r="D69" s="600">
        <v>365</v>
      </c>
      <c r="E69" s="600">
        <v>2353703</v>
      </c>
      <c r="F69" s="601">
        <v>365</v>
      </c>
      <c r="G69" s="610">
        <v>337856</v>
      </c>
    </row>
    <row r="70" spans="1:7">
      <c r="A70" s="233">
        <v>64</v>
      </c>
      <c r="B70" t="s">
        <v>5622</v>
      </c>
      <c r="C70" s="600">
        <v>269866</v>
      </c>
      <c r="D70" s="600">
        <v>453</v>
      </c>
      <c r="E70" s="600">
        <v>269866</v>
      </c>
      <c r="F70" s="601">
        <v>453</v>
      </c>
      <c r="G70" s="610">
        <v>23480</v>
      </c>
    </row>
    <row r="71" spans="1:7">
      <c r="A71" s="233">
        <v>72</v>
      </c>
      <c r="B71" t="s">
        <v>5610</v>
      </c>
      <c r="C71" s="600">
        <v>6947</v>
      </c>
      <c r="D71" s="600">
        <v>1566</v>
      </c>
      <c r="E71" s="600">
        <v>6947</v>
      </c>
      <c r="F71" s="601">
        <v>1566</v>
      </c>
      <c r="G71" s="610">
        <v>2285</v>
      </c>
    </row>
    <row r="72" spans="1:7">
      <c r="A72" s="233">
        <v>55</v>
      </c>
      <c r="B72" t="s">
        <v>5611</v>
      </c>
      <c r="C72" s="600">
        <v>28626</v>
      </c>
      <c r="D72" s="600">
        <v>346</v>
      </c>
      <c r="E72" s="600">
        <v>28626</v>
      </c>
      <c r="F72" s="601">
        <v>346</v>
      </c>
      <c r="G72" s="610">
        <v>286</v>
      </c>
    </row>
    <row r="73" spans="1:7">
      <c r="A73" s="233">
        <v>56</v>
      </c>
      <c r="B73" t="s">
        <v>5612</v>
      </c>
      <c r="C73" s="600">
        <v>269285</v>
      </c>
      <c r="D73" s="600">
        <v>305</v>
      </c>
      <c r="E73" s="600">
        <v>269285</v>
      </c>
      <c r="F73" s="601">
        <v>305</v>
      </c>
      <c r="G73" s="610">
        <v>10725</v>
      </c>
    </row>
    <row r="74" spans="1:7">
      <c r="A74" s="233">
        <v>176</v>
      </c>
      <c r="B74" t="s">
        <v>5760</v>
      </c>
      <c r="C74" s="600">
        <v>77256</v>
      </c>
      <c r="D74" s="600">
        <v>606</v>
      </c>
      <c r="E74" s="600">
        <v>77256</v>
      </c>
      <c r="F74" s="601">
        <v>606</v>
      </c>
      <c r="G74" s="610">
        <v>24003</v>
      </c>
    </row>
    <row r="75" spans="1:7">
      <c r="A75" s="233">
        <v>58</v>
      </c>
      <c r="B75" t="s">
        <v>5613</v>
      </c>
      <c r="C75" s="600">
        <v>236597</v>
      </c>
      <c r="D75" s="600">
        <v>999</v>
      </c>
      <c r="E75" s="600">
        <f>SUM(C75:C76)</f>
        <v>1072533</v>
      </c>
      <c r="F75" s="601">
        <f>SUMPRODUCT(C75:C76,D75:D76)/SUM(C75:C76)</f>
        <v>590.59255332936141</v>
      </c>
      <c r="G75" s="610">
        <f>24679+G76</f>
        <v>32091</v>
      </c>
    </row>
    <row r="76" spans="1:7">
      <c r="A76" s="233" t="s">
        <v>7547</v>
      </c>
      <c r="B76" t="s">
        <v>6816</v>
      </c>
      <c r="C76" s="600">
        <v>835936</v>
      </c>
      <c r="D76" s="600">
        <v>475</v>
      </c>
      <c r="E76" s="602">
        <v>0</v>
      </c>
      <c r="F76" s="603">
        <v>0</v>
      </c>
      <c r="G76" s="611">
        <v>7412</v>
      </c>
    </row>
    <row r="77" spans="1:7">
      <c r="A77" s="233">
        <v>59</v>
      </c>
      <c r="B77" t="s">
        <v>5614</v>
      </c>
      <c r="C77" s="600">
        <v>261824</v>
      </c>
      <c r="D77" s="600">
        <v>412</v>
      </c>
      <c r="E77" s="600">
        <v>261824</v>
      </c>
      <c r="F77" s="601">
        <v>412</v>
      </c>
      <c r="G77" s="610">
        <v>47555</v>
      </c>
    </row>
    <row r="78" spans="1:7">
      <c r="A78" s="233">
        <v>60</v>
      </c>
      <c r="B78" t="s">
        <v>5615</v>
      </c>
      <c r="C78" s="600">
        <v>93761</v>
      </c>
      <c r="D78" s="600">
        <v>529</v>
      </c>
      <c r="E78" s="600">
        <v>93761</v>
      </c>
      <c r="F78" s="601">
        <v>529</v>
      </c>
      <c r="G78" s="610">
        <v>18025</v>
      </c>
    </row>
    <row r="79" spans="1:7">
      <c r="A79" s="233">
        <v>61</v>
      </c>
      <c r="B79" t="s">
        <v>5616</v>
      </c>
      <c r="C79" s="600">
        <v>308337</v>
      </c>
      <c r="D79" s="600">
        <v>996</v>
      </c>
      <c r="E79" s="600">
        <v>308337</v>
      </c>
      <c r="F79" s="601">
        <v>996</v>
      </c>
      <c r="G79" s="610">
        <v>10318</v>
      </c>
    </row>
    <row r="80" spans="1:7">
      <c r="A80" s="233">
        <v>178</v>
      </c>
      <c r="B80" t="s">
        <v>5617</v>
      </c>
      <c r="C80" s="600">
        <v>78703</v>
      </c>
      <c r="D80" s="600">
        <v>1232</v>
      </c>
      <c r="E80" s="600">
        <v>78703</v>
      </c>
      <c r="F80" s="601">
        <v>1232</v>
      </c>
      <c r="G80" s="610">
        <v>56964</v>
      </c>
    </row>
    <row r="81" spans="1:7">
      <c r="A81" s="233">
        <v>63</v>
      </c>
      <c r="B81" t="s">
        <v>5618</v>
      </c>
      <c r="C81" s="600">
        <v>39940</v>
      </c>
      <c r="D81" s="600">
        <v>2156</v>
      </c>
      <c r="E81" s="600">
        <v>39940</v>
      </c>
      <c r="F81" s="601">
        <v>2156</v>
      </c>
      <c r="G81" s="610">
        <v>35689</v>
      </c>
    </row>
    <row r="82" spans="1:7">
      <c r="A82" s="233">
        <v>238</v>
      </c>
      <c r="B82" t="s">
        <v>5619</v>
      </c>
      <c r="C82" s="600">
        <v>0</v>
      </c>
      <c r="D82" s="600">
        <v>0</v>
      </c>
      <c r="E82" s="600">
        <v>0</v>
      </c>
      <c r="F82" s="601">
        <v>0</v>
      </c>
      <c r="G82" s="610">
        <v>0</v>
      </c>
    </row>
    <row r="83" spans="1:7">
      <c r="A83" s="233">
        <v>66</v>
      </c>
      <c r="B83" t="s">
        <v>5623</v>
      </c>
      <c r="C83" s="600">
        <v>1281122</v>
      </c>
      <c r="D83" s="600">
        <v>264</v>
      </c>
      <c r="E83" s="600">
        <v>1281122</v>
      </c>
      <c r="F83" s="601">
        <v>264</v>
      </c>
      <c r="G83" s="610">
        <v>29926</v>
      </c>
    </row>
    <row r="84" spans="1:7">
      <c r="A84" s="233">
        <v>67</v>
      </c>
      <c r="B84" t="s">
        <v>5624</v>
      </c>
      <c r="C84" s="600">
        <v>90828</v>
      </c>
      <c r="D84" s="600">
        <v>2041</v>
      </c>
      <c r="E84" s="600">
        <v>90828</v>
      </c>
      <c r="F84" s="601">
        <v>2041</v>
      </c>
      <c r="G84" s="610">
        <v>77006</v>
      </c>
    </row>
    <row r="85" spans="1:7">
      <c r="A85" s="233">
        <v>68</v>
      </c>
      <c r="B85" t="s">
        <v>5625</v>
      </c>
      <c r="C85" s="600">
        <v>334604</v>
      </c>
      <c r="D85" s="600">
        <v>852</v>
      </c>
      <c r="E85" s="600">
        <f>SUM(C85:C91)</f>
        <v>3039744</v>
      </c>
      <c r="F85" s="601">
        <f>SUMPRODUCT(C85:C91,D85:D91)/SUM(C85:C91)</f>
        <v>425.47302536003031</v>
      </c>
      <c r="G85" s="610">
        <f>160111+SUM(G86:G91)</f>
        <v>228623</v>
      </c>
    </row>
    <row r="86" spans="1:7">
      <c r="A86" s="233" t="s">
        <v>7547</v>
      </c>
      <c r="B86" t="s">
        <v>6817</v>
      </c>
      <c r="C86" s="600">
        <v>431263</v>
      </c>
      <c r="D86" s="600">
        <v>290</v>
      </c>
      <c r="E86" s="602">
        <v>0</v>
      </c>
      <c r="F86" s="603">
        <v>0</v>
      </c>
      <c r="G86" s="611">
        <v>2</v>
      </c>
    </row>
    <row r="87" spans="1:7">
      <c r="A87" s="233" t="s">
        <v>7547</v>
      </c>
      <c r="B87" t="s">
        <v>6818</v>
      </c>
      <c r="C87" s="600">
        <v>574558</v>
      </c>
      <c r="D87" s="600">
        <v>399</v>
      </c>
      <c r="E87" s="602">
        <v>0</v>
      </c>
      <c r="F87" s="603">
        <v>0</v>
      </c>
      <c r="G87" s="611">
        <v>4621</v>
      </c>
    </row>
    <row r="88" spans="1:7">
      <c r="A88" s="233" t="s">
        <v>7547</v>
      </c>
      <c r="B88" t="s">
        <v>6819</v>
      </c>
      <c r="C88" s="600">
        <v>352117</v>
      </c>
      <c r="D88" s="600">
        <v>480</v>
      </c>
      <c r="E88" s="602">
        <v>0</v>
      </c>
      <c r="F88" s="603">
        <v>0</v>
      </c>
      <c r="G88" s="611">
        <v>2439</v>
      </c>
    </row>
    <row r="89" spans="1:7">
      <c r="A89" s="233" t="s">
        <v>7547</v>
      </c>
      <c r="B89" t="s">
        <v>6820</v>
      </c>
      <c r="C89" s="600">
        <v>567732</v>
      </c>
      <c r="D89" s="600">
        <v>378</v>
      </c>
      <c r="E89" s="602">
        <v>0</v>
      </c>
      <c r="F89" s="603">
        <v>0</v>
      </c>
      <c r="G89" s="611">
        <v>61296</v>
      </c>
    </row>
    <row r="90" spans="1:7">
      <c r="A90" s="233" t="s">
        <v>7547</v>
      </c>
      <c r="B90" t="s">
        <v>6821</v>
      </c>
      <c r="C90" s="600">
        <v>509015</v>
      </c>
      <c r="D90" s="600">
        <v>403</v>
      </c>
      <c r="E90" s="602">
        <v>0</v>
      </c>
      <c r="F90" s="603">
        <v>0</v>
      </c>
      <c r="G90" s="611">
        <v>153</v>
      </c>
    </row>
    <row r="91" spans="1:7">
      <c r="A91" s="233" t="s">
        <v>7547</v>
      </c>
      <c r="B91" t="s">
        <v>6822</v>
      </c>
      <c r="C91" s="600">
        <v>270455</v>
      </c>
      <c r="D91" s="600">
        <v>241</v>
      </c>
      <c r="E91" s="602">
        <v>0</v>
      </c>
      <c r="F91" s="603">
        <v>0</v>
      </c>
      <c r="G91" s="611">
        <v>1</v>
      </c>
    </row>
    <row r="92" spans="1:7">
      <c r="A92" s="233">
        <v>69</v>
      </c>
      <c r="B92" t="s">
        <v>5626</v>
      </c>
      <c r="C92" s="600">
        <v>133949</v>
      </c>
      <c r="D92" s="600">
        <v>1193</v>
      </c>
      <c r="E92" s="600">
        <v>133949</v>
      </c>
      <c r="F92" s="601">
        <v>1193</v>
      </c>
      <c r="G92" s="610">
        <v>44690</v>
      </c>
    </row>
    <row r="93" spans="1:7">
      <c r="A93" s="233">
        <v>70</v>
      </c>
      <c r="B93" t="s">
        <v>5627</v>
      </c>
      <c r="C93" s="600">
        <v>4767242</v>
      </c>
      <c r="D93" s="600">
        <v>212</v>
      </c>
      <c r="E93" s="600">
        <v>4767242</v>
      </c>
      <c r="F93" s="601">
        <v>212</v>
      </c>
      <c r="G93" s="610">
        <v>6713</v>
      </c>
    </row>
    <row r="94" spans="1:7">
      <c r="A94" s="233">
        <v>87</v>
      </c>
      <c r="B94" t="s">
        <v>5637</v>
      </c>
      <c r="C94" s="600">
        <v>95978</v>
      </c>
      <c r="D94" s="600">
        <v>304</v>
      </c>
      <c r="E94" s="600">
        <v>95978</v>
      </c>
      <c r="F94" s="601">
        <v>304</v>
      </c>
      <c r="G94" s="610">
        <v>3735</v>
      </c>
    </row>
    <row r="95" spans="1:7">
      <c r="A95" s="233">
        <v>135</v>
      </c>
      <c r="B95" t="s">
        <v>5683</v>
      </c>
      <c r="C95" s="600">
        <v>47640</v>
      </c>
      <c r="D95" s="600">
        <v>354</v>
      </c>
      <c r="E95" s="600">
        <v>47640</v>
      </c>
      <c r="F95" s="601">
        <v>354</v>
      </c>
      <c r="G95" s="610">
        <v>1310</v>
      </c>
    </row>
    <row r="96" spans="1:7">
      <c r="A96" s="233">
        <v>270</v>
      </c>
      <c r="B96" t="s">
        <v>5686</v>
      </c>
      <c r="C96" s="600">
        <v>63078</v>
      </c>
      <c r="D96" s="600">
        <v>457</v>
      </c>
      <c r="E96" s="604">
        <v>63078</v>
      </c>
      <c r="F96" s="601">
        <v>457</v>
      </c>
      <c r="G96" s="610">
        <v>1805</v>
      </c>
    </row>
    <row r="97" spans="1:7">
      <c r="A97" s="233">
        <v>153</v>
      </c>
      <c r="B97" t="s">
        <v>5701</v>
      </c>
      <c r="C97" s="604">
        <v>1422543</v>
      </c>
      <c r="D97" s="600">
        <v>294</v>
      </c>
      <c r="E97" s="604">
        <v>1422543</v>
      </c>
      <c r="F97" s="601">
        <v>294</v>
      </c>
      <c r="G97" s="610">
        <v>63159</v>
      </c>
    </row>
    <row r="98" spans="1:7">
      <c r="A98" s="233">
        <v>182</v>
      </c>
      <c r="B98" t="s">
        <v>5725</v>
      </c>
      <c r="C98" s="604">
        <v>315058</v>
      </c>
      <c r="D98" s="600">
        <v>229</v>
      </c>
      <c r="E98" s="600">
        <v>315058</v>
      </c>
      <c r="F98" s="601">
        <v>229</v>
      </c>
      <c r="G98" s="610">
        <v>182</v>
      </c>
    </row>
    <row r="99" spans="1:7">
      <c r="A99" s="233">
        <v>190</v>
      </c>
      <c r="B99" t="s">
        <v>5732</v>
      </c>
      <c r="C99" s="604">
        <v>12334</v>
      </c>
      <c r="D99" s="600">
        <v>877</v>
      </c>
      <c r="E99" s="600">
        <v>12334</v>
      </c>
      <c r="F99" s="601">
        <v>877</v>
      </c>
      <c r="G99" s="610">
        <v>7737</v>
      </c>
    </row>
    <row r="100" spans="1:7">
      <c r="A100" s="233">
        <v>243</v>
      </c>
      <c r="B100" t="s">
        <v>5782</v>
      </c>
      <c r="C100" s="604"/>
      <c r="D100" s="600">
        <v>195</v>
      </c>
      <c r="E100" s="600">
        <v>258269</v>
      </c>
      <c r="F100" s="601">
        <v>195</v>
      </c>
      <c r="G100" s="610">
        <v>418</v>
      </c>
    </row>
    <row r="101" spans="1:7">
      <c r="A101" s="233">
        <v>74</v>
      </c>
      <c r="B101" t="s">
        <v>5628</v>
      </c>
      <c r="C101" s="600">
        <v>193627</v>
      </c>
      <c r="D101" s="600">
        <v>1672</v>
      </c>
      <c r="E101" s="600">
        <v>193627</v>
      </c>
      <c r="F101" s="601">
        <v>1672</v>
      </c>
      <c r="G101" s="610">
        <v>36572</v>
      </c>
    </row>
    <row r="102" spans="1:7">
      <c r="A102" s="233">
        <v>75</v>
      </c>
      <c r="B102" t="s">
        <v>5629</v>
      </c>
      <c r="C102" s="600">
        <v>22630</v>
      </c>
      <c r="D102" s="600">
        <v>1436</v>
      </c>
      <c r="E102" s="600">
        <v>22630</v>
      </c>
      <c r="F102" s="601">
        <v>1436</v>
      </c>
      <c r="G102" s="610">
        <v>5094</v>
      </c>
    </row>
    <row r="103" spans="1:7">
      <c r="A103" s="233">
        <v>73</v>
      </c>
      <c r="B103" t="s">
        <v>5630</v>
      </c>
      <c r="C103" s="600">
        <v>22765</v>
      </c>
      <c r="D103" s="600">
        <v>1057</v>
      </c>
      <c r="E103" s="600">
        <v>22765</v>
      </c>
      <c r="F103" s="601">
        <v>1057</v>
      </c>
      <c r="G103" s="610">
        <v>2467</v>
      </c>
    </row>
    <row r="104" spans="1:7">
      <c r="A104" s="233">
        <v>79</v>
      </c>
      <c r="B104" t="s">
        <v>5631</v>
      </c>
      <c r="C104" s="600">
        <v>57259</v>
      </c>
      <c r="D104" s="600">
        <v>1464</v>
      </c>
      <c r="E104" s="600">
        <v>57259</v>
      </c>
      <c r="F104" s="601">
        <v>1464</v>
      </c>
      <c r="G104" s="610">
        <v>55253</v>
      </c>
    </row>
    <row r="105" spans="1:7">
      <c r="A105" s="233">
        <v>81</v>
      </c>
      <c r="B105" t="s">
        <v>5632</v>
      </c>
      <c r="C105" s="600">
        <v>224908</v>
      </c>
      <c r="D105" s="600">
        <v>691</v>
      </c>
      <c r="E105" s="600">
        <v>224908</v>
      </c>
      <c r="F105" s="601">
        <v>691</v>
      </c>
      <c r="G105" s="610">
        <v>22501</v>
      </c>
    </row>
    <row r="106" spans="1:7">
      <c r="A106" s="233">
        <v>84</v>
      </c>
      <c r="B106" t="s">
        <v>5634</v>
      </c>
      <c r="C106" s="600">
        <v>494605</v>
      </c>
      <c r="D106" s="600">
        <v>381</v>
      </c>
      <c r="E106" s="600">
        <v>494605</v>
      </c>
      <c r="F106" s="601">
        <v>381</v>
      </c>
      <c r="G106" s="610">
        <v>67885</v>
      </c>
    </row>
    <row r="107" spans="1:7">
      <c r="A107" s="233">
        <v>86</v>
      </c>
      <c r="B107" t="s">
        <v>5636</v>
      </c>
      <c r="C107" s="600">
        <v>26158</v>
      </c>
      <c r="D107" s="600">
        <v>1011</v>
      </c>
      <c r="E107" s="600">
        <v>26158</v>
      </c>
      <c r="F107" s="601">
        <v>1011</v>
      </c>
      <c r="G107" s="610">
        <v>2292</v>
      </c>
    </row>
    <row r="108" spans="1:7">
      <c r="A108" s="233">
        <v>89</v>
      </c>
      <c r="B108" t="s">
        <v>5639</v>
      </c>
      <c r="C108" s="600">
        <v>117743</v>
      </c>
      <c r="D108" s="600">
        <v>565</v>
      </c>
      <c r="E108" s="600">
        <v>117743</v>
      </c>
      <c r="F108" s="601">
        <v>565</v>
      </c>
      <c r="G108" s="610">
        <v>15707</v>
      </c>
    </row>
    <row r="109" spans="1:7">
      <c r="A109" s="233">
        <v>90</v>
      </c>
      <c r="B109" t="s">
        <v>5640</v>
      </c>
      <c r="C109" s="600">
        <v>109456</v>
      </c>
      <c r="D109" s="600">
        <v>1002</v>
      </c>
      <c r="E109" s="600">
        <v>109456</v>
      </c>
      <c r="F109" s="601">
        <v>1002</v>
      </c>
      <c r="G109" s="610">
        <v>48122</v>
      </c>
    </row>
    <row r="110" spans="1:7">
      <c r="A110" s="233">
        <v>175</v>
      </c>
      <c r="B110" t="s">
        <v>5641</v>
      </c>
      <c r="C110" s="600">
        <v>106117</v>
      </c>
      <c r="D110" s="600">
        <v>1038</v>
      </c>
      <c r="E110" s="600">
        <v>106117</v>
      </c>
      <c r="F110" s="601">
        <v>1038</v>
      </c>
      <c r="G110" s="610">
        <v>35837</v>
      </c>
    </row>
    <row r="111" spans="1:7">
      <c r="A111" s="233">
        <v>91</v>
      </c>
      <c r="B111" t="s">
        <v>5642</v>
      </c>
      <c r="C111" s="600">
        <v>135900</v>
      </c>
      <c r="D111" s="600">
        <v>907</v>
      </c>
      <c r="E111" s="600">
        <v>135900</v>
      </c>
      <c r="F111" s="601">
        <v>907</v>
      </c>
      <c r="G111" s="610">
        <v>51978</v>
      </c>
    </row>
    <row r="112" spans="1:7">
      <c r="A112" s="233">
        <v>93</v>
      </c>
      <c r="B112" t="s">
        <v>5643</v>
      </c>
      <c r="C112" s="600">
        <v>112025</v>
      </c>
      <c r="D112" s="600">
        <v>315</v>
      </c>
      <c r="E112" s="600">
        <f>SUM(C112:C113)</f>
        <v>123519</v>
      </c>
      <c r="F112" s="601">
        <f>SUMPRODUCT(C112:C113,D112:D113)/SUM(C112:C113)</f>
        <v>312.48752823452264</v>
      </c>
      <c r="G112" s="610">
        <f>5082+G113</f>
        <v>5104</v>
      </c>
    </row>
    <row r="113" spans="1:7">
      <c r="A113" s="233" t="s">
        <v>7547</v>
      </c>
      <c r="B113" s="13" t="s">
        <v>6823</v>
      </c>
      <c r="C113" s="600">
        <v>11494</v>
      </c>
      <c r="D113" s="600">
        <v>288</v>
      </c>
      <c r="E113" s="602">
        <v>0</v>
      </c>
      <c r="F113" s="603">
        <v>0</v>
      </c>
      <c r="G113" s="611">
        <v>22</v>
      </c>
    </row>
    <row r="114" spans="1:7">
      <c r="A114" s="233">
        <v>94</v>
      </c>
      <c r="B114" t="s">
        <v>5644</v>
      </c>
      <c r="C114" s="600">
        <v>0</v>
      </c>
      <c r="D114" s="600">
        <v>0</v>
      </c>
      <c r="E114" s="600">
        <v>0</v>
      </c>
      <c r="F114" s="601">
        <v>0</v>
      </c>
      <c r="G114" s="610">
        <v>0</v>
      </c>
    </row>
    <row r="115" spans="1:7">
      <c r="A115" s="233">
        <v>95</v>
      </c>
      <c r="B115" t="s">
        <v>5645</v>
      </c>
      <c r="C115" s="600">
        <v>240240</v>
      </c>
      <c r="D115" s="600">
        <v>375</v>
      </c>
      <c r="E115" s="600">
        <v>240240</v>
      </c>
      <c r="F115" s="601">
        <v>375</v>
      </c>
      <c r="G115" s="610">
        <v>67366</v>
      </c>
    </row>
    <row r="116" spans="1:7">
      <c r="A116" s="233">
        <v>97</v>
      </c>
      <c r="B116" t="s">
        <v>5646</v>
      </c>
      <c r="C116" s="600">
        <v>0</v>
      </c>
      <c r="D116" s="600">
        <v>0</v>
      </c>
      <c r="E116" s="600">
        <v>0</v>
      </c>
      <c r="F116" s="601">
        <v>0</v>
      </c>
      <c r="G116" s="610">
        <v>0</v>
      </c>
    </row>
    <row r="117" spans="1:7">
      <c r="A117" s="233">
        <v>99</v>
      </c>
      <c r="B117" t="s">
        <v>5647</v>
      </c>
      <c r="C117" s="600">
        <v>772218</v>
      </c>
      <c r="D117" s="600">
        <v>492</v>
      </c>
      <c r="E117" s="600">
        <v>772218</v>
      </c>
      <c r="F117" s="601">
        <v>492</v>
      </c>
      <c r="G117" s="610">
        <v>109010</v>
      </c>
    </row>
    <row r="118" spans="1:7">
      <c r="A118" s="233">
        <v>100</v>
      </c>
      <c r="B118" t="s">
        <v>5648</v>
      </c>
      <c r="C118" s="600">
        <v>1630356</v>
      </c>
      <c r="D118" s="600">
        <v>993</v>
      </c>
      <c r="E118" s="600">
        <f>SUM(C118:C119)</f>
        <v>2290268</v>
      </c>
      <c r="F118" s="601">
        <f>SUMPRODUCT(C118:C119,D118:D119)/SUM(C118:C119)</f>
        <v>838.55832243213456</v>
      </c>
      <c r="G118" s="610">
        <f>382632+G119</f>
        <v>412246</v>
      </c>
    </row>
    <row r="119" spans="1:7">
      <c r="A119" s="233" t="s">
        <v>7547</v>
      </c>
      <c r="B119" t="s">
        <v>6824</v>
      </c>
      <c r="C119" s="600">
        <v>659912</v>
      </c>
      <c r="D119" s="600">
        <v>457</v>
      </c>
      <c r="E119" s="602">
        <v>0</v>
      </c>
      <c r="F119" s="603">
        <v>0</v>
      </c>
      <c r="G119" s="611">
        <v>29614</v>
      </c>
    </row>
    <row r="120" spans="1:7">
      <c r="A120" s="233">
        <v>101</v>
      </c>
      <c r="B120" t="s">
        <v>5649</v>
      </c>
      <c r="C120" s="600">
        <f>SUM(3617349,2462028)</f>
        <v>6079377</v>
      </c>
      <c r="D120" s="600">
        <v>693.60419283094302</v>
      </c>
      <c r="E120" s="600">
        <v>6079377</v>
      </c>
      <c r="F120" s="601">
        <v>693.60419283094302</v>
      </c>
      <c r="G120" s="610">
        <v>1810102</v>
      </c>
    </row>
    <row r="121" spans="1:7">
      <c r="A121" s="233">
        <v>102</v>
      </c>
      <c r="B121" t="s">
        <v>5650</v>
      </c>
      <c r="C121" s="600">
        <v>164051</v>
      </c>
      <c r="D121" s="600">
        <v>1349</v>
      </c>
      <c r="E121" s="600">
        <v>164051</v>
      </c>
      <c r="F121" s="601">
        <v>1349</v>
      </c>
      <c r="G121" s="610">
        <v>108534</v>
      </c>
    </row>
    <row r="122" spans="1:7">
      <c r="A122" s="233">
        <v>103</v>
      </c>
      <c r="B122" t="s">
        <v>5651</v>
      </c>
      <c r="C122" s="600">
        <v>597</v>
      </c>
      <c r="D122" s="600">
        <v>1720</v>
      </c>
      <c r="E122" s="600">
        <v>597</v>
      </c>
      <c r="F122" s="601">
        <v>1720</v>
      </c>
      <c r="G122" s="610">
        <v>362</v>
      </c>
    </row>
    <row r="123" spans="1:7">
      <c r="A123" s="233">
        <v>104</v>
      </c>
      <c r="B123" t="s">
        <v>5652</v>
      </c>
      <c r="C123" s="600">
        <v>410534</v>
      </c>
      <c r="D123" s="600">
        <v>701</v>
      </c>
      <c r="E123" s="600">
        <v>410534</v>
      </c>
      <c r="F123" s="601">
        <v>701</v>
      </c>
      <c r="G123" s="610">
        <v>133965</v>
      </c>
    </row>
    <row r="124" spans="1:7">
      <c r="A124" s="233">
        <v>105</v>
      </c>
      <c r="B124" t="s">
        <v>5654</v>
      </c>
      <c r="C124" s="600">
        <v>27346</v>
      </c>
      <c r="D124" s="600">
        <v>386</v>
      </c>
      <c r="E124" s="600">
        <v>27346</v>
      </c>
      <c r="F124" s="601">
        <v>386</v>
      </c>
      <c r="G124" s="610">
        <v>3833</v>
      </c>
    </row>
    <row r="125" spans="1:7">
      <c r="A125" s="233">
        <v>106</v>
      </c>
      <c r="B125" t="s">
        <v>5655</v>
      </c>
      <c r="C125" s="600">
        <v>537932</v>
      </c>
      <c r="D125" s="600">
        <v>452</v>
      </c>
      <c r="E125" s="600">
        <v>537932</v>
      </c>
      <c r="F125" s="601">
        <v>452</v>
      </c>
      <c r="G125" s="610">
        <v>110313</v>
      </c>
    </row>
    <row r="126" spans="1:7">
      <c r="A126" s="233">
        <v>109</v>
      </c>
      <c r="B126" t="s">
        <v>5656</v>
      </c>
      <c r="C126" s="600">
        <v>263283</v>
      </c>
      <c r="D126" s="600">
        <v>319</v>
      </c>
      <c r="E126" s="600">
        <v>26328</v>
      </c>
      <c r="F126" s="601">
        <v>319</v>
      </c>
      <c r="G126" s="610">
        <v>13401</v>
      </c>
    </row>
    <row r="127" spans="1:7">
      <c r="A127" s="233">
        <v>110</v>
      </c>
      <c r="B127" t="s">
        <v>5657</v>
      </c>
      <c r="C127" s="600">
        <v>1843270</v>
      </c>
      <c r="D127" s="600">
        <v>570</v>
      </c>
      <c r="E127" s="600">
        <f>SUM(C127:C128)</f>
        <v>4469020</v>
      </c>
      <c r="F127" s="601">
        <f>SUMPRODUCT(C127:C128,D127:D128)/SUM(C127:C128)</f>
        <v>395.4991586522325</v>
      </c>
      <c r="G127" s="610">
        <f>263298+G128</f>
        <v>426940</v>
      </c>
    </row>
    <row r="128" spans="1:7">
      <c r="A128" s="233" t="s">
        <v>7547</v>
      </c>
      <c r="B128" t="s">
        <v>6825</v>
      </c>
      <c r="C128" s="600">
        <v>2625750</v>
      </c>
      <c r="D128" s="600">
        <v>273</v>
      </c>
      <c r="E128" s="600">
        <v>0</v>
      </c>
      <c r="F128" s="601">
        <v>0</v>
      </c>
      <c r="G128" s="611">
        <v>163642</v>
      </c>
    </row>
    <row r="129" spans="1:7">
      <c r="A129" s="233">
        <v>112</v>
      </c>
      <c r="B129" t="s">
        <v>5658</v>
      </c>
      <c r="C129" s="600">
        <v>95</v>
      </c>
      <c r="D129" s="600">
        <v>361</v>
      </c>
      <c r="E129" s="600">
        <v>95</v>
      </c>
      <c r="F129" s="601">
        <v>361</v>
      </c>
      <c r="G129" s="610">
        <v>24</v>
      </c>
    </row>
    <row r="130" spans="1:7">
      <c r="A130" s="233">
        <v>108</v>
      </c>
      <c r="B130" t="s">
        <v>5659</v>
      </c>
      <c r="C130" s="600">
        <v>0</v>
      </c>
      <c r="D130" s="600">
        <v>0</v>
      </c>
      <c r="E130" s="600">
        <v>0</v>
      </c>
      <c r="F130" s="601">
        <v>0</v>
      </c>
      <c r="G130" s="610">
        <v>0</v>
      </c>
    </row>
    <row r="131" spans="1:7">
      <c r="A131" s="233">
        <v>114</v>
      </c>
      <c r="B131" t="s">
        <v>5660</v>
      </c>
      <c r="C131" s="600">
        <v>111999</v>
      </c>
      <c r="D131" s="600">
        <v>611</v>
      </c>
      <c r="E131" s="600">
        <v>111999</v>
      </c>
      <c r="F131" s="601">
        <v>611</v>
      </c>
      <c r="G131" s="610">
        <v>8874</v>
      </c>
    </row>
    <row r="132" spans="1:7">
      <c r="A132" s="233">
        <v>83</v>
      </c>
      <c r="B132" t="s">
        <v>5661</v>
      </c>
      <c r="C132" s="600">
        <v>3437345</v>
      </c>
      <c r="D132" s="600">
        <v>330</v>
      </c>
      <c r="E132" s="600">
        <v>347345</v>
      </c>
      <c r="F132" s="601">
        <v>330</v>
      </c>
      <c r="G132" s="610">
        <v>3920</v>
      </c>
    </row>
    <row r="133" spans="1:7">
      <c r="A133" s="233">
        <v>116</v>
      </c>
      <c r="B133" t="s">
        <v>5662</v>
      </c>
      <c r="C133" s="600">
        <v>115649</v>
      </c>
      <c r="D133" s="600">
        <v>927</v>
      </c>
      <c r="E133" s="600">
        <v>115649</v>
      </c>
      <c r="F133" s="601">
        <v>927</v>
      </c>
      <c r="G133" s="610">
        <v>34769</v>
      </c>
    </row>
    <row r="134" spans="1:7">
      <c r="A134" s="233">
        <v>117</v>
      </c>
      <c r="B134" t="s">
        <v>5663</v>
      </c>
      <c r="C134" s="600">
        <v>475469</v>
      </c>
      <c r="D134" s="600">
        <v>923</v>
      </c>
      <c r="E134" s="600">
        <v>475469</v>
      </c>
      <c r="F134" s="601">
        <v>923</v>
      </c>
      <c r="G134" s="610">
        <v>292522</v>
      </c>
    </row>
    <row r="135" spans="1:7">
      <c r="A135" s="233">
        <v>118</v>
      </c>
      <c r="B135" t="s">
        <v>5664</v>
      </c>
      <c r="C135" s="600">
        <v>12236</v>
      </c>
      <c r="D135" s="600">
        <v>1564</v>
      </c>
      <c r="E135" s="600">
        <v>12236</v>
      </c>
      <c r="F135" s="601">
        <v>1564</v>
      </c>
      <c r="G135" s="610">
        <v>10651</v>
      </c>
    </row>
    <row r="136" spans="1:7">
      <c r="A136" s="233">
        <v>113</v>
      </c>
      <c r="B136" t="s">
        <v>5665</v>
      </c>
      <c r="C136" s="600">
        <v>0</v>
      </c>
      <c r="D136" s="600">
        <v>0</v>
      </c>
      <c r="E136" s="600">
        <v>0</v>
      </c>
      <c r="F136" s="601">
        <v>0</v>
      </c>
      <c r="G136" s="610">
        <v>0</v>
      </c>
    </row>
    <row r="137" spans="1:7">
      <c r="A137" s="233">
        <v>120</v>
      </c>
      <c r="B137" t="s">
        <v>5666</v>
      </c>
      <c r="C137" s="600">
        <v>0</v>
      </c>
      <c r="D137" s="600">
        <v>0</v>
      </c>
      <c r="E137" s="600">
        <v>0</v>
      </c>
      <c r="F137" s="601">
        <v>0</v>
      </c>
      <c r="G137" s="613">
        <v>0</v>
      </c>
    </row>
    <row r="138" spans="1:7">
      <c r="A138" s="233">
        <v>119</v>
      </c>
      <c r="B138" t="s">
        <v>5667</v>
      </c>
      <c r="C138" s="600">
        <v>32021</v>
      </c>
      <c r="D138" s="600">
        <v>1941</v>
      </c>
      <c r="E138" s="600">
        <v>32021</v>
      </c>
      <c r="F138" s="601">
        <v>1941</v>
      </c>
      <c r="G138" s="610">
        <v>27990</v>
      </c>
    </row>
    <row r="139" spans="1:7">
      <c r="A139" s="233">
        <v>121</v>
      </c>
      <c r="B139" t="s">
        <v>5668</v>
      </c>
      <c r="C139" s="600">
        <v>19196</v>
      </c>
      <c r="D139" s="600">
        <v>350</v>
      </c>
      <c r="E139" s="600">
        <v>19196</v>
      </c>
      <c r="F139" s="601">
        <v>350</v>
      </c>
      <c r="G139" s="610">
        <v>1021</v>
      </c>
    </row>
    <row r="140" spans="1:7">
      <c r="A140" s="233">
        <v>122</v>
      </c>
      <c r="B140" t="s">
        <v>5669</v>
      </c>
      <c r="C140" s="600">
        <v>0</v>
      </c>
      <c r="D140" s="600">
        <v>0</v>
      </c>
      <c r="E140" s="600">
        <v>0</v>
      </c>
      <c r="F140" s="601">
        <v>0</v>
      </c>
      <c r="G140" s="610">
        <v>0</v>
      </c>
    </row>
    <row r="141" spans="1:7">
      <c r="A141" s="233">
        <v>123</v>
      </c>
      <c r="B141" t="s">
        <v>5670</v>
      </c>
      <c r="C141" s="604">
        <v>246152</v>
      </c>
      <c r="D141" s="600">
        <v>613</v>
      </c>
      <c r="E141" s="604">
        <v>246152</v>
      </c>
      <c r="F141" s="601">
        <v>613</v>
      </c>
      <c r="G141" s="610">
        <v>17962</v>
      </c>
    </row>
    <row r="142" spans="1:7">
      <c r="A142" s="233">
        <v>124</v>
      </c>
      <c r="B142" t="s">
        <v>5671</v>
      </c>
      <c r="C142" s="604">
        <v>355120</v>
      </c>
      <c r="D142" s="600">
        <v>334</v>
      </c>
      <c r="E142" s="604">
        <v>355120</v>
      </c>
      <c r="F142" s="601">
        <v>334</v>
      </c>
      <c r="G142" s="610">
        <v>64894</v>
      </c>
    </row>
    <row r="143" spans="1:7">
      <c r="A143" s="233">
        <v>125</v>
      </c>
      <c r="B143" t="s">
        <v>5672</v>
      </c>
      <c r="C143" s="600">
        <v>0</v>
      </c>
      <c r="D143" s="600">
        <v>0</v>
      </c>
      <c r="E143" s="600">
        <v>0</v>
      </c>
      <c r="F143" s="601">
        <v>0</v>
      </c>
      <c r="G143" s="610">
        <v>0</v>
      </c>
    </row>
    <row r="144" spans="1:7">
      <c r="A144" s="233">
        <v>126</v>
      </c>
      <c r="B144" t="s">
        <v>5673</v>
      </c>
      <c r="C144" s="604">
        <v>6104</v>
      </c>
      <c r="D144" s="600">
        <v>2006</v>
      </c>
      <c r="E144" s="604">
        <v>6104</v>
      </c>
      <c r="F144" s="601">
        <v>2006</v>
      </c>
      <c r="G144" s="610">
        <v>5871</v>
      </c>
    </row>
    <row r="145" spans="1:7">
      <c r="A145" s="233">
        <v>129</v>
      </c>
      <c r="B145" t="s">
        <v>5676</v>
      </c>
      <c r="C145" s="604">
        <v>1198722</v>
      </c>
      <c r="D145" s="600">
        <v>504</v>
      </c>
      <c r="E145" s="604">
        <v>1198722</v>
      </c>
      <c r="F145" s="601">
        <v>504</v>
      </c>
      <c r="G145" s="610">
        <v>124551</v>
      </c>
    </row>
    <row r="146" spans="1:7">
      <c r="A146" s="233">
        <v>130</v>
      </c>
      <c r="B146" t="s">
        <v>5677</v>
      </c>
      <c r="C146" s="600">
        <v>0</v>
      </c>
      <c r="D146" s="600">
        <v>0</v>
      </c>
      <c r="E146" s="600">
        <v>0</v>
      </c>
      <c r="F146" s="601">
        <v>0</v>
      </c>
      <c r="G146" s="610">
        <v>0</v>
      </c>
    </row>
    <row r="147" spans="1:7">
      <c r="A147" s="233">
        <v>131</v>
      </c>
      <c r="B147" t="s">
        <v>5678</v>
      </c>
      <c r="C147" s="600">
        <v>0</v>
      </c>
      <c r="D147" s="600">
        <v>0</v>
      </c>
      <c r="E147" s="600">
        <f>SUM(C148:C151)</f>
        <v>447276</v>
      </c>
      <c r="F147" s="601">
        <f>SUMPRODUCT(C148:C151,D148:D151)/SUM(C148:C151)</f>
        <v>876.52720915050213</v>
      </c>
      <c r="G147" s="610">
        <f>SUM(G148:G151)</f>
        <v>386178</v>
      </c>
    </row>
    <row r="148" spans="1:7">
      <c r="A148" s="233" t="s">
        <v>7547</v>
      </c>
      <c r="B148" t="s">
        <v>6863</v>
      </c>
      <c r="C148" s="604">
        <v>132973</v>
      </c>
      <c r="D148" s="600">
        <v>760</v>
      </c>
      <c r="E148" s="600">
        <v>0</v>
      </c>
      <c r="F148" s="601">
        <v>0</v>
      </c>
      <c r="G148" s="611">
        <v>132465</v>
      </c>
    </row>
    <row r="149" spans="1:7">
      <c r="A149" s="233" t="s">
        <v>7547</v>
      </c>
      <c r="B149" t="s">
        <v>6826</v>
      </c>
      <c r="C149" s="600">
        <v>68747</v>
      </c>
      <c r="D149" s="600">
        <v>1364</v>
      </c>
      <c r="E149" s="600">
        <v>0</v>
      </c>
      <c r="F149" s="601">
        <v>0</v>
      </c>
      <c r="G149" s="611">
        <v>67524</v>
      </c>
    </row>
    <row r="150" spans="1:7">
      <c r="A150" s="233" t="s">
        <v>7547</v>
      </c>
      <c r="B150" t="s">
        <v>6827</v>
      </c>
      <c r="C150" s="600">
        <v>89618</v>
      </c>
      <c r="D150" s="600">
        <v>746</v>
      </c>
      <c r="E150" s="600">
        <v>0</v>
      </c>
      <c r="F150" s="601">
        <v>0</v>
      </c>
      <c r="G150" s="611">
        <v>51303</v>
      </c>
    </row>
    <row r="151" spans="1:7">
      <c r="A151" s="233" t="s">
        <v>7547</v>
      </c>
      <c r="B151" t="s">
        <v>6828</v>
      </c>
      <c r="C151" s="600">
        <v>155938</v>
      </c>
      <c r="D151" s="600">
        <v>836</v>
      </c>
      <c r="E151" s="600">
        <v>0</v>
      </c>
      <c r="F151" s="601">
        <v>0</v>
      </c>
      <c r="G151" s="611">
        <v>134886</v>
      </c>
    </row>
    <row r="152" spans="1:7">
      <c r="A152" s="233">
        <v>132</v>
      </c>
      <c r="B152" t="s">
        <v>5679</v>
      </c>
      <c r="C152" s="600">
        <v>916189</v>
      </c>
      <c r="D152" s="600">
        <v>384</v>
      </c>
      <c r="E152" s="600">
        <v>916189</v>
      </c>
      <c r="F152" s="601">
        <v>384</v>
      </c>
      <c r="G152" s="610">
        <v>19231</v>
      </c>
    </row>
    <row r="153" spans="1:7">
      <c r="A153" s="233">
        <v>133</v>
      </c>
      <c r="B153" t="s">
        <v>5680</v>
      </c>
      <c r="C153" s="600">
        <v>0</v>
      </c>
      <c r="D153" s="600">
        <v>0</v>
      </c>
      <c r="E153" s="600">
        <v>0</v>
      </c>
      <c r="F153" s="601">
        <v>0</v>
      </c>
      <c r="G153" s="610">
        <v>0</v>
      </c>
    </row>
    <row r="154" spans="1:7">
      <c r="A154" s="233">
        <v>134</v>
      </c>
      <c r="B154" t="s">
        <v>5681</v>
      </c>
      <c r="C154" s="604">
        <v>55556</v>
      </c>
      <c r="D154" s="600">
        <v>361</v>
      </c>
      <c r="E154" s="600">
        <v>55556</v>
      </c>
      <c r="F154" s="601">
        <v>361</v>
      </c>
      <c r="G154" s="610">
        <v>7529</v>
      </c>
    </row>
    <row r="155" spans="1:7">
      <c r="A155" s="233">
        <v>127</v>
      </c>
      <c r="B155" t="s">
        <v>5682</v>
      </c>
      <c r="C155" s="604">
        <v>1992232</v>
      </c>
      <c r="D155" s="600">
        <v>227</v>
      </c>
      <c r="E155" s="600">
        <v>1992232</v>
      </c>
      <c r="F155" s="601">
        <v>227</v>
      </c>
      <c r="G155" s="610">
        <v>13210</v>
      </c>
    </row>
    <row r="156" spans="1:7">
      <c r="A156" s="233">
        <v>136</v>
      </c>
      <c r="B156" t="s">
        <v>5684</v>
      </c>
      <c r="C156" s="604">
        <v>155422</v>
      </c>
      <c r="D156" s="600">
        <v>2549</v>
      </c>
      <c r="E156" s="604">
        <v>155422</v>
      </c>
      <c r="F156" s="601">
        <v>2549</v>
      </c>
      <c r="G156" s="610">
        <v>28341</v>
      </c>
    </row>
    <row r="157" spans="1:7">
      <c r="A157" s="233">
        <v>137</v>
      </c>
      <c r="B157" t="s">
        <v>5685</v>
      </c>
      <c r="C157" s="604">
        <v>1272787</v>
      </c>
      <c r="D157" s="600">
        <v>239</v>
      </c>
      <c r="E157" s="604">
        <v>1272787</v>
      </c>
      <c r="F157" s="601">
        <v>239</v>
      </c>
      <c r="G157" s="610">
        <v>39855</v>
      </c>
    </row>
    <row r="158" spans="1:7">
      <c r="A158" s="233">
        <v>138</v>
      </c>
      <c r="B158" t="s">
        <v>5687</v>
      </c>
      <c r="C158" s="604">
        <v>3269386</v>
      </c>
      <c r="D158" s="600">
        <v>550</v>
      </c>
      <c r="E158" s="604">
        <v>3269386</v>
      </c>
      <c r="F158" s="601">
        <v>550</v>
      </c>
      <c r="G158" s="610">
        <v>402064</v>
      </c>
    </row>
    <row r="159" spans="1:7">
      <c r="A159" s="233">
        <v>145</v>
      </c>
      <c r="B159" t="s">
        <v>5688</v>
      </c>
      <c r="C159" s="604">
        <v>2992597</v>
      </c>
      <c r="D159" s="600">
        <v>242</v>
      </c>
      <c r="E159" s="604">
        <v>2992597</v>
      </c>
      <c r="F159" s="601">
        <v>242</v>
      </c>
      <c r="G159" s="610">
        <v>16099</v>
      </c>
    </row>
    <row r="160" spans="1:7">
      <c r="A160" s="233">
        <v>146</v>
      </c>
      <c r="B160" t="s">
        <v>5689</v>
      </c>
      <c r="C160" s="604">
        <v>0</v>
      </c>
      <c r="D160" s="600">
        <v>0</v>
      </c>
      <c r="E160" s="600">
        <v>0</v>
      </c>
      <c r="F160" s="601">
        <v>0</v>
      </c>
      <c r="G160" s="610">
        <v>0</v>
      </c>
    </row>
    <row r="161" spans="1:7">
      <c r="A161" s="233">
        <v>141</v>
      </c>
      <c r="B161" t="s">
        <v>5690</v>
      </c>
      <c r="C161" s="600">
        <v>0</v>
      </c>
      <c r="D161" s="600">
        <v>0</v>
      </c>
      <c r="E161" s="600">
        <v>0</v>
      </c>
      <c r="F161" s="601">
        <v>0</v>
      </c>
      <c r="G161" s="610">
        <v>0</v>
      </c>
    </row>
    <row r="162" spans="1:7">
      <c r="A162" s="233">
        <v>273</v>
      </c>
      <c r="B162" t="s">
        <v>5691</v>
      </c>
      <c r="C162" s="604">
        <v>7415</v>
      </c>
      <c r="D162" s="600">
        <v>538</v>
      </c>
      <c r="E162" s="600">
        <v>7415</v>
      </c>
      <c r="F162" s="601">
        <v>538</v>
      </c>
      <c r="G162" s="610">
        <v>3620</v>
      </c>
    </row>
    <row r="163" spans="1:7">
      <c r="A163" s="233">
        <v>143</v>
      </c>
      <c r="B163" t="s">
        <v>5693</v>
      </c>
      <c r="C163" s="604">
        <v>272059</v>
      </c>
      <c r="D163" s="600">
        <v>641</v>
      </c>
      <c r="E163" s="604">
        <v>272059</v>
      </c>
      <c r="F163" s="601">
        <v>641</v>
      </c>
      <c r="G163" s="610">
        <v>51919</v>
      </c>
    </row>
    <row r="164" spans="1:7">
      <c r="A164" s="233">
        <v>205</v>
      </c>
      <c r="B164" t="s">
        <v>5783</v>
      </c>
      <c r="C164" s="600">
        <v>300653</v>
      </c>
      <c r="D164" s="600">
        <v>1385</v>
      </c>
      <c r="E164" s="600">
        <v>300653</v>
      </c>
      <c r="F164" s="601">
        <v>1385</v>
      </c>
      <c r="G164" s="610">
        <v>61411</v>
      </c>
    </row>
    <row r="165" spans="1:7">
      <c r="A165" s="233">
        <v>144</v>
      </c>
      <c r="B165" t="s">
        <v>5694</v>
      </c>
      <c r="C165" s="604">
        <v>571955</v>
      </c>
      <c r="D165" s="600">
        <v>647</v>
      </c>
      <c r="E165" s="604">
        <v>571955</v>
      </c>
      <c r="F165" s="601">
        <v>647</v>
      </c>
      <c r="G165" s="610">
        <v>79451</v>
      </c>
    </row>
    <row r="166" spans="1:7">
      <c r="A166" s="233">
        <v>28</v>
      </c>
      <c r="B166" t="s">
        <v>5695</v>
      </c>
      <c r="C166" s="604">
        <v>520262</v>
      </c>
      <c r="D166" s="600">
        <v>940</v>
      </c>
      <c r="E166" s="604">
        <v>520262</v>
      </c>
      <c r="F166" s="601">
        <v>940</v>
      </c>
      <c r="G166" s="610">
        <v>208705</v>
      </c>
    </row>
    <row r="167" spans="1:7">
      <c r="A167" s="233">
        <v>147</v>
      </c>
      <c r="B167" t="s">
        <v>5696</v>
      </c>
      <c r="C167" s="604">
        <v>560152</v>
      </c>
      <c r="D167" s="600">
        <v>1581</v>
      </c>
      <c r="E167" s="604">
        <v>560152</v>
      </c>
      <c r="F167" s="601">
        <v>1581</v>
      </c>
      <c r="G167" s="610">
        <v>93695</v>
      </c>
    </row>
    <row r="168" spans="1:7">
      <c r="A168" s="233">
        <v>148</v>
      </c>
      <c r="B168" t="s">
        <v>5697</v>
      </c>
      <c r="C168" s="604">
        <v>308502</v>
      </c>
      <c r="D168" s="600">
        <v>416</v>
      </c>
      <c r="E168" s="600">
        <v>308502</v>
      </c>
      <c r="F168" s="601">
        <v>416</v>
      </c>
      <c r="G168" s="610">
        <v>11</v>
      </c>
    </row>
    <row r="169" spans="1:7">
      <c r="A169" s="233">
        <v>149</v>
      </c>
      <c r="B169" t="s">
        <v>5698</v>
      </c>
      <c r="C169" s="600">
        <v>0</v>
      </c>
      <c r="D169" s="600">
        <v>0</v>
      </c>
      <c r="E169" s="600">
        <v>0</v>
      </c>
      <c r="F169" s="601">
        <v>0</v>
      </c>
      <c r="G169" s="610">
        <v>0</v>
      </c>
    </row>
    <row r="170" spans="1:7">
      <c r="A170" s="233">
        <v>150</v>
      </c>
      <c r="B170" t="s">
        <v>5699</v>
      </c>
      <c r="C170" s="604">
        <v>63912</v>
      </c>
      <c r="D170" s="600">
        <v>1551</v>
      </c>
      <c r="E170" s="604">
        <v>63912</v>
      </c>
      <c r="F170" s="601">
        <v>1551</v>
      </c>
      <c r="G170" s="610">
        <f>62501</f>
        <v>62501</v>
      </c>
    </row>
    <row r="171" spans="1:7">
      <c r="A171" s="233">
        <v>151</v>
      </c>
      <c r="B171" t="s">
        <v>5700</v>
      </c>
      <c r="C171" s="600">
        <f>SUM(68783,12169)</f>
        <v>80952</v>
      </c>
      <c r="D171" s="600">
        <f>SUM(439,358)</f>
        <v>797</v>
      </c>
      <c r="E171" s="600">
        <f>SUM(68783,12169)</f>
        <v>80952</v>
      </c>
      <c r="F171" s="601">
        <f>SUM(439,358)</f>
        <v>797</v>
      </c>
      <c r="G171" s="612">
        <f>1833+2324</f>
        <v>4157</v>
      </c>
    </row>
    <row r="172" spans="1:7">
      <c r="A172" s="233">
        <v>22</v>
      </c>
      <c r="B172" t="s">
        <v>5562</v>
      </c>
      <c r="C172" s="600">
        <v>68783</v>
      </c>
      <c r="D172" s="600">
        <v>439</v>
      </c>
      <c r="E172" s="600">
        <v>68783</v>
      </c>
      <c r="F172" s="601">
        <v>439</v>
      </c>
      <c r="G172" s="612">
        <v>1833</v>
      </c>
    </row>
    <row r="173" spans="1:7">
      <c r="A173" s="233">
        <v>156</v>
      </c>
      <c r="B173" t="s">
        <v>5702</v>
      </c>
      <c r="C173" s="604">
        <v>3423231</v>
      </c>
      <c r="D173" s="607">
        <v>180</v>
      </c>
      <c r="E173" s="600">
        <f>SUM(C173:C174)</f>
        <v>4101633</v>
      </c>
      <c r="F173" s="601">
        <f>SUMPRODUCT(C173:C174,D173:D174)/SUM(C173:C174)</f>
        <v>196.37440453594945</v>
      </c>
      <c r="G173" s="610">
        <f>258973+G174</f>
        <v>259263</v>
      </c>
    </row>
    <row r="174" spans="1:7">
      <c r="A174" s="233" t="s">
        <v>7547</v>
      </c>
      <c r="B174" t="s">
        <v>6829</v>
      </c>
      <c r="C174" s="600">
        <v>678402</v>
      </c>
      <c r="D174" s="600">
        <v>279</v>
      </c>
      <c r="E174" s="602">
        <v>0</v>
      </c>
      <c r="F174" s="603">
        <v>0</v>
      </c>
      <c r="G174" s="611">
        <v>290</v>
      </c>
    </row>
    <row r="175" spans="1:7">
      <c r="A175" s="233">
        <v>47</v>
      </c>
      <c r="B175" t="s">
        <v>5601</v>
      </c>
      <c r="C175" s="600">
        <v>1960135</v>
      </c>
      <c r="D175" s="600">
        <v>198</v>
      </c>
      <c r="E175" s="600">
        <v>1960135</v>
      </c>
      <c r="F175" s="601">
        <v>198</v>
      </c>
      <c r="G175" s="610">
        <v>200</v>
      </c>
    </row>
    <row r="176" spans="1:7">
      <c r="A176" s="233">
        <v>160</v>
      </c>
      <c r="B176" t="s">
        <v>5706</v>
      </c>
      <c r="C176" s="604">
        <v>316629</v>
      </c>
      <c r="D176" s="600">
        <v>160</v>
      </c>
      <c r="E176" s="604">
        <v>316629</v>
      </c>
      <c r="F176" s="601">
        <v>160</v>
      </c>
      <c r="G176" s="610">
        <v>78</v>
      </c>
    </row>
    <row r="177" spans="1:7">
      <c r="A177" s="233">
        <v>218</v>
      </c>
      <c r="B177" t="s">
        <v>5762</v>
      </c>
      <c r="C177" s="600">
        <v>319031</v>
      </c>
      <c r="D177" s="600">
        <v>224</v>
      </c>
      <c r="E177" s="600">
        <v>319031</v>
      </c>
      <c r="F177" s="601">
        <v>224</v>
      </c>
      <c r="G177" s="610">
        <v>120</v>
      </c>
    </row>
    <row r="178" spans="1:7">
      <c r="A178" s="233">
        <v>157</v>
      </c>
      <c r="B178" t="s">
        <v>5703</v>
      </c>
      <c r="C178" s="604">
        <v>127488</v>
      </c>
      <c r="D178" s="600">
        <v>516</v>
      </c>
      <c r="E178" s="604">
        <v>127488</v>
      </c>
      <c r="F178" s="601">
        <v>516</v>
      </c>
      <c r="G178" s="610">
        <v>68556.5</v>
      </c>
    </row>
    <row r="179" spans="1:7">
      <c r="A179" s="233">
        <v>158</v>
      </c>
      <c r="B179" t="s">
        <v>5704</v>
      </c>
      <c r="C179" s="600">
        <v>0</v>
      </c>
      <c r="D179" s="600">
        <v>0</v>
      </c>
      <c r="E179" s="600">
        <v>0</v>
      </c>
      <c r="F179" s="601">
        <v>0</v>
      </c>
      <c r="G179" s="610">
        <v>0</v>
      </c>
    </row>
    <row r="180" spans="1:7">
      <c r="A180" s="233">
        <v>159</v>
      </c>
      <c r="B180" t="s">
        <v>5705</v>
      </c>
      <c r="C180" s="604">
        <v>216789</v>
      </c>
      <c r="D180" s="600">
        <v>927</v>
      </c>
      <c r="E180" s="604">
        <v>216789</v>
      </c>
      <c r="F180" s="601">
        <v>927</v>
      </c>
      <c r="G180" s="610">
        <v>39644</v>
      </c>
    </row>
    <row r="181" spans="1:7">
      <c r="A181" s="233">
        <v>162</v>
      </c>
      <c r="B181" t="s">
        <v>5709</v>
      </c>
      <c r="C181" s="604">
        <v>1395753</v>
      </c>
      <c r="D181" s="604">
        <v>503</v>
      </c>
      <c r="E181" s="600">
        <f>SUM(C181:C184)</f>
        <v>2555602</v>
      </c>
      <c r="F181" s="601">
        <f>SUMPRODUCT(C181:C184,D181:D184)/SUM(C181:C184)</f>
        <v>456.70702519406387</v>
      </c>
      <c r="G181" s="610">
        <f>226177+SUM(G182:G184)</f>
        <v>445640</v>
      </c>
    </row>
    <row r="182" spans="1:7">
      <c r="A182" s="233" t="s">
        <v>7547</v>
      </c>
      <c r="B182" t="s">
        <v>6830</v>
      </c>
      <c r="C182" s="600">
        <v>441163</v>
      </c>
      <c r="D182" s="600">
        <v>271</v>
      </c>
      <c r="E182" s="602">
        <v>0</v>
      </c>
      <c r="F182" s="603">
        <v>0</v>
      </c>
      <c r="G182" s="611">
        <v>140</v>
      </c>
    </row>
    <row r="183" spans="1:7">
      <c r="A183" s="233" t="s">
        <v>7547</v>
      </c>
      <c r="B183" t="s">
        <v>6831</v>
      </c>
      <c r="C183" s="600">
        <v>292567</v>
      </c>
      <c r="D183" s="600">
        <v>581</v>
      </c>
      <c r="E183" s="602">
        <v>0</v>
      </c>
      <c r="F183" s="603">
        <v>0</v>
      </c>
      <c r="G183" s="611">
        <v>1452</v>
      </c>
    </row>
    <row r="184" spans="1:7">
      <c r="A184" s="233" t="s">
        <v>7547</v>
      </c>
      <c r="B184" t="s">
        <v>6832</v>
      </c>
      <c r="C184" s="600">
        <v>426119</v>
      </c>
      <c r="D184" s="600">
        <v>412</v>
      </c>
      <c r="E184" s="602">
        <v>0</v>
      </c>
      <c r="F184" s="603">
        <v>0</v>
      </c>
      <c r="G184" s="611">
        <v>217871</v>
      </c>
    </row>
    <row r="185" spans="1:7">
      <c r="A185" s="233">
        <v>299</v>
      </c>
      <c r="B185" t="s">
        <v>5710</v>
      </c>
      <c r="C185" s="600">
        <v>2584</v>
      </c>
      <c r="D185" s="604">
        <v>435</v>
      </c>
      <c r="E185" s="600">
        <v>2584</v>
      </c>
      <c r="F185" s="605">
        <v>435</v>
      </c>
      <c r="G185" s="610">
        <v>927</v>
      </c>
    </row>
    <row r="186" spans="1:7">
      <c r="A186" s="233">
        <v>221</v>
      </c>
      <c r="B186" t="s">
        <v>5711</v>
      </c>
      <c r="C186" s="604">
        <v>535912</v>
      </c>
      <c r="D186" s="600">
        <v>1362</v>
      </c>
      <c r="E186" s="600">
        <v>535912</v>
      </c>
      <c r="F186" s="603">
        <v>1362</v>
      </c>
      <c r="G186" s="610">
        <v>54206</v>
      </c>
    </row>
    <row r="187" spans="1:7">
      <c r="A187" s="233">
        <v>164</v>
      </c>
      <c r="B187" t="s">
        <v>5712</v>
      </c>
      <c r="C187" s="600">
        <v>0</v>
      </c>
      <c r="D187" s="604">
        <v>0</v>
      </c>
      <c r="E187" s="604">
        <v>0</v>
      </c>
      <c r="F187" s="605">
        <v>0</v>
      </c>
      <c r="G187" s="610">
        <v>0</v>
      </c>
    </row>
    <row r="188" spans="1:7">
      <c r="A188" s="233">
        <v>165</v>
      </c>
      <c r="B188" t="s">
        <v>5713</v>
      </c>
      <c r="C188" s="604">
        <v>221435</v>
      </c>
      <c r="D188" s="604">
        <v>1601</v>
      </c>
      <c r="E188" s="604">
        <v>221435</v>
      </c>
      <c r="F188" s="605">
        <v>1601</v>
      </c>
      <c r="G188" s="610">
        <v>47343</v>
      </c>
    </row>
    <row r="189" spans="1:7">
      <c r="A189" s="233">
        <v>180</v>
      </c>
      <c r="B189" t="s">
        <v>5714</v>
      </c>
      <c r="C189" s="604">
        <v>604289</v>
      </c>
      <c r="D189" s="604">
        <v>256</v>
      </c>
      <c r="E189" s="604">
        <v>604289</v>
      </c>
      <c r="F189" s="605">
        <v>256</v>
      </c>
      <c r="G189" s="610">
        <v>1884</v>
      </c>
    </row>
    <row r="190" spans="1:7">
      <c r="A190" s="233">
        <v>166</v>
      </c>
      <c r="B190" t="s">
        <v>5715</v>
      </c>
      <c r="C190" s="604">
        <v>331465</v>
      </c>
      <c r="D190" s="604">
        <v>638</v>
      </c>
      <c r="E190" s="604">
        <v>331465</v>
      </c>
      <c r="F190" s="605">
        <v>638</v>
      </c>
      <c r="G190" s="610">
        <v>48976</v>
      </c>
    </row>
    <row r="191" spans="1:7">
      <c r="A191" s="233">
        <v>168</v>
      </c>
      <c r="B191" t="s">
        <v>5716</v>
      </c>
      <c r="C191" s="600">
        <v>2396214</v>
      </c>
      <c r="D191" s="600">
        <v>376</v>
      </c>
      <c r="E191" s="600">
        <v>2396214</v>
      </c>
      <c r="F191" s="601">
        <v>376</v>
      </c>
      <c r="G191" s="610">
        <v>177864</v>
      </c>
    </row>
    <row r="192" spans="1:7">
      <c r="A192" s="233">
        <v>169</v>
      </c>
      <c r="B192" t="s">
        <v>5717</v>
      </c>
      <c r="C192" s="600">
        <v>0</v>
      </c>
      <c r="D192" s="600">
        <v>0</v>
      </c>
      <c r="E192" s="600">
        <v>0</v>
      </c>
      <c r="F192" s="601">
        <v>0</v>
      </c>
      <c r="G192" s="610">
        <v>0</v>
      </c>
    </row>
    <row r="193" spans="1:7">
      <c r="A193" s="233">
        <v>170</v>
      </c>
      <c r="B193" t="s">
        <v>5718</v>
      </c>
      <c r="C193" s="600">
        <v>906454</v>
      </c>
      <c r="D193" s="604">
        <v>1029</v>
      </c>
      <c r="E193" s="600">
        <v>906454</v>
      </c>
      <c r="F193" s="605">
        <v>1029</v>
      </c>
      <c r="G193" s="610">
        <v>79198</v>
      </c>
    </row>
    <row r="194" spans="1:7">
      <c r="A194" s="233">
        <v>171</v>
      </c>
      <c r="B194" t="s">
        <v>5719</v>
      </c>
      <c r="C194" s="600">
        <v>2265684</v>
      </c>
      <c r="D194" s="604">
        <v>355</v>
      </c>
      <c r="E194" s="600">
        <v>2265684</v>
      </c>
      <c r="F194" s="605">
        <v>355</v>
      </c>
      <c r="G194" s="610">
        <v>251653</v>
      </c>
    </row>
    <row r="195" spans="1:7">
      <c r="A195" s="233">
        <v>173</v>
      </c>
      <c r="B195" t="s">
        <v>5721</v>
      </c>
      <c r="C195" s="600">
        <v>31600</v>
      </c>
      <c r="D195" s="600">
        <v>1744</v>
      </c>
      <c r="E195" s="600">
        <v>29797</v>
      </c>
      <c r="F195" s="601">
        <v>1744</v>
      </c>
      <c r="G195" s="610">
        <v>31160</v>
      </c>
    </row>
    <row r="196" spans="1:7">
      <c r="A196" s="233">
        <v>174</v>
      </c>
      <c r="B196" t="s">
        <v>5722</v>
      </c>
      <c r="C196" s="600">
        <v>322197</v>
      </c>
      <c r="D196" s="600">
        <v>557</v>
      </c>
      <c r="E196" s="600">
        <f>SUM(C196:C198)</f>
        <v>1832848</v>
      </c>
      <c r="F196" s="603">
        <f>SUMPRODUCT(C196:C198,D196:D198)/SUM(C196:C198)</f>
        <v>400.01517256204551</v>
      </c>
      <c r="G196" s="610">
        <f>23265+SUM(G197:G198)</f>
        <v>25553</v>
      </c>
    </row>
    <row r="197" spans="1:7">
      <c r="A197" s="233" t="s">
        <v>7547</v>
      </c>
      <c r="B197" t="s">
        <v>6833</v>
      </c>
      <c r="C197" s="600">
        <v>1056156</v>
      </c>
      <c r="D197" s="600">
        <v>390</v>
      </c>
      <c r="E197" s="602">
        <v>0</v>
      </c>
      <c r="F197" s="603">
        <v>0</v>
      </c>
      <c r="G197" s="611">
        <v>1955</v>
      </c>
    </row>
    <row r="198" spans="1:7">
      <c r="A198" s="233" t="s">
        <v>7547</v>
      </c>
      <c r="B198" t="s">
        <v>6834</v>
      </c>
      <c r="C198" s="604">
        <v>454495</v>
      </c>
      <c r="D198" s="600">
        <v>312</v>
      </c>
      <c r="E198" s="602">
        <v>0</v>
      </c>
      <c r="F198" s="603">
        <v>0</v>
      </c>
      <c r="G198" s="611">
        <v>333</v>
      </c>
    </row>
    <row r="199" spans="1:7">
      <c r="A199" s="233">
        <v>179</v>
      </c>
      <c r="B199" t="s">
        <v>5724</v>
      </c>
      <c r="C199" s="600">
        <v>31870</v>
      </c>
      <c r="D199" s="600">
        <v>1101</v>
      </c>
      <c r="E199" s="600">
        <v>31870</v>
      </c>
      <c r="F199" s="601">
        <v>1101</v>
      </c>
      <c r="G199" s="610">
        <v>30176</v>
      </c>
    </row>
    <row r="200" spans="1:7">
      <c r="A200" s="233">
        <v>183</v>
      </c>
      <c r="B200" t="s">
        <v>5726</v>
      </c>
      <c r="C200" s="600">
        <v>20598</v>
      </c>
      <c r="D200" s="600">
        <v>1369</v>
      </c>
      <c r="E200" s="600">
        <v>20598</v>
      </c>
      <c r="F200" s="601">
        <v>1369</v>
      </c>
      <c r="G200" s="610">
        <v>16852</v>
      </c>
    </row>
    <row r="201" spans="1:7">
      <c r="A201" s="233">
        <v>185</v>
      </c>
      <c r="B201" t="s">
        <v>5727</v>
      </c>
      <c r="C201" s="600">
        <f>SUM(C202:C204)</f>
        <v>8095881</v>
      </c>
      <c r="D201" s="600">
        <v>484</v>
      </c>
      <c r="E201" s="600">
        <f>SUM(C202:C204)</f>
        <v>8095881</v>
      </c>
      <c r="F201" s="601">
        <f>SUMPRODUCT(C202:C204,D202:D204)/SUM(C202:C204)</f>
        <v>483.86578409440557</v>
      </c>
      <c r="G201" s="610">
        <f>SUM(G202:G204)</f>
        <v>4099812</v>
      </c>
    </row>
    <row r="202" spans="1:7">
      <c r="A202" s="233" t="s">
        <v>7547</v>
      </c>
      <c r="B202" t="s">
        <v>6835</v>
      </c>
      <c r="C202" s="600">
        <v>6763348</v>
      </c>
      <c r="D202" s="600">
        <v>504.43762408795175</v>
      </c>
      <c r="E202" s="600">
        <v>0</v>
      </c>
      <c r="F202" s="601">
        <v>0</v>
      </c>
      <c r="G202" s="611">
        <v>3453696</v>
      </c>
    </row>
    <row r="203" spans="1:7">
      <c r="A203" s="233" t="s">
        <v>7547</v>
      </c>
      <c r="B203" t="s">
        <v>6836</v>
      </c>
      <c r="C203" s="600">
        <v>24393</v>
      </c>
      <c r="D203" s="600">
        <v>2387.9281761160987</v>
      </c>
      <c r="E203" s="600">
        <v>0</v>
      </c>
      <c r="F203" s="601">
        <v>0</v>
      </c>
      <c r="G203" s="611">
        <v>21325</v>
      </c>
    </row>
    <row r="204" spans="1:7">
      <c r="A204" s="233" t="s">
        <v>7547</v>
      </c>
      <c r="B204" t="s">
        <v>6837</v>
      </c>
      <c r="C204" s="600">
        <v>1308140</v>
      </c>
      <c r="D204" s="600">
        <v>342</v>
      </c>
      <c r="E204" s="600">
        <v>0</v>
      </c>
      <c r="F204" s="601">
        <v>0</v>
      </c>
      <c r="G204" s="611">
        <v>624791</v>
      </c>
    </row>
    <row r="205" spans="1:7">
      <c r="A205" s="233">
        <v>184</v>
      </c>
      <c r="B205" t="s">
        <v>5728</v>
      </c>
      <c r="C205" s="600">
        <v>0</v>
      </c>
      <c r="D205" s="600">
        <v>0</v>
      </c>
      <c r="E205" s="600">
        <v>0</v>
      </c>
      <c r="F205" s="601">
        <v>0</v>
      </c>
      <c r="G205" s="610">
        <v>0</v>
      </c>
    </row>
    <row r="206" spans="1:7">
      <c r="A206" s="233">
        <v>188</v>
      </c>
      <c r="B206" t="s">
        <v>5730</v>
      </c>
      <c r="C206" s="600">
        <v>10201</v>
      </c>
      <c r="D206" s="600">
        <v>358</v>
      </c>
      <c r="E206" s="600">
        <v>10201</v>
      </c>
      <c r="F206" s="601">
        <v>358</v>
      </c>
      <c r="G206" s="610">
        <v>788</v>
      </c>
    </row>
    <row r="207" spans="1:7">
      <c r="A207" s="233">
        <v>189</v>
      </c>
      <c r="B207" t="s">
        <v>5731</v>
      </c>
      <c r="C207" s="600">
        <v>15484</v>
      </c>
      <c r="D207" s="600">
        <v>430</v>
      </c>
      <c r="E207" s="600">
        <v>15484</v>
      </c>
      <c r="F207" s="601">
        <v>430</v>
      </c>
      <c r="G207" s="610">
        <v>811</v>
      </c>
    </row>
    <row r="208" spans="1:7">
      <c r="A208" s="233">
        <v>191</v>
      </c>
      <c r="B208" t="s">
        <v>5733</v>
      </c>
      <c r="C208" s="600">
        <v>36314</v>
      </c>
      <c r="D208" s="600">
        <v>553</v>
      </c>
      <c r="E208" s="600">
        <v>36314</v>
      </c>
      <c r="F208" s="601">
        <v>553</v>
      </c>
      <c r="G208" s="610">
        <v>2082</v>
      </c>
    </row>
    <row r="209" spans="1:7">
      <c r="A209" s="233">
        <v>244</v>
      </c>
      <c r="B209" t="s">
        <v>5734</v>
      </c>
      <c r="C209" s="600">
        <v>131812</v>
      </c>
      <c r="D209" s="600">
        <v>195</v>
      </c>
      <c r="E209" s="600">
        <v>131812</v>
      </c>
      <c r="F209" s="601">
        <v>195</v>
      </c>
      <c r="G209" s="610">
        <v>731</v>
      </c>
    </row>
    <row r="210" spans="1:7">
      <c r="A210" s="233">
        <v>192</v>
      </c>
      <c r="B210" t="s">
        <v>5735</v>
      </c>
      <c r="C210" s="600">
        <v>0</v>
      </c>
      <c r="D210" s="600">
        <v>0</v>
      </c>
      <c r="E210" s="600">
        <v>0</v>
      </c>
      <c r="F210" s="601">
        <v>0</v>
      </c>
      <c r="G210" s="610">
        <v>0</v>
      </c>
    </row>
    <row r="211" spans="1:7">
      <c r="A211" s="233">
        <v>193</v>
      </c>
      <c r="B211" t="s">
        <v>5736</v>
      </c>
      <c r="C211" s="600">
        <v>165364</v>
      </c>
      <c r="D211" s="600">
        <v>716</v>
      </c>
      <c r="E211" s="600">
        <v>165364</v>
      </c>
      <c r="F211" s="601">
        <v>716</v>
      </c>
      <c r="G211" s="610">
        <v>1441</v>
      </c>
    </row>
    <row r="212" spans="1:7">
      <c r="A212" s="233">
        <v>194</v>
      </c>
      <c r="B212" t="s">
        <v>5737</v>
      </c>
      <c r="C212" s="600">
        <v>0</v>
      </c>
      <c r="D212" s="600">
        <v>0</v>
      </c>
      <c r="E212" s="600">
        <f>SUM(C213:C214)</f>
        <v>219905</v>
      </c>
      <c r="F212" s="601">
        <f>SUMPRODUCT(C213:C214,D213:D214)/SUM(C213:C214)</f>
        <v>785.70936995520788</v>
      </c>
      <c r="G212" s="610">
        <f>SUM(G213:G214)</f>
        <v>88946</v>
      </c>
    </row>
    <row r="213" spans="1:7">
      <c r="A213" s="233" t="s">
        <v>7547</v>
      </c>
      <c r="B213" t="s">
        <v>6838</v>
      </c>
      <c r="C213" s="600">
        <v>34023</v>
      </c>
      <c r="D213" s="600">
        <v>1101</v>
      </c>
      <c r="E213" s="600">
        <v>0</v>
      </c>
      <c r="F213" s="601">
        <v>0</v>
      </c>
      <c r="G213" s="611">
        <v>30395</v>
      </c>
    </row>
    <row r="214" spans="1:7">
      <c r="A214" s="233" t="s">
        <v>7547</v>
      </c>
      <c r="B214" t="s">
        <v>6839</v>
      </c>
      <c r="C214" s="600">
        <v>185882</v>
      </c>
      <c r="D214" s="600">
        <v>728</v>
      </c>
      <c r="E214" s="600">
        <v>0</v>
      </c>
      <c r="F214" s="601">
        <v>0</v>
      </c>
      <c r="G214" s="611">
        <v>58551</v>
      </c>
    </row>
    <row r="215" spans="1:7">
      <c r="A215" s="233">
        <v>195</v>
      </c>
      <c r="B215" t="s">
        <v>5738</v>
      </c>
      <c r="C215" s="600">
        <v>157550</v>
      </c>
      <c r="D215" s="600">
        <v>1396</v>
      </c>
      <c r="E215" s="600">
        <v>157550</v>
      </c>
      <c r="F215" s="601">
        <v>1396</v>
      </c>
      <c r="G215" s="610">
        <v>21835</v>
      </c>
    </row>
    <row r="216" spans="1:7">
      <c r="A216" s="233">
        <v>196</v>
      </c>
      <c r="B216" t="s">
        <v>5741</v>
      </c>
      <c r="C216" s="600">
        <v>1332031</v>
      </c>
      <c r="D216" s="600">
        <v>354</v>
      </c>
      <c r="E216" s="600">
        <v>1332031</v>
      </c>
      <c r="F216" s="601">
        <v>354</v>
      </c>
      <c r="G216" s="610">
        <v>48787</v>
      </c>
    </row>
    <row r="217" spans="1:7">
      <c r="A217" s="233">
        <v>197</v>
      </c>
      <c r="B217" t="s">
        <v>5742</v>
      </c>
      <c r="C217" s="600">
        <v>159744</v>
      </c>
      <c r="D217" s="600">
        <v>686</v>
      </c>
      <c r="E217" s="600">
        <v>159744</v>
      </c>
      <c r="F217" s="601">
        <v>686</v>
      </c>
      <c r="G217" s="610">
        <v>26934</v>
      </c>
    </row>
    <row r="218" spans="1:7">
      <c r="A218" s="233">
        <v>200</v>
      </c>
      <c r="B218" t="s">
        <v>5743</v>
      </c>
      <c r="C218" s="600">
        <v>823</v>
      </c>
      <c r="D218" s="600">
        <v>1785</v>
      </c>
      <c r="E218" s="600">
        <v>823</v>
      </c>
      <c r="F218" s="601">
        <v>1785</v>
      </c>
      <c r="G218" s="610">
        <v>552</v>
      </c>
    </row>
    <row r="219" spans="1:7">
      <c r="A219" s="233">
        <v>199</v>
      </c>
      <c r="B219" t="s">
        <v>5744</v>
      </c>
      <c r="C219" s="600">
        <v>0</v>
      </c>
      <c r="D219" s="600">
        <v>0</v>
      </c>
      <c r="E219" s="600">
        <v>0</v>
      </c>
      <c r="F219" s="601">
        <v>0</v>
      </c>
      <c r="G219" s="610">
        <v>0</v>
      </c>
    </row>
    <row r="220" spans="1:7">
      <c r="A220" s="233">
        <v>198</v>
      </c>
      <c r="B220" t="s">
        <v>5745</v>
      </c>
      <c r="C220" s="608">
        <v>186</v>
      </c>
      <c r="D220" s="608">
        <v>510</v>
      </c>
      <c r="E220" s="600">
        <v>186</v>
      </c>
      <c r="F220" s="601">
        <v>510</v>
      </c>
      <c r="G220" s="610">
        <v>158</v>
      </c>
    </row>
    <row r="221" spans="1:7">
      <c r="A221" s="233">
        <v>25</v>
      </c>
      <c r="B221" t="s">
        <v>5746</v>
      </c>
      <c r="C221" s="600">
        <v>1597492</v>
      </c>
      <c r="D221" s="600">
        <v>263</v>
      </c>
      <c r="E221" s="600">
        <v>1597492</v>
      </c>
      <c r="F221" s="601">
        <v>263</v>
      </c>
      <c r="G221" s="610">
        <v>32759</v>
      </c>
    </row>
    <row r="222" spans="1:7">
      <c r="A222" s="233">
        <v>201</v>
      </c>
      <c r="B222" t="s">
        <v>5747</v>
      </c>
      <c r="C222" s="600">
        <v>830389</v>
      </c>
      <c r="D222" s="600">
        <v>882</v>
      </c>
      <c r="E222" s="600">
        <v>830389</v>
      </c>
      <c r="F222" s="601">
        <v>882</v>
      </c>
      <c r="G222" s="610">
        <v>47511</v>
      </c>
    </row>
    <row r="223" spans="1:7">
      <c r="A223" s="233">
        <v>202</v>
      </c>
      <c r="B223" t="s">
        <v>5748</v>
      </c>
      <c r="C223" s="600">
        <v>1066655</v>
      </c>
      <c r="D223" s="600">
        <v>919</v>
      </c>
      <c r="E223" s="600">
        <f>SUM(C223:C224)</f>
        <v>1540035</v>
      </c>
      <c r="F223" s="601">
        <f>SUMPRODUCT(C223:C224,D223:D224)/SUM(C223:C224)</f>
        <v>748.40264344641514</v>
      </c>
      <c r="G223" s="610">
        <f>159541+G224</f>
        <v>160096</v>
      </c>
    </row>
    <row r="224" spans="1:7">
      <c r="A224" s="233" t="s">
        <v>7547</v>
      </c>
      <c r="B224" t="s">
        <v>6840</v>
      </c>
      <c r="C224" s="600">
        <v>473380</v>
      </c>
      <c r="D224" s="600">
        <v>364</v>
      </c>
      <c r="E224" s="602">
        <v>0</v>
      </c>
      <c r="F224" s="603">
        <v>0</v>
      </c>
      <c r="G224" s="611">
        <v>555</v>
      </c>
    </row>
    <row r="225" spans="1:7">
      <c r="A225" s="404">
        <v>277</v>
      </c>
      <c r="B225" t="s">
        <v>6192</v>
      </c>
      <c r="C225" s="600" t="s">
        <v>6189</v>
      </c>
      <c r="D225" s="600" t="s">
        <v>6189</v>
      </c>
      <c r="E225" s="602" t="s">
        <v>6189</v>
      </c>
      <c r="F225" s="603" t="s">
        <v>6189</v>
      </c>
      <c r="G225" s="610">
        <v>0</v>
      </c>
    </row>
    <row r="226" spans="1:7">
      <c r="A226" s="233">
        <v>203</v>
      </c>
      <c r="B226" t="s">
        <v>5749</v>
      </c>
      <c r="C226" s="600">
        <v>551874</v>
      </c>
      <c r="D226" s="600">
        <v>592</v>
      </c>
      <c r="E226" s="600">
        <f>SUM(C226:C227)</f>
        <v>1007271</v>
      </c>
      <c r="F226" s="601">
        <f>SUMPRODUCT(C226:C227,D226:D227)/SUM(C226:C227)</f>
        <v>499.31750938923091</v>
      </c>
      <c r="G226" s="610">
        <f>67979+G227</f>
        <v>72471</v>
      </c>
    </row>
    <row r="227" spans="1:7">
      <c r="A227" s="233" t="s">
        <v>7547</v>
      </c>
      <c r="B227" s="13" t="s">
        <v>6841</v>
      </c>
      <c r="C227" s="604">
        <v>455397</v>
      </c>
      <c r="D227" s="609">
        <v>387</v>
      </c>
      <c r="E227" s="602">
        <v>0</v>
      </c>
      <c r="F227" s="603">
        <v>0</v>
      </c>
      <c r="G227" s="611">
        <v>4492</v>
      </c>
    </row>
    <row r="228" spans="1:7">
      <c r="A228" s="233">
        <v>38</v>
      </c>
      <c r="B228" t="s">
        <v>5750</v>
      </c>
      <c r="C228" s="600">
        <v>530684</v>
      </c>
      <c r="D228" s="600">
        <v>607</v>
      </c>
      <c r="E228" s="600">
        <v>530684</v>
      </c>
      <c r="F228" s="601">
        <v>607</v>
      </c>
      <c r="G228" s="610">
        <v>29885</v>
      </c>
    </row>
    <row r="229" spans="1:7">
      <c r="A229" s="404">
        <v>276</v>
      </c>
      <c r="B229" t="s">
        <v>5751</v>
      </c>
      <c r="C229" s="600">
        <v>88067</v>
      </c>
      <c r="D229" s="600">
        <v>743</v>
      </c>
      <c r="E229" s="600">
        <v>88067</v>
      </c>
      <c r="F229" s="601">
        <v>743</v>
      </c>
      <c r="G229" s="610">
        <v>13047</v>
      </c>
    </row>
    <row r="230" spans="1:7">
      <c r="A230" s="233">
        <v>207</v>
      </c>
      <c r="B230" t="s">
        <v>5752</v>
      </c>
      <c r="C230" s="600">
        <v>128318</v>
      </c>
      <c r="D230" s="600">
        <v>911</v>
      </c>
      <c r="E230" s="600">
        <v>128318</v>
      </c>
      <c r="F230" s="601">
        <v>911</v>
      </c>
      <c r="G230" s="610">
        <v>55700</v>
      </c>
    </row>
    <row r="231" spans="1:7">
      <c r="A231" s="233">
        <v>209</v>
      </c>
      <c r="B231" t="s">
        <v>8836</v>
      </c>
      <c r="C231" s="600">
        <v>0</v>
      </c>
      <c r="D231" s="600">
        <v>0</v>
      </c>
      <c r="E231" s="600">
        <v>0</v>
      </c>
      <c r="F231" s="601">
        <v>0</v>
      </c>
      <c r="G231" s="610">
        <v>0</v>
      </c>
    </row>
    <row r="232" spans="1:7">
      <c r="A232" s="233">
        <v>210</v>
      </c>
      <c r="B232" t="s">
        <v>5753</v>
      </c>
      <c r="C232" s="600">
        <v>170086</v>
      </c>
      <c r="D232" s="600">
        <v>1799</v>
      </c>
      <c r="E232" s="600">
        <v>170086</v>
      </c>
      <c r="F232" s="601">
        <v>1799</v>
      </c>
      <c r="G232" s="610">
        <v>149848</v>
      </c>
    </row>
    <row r="233" spans="1:7">
      <c r="A233" s="233">
        <v>211</v>
      </c>
      <c r="B233" t="s">
        <v>5754</v>
      </c>
      <c r="C233" s="600">
        <v>0</v>
      </c>
      <c r="D233" s="600">
        <v>0</v>
      </c>
      <c r="E233" s="600">
        <v>0</v>
      </c>
      <c r="F233" s="601">
        <v>0</v>
      </c>
      <c r="G233" s="610">
        <v>0</v>
      </c>
    </row>
    <row r="234" spans="1:7">
      <c r="A234" s="233">
        <v>212</v>
      </c>
      <c r="B234" t="s">
        <v>5755</v>
      </c>
      <c r="C234" s="600">
        <v>10222</v>
      </c>
      <c r="D234" s="600">
        <v>366</v>
      </c>
      <c r="E234" s="600">
        <v>10222</v>
      </c>
      <c r="F234" s="601">
        <v>366</v>
      </c>
      <c r="G234" s="610">
        <v>969</v>
      </c>
    </row>
    <row r="235" spans="1:7">
      <c r="A235" s="233">
        <v>208</v>
      </c>
      <c r="B235" t="s">
        <v>5757</v>
      </c>
      <c r="C235" s="600">
        <v>0</v>
      </c>
      <c r="D235" s="600">
        <v>0</v>
      </c>
      <c r="E235" s="600">
        <v>0</v>
      </c>
      <c r="F235" s="601">
        <v>0</v>
      </c>
      <c r="G235" s="610">
        <v>0</v>
      </c>
    </row>
    <row r="236" spans="1:7">
      <c r="A236" s="233">
        <v>215</v>
      </c>
      <c r="B236" t="s">
        <v>5758</v>
      </c>
      <c r="C236" s="600">
        <v>241541</v>
      </c>
      <c r="D236" s="600">
        <v>547</v>
      </c>
      <c r="E236" s="600">
        <v>241541</v>
      </c>
      <c r="F236" s="601">
        <v>547</v>
      </c>
      <c r="G236" s="610">
        <v>16929</v>
      </c>
    </row>
    <row r="237" spans="1:7">
      <c r="A237" s="233">
        <v>216</v>
      </c>
      <c r="B237" t="s">
        <v>5759</v>
      </c>
      <c r="C237" s="608">
        <v>306365</v>
      </c>
      <c r="D237" s="608">
        <v>769</v>
      </c>
      <c r="E237" s="600">
        <v>306365</v>
      </c>
      <c r="F237" s="601">
        <v>769</v>
      </c>
      <c r="G237" s="610">
        <v>232634</v>
      </c>
    </row>
    <row r="238" spans="1:7">
      <c r="A238" s="233">
        <v>176</v>
      </c>
      <c r="B238" t="s">
        <v>5760</v>
      </c>
      <c r="C238" s="600">
        <v>77256</v>
      </c>
      <c r="D238" s="600">
        <v>606</v>
      </c>
      <c r="E238" s="600">
        <v>77256</v>
      </c>
      <c r="F238" s="601">
        <v>606</v>
      </c>
      <c r="G238" s="610">
        <v>24003</v>
      </c>
    </row>
    <row r="239" spans="1:7">
      <c r="A239" s="233">
        <v>217</v>
      </c>
      <c r="B239" t="s">
        <v>5761</v>
      </c>
      <c r="C239" s="600">
        <v>15375</v>
      </c>
      <c r="D239" s="600">
        <v>729</v>
      </c>
      <c r="E239" s="600">
        <v>15375</v>
      </c>
      <c r="F239" s="601">
        <v>729</v>
      </c>
      <c r="G239" s="610">
        <v>1048</v>
      </c>
    </row>
    <row r="240" spans="1:7">
      <c r="A240" s="233">
        <v>219</v>
      </c>
      <c r="B240" t="s">
        <v>5763</v>
      </c>
      <c r="C240" s="600">
        <v>664853</v>
      </c>
      <c r="D240" s="600">
        <v>217</v>
      </c>
      <c r="E240" s="600">
        <v>664853</v>
      </c>
      <c r="F240" s="601">
        <v>217</v>
      </c>
      <c r="G240" s="610">
        <v>3431</v>
      </c>
    </row>
    <row r="241" spans="1:7">
      <c r="A241" s="233">
        <v>220</v>
      </c>
      <c r="B241" t="s">
        <v>5764</v>
      </c>
      <c r="C241" s="600">
        <v>77502</v>
      </c>
      <c r="D241" s="600">
        <v>1195</v>
      </c>
      <c r="E241" s="600">
        <v>77502</v>
      </c>
      <c r="F241" s="601">
        <v>1195</v>
      </c>
      <c r="G241" s="610">
        <v>21136</v>
      </c>
    </row>
    <row r="242" spans="1:7">
      <c r="A242" s="233">
        <v>222</v>
      </c>
      <c r="B242" t="s">
        <v>5765</v>
      </c>
      <c r="C242" s="600">
        <v>102362</v>
      </c>
      <c r="D242" s="600">
        <v>472</v>
      </c>
      <c r="E242" s="600">
        <v>102362</v>
      </c>
      <c r="F242" s="601">
        <v>472</v>
      </c>
      <c r="G242" s="610">
        <v>66322</v>
      </c>
    </row>
    <row r="243" spans="1:7">
      <c r="A243" s="233">
        <v>223</v>
      </c>
      <c r="B243" t="s">
        <v>5766</v>
      </c>
      <c r="C243" s="600">
        <v>0</v>
      </c>
      <c r="D243" s="600">
        <v>0</v>
      </c>
      <c r="E243" s="600">
        <f>SUM(C244:C245)</f>
        <v>255787</v>
      </c>
      <c r="F243" s="601">
        <f>SUMPRODUCT(C244:C245,D244:D245)/SUM(C244:C245)</f>
        <v>811.8011040435988</v>
      </c>
      <c r="G243" s="610">
        <f>SUM(G244:G245)</f>
        <v>46698</v>
      </c>
    </row>
    <row r="244" spans="1:7">
      <c r="A244" s="233" t="s">
        <v>7547</v>
      </c>
      <c r="B244" t="s">
        <v>6842</v>
      </c>
      <c r="C244" s="600">
        <v>172199</v>
      </c>
      <c r="D244" s="600">
        <v>935</v>
      </c>
      <c r="E244" s="600">
        <v>0</v>
      </c>
      <c r="F244" s="601">
        <v>0</v>
      </c>
      <c r="G244" s="611">
        <v>17848</v>
      </c>
    </row>
    <row r="245" spans="1:7">
      <c r="A245" s="233" t="s">
        <v>7547</v>
      </c>
      <c r="B245" t="s">
        <v>6843</v>
      </c>
      <c r="C245" s="600">
        <v>83588</v>
      </c>
      <c r="D245" s="600">
        <v>558</v>
      </c>
      <c r="E245" s="600">
        <v>0</v>
      </c>
      <c r="F245" s="601">
        <v>0</v>
      </c>
      <c r="G245" s="611">
        <v>28850</v>
      </c>
    </row>
    <row r="246" spans="1:7">
      <c r="A246" s="233">
        <v>213</v>
      </c>
      <c r="B246" t="s">
        <v>5767</v>
      </c>
      <c r="C246" s="600">
        <v>0</v>
      </c>
      <c r="D246" s="600">
        <v>0</v>
      </c>
      <c r="E246" s="600">
        <v>0</v>
      </c>
      <c r="F246" s="601">
        <v>0</v>
      </c>
      <c r="G246" s="610">
        <v>0</v>
      </c>
    </row>
    <row r="247" spans="1:7">
      <c r="A247" s="233">
        <v>227</v>
      </c>
      <c r="B247" t="s">
        <v>5769</v>
      </c>
      <c r="C247" s="600">
        <v>751797</v>
      </c>
      <c r="D247" s="600">
        <v>215</v>
      </c>
      <c r="E247" s="600">
        <v>751797</v>
      </c>
      <c r="F247" s="601">
        <v>215</v>
      </c>
      <c r="G247" s="610">
        <v>1422</v>
      </c>
    </row>
    <row r="248" spans="1:7">
      <c r="A248" s="233">
        <v>226</v>
      </c>
      <c r="B248" t="s">
        <v>5770</v>
      </c>
      <c r="C248" s="600">
        <v>0</v>
      </c>
      <c r="D248" s="600">
        <v>0</v>
      </c>
      <c r="E248" s="600">
        <v>0</v>
      </c>
      <c r="F248" s="601">
        <v>0</v>
      </c>
      <c r="G248" s="610">
        <v>0</v>
      </c>
    </row>
    <row r="249" spans="1:7">
      <c r="A249" s="233">
        <v>229</v>
      </c>
      <c r="B249" t="s">
        <v>5773</v>
      </c>
      <c r="C249" s="600">
        <v>773676</v>
      </c>
      <c r="D249" s="600">
        <v>870</v>
      </c>
      <c r="E249" s="600">
        <f>SUM(C249:C252)</f>
        <v>3419586</v>
      </c>
      <c r="F249" s="601">
        <f>SUMPRODUCT(C249:C252,D249:D252)/SUM(C249:C252)</f>
        <v>498.76515929121246</v>
      </c>
      <c r="G249" s="610">
        <f>524645+SUM(G250:G252)</f>
        <v>527060</v>
      </c>
    </row>
    <row r="250" spans="1:7">
      <c r="A250" s="233" t="s">
        <v>7547</v>
      </c>
      <c r="B250" t="s">
        <v>6844</v>
      </c>
      <c r="C250" s="600">
        <v>441658</v>
      </c>
      <c r="D250" s="600">
        <v>312</v>
      </c>
      <c r="E250" s="602">
        <v>0</v>
      </c>
      <c r="F250" s="603">
        <v>0</v>
      </c>
      <c r="G250" s="611">
        <v>2109</v>
      </c>
    </row>
    <row r="251" spans="1:7">
      <c r="A251" s="233" t="s">
        <v>7547</v>
      </c>
      <c r="B251" t="s">
        <v>6845</v>
      </c>
      <c r="C251" s="600">
        <v>1449532</v>
      </c>
      <c r="D251" s="600">
        <v>385</v>
      </c>
      <c r="E251" s="602">
        <v>0</v>
      </c>
      <c r="F251" s="603">
        <v>0</v>
      </c>
      <c r="G251" s="611">
        <v>15</v>
      </c>
    </row>
    <row r="252" spans="1:7">
      <c r="A252" s="233" t="s">
        <v>7547</v>
      </c>
      <c r="B252" t="s">
        <v>6846</v>
      </c>
      <c r="C252" s="600">
        <v>754720</v>
      </c>
      <c r="D252" s="600">
        <v>446</v>
      </c>
      <c r="E252" s="602">
        <v>0</v>
      </c>
      <c r="F252" s="603">
        <v>0</v>
      </c>
      <c r="G252" s="611">
        <v>291</v>
      </c>
    </row>
    <row r="253" spans="1:7">
      <c r="A253" s="233">
        <v>258</v>
      </c>
      <c r="B253" t="s">
        <v>5559</v>
      </c>
      <c r="C253" s="600">
        <v>92178</v>
      </c>
      <c r="D253" s="600">
        <v>229</v>
      </c>
      <c r="E253" s="600">
        <v>92178</v>
      </c>
      <c r="F253" s="601">
        <v>229</v>
      </c>
      <c r="G253" s="610">
        <v>2109</v>
      </c>
    </row>
    <row r="254" spans="1:7">
      <c r="A254" s="233">
        <v>17</v>
      </c>
      <c r="B254" t="s">
        <v>5574</v>
      </c>
      <c r="C254" s="600">
        <v>450370</v>
      </c>
      <c r="D254" s="600">
        <v>304</v>
      </c>
      <c r="E254" s="600">
        <v>450370</v>
      </c>
      <c r="F254" s="601">
        <v>304</v>
      </c>
      <c r="G254" s="610">
        <v>291</v>
      </c>
    </row>
    <row r="255" spans="1:7">
      <c r="A255" s="233">
        <v>24</v>
      </c>
      <c r="B255" t="s">
        <v>5580</v>
      </c>
      <c r="C255" s="600">
        <v>638568</v>
      </c>
      <c r="D255" s="604">
        <v>300</v>
      </c>
      <c r="E255" s="600">
        <v>638568</v>
      </c>
      <c r="F255" s="605">
        <v>300</v>
      </c>
      <c r="G255" s="610">
        <v>17194</v>
      </c>
    </row>
    <row r="256" spans="1:7">
      <c r="A256" s="233">
        <v>239</v>
      </c>
      <c r="B256" t="s">
        <v>5581</v>
      </c>
      <c r="C256" s="600">
        <v>80117</v>
      </c>
      <c r="D256" s="600">
        <v>234</v>
      </c>
      <c r="E256" s="600">
        <v>80117</v>
      </c>
      <c r="F256" s="601">
        <v>234</v>
      </c>
      <c r="G256" s="610">
        <v>3062</v>
      </c>
    </row>
    <row r="257" spans="1:7">
      <c r="A257" s="233">
        <v>36</v>
      </c>
      <c r="B257" t="s">
        <v>5589</v>
      </c>
      <c r="C257" s="600">
        <v>119137</v>
      </c>
      <c r="D257" s="600">
        <v>288</v>
      </c>
      <c r="E257" s="600">
        <v>119137</v>
      </c>
      <c r="F257" s="601">
        <v>288</v>
      </c>
      <c r="G257" s="610">
        <v>268</v>
      </c>
    </row>
    <row r="258" spans="1:7">
      <c r="A258" s="233">
        <v>259</v>
      </c>
      <c r="B258" t="s">
        <v>5592</v>
      </c>
      <c r="C258" s="600">
        <v>11658</v>
      </c>
      <c r="D258" s="600">
        <v>1166</v>
      </c>
      <c r="E258" s="600">
        <v>11658</v>
      </c>
      <c r="F258" s="601">
        <v>1166</v>
      </c>
      <c r="G258" s="610">
        <v>11521</v>
      </c>
    </row>
    <row r="259" spans="1:7">
      <c r="A259" s="233">
        <v>65</v>
      </c>
      <c r="B259" t="s">
        <v>5621</v>
      </c>
      <c r="C259" s="600">
        <v>550872</v>
      </c>
      <c r="D259" s="600">
        <v>876</v>
      </c>
      <c r="E259" s="600">
        <v>550872</v>
      </c>
      <c r="F259" s="601">
        <v>876</v>
      </c>
      <c r="G259" s="610">
        <v>179234</v>
      </c>
    </row>
    <row r="260" spans="1:7">
      <c r="A260" s="233">
        <v>142</v>
      </c>
      <c r="B260" t="s">
        <v>5692</v>
      </c>
      <c r="C260" s="604">
        <v>7582</v>
      </c>
      <c r="D260" s="600">
        <v>355</v>
      </c>
      <c r="E260" s="604">
        <v>7582</v>
      </c>
      <c r="F260" s="601">
        <v>355</v>
      </c>
      <c r="G260" s="610">
        <v>145</v>
      </c>
    </row>
    <row r="261" spans="1:7">
      <c r="A261" s="233">
        <v>172</v>
      </c>
      <c r="B261" t="s">
        <v>5720</v>
      </c>
      <c r="C261" s="600">
        <v>836108</v>
      </c>
      <c r="D261" s="600">
        <v>126</v>
      </c>
      <c r="E261" s="600">
        <v>836108</v>
      </c>
      <c r="F261" s="601">
        <v>126</v>
      </c>
      <c r="G261" s="610">
        <v>48</v>
      </c>
    </row>
    <row r="262" spans="1:7">
      <c r="A262" s="233">
        <v>187</v>
      </c>
      <c r="B262" t="s">
        <v>5729</v>
      </c>
      <c r="C262" s="600">
        <v>444916</v>
      </c>
      <c r="D262" s="600">
        <v>252</v>
      </c>
      <c r="E262" s="600">
        <v>444916</v>
      </c>
      <c r="F262" s="601">
        <v>252</v>
      </c>
      <c r="G262" s="610">
        <v>185</v>
      </c>
    </row>
    <row r="263" spans="1:7">
      <c r="A263" s="233">
        <v>224</v>
      </c>
      <c r="B263" t="s">
        <v>5768</v>
      </c>
      <c r="C263" s="600">
        <v>154068</v>
      </c>
      <c r="D263" s="600">
        <v>221</v>
      </c>
      <c r="E263" s="600">
        <v>154068</v>
      </c>
      <c r="F263" s="601">
        <v>221</v>
      </c>
      <c r="G263" s="610">
        <v>7395</v>
      </c>
    </row>
    <row r="264" spans="1:7">
      <c r="A264" s="233">
        <v>230</v>
      </c>
      <c r="B264" t="s">
        <v>5771</v>
      </c>
      <c r="C264" s="600">
        <v>144038</v>
      </c>
      <c r="D264" s="600">
        <v>1046</v>
      </c>
      <c r="E264" s="600">
        <v>144038</v>
      </c>
      <c r="F264" s="601">
        <v>1046</v>
      </c>
      <c r="G264" s="610">
        <v>78552</v>
      </c>
    </row>
    <row r="265" spans="1:7">
      <c r="A265" s="233">
        <v>225</v>
      </c>
      <c r="B265" t="s">
        <v>5772</v>
      </c>
      <c r="C265" s="600">
        <v>57194</v>
      </c>
      <c r="D265" s="600">
        <v>1134</v>
      </c>
      <c r="E265" s="600">
        <v>57194</v>
      </c>
      <c r="F265" s="601">
        <v>1134</v>
      </c>
      <c r="G265" s="610">
        <v>51080</v>
      </c>
    </row>
    <row r="266" spans="1:7">
      <c r="A266" s="233">
        <v>234</v>
      </c>
      <c r="B266" t="s">
        <v>5775</v>
      </c>
      <c r="C266" s="600">
        <v>132286</v>
      </c>
      <c r="D266" s="600">
        <v>1594</v>
      </c>
      <c r="E266" s="600">
        <v>132286</v>
      </c>
      <c r="F266" s="601">
        <v>1594</v>
      </c>
      <c r="G266" s="610">
        <v>63854</v>
      </c>
    </row>
    <row r="267" spans="1:7">
      <c r="A267" s="233">
        <v>231</v>
      </c>
      <c r="B267" t="s">
        <v>5774</v>
      </c>
      <c r="C267" s="600">
        <v>0</v>
      </c>
      <c r="D267" s="600">
        <v>0</v>
      </c>
      <c r="E267" s="600">
        <f>SUM(C268:C276)</f>
        <v>10240570</v>
      </c>
      <c r="F267" s="601">
        <f>SUMPRODUCT(C268:C276,D268:D276)/SUM(C268:C276)</f>
        <v>533.17585505494321</v>
      </c>
      <c r="G267" s="610">
        <f>SUM(G268:G276)</f>
        <v>2067940</v>
      </c>
    </row>
    <row r="268" spans="1:7">
      <c r="A268" s="233" t="s">
        <v>7547</v>
      </c>
      <c r="B268" t="s">
        <v>6847</v>
      </c>
      <c r="C268" s="600">
        <v>825549</v>
      </c>
      <c r="D268" s="600">
        <v>885</v>
      </c>
      <c r="E268" s="600"/>
      <c r="F268" s="601">
        <v>0</v>
      </c>
      <c r="G268" s="611">
        <v>62989</v>
      </c>
    </row>
    <row r="269" spans="1:7">
      <c r="A269" s="233" t="s">
        <v>7547</v>
      </c>
      <c r="B269" t="s">
        <v>6848</v>
      </c>
      <c r="C269" s="600">
        <v>915763</v>
      </c>
      <c r="D269" s="600">
        <v>796</v>
      </c>
      <c r="E269" s="602">
        <v>0</v>
      </c>
      <c r="F269" s="603">
        <v>0</v>
      </c>
      <c r="G269" s="611">
        <v>345839</v>
      </c>
    </row>
    <row r="270" spans="1:7">
      <c r="A270" s="233" t="s">
        <v>7547</v>
      </c>
      <c r="B270" t="s">
        <v>6849</v>
      </c>
      <c r="C270" s="600">
        <v>707832</v>
      </c>
      <c r="D270" s="600">
        <v>660</v>
      </c>
      <c r="E270" s="602">
        <v>0</v>
      </c>
      <c r="F270" s="603">
        <v>0</v>
      </c>
      <c r="G270" s="611">
        <v>328217</v>
      </c>
    </row>
    <row r="271" spans="1:7">
      <c r="A271" s="233" t="s">
        <v>7547</v>
      </c>
      <c r="B271" t="s">
        <v>6850</v>
      </c>
      <c r="C271" s="600">
        <v>3770021</v>
      </c>
      <c r="D271" s="600">
        <v>650</v>
      </c>
      <c r="E271" s="602">
        <v>0</v>
      </c>
      <c r="F271" s="603">
        <v>0</v>
      </c>
      <c r="G271" s="611">
        <v>1319692</v>
      </c>
    </row>
    <row r="272" spans="1:7">
      <c r="A272" s="233" t="s">
        <v>7547</v>
      </c>
      <c r="B272" t="s">
        <v>6851</v>
      </c>
      <c r="C272" s="600">
        <v>434921</v>
      </c>
      <c r="D272" s="600">
        <v>402</v>
      </c>
      <c r="E272" s="602">
        <v>0</v>
      </c>
      <c r="F272" s="603">
        <v>0</v>
      </c>
      <c r="G272" s="611">
        <v>0</v>
      </c>
    </row>
    <row r="273" spans="1:7">
      <c r="A273" s="233" t="s">
        <v>7547</v>
      </c>
      <c r="B273" t="s">
        <v>6852</v>
      </c>
      <c r="C273" s="600">
        <v>2474884</v>
      </c>
      <c r="D273" s="600">
        <v>235.84986043790335</v>
      </c>
      <c r="E273" s="602">
        <v>0</v>
      </c>
      <c r="F273" s="603">
        <v>0</v>
      </c>
      <c r="G273" s="611">
        <v>11106</v>
      </c>
    </row>
    <row r="274" spans="1:7">
      <c r="A274" s="233" t="s">
        <v>7547</v>
      </c>
      <c r="B274" t="s">
        <v>6853</v>
      </c>
      <c r="C274" s="600">
        <v>316665</v>
      </c>
      <c r="D274" s="600">
        <v>402</v>
      </c>
      <c r="E274" s="602">
        <v>0</v>
      </c>
      <c r="F274" s="603">
        <v>0</v>
      </c>
      <c r="G274" s="611">
        <v>0</v>
      </c>
    </row>
    <row r="275" spans="1:7">
      <c r="A275" s="233" t="s">
        <v>7547</v>
      </c>
      <c r="B275" t="s">
        <v>6854</v>
      </c>
      <c r="C275" s="600">
        <v>442635</v>
      </c>
      <c r="D275" s="600">
        <v>199</v>
      </c>
      <c r="E275" s="602">
        <v>0</v>
      </c>
      <c r="F275" s="603">
        <v>0</v>
      </c>
      <c r="G275" s="611">
        <v>17</v>
      </c>
    </row>
    <row r="276" spans="1:7">
      <c r="A276" s="233" t="s">
        <v>7547</v>
      </c>
      <c r="B276" t="s">
        <v>6855</v>
      </c>
      <c r="C276" s="600">
        <v>352300</v>
      </c>
      <c r="D276" s="600">
        <v>309</v>
      </c>
      <c r="E276" s="602">
        <v>0</v>
      </c>
      <c r="F276" s="603">
        <v>0</v>
      </c>
      <c r="G276" s="611">
        <v>80</v>
      </c>
    </row>
    <row r="277" spans="1:7">
      <c r="A277" s="233">
        <v>88</v>
      </c>
      <c r="B277" t="s">
        <v>5638</v>
      </c>
      <c r="C277" s="600">
        <v>221504</v>
      </c>
      <c r="D277" s="600">
        <v>174</v>
      </c>
      <c r="E277" s="600">
        <v>221504</v>
      </c>
      <c r="F277" s="601">
        <v>174</v>
      </c>
      <c r="G277" s="610">
        <v>274</v>
      </c>
    </row>
    <row r="278" spans="1:7">
      <c r="A278" s="233">
        <v>163</v>
      </c>
      <c r="B278" t="s">
        <v>5708</v>
      </c>
      <c r="C278" s="604">
        <v>749268</v>
      </c>
      <c r="D278" s="600">
        <v>186</v>
      </c>
      <c r="E278" s="604">
        <v>749268</v>
      </c>
      <c r="F278" s="601">
        <v>186</v>
      </c>
      <c r="G278" s="610">
        <v>1463</v>
      </c>
    </row>
    <row r="279" spans="1:7">
      <c r="A279" s="233">
        <v>177</v>
      </c>
      <c r="B279" t="s">
        <v>5723</v>
      </c>
      <c r="C279" s="600">
        <v>177685</v>
      </c>
      <c r="D279" s="600">
        <v>321</v>
      </c>
      <c r="E279" s="600">
        <v>177685</v>
      </c>
      <c r="F279" s="601">
        <v>321</v>
      </c>
      <c r="G279" s="610">
        <v>5093</v>
      </c>
    </row>
    <row r="280" spans="1:7">
      <c r="A280" s="233">
        <v>240</v>
      </c>
      <c r="B280" t="s">
        <v>5957</v>
      </c>
      <c r="C280" s="600">
        <v>6107</v>
      </c>
      <c r="D280" s="600">
        <v>347</v>
      </c>
      <c r="E280" s="600">
        <v>6107</v>
      </c>
      <c r="F280" s="601">
        <v>347</v>
      </c>
      <c r="G280" s="610">
        <v>1901</v>
      </c>
    </row>
    <row r="281" spans="1:7">
      <c r="A281" s="233">
        <v>242</v>
      </c>
      <c r="B281" t="s">
        <v>5781</v>
      </c>
      <c r="C281" s="600">
        <v>407241</v>
      </c>
      <c r="D281" s="600">
        <v>170</v>
      </c>
      <c r="E281" s="600">
        <v>407241</v>
      </c>
      <c r="F281" s="601">
        <v>170</v>
      </c>
      <c r="G281" s="610">
        <v>13</v>
      </c>
    </row>
    <row r="282" spans="1:7">
      <c r="A282" s="233">
        <v>235</v>
      </c>
      <c r="B282" t="s">
        <v>5777</v>
      </c>
      <c r="C282" s="600">
        <v>0</v>
      </c>
      <c r="D282" s="600">
        <v>0</v>
      </c>
      <c r="E282" s="600">
        <v>0</v>
      </c>
      <c r="F282" s="601">
        <v>0</v>
      </c>
      <c r="G282" s="610">
        <v>0</v>
      </c>
    </row>
    <row r="283" spans="1:7">
      <c r="A283" s="233">
        <v>155</v>
      </c>
      <c r="B283" t="s">
        <v>5778</v>
      </c>
      <c r="C283" s="600">
        <v>827891</v>
      </c>
      <c r="D283" s="600">
        <v>292</v>
      </c>
      <c r="E283" s="600">
        <v>827891</v>
      </c>
      <c r="F283" s="601">
        <v>292</v>
      </c>
      <c r="G283" s="610">
        <v>7744</v>
      </c>
    </row>
    <row r="284" spans="1:7">
      <c r="A284" s="233">
        <v>236</v>
      </c>
      <c r="B284" t="s">
        <v>5779</v>
      </c>
      <c r="C284" s="600">
        <v>471507</v>
      </c>
      <c r="D284" s="600">
        <v>851</v>
      </c>
      <c r="E284" s="600">
        <v>471507</v>
      </c>
      <c r="F284" s="601">
        <v>851</v>
      </c>
      <c r="G284" s="610">
        <v>99889</v>
      </c>
    </row>
    <row r="285" spans="1:7">
      <c r="A285" s="233">
        <v>237</v>
      </c>
      <c r="B285" t="s">
        <v>5780</v>
      </c>
      <c r="C285" s="600">
        <v>1396299</v>
      </c>
      <c r="D285" s="600">
        <v>452</v>
      </c>
      <c r="E285" s="600">
        <v>1396299</v>
      </c>
      <c r="F285" s="601">
        <v>452</v>
      </c>
      <c r="G285" s="610">
        <v>424969</v>
      </c>
    </row>
    <row r="286" spans="1:7">
      <c r="A286" s="233">
        <v>249</v>
      </c>
      <c r="B286" t="s">
        <v>5784</v>
      </c>
      <c r="C286" s="600">
        <v>544416</v>
      </c>
      <c r="D286" s="600">
        <v>1145</v>
      </c>
      <c r="E286" s="600">
        <v>544416</v>
      </c>
      <c r="F286" s="601">
        <v>1145</v>
      </c>
      <c r="G286" s="610">
        <v>59021</v>
      </c>
    </row>
    <row r="287" spans="1:7">
      <c r="A287" s="233">
        <v>251</v>
      </c>
      <c r="B287" t="s">
        <v>5786</v>
      </c>
      <c r="C287" s="600">
        <v>0</v>
      </c>
      <c r="D287" s="600">
        <v>0</v>
      </c>
      <c r="E287" s="600">
        <v>0</v>
      </c>
      <c r="F287" s="601">
        <v>0</v>
      </c>
      <c r="G287" s="610">
        <v>0</v>
      </c>
    </row>
    <row r="288" spans="1:7">
      <c r="A288" s="233">
        <v>181</v>
      </c>
      <c r="B288" t="s">
        <v>5787</v>
      </c>
      <c r="C288" s="600">
        <v>0</v>
      </c>
      <c r="D288" s="600">
        <v>0</v>
      </c>
      <c r="E288" s="600">
        <v>0</v>
      </c>
      <c r="F288" s="601">
        <v>0</v>
      </c>
      <c r="G288" s="610">
        <v>0</v>
      </c>
    </row>
    <row r="289" spans="1:7" ht="13">
      <c r="A289" s="233">
        <v>5001</v>
      </c>
      <c r="B289" s="313" t="s">
        <v>2966</v>
      </c>
      <c r="C289" s="25" t="s">
        <v>6189</v>
      </c>
      <c r="D289" s="25" t="s">
        <v>6189</v>
      </c>
      <c r="E289" s="337">
        <f>SUM(E8:E288)</f>
        <v>141772494</v>
      </c>
      <c r="F289" s="25">
        <f>SUMPRODUCT(E8:E288,F8:F288)/SUM(E8:E288)</f>
        <v>503.83624634550057</v>
      </c>
      <c r="G289" s="331">
        <f>SUMIF(F8:F288,"&gt;0",G8:G288)</f>
        <v>25217636.5</v>
      </c>
    </row>
    <row r="290" spans="1:7">
      <c r="A290" s="233"/>
      <c r="B290"/>
      <c r="C290" s="25"/>
      <c r="D290"/>
      <c r="E290" s="25"/>
      <c r="F290"/>
      <c r="G290" s="4"/>
    </row>
    <row r="291" spans="1:7">
      <c r="A291" s="233">
        <v>351</v>
      </c>
      <c r="B291" s="423" t="s">
        <v>5594</v>
      </c>
      <c r="C291" s="423" t="s">
        <v>6189</v>
      </c>
      <c r="D291" s="423" t="s">
        <v>6189</v>
      </c>
      <c r="E291" s="424">
        <v>3437158</v>
      </c>
      <c r="F291" s="426">
        <v>639.04344141293473</v>
      </c>
      <c r="G291" s="425">
        <v>1176970</v>
      </c>
    </row>
    <row r="292" spans="1:7">
      <c r="A292" s="233">
        <v>62</v>
      </c>
      <c r="B292" s="310" t="s">
        <v>5620</v>
      </c>
      <c r="C292" s="334">
        <f>C320</f>
        <v>0</v>
      </c>
      <c r="D292" s="334">
        <f>D320</f>
        <v>0</v>
      </c>
      <c r="E292" s="334">
        <f>E320</f>
        <v>78703</v>
      </c>
      <c r="F292" s="334">
        <f>F320</f>
        <v>1232</v>
      </c>
      <c r="G292" s="336">
        <f>G320</f>
        <v>56964</v>
      </c>
    </row>
    <row r="293" spans="1:7">
      <c r="A293" s="404">
        <v>206</v>
      </c>
      <c r="B293" t="s">
        <v>6191</v>
      </c>
      <c r="C293" s="25">
        <v>88067</v>
      </c>
      <c r="D293" s="25">
        <v>743</v>
      </c>
      <c r="E293" s="25">
        <v>88067</v>
      </c>
      <c r="F293" s="25">
        <v>743</v>
      </c>
      <c r="G293" s="331">
        <v>13047</v>
      </c>
    </row>
    <row r="294" spans="1:7">
      <c r="A294" s="233">
        <v>228</v>
      </c>
      <c r="B294" s="311" t="s">
        <v>5776</v>
      </c>
      <c r="C294" s="339">
        <f>C298</f>
        <v>0</v>
      </c>
      <c r="D294" s="339">
        <f>D298</f>
        <v>0</v>
      </c>
      <c r="E294" s="339">
        <f t="shared" ref="E294:G294" si="0">E298</f>
        <v>8340749</v>
      </c>
      <c r="F294" s="339">
        <f t="shared" si="0"/>
        <v>509.98307010557443</v>
      </c>
      <c r="G294" s="407">
        <f t="shared" si="0"/>
        <v>4250381</v>
      </c>
    </row>
    <row r="295" spans="1:7">
      <c r="A295" s="235">
        <v>248</v>
      </c>
      <c r="B295" s="324" t="s">
        <v>5785</v>
      </c>
      <c r="C295" s="340">
        <f>C312</f>
        <v>0</v>
      </c>
      <c r="D295" s="340">
        <f t="shared" ref="D295:G295" si="1">D312</f>
        <v>0</v>
      </c>
      <c r="E295" s="340">
        <f t="shared" si="1"/>
        <v>63989</v>
      </c>
      <c r="F295" s="340">
        <f t="shared" si="1"/>
        <v>473.57358295957118</v>
      </c>
      <c r="G295" s="408">
        <f t="shared" si="1"/>
        <v>45811</v>
      </c>
    </row>
    <row r="298" spans="1:7">
      <c r="A298" s="329">
        <v>228</v>
      </c>
      <c r="B298" s="330" t="s">
        <v>5776</v>
      </c>
      <c r="C298" s="338">
        <v>0</v>
      </c>
      <c r="D298" s="338">
        <v>0</v>
      </c>
      <c r="E298" s="338">
        <f>SUM(E299:E310)</f>
        <v>8340749</v>
      </c>
      <c r="F298" s="338">
        <f>SUMPRODUCT(E299:E310,D299:D310)/SUM(E299:E310)</f>
        <v>509.98307010557443</v>
      </c>
      <c r="G298" s="338">
        <f>SUM(G299:G310)</f>
        <v>4250381</v>
      </c>
    </row>
    <row r="299" spans="1:7">
      <c r="A299" s="233">
        <v>1</v>
      </c>
      <c r="B299" t="s">
        <v>5561</v>
      </c>
      <c r="C299">
        <f t="shared" ref="C299:C310" si="2">VLOOKUP($B299,$B$8:$F$289,2,FALSE)</f>
        <v>0</v>
      </c>
      <c r="D299">
        <f t="shared" ref="D299:D310" si="3">VLOOKUP($B299,$B$8:$F$289,3,FALSE)</f>
        <v>0</v>
      </c>
      <c r="E299">
        <f t="shared" ref="E299:E310" si="4">VLOOKUP($B299,$B$8:$F$289,4,FALSE)</f>
        <v>0</v>
      </c>
      <c r="F299" s="25">
        <v>0</v>
      </c>
      <c r="G299" s="89">
        <f t="shared" ref="G299:G310" si="5">VLOOKUP($B299,$B$8:$G$289,6,FALSE)</f>
        <v>0</v>
      </c>
    </row>
    <row r="300" spans="1:7">
      <c r="A300" s="233">
        <v>52</v>
      </c>
      <c r="B300" t="s">
        <v>5565</v>
      </c>
      <c r="C300">
        <f t="shared" si="2"/>
        <v>0</v>
      </c>
      <c r="D300">
        <f t="shared" si="3"/>
        <v>0</v>
      </c>
      <c r="E300">
        <f t="shared" si="4"/>
        <v>0</v>
      </c>
      <c r="F300" s="25">
        <v>0</v>
      </c>
      <c r="G300" s="89">
        <f t="shared" si="5"/>
        <v>0</v>
      </c>
    </row>
    <row r="301" spans="1:7">
      <c r="A301" s="233">
        <v>57</v>
      </c>
      <c r="B301" t="s">
        <v>5570</v>
      </c>
      <c r="C301">
        <f t="shared" si="2"/>
        <v>0</v>
      </c>
      <c r="D301">
        <f t="shared" si="3"/>
        <v>0</v>
      </c>
      <c r="E301">
        <f t="shared" si="4"/>
        <v>0</v>
      </c>
      <c r="F301" s="25">
        <v>0</v>
      </c>
      <c r="G301" s="89">
        <f t="shared" si="5"/>
        <v>0</v>
      </c>
    </row>
    <row r="302" spans="1:7">
      <c r="A302" s="233">
        <v>63</v>
      </c>
      <c r="B302" t="s">
        <v>5618</v>
      </c>
      <c r="C302">
        <f t="shared" si="2"/>
        <v>39940</v>
      </c>
      <c r="D302">
        <f t="shared" si="3"/>
        <v>2156</v>
      </c>
      <c r="E302">
        <f t="shared" si="4"/>
        <v>39940</v>
      </c>
      <c r="F302" s="25">
        <v>0</v>
      </c>
      <c r="G302" s="89">
        <f t="shared" si="5"/>
        <v>35689</v>
      </c>
    </row>
    <row r="303" spans="1:7">
      <c r="A303" s="233">
        <v>73</v>
      </c>
      <c r="B303" t="s">
        <v>5630</v>
      </c>
      <c r="C303">
        <f t="shared" si="2"/>
        <v>22765</v>
      </c>
      <c r="D303">
        <f t="shared" si="3"/>
        <v>1057</v>
      </c>
      <c r="E303">
        <f t="shared" si="4"/>
        <v>22765</v>
      </c>
      <c r="F303" s="25">
        <v>0</v>
      </c>
      <c r="G303" s="89">
        <f t="shared" si="5"/>
        <v>2467</v>
      </c>
    </row>
    <row r="304" spans="1:7">
      <c r="A304" s="233">
        <v>108</v>
      </c>
      <c r="B304" t="s">
        <v>5659</v>
      </c>
      <c r="C304">
        <f t="shared" si="2"/>
        <v>0</v>
      </c>
      <c r="D304">
        <f t="shared" si="3"/>
        <v>0</v>
      </c>
      <c r="E304">
        <f t="shared" si="4"/>
        <v>0</v>
      </c>
      <c r="F304" s="25">
        <v>0</v>
      </c>
      <c r="G304" s="89">
        <f t="shared" si="5"/>
        <v>0</v>
      </c>
    </row>
    <row r="305" spans="1:7">
      <c r="A305" s="233">
        <v>119</v>
      </c>
      <c r="B305" t="s">
        <v>5667</v>
      </c>
      <c r="C305">
        <f t="shared" si="2"/>
        <v>32021</v>
      </c>
      <c r="D305">
        <f t="shared" si="3"/>
        <v>1941</v>
      </c>
      <c r="E305">
        <f t="shared" si="4"/>
        <v>32021</v>
      </c>
      <c r="F305" s="25">
        <v>0</v>
      </c>
      <c r="G305" s="89">
        <f t="shared" si="5"/>
        <v>27990</v>
      </c>
    </row>
    <row r="306" spans="1:7">
      <c r="A306" s="233">
        <v>126</v>
      </c>
      <c r="B306" t="s">
        <v>5673</v>
      </c>
      <c r="C306">
        <f t="shared" si="2"/>
        <v>6104</v>
      </c>
      <c r="D306">
        <f t="shared" si="3"/>
        <v>2006</v>
      </c>
      <c r="E306">
        <f t="shared" si="4"/>
        <v>6104</v>
      </c>
      <c r="F306" s="25">
        <v>0</v>
      </c>
      <c r="G306" s="89">
        <f t="shared" si="5"/>
        <v>5871</v>
      </c>
    </row>
    <row r="307" spans="1:7">
      <c r="A307" s="233">
        <v>146</v>
      </c>
      <c r="B307" t="s">
        <v>5689</v>
      </c>
      <c r="C307">
        <f t="shared" si="2"/>
        <v>0</v>
      </c>
      <c r="D307">
        <f t="shared" si="3"/>
        <v>0</v>
      </c>
      <c r="E307">
        <f t="shared" si="4"/>
        <v>0</v>
      </c>
      <c r="F307" s="25">
        <v>0</v>
      </c>
      <c r="G307" s="89">
        <f t="shared" si="5"/>
        <v>0</v>
      </c>
    </row>
    <row r="308" spans="1:7">
      <c r="A308" s="233">
        <v>185</v>
      </c>
      <c r="B308" t="s">
        <v>5727</v>
      </c>
      <c r="C308">
        <f t="shared" si="2"/>
        <v>8095881</v>
      </c>
      <c r="D308">
        <f t="shared" si="3"/>
        <v>484</v>
      </c>
      <c r="E308">
        <f t="shared" si="4"/>
        <v>8095881</v>
      </c>
      <c r="F308" s="25">
        <v>0</v>
      </c>
      <c r="G308" s="89">
        <f t="shared" si="5"/>
        <v>4099812</v>
      </c>
    </row>
    <row r="309" spans="1:7">
      <c r="A309" s="233">
        <v>230</v>
      </c>
      <c r="B309" t="s">
        <v>5771</v>
      </c>
      <c r="C309">
        <f t="shared" si="2"/>
        <v>144038</v>
      </c>
      <c r="D309">
        <f t="shared" si="3"/>
        <v>1046</v>
      </c>
      <c r="E309">
        <f t="shared" si="4"/>
        <v>144038</v>
      </c>
      <c r="F309" s="25">
        <v>0</v>
      </c>
      <c r="G309" s="89">
        <f t="shared" si="5"/>
        <v>78552</v>
      </c>
    </row>
    <row r="310" spans="1:7">
      <c r="A310" s="233">
        <v>235</v>
      </c>
      <c r="B310" t="s">
        <v>5777</v>
      </c>
      <c r="C310">
        <f t="shared" si="2"/>
        <v>0</v>
      </c>
      <c r="D310">
        <f t="shared" si="3"/>
        <v>0</v>
      </c>
      <c r="E310">
        <f t="shared" si="4"/>
        <v>0</v>
      </c>
      <c r="F310" s="25">
        <v>0</v>
      </c>
      <c r="G310" s="89">
        <f t="shared" si="5"/>
        <v>0</v>
      </c>
    </row>
    <row r="311" spans="1:7">
      <c r="A311" s="233"/>
      <c r="B311" s="13"/>
      <c r="C311"/>
      <c r="D311"/>
      <c r="E311"/>
      <c r="F311"/>
      <c r="G311" s="323"/>
    </row>
    <row r="312" spans="1:7">
      <c r="A312" s="326">
        <v>248</v>
      </c>
      <c r="B312" s="312" t="s">
        <v>5785</v>
      </c>
      <c r="C312" s="332">
        <v>0</v>
      </c>
      <c r="D312" s="332">
        <v>0</v>
      </c>
      <c r="E312" s="332">
        <f>SUM(E313:E318)</f>
        <v>63989</v>
      </c>
      <c r="F312" s="332">
        <f>SUMPRODUCT(E313:E318,D313:D318)/SUM(E313:E318)</f>
        <v>473.57358295957118</v>
      </c>
      <c r="G312" s="333">
        <f>SUM(G313:G318)</f>
        <v>45811</v>
      </c>
    </row>
    <row r="313" spans="1:7">
      <c r="A313" s="233">
        <v>80</v>
      </c>
      <c r="B313" t="s">
        <v>5577</v>
      </c>
      <c r="C313" s="25">
        <f>VLOOKUP($B313,$B$8:$F$289,2,FALSE)</f>
        <v>14</v>
      </c>
      <c r="D313" s="25">
        <f>VLOOKUP($B313,$B$8:$F$289,3,FALSE)</f>
        <v>390</v>
      </c>
      <c r="E313" s="25">
        <f>VLOOKUP($B313,$B$8:$F$289,4,FALSE)</f>
        <v>14</v>
      </c>
      <c r="F313" s="25">
        <v>0</v>
      </c>
      <c r="G313" s="23">
        <f>VLOOKUP($B313,$B$8:$G$289,6,FALSE)</f>
        <v>14</v>
      </c>
    </row>
    <row r="314" spans="1:7">
      <c r="A314" s="233">
        <v>98</v>
      </c>
      <c r="B314" t="s">
        <v>5604</v>
      </c>
      <c r="C314" s="25">
        <f>VLOOKUP($B314,$B$8:$F$289,2,FALSE)</f>
        <v>56374</v>
      </c>
      <c r="D314" s="25">
        <f>VLOOKUP($B314,$B$8:$F$289,3,FALSE)</f>
        <v>465</v>
      </c>
      <c r="E314" s="25">
        <f>VLOOKUP($B314,$B$8:$F$289,4,FALSE)</f>
        <v>56374</v>
      </c>
      <c r="F314" s="25">
        <v>0</v>
      </c>
      <c r="G314" s="23">
        <f>VLOOKUP($B314,$B$8:$G$289,6,FALSE)</f>
        <v>42019</v>
      </c>
    </row>
    <row r="315" spans="1:7">
      <c r="A315" s="233">
        <v>154</v>
      </c>
      <c r="B315" t="s">
        <v>5675</v>
      </c>
      <c r="C315" s="25">
        <v>0</v>
      </c>
      <c r="D315" s="25">
        <v>0</v>
      </c>
      <c r="E315" s="25">
        <v>0</v>
      </c>
      <c r="F315" s="25">
        <v>0</v>
      </c>
      <c r="G315" s="23">
        <v>0</v>
      </c>
    </row>
    <row r="316" spans="1:7">
      <c r="A316" s="233">
        <v>273</v>
      </c>
      <c r="B316" t="s">
        <v>5691</v>
      </c>
      <c r="C316" s="25">
        <f>VLOOKUP($B316,$B$8:$F$289,2,FALSE)</f>
        <v>7415</v>
      </c>
      <c r="D316" s="25">
        <f>VLOOKUP($B316,$B$8:$F$289,3,FALSE)</f>
        <v>538</v>
      </c>
      <c r="E316" s="25">
        <f>VLOOKUP($B316,$B$8:$F$289,4,FALSE)</f>
        <v>7415</v>
      </c>
      <c r="F316" s="25">
        <v>0</v>
      </c>
      <c r="G316" s="23">
        <f>VLOOKUP($B316,$B$8:$G$289,6,FALSE)</f>
        <v>3620</v>
      </c>
    </row>
    <row r="317" spans="1:7">
      <c r="A317" s="233">
        <v>272</v>
      </c>
      <c r="B317" t="s">
        <v>5739</v>
      </c>
      <c r="C317" s="25">
        <v>0</v>
      </c>
      <c r="D317" s="25">
        <v>0</v>
      </c>
      <c r="E317" s="25">
        <v>0</v>
      </c>
      <c r="F317" s="25">
        <v>0</v>
      </c>
      <c r="G317" s="23">
        <v>0</v>
      </c>
    </row>
    <row r="318" spans="1:7">
      <c r="A318" s="233">
        <v>198</v>
      </c>
      <c r="B318" t="s">
        <v>5745</v>
      </c>
      <c r="C318" s="25">
        <f>VLOOKUP($B318,$B$8:$F$289,2,FALSE)</f>
        <v>186</v>
      </c>
      <c r="D318" s="25">
        <f>VLOOKUP($B318,$B$8:$F$289,3,FALSE)</f>
        <v>510</v>
      </c>
      <c r="E318" s="25">
        <f>VLOOKUP($B318,$B$8:$F$289,4,FALSE)</f>
        <v>186</v>
      </c>
      <c r="F318" s="25">
        <v>0</v>
      </c>
      <c r="G318" s="23">
        <f>VLOOKUP($B318,$B$8:$G$289,6,FALSE)</f>
        <v>158</v>
      </c>
    </row>
    <row r="319" spans="1:7">
      <c r="A319" s="233"/>
      <c r="B319" s="13"/>
      <c r="C319"/>
      <c r="D319"/>
      <c r="E319"/>
      <c r="F319"/>
      <c r="G319" s="323"/>
    </row>
    <row r="320" spans="1:7">
      <c r="A320" s="327">
        <v>62</v>
      </c>
      <c r="B320" s="310" t="s">
        <v>5620</v>
      </c>
      <c r="C320" s="334">
        <v>0</v>
      </c>
      <c r="D320" s="334">
        <v>0</v>
      </c>
      <c r="E320" s="334">
        <f>SUM(E321:E322)</f>
        <v>78703</v>
      </c>
      <c r="F320" s="334">
        <f>SUMPRODUCT(E321:E322,F321:F322)/E320</f>
        <v>1232</v>
      </c>
      <c r="G320" s="335">
        <f t="shared" ref="G320" si="6">SUM(G321:G322)</f>
        <v>56964</v>
      </c>
    </row>
    <row r="321" spans="1:7">
      <c r="A321" s="233">
        <v>178</v>
      </c>
      <c r="B321" t="s">
        <v>5617</v>
      </c>
      <c r="C321" s="25">
        <f>VLOOKUP($B321,$B$8:$F$289,2,FALSE)</f>
        <v>78703</v>
      </c>
      <c r="D321" s="25">
        <f>VLOOKUP($B321,$B$8:$F$289,3,FALSE)</f>
        <v>1232</v>
      </c>
      <c r="E321" s="25">
        <f>VLOOKUP($B321,$B$8:$F$289,4,FALSE)</f>
        <v>78703</v>
      </c>
      <c r="F321" s="25">
        <f>VLOOKUP($B321,$B$8:$F$289,5,FALSE)</f>
        <v>1232</v>
      </c>
      <c r="G321" s="23">
        <f>VLOOKUP($B321,$B$8:$G$289,6,FALSE)</f>
        <v>56964</v>
      </c>
    </row>
    <row r="322" spans="1:7">
      <c r="A322" s="233">
        <v>238</v>
      </c>
      <c r="B322" t="s">
        <v>5619</v>
      </c>
      <c r="C322">
        <f>VLOOKUP($B322,$B$8:$F$289,2,FALSE)</f>
        <v>0</v>
      </c>
      <c r="D322">
        <f>VLOOKUP($B322,$B$8:$F$289,3,FALSE)</f>
        <v>0</v>
      </c>
      <c r="E322">
        <f>VLOOKUP($B322,$B$8:$F$289,4,FALSE)</f>
        <v>0</v>
      </c>
      <c r="F322">
        <f>VLOOKUP($B322,$B$8:$F$289,5,FALSE)</f>
        <v>0</v>
      </c>
      <c r="G322" s="89">
        <f>VLOOKUP($B322,$B$8:$G$289,6,FALSE)</f>
        <v>0</v>
      </c>
    </row>
    <row r="323" spans="1:7">
      <c r="A323" s="233"/>
      <c r="B323"/>
      <c r="C323"/>
      <c r="D323"/>
      <c r="E323"/>
      <c r="F323"/>
      <c r="G323" s="206"/>
    </row>
    <row r="324" spans="1:7">
      <c r="A324" s="233"/>
      <c r="B324"/>
      <c r="C324"/>
      <c r="D324"/>
      <c r="E324"/>
      <c r="F324"/>
      <c r="G324" s="421"/>
    </row>
    <row r="325" spans="1:7">
      <c r="A325" s="422">
        <v>351</v>
      </c>
      <c r="B325" s="423" t="s">
        <v>5594</v>
      </c>
      <c r="C325" s="423" t="s">
        <v>6189</v>
      </c>
      <c r="D325" s="423" t="s">
        <v>6189</v>
      </c>
      <c r="E325" s="424">
        <f>SUM(E326:E329)</f>
        <v>3437158</v>
      </c>
      <c r="F325" s="424">
        <f>SUMPRODUCT(E326:E329,F326:F329)/E325</f>
        <v>639.04344141293473</v>
      </c>
      <c r="G325" s="425">
        <f>SUM(G326:G329)</f>
        <v>1176970</v>
      </c>
    </row>
    <row r="326" spans="1:7">
      <c r="A326" s="233">
        <v>41</v>
      </c>
      <c r="B326" s="404" t="s">
        <v>7553</v>
      </c>
      <c r="C326" s="31">
        <v>2285872</v>
      </c>
      <c r="D326" s="25">
        <v>755</v>
      </c>
      <c r="E326" s="31">
        <v>2285872</v>
      </c>
      <c r="F326" s="25">
        <v>755</v>
      </c>
      <c r="G326" s="331">
        <f>1013154</f>
        <v>1013154</v>
      </c>
    </row>
    <row r="327" spans="1:7">
      <c r="A327" s="233">
        <v>96</v>
      </c>
      <c r="B327" s="404" t="s">
        <v>7555</v>
      </c>
      <c r="C327" s="31">
        <v>2097</v>
      </c>
      <c r="D327" s="25">
        <v>1402</v>
      </c>
      <c r="E327" s="31">
        <v>2097</v>
      </c>
      <c r="F327" s="25">
        <v>1402</v>
      </c>
      <c r="G327" s="341">
        <v>1473</v>
      </c>
    </row>
    <row r="328" spans="1:7">
      <c r="A328" s="233">
        <v>214</v>
      </c>
      <c r="B328" t="s">
        <v>5756</v>
      </c>
      <c r="C328" s="31">
        <v>1149189</v>
      </c>
      <c r="D328" s="25">
        <v>407</v>
      </c>
      <c r="E328" s="31">
        <v>1149189</v>
      </c>
      <c r="F328" s="25">
        <v>407</v>
      </c>
      <c r="G328" s="341">
        <v>162343</v>
      </c>
    </row>
    <row r="329" spans="1:7">
      <c r="A329" s="404">
        <v>128</v>
      </c>
      <c r="B329" s="404" t="s">
        <v>7556</v>
      </c>
      <c r="C329"/>
      <c r="D329"/>
      <c r="E329"/>
      <c r="F329"/>
      <c r="G329" s="421"/>
    </row>
    <row r="330" spans="1:7">
      <c r="A330" s="233"/>
      <c r="B330"/>
      <c r="C330"/>
      <c r="D330"/>
      <c r="E330"/>
      <c r="F330"/>
      <c r="G330" s="421"/>
    </row>
    <row r="331" spans="1:7">
      <c r="A331" s="233"/>
      <c r="B331"/>
      <c r="C331"/>
      <c r="D331"/>
      <c r="E331"/>
      <c r="F331"/>
      <c r="G331" s="421"/>
    </row>
    <row r="332" spans="1:7">
      <c r="A332" s="233"/>
      <c r="B332"/>
      <c r="C332"/>
      <c r="D332"/>
      <c r="E332"/>
      <c r="F332"/>
      <c r="G332" s="421"/>
    </row>
    <row r="333" spans="1:7">
      <c r="A333" s="233"/>
      <c r="B333"/>
      <c r="C333"/>
      <c r="D333"/>
      <c r="E333"/>
      <c r="F333"/>
      <c r="G333" s="421"/>
    </row>
    <row r="334" spans="1:7">
      <c r="A334" s="1213" t="s">
        <v>6856</v>
      </c>
      <c r="B334" s="1213"/>
      <c r="C334" s="1213"/>
      <c r="D334" s="1213"/>
      <c r="E334" s="1213"/>
      <c r="F334" s="1213"/>
      <c r="G334" s="1214"/>
    </row>
    <row r="335" spans="1:7">
      <c r="A335" s="1215"/>
      <c r="B335" s="1215"/>
      <c r="C335" s="1215"/>
      <c r="D335" s="1215"/>
      <c r="E335" s="1215"/>
      <c r="F335" s="1215"/>
      <c r="G335" s="1216"/>
    </row>
    <row r="336" spans="1:7">
      <c r="A336" s="1215"/>
      <c r="B336" s="1215"/>
      <c r="C336" s="1215"/>
      <c r="D336" s="1215"/>
      <c r="E336" s="1215"/>
      <c r="F336" s="1215"/>
      <c r="G336" s="1216"/>
    </row>
    <row r="337" spans="1:7" ht="13">
      <c r="A337" s="233" t="e">
        <v>#N/A</v>
      </c>
      <c r="B337" s="317" t="s">
        <v>5971</v>
      </c>
      <c r="C337" s="313" t="s">
        <v>6857</v>
      </c>
      <c r="D337" s="75"/>
      <c r="E337" s="75"/>
      <c r="F337" s="75"/>
      <c r="G337" s="75"/>
    </row>
    <row r="338" spans="1:7">
      <c r="A338" s="233" t="e">
        <v>#N/A</v>
      </c>
      <c r="B338" s="317" t="s">
        <v>5972</v>
      </c>
      <c r="C338" s="318" t="s">
        <v>6858</v>
      </c>
      <c r="D338" s="319"/>
      <c r="E338" s="75"/>
      <c r="F338" s="75"/>
      <c r="G338" s="75"/>
    </row>
    <row r="339" spans="1:7">
      <c r="A339" s="233" t="e">
        <v>#N/A</v>
      </c>
      <c r="B339" s="317" t="s">
        <v>5973</v>
      </c>
      <c r="C339" s="314" t="s">
        <v>6859</v>
      </c>
      <c r="D339" s="320"/>
      <c r="E339" s="75"/>
      <c r="F339" s="75"/>
      <c r="G339" s="75"/>
    </row>
    <row r="340" spans="1:7">
      <c r="A340" s="233" t="e">
        <v>#N/A</v>
      </c>
      <c r="B340" s="317" t="s">
        <v>5974</v>
      </c>
      <c r="C340" s="315" t="s">
        <v>6860</v>
      </c>
      <c r="D340" s="321"/>
      <c r="E340" s="75"/>
      <c r="F340" s="75"/>
      <c r="G340" s="75"/>
    </row>
    <row r="341" spans="1:7">
      <c r="A341" s="233" t="e">
        <v>#N/A</v>
      </c>
      <c r="B341" s="317" t="s">
        <v>5975</v>
      </c>
      <c r="C341" s="316" t="s">
        <v>6861</v>
      </c>
      <c r="D341" s="322"/>
      <c r="E341" s="75"/>
      <c r="F341" s="75"/>
      <c r="G341" s="75"/>
    </row>
    <row r="342" spans="1:7">
      <c r="A342" s="233" t="e">
        <v>#N/A</v>
      </c>
      <c r="B342" s="317" t="s">
        <v>5976</v>
      </c>
      <c r="C342" s="423" t="s">
        <v>7557</v>
      </c>
      <c r="D342" s="423"/>
      <c r="E342" s="75"/>
      <c r="F342" s="75"/>
      <c r="G342" s="75"/>
    </row>
    <row r="343" spans="1:7">
      <c r="A343" s="233" t="e">
        <v>#N/A</v>
      </c>
      <c r="B343" s="317" t="s">
        <v>5977</v>
      </c>
      <c r="C343" s="75"/>
      <c r="D343" s="75"/>
      <c r="E343" s="75"/>
      <c r="F343" s="75"/>
      <c r="G343" s="75"/>
    </row>
    <row r="344" spans="1:7">
      <c r="A344" s="233">
        <v>256</v>
      </c>
      <c r="B344" s="318" t="s">
        <v>5674</v>
      </c>
      <c r="C344" s="75"/>
      <c r="D344" s="75"/>
      <c r="E344" s="75"/>
      <c r="F344" s="75"/>
      <c r="G344" s="75"/>
    </row>
    <row r="345" spans="1:7">
      <c r="A345" s="233">
        <v>154</v>
      </c>
      <c r="B345" s="318" t="s">
        <v>5675</v>
      </c>
      <c r="C345" s="75"/>
      <c r="D345" s="75"/>
      <c r="E345" s="75"/>
      <c r="F345" s="75"/>
      <c r="G345" s="75"/>
    </row>
    <row r="346" spans="1:7">
      <c r="A346" s="233">
        <v>128</v>
      </c>
      <c r="B346" s="318" t="s">
        <v>7556</v>
      </c>
      <c r="D346" s="75"/>
      <c r="E346" s="75"/>
      <c r="F346" s="75"/>
      <c r="G346" s="75"/>
    </row>
    <row r="347" spans="1:7">
      <c r="A347" s="233">
        <v>140</v>
      </c>
      <c r="B347" s="318" t="s">
        <v>5955</v>
      </c>
      <c r="C347" s="75"/>
      <c r="D347" s="75"/>
      <c r="E347" s="75"/>
      <c r="F347" s="75"/>
      <c r="G347" s="75"/>
    </row>
    <row r="348" spans="1:7">
      <c r="A348" s="233">
        <v>186</v>
      </c>
      <c r="B348" s="318" t="s">
        <v>5740</v>
      </c>
      <c r="C348" s="75"/>
      <c r="D348" s="75"/>
      <c r="E348" s="75"/>
      <c r="F348" s="75"/>
      <c r="G348" s="75"/>
    </row>
    <row r="349" spans="1:7">
      <c r="A349" s="233">
        <v>264</v>
      </c>
      <c r="B349" s="318" t="s">
        <v>5653</v>
      </c>
      <c r="C349" s="75"/>
      <c r="D349" s="75"/>
      <c r="E349" s="75"/>
      <c r="F349" s="75"/>
      <c r="G349" s="75"/>
    </row>
    <row r="350" spans="1:7">
      <c r="A350" s="233" t="e">
        <v>#N/A</v>
      </c>
      <c r="B350" s="317" t="s">
        <v>6862</v>
      </c>
      <c r="C350" s="75"/>
      <c r="D350" s="75"/>
      <c r="E350" s="75"/>
      <c r="F350" s="75"/>
      <c r="G350" s="75"/>
    </row>
    <row r="351" spans="1:7">
      <c r="A351" s="233"/>
      <c r="B351" s="317" t="s">
        <v>5978</v>
      </c>
      <c r="C351" s="75"/>
      <c r="D351" s="75"/>
      <c r="E351" s="75"/>
      <c r="F351" s="75"/>
      <c r="G351" s="75"/>
    </row>
    <row r="352" spans="1:7">
      <c r="A352" s="328"/>
      <c r="B352" s="75"/>
      <c r="C352" s="75"/>
      <c r="D352" s="75"/>
      <c r="E352" s="75"/>
      <c r="F352" s="75"/>
      <c r="G352" s="75"/>
    </row>
  </sheetData>
  <mergeCells count="8">
    <mergeCell ref="F5:F6"/>
    <mergeCell ref="A334:G336"/>
    <mergeCell ref="A5:A6"/>
    <mergeCell ref="B5:B6"/>
    <mergeCell ref="G5:G6"/>
    <mergeCell ref="C5:C6"/>
    <mergeCell ref="D5:D6"/>
    <mergeCell ref="E5:E6"/>
  </mergeCells>
  <hyperlinks>
    <hyperlink ref="D3" location="yf!A1" display="yf" xr:uid="{00000000-0004-0000-3F00-000000000000}"/>
    <hyperlink ref="E3" location="bioproductive_area!A1" display="bioproductive_area" xr:uid="{00000000-0004-0000-3F00-000001000000}"/>
  </hyperlinks>
  <pageMargins left="0.7" right="0.7" top="0.75" bottom="0.75" header="0.3" footer="0.3"/>
  <pageSetup orientation="portrait" r:id="rId1"/>
  <drawing r:id="rId2"/>
  <legacy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3">
    <tabColor theme="0"/>
    <pageSetUpPr autoPageBreaks="0"/>
  </sheetPr>
  <dimension ref="A1:E8"/>
  <sheetViews>
    <sheetView zoomScaleNormal="100" workbookViewId="0">
      <selection activeCell="A65536" sqref="A65536"/>
    </sheetView>
  </sheetViews>
  <sheetFormatPr defaultColWidth="9.1796875" defaultRowHeight="12.75" customHeight="1"/>
  <cols>
    <col min="1" max="1" width="50.7265625" style="253" customWidth="1"/>
    <col min="2" max="3" width="14.81640625" style="253" customWidth="1"/>
    <col min="4" max="5" width="21.7265625" style="253" customWidth="1"/>
    <col min="6" max="16384" width="9.1796875" style="36"/>
  </cols>
  <sheetData>
    <row r="1" spans="1:5" ht="12.75" customHeight="1">
      <c r="A1" s="36"/>
      <c r="B1" s="36"/>
      <c r="C1" s="36"/>
      <c r="D1" s="97"/>
      <c r="E1" s="97"/>
    </row>
    <row r="2" spans="1:5" ht="12.75" customHeight="1">
      <c r="A2" s="36"/>
      <c r="B2" s="37" t="s">
        <v>985</v>
      </c>
      <c r="C2" s="37"/>
      <c r="D2" s="96" t="s">
        <v>1745</v>
      </c>
      <c r="E2" s="36"/>
    </row>
    <row r="3" spans="1:5" ht="12.75" customHeight="1">
      <c r="A3" s="36"/>
      <c r="B3" s="37" t="s">
        <v>986</v>
      </c>
      <c r="C3" s="37"/>
      <c r="D3" s="97" t="s">
        <v>3237</v>
      </c>
      <c r="E3" s="36"/>
    </row>
    <row r="4" spans="1:5" ht="12.75" customHeight="1">
      <c r="A4" s="36"/>
      <c r="B4" s="36"/>
      <c r="C4" s="36"/>
      <c r="D4" s="36"/>
      <c r="E4" s="36"/>
    </row>
    <row r="5" spans="1:5" ht="13">
      <c r="A5" s="992" t="s">
        <v>1923</v>
      </c>
      <c r="B5" s="993" t="s">
        <v>4769</v>
      </c>
      <c r="C5" s="993"/>
      <c r="D5" s="993" t="s">
        <v>1924</v>
      </c>
      <c r="E5" s="994" t="s">
        <v>4068</v>
      </c>
    </row>
    <row r="6" spans="1:5" ht="12.5">
      <c r="A6" s="995" t="s">
        <v>542</v>
      </c>
      <c r="B6" s="996" t="s">
        <v>542</v>
      </c>
      <c r="C6" s="996"/>
      <c r="D6" s="996" t="s">
        <v>542</v>
      </c>
      <c r="E6" s="997" t="s">
        <v>1070</v>
      </c>
    </row>
    <row r="7" spans="1:5" ht="12.75" customHeight="1">
      <c r="A7" s="17" t="s">
        <v>281</v>
      </c>
      <c r="B7" s="18" t="str">
        <f>COUNTRY</f>
        <v>Canada</v>
      </c>
      <c r="C7" s="18"/>
      <c r="D7" s="18">
        <v>511</v>
      </c>
      <c r="E7" s="696">
        <v>37074.6015625</v>
      </c>
    </row>
    <row r="8" spans="1:5" ht="12.75" customHeight="1">
      <c r="A8" s="19" t="s">
        <v>281</v>
      </c>
      <c r="B8" s="20" t="s">
        <v>2966</v>
      </c>
      <c r="C8" s="20"/>
      <c r="D8" s="20">
        <v>511</v>
      </c>
      <c r="E8" s="695">
        <v>7631090</v>
      </c>
    </row>
  </sheetData>
  <phoneticPr fontId="5" type="noConversion"/>
  <hyperlinks>
    <hyperlink ref="D3" location="summary!A1" tooltip="Go to summary" display="summary" xr:uid="{00000000-0004-0000-4000-000000000000}"/>
  </hyperlinks>
  <pageMargins left="0.75" right="0.75" top="1" bottom="1" header="0.5" footer="0.5"/>
  <headerFooter alignWithMargins="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4">
    <tabColor theme="0"/>
  </sheetPr>
  <dimension ref="A1:O59"/>
  <sheetViews>
    <sheetView zoomScale="115" zoomScaleNormal="115" workbookViewId="0"/>
  </sheetViews>
  <sheetFormatPr defaultRowHeight="12.5"/>
  <cols>
    <col min="1" max="2" width="12" customWidth="1"/>
    <col min="3" max="3" width="14" customWidth="1"/>
    <col min="4" max="4" width="14.54296875" customWidth="1"/>
    <col min="5" max="5" width="13.1796875" customWidth="1"/>
    <col min="6" max="6" width="9.26953125" customWidth="1"/>
    <col min="7" max="7" width="11" customWidth="1"/>
    <col min="9" max="9" width="13.81640625" bestFit="1" customWidth="1"/>
    <col min="10" max="11" width="12" bestFit="1" customWidth="1"/>
    <col min="12" max="12" width="13.7265625" bestFit="1" customWidth="1"/>
    <col min="13" max="13" width="17.453125" bestFit="1" customWidth="1"/>
    <col min="14" max="14" width="14.1796875" bestFit="1" customWidth="1"/>
    <col min="15" max="15" width="13.7265625" bestFit="1" customWidth="1"/>
    <col min="16" max="16" width="12" bestFit="1" customWidth="1"/>
    <col min="17" max="17" width="11" bestFit="1" customWidth="1"/>
  </cols>
  <sheetData>
    <row r="1" spans="1:15">
      <c r="A1" s="13" t="s">
        <v>9252</v>
      </c>
      <c r="B1" t="s">
        <v>6026</v>
      </c>
      <c r="C1" t="s">
        <v>9254</v>
      </c>
      <c r="D1" t="s">
        <v>9255</v>
      </c>
      <c r="E1" t="s">
        <v>9256</v>
      </c>
      <c r="F1" s="13" t="s">
        <v>9253</v>
      </c>
      <c r="L1" s="857"/>
      <c r="M1" s="857"/>
      <c r="N1" s="857"/>
      <c r="O1" s="857"/>
    </row>
    <row r="2" spans="1:15">
      <c r="A2" s="813">
        <v>36</v>
      </c>
      <c r="B2" s="813">
        <v>1961</v>
      </c>
      <c r="C2" s="813">
        <v>7040448999</v>
      </c>
      <c r="D2" s="813">
        <v>9739064038</v>
      </c>
      <c r="E2" s="813">
        <v>3091843500</v>
      </c>
      <c r="F2" s="859"/>
      <c r="G2" s="813"/>
      <c r="H2" s="813"/>
      <c r="I2" s="813"/>
      <c r="J2" s="813"/>
      <c r="K2" s="813"/>
      <c r="L2" s="859"/>
      <c r="M2" s="859"/>
      <c r="N2" s="859"/>
      <c r="O2" s="859"/>
    </row>
    <row r="3" spans="1:15">
      <c r="A3" s="813">
        <v>36</v>
      </c>
      <c r="B3" s="813">
        <v>1962</v>
      </c>
      <c r="C3" s="813">
        <v>7257058370</v>
      </c>
      <c r="D3" s="813">
        <v>9783662129</v>
      </c>
      <c r="E3" s="813">
        <v>3150420750</v>
      </c>
      <c r="F3" s="859"/>
      <c r="G3" s="813"/>
      <c r="H3" s="813"/>
      <c r="I3" s="813"/>
      <c r="J3" s="813"/>
      <c r="K3" s="813"/>
      <c r="L3" s="859"/>
      <c r="M3" s="859"/>
      <c r="N3" s="859"/>
      <c r="O3" s="859"/>
    </row>
    <row r="4" spans="1:15">
      <c r="A4" s="813">
        <v>36</v>
      </c>
      <c r="B4" s="813">
        <v>1963</v>
      </c>
      <c r="C4" s="813">
        <v>7541629179</v>
      </c>
      <c r="D4" s="813">
        <v>9785645876</v>
      </c>
      <c r="E4" s="813">
        <v>3211001000</v>
      </c>
      <c r="F4" s="859"/>
      <c r="G4" s="813"/>
      <c r="H4" s="813"/>
      <c r="I4" s="813"/>
      <c r="J4" s="813"/>
      <c r="K4" s="813"/>
      <c r="L4" s="859"/>
      <c r="M4" s="859"/>
      <c r="N4" s="859"/>
      <c r="O4" s="859"/>
    </row>
    <row r="5" spans="1:15">
      <c r="A5" s="813">
        <v>36</v>
      </c>
      <c r="B5" s="813">
        <v>1964</v>
      </c>
      <c r="C5" s="813">
        <v>7846442871</v>
      </c>
      <c r="D5" s="813">
        <v>9827092487</v>
      </c>
      <c r="E5" s="813">
        <v>3273978250</v>
      </c>
      <c r="F5" s="859"/>
      <c r="G5" s="813"/>
      <c r="H5" s="813"/>
      <c r="I5" s="813"/>
      <c r="J5" s="813"/>
      <c r="K5" s="813"/>
      <c r="L5" s="859"/>
      <c r="M5" s="859"/>
      <c r="N5" s="859"/>
      <c r="O5" s="859"/>
    </row>
    <row r="6" spans="1:15">
      <c r="A6" s="813">
        <v>36</v>
      </c>
      <c r="B6" s="813">
        <v>1965</v>
      </c>
      <c r="C6" s="813">
        <v>8131437390</v>
      </c>
      <c r="D6" s="813">
        <v>9850601489</v>
      </c>
      <c r="E6" s="813">
        <v>3339583500</v>
      </c>
      <c r="F6" s="859"/>
      <c r="G6" s="813"/>
      <c r="H6" s="813"/>
      <c r="I6" s="813"/>
      <c r="J6" s="813"/>
      <c r="K6" s="813"/>
      <c r="L6" s="859"/>
      <c r="M6" s="859"/>
      <c r="N6" s="859"/>
      <c r="O6" s="859"/>
    </row>
    <row r="7" spans="1:15">
      <c r="A7" s="813">
        <v>36</v>
      </c>
      <c r="B7" s="813">
        <v>1966</v>
      </c>
      <c r="C7" s="813">
        <v>8482000546</v>
      </c>
      <c r="D7" s="813">
        <v>9946929764</v>
      </c>
      <c r="E7" s="813">
        <v>3407922750</v>
      </c>
      <c r="F7" s="859"/>
      <c r="G7" s="813"/>
      <c r="H7" s="813"/>
      <c r="I7" s="813"/>
      <c r="J7" s="813"/>
      <c r="K7" s="813"/>
      <c r="L7" s="859"/>
      <c r="M7" s="859"/>
      <c r="N7" s="859"/>
      <c r="O7" s="859"/>
    </row>
    <row r="8" spans="1:15">
      <c r="A8" s="813">
        <v>36</v>
      </c>
      <c r="B8" s="813">
        <v>1967</v>
      </c>
      <c r="C8" s="813">
        <v>8701047937</v>
      </c>
      <c r="D8" s="813">
        <v>9982573499</v>
      </c>
      <c r="E8" s="813">
        <v>3478770000</v>
      </c>
      <c r="F8" s="859"/>
      <c r="G8" s="813"/>
      <c r="H8" s="813"/>
      <c r="I8" s="813"/>
      <c r="J8" s="813"/>
      <c r="K8" s="813"/>
      <c r="L8" s="859"/>
      <c r="M8" s="859"/>
      <c r="N8" s="859"/>
      <c r="O8" s="859"/>
    </row>
    <row r="9" spans="1:15">
      <c r="A9" s="813">
        <v>36</v>
      </c>
      <c r="B9" s="813">
        <v>1968</v>
      </c>
      <c r="C9" s="813">
        <v>9046599920</v>
      </c>
      <c r="D9" s="813">
        <v>10030432434</v>
      </c>
      <c r="E9" s="813">
        <v>3551599250</v>
      </c>
      <c r="F9" s="859"/>
      <c r="G9" s="813"/>
      <c r="H9" s="813"/>
      <c r="I9" s="813"/>
      <c r="J9" s="813"/>
      <c r="K9" s="813"/>
      <c r="L9" s="859"/>
      <c r="M9" s="859"/>
      <c r="N9" s="859"/>
      <c r="O9" s="859"/>
    </row>
    <row r="10" spans="1:15">
      <c r="A10" s="813">
        <v>36</v>
      </c>
      <c r="B10" s="813">
        <v>1969</v>
      </c>
      <c r="C10" s="813">
        <v>9427038611</v>
      </c>
      <c r="D10" s="813">
        <v>10036915733</v>
      </c>
      <c r="E10" s="813">
        <v>3625680750</v>
      </c>
      <c r="F10" s="859"/>
      <c r="G10" s="813"/>
      <c r="H10" s="813"/>
      <c r="I10" s="813"/>
      <c r="J10" s="813"/>
      <c r="K10" s="813"/>
      <c r="L10" s="859"/>
      <c r="M10" s="859"/>
      <c r="N10" s="859"/>
      <c r="O10" s="859"/>
    </row>
    <row r="11" spans="1:15">
      <c r="A11" s="813">
        <v>36</v>
      </c>
      <c r="B11" s="813">
        <v>1970</v>
      </c>
      <c r="C11" s="813">
        <v>9990401355</v>
      </c>
      <c r="D11" s="813">
        <v>10080865965</v>
      </c>
      <c r="E11" s="813">
        <v>3700437000</v>
      </c>
      <c r="F11" s="859"/>
      <c r="G11" s="813"/>
      <c r="H11" s="813"/>
      <c r="I11" s="813"/>
      <c r="J11" s="813"/>
      <c r="K11" s="813"/>
      <c r="L11" s="859"/>
      <c r="M11" s="859"/>
      <c r="N11" s="859"/>
      <c r="O11" s="859"/>
    </row>
    <row r="12" spans="1:15">
      <c r="A12" s="813">
        <v>36</v>
      </c>
      <c r="B12" s="813">
        <v>1971</v>
      </c>
      <c r="C12" s="813">
        <v>10312804676</v>
      </c>
      <c r="D12" s="813">
        <v>10139264883</v>
      </c>
      <c r="E12" s="813">
        <v>3775759500</v>
      </c>
      <c r="F12" s="859"/>
      <c r="G12" s="813"/>
      <c r="H12" s="813"/>
      <c r="I12" s="813"/>
      <c r="J12" s="813"/>
      <c r="K12" s="813"/>
      <c r="L12" s="859"/>
      <c r="M12" s="859"/>
      <c r="N12" s="859"/>
      <c r="O12" s="859"/>
    </row>
    <row r="13" spans="1:15">
      <c r="A13" s="813">
        <v>36</v>
      </c>
      <c r="B13" s="813">
        <v>1972</v>
      </c>
      <c r="C13" s="813">
        <v>10595190290</v>
      </c>
      <c r="D13" s="813">
        <v>10095913508</v>
      </c>
      <c r="E13" s="813">
        <v>3851650250</v>
      </c>
      <c r="F13" s="859"/>
      <c r="G13" s="813"/>
      <c r="H13" s="813"/>
      <c r="I13" s="813"/>
      <c r="J13" s="813"/>
      <c r="K13" s="813"/>
      <c r="L13" s="859"/>
      <c r="M13" s="859"/>
      <c r="N13" s="859"/>
      <c r="O13" s="859"/>
    </row>
    <row r="14" spans="1:15">
      <c r="A14" s="813">
        <v>36</v>
      </c>
      <c r="B14" s="813">
        <v>1973</v>
      </c>
      <c r="C14" s="813">
        <v>11153514566</v>
      </c>
      <c r="D14" s="813">
        <v>10211284712</v>
      </c>
      <c r="E14" s="813">
        <v>3927780250</v>
      </c>
      <c r="F14" s="859"/>
      <c r="G14" s="813"/>
      <c r="H14" s="813"/>
      <c r="I14" s="813"/>
      <c r="J14" s="813"/>
      <c r="K14" s="813"/>
      <c r="L14" s="859"/>
      <c r="M14" s="859"/>
      <c r="N14" s="859"/>
      <c r="O14" s="859"/>
    </row>
    <row r="15" spans="1:15">
      <c r="A15" s="813">
        <v>36</v>
      </c>
      <c r="B15" s="813">
        <v>1974</v>
      </c>
      <c r="C15" s="813">
        <v>11051744549</v>
      </c>
      <c r="D15" s="813">
        <v>10153503537</v>
      </c>
      <c r="E15" s="813">
        <v>4003794250</v>
      </c>
      <c r="F15" s="859"/>
      <c r="G15" s="813"/>
      <c r="H15" s="813"/>
      <c r="I15" s="813"/>
      <c r="J15" s="813"/>
      <c r="K15" s="813"/>
      <c r="L15" s="859"/>
      <c r="M15" s="859"/>
      <c r="N15" s="859"/>
      <c r="O15" s="859"/>
    </row>
    <row r="16" spans="1:15">
      <c r="A16" s="813">
        <v>36</v>
      </c>
      <c r="B16" s="813">
        <v>1975</v>
      </c>
      <c r="C16" s="813">
        <v>10996973519</v>
      </c>
      <c r="D16" s="813">
        <v>10179935860</v>
      </c>
      <c r="E16" s="813">
        <v>4079480500</v>
      </c>
      <c r="F16" s="859"/>
      <c r="G16" s="813"/>
      <c r="H16" s="813"/>
      <c r="I16" s="813"/>
      <c r="J16" s="813"/>
      <c r="K16" s="813"/>
      <c r="L16" s="859"/>
      <c r="M16" s="859"/>
      <c r="N16" s="859"/>
      <c r="O16" s="859"/>
    </row>
    <row r="17" spans="1:15">
      <c r="A17" s="813">
        <v>36</v>
      </c>
      <c r="B17" s="813">
        <v>1976</v>
      </c>
      <c r="C17" s="813">
        <v>11522051286</v>
      </c>
      <c r="D17" s="813">
        <v>10236689824</v>
      </c>
      <c r="E17" s="813">
        <v>4154666750</v>
      </c>
      <c r="F17" s="859"/>
      <c r="G17" s="813"/>
      <c r="H17" s="813"/>
      <c r="I17" s="813"/>
      <c r="J17" s="813"/>
      <c r="K17" s="813"/>
      <c r="L17" s="859"/>
      <c r="M17" s="859"/>
      <c r="N17" s="859"/>
      <c r="O17" s="859"/>
    </row>
    <row r="18" spans="1:15">
      <c r="A18" s="813">
        <v>36</v>
      </c>
      <c r="B18" s="813">
        <v>1977</v>
      </c>
      <c r="C18" s="813">
        <v>11761443046</v>
      </c>
      <c r="D18" s="813">
        <v>10249987967</v>
      </c>
      <c r="E18" s="813">
        <v>4229506000</v>
      </c>
      <c r="F18" s="859"/>
      <c r="G18" s="813"/>
      <c r="H18" s="813"/>
      <c r="I18" s="813"/>
      <c r="J18" s="813"/>
      <c r="K18" s="813"/>
      <c r="L18" s="859"/>
      <c r="M18" s="859"/>
      <c r="N18" s="859"/>
      <c r="O18" s="859"/>
    </row>
    <row r="19" spans="1:15">
      <c r="A19" s="813">
        <v>36</v>
      </c>
      <c r="B19" s="813">
        <v>1978</v>
      </c>
      <c r="C19" s="813">
        <v>12044196221</v>
      </c>
      <c r="D19" s="813">
        <v>10364394478</v>
      </c>
      <c r="E19" s="813">
        <v>4304533500</v>
      </c>
      <c r="F19" s="859"/>
      <c r="G19" s="813"/>
      <c r="H19" s="813"/>
      <c r="I19" s="813"/>
      <c r="J19" s="813"/>
      <c r="K19" s="813"/>
      <c r="L19" s="859"/>
      <c r="M19" s="859"/>
      <c r="N19" s="859"/>
      <c r="O19" s="859"/>
    </row>
    <row r="20" spans="1:15">
      <c r="A20" s="813">
        <v>36</v>
      </c>
      <c r="B20" s="813">
        <v>1979</v>
      </c>
      <c r="C20" s="813">
        <v>12355442638</v>
      </c>
      <c r="D20" s="813">
        <v>10340249175</v>
      </c>
      <c r="E20" s="813">
        <v>4380506000</v>
      </c>
      <c r="F20" s="859"/>
      <c r="G20" s="813"/>
      <c r="H20" s="813"/>
      <c r="I20" s="813"/>
      <c r="J20" s="813"/>
      <c r="K20" s="813"/>
      <c r="L20" s="859"/>
      <c r="M20" s="859"/>
      <c r="N20" s="859"/>
      <c r="O20" s="859"/>
    </row>
    <row r="21" spans="1:15">
      <c r="A21" s="813">
        <v>36</v>
      </c>
      <c r="B21" s="813">
        <v>1980</v>
      </c>
      <c r="C21" s="813">
        <v>12120022760</v>
      </c>
      <c r="D21" s="813">
        <v>10341553158</v>
      </c>
      <c r="E21" s="813">
        <v>4458003500</v>
      </c>
      <c r="F21" s="859"/>
      <c r="G21" s="813"/>
      <c r="H21" s="813"/>
      <c r="I21" s="813"/>
      <c r="J21" s="813"/>
      <c r="K21" s="813"/>
      <c r="L21" s="859"/>
      <c r="M21" s="859"/>
      <c r="N21" s="859"/>
      <c r="O21" s="859"/>
    </row>
    <row r="22" spans="1:15">
      <c r="A22" s="813">
        <v>36</v>
      </c>
      <c r="B22" s="813">
        <v>1981</v>
      </c>
      <c r="C22" s="813">
        <v>11964402481</v>
      </c>
      <c r="D22" s="813">
        <v>10437616617</v>
      </c>
      <c r="E22" s="813">
        <v>4536997000</v>
      </c>
      <c r="F22" s="859"/>
      <c r="G22" s="813"/>
      <c r="H22" s="813"/>
      <c r="I22" s="813"/>
      <c r="J22" s="813"/>
      <c r="K22" s="813"/>
      <c r="L22" s="859"/>
      <c r="M22" s="859"/>
      <c r="N22" s="859"/>
      <c r="O22" s="859"/>
    </row>
    <row r="23" spans="1:15">
      <c r="A23" s="813">
        <v>36</v>
      </c>
      <c r="B23" s="813">
        <v>1982</v>
      </c>
      <c r="C23" s="813">
        <v>11906296819</v>
      </c>
      <c r="D23" s="813">
        <v>10528927296</v>
      </c>
      <c r="E23" s="813">
        <v>4617386500</v>
      </c>
      <c r="F23" s="859"/>
      <c r="G23" s="813"/>
      <c r="H23" s="813"/>
      <c r="I23" s="813"/>
      <c r="J23" s="813"/>
      <c r="K23" s="813"/>
      <c r="L23" s="859"/>
      <c r="M23" s="859"/>
      <c r="N23" s="859"/>
      <c r="O23" s="859"/>
    </row>
    <row r="24" spans="1:15">
      <c r="A24" s="813">
        <v>36</v>
      </c>
      <c r="B24" s="813">
        <v>1983</v>
      </c>
      <c r="C24" s="813">
        <v>11901358752</v>
      </c>
      <c r="D24" s="813">
        <v>10499329200</v>
      </c>
      <c r="E24" s="813">
        <v>4699569500</v>
      </c>
      <c r="F24" s="859"/>
      <c r="G24" s="813"/>
      <c r="H24" s="813"/>
      <c r="I24" s="813"/>
      <c r="J24" s="813"/>
      <c r="K24" s="813"/>
      <c r="L24" s="859"/>
      <c r="M24" s="859"/>
      <c r="N24" s="859"/>
      <c r="O24" s="859"/>
    </row>
    <row r="25" spans="1:15">
      <c r="A25" s="813">
        <v>36</v>
      </c>
      <c r="B25" s="813">
        <v>1984</v>
      </c>
      <c r="C25" s="813">
        <v>12369621847</v>
      </c>
      <c r="D25" s="813">
        <v>10649647565</v>
      </c>
      <c r="E25" s="813">
        <v>4784011500</v>
      </c>
      <c r="F25" s="859"/>
      <c r="G25" s="813"/>
      <c r="H25" s="813"/>
      <c r="I25" s="813"/>
      <c r="J25" s="813"/>
      <c r="K25" s="813"/>
      <c r="L25" s="859"/>
      <c r="M25" s="859"/>
      <c r="N25" s="859"/>
      <c r="O25" s="859"/>
    </row>
    <row r="26" spans="1:15">
      <c r="A26" s="813">
        <v>36</v>
      </c>
      <c r="B26" s="813">
        <v>1985</v>
      </c>
      <c r="C26" s="813">
        <v>12573581482</v>
      </c>
      <c r="D26" s="813">
        <v>10728156090</v>
      </c>
      <c r="E26" s="813">
        <v>4870921500</v>
      </c>
      <c r="F26" s="859"/>
      <c r="G26" s="813"/>
      <c r="H26" s="813"/>
      <c r="I26" s="813"/>
      <c r="J26" s="813"/>
      <c r="K26" s="813"/>
      <c r="L26" s="859"/>
      <c r="M26" s="859"/>
      <c r="N26" s="859"/>
      <c r="O26" s="859"/>
    </row>
    <row r="27" spans="1:15">
      <c r="A27" s="813">
        <v>36</v>
      </c>
      <c r="B27" s="813">
        <v>1986</v>
      </c>
      <c r="C27" s="813">
        <v>12786891398</v>
      </c>
      <c r="D27" s="813">
        <v>10745446973</v>
      </c>
      <c r="E27" s="813">
        <v>4960568000</v>
      </c>
      <c r="F27" s="859"/>
      <c r="G27" s="813"/>
      <c r="H27" s="813"/>
      <c r="I27" s="813"/>
      <c r="J27" s="813"/>
      <c r="K27" s="813"/>
      <c r="L27" s="859"/>
      <c r="M27" s="859"/>
      <c r="N27" s="859"/>
      <c r="O27" s="859"/>
    </row>
    <row r="28" spans="1:15">
      <c r="A28" s="813">
        <v>36</v>
      </c>
      <c r="B28" s="813">
        <v>1987</v>
      </c>
      <c r="C28" s="813">
        <v>13149546367</v>
      </c>
      <c r="D28" s="813">
        <v>10787756758</v>
      </c>
      <c r="E28" s="813">
        <v>5052522000</v>
      </c>
      <c r="F28" s="859"/>
      <c r="G28" s="813"/>
      <c r="H28" s="813"/>
      <c r="I28" s="813"/>
      <c r="J28" s="813"/>
      <c r="K28" s="813"/>
      <c r="L28" s="859"/>
      <c r="M28" s="859"/>
      <c r="N28" s="859"/>
      <c r="O28" s="859"/>
    </row>
    <row r="29" spans="1:15">
      <c r="A29" s="813">
        <v>36</v>
      </c>
      <c r="B29" s="813">
        <v>1988</v>
      </c>
      <c r="C29" s="813">
        <v>13435493638</v>
      </c>
      <c r="D29" s="813">
        <v>10716296176</v>
      </c>
      <c r="E29" s="813">
        <v>5145426000</v>
      </c>
      <c r="F29" s="859"/>
      <c r="G29" s="813"/>
      <c r="H29" s="813"/>
      <c r="I29" s="813"/>
      <c r="J29" s="813"/>
      <c r="K29" s="813"/>
      <c r="L29" s="859"/>
      <c r="M29" s="859"/>
      <c r="N29" s="859"/>
      <c r="O29" s="859"/>
    </row>
    <row r="30" spans="1:15">
      <c r="A30" s="813">
        <v>36</v>
      </c>
      <c r="B30" s="813">
        <v>1989</v>
      </c>
      <c r="C30" s="813">
        <v>13775562735</v>
      </c>
      <c r="D30" s="813">
        <v>10850690433</v>
      </c>
      <c r="E30" s="813">
        <v>5237441500</v>
      </c>
      <c r="F30" s="859"/>
      <c r="G30" s="813"/>
      <c r="H30" s="813"/>
      <c r="I30" s="813"/>
      <c r="J30" s="813"/>
      <c r="K30" s="813"/>
      <c r="L30" s="859"/>
      <c r="M30" s="859"/>
      <c r="N30" s="859"/>
      <c r="O30" s="859"/>
    </row>
    <row r="31" spans="1:15">
      <c r="A31" s="813">
        <v>36</v>
      </c>
      <c r="B31" s="813">
        <v>1990</v>
      </c>
      <c r="C31" s="813">
        <v>13991890717</v>
      </c>
      <c r="D31" s="813">
        <v>10972409611</v>
      </c>
      <c r="E31" s="813">
        <v>5327231000</v>
      </c>
      <c r="F31" s="859"/>
      <c r="G31" s="813"/>
      <c r="H31" s="813"/>
      <c r="I31" s="813"/>
      <c r="J31" s="813"/>
      <c r="K31" s="813"/>
      <c r="L31" s="859"/>
      <c r="M31" s="859"/>
      <c r="N31" s="859"/>
      <c r="O31" s="859"/>
    </row>
    <row r="32" spans="1:15">
      <c r="A32" s="813">
        <v>36</v>
      </c>
      <c r="B32" s="813">
        <v>1991</v>
      </c>
      <c r="C32" s="813">
        <v>13941223753</v>
      </c>
      <c r="D32" s="813">
        <v>10896111646</v>
      </c>
      <c r="E32" s="813">
        <v>5414289500</v>
      </c>
      <c r="F32" s="859"/>
      <c r="G32" s="813"/>
      <c r="H32" s="813"/>
      <c r="I32" s="813"/>
      <c r="J32" s="813"/>
      <c r="K32" s="813"/>
      <c r="L32" s="859"/>
      <c r="M32" s="859"/>
      <c r="N32" s="859"/>
      <c r="O32" s="859"/>
    </row>
    <row r="33" spans="1:15">
      <c r="A33" s="813">
        <v>36</v>
      </c>
      <c r="B33" s="813">
        <v>1992</v>
      </c>
      <c r="C33" s="813">
        <v>14030780723</v>
      </c>
      <c r="D33" s="813">
        <v>11054737138</v>
      </c>
      <c r="E33" s="813">
        <v>5498920000</v>
      </c>
      <c r="F33" s="859"/>
      <c r="G33" s="813"/>
      <c r="H33" s="813"/>
      <c r="I33" s="813"/>
      <c r="J33" s="813"/>
      <c r="K33" s="813"/>
      <c r="L33" s="859"/>
      <c r="M33" s="859"/>
      <c r="N33" s="859"/>
      <c r="O33" s="859"/>
    </row>
    <row r="34" spans="1:15">
      <c r="A34" s="813">
        <v>36</v>
      </c>
      <c r="B34" s="813">
        <v>1993</v>
      </c>
      <c r="C34" s="813">
        <v>14009901849</v>
      </c>
      <c r="D34" s="813">
        <v>11020835950</v>
      </c>
      <c r="E34" s="813">
        <v>5581597500</v>
      </c>
      <c r="F34" s="859"/>
      <c r="G34" s="813"/>
      <c r="H34" s="813"/>
      <c r="I34" s="813"/>
      <c r="J34" s="813"/>
      <c r="K34" s="813"/>
      <c r="L34" s="859"/>
      <c r="M34" s="859"/>
      <c r="N34" s="859"/>
      <c r="O34" s="859"/>
    </row>
    <row r="35" spans="1:15">
      <c r="A35" s="813">
        <v>36</v>
      </c>
      <c r="B35" s="813">
        <v>1994</v>
      </c>
      <c r="C35" s="813">
        <v>14203620054</v>
      </c>
      <c r="D35" s="813">
        <v>11100144478</v>
      </c>
      <c r="E35" s="813">
        <v>5663150500</v>
      </c>
      <c r="F35" s="859"/>
      <c r="G35" s="813"/>
      <c r="H35" s="813"/>
      <c r="I35" s="813"/>
      <c r="J35" s="813"/>
      <c r="K35" s="813"/>
      <c r="L35" s="859"/>
      <c r="M35" s="859"/>
      <c r="N35" s="859"/>
      <c r="O35" s="859"/>
    </row>
    <row r="36" spans="1:15">
      <c r="A36" s="813">
        <v>36</v>
      </c>
      <c r="B36" s="813">
        <v>1995</v>
      </c>
      <c r="C36" s="813">
        <v>14453279284</v>
      </c>
      <c r="D36" s="813">
        <v>11052009109</v>
      </c>
      <c r="E36" s="813">
        <v>5744213000</v>
      </c>
      <c r="F36" s="859"/>
      <c r="G36" s="813"/>
      <c r="H36" s="813"/>
      <c r="I36" s="813"/>
      <c r="J36" s="813"/>
      <c r="K36" s="813"/>
      <c r="L36" s="859"/>
      <c r="M36" s="859"/>
      <c r="N36" s="859"/>
      <c r="O36" s="859"/>
    </row>
    <row r="37" spans="1:15">
      <c r="A37" s="813">
        <v>36</v>
      </c>
      <c r="B37" s="813">
        <v>1996</v>
      </c>
      <c r="C37" s="813">
        <v>14775975883</v>
      </c>
      <c r="D37" s="813">
        <v>11194333991</v>
      </c>
      <c r="E37" s="813">
        <v>5824892000</v>
      </c>
      <c r="F37" s="859"/>
      <c r="G37" s="813"/>
      <c r="H37" s="813"/>
      <c r="I37" s="813"/>
      <c r="J37" s="813"/>
      <c r="K37" s="813"/>
      <c r="L37" s="859"/>
      <c r="M37" s="859"/>
      <c r="N37" s="859"/>
      <c r="O37" s="859"/>
    </row>
    <row r="38" spans="1:15">
      <c r="A38" s="813">
        <v>36</v>
      </c>
      <c r="B38" s="813">
        <v>1997</v>
      </c>
      <c r="C38" s="813">
        <v>15010278316</v>
      </c>
      <c r="D38" s="813">
        <v>11244820358</v>
      </c>
      <c r="E38" s="813">
        <v>5905046000</v>
      </c>
      <c r="F38" s="859"/>
      <c r="G38" s="813"/>
      <c r="H38" s="813"/>
      <c r="I38" s="813"/>
      <c r="J38" s="813"/>
      <c r="K38" s="813"/>
      <c r="L38" s="859"/>
      <c r="M38" s="859"/>
      <c r="N38" s="859"/>
      <c r="O38" s="859"/>
    </row>
    <row r="39" spans="1:15">
      <c r="A39" s="813">
        <v>36</v>
      </c>
      <c r="B39" s="813">
        <v>1998</v>
      </c>
      <c r="C39" s="813">
        <v>15046327344</v>
      </c>
      <c r="D39" s="813">
        <v>11283362538</v>
      </c>
      <c r="E39" s="813">
        <v>5984794000</v>
      </c>
      <c r="F39" s="859"/>
      <c r="G39" s="813"/>
      <c r="H39" s="813"/>
      <c r="I39" s="813"/>
      <c r="J39" s="813"/>
      <c r="K39" s="813"/>
      <c r="L39" s="859"/>
      <c r="M39" s="859"/>
      <c r="N39" s="859"/>
      <c r="O39" s="859"/>
    </row>
    <row r="40" spans="1:15">
      <c r="A40" s="813">
        <v>36</v>
      </c>
      <c r="B40" s="813">
        <v>1999</v>
      </c>
      <c r="C40" s="813">
        <v>15100449905</v>
      </c>
      <c r="D40" s="813">
        <v>11317302755</v>
      </c>
      <c r="E40" s="813">
        <v>6064239000</v>
      </c>
      <c r="F40" s="859"/>
      <c r="G40" s="813"/>
      <c r="H40" s="813"/>
      <c r="I40" s="813"/>
      <c r="J40" s="813"/>
      <c r="K40" s="813"/>
      <c r="L40" s="859"/>
      <c r="M40" s="859"/>
      <c r="N40" s="859"/>
      <c r="O40" s="859"/>
    </row>
    <row r="41" spans="1:15">
      <c r="A41" s="813">
        <v>36</v>
      </c>
      <c r="B41" s="813">
        <v>2000</v>
      </c>
      <c r="C41" s="813">
        <v>15446170228</v>
      </c>
      <c r="D41" s="813">
        <v>11325296307</v>
      </c>
      <c r="E41" s="813">
        <v>6143494000</v>
      </c>
      <c r="F41" s="859"/>
      <c r="G41" s="813"/>
      <c r="H41" s="813"/>
      <c r="I41" s="813"/>
      <c r="J41" s="813"/>
      <c r="K41" s="813"/>
      <c r="L41" s="859"/>
      <c r="M41" s="859"/>
      <c r="N41" s="859"/>
      <c r="O41" s="859"/>
    </row>
    <row r="42" spans="1:15">
      <c r="A42" s="813">
        <v>36</v>
      </c>
      <c r="B42" s="813">
        <v>2001</v>
      </c>
      <c r="C42" s="813">
        <v>15618816332</v>
      </c>
      <c r="D42" s="813">
        <v>11394093498</v>
      </c>
      <c r="E42" s="813">
        <v>6222626500</v>
      </c>
      <c r="F42" s="859"/>
      <c r="G42" s="813"/>
      <c r="H42" s="813"/>
      <c r="I42" s="813"/>
      <c r="J42" s="813"/>
      <c r="K42" s="813"/>
      <c r="L42" s="859"/>
      <c r="M42" s="859"/>
      <c r="N42" s="859"/>
      <c r="O42" s="859"/>
    </row>
    <row r="43" spans="1:15">
      <c r="A43" s="813">
        <v>36</v>
      </c>
      <c r="B43" s="813">
        <v>2002</v>
      </c>
      <c r="C43" s="813">
        <v>15829464181</v>
      </c>
      <c r="D43" s="813">
        <v>11415736512</v>
      </c>
      <c r="E43" s="813">
        <v>6301773000</v>
      </c>
      <c r="F43" s="859"/>
      <c r="G43" s="813"/>
      <c r="H43" s="813"/>
      <c r="I43" s="813"/>
      <c r="J43" s="813"/>
      <c r="K43" s="813"/>
      <c r="L43" s="859"/>
      <c r="M43" s="859"/>
      <c r="N43" s="859"/>
      <c r="O43" s="859"/>
    </row>
    <row r="44" spans="1:15">
      <c r="A44" s="813">
        <v>36</v>
      </c>
      <c r="B44" s="813">
        <v>2003</v>
      </c>
      <c r="C44" s="813">
        <v>16421164784</v>
      </c>
      <c r="D44" s="813">
        <v>11404027844</v>
      </c>
      <c r="E44" s="813">
        <v>6381185000</v>
      </c>
      <c r="F44" s="859"/>
      <c r="G44" s="813"/>
      <c r="H44" s="813"/>
      <c r="I44" s="813"/>
      <c r="J44" s="813"/>
      <c r="K44" s="813"/>
      <c r="L44" s="859"/>
      <c r="M44" s="859"/>
      <c r="N44" s="859"/>
      <c r="O44" s="859"/>
    </row>
    <row r="45" spans="1:15">
      <c r="A45" s="813">
        <v>36</v>
      </c>
      <c r="B45" s="813">
        <v>2004</v>
      </c>
      <c r="C45" s="813">
        <v>17192377102</v>
      </c>
      <c r="D45" s="813">
        <v>11520383954</v>
      </c>
      <c r="E45" s="813">
        <v>6461159500</v>
      </c>
      <c r="F45" s="859"/>
      <c r="G45" s="813"/>
      <c r="H45" s="813"/>
      <c r="I45" s="813"/>
      <c r="J45" s="813"/>
      <c r="K45" s="813"/>
      <c r="L45" s="859"/>
      <c r="M45" s="859"/>
      <c r="N45" s="859"/>
      <c r="O45" s="859"/>
    </row>
    <row r="46" spans="1:15">
      <c r="A46" s="813">
        <v>36</v>
      </c>
      <c r="B46" s="813">
        <v>2005</v>
      </c>
      <c r="C46" s="813">
        <v>17655555383</v>
      </c>
      <c r="D46" s="813">
        <v>11501271114</v>
      </c>
      <c r="E46" s="813">
        <v>6541907000</v>
      </c>
      <c r="F46" s="859"/>
      <c r="G46" s="813"/>
      <c r="H46" s="813"/>
      <c r="I46" s="813"/>
      <c r="J46" s="813"/>
      <c r="K46" s="813"/>
      <c r="L46" s="859"/>
      <c r="M46" s="859"/>
      <c r="N46" s="859"/>
      <c r="O46" s="859"/>
    </row>
    <row r="47" spans="1:15">
      <c r="A47" s="813">
        <v>36</v>
      </c>
      <c r="B47" s="813">
        <v>2006</v>
      </c>
      <c r="C47" s="813">
        <v>18134028174</v>
      </c>
      <c r="D47" s="813">
        <v>11544846919</v>
      </c>
      <c r="E47" s="813">
        <v>6623518000</v>
      </c>
      <c r="F47" s="859"/>
      <c r="G47" s="813"/>
      <c r="H47" s="813"/>
      <c r="I47" s="813"/>
      <c r="J47" s="813"/>
      <c r="K47" s="813"/>
      <c r="L47" s="859"/>
      <c r="M47" s="859"/>
      <c r="N47" s="859"/>
      <c r="O47" s="859"/>
    </row>
    <row r="48" spans="1:15">
      <c r="A48" s="813">
        <v>36</v>
      </c>
      <c r="B48" s="813">
        <v>2007</v>
      </c>
      <c r="C48" s="813">
        <v>18650322199</v>
      </c>
      <c r="D48" s="813">
        <v>11577667630</v>
      </c>
      <c r="E48" s="813">
        <v>6705946500</v>
      </c>
      <c r="F48" s="859"/>
      <c r="G48" s="813"/>
      <c r="H48" s="813"/>
      <c r="I48" s="813"/>
      <c r="J48" s="813"/>
      <c r="K48" s="813"/>
      <c r="L48" s="859"/>
      <c r="M48" s="859"/>
      <c r="N48" s="859"/>
      <c r="O48" s="859"/>
    </row>
    <row r="49" spans="1:15">
      <c r="A49" s="813">
        <v>36</v>
      </c>
      <c r="B49" s="813">
        <v>2008</v>
      </c>
      <c r="C49" s="813">
        <v>18838794359</v>
      </c>
      <c r="D49" s="813">
        <v>11716434706</v>
      </c>
      <c r="E49" s="813">
        <v>6789088500</v>
      </c>
      <c r="F49" s="859"/>
      <c r="G49" s="813"/>
      <c r="H49" s="813"/>
      <c r="I49" s="813"/>
      <c r="J49" s="813"/>
      <c r="K49" s="813"/>
      <c r="L49" s="859"/>
      <c r="M49" s="859"/>
      <c r="N49" s="859"/>
      <c r="O49" s="859"/>
    </row>
    <row r="50" spans="1:15">
      <c r="A50" s="813">
        <v>36</v>
      </c>
      <c r="B50" s="813">
        <v>2009</v>
      </c>
      <c r="C50" s="813">
        <v>18507883426</v>
      </c>
      <c r="D50" s="813">
        <v>11673251837</v>
      </c>
      <c r="E50" s="813">
        <v>6872767000</v>
      </c>
      <c r="F50" s="859"/>
      <c r="G50" s="813"/>
      <c r="H50" s="813"/>
      <c r="I50" s="813"/>
      <c r="J50" s="813"/>
      <c r="K50" s="813"/>
      <c r="L50" s="859"/>
      <c r="M50" s="859"/>
      <c r="N50" s="859"/>
      <c r="O50" s="859"/>
    </row>
    <row r="51" spans="1:15">
      <c r="A51" s="813">
        <v>36</v>
      </c>
      <c r="B51" s="813">
        <v>2010</v>
      </c>
      <c r="C51" s="813">
        <v>19561845206</v>
      </c>
      <c r="D51" s="813">
        <v>11766091189</v>
      </c>
      <c r="E51" s="813">
        <v>6956823500</v>
      </c>
      <c r="F51" s="859"/>
      <c r="G51" s="813"/>
      <c r="H51" s="813"/>
      <c r="I51" s="813"/>
      <c r="J51" s="813"/>
      <c r="K51" s="813"/>
      <c r="L51" s="859"/>
      <c r="M51" s="859"/>
      <c r="N51" s="859"/>
      <c r="O51" s="859"/>
    </row>
    <row r="52" spans="1:15">
      <c r="A52" s="813">
        <v>36</v>
      </c>
      <c r="B52" s="813">
        <v>2011</v>
      </c>
      <c r="C52" s="813">
        <v>19974230250</v>
      </c>
      <c r="D52" s="813">
        <v>11818477721</v>
      </c>
      <c r="E52" s="813">
        <v>7041194500</v>
      </c>
      <c r="F52" s="859"/>
      <c r="G52" s="813"/>
      <c r="H52" s="813"/>
      <c r="I52" s="813"/>
      <c r="J52" s="813"/>
      <c r="K52" s="813"/>
      <c r="L52" s="859"/>
      <c r="M52" s="859"/>
      <c r="N52" s="859"/>
      <c r="O52" s="859"/>
    </row>
    <row r="53" spans="1:15">
      <c r="A53" s="813">
        <v>36</v>
      </c>
      <c r="B53" s="813">
        <v>2012</v>
      </c>
      <c r="C53" s="813">
        <v>19798704168</v>
      </c>
      <c r="D53" s="813">
        <v>11708211798</v>
      </c>
      <c r="E53" s="813">
        <v>7125828000</v>
      </c>
      <c r="F53" s="859"/>
      <c r="G53" s="813"/>
      <c r="H53" s="813"/>
      <c r="I53" s="813"/>
      <c r="J53" s="813"/>
      <c r="K53" s="813"/>
      <c r="L53" s="859"/>
      <c r="M53" s="859"/>
      <c r="N53" s="859"/>
      <c r="O53" s="859"/>
    </row>
    <row r="54" spans="1:15">
      <c r="A54" s="813">
        <v>36</v>
      </c>
      <c r="B54" s="813">
        <v>2013</v>
      </c>
      <c r="C54" s="813">
        <v>20254427037</v>
      </c>
      <c r="D54" s="813">
        <v>11889680540</v>
      </c>
      <c r="E54" s="813">
        <v>7210582000</v>
      </c>
      <c r="F54" s="859"/>
      <c r="G54" s="813"/>
      <c r="H54" s="813"/>
      <c r="I54" s="813"/>
      <c r="J54" s="813"/>
      <c r="K54" s="813"/>
      <c r="L54" s="859"/>
      <c r="M54" s="859"/>
      <c r="N54" s="859"/>
      <c r="O54" s="859"/>
    </row>
    <row r="55" spans="1:15">
      <c r="A55" s="813">
        <v>36</v>
      </c>
      <c r="B55" s="813">
        <v>2014</v>
      </c>
      <c r="C55" s="813">
        <v>20233202044</v>
      </c>
      <c r="D55" s="813">
        <v>11929402729</v>
      </c>
      <c r="E55" s="813">
        <v>7295291000</v>
      </c>
      <c r="F55" s="859"/>
      <c r="G55" s="813"/>
      <c r="H55" s="813"/>
      <c r="I55" s="813"/>
      <c r="J55" s="813"/>
      <c r="K55" s="813"/>
      <c r="L55" s="859"/>
      <c r="M55" s="859"/>
      <c r="N55" s="859"/>
      <c r="O55" s="859"/>
    </row>
    <row r="56" spans="1:15">
      <c r="A56" s="813">
        <v>36</v>
      </c>
      <c r="B56" s="813">
        <v>2015</v>
      </c>
      <c r="C56" s="813">
        <v>20119404802</v>
      </c>
      <c r="D56" s="813">
        <v>11951216155</v>
      </c>
      <c r="E56" s="813">
        <v>7379797000</v>
      </c>
      <c r="F56" s="859"/>
      <c r="G56" s="813"/>
      <c r="H56" s="813"/>
      <c r="I56" s="813"/>
      <c r="J56" s="813"/>
      <c r="K56" s="813"/>
      <c r="L56" s="859"/>
      <c r="M56" s="859"/>
      <c r="N56" s="859"/>
      <c r="O56" s="859"/>
    </row>
    <row r="57" spans="1:15">
      <c r="A57" s="813">
        <v>36</v>
      </c>
      <c r="B57" s="813">
        <v>2016</v>
      </c>
      <c r="C57" s="813">
        <v>20077675088</v>
      </c>
      <c r="D57" s="813">
        <v>11997236782</v>
      </c>
      <c r="E57" s="813">
        <v>7464022000</v>
      </c>
      <c r="F57" s="859"/>
      <c r="G57" s="813"/>
      <c r="H57" s="813"/>
      <c r="I57" s="813"/>
      <c r="J57" s="813"/>
      <c r="K57" s="813"/>
      <c r="L57" s="859"/>
      <c r="M57" s="859"/>
      <c r="N57" s="859"/>
      <c r="O57" s="859"/>
    </row>
    <row r="58" spans="1:15">
      <c r="A58" s="813">
        <v>36</v>
      </c>
      <c r="B58" s="813">
        <v>2017</v>
      </c>
      <c r="C58" s="813">
        <v>20830460789</v>
      </c>
      <c r="D58" s="813">
        <v>12125483611</v>
      </c>
      <c r="E58" s="813">
        <v>7547859000</v>
      </c>
      <c r="F58" s="859"/>
      <c r="G58" s="813"/>
      <c r="H58" s="813"/>
      <c r="I58" s="813"/>
      <c r="J58" s="813"/>
      <c r="K58" s="813"/>
      <c r="L58" s="859"/>
      <c r="M58" s="859"/>
      <c r="N58" s="859"/>
      <c r="O58" s="859"/>
    </row>
    <row r="59" spans="1:15">
      <c r="A59" s="813">
        <v>36</v>
      </c>
      <c r="B59" s="813">
        <v>2018</v>
      </c>
      <c r="C59" s="813">
        <v>21175902918</v>
      </c>
      <c r="D59" s="813">
        <v>12077144356</v>
      </c>
      <c r="E59" s="813">
        <v>7631091000</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7"/>
    <pageSetUpPr autoPageBreaks="0"/>
  </sheetPr>
  <dimension ref="A1:L40"/>
  <sheetViews>
    <sheetView zoomScaleNormal="100" workbookViewId="0">
      <selection activeCell="A65536" sqref="A65536"/>
    </sheetView>
  </sheetViews>
  <sheetFormatPr defaultColWidth="9.1796875" defaultRowHeight="12.75" customHeight="1"/>
  <cols>
    <col min="1" max="1" width="50.7265625" style="8" customWidth="1"/>
    <col min="2" max="5" width="21.7265625" style="1" customWidth="1"/>
    <col min="6" max="12" width="21.7265625" style="38" customWidth="1"/>
    <col min="13" max="16384" width="9.1796875" style="38"/>
  </cols>
  <sheetData>
    <row r="1" spans="1:12" s="36" customFormat="1" ht="15">
      <c r="A1" s="927" t="s">
        <v>1923</v>
      </c>
      <c r="B1" s="928" t="s">
        <v>3841</v>
      </c>
      <c r="C1" s="928" t="s">
        <v>3840</v>
      </c>
      <c r="D1" s="928" t="s">
        <v>3842</v>
      </c>
      <c r="E1" s="929" t="s">
        <v>1626</v>
      </c>
    </row>
    <row r="2" spans="1:12" s="36" customFormat="1" ht="12.5">
      <c r="A2" s="930" t="s">
        <v>542</v>
      </c>
      <c r="B2" s="931" t="s">
        <v>720</v>
      </c>
      <c r="C2" s="931" t="s">
        <v>720</v>
      </c>
      <c r="D2" s="931" t="s">
        <v>720</v>
      </c>
      <c r="E2" s="932" t="s">
        <v>720</v>
      </c>
    </row>
    <row r="3" spans="1:12" s="36" customFormat="1" ht="12.5">
      <c r="A3" s="167" t="s">
        <v>6178</v>
      </c>
      <c r="B3" s="27">
        <f>grazing_efp!D12</f>
        <v>12421174.057624212</v>
      </c>
      <c r="C3" s="27">
        <v>0</v>
      </c>
      <c r="D3" s="27">
        <v>0</v>
      </c>
      <c r="E3" s="49">
        <f>B3+C3-D3</f>
        <v>12421174.057624212</v>
      </c>
    </row>
    <row r="4" spans="1:12" s="36" customFormat="1" ht="12.5">
      <c r="A4" s="34" t="s">
        <v>6179</v>
      </c>
      <c r="B4" s="26">
        <f>grazing_efp!D7</f>
        <v>552560.0973355996</v>
      </c>
      <c r="C4" s="26">
        <f>SUM(livestock_efi_efe!O7:O172)</f>
        <v>4748035.2553544594</v>
      </c>
      <c r="D4" s="26">
        <f>SUM(livestock_efi_efe!P7:P172)</f>
        <v>6466959.8228655066</v>
      </c>
      <c r="E4" s="44">
        <f>B4+C4-D4</f>
        <v>-1166364.4701754479</v>
      </c>
    </row>
    <row r="5" spans="1:12" s="37" customFormat="1" ht="13">
      <c r="A5" s="35" t="s">
        <v>3843</v>
      </c>
      <c r="B5" s="47">
        <f>B3</f>
        <v>12421174.057624212</v>
      </c>
      <c r="C5" s="47">
        <f>SUM(C3:C4)</f>
        <v>4748035.2553544594</v>
      </c>
      <c r="D5" s="47">
        <f>SUM(D3:D4)</f>
        <v>6466959.8228655066</v>
      </c>
      <c r="E5" s="48">
        <f>MAX(0,B5+C5-D5)</f>
        <v>10702249.490113163</v>
      </c>
      <c r="F5" s="36"/>
      <c r="G5" s="36"/>
      <c r="H5" s="36"/>
      <c r="I5" s="36"/>
      <c r="J5" s="36"/>
      <c r="K5" s="36"/>
      <c r="L5" s="36"/>
    </row>
    <row r="6" spans="1:12" ht="12.75" customHeight="1">
      <c r="A6" s="32"/>
      <c r="B6" s="6"/>
      <c r="C6" s="6"/>
      <c r="D6" s="6"/>
      <c r="E6" s="6"/>
      <c r="F6" s="36"/>
      <c r="G6" s="36"/>
      <c r="H6" s="36"/>
      <c r="I6" s="36"/>
      <c r="J6" s="36"/>
      <c r="K6" s="36"/>
      <c r="L6" s="36"/>
    </row>
    <row r="7" spans="1:12" ht="12.75" customHeight="1">
      <c r="F7" s="36"/>
      <c r="G7" s="36"/>
      <c r="H7" s="36"/>
      <c r="I7" s="36"/>
      <c r="J7" s="36"/>
      <c r="K7" s="36"/>
      <c r="L7" s="36"/>
    </row>
    <row r="8" spans="1:12" ht="12.75" customHeight="1">
      <c r="F8" s="36"/>
      <c r="G8" s="36"/>
      <c r="H8" s="36"/>
      <c r="I8" s="36"/>
      <c r="J8" s="36"/>
      <c r="K8" s="36"/>
      <c r="L8" s="36"/>
    </row>
    <row r="9" spans="1:12" ht="12.75" customHeight="1">
      <c r="F9" s="36"/>
      <c r="G9" s="36"/>
      <c r="H9" s="36"/>
      <c r="I9" s="36"/>
      <c r="J9" s="36"/>
      <c r="K9" s="36"/>
      <c r="L9" s="36"/>
    </row>
    <row r="10" spans="1:12" ht="12.75" customHeight="1">
      <c r="F10" s="37"/>
      <c r="G10" s="37"/>
      <c r="H10" s="37"/>
      <c r="I10" s="37"/>
      <c r="J10" s="37"/>
      <c r="K10" s="37"/>
      <c r="L10" s="37"/>
    </row>
    <row r="11" spans="1:12" ht="12.75" customHeight="1">
      <c r="A11" s="65">
        <f>B5</f>
        <v>12421174.057624212</v>
      </c>
      <c r="B11" s="60">
        <f>MIN(A11,C11)</f>
        <v>10702249.490113163</v>
      </c>
      <c r="C11" s="60">
        <f>E5</f>
        <v>10702249.490113163</v>
      </c>
    </row>
    <row r="12" spans="1:12" ht="12.75" customHeight="1">
      <c r="A12" s="65">
        <f>C5</f>
        <v>4748035.2553544594</v>
      </c>
      <c r="B12" s="60">
        <f>MAX(A11,C11)-B11</f>
        <v>1718924.5675110482</v>
      </c>
      <c r="C12" s="60">
        <f>D5</f>
        <v>6466959.8228655066</v>
      </c>
    </row>
    <row r="13" spans="1:12" ht="12.75" customHeight="1">
      <c r="A13" s="8">
        <v>0</v>
      </c>
      <c r="B13" s="60">
        <f>A11+A12-(B12+B11)</f>
        <v>4748035.2553544585</v>
      </c>
      <c r="C13" s="1">
        <v>0</v>
      </c>
    </row>
    <row r="30" spans="6:6" ht="12.75" customHeight="1">
      <c r="F30" s="145"/>
    </row>
    <row r="31" spans="6:6" ht="12.75" customHeight="1">
      <c r="F31" s="36"/>
    </row>
    <row r="32" spans="6:6" ht="12.75" customHeight="1">
      <c r="F32" s="36"/>
    </row>
    <row r="33" spans="6:12" ht="12.75" customHeight="1">
      <c r="F33" s="36"/>
    </row>
    <row r="34" spans="6:12" ht="12.75" customHeight="1">
      <c r="F34" s="36"/>
    </row>
    <row r="35" spans="6:12" ht="12.75" customHeight="1">
      <c r="F35" s="36"/>
      <c r="G35" s="36"/>
      <c r="H35" s="36"/>
      <c r="I35" s="36"/>
      <c r="J35" s="36"/>
      <c r="K35" s="36"/>
      <c r="L35" s="36"/>
    </row>
    <row r="36" spans="6:12" ht="12.75" customHeight="1">
      <c r="F36" s="36"/>
      <c r="G36" s="36"/>
      <c r="H36" s="36"/>
      <c r="I36" s="36"/>
      <c r="J36" s="36"/>
      <c r="K36" s="36"/>
      <c r="L36" s="36"/>
    </row>
    <row r="37" spans="6:12" ht="12.75" customHeight="1">
      <c r="F37" s="36"/>
      <c r="G37" s="36"/>
      <c r="H37" s="36"/>
      <c r="I37" s="36"/>
      <c r="J37" s="36"/>
      <c r="K37" s="36"/>
      <c r="L37" s="36"/>
    </row>
    <row r="38" spans="6:12" ht="12.75" customHeight="1">
      <c r="F38" s="36"/>
      <c r="G38" s="36"/>
      <c r="H38" s="36"/>
      <c r="I38" s="36"/>
      <c r="J38" s="36"/>
      <c r="K38" s="36"/>
      <c r="L38" s="36"/>
    </row>
    <row r="39" spans="6:12" ht="12.75" customHeight="1">
      <c r="F39" s="36"/>
      <c r="G39" s="36"/>
      <c r="H39" s="36"/>
      <c r="I39" s="36"/>
      <c r="J39" s="36"/>
      <c r="K39" s="36"/>
      <c r="L39" s="36"/>
    </row>
    <row r="40" spans="6:12" ht="12.75" customHeight="1">
      <c r="F40" s="36"/>
      <c r="G40" s="36"/>
      <c r="H40" s="36"/>
      <c r="I40" s="36"/>
      <c r="J40" s="36"/>
      <c r="K40" s="36"/>
      <c r="L40" s="36"/>
    </row>
  </sheetData>
  <phoneticPr fontId="5" type="noConversion"/>
  <pageMargins left="0.75" right="0.75" top="1" bottom="1" header="0.5" footer="0.5"/>
  <pageSetup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pageSetUpPr autoPageBreaks="0"/>
  </sheetPr>
  <dimension ref="A1:E55"/>
  <sheetViews>
    <sheetView zoomScaleNormal="100" workbookViewId="0">
      <selection activeCell="A65536" sqref="A65536"/>
    </sheetView>
  </sheetViews>
  <sheetFormatPr defaultColWidth="9.1796875" defaultRowHeight="12.75" customHeight="1"/>
  <cols>
    <col min="1" max="1" width="50.7265625" style="36" customWidth="1"/>
    <col min="2" max="5" width="21.7265625" style="36" customWidth="1"/>
    <col min="6" max="6" width="19.7265625" style="36" customWidth="1"/>
    <col min="7" max="16384" width="9.1796875" style="36"/>
  </cols>
  <sheetData>
    <row r="1" spans="1:5" ht="15">
      <c r="A1" s="918" t="s">
        <v>1923</v>
      </c>
      <c r="B1" s="919" t="s">
        <v>9209</v>
      </c>
      <c r="C1" s="919" t="s">
        <v>9210</v>
      </c>
      <c r="D1" s="919" t="s">
        <v>9211</v>
      </c>
      <c r="E1" s="920" t="s">
        <v>9212</v>
      </c>
    </row>
    <row r="2" spans="1:5" ht="12.5">
      <c r="A2" s="921" t="s">
        <v>542</v>
      </c>
      <c r="B2" s="922" t="s">
        <v>720</v>
      </c>
      <c r="C2" s="922" t="s">
        <v>720</v>
      </c>
      <c r="D2" s="922" t="s">
        <v>720</v>
      </c>
      <c r="E2" s="923" t="s">
        <v>720</v>
      </c>
    </row>
    <row r="3" spans="1:5" ht="12.5">
      <c r="A3" s="33" t="s">
        <v>1062</v>
      </c>
      <c r="B3" s="27">
        <f>SUM(fish_efp!$I$7:$I$2327)</f>
        <v>5949286.7624550508</v>
      </c>
      <c r="C3" s="27">
        <v>0</v>
      </c>
      <c r="D3" s="27">
        <v>0</v>
      </c>
      <c r="E3" s="49">
        <f>B3+C3-D3</f>
        <v>5949286.7624550508</v>
      </c>
    </row>
    <row r="4" spans="1:5" ht="12.5">
      <c r="A4" s="4" t="s">
        <v>1063</v>
      </c>
      <c r="B4" s="25">
        <f>SUM(fish_efp!$J$7:$J$2327)</f>
        <v>576001.94987149164</v>
      </c>
      <c r="C4" s="25">
        <v>0</v>
      </c>
      <c r="D4" s="25">
        <v>0</v>
      </c>
      <c r="E4" s="343">
        <f>B4+C4-D4</f>
        <v>576001.94987149164</v>
      </c>
    </row>
    <row r="5" spans="1:5" ht="12.5">
      <c r="A5" s="4" t="s">
        <v>671</v>
      </c>
      <c r="B5" s="25">
        <f>grazing_efp!E10</f>
        <v>662720.3614070426</v>
      </c>
      <c r="C5" s="25">
        <f>SUM(livestock_efi_efe!L7:L172)</f>
        <v>61985.02101552127</v>
      </c>
      <c r="D5" s="25">
        <f>MIN(SUM(livestock_efi_efe!$M$7:$M$172),market_feed_supply_n!O103)</f>
        <v>298821.71199410193</v>
      </c>
      <c r="E5" s="343">
        <f>B5+C5-D5</f>
        <v>425883.67042846192</v>
      </c>
    </row>
    <row r="6" spans="1:5" ht="12.5">
      <c r="A6" s="34" t="s">
        <v>2991</v>
      </c>
      <c r="B6" s="26">
        <v>0</v>
      </c>
      <c r="C6" s="26">
        <f>SUM(fish_efi_efe!C7:C278)/(SUM(fish_efp!Q7:Q2327)/SUM(fish_efp!T7:T2327))</f>
        <v>3663709.0176583445</v>
      </c>
      <c r="D6" s="26">
        <f>IF(B7+C6=0,SUM(fish_efi_efe!$J$7:$J$278),SUM(fish_efi_efe!D7:D278)/((SUM(fish_efp!D7:D2327,fish_efp!E7:E2327)+SUM(fish_efi_efe!C7:C278))/(B7+C6)))</f>
        <v>4527683.7116878759</v>
      </c>
      <c r="E6" s="44">
        <f>B6+C6-D6</f>
        <v>-863974.69402953144</v>
      </c>
    </row>
    <row r="7" spans="1:5" ht="13">
      <c r="A7" s="35" t="s">
        <v>3843</v>
      </c>
      <c r="B7" s="47">
        <f>SUM(B3:B6)-B5</f>
        <v>6525288.7123265425</v>
      </c>
      <c r="C7" s="47">
        <f>SUM(C3:C6)</f>
        <v>3725694.0386738656</v>
      </c>
      <c r="D7" s="47">
        <f>SUM(D3:D6)</f>
        <v>4826505.4236819781</v>
      </c>
      <c r="E7" s="48">
        <f>MAX(0,B7+C7-D7)</f>
        <v>5424477.3273184299</v>
      </c>
    </row>
    <row r="8" spans="1:5" ht="12.5">
      <c r="A8" s="155"/>
      <c r="B8" s="155"/>
      <c r="C8" s="155"/>
      <c r="D8" s="155"/>
      <c r="E8" s="342"/>
    </row>
    <row r="9" spans="1:5" ht="12.75" customHeight="1">
      <c r="A9" s="155"/>
      <c r="B9" s="155"/>
      <c r="C9" s="155"/>
      <c r="D9" s="155"/>
      <c r="E9" s="155"/>
    </row>
    <row r="10" spans="1:5" ht="12.75" customHeight="1">
      <c r="A10" s="155"/>
      <c r="B10" s="155"/>
      <c r="C10" s="155"/>
      <c r="D10" s="155"/>
      <c r="E10" s="155"/>
    </row>
    <row r="11" spans="1:5" ht="12.75" customHeight="1">
      <c r="A11" s="155"/>
      <c r="B11" s="155"/>
      <c r="C11" s="155"/>
      <c r="D11" s="155"/>
      <c r="E11" s="155"/>
    </row>
    <row r="12" spans="1:5" ht="12.75" customHeight="1">
      <c r="A12" s="155"/>
      <c r="B12" s="155"/>
      <c r="C12" s="155"/>
      <c r="D12" s="155"/>
      <c r="E12" s="155"/>
    </row>
    <row r="13" spans="1:5" ht="12.75" customHeight="1">
      <c r="A13" s="155"/>
      <c r="B13" s="155"/>
      <c r="C13" s="155"/>
      <c r="D13" s="155"/>
      <c r="E13" s="155"/>
    </row>
    <row r="14" spans="1:5" ht="12.75" customHeight="1">
      <c r="A14" s="155"/>
      <c r="B14" s="155"/>
      <c r="C14" s="155"/>
      <c r="D14" s="155"/>
      <c r="E14" s="155"/>
    </row>
    <row r="15" spans="1:5" ht="12.75" customHeight="1">
      <c r="A15" s="155"/>
      <c r="B15" s="155"/>
      <c r="C15" s="155"/>
      <c r="D15" s="155"/>
      <c r="E15" s="155"/>
    </row>
    <row r="30" spans="1:5" ht="12.75" customHeight="1">
      <c r="A30" s="68"/>
      <c r="B30" s="68"/>
      <c r="C30" s="68"/>
      <c r="D30" s="68"/>
      <c r="E30" s="68"/>
    </row>
    <row r="31" spans="1:5" ht="12.75" customHeight="1">
      <c r="A31" s="68"/>
      <c r="B31" s="68"/>
      <c r="C31" s="68"/>
      <c r="D31" s="68"/>
      <c r="E31" s="68"/>
    </row>
    <row r="32" spans="1:5" ht="12.75" customHeight="1">
      <c r="A32" s="68"/>
      <c r="B32" s="68"/>
      <c r="C32" s="68"/>
      <c r="D32" s="68"/>
      <c r="E32" s="68"/>
    </row>
    <row r="33" spans="1:5" ht="12.75" customHeight="1">
      <c r="A33" s="68"/>
      <c r="B33" s="68"/>
      <c r="C33" s="68"/>
      <c r="D33" s="68"/>
      <c r="E33" s="68"/>
    </row>
    <row r="34" spans="1:5" ht="12.75" customHeight="1">
      <c r="A34" s="68"/>
      <c r="B34" s="68"/>
      <c r="C34" s="68"/>
      <c r="D34" s="68"/>
      <c r="E34" s="68"/>
    </row>
    <row r="35" spans="1:5" ht="12.75" customHeight="1">
      <c r="A35" s="68"/>
      <c r="B35" s="68"/>
      <c r="C35" s="68"/>
      <c r="D35" s="68"/>
      <c r="E35" s="68"/>
    </row>
    <row r="36" spans="1:5" ht="12.75" customHeight="1">
      <c r="A36" s="69"/>
      <c r="B36" s="69"/>
      <c r="C36" s="69"/>
      <c r="D36" s="69"/>
      <c r="E36" s="68"/>
    </row>
    <row r="37" spans="1:5" ht="12.75" customHeight="1">
      <c r="A37" s="69"/>
      <c r="B37" s="69"/>
      <c r="C37" s="69"/>
      <c r="D37" s="69"/>
      <c r="E37" s="68"/>
    </row>
    <row r="38" spans="1:5" ht="12.75" customHeight="1">
      <c r="A38" s="70">
        <f>B7</f>
        <v>6525288.7123265425</v>
      </c>
      <c r="B38" s="71">
        <f>MIN(A38,C38)</f>
        <v>5424477.3273184299</v>
      </c>
      <c r="C38" s="70">
        <f>E7</f>
        <v>5424477.3273184299</v>
      </c>
      <c r="D38" s="69"/>
      <c r="E38" s="68"/>
    </row>
    <row r="39" spans="1:5" ht="12.75" customHeight="1">
      <c r="A39" s="70">
        <f>C7</f>
        <v>3725694.0386738656</v>
      </c>
      <c r="B39" s="71">
        <f>MAX(A38,C38)-B38</f>
        <v>1100811.3850081125</v>
      </c>
      <c r="C39" s="70">
        <f>D7</f>
        <v>4826505.4236819781</v>
      </c>
      <c r="D39" s="69"/>
      <c r="E39" s="68"/>
    </row>
    <row r="40" spans="1:5" ht="12.75" customHeight="1">
      <c r="A40" s="69">
        <v>0</v>
      </c>
      <c r="B40" s="71">
        <f>A38+A39-(B39+B38)</f>
        <v>3725694.0386738656</v>
      </c>
      <c r="C40" s="69">
        <v>0</v>
      </c>
      <c r="D40" s="69"/>
      <c r="E40" s="68"/>
    </row>
    <row r="41" spans="1:5" ht="12.75" customHeight="1">
      <c r="A41" s="69"/>
      <c r="B41" s="69"/>
      <c r="C41" s="69"/>
      <c r="D41" s="69"/>
      <c r="E41" s="68"/>
    </row>
    <row r="42" spans="1:5" ht="12.75" customHeight="1">
      <c r="A42" s="69"/>
      <c r="B42" s="69"/>
      <c r="C42" s="69"/>
      <c r="D42" s="69"/>
      <c r="E42" s="68"/>
    </row>
    <row r="43" spans="1:5" ht="12.75" customHeight="1">
      <c r="A43" s="68"/>
      <c r="B43" s="68"/>
      <c r="C43" s="68"/>
      <c r="D43" s="68"/>
      <c r="E43" s="68"/>
    </row>
    <row r="44" spans="1:5" ht="12.75" customHeight="1">
      <c r="A44" s="68"/>
      <c r="B44" s="68"/>
      <c r="C44" s="68"/>
      <c r="D44" s="68"/>
      <c r="E44" s="68"/>
    </row>
    <row r="45" spans="1:5" ht="12.75" customHeight="1">
      <c r="A45" s="68"/>
      <c r="B45" s="68"/>
      <c r="C45" s="68"/>
      <c r="D45" s="68"/>
      <c r="E45" s="68"/>
    </row>
    <row r="46" spans="1:5" ht="12.75" customHeight="1">
      <c r="A46" s="68"/>
      <c r="B46" s="68"/>
      <c r="C46" s="68"/>
      <c r="D46" s="68"/>
      <c r="E46" s="68"/>
    </row>
    <row r="47" spans="1:5" ht="12.75" customHeight="1">
      <c r="A47" s="68"/>
      <c r="B47" s="68"/>
      <c r="C47" s="68"/>
      <c r="D47" s="68"/>
      <c r="E47" s="68"/>
    </row>
    <row r="48" spans="1:5" ht="12.75" customHeight="1">
      <c r="A48" s="68"/>
      <c r="B48" s="68"/>
      <c r="C48" s="68"/>
      <c r="D48" s="68"/>
      <c r="E48" s="68"/>
    </row>
    <row r="49" spans="1:5" ht="12.75" customHeight="1">
      <c r="A49" s="68"/>
      <c r="B49" s="68"/>
      <c r="C49" s="68"/>
      <c r="D49" s="68"/>
      <c r="E49" s="68"/>
    </row>
    <row r="50" spans="1:5" ht="12.75" customHeight="1">
      <c r="A50" s="68"/>
      <c r="B50" s="68"/>
      <c r="C50" s="68"/>
      <c r="D50" s="68"/>
      <c r="E50" s="68"/>
    </row>
    <row r="51" spans="1:5" ht="12.75" customHeight="1">
      <c r="A51" s="68"/>
      <c r="B51" s="68"/>
      <c r="C51" s="68"/>
      <c r="D51" s="68"/>
      <c r="E51" s="68"/>
    </row>
    <row r="52" spans="1:5" ht="12.75" customHeight="1">
      <c r="A52" s="68"/>
      <c r="B52" s="68"/>
      <c r="C52" s="68"/>
      <c r="D52" s="68"/>
      <c r="E52" s="68"/>
    </row>
    <row r="53" spans="1:5" ht="12.75" customHeight="1">
      <c r="A53" s="68"/>
      <c r="B53" s="68"/>
      <c r="C53" s="68"/>
      <c r="D53" s="68"/>
      <c r="E53" s="68"/>
    </row>
    <row r="54" spans="1:5" ht="12.75" customHeight="1">
      <c r="A54" s="68"/>
      <c r="B54" s="68"/>
      <c r="C54" s="68"/>
      <c r="D54" s="68"/>
      <c r="E54" s="68"/>
    </row>
    <row r="55" spans="1:5" ht="12.75" customHeight="1">
      <c r="A55" s="68"/>
      <c r="B55" s="68"/>
      <c r="C55" s="68"/>
      <c r="D55" s="68"/>
      <c r="E55" s="68"/>
    </row>
  </sheetData>
  <phoneticPr fontId="5" type="noConversion"/>
  <pageMargins left="0.75" right="0.75" top="1" bottom="1" header="0.5" footer="0.5"/>
  <pageSetup orientation="portrait" r:id="rId1"/>
  <headerFooter alignWithMargins="0"/>
  <cellWatches>
    <cellWatch r="B3"/>
    <cellWatch r="B4"/>
    <cellWatch r="B5"/>
    <cellWatch r="B6"/>
    <cellWatch r="B7"/>
  </cellWatche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9"/>
    <pageSetUpPr autoPageBreaks="0"/>
  </sheetPr>
  <dimension ref="A1:E44"/>
  <sheetViews>
    <sheetView zoomScaleNormal="100" workbookViewId="0">
      <selection activeCell="A65536" sqref="A65536"/>
    </sheetView>
  </sheetViews>
  <sheetFormatPr defaultColWidth="9.1796875" defaultRowHeight="12.75" customHeight="1"/>
  <cols>
    <col min="1" max="1" width="50.7265625" style="36" customWidth="1"/>
    <col min="2" max="5" width="21.7265625" style="36" customWidth="1"/>
    <col min="6" max="6" width="19.7265625" style="36" customWidth="1"/>
    <col min="7" max="16384" width="9.1796875" style="36"/>
  </cols>
  <sheetData>
    <row r="1" spans="1:5" ht="15">
      <c r="A1" s="909" t="s">
        <v>1923</v>
      </c>
      <c r="B1" s="910" t="s">
        <v>3841</v>
      </c>
      <c r="C1" s="910" t="s">
        <v>3840</v>
      </c>
      <c r="D1" s="910" t="s">
        <v>3842</v>
      </c>
      <c r="E1" s="911" t="s">
        <v>1626</v>
      </c>
    </row>
    <row r="2" spans="1:5" ht="12.5">
      <c r="A2" s="912" t="s">
        <v>542</v>
      </c>
      <c r="B2" s="913" t="s">
        <v>720</v>
      </c>
      <c r="C2" s="913" t="s">
        <v>720</v>
      </c>
      <c r="D2" s="913" t="s">
        <v>720</v>
      </c>
      <c r="E2" s="914" t="s">
        <v>720</v>
      </c>
    </row>
    <row r="3" spans="1:5" ht="12.5">
      <c r="A3" s="4" t="s">
        <v>2992</v>
      </c>
      <c r="B3" s="25">
        <f>SUMIF(forest_efp!K$10:K$58,"Y",forest_efp!H$10:H$58)</f>
        <v>107999948.94614215</v>
      </c>
      <c r="C3" s="25">
        <f>SUMIF(forest_efi_efe!M$10:M$58,"Y",forest_efi_efe!I$10:I$58)</f>
        <v>14780417.313354935</v>
      </c>
      <c r="D3" s="25">
        <f>SUMIF(forest_efi_efe!M$10:M$58,"Y",forest_efi_efe!J$10:J$58)</f>
        <v>72933896.213060573</v>
      </c>
      <c r="E3" s="23">
        <f>B3+C3-D3</f>
        <v>49846470.046436518</v>
      </c>
    </row>
    <row r="4" spans="1:5" ht="12.5">
      <c r="A4" s="4" t="s">
        <v>3839</v>
      </c>
      <c r="B4" s="25">
        <f>SUMIF(forest_efp!K$7:K$9,"Y",forest_efp!H$7:H$9)</f>
        <v>442684.71601827443</v>
      </c>
      <c r="C4" s="25">
        <f>SUMIF(forest_efi_efe!M$7:M$9,"Y",forest_efi_efe!I$7:I$9)</f>
        <v>61.475607203328394</v>
      </c>
      <c r="D4" s="25">
        <f>SUMIF(forest_efi_efe!M$7:M$9,"Y",forest_efi_efe!J$7:J$9)</f>
        <v>13320.972063935944</v>
      </c>
      <c r="E4" s="23">
        <f>B4+C4-D4</f>
        <v>429425.2195615418</v>
      </c>
    </row>
    <row r="5" spans="1:5" ht="13">
      <c r="A5" s="42" t="s">
        <v>3843</v>
      </c>
      <c r="B5" s="45">
        <f>SUM(B3:B4)</f>
        <v>108442633.66216043</v>
      </c>
      <c r="C5" s="45">
        <f>SUM(C3:C4)</f>
        <v>14780478.788962139</v>
      </c>
      <c r="D5" s="45">
        <f>SUM(D3:D4)</f>
        <v>72947217.185124502</v>
      </c>
      <c r="E5" s="46">
        <f>MAX(0,B5+C5-D5)</f>
        <v>50275895.265998065</v>
      </c>
    </row>
    <row r="7" spans="1:5" ht="12.75" customHeight="1">
      <c r="B7" s="39"/>
      <c r="C7" s="39"/>
      <c r="D7" s="39"/>
      <c r="E7" s="39"/>
    </row>
    <row r="31" spans="1:3" ht="12.75" customHeight="1">
      <c r="A31" s="68"/>
      <c r="B31" s="68"/>
      <c r="C31" s="68"/>
    </row>
    <row r="32" spans="1:3" ht="12.75" customHeight="1">
      <c r="A32" s="68"/>
      <c r="B32" s="68"/>
      <c r="C32" s="68"/>
    </row>
    <row r="33" spans="1:4" ht="12.75" customHeight="1">
      <c r="A33" s="68"/>
      <c r="B33" s="68"/>
      <c r="C33" s="68"/>
    </row>
    <row r="34" spans="1:4" ht="12.75" customHeight="1">
      <c r="A34" s="68"/>
      <c r="B34" s="68"/>
      <c r="C34" s="68"/>
    </row>
    <row r="35" spans="1:4" ht="12.75" customHeight="1">
      <c r="A35" s="69"/>
      <c r="B35" s="69"/>
      <c r="C35" s="69"/>
      <c r="D35" s="69"/>
    </row>
    <row r="36" spans="1:4" ht="12.75" customHeight="1">
      <c r="A36" s="70">
        <f>B5</f>
        <v>108442633.66216043</v>
      </c>
      <c r="B36" s="71">
        <f>MIN(A36,C36)</f>
        <v>50275895.265998065</v>
      </c>
      <c r="C36" s="70">
        <f>E5</f>
        <v>50275895.265998065</v>
      </c>
      <c r="D36" s="69"/>
    </row>
    <row r="37" spans="1:4" ht="12.75" customHeight="1">
      <c r="A37" s="70">
        <f>C5</f>
        <v>14780478.788962139</v>
      </c>
      <c r="B37" s="71">
        <f>MAX(A36,C36)-B36</f>
        <v>58166738.396162361</v>
      </c>
      <c r="C37" s="70">
        <f>D5</f>
        <v>72947217.185124502</v>
      </c>
      <c r="D37" s="69"/>
    </row>
    <row r="38" spans="1:4" ht="12.75" customHeight="1">
      <c r="A38" s="69"/>
      <c r="B38" s="71">
        <f>A36+A37-(B37+B36)</f>
        <v>14780478.788962141</v>
      </c>
      <c r="C38" s="69"/>
      <c r="D38" s="69"/>
    </row>
    <row r="39" spans="1:4" ht="12.75" customHeight="1">
      <c r="A39" s="69"/>
      <c r="B39" s="69"/>
      <c r="C39" s="69"/>
      <c r="D39" s="69"/>
    </row>
    <row r="40" spans="1:4" ht="12.75" customHeight="1">
      <c r="A40" s="69"/>
      <c r="B40" s="69"/>
      <c r="C40" s="69"/>
      <c r="D40" s="69"/>
    </row>
    <row r="41" spans="1:4" ht="12.75" customHeight="1">
      <c r="A41" s="68"/>
      <c r="B41" s="68"/>
      <c r="C41" s="68"/>
    </row>
    <row r="42" spans="1:4" ht="12.75" customHeight="1">
      <c r="A42" s="68"/>
      <c r="B42" s="68"/>
      <c r="C42" s="68"/>
    </row>
    <row r="43" spans="1:4" ht="12.75" customHeight="1">
      <c r="A43" s="68"/>
      <c r="B43" s="68"/>
      <c r="C43" s="68"/>
    </row>
    <row r="44" spans="1:4" ht="12.75" customHeight="1">
      <c r="A44" s="68"/>
      <c r="B44" s="68"/>
      <c r="C44" s="68"/>
    </row>
  </sheetData>
  <phoneticPr fontId="5" type="noConversion"/>
  <pageMargins left="0.75" right="0.75" top="1" bottom="1" header="0.5" footer="0.5"/>
  <headerFooter alignWithMargins="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67</vt:i4>
      </vt:variant>
      <vt:variant>
        <vt:lpstr>Charts</vt:lpstr>
      </vt:variant>
      <vt:variant>
        <vt:i4>1</vt:i4>
      </vt:variant>
      <vt:variant>
        <vt:lpstr>Named Ranges</vt:lpstr>
      </vt:variant>
      <vt:variant>
        <vt:i4>78</vt:i4>
      </vt:variant>
    </vt:vector>
  </HeadingPairs>
  <TitlesOfParts>
    <vt:vector size="146" baseType="lpstr">
      <vt:lpstr>intro</vt:lpstr>
      <vt:lpstr>summary</vt:lpstr>
      <vt:lpstr>summary_chart_data</vt:lpstr>
      <vt:lpstr>biocap</vt:lpstr>
      <vt:lpstr>ef_carbon</vt:lpstr>
      <vt:lpstr>ef_crop</vt:lpstr>
      <vt:lpstr>ef_grazing</vt:lpstr>
      <vt:lpstr>ef_fish</vt:lpstr>
      <vt:lpstr>ef_forest_products</vt:lpstr>
      <vt:lpstr>ef_built</vt:lpstr>
      <vt:lpstr>fossil_efp</vt:lpstr>
      <vt:lpstr>other_co2_efp</vt:lpstr>
      <vt:lpstr>carbon_efi_efe</vt:lpstr>
      <vt:lpstr>Int_transport</vt:lpstr>
      <vt:lpstr>electricity_trade</vt:lpstr>
      <vt:lpstr>carbon_intensity_n</vt:lpstr>
      <vt:lpstr>cnst_carbon</vt:lpstr>
      <vt:lpstr>crop_efp</vt:lpstr>
      <vt:lpstr>crop_efi_efe</vt:lpstr>
      <vt:lpstr>crop_intensity</vt:lpstr>
      <vt:lpstr>constant_crop_factor</vt:lpstr>
      <vt:lpstr>grazing_efp</vt:lpstr>
      <vt:lpstr>feed_demand_n</vt:lpstr>
      <vt:lpstr>market_feed_supply_n</vt:lpstr>
      <vt:lpstr>grass_supply_n</vt:lpstr>
      <vt:lpstr>residue_supply_n</vt:lpstr>
      <vt:lpstr>prodstat_livestock_n</vt:lpstr>
      <vt:lpstr>resourcestat_livestock_n</vt:lpstr>
      <vt:lpstr>cnst_grazing</vt:lpstr>
      <vt:lpstr>livestock_efi_efe</vt:lpstr>
      <vt:lpstr>livestock_intensity</vt:lpstr>
      <vt:lpstr>livestock_feed_ef_n</vt:lpstr>
      <vt:lpstr>feed_intensity_w</vt:lpstr>
      <vt:lpstr>feed_mix_w</vt:lpstr>
      <vt:lpstr>crop_feed_cnst</vt:lpstr>
      <vt:lpstr>constant_ag_extr</vt:lpstr>
      <vt:lpstr>const_grazing_npp</vt:lpstr>
      <vt:lpstr>constant_feed_region</vt:lpstr>
      <vt:lpstr>constant_livestock_residue</vt:lpstr>
      <vt:lpstr>constant_livestock_demand</vt:lpstr>
      <vt:lpstr>fish_efp</vt:lpstr>
      <vt:lpstr>fish_efi_efe</vt:lpstr>
      <vt:lpstr>fish_commodity_yield_n</vt:lpstr>
      <vt:lpstr>fish_group_yield_n</vt:lpstr>
      <vt:lpstr>fish_group_yield_w</vt:lpstr>
      <vt:lpstr>aquaculture_yields</vt:lpstr>
      <vt:lpstr>fish_feed_group_yield_n</vt:lpstr>
      <vt:lpstr>fish_feed_group_yield_w</vt:lpstr>
      <vt:lpstr>fishmeal_fishes</vt:lpstr>
      <vt:lpstr>aquaculture_production_n</vt:lpstr>
      <vt:lpstr>aquaculture_production_w</vt:lpstr>
      <vt:lpstr>cnst_fish</vt:lpstr>
      <vt:lpstr>constant_aquafeed_factors</vt:lpstr>
      <vt:lpstr>constant_fish_extr</vt:lpstr>
      <vt:lpstr>constant_fish_trophic</vt:lpstr>
      <vt:lpstr>forest_efp</vt:lpstr>
      <vt:lpstr>forest_efi_efe</vt:lpstr>
      <vt:lpstr>constant_forest_extr</vt:lpstr>
      <vt:lpstr>constant_forest_increment</vt:lpstr>
      <vt:lpstr>infrastructure_efp</vt:lpstr>
      <vt:lpstr>eqf</vt:lpstr>
      <vt:lpstr>yf</vt:lpstr>
      <vt:lpstr>iyf</vt:lpstr>
      <vt:lpstr>bioproductive_area</vt:lpstr>
      <vt:lpstr>const_npp_EEZ_shelf_area</vt:lpstr>
      <vt:lpstr>popstat</vt:lpstr>
      <vt:lpstr>world_data</vt:lpstr>
      <vt:lpstr>summary_chart</vt:lpstr>
      <vt:lpstr>constant_ag_extr</vt:lpstr>
      <vt:lpstr>constant_aquafeed_factors</vt:lpstr>
      <vt:lpstr>constant_area_shelf</vt:lpstr>
      <vt:lpstr>constant_crop_factor</vt:lpstr>
      <vt:lpstr>constant_feed_region</vt:lpstr>
      <vt:lpstr>constant_fish_extr</vt:lpstr>
      <vt:lpstr>constant_fish_trophic</vt:lpstr>
      <vt:lpstr>constant_forest_extr</vt:lpstr>
      <vt:lpstr>constant_forest_increment</vt:lpstr>
      <vt:lpstr>constant_grazing_npp</vt:lpstr>
      <vt:lpstr>constant_livestock_demand</vt:lpstr>
      <vt:lpstr>constant_livestock_residue</vt:lpstr>
      <vt:lpstr>COUNTRY</vt:lpstr>
      <vt:lpstr>country_code</vt:lpstr>
      <vt:lpstr>crop_efp</vt:lpstr>
      <vt:lpstr>crop_trade</vt:lpstr>
      <vt:lpstr>ef_grazing</vt:lpstr>
      <vt:lpstr>eqf</vt:lpstr>
      <vt:lpstr>feed_intensity_w</vt:lpstr>
      <vt:lpstr>feed_mix_n</vt:lpstr>
      <vt:lpstr>fish_commodity_yield</vt:lpstr>
      <vt:lpstr>fish_efi_efe</vt:lpstr>
      <vt:lpstr>fish_efp</vt:lpstr>
      <vt:lpstr>forest_extr_headings</vt:lpstr>
      <vt:lpstr>fossil_efp</vt:lpstr>
      <vt:lpstr>iyf</vt:lpstr>
      <vt:lpstr>livestock_demand_headings</vt:lpstr>
      <vt:lpstr>livestock_intensity_w</vt:lpstr>
      <vt:lpstr>population_n</vt:lpstr>
      <vt:lpstr>prodstat_livestock_n</vt:lpstr>
      <vt:lpstr>regional_tfr</vt:lpstr>
      <vt:lpstr>resourcestat_livestock</vt:lpstr>
      <vt:lpstr>tbl_aquaculture_n</vt:lpstr>
      <vt:lpstr>tbl_aquaculture_w</vt:lpstr>
      <vt:lpstr>tbl_area_corine</vt:lpstr>
      <vt:lpstr>tbl_area_fao</vt:lpstr>
      <vt:lpstr>tbl_area_glc</vt:lpstr>
      <vt:lpstr>tbl_capture</vt:lpstr>
      <vt:lpstr>tbl_cdiac_CO2</vt:lpstr>
      <vt:lpstr>tbl_comtrade_n</vt:lpstr>
      <vt:lpstr>tbl_eqf</vt:lpstr>
      <vt:lpstr>tbl_figis_commodity</vt:lpstr>
      <vt:lpstr>tbl_forest_prod_n</vt:lpstr>
      <vt:lpstr>tbl_forest_trade_n</vt:lpstr>
      <vt:lpstr>tbl_iea_CO2</vt:lpstr>
      <vt:lpstr>tbl_iea_ipcc_co2</vt:lpstr>
      <vt:lpstr>tbl_iyf</vt:lpstr>
      <vt:lpstr>tbl_liveweight</vt:lpstr>
      <vt:lpstr>tbl_liveweight_n</vt:lpstr>
      <vt:lpstr>tbl_market_feed</vt:lpstr>
      <vt:lpstr>tbl_nai_n</vt:lpstr>
      <vt:lpstr>tbl_nai_w</vt:lpstr>
      <vt:lpstr>tbl_popstat_n</vt:lpstr>
      <vt:lpstr>tbl_popstat_w</vt:lpstr>
      <vt:lpstr>tbl_prodstat_crop_n</vt:lpstr>
      <vt:lpstr>tbl_prodstat_crop_w</vt:lpstr>
      <vt:lpstr>tbl_prodstat_livestock_n</vt:lpstr>
      <vt:lpstr>tbl_resourcestat_livestock</vt:lpstr>
      <vt:lpstr>tbl_TFR</vt:lpstr>
      <vt:lpstr>tbl_TFR_n</vt:lpstr>
      <vt:lpstr>tbl_tradestat_crop_n</vt:lpstr>
      <vt:lpstr>tbl_tradestat_crop_w</vt:lpstr>
      <vt:lpstr>tbl_tradestat_livestock_i</vt:lpstr>
      <vt:lpstr>val_bunker_emissions</vt:lpstr>
      <vt:lpstr>val_crop_unharvested_n</vt:lpstr>
      <vt:lpstr>val_elect_heat_intensity_n</vt:lpstr>
      <vt:lpstr>val_elect_heat_intensity_w</vt:lpstr>
      <vt:lpstr>val_electricity_exports</vt:lpstr>
      <vt:lpstr>val_electricity_imports</vt:lpstr>
      <vt:lpstr>val_electricity_prod</vt:lpstr>
      <vt:lpstr>val_GAEZ_built_area</vt:lpstr>
      <vt:lpstr>val_iea_other_CO2</vt:lpstr>
      <vt:lpstr>val_ocean_co2_uptk</vt:lpstr>
      <vt:lpstr>val_tpes_intensity_w</vt:lpstr>
      <vt:lpstr>val_tpes_n</vt:lpstr>
      <vt:lpstr>world_results</vt:lpstr>
      <vt:lpstr>YEAR</vt:lpstr>
      <vt:lpstr>yf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Borucke;Eli Lazarus</dc:creator>
  <cp:keywords>NFA 2015 Baseline</cp:keywords>
  <cp:lastModifiedBy>Flora Gomez</cp:lastModifiedBy>
  <cp:lastPrinted>2008-09-22T16:59:19Z</cp:lastPrinted>
  <dcterms:created xsi:type="dcterms:W3CDTF">2007-01-09T18:34:16Z</dcterms:created>
  <dcterms:modified xsi:type="dcterms:W3CDTF">2022-03-01T21:28:50Z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atchID">
    <vt:i4>41</vt:i4>
  </property>
</Properties>
</file>